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10215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/Users/thaddeus/Documents/admin/desktopclasssize/"/>
    </mc:Choice>
  </mc:AlternateContent>
  <xr:revisionPtr revIDLastSave="0" documentId="13_ncr:9_{072AD5D0-A35E-9D40-A594-975281EC082D}" xr6:coauthVersionLast="47" xr6:coauthVersionMax="47" xr10:uidLastSave="{00000000-0000-0000-0000-000000000000}"/>
  <bookViews>
    <workbookView xWindow="440" yWindow="500" windowWidth="21840" windowHeight="15500" xr2:uid="{00000000-000D-0000-FFFF-FFFF00000000}"/>
  </bookViews>
  <sheets>
    <sheet name="Courses" sheetId="1" r:id="rId1"/>
    <sheet name="2019" sheetId="2" r:id="rId2"/>
    <sheet name="2020" sheetId="3" r:id="rId3"/>
    <sheet name="2021" sheetId="4" r:id="rId4"/>
    <sheet name="2019 + 2020" sheetId="5" r:id="rId5"/>
    <sheet name="2019 + 2020 + 2021" sheetId="6" r:id="rId6"/>
  </sheet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purl.oclc.org/ooxml/spreadsheetml/main">
  <c r="J2595" i="1" l="1"/>
  <c r="H45" i="4" l="1"/>
  <c r="G45" i="4"/>
  <c r="E45" i="4"/>
  <c r="H44" i="4"/>
  <c r="G44" i="4"/>
  <c r="F44" i="4"/>
  <c r="E44" i="4"/>
  <c r="H42" i="4"/>
  <c r="H38" i="4"/>
  <c r="G38" i="4"/>
  <c r="F38" i="4"/>
  <c r="H36" i="4"/>
  <c r="G36" i="4"/>
  <c r="F36" i="4"/>
  <c r="E36" i="4"/>
  <c r="D36" i="4"/>
  <c r="H35" i="4"/>
  <c r="G35" i="4"/>
  <c r="H28" i="4"/>
  <c r="G28" i="4"/>
  <c r="F28" i="4"/>
  <c r="E28" i="4"/>
  <c r="H27" i="4"/>
  <c r="G27" i="4"/>
  <c r="H26" i="4"/>
  <c r="G26" i="4"/>
  <c r="F26" i="4"/>
  <c r="E26" i="4"/>
  <c r="H23" i="4"/>
  <c r="H20" i="4"/>
  <c r="G20" i="4"/>
  <c r="F20" i="4"/>
  <c r="E20" i="4"/>
  <c r="D20" i="4"/>
  <c r="F16" i="4"/>
  <c r="B16" i="4"/>
  <c r="G14" i="4"/>
  <c r="F14" i="4"/>
  <c r="E14" i="4"/>
  <c r="H13" i="4"/>
  <c r="G13" i="4"/>
  <c r="F13" i="4"/>
  <c r="E13" i="4"/>
  <c r="D13" i="4"/>
  <c r="B13" i="4"/>
  <c r="H12" i="4"/>
  <c r="G12" i="4"/>
  <c r="F12" i="4"/>
  <c r="E12" i="4"/>
  <c r="D12" i="4"/>
  <c r="H11" i="4"/>
  <c r="G11" i="4"/>
  <c r="F11" i="4"/>
  <c r="E11" i="4"/>
  <c r="D11" i="4"/>
  <c r="G10" i="4"/>
  <c r="F10" i="4"/>
  <c r="E10" i="4"/>
  <c r="H8" i="4"/>
  <c r="G8" i="4"/>
  <c r="F8" i="4"/>
  <c r="H7" i="4"/>
  <c r="G7" i="4"/>
  <c r="H6" i="4"/>
  <c r="F6" i="4"/>
  <c r="H5" i="4"/>
  <c r="F5" i="4"/>
  <c r="E5" i="4"/>
  <c r="G4" i="4"/>
  <c r="E4" i="4"/>
  <c r="H3" i="4"/>
  <c r="H2" i="4"/>
  <c r="F2" i="4"/>
  <c r="E2" i="4"/>
  <c r="B2" i="4"/>
  <c r="H54" i="4"/>
  <c r="H45" i="3"/>
  <c r="G45" i="3"/>
  <c r="H44" i="3"/>
  <c r="G44" i="3"/>
  <c r="F44" i="3"/>
  <c r="H43" i="3"/>
  <c r="H42" i="3"/>
  <c r="H38" i="3"/>
  <c r="G38" i="3"/>
  <c r="F38" i="3"/>
  <c r="H36" i="3"/>
  <c r="G36" i="3"/>
  <c r="F36" i="3"/>
  <c r="E36" i="3"/>
  <c r="D36" i="3"/>
  <c r="H35" i="3"/>
  <c r="G35" i="3"/>
  <c r="H28" i="3"/>
  <c r="G28" i="3"/>
  <c r="F28" i="3"/>
  <c r="E28" i="3"/>
  <c r="D28" i="3"/>
  <c r="H27" i="3"/>
  <c r="E27" i="3"/>
  <c r="H26" i="3"/>
  <c r="G26" i="3"/>
  <c r="F26" i="3"/>
  <c r="E26" i="3"/>
  <c r="D26" i="3"/>
  <c r="H22" i="3"/>
  <c r="F22" i="3"/>
  <c r="H20" i="3"/>
  <c r="G20" i="3"/>
  <c r="F20" i="3"/>
  <c r="D20" i="3"/>
  <c r="E16" i="3"/>
  <c r="B16" i="3"/>
  <c r="F15" i="3"/>
  <c r="G14" i="3"/>
  <c r="F14" i="3"/>
  <c r="E14" i="3"/>
  <c r="H13" i="3"/>
  <c r="G13" i="3"/>
  <c r="F13" i="3"/>
  <c r="E13" i="3"/>
  <c r="D13" i="3"/>
  <c r="B13" i="3"/>
  <c r="H12" i="3"/>
  <c r="G12" i="3"/>
  <c r="F12" i="3"/>
  <c r="E12" i="3"/>
  <c r="D12" i="3"/>
  <c r="B12" i="3"/>
  <c r="H11" i="3"/>
  <c r="G11" i="3"/>
  <c r="F11" i="3"/>
  <c r="E11" i="3"/>
  <c r="D11" i="3"/>
  <c r="C11" i="3"/>
  <c r="G10" i="3"/>
  <c r="F10" i="3"/>
  <c r="E10" i="3"/>
  <c r="H9" i="3"/>
  <c r="H8" i="3"/>
  <c r="G8" i="3"/>
  <c r="E8" i="3"/>
  <c r="D8" i="3"/>
  <c r="H7" i="3"/>
  <c r="G7" i="3"/>
  <c r="H6" i="3"/>
  <c r="F6" i="3"/>
  <c r="E6" i="3"/>
  <c r="H5" i="3"/>
  <c r="F5" i="3"/>
  <c r="E5" i="3"/>
  <c r="D5" i="3"/>
  <c r="H4" i="3"/>
  <c r="E4" i="3"/>
  <c r="H3" i="3"/>
  <c r="E3" i="3"/>
  <c r="H2" i="3"/>
  <c r="F2" i="3"/>
  <c r="E2" i="3"/>
  <c r="H54" i="3"/>
  <c r="H45" i="2"/>
  <c r="H44" i="2"/>
  <c r="H42" i="2"/>
  <c r="H38" i="2"/>
  <c r="H36" i="2"/>
  <c r="H35" i="2"/>
  <c r="H28" i="2"/>
  <c r="H27" i="2"/>
  <c r="H26" i="2"/>
  <c r="H24" i="2"/>
  <c r="H20" i="2"/>
  <c r="H13" i="2"/>
  <c r="H12" i="2"/>
  <c r="H11" i="2"/>
  <c r="H9" i="2"/>
  <c r="H8" i="2"/>
  <c r="H7" i="2"/>
  <c r="H6" i="2"/>
  <c r="H5" i="2"/>
  <c r="H4" i="2"/>
  <c r="H3" i="2"/>
  <c r="H2" i="2"/>
  <c r="G44" i="2"/>
  <c r="G38" i="2"/>
  <c r="G36" i="2"/>
  <c r="G28" i="2"/>
  <c r="G26" i="2"/>
  <c r="G20" i="2"/>
  <c r="G14" i="2"/>
  <c r="G13" i="2"/>
  <c r="G12" i="2"/>
  <c r="G11" i="2"/>
  <c r="G10" i="2"/>
  <c r="G8" i="2"/>
  <c r="G7" i="2"/>
  <c r="G5" i="2"/>
  <c r="G4" i="2"/>
  <c r="G3" i="2"/>
  <c r="F45" i="2"/>
  <c r="F44" i="2"/>
  <c r="F36" i="2"/>
  <c r="F28" i="2"/>
  <c r="F26" i="2"/>
  <c r="F22" i="2"/>
  <c r="F20" i="2"/>
  <c r="F19" i="2"/>
  <c r="F14" i="2"/>
  <c r="F13" i="2"/>
  <c r="F12" i="2"/>
  <c r="F11" i="2"/>
  <c r="F10" i="2"/>
  <c r="F7" i="2"/>
  <c r="F6" i="2"/>
  <c r="F4" i="2"/>
  <c r="E2" i="2"/>
  <c r="E36" i="2"/>
  <c r="E28" i="2"/>
  <c r="E26" i="2"/>
  <c r="E20" i="2"/>
  <c r="E14" i="2"/>
  <c r="E13" i="2"/>
  <c r="E12" i="2"/>
  <c r="E11" i="2"/>
  <c r="E10" i="2"/>
  <c r="E6" i="2"/>
  <c r="E5" i="2"/>
  <c r="G54" i="3" l="1"/>
  <c r="G54" i="4"/>
  <c r="E6" i="5"/>
  <c r="E10" i="6"/>
  <c r="E10" i="5"/>
  <c r="E14" i="6"/>
  <c r="E14" i="5"/>
  <c r="E26" i="6"/>
  <c r="E26" i="5"/>
  <c r="F11" i="6"/>
  <c r="F11" i="5"/>
  <c r="G10" i="6"/>
  <c r="G10" i="5"/>
  <c r="G14" i="6"/>
  <c r="G14" i="5"/>
  <c r="G26" i="6"/>
  <c r="G26" i="5"/>
  <c r="G38" i="6"/>
  <c r="G38" i="5"/>
  <c r="H5" i="6"/>
  <c r="H5" i="5"/>
  <c r="H9" i="5"/>
  <c r="H13" i="6"/>
  <c r="H13" i="5"/>
  <c r="H45" i="6"/>
  <c r="H45" i="5"/>
  <c r="E11" i="6"/>
  <c r="E11" i="5"/>
  <c r="F12" i="6"/>
  <c r="F12" i="5"/>
  <c r="F20" i="6"/>
  <c r="F20" i="5"/>
  <c r="F28" i="6"/>
  <c r="F28" i="5"/>
  <c r="F36" i="6"/>
  <c r="F36" i="5"/>
  <c r="F44" i="6"/>
  <c r="F44" i="5"/>
  <c r="G7" i="6"/>
  <c r="G7" i="5"/>
  <c r="G11" i="6"/>
  <c r="G11" i="5"/>
  <c r="H2" i="6"/>
  <c r="H2" i="5"/>
  <c r="H6" i="6"/>
  <c r="H6" i="5"/>
  <c r="H26" i="6"/>
  <c r="H26" i="5"/>
  <c r="H38" i="6"/>
  <c r="H38" i="5"/>
  <c r="H42" i="6"/>
  <c r="H42" i="5"/>
  <c r="E12" i="6"/>
  <c r="E12" i="5"/>
  <c r="E28" i="6"/>
  <c r="E28" i="5"/>
  <c r="E36" i="6"/>
  <c r="E36" i="5"/>
  <c r="E2" i="6"/>
  <c r="E2" i="5"/>
  <c r="F13" i="6"/>
  <c r="F13" i="5"/>
  <c r="G8" i="6"/>
  <c r="G8" i="5"/>
  <c r="G12" i="6"/>
  <c r="G12" i="5"/>
  <c r="G20" i="6"/>
  <c r="G20" i="5"/>
  <c r="G28" i="6"/>
  <c r="G28" i="5"/>
  <c r="G36" i="6"/>
  <c r="G36" i="5"/>
  <c r="G44" i="6"/>
  <c r="G44" i="5"/>
  <c r="H3" i="6"/>
  <c r="H3" i="5"/>
  <c r="H7" i="6"/>
  <c r="H7" i="5"/>
  <c r="H11" i="6"/>
  <c r="H11" i="5"/>
  <c r="H27" i="6"/>
  <c r="H27" i="5"/>
  <c r="H35" i="6"/>
  <c r="H35" i="5"/>
  <c r="E5" i="6"/>
  <c r="E5" i="5"/>
  <c r="E13" i="6"/>
  <c r="E13" i="5"/>
  <c r="F6" i="6"/>
  <c r="F6" i="5"/>
  <c r="F10" i="6"/>
  <c r="F10" i="5"/>
  <c r="F14" i="6"/>
  <c r="F14" i="5"/>
  <c r="F22" i="5"/>
  <c r="F26" i="6"/>
  <c r="F26" i="5"/>
  <c r="G13" i="6"/>
  <c r="G13" i="5"/>
  <c r="H4" i="5"/>
  <c r="H8" i="6"/>
  <c r="H8" i="5"/>
  <c r="H12" i="6"/>
  <c r="H12" i="5"/>
  <c r="H20" i="6"/>
  <c r="H20" i="5"/>
  <c r="H28" i="6"/>
  <c r="H28" i="5"/>
  <c r="H36" i="6"/>
  <c r="H36" i="5"/>
  <c r="H44" i="6"/>
  <c r="H44" i="5"/>
  <c r="D36" i="2"/>
  <c r="D28" i="2"/>
  <c r="D20" i="2"/>
  <c r="D13" i="2"/>
  <c r="D12" i="2"/>
  <c r="D11" i="2"/>
  <c r="D5" i="2"/>
  <c r="C11" i="2"/>
  <c r="B16" i="2"/>
  <c r="B14" i="2"/>
  <c r="B13" i="2"/>
  <c r="B12" i="2"/>
  <c r="B11" i="2"/>
  <c r="B10" i="2"/>
  <c r="B12" i="5" l="1"/>
  <c r="B13" i="6"/>
  <c r="B13" i="5"/>
  <c r="D11" i="6"/>
  <c r="D11" i="5"/>
  <c r="C11" i="5"/>
  <c r="D12" i="6"/>
  <c r="D12" i="5"/>
  <c r="D20" i="6"/>
  <c r="D20" i="5"/>
  <c r="D28" i="5"/>
  <c r="D36" i="6"/>
  <c r="D36" i="5"/>
  <c r="B16" i="6"/>
  <c r="B16" i="5"/>
  <c r="D5" i="5"/>
  <c r="D13" i="6"/>
  <c r="D13" i="5"/>
  <c r="I11" i="2"/>
  <c r="H54" i="2"/>
  <c r="J7254" i="1"/>
  <c r="L7254" i="1" s="1"/>
  <c r="J7256" i="1"/>
  <c r="L7256" i="1" s="1"/>
  <c r="J7257" i="1"/>
  <c r="L7257" i="1" s="1"/>
  <c r="J7258" i="1"/>
  <c r="L7258" i="1" s="1"/>
  <c r="J7259" i="1"/>
  <c r="L7259" i="1" s="1"/>
  <c r="J7260" i="1"/>
  <c r="L7260" i="1" s="1"/>
  <c r="J7269" i="1"/>
  <c r="L7269" i="1" s="1"/>
  <c r="J7305" i="1"/>
  <c r="L7305" i="1" s="1"/>
  <c r="J7306" i="1"/>
  <c r="L7306" i="1" s="1"/>
  <c r="J7307" i="1"/>
  <c r="L7307" i="1" s="1"/>
  <c r="J7308" i="1"/>
  <c r="L7308" i="1" s="1"/>
  <c r="J7309" i="1"/>
  <c r="L7309" i="1" s="1"/>
  <c r="J7310" i="1"/>
  <c r="L7310" i="1" s="1"/>
  <c r="J7311" i="1"/>
  <c r="L7311" i="1" s="1"/>
  <c r="J7312" i="1"/>
  <c r="L7312" i="1" s="1"/>
  <c r="J7313" i="1"/>
  <c r="L7313" i="1" s="1"/>
  <c r="J7314" i="1"/>
  <c r="L7314" i="1" s="1"/>
  <c r="J7315" i="1"/>
  <c r="L7315" i="1" s="1"/>
  <c r="J7316" i="1"/>
  <c r="L7316" i="1" s="1"/>
  <c r="J7317" i="1"/>
  <c r="L7317" i="1" s="1"/>
  <c r="J7318" i="1"/>
  <c r="L7318" i="1" s="1"/>
  <c r="J7319" i="1"/>
  <c r="L7319" i="1" s="1"/>
  <c r="J7320" i="1"/>
  <c r="L7320" i="1" s="1"/>
  <c r="J7321" i="1"/>
  <c r="L7321" i="1" s="1"/>
  <c r="J7322" i="1"/>
  <c r="L7322" i="1" s="1"/>
  <c r="J7323" i="1"/>
  <c r="L7323" i="1" s="1"/>
  <c r="J7324" i="1"/>
  <c r="L7324" i="1" s="1"/>
  <c r="J7325" i="1"/>
  <c r="L7325" i="1" s="1"/>
  <c r="J7331" i="1"/>
  <c r="L7331" i="1" s="1"/>
  <c r="J7347" i="1"/>
  <c r="L7347" i="1" s="1"/>
  <c r="J7348" i="1"/>
  <c r="L7348" i="1" s="1"/>
  <c r="J7349" i="1"/>
  <c r="L7349" i="1" s="1"/>
  <c r="J7350" i="1"/>
  <c r="L7350" i="1" s="1"/>
  <c r="J7351" i="1"/>
  <c r="L7351" i="1" s="1"/>
  <c r="J7352" i="1"/>
  <c r="L7352" i="1" s="1"/>
  <c r="J7353" i="1"/>
  <c r="L7353" i="1" s="1"/>
  <c r="J7354" i="1"/>
  <c r="L7354" i="1" s="1"/>
  <c r="J7355" i="1"/>
  <c r="L7355" i="1" s="1"/>
  <c r="J7356" i="1"/>
  <c r="L7356" i="1" s="1"/>
  <c r="J7357" i="1"/>
  <c r="L7357" i="1" s="1"/>
  <c r="J7358" i="1"/>
  <c r="L7358" i="1" s="1"/>
  <c r="J7359" i="1"/>
  <c r="L7359" i="1" s="1"/>
  <c r="J7360" i="1"/>
  <c r="L7360" i="1" s="1"/>
  <c r="J7361" i="1"/>
  <c r="L7361" i="1" s="1"/>
  <c r="J7362" i="1"/>
  <c r="L7362" i="1" s="1"/>
  <c r="J7363" i="1"/>
  <c r="L7363" i="1" s="1"/>
  <c r="J7364" i="1"/>
  <c r="L7364" i="1" s="1"/>
  <c r="J7365" i="1"/>
  <c r="L7365" i="1" s="1"/>
  <c r="J7366" i="1"/>
  <c r="L7366" i="1" s="1"/>
  <c r="J7372" i="1"/>
  <c r="L7372" i="1" s="1"/>
  <c r="J7373" i="1"/>
  <c r="L7373" i="1" s="1"/>
  <c r="J7374" i="1"/>
  <c r="L7374" i="1" s="1"/>
  <c r="J7375" i="1"/>
  <c r="L7375" i="1" s="1"/>
  <c r="J7376" i="1"/>
  <c r="L7376" i="1" s="1"/>
  <c r="J7377" i="1"/>
  <c r="L7377" i="1" s="1"/>
  <c r="J7378" i="1"/>
  <c r="L7378" i="1" s="1"/>
  <c r="J7379" i="1"/>
  <c r="L7379" i="1" s="1"/>
  <c r="J7380" i="1"/>
  <c r="L7380" i="1" s="1"/>
  <c r="J7381" i="1"/>
  <c r="L7381" i="1" s="1"/>
  <c r="J7382" i="1"/>
  <c r="L7382" i="1" s="1"/>
  <c r="J7383" i="1"/>
  <c r="L7383" i="1" s="1"/>
  <c r="J7384" i="1"/>
  <c r="L7384" i="1" s="1"/>
  <c r="J7385" i="1"/>
  <c r="L7385" i="1" s="1"/>
  <c r="J7386" i="1"/>
  <c r="L7386" i="1" s="1"/>
  <c r="J7387" i="1"/>
  <c r="L7387" i="1" s="1"/>
  <c r="J7388" i="1"/>
  <c r="L7388" i="1" s="1"/>
  <c r="J7389" i="1"/>
  <c r="L7389" i="1" s="1"/>
  <c r="J7390" i="1"/>
  <c r="L7390" i="1" s="1"/>
  <c r="J7391" i="1"/>
  <c r="L7391" i="1" s="1"/>
  <c r="J7392" i="1"/>
  <c r="L7392" i="1" s="1"/>
  <c r="J7393" i="1"/>
  <c r="L7393" i="1" s="1"/>
  <c r="J7394" i="1"/>
  <c r="L7394" i="1" s="1"/>
  <c r="J7395" i="1"/>
  <c r="L7395" i="1" s="1"/>
  <c r="J7396" i="1"/>
  <c r="L7396" i="1" s="1"/>
  <c r="J7397" i="1"/>
  <c r="L7397" i="1" s="1"/>
  <c r="J7398" i="1"/>
  <c r="L7398" i="1" s="1"/>
  <c r="J7399" i="1"/>
  <c r="L7399" i="1" s="1"/>
  <c r="J7400" i="1"/>
  <c r="L7400" i="1" s="1"/>
  <c r="J7410" i="1"/>
  <c r="L7410" i="1" s="1"/>
  <c r="J7411" i="1"/>
  <c r="L7411" i="1" s="1"/>
  <c r="J7412" i="1"/>
  <c r="L7412" i="1" s="1"/>
  <c r="J7413" i="1"/>
  <c r="L7413" i="1" s="1"/>
  <c r="J7414" i="1"/>
  <c r="L7414" i="1" s="1"/>
  <c r="J7415" i="1"/>
  <c r="L7415" i="1" s="1"/>
  <c r="J7416" i="1"/>
  <c r="L7416" i="1" s="1"/>
  <c r="J7417" i="1"/>
  <c r="L7417" i="1" s="1"/>
  <c r="J7418" i="1"/>
  <c r="L7418" i="1" s="1"/>
  <c r="J7419" i="1"/>
  <c r="L7419" i="1" s="1"/>
  <c r="J7420" i="1"/>
  <c r="L7420" i="1" s="1"/>
  <c r="J7421" i="1"/>
  <c r="L7421" i="1" s="1"/>
  <c r="J7422" i="1"/>
  <c r="L7422" i="1" s="1"/>
  <c r="J7423" i="1"/>
  <c r="L7423" i="1" s="1"/>
  <c r="J7424" i="1"/>
  <c r="L7424" i="1" s="1"/>
  <c r="J7425" i="1"/>
  <c r="L7425" i="1" s="1"/>
  <c r="J7426" i="1"/>
  <c r="L7426" i="1" s="1"/>
  <c r="J7427" i="1"/>
  <c r="L7427" i="1" s="1"/>
  <c r="J7428" i="1"/>
  <c r="L7428" i="1" s="1"/>
  <c r="J7429" i="1"/>
  <c r="L7429" i="1" s="1"/>
  <c r="J7448" i="1"/>
  <c r="L7448" i="1" s="1"/>
  <c r="J7456" i="1"/>
  <c r="L7456" i="1" s="1"/>
  <c r="J7457" i="1"/>
  <c r="L7457" i="1" s="1"/>
  <c r="J7458" i="1"/>
  <c r="L7458" i="1" s="1"/>
  <c r="J7459" i="1"/>
  <c r="L7459" i="1" s="1"/>
  <c r="J7460" i="1"/>
  <c r="L7460" i="1" s="1"/>
  <c r="J7461" i="1"/>
  <c r="L7461" i="1" s="1"/>
  <c r="J7462" i="1"/>
  <c r="L7462" i="1" s="1"/>
  <c r="J7463" i="1"/>
  <c r="L7463" i="1" s="1"/>
  <c r="J7464" i="1"/>
  <c r="L7464" i="1" s="1"/>
  <c r="J7465" i="1"/>
  <c r="L7465" i="1" s="1"/>
  <c r="J7466" i="1"/>
  <c r="L7466" i="1" s="1"/>
  <c r="J7467" i="1"/>
  <c r="L7467" i="1" s="1"/>
  <c r="J7468" i="1"/>
  <c r="L7468" i="1" s="1"/>
  <c r="J7469" i="1"/>
  <c r="L7469" i="1" s="1"/>
  <c r="J7470" i="1"/>
  <c r="L7470" i="1" s="1"/>
  <c r="J7471" i="1"/>
  <c r="L7471" i="1" s="1"/>
  <c r="J7472" i="1"/>
  <c r="L7472" i="1" s="1"/>
  <c r="J7473" i="1"/>
  <c r="L7473" i="1" s="1"/>
  <c r="J7474" i="1"/>
  <c r="L7474" i="1" s="1"/>
  <c r="J7475" i="1"/>
  <c r="L7475" i="1" s="1"/>
  <c r="J7476" i="1"/>
  <c r="L7476" i="1" s="1"/>
  <c r="J7477" i="1"/>
  <c r="L7477" i="1" s="1"/>
  <c r="J7478" i="1"/>
  <c r="L7478" i="1" s="1"/>
  <c r="J7479" i="1"/>
  <c r="L7479" i="1" s="1"/>
  <c r="J7491" i="1"/>
  <c r="L7491" i="1" s="1"/>
  <c r="J7492" i="1"/>
  <c r="L7492" i="1" s="1"/>
  <c r="J7493" i="1"/>
  <c r="L7493" i="1" s="1"/>
  <c r="J7494" i="1"/>
  <c r="L7494" i="1" s="1"/>
  <c r="J7495" i="1"/>
  <c r="L7495" i="1" s="1"/>
  <c r="J7496" i="1"/>
  <c r="L7496" i="1" s="1"/>
  <c r="J7497" i="1"/>
  <c r="L7497" i="1" s="1"/>
  <c r="J7498" i="1"/>
  <c r="L7498" i="1" s="1"/>
  <c r="J7499" i="1"/>
  <c r="L7499" i="1" s="1"/>
  <c r="J7500" i="1"/>
  <c r="L7500" i="1" s="1"/>
  <c r="J7501" i="1"/>
  <c r="L7501" i="1" s="1"/>
  <c r="J7502" i="1"/>
  <c r="L7502" i="1" s="1"/>
  <c r="J7503" i="1"/>
  <c r="L7503" i="1" s="1"/>
  <c r="J7504" i="1"/>
  <c r="L7504" i="1" s="1"/>
  <c r="J7505" i="1"/>
  <c r="L7505" i="1" s="1"/>
  <c r="J7506" i="1"/>
  <c r="L7506" i="1" s="1"/>
  <c r="J7507" i="1"/>
  <c r="L7507" i="1" s="1"/>
  <c r="J7508" i="1"/>
  <c r="L7508" i="1" s="1"/>
  <c r="J7509" i="1"/>
  <c r="L7509" i="1" s="1"/>
  <c r="J7510" i="1"/>
  <c r="L7510" i="1" s="1"/>
  <c r="J7511" i="1"/>
  <c r="L7511" i="1" s="1"/>
  <c r="J7512" i="1"/>
  <c r="L7512" i="1" s="1"/>
  <c r="J7513" i="1"/>
  <c r="L7513" i="1" s="1"/>
  <c r="J7514" i="1"/>
  <c r="L7514" i="1" s="1"/>
  <c r="J7515" i="1"/>
  <c r="L7515" i="1" s="1"/>
  <c r="J7519" i="1"/>
  <c r="L7519" i="1" s="1"/>
  <c r="J7520" i="1"/>
  <c r="L7520" i="1" s="1"/>
  <c r="J7521" i="1"/>
  <c r="L7521" i="1" s="1"/>
  <c r="J7522" i="1"/>
  <c r="L7522" i="1" s="1"/>
  <c r="J7523" i="1"/>
  <c r="L7523" i="1" s="1"/>
  <c r="J7524" i="1"/>
  <c r="L7524" i="1" s="1"/>
  <c r="J7525" i="1"/>
  <c r="L7525" i="1" s="1"/>
  <c r="J7526" i="1"/>
  <c r="L7526" i="1" s="1"/>
  <c r="J7527" i="1"/>
  <c r="L7527" i="1" s="1"/>
  <c r="J7528" i="1"/>
  <c r="L7528" i="1" s="1"/>
  <c r="J7529" i="1"/>
  <c r="L7529" i="1" s="1"/>
  <c r="J7530" i="1"/>
  <c r="L7530" i="1" s="1"/>
  <c r="J7531" i="1"/>
  <c r="L7531" i="1" s="1"/>
  <c r="J7532" i="1"/>
  <c r="L7532" i="1" s="1"/>
  <c r="J7533" i="1"/>
  <c r="L7533" i="1" s="1"/>
  <c r="J7534" i="1"/>
  <c r="L7534" i="1" s="1"/>
  <c r="J7535" i="1"/>
  <c r="L7535" i="1" s="1"/>
  <c r="J7536" i="1"/>
  <c r="L7536" i="1" s="1"/>
  <c r="J7537" i="1"/>
  <c r="L7537" i="1" s="1"/>
  <c r="J7538" i="1"/>
  <c r="L7538" i="1" s="1"/>
  <c r="J7539" i="1"/>
  <c r="L7539" i="1" s="1"/>
  <c r="J7540" i="1"/>
  <c r="L7540" i="1" s="1"/>
  <c r="J7541" i="1"/>
  <c r="L7541" i="1" s="1"/>
  <c r="J7542" i="1"/>
  <c r="L7542" i="1" s="1"/>
  <c r="J7544" i="1"/>
  <c r="L7544" i="1" s="1"/>
  <c r="J7545" i="1"/>
  <c r="L7545" i="1" s="1"/>
  <c r="J7546" i="1"/>
  <c r="L7546" i="1" s="1"/>
  <c r="J7547" i="1"/>
  <c r="L7547" i="1" s="1"/>
  <c r="J7548" i="1"/>
  <c r="L7548" i="1" s="1"/>
  <c r="J7575" i="1"/>
  <c r="L7575" i="1" s="1"/>
  <c r="J7576" i="1"/>
  <c r="L7576" i="1" s="1"/>
  <c r="J7577" i="1"/>
  <c r="L7577" i="1" s="1"/>
  <c r="J7578" i="1"/>
  <c r="L7578" i="1" s="1"/>
  <c r="J7579" i="1"/>
  <c r="L7579" i="1" s="1"/>
  <c r="J7580" i="1"/>
  <c r="L7580" i="1" s="1"/>
  <c r="J7581" i="1"/>
  <c r="L7581" i="1" s="1"/>
  <c r="J7582" i="1"/>
  <c r="L7582" i="1" s="1"/>
  <c r="J7583" i="1"/>
  <c r="L7583" i="1" s="1"/>
  <c r="J7584" i="1"/>
  <c r="L7584" i="1" s="1"/>
  <c r="J7585" i="1"/>
  <c r="L7585" i="1" s="1"/>
  <c r="J7586" i="1"/>
  <c r="L7586" i="1" s="1"/>
  <c r="J7587" i="1"/>
  <c r="L7587" i="1" s="1"/>
  <c r="J7588" i="1"/>
  <c r="L7588" i="1" s="1"/>
  <c r="J7599" i="1"/>
  <c r="L7599" i="1" s="1"/>
  <c r="J7601" i="1"/>
  <c r="L7601" i="1" s="1"/>
  <c r="J7717" i="1"/>
  <c r="L7717" i="1" s="1"/>
  <c r="J7751" i="1"/>
  <c r="L7751" i="1" s="1"/>
  <c r="J7752" i="1"/>
  <c r="L7752" i="1" s="1"/>
  <c r="J7753" i="1"/>
  <c r="L7753" i="1" s="1"/>
  <c r="J7754" i="1"/>
  <c r="L7754" i="1" s="1"/>
  <c r="J7758" i="1"/>
  <c r="L7758" i="1" s="1"/>
  <c r="J7764" i="1"/>
  <c r="L7764" i="1" s="1"/>
  <c r="J7770" i="1"/>
  <c r="L7770" i="1" s="1"/>
  <c r="J7771" i="1"/>
  <c r="L7771" i="1" s="1"/>
  <c r="J7772" i="1"/>
  <c r="L7772" i="1" s="1"/>
  <c r="J7773" i="1"/>
  <c r="L7773" i="1" s="1"/>
  <c r="J7774" i="1"/>
  <c r="L7774" i="1" s="1"/>
  <c r="J7775" i="1"/>
  <c r="L7775" i="1" s="1"/>
  <c r="J7777" i="1"/>
  <c r="L7777" i="1" s="1"/>
  <c r="J7778" i="1"/>
  <c r="L7778" i="1" s="1"/>
  <c r="J7779" i="1"/>
  <c r="L7779" i="1" s="1"/>
  <c r="J7780" i="1"/>
  <c r="L7780" i="1" s="1"/>
  <c r="J7782" i="1"/>
  <c r="L7782" i="1" s="1"/>
  <c r="J7790" i="1"/>
  <c r="L7790" i="1" s="1"/>
  <c r="J7791" i="1"/>
  <c r="L7791" i="1" s="1"/>
  <c r="J7792" i="1"/>
  <c r="L7792" i="1" s="1"/>
  <c r="J7795" i="1"/>
  <c r="L7795" i="1" s="1"/>
  <c r="J7796" i="1"/>
  <c r="L7796" i="1" s="1"/>
  <c r="J7797" i="1"/>
  <c r="L7797" i="1" s="1"/>
  <c r="J7798" i="1"/>
  <c r="L7798" i="1" s="1"/>
  <c r="J7799" i="1"/>
  <c r="L7799" i="1" s="1"/>
  <c r="J7864" i="1"/>
  <c r="L7864" i="1" s="1"/>
  <c r="J7865" i="1"/>
  <c r="L7865" i="1" s="1"/>
  <c r="J7886" i="1"/>
  <c r="L7886" i="1" s="1"/>
  <c r="J7887" i="1"/>
  <c r="L7887" i="1" s="1"/>
  <c r="J7888" i="1"/>
  <c r="L7888" i="1" s="1"/>
  <c r="J7889" i="1"/>
  <c r="L7889" i="1" s="1"/>
  <c r="J7890" i="1"/>
  <c r="L7890" i="1" s="1"/>
  <c r="J7891" i="1"/>
  <c r="L7891" i="1" s="1"/>
  <c r="J7892" i="1"/>
  <c r="L7892" i="1" s="1"/>
  <c r="J7893" i="1"/>
  <c r="L7893" i="1" s="1"/>
  <c r="J7894" i="1"/>
  <c r="L7894" i="1" s="1"/>
  <c r="J7895" i="1"/>
  <c r="L7895" i="1" s="1"/>
  <c r="J7896" i="1"/>
  <c r="L7896" i="1" s="1"/>
  <c r="J7897" i="1"/>
  <c r="L7897" i="1" s="1"/>
  <c r="J7898" i="1"/>
  <c r="L7898" i="1" s="1"/>
  <c r="J7899" i="1"/>
  <c r="L7899" i="1" s="1"/>
  <c r="J7900" i="1"/>
  <c r="L7900" i="1" s="1"/>
  <c r="J7901" i="1"/>
  <c r="L7901" i="1" s="1"/>
  <c r="J7902" i="1"/>
  <c r="L7902" i="1" s="1"/>
  <c r="J7926" i="1"/>
  <c r="L7926" i="1" s="1"/>
  <c r="J7927" i="1"/>
  <c r="L7927" i="1" s="1"/>
  <c r="J7928" i="1"/>
  <c r="L7928" i="1" s="1"/>
  <c r="J7929" i="1"/>
  <c r="L7929" i="1" s="1"/>
  <c r="J7930" i="1"/>
  <c r="L7930" i="1" s="1"/>
  <c r="J7931" i="1"/>
  <c r="L7931" i="1" s="1"/>
  <c r="J7932" i="1"/>
  <c r="L7932" i="1" s="1"/>
  <c r="J7933" i="1"/>
  <c r="L7933" i="1" s="1"/>
  <c r="J7934" i="1"/>
  <c r="L7934" i="1" s="1"/>
  <c r="J7957" i="1"/>
  <c r="L7957" i="1" s="1"/>
  <c r="J7958" i="1"/>
  <c r="L7958" i="1" s="1"/>
  <c r="J7959" i="1"/>
  <c r="L7959" i="1" s="1"/>
  <c r="J7960" i="1"/>
  <c r="L7960" i="1" s="1"/>
  <c r="J7961" i="1"/>
  <c r="L7961" i="1" s="1"/>
  <c r="J7962" i="1"/>
  <c r="L7962" i="1" s="1"/>
  <c r="J7963" i="1"/>
  <c r="L7963" i="1" s="1"/>
  <c r="J7964" i="1"/>
  <c r="L7964" i="1" s="1"/>
  <c r="J7968" i="1"/>
  <c r="L7968" i="1" s="1"/>
  <c r="J7969" i="1"/>
  <c r="L7969" i="1" s="1"/>
  <c r="J7970" i="1"/>
  <c r="L7970" i="1" s="1"/>
  <c r="J7971" i="1"/>
  <c r="L7971" i="1" s="1"/>
  <c r="J7972" i="1"/>
  <c r="L7972" i="1" s="1"/>
  <c r="J7973" i="1"/>
  <c r="L7973" i="1" s="1"/>
  <c r="J7974" i="1"/>
  <c r="L7974" i="1" s="1"/>
  <c r="J7975" i="1"/>
  <c r="L7975" i="1" s="1"/>
  <c r="J7976" i="1"/>
  <c r="L7976" i="1" s="1"/>
  <c r="J7977" i="1"/>
  <c r="L7977" i="1" s="1"/>
  <c r="J7978" i="1"/>
  <c r="L7978" i="1" s="1"/>
  <c r="J7979" i="1"/>
  <c r="L7979" i="1" s="1"/>
  <c r="J7980" i="1"/>
  <c r="L7980" i="1" s="1"/>
  <c r="J7981" i="1"/>
  <c r="L7981" i="1" s="1"/>
  <c r="J7982" i="1"/>
  <c r="L7982" i="1" s="1"/>
  <c r="J7983" i="1"/>
  <c r="L7983" i="1" s="1"/>
  <c r="J7984" i="1"/>
  <c r="L7984" i="1" s="1"/>
  <c r="J7985" i="1"/>
  <c r="L7985" i="1" s="1"/>
  <c r="J7986" i="1"/>
  <c r="L7986" i="1" s="1"/>
  <c r="J7987" i="1"/>
  <c r="L7987" i="1" s="1"/>
  <c r="J7988" i="1"/>
  <c r="L7988" i="1" s="1"/>
  <c r="J7989" i="1"/>
  <c r="L7989" i="1" s="1"/>
  <c r="J7990" i="1"/>
  <c r="L7990" i="1" s="1"/>
  <c r="J7991" i="1"/>
  <c r="L7991" i="1" s="1"/>
  <c r="J7992" i="1"/>
  <c r="L7992" i="1" s="1"/>
  <c r="J7993" i="1"/>
  <c r="L7993" i="1" s="1"/>
  <c r="J7994" i="1"/>
  <c r="L7994" i="1" s="1"/>
  <c r="J7995" i="1"/>
  <c r="L7995" i="1" s="1"/>
  <c r="J7996" i="1"/>
  <c r="L7996" i="1" s="1"/>
  <c r="J7997" i="1"/>
  <c r="L7997" i="1" s="1"/>
  <c r="J7998" i="1"/>
  <c r="L7998" i="1" s="1"/>
  <c r="J7999" i="1"/>
  <c r="L7999" i="1" s="1"/>
  <c r="J8000" i="1"/>
  <c r="L8000" i="1" s="1"/>
  <c r="J8001" i="1"/>
  <c r="L8001" i="1" s="1"/>
  <c r="J8002" i="1"/>
  <c r="L8002" i="1" s="1"/>
  <c r="J8003" i="1"/>
  <c r="L8003" i="1" s="1"/>
  <c r="J8004" i="1"/>
  <c r="L8004" i="1" s="1"/>
  <c r="J8005" i="1"/>
  <c r="L8005" i="1" s="1"/>
  <c r="J8006" i="1"/>
  <c r="L8006" i="1" s="1"/>
  <c r="J8007" i="1"/>
  <c r="L8007" i="1" s="1"/>
  <c r="J8008" i="1"/>
  <c r="L8008" i="1" s="1"/>
  <c r="J8009" i="1"/>
  <c r="L8009" i="1" s="1"/>
  <c r="J8010" i="1"/>
  <c r="L8010" i="1" s="1"/>
  <c r="J8011" i="1"/>
  <c r="L8011" i="1" s="1"/>
  <c r="J8012" i="1"/>
  <c r="L8012" i="1" s="1"/>
  <c r="J8013" i="1"/>
  <c r="L8013" i="1" s="1"/>
  <c r="J8014" i="1"/>
  <c r="L8014" i="1" s="1"/>
  <c r="J8015" i="1"/>
  <c r="L8015" i="1" s="1"/>
  <c r="J8016" i="1"/>
  <c r="L8016" i="1" s="1"/>
  <c r="J8017" i="1"/>
  <c r="L8017" i="1" s="1"/>
  <c r="J8018" i="1"/>
  <c r="L8018" i="1" s="1"/>
  <c r="J8019" i="1"/>
  <c r="L8019" i="1" s="1"/>
  <c r="J8020" i="1"/>
  <c r="L8020" i="1" s="1"/>
  <c r="J8021" i="1"/>
  <c r="L8021" i="1" s="1"/>
  <c r="J8022" i="1"/>
  <c r="L8022" i="1" s="1"/>
  <c r="J8023" i="1"/>
  <c r="L8023" i="1" s="1"/>
  <c r="J8042" i="1"/>
  <c r="L8042" i="1" s="1"/>
  <c r="J8044" i="1"/>
  <c r="L8044" i="1" s="1"/>
  <c r="J8078" i="1"/>
  <c r="L8078" i="1" s="1"/>
  <c r="J8079" i="1"/>
  <c r="L8079" i="1" s="1"/>
  <c r="J8080" i="1"/>
  <c r="L8080" i="1" s="1"/>
  <c r="J8081" i="1"/>
  <c r="L8081" i="1" s="1"/>
  <c r="J8082" i="1"/>
  <c r="L8082" i="1" s="1"/>
  <c r="J8085" i="1"/>
  <c r="L8085" i="1" s="1"/>
  <c r="J8146" i="1"/>
  <c r="L8146" i="1" s="1"/>
  <c r="J8208" i="1"/>
  <c r="L8208" i="1" s="1"/>
  <c r="J8209" i="1"/>
  <c r="L8209" i="1" s="1"/>
  <c r="J8210" i="1"/>
  <c r="L8210" i="1" s="1"/>
  <c r="J8211" i="1"/>
  <c r="L8211" i="1" s="1"/>
  <c r="J8212" i="1"/>
  <c r="L8212" i="1" s="1"/>
  <c r="J8217" i="1"/>
  <c r="L8217" i="1" s="1"/>
  <c r="J8218" i="1"/>
  <c r="L8218" i="1" s="1"/>
  <c r="J8219" i="1"/>
  <c r="L8219" i="1" s="1"/>
  <c r="J8220" i="1"/>
  <c r="L8220" i="1" s="1"/>
  <c r="J8221" i="1"/>
  <c r="L8221" i="1" s="1"/>
  <c r="J8228" i="1"/>
  <c r="L8228" i="1" s="1"/>
  <c r="J8229" i="1"/>
  <c r="L8229" i="1" s="1"/>
  <c r="J8230" i="1"/>
  <c r="L8230" i="1" s="1"/>
  <c r="J8240" i="1"/>
  <c r="L8240" i="1" s="1"/>
  <c r="J8241" i="1"/>
  <c r="L8241" i="1" s="1"/>
  <c r="J8242" i="1"/>
  <c r="L8242" i="1" s="1"/>
  <c r="J8243" i="1"/>
  <c r="L8243" i="1" s="1"/>
  <c r="J8244" i="1"/>
  <c r="L8244" i="1" s="1"/>
  <c r="J8245" i="1"/>
  <c r="L8245" i="1" s="1"/>
  <c r="J8246" i="1"/>
  <c r="L8246" i="1" s="1"/>
  <c r="J8247" i="1"/>
  <c r="L8247" i="1" s="1"/>
  <c r="J8248" i="1"/>
  <c r="L8248" i="1" s="1"/>
  <c r="J8249" i="1"/>
  <c r="L8249" i="1" s="1"/>
  <c r="J8250" i="1"/>
  <c r="L8250" i="1" s="1"/>
  <c r="J8251" i="1"/>
  <c r="L8251" i="1" s="1"/>
  <c r="J8252" i="1"/>
  <c r="L8252" i="1" s="1"/>
  <c r="J8253" i="1"/>
  <c r="L8253" i="1" s="1"/>
  <c r="J8254" i="1"/>
  <c r="L8254" i="1" s="1"/>
  <c r="J8256" i="1"/>
  <c r="L8256" i="1" s="1"/>
  <c r="J8273" i="1"/>
  <c r="L8273" i="1" s="1"/>
  <c r="J8274" i="1"/>
  <c r="L8274" i="1" s="1"/>
  <c r="J8275" i="1"/>
  <c r="L8275" i="1" s="1"/>
  <c r="J8276" i="1"/>
  <c r="L8276" i="1" s="1"/>
  <c r="J8277" i="1"/>
  <c r="L8277" i="1" s="1"/>
  <c r="J8278" i="1"/>
  <c r="L8278" i="1" s="1"/>
  <c r="J8279" i="1"/>
  <c r="L8279" i="1" s="1"/>
  <c r="J8293" i="1"/>
  <c r="L8293" i="1" s="1"/>
  <c r="J8294" i="1"/>
  <c r="L8294" i="1" s="1"/>
  <c r="J8295" i="1"/>
  <c r="L8295" i="1" s="1"/>
  <c r="J8296" i="1"/>
  <c r="L8296" i="1" s="1"/>
  <c r="J8297" i="1"/>
  <c r="L8297" i="1" s="1"/>
  <c r="J8298" i="1"/>
  <c r="L8298" i="1" s="1"/>
  <c r="J8303" i="1"/>
  <c r="L8303" i="1" s="1"/>
  <c r="J8305" i="1"/>
  <c r="L8305" i="1" s="1"/>
  <c r="J8306" i="1"/>
  <c r="L8306" i="1" s="1"/>
  <c r="J8307" i="1"/>
  <c r="L8307" i="1" s="1"/>
  <c r="J8308" i="1"/>
  <c r="L8308" i="1" s="1"/>
  <c r="J8309" i="1"/>
  <c r="L8309" i="1" s="1"/>
  <c r="J8310" i="1"/>
  <c r="L8310" i="1" s="1"/>
  <c r="J8311" i="1"/>
  <c r="L8311" i="1" s="1"/>
  <c r="J8312" i="1"/>
  <c r="L8312" i="1" s="1"/>
  <c r="J8313" i="1"/>
  <c r="L8313" i="1" s="1"/>
  <c r="J8314" i="1"/>
  <c r="L8314" i="1" s="1"/>
  <c r="J8315" i="1"/>
  <c r="L8315" i="1" s="1"/>
  <c r="J8316" i="1"/>
  <c r="L8316" i="1" s="1"/>
  <c r="J8317" i="1"/>
  <c r="L8317" i="1" s="1"/>
  <c r="J8318" i="1"/>
  <c r="L8318" i="1" s="1"/>
  <c r="J8319" i="1"/>
  <c r="L8319" i="1" s="1"/>
  <c r="J8321" i="1"/>
  <c r="L8321" i="1" s="1"/>
  <c r="J8322" i="1"/>
  <c r="L8322" i="1" s="1"/>
  <c r="J8323" i="1"/>
  <c r="L8323" i="1" s="1"/>
  <c r="J8324" i="1"/>
  <c r="L8324" i="1" s="1"/>
  <c r="J8325" i="1"/>
  <c r="L8325" i="1" s="1"/>
  <c r="J8326" i="1"/>
  <c r="L8326" i="1" s="1"/>
  <c r="J8327" i="1"/>
  <c r="L8327" i="1" s="1"/>
  <c r="J8328" i="1"/>
  <c r="L8328" i="1" s="1"/>
  <c r="J8329" i="1"/>
  <c r="L8329" i="1" s="1"/>
  <c r="J8330" i="1"/>
  <c r="L8330" i="1" s="1"/>
  <c r="J8331" i="1"/>
  <c r="L8331" i="1" s="1"/>
  <c r="J8332" i="1"/>
  <c r="L8332" i="1" s="1"/>
  <c r="J8333" i="1"/>
  <c r="L8333" i="1" s="1"/>
  <c r="J8353" i="1"/>
  <c r="L8353" i="1" s="1"/>
  <c r="J8354" i="1"/>
  <c r="L8354" i="1" s="1"/>
  <c r="J8355" i="1"/>
  <c r="L8355" i="1" s="1"/>
  <c r="J8356" i="1"/>
  <c r="L8356" i="1" s="1"/>
  <c r="J8357" i="1"/>
  <c r="L8357" i="1" s="1"/>
  <c r="J8359" i="1"/>
  <c r="L8359" i="1" s="1"/>
  <c r="J8360" i="1"/>
  <c r="L8360" i="1" s="1"/>
  <c r="J8368" i="1"/>
  <c r="L8368" i="1" s="1"/>
  <c r="J8369" i="1"/>
  <c r="L8369" i="1" s="1"/>
  <c r="J8370" i="1"/>
  <c r="L8370" i="1" s="1"/>
  <c r="J8371" i="1"/>
  <c r="L8371" i="1" s="1"/>
  <c r="J8372" i="1"/>
  <c r="L8372" i="1" s="1"/>
  <c r="J8373" i="1"/>
  <c r="L8373" i="1" s="1"/>
  <c r="J8374" i="1"/>
  <c r="L8374" i="1" s="1"/>
  <c r="J8375" i="1"/>
  <c r="L8375" i="1" s="1"/>
  <c r="J8376" i="1"/>
  <c r="L8376" i="1" s="1"/>
  <c r="J8390" i="1"/>
  <c r="L8390" i="1" s="1"/>
  <c r="J8393" i="1"/>
  <c r="L8393" i="1" s="1"/>
  <c r="J8406" i="1"/>
  <c r="L8406" i="1" s="1"/>
  <c r="J8438" i="1"/>
  <c r="L8438" i="1" s="1"/>
  <c r="J8444" i="1"/>
  <c r="L8444" i="1" s="1"/>
  <c r="J8462" i="1"/>
  <c r="L8462" i="1" s="1"/>
  <c r="J8467" i="1"/>
  <c r="L8467" i="1" s="1"/>
  <c r="J8475" i="1"/>
  <c r="L8475" i="1" s="1"/>
  <c r="J8476" i="1"/>
  <c r="L8476" i="1" s="1"/>
  <c r="J8477" i="1"/>
  <c r="L8477" i="1" s="1"/>
  <c r="J8478" i="1"/>
  <c r="L8478" i="1" s="1"/>
  <c r="J8479" i="1"/>
  <c r="L8479" i="1" s="1"/>
  <c r="J8494" i="1"/>
  <c r="L8494" i="1" s="1"/>
  <c r="J8495" i="1"/>
  <c r="L8495" i="1" s="1"/>
  <c r="J8496" i="1"/>
  <c r="L8496" i="1" s="1"/>
  <c r="J8497" i="1"/>
  <c r="L8497" i="1" s="1"/>
  <c r="J8498" i="1"/>
  <c r="L8498" i="1" s="1"/>
  <c r="J8521" i="1"/>
  <c r="L8521" i="1" s="1"/>
  <c r="J8522" i="1"/>
  <c r="L8522" i="1" s="1"/>
  <c r="J8530" i="1"/>
  <c r="L8530" i="1" s="1"/>
  <c r="J8537" i="1"/>
  <c r="L8537" i="1" s="1"/>
  <c r="J8538" i="1"/>
  <c r="L8538" i="1" s="1"/>
  <c r="J8539" i="1"/>
  <c r="L8539" i="1" s="1"/>
  <c r="J8540" i="1"/>
  <c r="L8540" i="1" s="1"/>
  <c r="J8541" i="1"/>
  <c r="L8541" i="1" s="1"/>
  <c r="J8542" i="1"/>
  <c r="L8542" i="1" s="1"/>
  <c r="J8543" i="1"/>
  <c r="L8543" i="1" s="1"/>
  <c r="J8544" i="1"/>
  <c r="L8544" i="1" s="1"/>
  <c r="J8545" i="1"/>
  <c r="L8545" i="1" s="1"/>
  <c r="J8546" i="1"/>
  <c r="L8546" i="1" s="1"/>
  <c r="J8547" i="1"/>
  <c r="L8547" i="1" s="1"/>
  <c r="J8553" i="1"/>
  <c r="L8553" i="1" s="1"/>
  <c r="J8568" i="1"/>
  <c r="L8568" i="1" s="1"/>
  <c r="J8569" i="1"/>
  <c r="L8569" i="1" s="1"/>
  <c r="J8570" i="1"/>
  <c r="L8570" i="1" s="1"/>
  <c r="J8572" i="1"/>
  <c r="L8572" i="1" s="1"/>
  <c r="J8596" i="1"/>
  <c r="L8596" i="1" s="1"/>
  <c r="J8605" i="1"/>
  <c r="L8605" i="1" s="1"/>
  <c r="J8606" i="1"/>
  <c r="L8606" i="1" s="1"/>
  <c r="J8607" i="1"/>
  <c r="L8607" i="1" s="1"/>
  <c r="J8612" i="1"/>
  <c r="L8612" i="1" s="1"/>
  <c r="J8613" i="1"/>
  <c r="L8613" i="1" s="1"/>
  <c r="J8614" i="1"/>
  <c r="L8614" i="1" s="1"/>
  <c r="J8619" i="1"/>
  <c r="L8619" i="1" s="1"/>
  <c r="J8628" i="1"/>
  <c r="L8628" i="1" s="1"/>
  <c r="J8663" i="1"/>
  <c r="L8663" i="1" s="1"/>
  <c r="J8664" i="1"/>
  <c r="L8664" i="1" s="1"/>
  <c r="J8665" i="1"/>
  <c r="L8665" i="1" s="1"/>
  <c r="J8666" i="1"/>
  <c r="L8666" i="1" s="1"/>
  <c r="J8667" i="1"/>
  <c r="L8667" i="1" s="1"/>
  <c r="J8668" i="1"/>
  <c r="L8668" i="1" s="1"/>
  <c r="J8669" i="1"/>
  <c r="L8669" i="1" s="1"/>
  <c r="J8670" i="1"/>
  <c r="L8670" i="1" s="1"/>
  <c r="J8671" i="1"/>
  <c r="L8671" i="1" s="1"/>
  <c r="J8672" i="1"/>
  <c r="L8672" i="1" s="1"/>
  <c r="J8673" i="1"/>
  <c r="L8673" i="1" s="1"/>
  <c r="J8674" i="1"/>
  <c r="L8674" i="1" s="1"/>
  <c r="J8675" i="1"/>
  <c r="L8675" i="1" s="1"/>
  <c r="J8676" i="1"/>
  <c r="L8676" i="1" s="1"/>
  <c r="J8677" i="1"/>
  <c r="L8677" i="1" s="1"/>
  <c r="J8678" i="1"/>
  <c r="L8678" i="1" s="1"/>
  <c r="J8679" i="1"/>
  <c r="L8679" i="1" s="1"/>
  <c r="J8680" i="1"/>
  <c r="L8680" i="1" s="1"/>
  <c r="J8681" i="1"/>
  <c r="L8681" i="1" s="1"/>
  <c r="J8682" i="1"/>
  <c r="L8682" i="1" s="1"/>
  <c r="J8683" i="1"/>
  <c r="L8683" i="1" s="1"/>
  <c r="J8684" i="1"/>
  <c r="L8684" i="1" s="1"/>
  <c r="J8685" i="1"/>
  <c r="L8685" i="1" s="1"/>
  <c r="J8686" i="1"/>
  <c r="L8686" i="1" s="1"/>
  <c r="J8687" i="1"/>
  <c r="L8687" i="1" s="1"/>
  <c r="J8694" i="1"/>
  <c r="L8694" i="1" s="1"/>
  <c r="J8695" i="1"/>
  <c r="L8695" i="1" s="1"/>
  <c r="J8696" i="1"/>
  <c r="L8696" i="1" s="1"/>
  <c r="J8697" i="1"/>
  <c r="L8697" i="1" s="1"/>
  <c r="J8698" i="1"/>
  <c r="L8698" i="1" s="1"/>
  <c r="J8699" i="1"/>
  <c r="L8699" i="1" s="1"/>
  <c r="J8700" i="1"/>
  <c r="L8700" i="1" s="1"/>
  <c r="J8701" i="1"/>
  <c r="L8701" i="1" s="1"/>
  <c r="J8702" i="1"/>
  <c r="L8702" i="1" s="1"/>
  <c r="J8703" i="1"/>
  <c r="L8703" i="1" s="1"/>
  <c r="J8704" i="1"/>
  <c r="L8704" i="1" s="1"/>
  <c r="J8705" i="1"/>
  <c r="L8705" i="1" s="1"/>
  <c r="J8706" i="1"/>
  <c r="L8706" i="1" s="1"/>
  <c r="J8707" i="1"/>
  <c r="L8707" i="1" s="1"/>
  <c r="J8708" i="1"/>
  <c r="L8708" i="1" s="1"/>
  <c r="J8709" i="1"/>
  <c r="L8709" i="1" s="1"/>
  <c r="J8710" i="1"/>
  <c r="L8710" i="1" s="1"/>
  <c r="J8711" i="1"/>
  <c r="L8711" i="1" s="1"/>
  <c r="J8712" i="1"/>
  <c r="L8712" i="1" s="1"/>
  <c r="J8713" i="1"/>
  <c r="L8713" i="1" s="1"/>
  <c r="J8714" i="1"/>
  <c r="L8714" i="1" s="1"/>
  <c r="J8715" i="1"/>
  <c r="L8715" i="1" s="1"/>
  <c r="J8716" i="1"/>
  <c r="L8716" i="1" s="1"/>
  <c r="J8724" i="1"/>
  <c r="L8724" i="1" s="1"/>
  <c r="J8725" i="1"/>
  <c r="L8725" i="1" s="1"/>
  <c r="J8726" i="1"/>
  <c r="L8726" i="1" s="1"/>
  <c r="J8727" i="1"/>
  <c r="L8727" i="1" s="1"/>
  <c r="J8728" i="1"/>
  <c r="L8728" i="1" s="1"/>
  <c r="J8729" i="1"/>
  <c r="L8729" i="1" s="1"/>
  <c r="J8730" i="1"/>
  <c r="L8730" i="1" s="1"/>
  <c r="J8731" i="1"/>
  <c r="L8731" i="1" s="1"/>
  <c r="J8732" i="1"/>
  <c r="L8732" i="1" s="1"/>
  <c r="J8733" i="1"/>
  <c r="L8733" i="1" s="1"/>
  <c r="J8734" i="1"/>
  <c r="L8734" i="1" s="1"/>
  <c r="J8735" i="1"/>
  <c r="L8735" i="1" s="1"/>
  <c r="J8746" i="1"/>
  <c r="L8746" i="1" s="1"/>
  <c r="J8767" i="1"/>
  <c r="L8767" i="1" s="1"/>
  <c r="J8768" i="1"/>
  <c r="L8768" i="1" s="1"/>
  <c r="J8769" i="1"/>
  <c r="L8769" i="1" s="1"/>
  <c r="J8770" i="1"/>
  <c r="L8770" i="1" s="1"/>
  <c r="J8771" i="1"/>
  <c r="L8771" i="1" s="1"/>
  <c r="J8772" i="1"/>
  <c r="L8772" i="1" s="1"/>
  <c r="J8773" i="1"/>
  <c r="L8773" i="1" s="1"/>
  <c r="J8774" i="1"/>
  <c r="L8774" i="1" s="1"/>
  <c r="J8775" i="1"/>
  <c r="L8775" i="1" s="1"/>
  <c r="J8776" i="1"/>
  <c r="L8776" i="1" s="1"/>
  <c r="J8780" i="1"/>
  <c r="L8780" i="1" s="1"/>
  <c r="J8831" i="1"/>
  <c r="L8831" i="1" s="1"/>
  <c r="J8832" i="1"/>
  <c r="L8832" i="1" s="1"/>
  <c r="J8833" i="1"/>
  <c r="L8833" i="1" s="1"/>
  <c r="J8834" i="1"/>
  <c r="L8834" i="1" s="1"/>
  <c r="J8835" i="1"/>
  <c r="L8835" i="1" s="1"/>
  <c r="J8836" i="1"/>
  <c r="L8836" i="1" s="1"/>
  <c r="J8837" i="1"/>
  <c r="L8837" i="1" s="1"/>
  <c r="J8838" i="1"/>
  <c r="L8838" i="1" s="1"/>
  <c r="J8839" i="1"/>
  <c r="L8839" i="1" s="1"/>
  <c r="J8840" i="1"/>
  <c r="L8840" i="1" s="1"/>
  <c r="J8841" i="1"/>
  <c r="L8841" i="1" s="1"/>
  <c r="J8847" i="1"/>
  <c r="L8847" i="1" s="1"/>
  <c r="J8930" i="1"/>
  <c r="L8930" i="1" s="1"/>
  <c r="J8931" i="1"/>
  <c r="L8931" i="1" s="1"/>
  <c r="J8932" i="1"/>
  <c r="L8932" i="1" s="1"/>
  <c r="J8938" i="1"/>
  <c r="L8938" i="1" s="1"/>
  <c r="J8939" i="1"/>
  <c r="L8939" i="1" s="1"/>
  <c r="J8940" i="1"/>
  <c r="L8940" i="1" s="1"/>
  <c r="J8941" i="1"/>
  <c r="L8941" i="1" s="1"/>
  <c r="J8942" i="1"/>
  <c r="L8942" i="1" s="1"/>
  <c r="J8943" i="1"/>
  <c r="L8943" i="1" s="1"/>
  <c r="J8950" i="1"/>
  <c r="L8950" i="1" s="1"/>
  <c r="J8951" i="1"/>
  <c r="L8951" i="1" s="1"/>
  <c r="J8952" i="1"/>
  <c r="L8952" i="1" s="1"/>
  <c r="J8958" i="1"/>
  <c r="L8958" i="1" s="1"/>
  <c r="J8961" i="1"/>
  <c r="L8961" i="1" s="1"/>
  <c r="J8986" i="1"/>
  <c r="L8986" i="1" s="1"/>
  <c r="J8996" i="1"/>
  <c r="L8996" i="1" s="1"/>
  <c r="J9003" i="1"/>
  <c r="L9003" i="1" s="1"/>
  <c r="J9004" i="1"/>
  <c r="L9004" i="1" s="1"/>
  <c r="J9005" i="1"/>
  <c r="L9005" i="1" s="1"/>
  <c r="J9066" i="1"/>
  <c r="L9066" i="1" s="1"/>
  <c r="J9073" i="1"/>
  <c r="L9073" i="1" s="1"/>
  <c r="J9104" i="1"/>
  <c r="L9104" i="1" s="1"/>
  <c r="J9106" i="1"/>
  <c r="L9106" i="1" s="1"/>
  <c r="J9107" i="1"/>
  <c r="L9107" i="1" s="1"/>
  <c r="J9108" i="1"/>
  <c r="L9108" i="1" s="1"/>
  <c r="J9109" i="1"/>
  <c r="L9109" i="1" s="1"/>
  <c r="J9110" i="1"/>
  <c r="L9110" i="1" s="1"/>
  <c r="J9111" i="1"/>
  <c r="L9111" i="1" s="1"/>
  <c r="J9112" i="1"/>
  <c r="L9112" i="1" s="1"/>
  <c r="J9113" i="1"/>
  <c r="L9113" i="1" s="1"/>
  <c r="J9114" i="1"/>
  <c r="L9114" i="1" s="1"/>
  <c r="J9115" i="1"/>
  <c r="L9115" i="1" s="1"/>
  <c r="J9116" i="1"/>
  <c r="L9116" i="1" s="1"/>
  <c r="J9117" i="1"/>
  <c r="L9117" i="1" s="1"/>
  <c r="J9118" i="1"/>
  <c r="L9118" i="1" s="1"/>
  <c r="J9119" i="1"/>
  <c r="L9119" i="1" s="1"/>
  <c r="J9120" i="1"/>
  <c r="L9120" i="1" s="1"/>
  <c r="J9121" i="1"/>
  <c r="L9121" i="1" s="1"/>
  <c r="J9122" i="1"/>
  <c r="L9122" i="1" s="1"/>
  <c r="J9123" i="1"/>
  <c r="L9123" i="1" s="1"/>
  <c r="J9124" i="1"/>
  <c r="L9124" i="1" s="1"/>
  <c r="J9125" i="1"/>
  <c r="L9125" i="1" s="1"/>
  <c r="J9126" i="1"/>
  <c r="L9126" i="1" s="1"/>
  <c r="J9177" i="1"/>
  <c r="L9177" i="1" s="1"/>
  <c r="J9181" i="1"/>
  <c r="L9181" i="1" s="1"/>
  <c r="J9182" i="1"/>
  <c r="L9182" i="1" s="1"/>
  <c r="J9183" i="1"/>
  <c r="L9183" i="1" s="1"/>
  <c r="J9184" i="1"/>
  <c r="L9184" i="1" s="1"/>
  <c r="J9197" i="1"/>
  <c r="L9197" i="1" s="1"/>
  <c r="J9198" i="1"/>
  <c r="L9198" i="1" s="1"/>
  <c r="J9199" i="1"/>
  <c r="L9199" i="1" s="1"/>
  <c r="J9200" i="1"/>
  <c r="L9200" i="1" s="1"/>
  <c r="J9201" i="1"/>
  <c r="L9201" i="1" s="1"/>
  <c r="J9202" i="1"/>
  <c r="L9202" i="1" s="1"/>
  <c r="J9209" i="1"/>
  <c r="L9209" i="1" s="1"/>
  <c r="J9210" i="1"/>
  <c r="L9210" i="1" s="1"/>
  <c r="J9211" i="1"/>
  <c r="L9211" i="1" s="1"/>
  <c r="J9212" i="1"/>
  <c r="L9212" i="1" s="1"/>
  <c r="J9213" i="1"/>
  <c r="L9213" i="1" s="1"/>
  <c r="J9214" i="1"/>
  <c r="L9214" i="1" s="1"/>
  <c r="J9243" i="1"/>
  <c r="L9243" i="1" s="1"/>
  <c r="J9244" i="1"/>
  <c r="L9244" i="1" s="1"/>
  <c r="J9245" i="1"/>
  <c r="L9245" i="1" s="1"/>
  <c r="J9246" i="1"/>
  <c r="L9246" i="1" s="1"/>
  <c r="J9247" i="1"/>
  <c r="L9247" i="1" s="1"/>
  <c r="J9248" i="1"/>
  <c r="L9248" i="1" s="1"/>
  <c r="J9249" i="1"/>
  <c r="L9249" i="1" s="1"/>
  <c r="J9250" i="1"/>
  <c r="L9250" i="1" s="1"/>
  <c r="J9251" i="1"/>
  <c r="L9251" i="1" s="1"/>
  <c r="J9252" i="1"/>
  <c r="L9252" i="1" s="1"/>
  <c r="J9253" i="1"/>
  <c r="L9253" i="1" s="1"/>
  <c r="J9254" i="1"/>
  <c r="L9254" i="1" s="1"/>
  <c r="J9255" i="1"/>
  <c r="L9255" i="1" s="1"/>
  <c r="J9256" i="1"/>
  <c r="L9256" i="1" s="1"/>
  <c r="J9257" i="1"/>
  <c r="L9257" i="1" s="1"/>
  <c r="J9258" i="1"/>
  <c r="L9258" i="1" s="1"/>
  <c r="J9259" i="1"/>
  <c r="L9259" i="1" s="1"/>
  <c r="J9260" i="1"/>
  <c r="L9260" i="1" s="1"/>
  <c r="J9261" i="1"/>
  <c r="L9261" i="1" s="1"/>
  <c r="J9262" i="1"/>
  <c r="L9262" i="1" s="1"/>
  <c r="J9263" i="1"/>
  <c r="L9263" i="1" s="1"/>
  <c r="J9264" i="1"/>
  <c r="L9264" i="1" s="1"/>
  <c r="J9265" i="1"/>
  <c r="L9265" i="1" s="1"/>
  <c r="J9266" i="1"/>
  <c r="L9266" i="1" s="1"/>
  <c r="J9267" i="1"/>
  <c r="L9267" i="1" s="1"/>
  <c r="J9289" i="1"/>
  <c r="L9289" i="1" s="1"/>
  <c r="J9290" i="1"/>
  <c r="L9290" i="1" s="1"/>
  <c r="J9291" i="1"/>
  <c r="L9291" i="1" s="1"/>
  <c r="J9292" i="1"/>
  <c r="L9292" i="1" s="1"/>
  <c r="J9293" i="1"/>
  <c r="L9293" i="1" s="1"/>
  <c r="J9294" i="1"/>
  <c r="L9294" i="1" s="1"/>
  <c r="J9295" i="1"/>
  <c r="L9295" i="1" s="1"/>
  <c r="J9296" i="1"/>
  <c r="L9296" i="1" s="1"/>
  <c r="J9297" i="1"/>
  <c r="L9297" i="1" s="1"/>
  <c r="J9298" i="1"/>
  <c r="L9298" i="1" s="1"/>
  <c r="J9299" i="1"/>
  <c r="L9299" i="1" s="1"/>
  <c r="J9300" i="1"/>
  <c r="L9300" i="1" s="1"/>
  <c r="J9301" i="1"/>
  <c r="L9301" i="1" s="1"/>
  <c r="J9302" i="1"/>
  <c r="L9302" i="1" s="1"/>
  <c r="J9303" i="1"/>
  <c r="L9303" i="1" s="1"/>
  <c r="J9304" i="1"/>
  <c r="L9304" i="1" s="1"/>
  <c r="J9305" i="1"/>
  <c r="L9305" i="1" s="1"/>
  <c r="J9306" i="1"/>
  <c r="L9306" i="1" s="1"/>
  <c r="J9307" i="1"/>
  <c r="L9307" i="1" s="1"/>
  <c r="J9308" i="1"/>
  <c r="L9308" i="1" s="1"/>
  <c r="J9309" i="1"/>
  <c r="L9309" i="1" s="1"/>
  <c r="J9310" i="1"/>
  <c r="L9310" i="1" s="1"/>
  <c r="J9311" i="1"/>
  <c r="L9311" i="1" s="1"/>
  <c r="J9321" i="1"/>
  <c r="L9321" i="1" s="1"/>
  <c r="J9322" i="1"/>
  <c r="L9322" i="1" s="1"/>
  <c r="J9323" i="1"/>
  <c r="L9323" i="1" s="1"/>
  <c r="J9324" i="1"/>
  <c r="L9324" i="1" s="1"/>
  <c r="J9325" i="1"/>
  <c r="L9325" i="1" s="1"/>
  <c r="J9326" i="1"/>
  <c r="L9326" i="1" s="1"/>
  <c r="J9327" i="1"/>
  <c r="L9327" i="1" s="1"/>
  <c r="J9328" i="1"/>
  <c r="L9328" i="1" s="1"/>
  <c r="J9329" i="1"/>
  <c r="L9329" i="1" s="1"/>
  <c r="J9330" i="1"/>
  <c r="L9330" i="1" s="1"/>
  <c r="J9331" i="1"/>
  <c r="L9331" i="1" s="1"/>
  <c r="J9332" i="1"/>
  <c r="L9332" i="1" s="1"/>
  <c r="J9333" i="1"/>
  <c r="L9333" i="1" s="1"/>
  <c r="J9334" i="1"/>
  <c r="L9334" i="1" s="1"/>
  <c r="J9335" i="1"/>
  <c r="L9335" i="1" s="1"/>
  <c r="J9336" i="1"/>
  <c r="L9336" i="1" s="1"/>
  <c r="J9337" i="1"/>
  <c r="L9337" i="1" s="1"/>
  <c r="J9338" i="1"/>
  <c r="L9338" i="1" s="1"/>
  <c r="J9339" i="1"/>
  <c r="L9339" i="1" s="1"/>
  <c r="J9340" i="1"/>
  <c r="L9340" i="1" s="1"/>
  <c r="J9341" i="1"/>
  <c r="L9341" i="1" s="1"/>
  <c r="J9342" i="1"/>
  <c r="L9342" i="1" s="1"/>
  <c r="J9346" i="1"/>
  <c r="L9346" i="1" s="1"/>
  <c r="J9348" i="1"/>
  <c r="L9348" i="1" s="1"/>
  <c r="J9350" i="1"/>
  <c r="L9350" i="1" s="1"/>
  <c r="J9357" i="1"/>
  <c r="L9357" i="1" s="1"/>
  <c r="J9359" i="1"/>
  <c r="L9359" i="1" s="1"/>
  <c r="J9365" i="1"/>
  <c r="L9365" i="1" s="1"/>
  <c r="J9367" i="1"/>
  <c r="L9367" i="1" s="1"/>
  <c r="J9369" i="1"/>
  <c r="L9369" i="1" s="1"/>
  <c r="J9371" i="1"/>
  <c r="L9371" i="1" s="1"/>
  <c r="J9378" i="1"/>
  <c r="L9378" i="1" s="1"/>
  <c r="J9396" i="1"/>
  <c r="L9396" i="1" s="1"/>
  <c r="J9423" i="1"/>
  <c r="L9423" i="1" s="1"/>
  <c r="J9429" i="1"/>
  <c r="L9429" i="1" s="1"/>
  <c r="J9432" i="1"/>
  <c r="L9432" i="1" s="1"/>
  <c r="J9435" i="1"/>
  <c r="L9435" i="1" s="1"/>
  <c r="J9440" i="1"/>
  <c r="L9440" i="1" s="1"/>
  <c r="J9441" i="1"/>
  <c r="L9441" i="1" s="1"/>
  <c r="J9442" i="1"/>
  <c r="L9442" i="1" s="1"/>
  <c r="J9476" i="1"/>
  <c r="L9476" i="1" s="1"/>
  <c r="J9480" i="1"/>
  <c r="L9480" i="1" s="1"/>
  <c r="J9481" i="1"/>
  <c r="L9481" i="1" s="1"/>
  <c r="J9482" i="1"/>
  <c r="L9482" i="1" s="1"/>
  <c r="J9487" i="1"/>
  <c r="L9487" i="1" s="1"/>
  <c r="J9490" i="1"/>
  <c r="L9490" i="1" s="1"/>
  <c r="J9491" i="1"/>
  <c r="L9491" i="1" s="1"/>
  <c r="J9492" i="1"/>
  <c r="L9492" i="1" s="1"/>
  <c r="J9493" i="1"/>
  <c r="L9493" i="1" s="1"/>
  <c r="J9495" i="1"/>
  <c r="L9495" i="1" s="1"/>
  <c r="J9496" i="1"/>
  <c r="L9496" i="1" s="1"/>
  <c r="J9497" i="1"/>
  <c r="L9497" i="1" s="1"/>
  <c r="J9498" i="1"/>
  <c r="L9498" i="1" s="1"/>
  <c r="J9513" i="1"/>
  <c r="L9513" i="1" s="1"/>
  <c r="J9539" i="1"/>
  <c r="L9539" i="1" s="1"/>
  <c r="J9540" i="1"/>
  <c r="L9540" i="1" s="1"/>
  <c r="J9541" i="1"/>
  <c r="L9541" i="1" s="1"/>
  <c r="J9542" i="1"/>
  <c r="L9542" i="1" s="1"/>
  <c r="J9543" i="1"/>
  <c r="L9543" i="1" s="1"/>
  <c r="J9544" i="1"/>
  <c r="L9544" i="1" s="1"/>
  <c r="J9545" i="1"/>
  <c r="L9545" i="1" s="1"/>
  <c r="J9546" i="1"/>
  <c r="L9546" i="1" s="1"/>
  <c r="J9547" i="1"/>
  <c r="L9547" i="1" s="1"/>
  <c r="J9548" i="1"/>
  <c r="L9548" i="1" s="1"/>
  <c r="J9549" i="1"/>
  <c r="L9549" i="1" s="1"/>
  <c r="J9550" i="1"/>
  <c r="L9550" i="1" s="1"/>
  <c r="J9560" i="1"/>
  <c r="L9560" i="1" s="1"/>
  <c r="J9561" i="1"/>
  <c r="L9561" i="1" s="1"/>
  <c r="J9562" i="1"/>
  <c r="L9562" i="1" s="1"/>
  <c r="J9563" i="1"/>
  <c r="L9563" i="1" s="1"/>
  <c r="J9564" i="1"/>
  <c r="L9564" i="1" s="1"/>
  <c r="J9565" i="1"/>
  <c r="L9565" i="1" s="1"/>
  <c r="J9566" i="1"/>
  <c r="L9566" i="1" s="1"/>
  <c r="J9567" i="1"/>
  <c r="L9567" i="1" s="1"/>
  <c r="J9568" i="1"/>
  <c r="L9568" i="1" s="1"/>
  <c r="J9569" i="1"/>
  <c r="L9569" i="1" s="1"/>
  <c r="J9570" i="1"/>
  <c r="L9570" i="1" s="1"/>
  <c r="J9571" i="1"/>
  <c r="L9571" i="1" s="1"/>
  <c r="J9576" i="1"/>
  <c r="L9576" i="1" s="1"/>
  <c r="J9577" i="1"/>
  <c r="L9577" i="1" s="1"/>
  <c r="J9578" i="1"/>
  <c r="L9578" i="1" s="1"/>
  <c r="J9579" i="1"/>
  <c r="L9579" i="1" s="1"/>
  <c r="J9580" i="1"/>
  <c r="L9580" i="1" s="1"/>
  <c r="J9581" i="1"/>
  <c r="L9581" i="1" s="1"/>
  <c r="J9582" i="1"/>
  <c r="L9582" i="1" s="1"/>
  <c r="J9583" i="1"/>
  <c r="L9583" i="1" s="1"/>
  <c r="J9584" i="1"/>
  <c r="L9584" i="1" s="1"/>
  <c r="J9585" i="1"/>
  <c r="L9585" i="1" s="1"/>
  <c r="J9586" i="1"/>
  <c r="L9586" i="1" s="1"/>
  <c r="J9587" i="1"/>
  <c r="L9587" i="1" s="1"/>
  <c r="J9588" i="1"/>
  <c r="L9588" i="1" s="1"/>
  <c r="J9589" i="1"/>
  <c r="L9589" i="1" s="1"/>
  <c r="J9590" i="1"/>
  <c r="L9590" i="1" s="1"/>
  <c r="J9591" i="1"/>
  <c r="L9591" i="1" s="1"/>
  <c r="J9607" i="1"/>
  <c r="L9607" i="1" s="1"/>
  <c r="J9608" i="1"/>
  <c r="L9608" i="1" s="1"/>
  <c r="J9609" i="1"/>
  <c r="L9609" i="1" s="1"/>
  <c r="J9610" i="1"/>
  <c r="L9610" i="1" s="1"/>
  <c r="J9616" i="1"/>
  <c r="L9616" i="1" s="1"/>
  <c r="J9617" i="1"/>
  <c r="L9617" i="1" s="1"/>
  <c r="J9618" i="1"/>
  <c r="L9618" i="1" s="1"/>
  <c r="J9623" i="1"/>
  <c r="L9623" i="1" s="1"/>
  <c r="J9624" i="1"/>
  <c r="L9624" i="1" s="1"/>
  <c r="J9632" i="1"/>
  <c r="L9632" i="1" s="1"/>
  <c r="J9634" i="1"/>
  <c r="L9634" i="1" s="1"/>
  <c r="J9635" i="1"/>
  <c r="L9635" i="1" s="1"/>
  <c r="J9643" i="1"/>
  <c r="L9643" i="1" s="1"/>
  <c r="J9649" i="1"/>
  <c r="L9649" i="1" s="1"/>
  <c r="J9652" i="1"/>
  <c r="L9652" i="1" s="1"/>
  <c r="J9655" i="1"/>
  <c r="L9655" i="1" s="1"/>
  <c r="J9660" i="1"/>
  <c r="L9660" i="1" s="1"/>
  <c r="J9661" i="1"/>
  <c r="L9661" i="1" s="1"/>
  <c r="J9662" i="1"/>
  <c r="L9662" i="1" s="1"/>
  <c r="J9663" i="1"/>
  <c r="L9663" i="1" s="1"/>
  <c r="J9664" i="1"/>
  <c r="L9664" i="1" s="1"/>
  <c r="J9665" i="1"/>
  <c r="L9665" i="1" s="1"/>
  <c r="J9666" i="1"/>
  <c r="L9666" i="1" s="1"/>
  <c r="J9667" i="1"/>
  <c r="L9667" i="1" s="1"/>
  <c r="J9669" i="1"/>
  <c r="L9669" i="1" s="1"/>
  <c r="J9671" i="1"/>
  <c r="L9671" i="1" s="1"/>
  <c r="J9672" i="1"/>
  <c r="L9672" i="1" s="1"/>
  <c r="J9674" i="1"/>
  <c r="L9674" i="1" s="1"/>
  <c r="J9684" i="1"/>
  <c r="L9684" i="1" s="1"/>
  <c r="J9685" i="1"/>
  <c r="L9685" i="1" s="1"/>
  <c r="J9688" i="1"/>
  <c r="L9688" i="1" s="1"/>
  <c r="J9689" i="1"/>
  <c r="L9689" i="1" s="1"/>
  <c r="J9690" i="1"/>
  <c r="L9690" i="1" s="1"/>
  <c r="J9691" i="1"/>
  <c r="L9691" i="1" s="1"/>
  <c r="J9692" i="1"/>
  <c r="L9692" i="1" s="1"/>
  <c r="J9693" i="1"/>
  <c r="L9693" i="1" s="1"/>
  <c r="J9694" i="1"/>
  <c r="L9694" i="1" s="1"/>
  <c r="J9695" i="1"/>
  <c r="L9695" i="1" s="1"/>
  <c r="J9696" i="1"/>
  <c r="L9696" i="1" s="1"/>
  <c r="J9697" i="1"/>
  <c r="L9697" i="1" s="1"/>
  <c r="J9698" i="1"/>
  <c r="L9698" i="1" s="1"/>
  <c r="J9699" i="1"/>
  <c r="L9699" i="1" s="1"/>
  <c r="J9700" i="1"/>
  <c r="L9700" i="1" s="1"/>
  <c r="J9701" i="1"/>
  <c r="L9701" i="1" s="1"/>
  <c r="J9702" i="1"/>
  <c r="L9702" i="1" s="1"/>
  <c r="J9706" i="1"/>
  <c r="L9706" i="1" s="1"/>
  <c r="J9707" i="1"/>
  <c r="L9707" i="1" s="1"/>
  <c r="J9708" i="1"/>
  <c r="L9708" i="1" s="1"/>
  <c r="J9709" i="1"/>
  <c r="L9709" i="1" s="1"/>
  <c r="J9710" i="1"/>
  <c r="L9710" i="1" s="1"/>
  <c r="J9711" i="1"/>
  <c r="L9711" i="1" s="1"/>
  <c r="J9712" i="1"/>
  <c r="L9712" i="1" s="1"/>
  <c r="J9713" i="1"/>
  <c r="L9713" i="1" s="1"/>
  <c r="J9714" i="1"/>
  <c r="L9714" i="1" s="1"/>
  <c r="J9715" i="1"/>
  <c r="L9715" i="1" s="1"/>
  <c r="J9716" i="1"/>
  <c r="L9716" i="1" s="1"/>
  <c r="J9717" i="1"/>
  <c r="L9717" i="1" s="1"/>
  <c r="J9718" i="1"/>
  <c r="L9718" i="1" s="1"/>
  <c r="J9720" i="1"/>
  <c r="L9720" i="1" s="1"/>
  <c r="J9721" i="1"/>
  <c r="L9721" i="1" s="1"/>
  <c r="J9722" i="1"/>
  <c r="L9722" i="1" s="1"/>
  <c r="J9723" i="1"/>
  <c r="L9723" i="1" s="1"/>
  <c r="J9724" i="1"/>
  <c r="L9724" i="1" s="1"/>
  <c r="J9725" i="1"/>
  <c r="L9725" i="1" s="1"/>
  <c r="J9726" i="1"/>
  <c r="L9726" i="1" s="1"/>
  <c r="J9727" i="1"/>
  <c r="L9727" i="1" s="1"/>
  <c r="J9728" i="1"/>
  <c r="L9728" i="1" s="1"/>
  <c r="J9730" i="1"/>
  <c r="L9730" i="1" s="1"/>
  <c r="J9731" i="1"/>
  <c r="L9731" i="1" s="1"/>
  <c r="J9732" i="1"/>
  <c r="L9732" i="1" s="1"/>
  <c r="J9733" i="1"/>
  <c r="L9733" i="1" s="1"/>
  <c r="J9734" i="1"/>
  <c r="L9734" i="1" s="1"/>
  <c r="J9735" i="1"/>
  <c r="L9735" i="1" s="1"/>
  <c r="J9736" i="1"/>
  <c r="L9736" i="1" s="1"/>
  <c r="J9737" i="1"/>
  <c r="L9737" i="1" s="1"/>
  <c r="J9738" i="1"/>
  <c r="L9738" i="1" s="1"/>
  <c r="J9739" i="1"/>
  <c r="L9739" i="1" s="1"/>
  <c r="J9782" i="1"/>
  <c r="L9782" i="1" s="1"/>
  <c r="J9783" i="1"/>
  <c r="L9783" i="1" s="1"/>
  <c r="J9784" i="1"/>
  <c r="L9784" i="1" s="1"/>
  <c r="J9785" i="1"/>
  <c r="L9785" i="1" s="1"/>
  <c r="J9786" i="1"/>
  <c r="L9786" i="1" s="1"/>
  <c r="J9787" i="1"/>
  <c r="L9787" i="1" s="1"/>
  <c r="J9788" i="1"/>
  <c r="L9788" i="1" s="1"/>
  <c r="J9789" i="1"/>
  <c r="L9789" i="1" s="1"/>
  <c r="J9790" i="1"/>
  <c r="L9790" i="1" s="1"/>
  <c r="J9791" i="1"/>
  <c r="L9791" i="1" s="1"/>
  <c r="J9792" i="1"/>
  <c r="L9792" i="1" s="1"/>
  <c r="J9793" i="1"/>
  <c r="L9793" i="1" s="1"/>
  <c r="J9794" i="1"/>
  <c r="L9794" i="1" s="1"/>
  <c r="J9795" i="1"/>
  <c r="L9795" i="1" s="1"/>
  <c r="J9796" i="1"/>
  <c r="L9796" i="1" s="1"/>
  <c r="J9797" i="1"/>
  <c r="L9797" i="1" s="1"/>
  <c r="J9798" i="1"/>
  <c r="L9798" i="1" s="1"/>
  <c r="J9799" i="1"/>
  <c r="L9799" i="1" s="1"/>
  <c r="J9803" i="1"/>
  <c r="L9803" i="1" s="1"/>
  <c r="J9804" i="1"/>
  <c r="L9804" i="1" s="1"/>
  <c r="J9805" i="1"/>
  <c r="L9805" i="1" s="1"/>
  <c r="J9806" i="1"/>
  <c r="L9806" i="1" s="1"/>
  <c r="J9807" i="1"/>
  <c r="L9807" i="1" s="1"/>
  <c r="J9808" i="1"/>
  <c r="L9808" i="1" s="1"/>
  <c r="J9809" i="1"/>
  <c r="L9809" i="1" s="1"/>
  <c r="J9810" i="1"/>
  <c r="L9810" i="1" s="1"/>
  <c r="J9811" i="1"/>
  <c r="L9811" i="1" s="1"/>
  <c r="J9812" i="1"/>
  <c r="L9812" i="1" s="1"/>
  <c r="J9813" i="1"/>
  <c r="L9813" i="1" s="1"/>
  <c r="J9814" i="1"/>
  <c r="L9814" i="1" s="1"/>
  <c r="J9815" i="1"/>
  <c r="L9815" i="1" s="1"/>
  <c r="J9816" i="1"/>
  <c r="L9816" i="1" s="1"/>
  <c r="J9819" i="1"/>
  <c r="L9819" i="1" s="1"/>
  <c r="J9827" i="1"/>
  <c r="L9827" i="1" s="1"/>
  <c r="J9828" i="1"/>
  <c r="L9828" i="1" s="1"/>
  <c r="J9829" i="1"/>
  <c r="L9829" i="1" s="1"/>
  <c r="J9830" i="1"/>
  <c r="L9830" i="1" s="1"/>
  <c r="J9831" i="1"/>
  <c r="L9831" i="1" s="1"/>
  <c r="J9832" i="1"/>
  <c r="L9832" i="1" s="1"/>
  <c r="J9833" i="1"/>
  <c r="L9833" i="1" s="1"/>
  <c r="J9834" i="1"/>
  <c r="L9834" i="1" s="1"/>
  <c r="J9835" i="1"/>
  <c r="L9835" i="1" s="1"/>
  <c r="J9836" i="1"/>
  <c r="L9836" i="1" s="1"/>
  <c r="J9837" i="1"/>
  <c r="L9837" i="1" s="1"/>
  <c r="J9838" i="1"/>
  <c r="L9838" i="1" s="1"/>
  <c r="J9840" i="1"/>
  <c r="L9840" i="1" s="1"/>
  <c r="J9841" i="1"/>
  <c r="L9841" i="1" s="1"/>
  <c r="J9842" i="1"/>
  <c r="L9842" i="1" s="1"/>
  <c r="J9843" i="1"/>
  <c r="L9843" i="1" s="1"/>
  <c r="J9844" i="1"/>
  <c r="L9844" i="1" s="1"/>
  <c r="J9845" i="1"/>
  <c r="L9845" i="1" s="1"/>
  <c r="J9846" i="1"/>
  <c r="L9846" i="1" s="1"/>
  <c r="J9847" i="1"/>
  <c r="L9847" i="1" s="1"/>
  <c r="J9848" i="1"/>
  <c r="L9848" i="1" s="1"/>
  <c r="J9849" i="1"/>
  <c r="L9849" i="1" s="1"/>
  <c r="J9850" i="1"/>
  <c r="L9850" i="1" s="1"/>
  <c r="J9851" i="1"/>
  <c r="L9851" i="1" s="1"/>
  <c r="J9852" i="1"/>
  <c r="L9852" i="1" s="1"/>
  <c r="J9853" i="1"/>
  <c r="L9853" i="1" s="1"/>
  <c r="J9854" i="1"/>
  <c r="L9854" i="1" s="1"/>
  <c r="J9855" i="1"/>
  <c r="L9855" i="1" s="1"/>
  <c r="J9856" i="1"/>
  <c r="L9856" i="1" s="1"/>
  <c r="J9863" i="1"/>
  <c r="L9863" i="1" s="1"/>
  <c r="J9926" i="1"/>
  <c r="L9926" i="1" s="1"/>
  <c r="J9932" i="1"/>
  <c r="L9932" i="1" s="1"/>
  <c r="J9933" i="1"/>
  <c r="L9933" i="1" s="1"/>
  <c r="J9934" i="1"/>
  <c r="L9934" i="1" s="1"/>
  <c r="J10012" i="1"/>
  <c r="L10012" i="1" s="1"/>
  <c r="J10016" i="1"/>
  <c r="L10016" i="1" s="1"/>
  <c r="J10029" i="1"/>
  <c r="L10029" i="1" s="1"/>
  <c r="J10036" i="1"/>
  <c r="L10036" i="1" s="1"/>
  <c r="J10107" i="1"/>
  <c r="L10107" i="1" s="1"/>
  <c r="J10108" i="1"/>
  <c r="L10108" i="1" s="1"/>
  <c r="J10109" i="1"/>
  <c r="L10109" i="1" s="1"/>
  <c r="J10110" i="1"/>
  <c r="L10110" i="1" s="1"/>
  <c r="J10111" i="1"/>
  <c r="L10111" i="1" s="1"/>
  <c r="J10112" i="1"/>
  <c r="L10112" i="1" s="1"/>
  <c r="J10127" i="1"/>
  <c r="L10127" i="1" s="1"/>
  <c r="J10128" i="1"/>
  <c r="L10128" i="1" s="1"/>
  <c r="J10129" i="1"/>
  <c r="L10129" i="1" s="1"/>
  <c r="J10130" i="1"/>
  <c r="L10130" i="1" s="1"/>
  <c r="J10131" i="1"/>
  <c r="L10131" i="1" s="1"/>
  <c r="J10132" i="1"/>
  <c r="L10132" i="1" s="1"/>
  <c r="J10133" i="1"/>
  <c r="L10133" i="1" s="1"/>
  <c r="J10134" i="1"/>
  <c r="L10134" i="1" s="1"/>
  <c r="J10135" i="1"/>
  <c r="L10135" i="1" s="1"/>
  <c r="J10136" i="1"/>
  <c r="L10136" i="1" s="1"/>
  <c r="J10137" i="1"/>
  <c r="L10137" i="1" s="1"/>
  <c r="J10138" i="1"/>
  <c r="L10138" i="1" s="1"/>
  <c r="J10139" i="1"/>
  <c r="L10139" i="1" s="1"/>
  <c r="J10140" i="1"/>
  <c r="L10140" i="1" s="1"/>
  <c r="J10164" i="1"/>
  <c r="L10164" i="1" s="1"/>
  <c r="J10166" i="1"/>
  <c r="L10166" i="1" s="1"/>
  <c r="J10167" i="1"/>
  <c r="L10167" i="1" s="1"/>
  <c r="J10168" i="1"/>
  <c r="L10168" i="1" s="1"/>
  <c r="J10169" i="1"/>
  <c r="L10169" i="1" s="1"/>
  <c r="J10170" i="1"/>
  <c r="L10170" i="1" s="1"/>
  <c r="J10171" i="1"/>
  <c r="L10171" i="1" s="1"/>
  <c r="J10172" i="1"/>
  <c r="L10172" i="1" s="1"/>
  <c r="J10173" i="1"/>
  <c r="L10173" i="1" s="1"/>
  <c r="J10174" i="1"/>
  <c r="L10174" i="1" s="1"/>
  <c r="J10175" i="1"/>
  <c r="L10175" i="1" s="1"/>
  <c r="J10176" i="1"/>
  <c r="L10176" i="1" s="1"/>
  <c r="J10177" i="1"/>
  <c r="L10177" i="1" s="1"/>
  <c r="J10178" i="1"/>
  <c r="L10178" i="1" s="1"/>
  <c r="J10179" i="1"/>
  <c r="L10179" i="1" s="1"/>
  <c r="J10180" i="1"/>
  <c r="L10180" i="1" s="1"/>
  <c r="J10181" i="1"/>
  <c r="L10181" i="1" s="1"/>
  <c r="J10182" i="1"/>
  <c r="L10182" i="1" s="1"/>
  <c r="J10183" i="1"/>
  <c r="L10183" i="1" s="1"/>
  <c r="J10184" i="1"/>
  <c r="L10184" i="1" s="1"/>
  <c r="J10185" i="1"/>
  <c r="L10185" i="1" s="1"/>
  <c r="J10186" i="1"/>
  <c r="L10186" i="1" s="1"/>
  <c r="J10187" i="1"/>
  <c r="L10187" i="1" s="1"/>
  <c r="J10195" i="1"/>
  <c r="L10195" i="1" s="1"/>
  <c r="J10196" i="1"/>
  <c r="L10196" i="1" s="1"/>
  <c r="J10197" i="1"/>
  <c r="L10197" i="1" s="1"/>
  <c r="J10198" i="1"/>
  <c r="L10198" i="1" s="1"/>
  <c r="J10199" i="1"/>
  <c r="L10199" i="1" s="1"/>
  <c r="J10200" i="1"/>
  <c r="L10200" i="1" s="1"/>
  <c r="J10201" i="1"/>
  <c r="L10201" i="1" s="1"/>
  <c r="J10202" i="1"/>
  <c r="L10202" i="1" s="1"/>
  <c r="J10203" i="1"/>
  <c r="L10203" i="1" s="1"/>
  <c r="J10204" i="1"/>
  <c r="L10204" i="1" s="1"/>
  <c r="J10205" i="1"/>
  <c r="L10205" i="1" s="1"/>
  <c r="J10206" i="1"/>
  <c r="L10206" i="1" s="1"/>
  <c r="J10207" i="1"/>
  <c r="L10207" i="1" s="1"/>
  <c r="J10208" i="1"/>
  <c r="L10208" i="1" s="1"/>
  <c r="J10209" i="1"/>
  <c r="L10209" i="1" s="1"/>
  <c r="J10210" i="1"/>
  <c r="L10210" i="1" s="1"/>
  <c r="J10211" i="1"/>
  <c r="L10211" i="1" s="1"/>
  <c r="J10212" i="1"/>
  <c r="L10212" i="1" s="1"/>
  <c r="J10213" i="1"/>
  <c r="L10213" i="1" s="1"/>
  <c r="J10216" i="1"/>
  <c r="L10216" i="1" s="1"/>
  <c r="J10219" i="1"/>
  <c r="L10219" i="1" s="1"/>
  <c r="J10220" i="1"/>
  <c r="L10220" i="1" s="1"/>
  <c r="J10222" i="1"/>
  <c r="L10222" i="1" s="1"/>
  <c r="J10253" i="1"/>
  <c r="L10253" i="1" s="1"/>
  <c r="J10254" i="1"/>
  <c r="L10254" i="1" s="1"/>
  <c r="J10257" i="1"/>
  <c r="L10257" i="1" s="1"/>
  <c r="J10259" i="1"/>
  <c r="L10259" i="1" s="1"/>
  <c r="J10266" i="1"/>
  <c r="L10266" i="1" s="1"/>
  <c r="J10291" i="1"/>
  <c r="L10291" i="1" s="1"/>
  <c r="J10292" i="1"/>
  <c r="L10292" i="1" s="1"/>
  <c r="J10293" i="1"/>
  <c r="L10293" i="1" s="1"/>
  <c r="J10294" i="1"/>
  <c r="L10294" i="1" s="1"/>
  <c r="J10317" i="1"/>
  <c r="L10317" i="1" s="1"/>
  <c r="J10322" i="1"/>
  <c r="L10322" i="1" s="1"/>
  <c r="J10334" i="1"/>
  <c r="L10334" i="1" s="1"/>
  <c r="J10341" i="1"/>
  <c r="L10341" i="1" s="1"/>
  <c r="J10342" i="1"/>
  <c r="L10342" i="1" s="1"/>
  <c r="J10343" i="1"/>
  <c r="L10343" i="1" s="1"/>
  <c r="J10344" i="1"/>
  <c r="L10344" i="1" s="1"/>
  <c r="J10345" i="1"/>
  <c r="L10345" i="1" s="1"/>
  <c r="J10346" i="1"/>
  <c r="L10346" i="1" s="1"/>
  <c r="J10347" i="1"/>
  <c r="L10347" i="1" s="1"/>
  <c r="J10348" i="1"/>
  <c r="L10348" i="1" s="1"/>
  <c r="J10355" i="1"/>
  <c r="L10355" i="1" s="1"/>
  <c r="J10357" i="1"/>
  <c r="L10357" i="1" s="1"/>
  <c r="J10395" i="1"/>
  <c r="L10395" i="1" s="1"/>
  <c r="J10416" i="1"/>
  <c r="L10416" i="1" s="1"/>
  <c r="J10430" i="1"/>
  <c r="L10430" i="1" s="1"/>
  <c r="J10446" i="1"/>
  <c r="L10446" i="1" s="1"/>
  <c r="J10447" i="1"/>
  <c r="L10447" i="1" s="1"/>
  <c r="J10448" i="1"/>
  <c r="L10448" i="1" s="1"/>
  <c r="J10449" i="1"/>
  <c r="L10449" i="1" s="1"/>
  <c r="J10452" i="1"/>
  <c r="L10452" i="1" s="1"/>
  <c r="J10454" i="1"/>
  <c r="L10454" i="1" s="1"/>
  <c r="J10455" i="1"/>
  <c r="L10455" i="1" s="1"/>
  <c r="J10456" i="1"/>
  <c r="L10456" i="1" s="1"/>
  <c r="J10464" i="1"/>
  <c r="L10464" i="1" s="1"/>
  <c r="J10467" i="1"/>
  <c r="L10467" i="1" s="1"/>
  <c r="J10468" i="1"/>
  <c r="L10468" i="1" s="1"/>
  <c r="J10469" i="1"/>
  <c r="L10469" i="1" s="1"/>
  <c r="J10474" i="1"/>
  <c r="L10474" i="1" s="1"/>
  <c r="J10475" i="1"/>
  <c r="L10475" i="1" s="1"/>
  <c r="J10476" i="1"/>
  <c r="L10476" i="1" s="1"/>
  <c r="J10477" i="1"/>
  <c r="L10477" i="1" s="1"/>
  <c r="J10497" i="1"/>
  <c r="L10497" i="1" s="1"/>
  <c r="J10502" i="1"/>
  <c r="L10502" i="1" s="1"/>
  <c r="J10503" i="1"/>
  <c r="L10503" i="1" s="1"/>
  <c r="J10575" i="1"/>
  <c r="L10575" i="1" s="1"/>
  <c r="J10576" i="1"/>
  <c r="L10576" i="1" s="1"/>
  <c r="J10577" i="1"/>
  <c r="L10577" i="1" s="1"/>
  <c r="J10578" i="1"/>
  <c r="L10578" i="1" s="1"/>
  <c r="J10579" i="1"/>
  <c r="L10579" i="1" s="1"/>
  <c r="J10580" i="1"/>
  <c r="L10580" i="1" s="1"/>
  <c r="J10581" i="1"/>
  <c r="L10581" i="1" s="1"/>
  <c r="J10582" i="1"/>
  <c r="L10582" i="1" s="1"/>
  <c r="J10583" i="1"/>
  <c r="L10583" i="1" s="1"/>
  <c r="J10584" i="1"/>
  <c r="L10584" i="1" s="1"/>
  <c r="J10585" i="1"/>
  <c r="L10585" i="1" s="1"/>
  <c r="J10586" i="1"/>
  <c r="L10586" i="1" s="1"/>
  <c r="J10587" i="1"/>
  <c r="L10587" i="1" s="1"/>
  <c r="J10588" i="1"/>
  <c r="L10588" i="1" s="1"/>
  <c r="J10589" i="1"/>
  <c r="L10589" i="1" s="1"/>
  <c r="J10590" i="1"/>
  <c r="L10590" i="1" s="1"/>
  <c r="J10591" i="1"/>
  <c r="L10591" i="1" s="1"/>
  <c r="J10592" i="1"/>
  <c r="L10592" i="1" s="1"/>
  <c r="J10593" i="1"/>
  <c r="L10593" i="1" s="1"/>
  <c r="J10594" i="1"/>
  <c r="L10594" i="1" s="1"/>
  <c r="J10595" i="1"/>
  <c r="L10595" i="1" s="1"/>
  <c r="J10596" i="1"/>
  <c r="L10596" i="1" s="1"/>
  <c r="J10604" i="1"/>
  <c r="L10604" i="1" s="1"/>
  <c r="J10605" i="1"/>
  <c r="L10605" i="1" s="1"/>
  <c r="J10606" i="1"/>
  <c r="L10606" i="1" s="1"/>
  <c r="J10607" i="1"/>
  <c r="L10607" i="1" s="1"/>
  <c r="J10608" i="1"/>
  <c r="L10608" i="1" s="1"/>
  <c r="J10609" i="1"/>
  <c r="L10609" i="1" s="1"/>
  <c r="J10610" i="1"/>
  <c r="L10610" i="1" s="1"/>
  <c r="J10611" i="1"/>
  <c r="L10611" i="1" s="1"/>
  <c r="J10612" i="1"/>
  <c r="L10612" i="1" s="1"/>
  <c r="J10613" i="1"/>
  <c r="L10613" i="1" s="1"/>
  <c r="J10614" i="1"/>
  <c r="L10614" i="1" s="1"/>
  <c r="J10615" i="1"/>
  <c r="L10615" i="1" s="1"/>
  <c r="J10616" i="1"/>
  <c r="L10616" i="1" s="1"/>
  <c r="J10617" i="1"/>
  <c r="L10617" i="1" s="1"/>
  <c r="J10618" i="1"/>
  <c r="L10618" i="1" s="1"/>
  <c r="J10619" i="1"/>
  <c r="L10619" i="1" s="1"/>
  <c r="J10620" i="1"/>
  <c r="L10620" i="1" s="1"/>
  <c r="J10621" i="1"/>
  <c r="L10621" i="1" s="1"/>
  <c r="J10622" i="1"/>
  <c r="L10622" i="1" s="1"/>
  <c r="J10623" i="1"/>
  <c r="L10623" i="1" s="1"/>
  <c r="J10624" i="1"/>
  <c r="L10624" i="1" s="1"/>
  <c r="J10625" i="1"/>
  <c r="L10625" i="1" s="1"/>
  <c r="J10626" i="1"/>
  <c r="L10626" i="1" s="1"/>
  <c r="J10627" i="1"/>
  <c r="L10627" i="1" s="1"/>
  <c r="J10628" i="1"/>
  <c r="L10628" i="1" s="1"/>
  <c r="J10629" i="1"/>
  <c r="L10629" i="1" s="1"/>
  <c r="J10630" i="1"/>
  <c r="L10630" i="1" s="1"/>
  <c r="J10638" i="1"/>
  <c r="L10638" i="1" s="1"/>
  <c r="J10639" i="1"/>
  <c r="L10639" i="1" s="1"/>
  <c r="J10640" i="1"/>
  <c r="L10640" i="1" s="1"/>
  <c r="J10641" i="1"/>
  <c r="L10641" i="1" s="1"/>
  <c r="J10642" i="1"/>
  <c r="L10642" i="1" s="1"/>
  <c r="J10643" i="1"/>
  <c r="L10643" i="1" s="1"/>
  <c r="J10644" i="1"/>
  <c r="L10644" i="1" s="1"/>
  <c r="J10645" i="1"/>
  <c r="L10645" i="1" s="1"/>
  <c r="J10646" i="1"/>
  <c r="L10646" i="1" s="1"/>
  <c r="J10650" i="1"/>
  <c r="L10650" i="1" s="1"/>
  <c r="J10647" i="1"/>
  <c r="L10647" i="1" s="1"/>
  <c r="J10648" i="1"/>
  <c r="L10648" i="1" s="1"/>
  <c r="J10649" i="1"/>
  <c r="L10649" i="1" s="1"/>
  <c r="J10651" i="1"/>
  <c r="L10651" i="1" s="1"/>
  <c r="J10652" i="1"/>
  <c r="L10652" i="1" s="1"/>
  <c r="J10653" i="1"/>
  <c r="L10653" i="1" s="1"/>
  <c r="J10654" i="1"/>
  <c r="L10654" i="1" s="1"/>
  <c r="J10655" i="1"/>
  <c r="L10655" i="1" s="1"/>
  <c r="J10656" i="1"/>
  <c r="L10656" i="1" s="1"/>
  <c r="J10657" i="1"/>
  <c r="L10657" i="1" s="1"/>
  <c r="J10658" i="1"/>
  <c r="L10658" i="1" s="1"/>
  <c r="J10659" i="1"/>
  <c r="L10659" i="1" s="1"/>
  <c r="J10660" i="1"/>
  <c r="L10660" i="1" s="1"/>
  <c r="J10685" i="1"/>
  <c r="L10685" i="1" s="1"/>
  <c r="J10686" i="1"/>
  <c r="L10686" i="1" s="1"/>
  <c r="J10687" i="1"/>
  <c r="L10687" i="1" s="1"/>
  <c r="J10688" i="1"/>
  <c r="L10688" i="1" s="1"/>
  <c r="J10689" i="1"/>
  <c r="L10689" i="1" s="1"/>
  <c r="J10690" i="1"/>
  <c r="L10690" i="1" s="1"/>
  <c r="J10691" i="1"/>
  <c r="L10691" i="1" s="1"/>
  <c r="J10692" i="1"/>
  <c r="L10692" i="1" s="1"/>
  <c r="J10693" i="1"/>
  <c r="L10693" i="1" s="1"/>
  <c r="J10694" i="1"/>
  <c r="L10694" i="1" s="1"/>
  <c r="J10695" i="1"/>
  <c r="L10695" i="1" s="1"/>
  <c r="J10696" i="1"/>
  <c r="L10696" i="1" s="1"/>
  <c r="J10697" i="1"/>
  <c r="L10697" i="1" s="1"/>
  <c r="J10698" i="1"/>
  <c r="L10698" i="1" s="1"/>
  <c r="J10699" i="1"/>
  <c r="L10699" i="1" s="1"/>
  <c r="J10700" i="1"/>
  <c r="L10700" i="1" s="1"/>
  <c r="J10701" i="1"/>
  <c r="L10701" i="1" s="1"/>
  <c r="J10702" i="1"/>
  <c r="L10702" i="1" s="1"/>
  <c r="J10703" i="1"/>
  <c r="L10703" i="1" s="1"/>
  <c r="J10704" i="1"/>
  <c r="L10704" i="1" s="1"/>
  <c r="J10705" i="1"/>
  <c r="L10705" i="1" s="1"/>
  <c r="J10706" i="1"/>
  <c r="L10706" i="1" s="1"/>
  <c r="J10707" i="1"/>
  <c r="L10707" i="1" s="1"/>
  <c r="J10708" i="1"/>
  <c r="L10708" i="1" s="1"/>
  <c r="J10709" i="1"/>
  <c r="L10709" i="1" s="1"/>
  <c r="J10710" i="1"/>
  <c r="L10710" i="1" s="1"/>
  <c r="J10711" i="1"/>
  <c r="L10711" i="1" s="1"/>
  <c r="J10719" i="1"/>
  <c r="L10719" i="1" s="1"/>
  <c r="J10720" i="1"/>
  <c r="L10720" i="1" s="1"/>
  <c r="J10721" i="1"/>
  <c r="L10721" i="1" s="1"/>
  <c r="J10722" i="1"/>
  <c r="L10722" i="1" s="1"/>
  <c r="J10723" i="1"/>
  <c r="L10723" i="1" s="1"/>
  <c r="J10724" i="1"/>
  <c r="L10724" i="1" s="1"/>
  <c r="J10725" i="1"/>
  <c r="L10725" i="1" s="1"/>
  <c r="J10726" i="1"/>
  <c r="L10726" i="1" s="1"/>
  <c r="J10727" i="1"/>
  <c r="L10727" i="1" s="1"/>
  <c r="J10728" i="1"/>
  <c r="L10728" i="1" s="1"/>
  <c r="J10729" i="1"/>
  <c r="L10729" i="1" s="1"/>
  <c r="J10730" i="1"/>
  <c r="L10730" i="1" s="1"/>
  <c r="J10731" i="1"/>
  <c r="L10731" i="1" s="1"/>
  <c r="J10732" i="1"/>
  <c r="L10732" i="1" s="1"/>
  <c r="J10733" i="1"/>
  <c r="L10733" i="1" s="1"/>
  <c r="J10734" i="1"/>
  <c r="L10734" i="1" s="1"/>
  <c r="J10735" i="1"/>
  <c r="L10735" i="1" s="1"/>
  <c r="J10737" i="1"/>
  <c r="L10737" i="1" s="1"/>
  <c r="J10738" i="1"/>
  <c r="L10738" i="1" s="1"/>
  <c r="J10739" i="1"/>
  <c r="L10739" i="1" s="1"/>
  <c r="J10740" i="1"/>
  <c r="L10740" i="1" s="1"/>
  <c r="J10741" i="1"/>
  <c r="L10741" i="1" s="1"/>
  <c r="J10742" i="1"/>
  <c r="L10742" i="1" s="1"/>
  <c r="J10743" i="1"/>
  <c r="L10743" i="1" s="1"/>
  <c r="J10744" i="1"/>
  <c r="L10744" i="1" s="1"/>
  <c r="J10745" i="1"/>
  <c r="L10745" i="1" s="1"/>
  <c r="J10748" i="1"/>
  <c r="L10748" i="1" s="1"/>
  <c r="J10749" i="1"/>
  <c r="L10749" i="1" s="1"/>
  <c r="J10750" i="1"/>
  <c r="L10750" i="1" s="1"/>
  <c r="J10751" i="1"/>
  <c r="L10751" i="1" s="1"/>
  <c r="J10752" i="1"/>
  <c r="L10752" i="1" s="1"/>
  <c r="J10753" i="1"/>
  <c r="L10753" i="1" s="1"/>
  <c r="J10754" i="1"/>
  <c r="L10754" i="1" s="1"/>
  <c r="J10755" i="1"/>
  <c r="L10755" i="1" s="1"/>
  <c r="J10756" i="1"/>
  <c r="L10756" i="1" s="1"/>
  <c r="J10757" i="1"/>
  <c r="L10757" i="1" s="1"/>
  <c r="J10758" i="1"/>
  <c r="L10758" i="1" s="1"/>
  <c r="J10759" i="1"/>
  <c r="L10759" i="1" s="1"/>
  <c r="J10760" i="1"/>
  <c r="L10760" i="1" s="1"/>
  <c r="J10761" i="1"/>
  <c r="L10761" i="1" s="1"/>
  <c r="J10762" i="1"/>
  <c r="L10762" i="1" s="1"/>
  <c r="J10763" i="1"/>
  <c r="L10763" i="1" s="1"/>
  <c r="J10764" i="1"/>
  <c r="L10764" i="1" s="1"/>
  <c r="J10765" i="1"/>
  <c r="L10765" i="1" s="1"/>
  <c r="J10766" i="1"/>
  <c r="L10766" i="1" s="1"/>
  <c r="J10767" i="1"/>
  <c r="L10767" i="1" s="1"/>
  <c r="J10768" i="1"/>
  <c r="L10768" i="1" s="1"/>
  <c r="J10774" i="1"/>
  <c r="L10774" i="1" s="1"/>
  <c r="J10778" i="1"/>
  <c r="L10778" i="1" s="1"/>
  <c r="J10779" i="1"/>
  <c r="L10779" i="1" s="1"/>
  <c r="J10780" i="1"/>
  <c r="L10780" i="1" s="1"/>
  <c r="J10781" i="1"/>
  <c r="L10781" i="1" s="1"/>
  <c r="J10782" i="1"/>
  <c r="L10782" i="1" s="1"/>
  <c r="J10783" i="1"/>
  <c r="L10783" i="1" s="1"/>
  <c r="J10804" i="1"/>
  <c r="L10804" i="1" s="1"/>
  <c r="J10805" i="1"/>
  <c r="L10805" i="1" s="1"/>
  <c r="J10818" i="1"/>
  <c r="L10818" i="1" s="1"/>
  <c r="J10823" i="1"/>
  <c r="L10823" i="1" s="1"/>
  <c r="J10957" i="1"/>
  <c r="L10957" i="1" s="1"/>
  <c r="J10958" i="1"/>
  <c r="L10958" i="1" s="1"/>
  <c r="J10959" i="1"/>
  <c r="L10959" i="1" s="1"/>
  <c r="J10967" i="1"/>
  <c r="L10967" i="1" s="1"/>
  <c r="J10968" i="1"/>
  <c r="L10968" i="1" s="1"/>
  <c r="J10969" i="1"/>
  <c r="L10969" i="1" s="1"/>
  <c r="J10978" i="1"/>
  <c r="L10978" i="1" s="1"/>
  <c r="J10979" i="1"/>
  <c r="L10979" i="1" s="1"/>
  <c r="J10980" i="1"/>
  <c r="L10980" i="1" s="1"/>
  <c r="J10981" i="1"/>
  <c r="L10981" i="1" s="1"/>
  <c r="J10982" i="1"/>
  <c r="L10982" i="1" s="1"/>
  <c r="J10983" i="1"/>
  <c r="L10983" i="1" s="1"/>
  <c r="J10988" i="1"/>
  <c r="L10988" i="1" s="1"/>
  <c r="J10997" i="1"/>
  <c r="L10997" i="1" s="1"/>
  <c r="J11000" i="1"/>
  <c r="L11000" i="1" s="1"/>
  <c r="J11001" i="1"/>
  <c r="L11001" i="1" s="1"/>
  <c r="J11002" i="1"/>
  <c r="L11002" i="1" s="1"/>
  <c r="J11003" i="1"/>
  <c r="L11003" i="1" s="1"/>
  <c r="J11075" i="1"/>
  <c r="L11075" i="1" s="1"/>
  <c r="J11076" i="1"/>
  <c r="L11076" i="1" s="1"/>
  <c r="J11091" i="1"/>
  <c r="L11091" i="1" s="1"/>
  <c r="J11092" i="1"/>
  <c r="L11092" i="1" s="1"/>
  <c r="J11093" i="1"/>
  <c r="L11093" i="1" s="1"/>
  <c r="J11094" i="1"/>
  <c r="L11094" i="1" s="1"/>
  <c r="J11095" i="1"/>
  <c r="L11095" i="1" s="1"/>
  <c r="J11096" i="1"/>
  <c r="L11096" i="1" s="1"/>
  <c r="J11097" i="1"/>
  <c r="L11097" i="1" s="1"/>
  <c r="J11098" i="1"/>
  <c r="L11098" i="1" s="1"/>
  <c r="J11099" i="1"/>
  <c r="L11099" i="1" s="1"/>
  <c r="J11100" i="1"/>
  <c r="L11100" i="1" s="1"/>
  <c r="J11101" i="1"/>
  <c r="L11101" i="1" s="1"/>
  <c r="J11102" i="1"/>
  <c r="L11102" i="1" s="1"/>
  <c r="J11103" i="1"/>
  <c r="L11103" i="1" s="1"/>
  <c r="J11104" i="1"/>
  <c r="L11104" i="1" s="1"/>
  <c r="J11105" i="1"/>
  <c r="L11105" i="1" s="1"/>
  <c r="J11106" i="1"/>
  <c r="L11106" i="1" s="1"/>
  <c r="J11107" i="1"/>
  <c r="L11107" i="1" s="1"/>
  <c r="J11108" i="1"/>
  <c r="L11108" i="1" s="1"/>
  <c r="J11109" i="1"/>
  <c r="L11109" i="1" s="1"/>
  <c r="J11110" i="1"/>
  <c r="L11110" i="1" s="1"/>
  <c r="J11111" i="1"/>
  <c r="L11111" i="1" s="1"/>
  <c r="J11112" i="1"/>
  <c r="L11112" i="1" s="1"/>
  <c r="J11113" i="1"/>
  <c r="L11113" i="1" s="1"/>
  <c r="J11114" i="1"/>
  <c r="L11114" i="1" s="1"/>
  <c r="J11135" i="1"/>
  <c r="L11135" i="1" s="1"/>
  <c r="J11136" i="1"/>
  <c r="L11136" i="1" s="1"/>
  <c r="J11137" i="1"/>
  <c r="L11137" i="1" s="1"/>
  <c r="J11138" i="1"/>
  <c r="L11138" i="1" s="1"/>
  <c r="J11139" i="1"/>
  <c r="L11139" i="1" s="1"/>
  <c r="J11140" i="1"/>
  <c r="L11140" i="1" s="1"/>
  <c r="J11141" i="1"/>
  <c r="L11141" i="1" s="1"/>
  <c r="J11142" i="1"/>
  <c r="L11142" i="1" s="1"/>
  <c r="J11143" i="1"/>
  <c r="L11143" i="1" s="1"/>
  <c r="J11144" i="1"/>
  <c r="L11144" i="1" s="1"/>
  <c r="J11145" i="1"/>
  <c r="L11145" i="1" s="1"/>
  <c r="J11146" i="1"/>
  <c r="L11146" i="1" s="1"/>
  <c r="J11147" i="1"/>
  <c r="L11147" i="1" s="1"/>
  <c r="J11148" i="1"/>
  <c r="L11148" i="1" s="1"/>
  <c r="J11149" i="1"/>
  <c r="L11149" i="1" s="1"/>
  <c r="J11173" i="1"/>
  <c r="L11173" i="1" s="1"/>
  <c r="J11174" i="1"/>
  <c r="L11174" i="1" s="1"/>
  <c r="J11175" i="1"/>
  <c r="L11175" i="1" s="1"/>
  <c r="J11176" i="1"/>
  <c r="L11176" i="1" s="1"/>
  <c r="J11177" i="1"/>
  <c r="L11177" i="1" s="1"/>
  <c r="J11178" i="1"/>
  <c r="L11178" i="1" s="1"/>
  <c r="J11179" i="1"/>
  <c r="L11179" i="1" s="1"/>
  <c r="J11180" i="1"/>
  <c r="L11180" i="1" s="1"/>
  <c r="J11183" i="1"/>
  <c r="L11183" i="1" s="1"/>
  <c r="J11184" i="1"/>
  <c r="L11184" i="1" s="1"/>
  <c r="J11185" i="1"/>
  <c r="L11185" i="1" s="1"/>
  <c r="J11186" i="1"/>
  <c r="L11186" i="1" s="1"/>
  <c r="J11187" i="1"/>
  <c r="L11187" i="1" s="1"/>
  <c r="J11188" i="1"/>
  <c r="L11188" i="1" s="1"/>
  <c r="J11189" i="1"/>
  <c r="L11189" i="1" s="1"/>
  <c r="J11190" i="1"/>
  <c r="L11190" i="1" s="1"/>
  <c r="J11191" i="1"/>
  <c r="L11191" i="1" s="1"/>
  <c r="J11192" i="1"/>
  <c r="L11192" i="1" s="1"/>
  <c r="J11193" i="1"/>
  <c r="L11193" i="1" s="1"/>
  <c r="J11194" i="1"/>
  <c r="L11194" i="1" s="1"/>
  <c r="J11195" i="1"/>
  <c r="L11195" i="1" s="1"/>
  <c r="J11196" i="1"/>
  <c r="L11196" i="1" s="1"/>
  <c r="J11197" i="1"/>
  <c r="L11197" i="1" s="1"/>
  <c r="J11198" i="1"/>
  <c r="L11198" i="1" s="1"/>
  <c r="J11199" i="1"/>
  <c r="L11199" i="1" s="1"/>
  <c r="J11200" i="1"/>
  <c r="L11200" i="1" s="1"/>
  <c r="J11201" i="1"/>
  <c r="L11201" i="1" s="1"/>
  <c r="J11202" i="1"/>
  <c r="L11202" i="1" s="1"/>
  <c r="J11203" i="1"/>
  <c r="L11203" i="1" s="1"/>
  <c r="J11204" i="1"/>
  <c r="L11204" i="1" s="1"/>
  <c r="J11205" i="1"/>
  <c r="L11205" i="1" s="1"/>
  <c r="J11206" i="1"/>
  <c r="L11206" i="1" s="1"/>
  <c r="J11207" i="1"/>
  <c r="L11207" i="1" s="1"/>
  <c r="J11208" i="1"/>
  <c r="L11208" i="1" s="1"/>
  <c r="J11209" i="1"/>
  <c r="L11209" i="1" s="1"/>
  <c r="J11210" i="1"/>
  <c r="L11210" i="1" s="1"/>
  <c r="J11211" i="1"/>
  <c r="L11211" i="1" s="1"/>
  <c r="J11212" i="1"/>
  <c r="L11212" i="1" s="1"/>
  <c r="J11213" i="1"/>
  <c r="L11213" i="1" s="1"/>
  <c r="J11214" i="1"/>
  <c r="L11214" i="1" s="1"/>
  <c r="J11215" i="1"/>
  <c r="L11215" i="1" s="1"/>
  <c r="J11216" i="1"/>
  <c r="L11216" i="1" s="1"/>
  <c r="J11217" i="1"/>
  <c r="L11217" i="1" s="1"/>
  <c r="J11218" i="1"/>
  <c r="L11218" i="1" s="1"/>
  <c r="J11219" i="1"/>
  <c r="L11219" i="1" s="1"/>
  <c r="J11220" i="1"/>
  <c r="L11220" i="1" s="1"/>
  <c r="J11221" i="1"/>
  <c r="L11221" i="1" s="1"/>
  <c r="J11222" i="1"/>
  <c r="L11222" i="1" s="1"/>
  <c r="J11223" i="1"/>
  <c r="L11223" i="1" s="1"/>
  <c r="J11224" i="1"/>
  <c r="L11224" i="1" s="1"/>
  <c r="J11225" i="1"/>
  <c r="L11225" i="1" s="1"/>
  <c r="J11226" i="1"/>
  <c r="L11226" i="1" s="1"/>
  <c r="J11227" i="1"/>
  <c r="L11227" i="1" s="1"/>
  <c r="J11228" i="1"/>
  <c r="L11228" i="1" s="1"/>
  <c r="J11229" i="1"/>
  <c r="L11229" i="1" s="1"/>
  <c r="J11230" i="1"/>
  <c r="L11230" i="1" s="1"/>
  <c r="J11231" i="1"/>
  <c r="L11231" i="1" s="1"/>
  <c r="J11232" i="1"/>
  <c r="L11232" i="1" s="1"/>
  <c r="J11233" i="1"/>
  <c r="L11233" i="1" s="1"/>
  <c r="J11234" i="1"/>
  <c r="L11234" i="1" s="1"/>
  <c r="J11235" i="1"/>
  <c r="L11235" i="1" s="1"/>
  <c r="J11236" i="1"/>
  <c r="L11236" i="1" s="1"/>
  <c r="J11237" i="1"/>
  <c r="L11237" i="1" s="1"/>
  <c r="J11238" i="1"/>
  <c r="L11238" i="1" s="1"/>
  <c r="J11239" i="1"/>
  <c r="L11239" i="1" s="1"/>
  <c r="J11240" i="1"/>
  <c r="L11240" i="1" s="1"/>
  <c r="J11241" i="1"/>
  <c r="L11241" i="1" s="1"/>
  <c r="J11242" i="1"/>
  <c r="L11242" i="1" s="1"/>
  <c r="J11271" i="1"/>
  <c r="L11271" i="1" s="1"/>
  <c r="J11272" i="1"/>
  <c r="L11272" i="1" s="1"/>
  <c r="J11273" i="1"/>
  <c r="L11273" i="1" s="1"/>
  <c r="J11274" i="1"/>
  <c r="L11274" i="1" s="1"/>
  <c r="J11275" i="1"/>
  <c r="L11275" i="1" s="1"/>
  <c r="J11281" i="1"/>
  <c r="L11281" i="1" s="1"/>
  <c r="J11389" i="1"/>
  <c r="L11389" i="1" s="1"/>
  <c r="J11394" i="1"/>
  <c r="L11394" i="1" s="1"/>
  <c r="J11395" i="1"/>
  <c r="L11395" i="1" s="1"/>
  <c r="J11396" i="1"/>
  <c r="L11396" i="1" s="1"/>
  <c r="J11397" i="1"/>
  <c r="L11397" i="1" s="1"/>
  <c r="J11398" i="1"/>
  <c r="L11398" i="1" s="1"/>
  <c r="J11399" i="1"/>
  <c r="L11399" i="1" s="1"/>
  <c r="J11403" i="1"/>
  <c r="L11403" i="1" s="1"/>
  <c r="J11404" i="1"/>
  <c r="L11404" i="1" s="1"/>
  <c r="J11405" i="1"/>
  <c r="L11405" i="1" s="1"/>
  <c r="J11406" i="1"/>
  <c r="L11406" i="1" s="1"/>
  <c r="J11407" i="1"/>
  <c r="L11407" i="1" s="1"/>
  <c r="J11408" i="1"/>
  <c r="L11408" i="1" s="1"/>
  <c r="J11409" i="1"/>
  <c r="L11409" i="1" s="1"/>
  <c r="J11410" i="1"/>
  <c r="L11410" i="1" s="1"/>
  <c r="J11417" i="1"/>
  <c r="L11417" i="1" s="1"/>
  <c r="J11418" i="1"/>
  <c r="L11418" i="1" s="1"/>
  <c r="J11419" i="1"/>
  <c r="L11419" i="1" s="1"/>
  <c r="J11428" i="1"/>
  <c r="L11428" i="1" s="1"/>
  <c r="J11429" i="1"/>
  <c r="L11429" i="1" s="1"/>
  <c r="J11430" i="1"/>
  <c r="L11430" i="1" s="1"/>
  <c r="J11431" i="1"/>
  <c r="L11431" i="1" s="1"/>
  <c r="J11432" i="1"/>
  <c r="L11432" i="1" s="1"/>
  <c r="J11433" i="1"/>
  <c r="L11433" i="1" s="1"/>
  <c r="J11434" i="1"/>
  <c r="L11434" i="1" s="1"/>
  <c r="J11435" i="1"/>
  <c r="L11435" i="1" s="1"/>
  <c r="J11436" i="1"/>
  <c r="L11436" i="1" s="1"/>
  <c r="J11437" i="1"/>
  <c r="L11437" i="1" s="1"/>
  <c r="J11438" i="1"/>
  <c r="L11438" i="1" s="1"/>
  <c r="J11439" i="1"/>
  <c r="L11439" i="1" s="1"/>
  <c r="J11440" i="1"/>
  <c r="L11440" i="1" s="1"/>
  <c r="J11443" i="1"/>
  <c r="L11443" i="1" s="1"/>
  <c r="J11445" i="1"/>
  <c r="L11445" i="1" s="1"/>
  <c r="J11448" i="1"/>
  <c r="L11448" i="1" s="1"/>
  <c r="J11460" i="1"/>
  <c r="L11460" i="1" s="1"/>
  <c r="J11461" i="1"/>
  <c r="L11461" i="1" s="1"/>
  <c r="J11462" i="1"/>
  <c r="L11462" i="1" s="1"/>
  <c r="J11463" i="1"/>
  <c r="L11463" i="1" s="1"/>
  <c r="J11464" i="1"/>
  <c r="L11464" i="1" s="1"/>
  <c r="J11465" i="1"/>
  <c r="L11465" i="1" s="1"/>
  <c r="J11466" i="1"/>
  <c r="L11466" i="1" s="1"/>
  <c r="J11467" i="1"/>
  <c r="L11467" i="1" s="1"/>
  <c r="J11468" i="1"/>
  <c r="L11468" i="1" s="1"/>
  <c r="J11469" i="1"/>
  <c r="L11469" i="1" s="1"/>
  <c r="J11470" i="1"/>
  <c r="L11470" i="1" s="1"/>
  <c r="J11471" i="1"/>
  <c r="L11471" i="1" s="1"/>
  <c r="J11486" i="1"/>
  <c r="L11486" i="1" s="1"/>
  <c r="J11487" i="1"/>
  <c r="L11487" i="1" s="1"/>
  <c r="J11488" i="1"/>
  <c r="L11488" i="1" s="1"/>
  <c r="J11489" i="1"/>
  <c r="L11489" i="1" s="1"/>
  <c r="J11490" i="1"/>
  <c r="L11490" i="1" s="1"/>
  <c r="J11496" i="1"/>
  <c r="L11496" i="1" s="1"/>
  <c r="J11497" i="1"/>
  <c r="L11497" i="1" s="1"/>
  <c r="J11498" i="1"/>
  <c r="L11498" i="1" s="1"/>
  <c r="J11499" i="1"/>
  <c r="L11499" i="1" s="1"/>
  <c r="J11500" i="1"/>
  <c r="L11500" i="1" s="1"/>
  <c r="J11501" i="1"/>
  <c r="L11501" i="1" s="1"/>
  <c r="J11502" i="1"/>
  <c r="L11502" i="1" s="1"/>
  <c r="J11503" i="1"/>
  <c r="L11503" i="1" s="1"/>
  <c r="J11504" i="1"/>
  <c r="L11504" i="1" s="1"/>
  <c r="J11505" i="1"/>
  <c r="L11505" i="1" s="1"/>
  <c r="J11506" i="1"/>
  <c r="L11506" i="1" s="1"/>
  <c r="J11507" i="1"/>
  <c r="L11507" i="1" s="1"/>
  <c r="J11508" i="1"/>
  <c r="L11508" i="1" s="1"/>
  <c r="J11510" i="1"/>
  <c r="L11510" i="1" s="1"/>
  <c r="J11511" i="1"/>
  <c r="L11511" i="1" s="1"/>
  <c r="J11512" i="1"/>
  <c r="L11512" i="1" s="1"/>
  <c r="J11513" i="1"/>
  <c r="L11513" i="1" s="1"/>
  <c r="J11514" i="1"/>
  <c r="L11514" i="1" s="1"/>
  <c r="J11515" i="1"/>
  <c r="L11515" i="1" s="1"/>
  <c r="J11516" i="1"/>
  <c r="L11516" i="1" s="1"/>
  <c r="J11517" i="1"/>
  <c r="L11517" i="1" s="1"/>
  <c r="J11518" i="1"/>
  <c r="L11518" i="1" s="1"/>
  <c r="J11519" i="1"/>
  <c r="L11519" i="1" s="1"/>
  <c r="J11520" i="1"/>
  <c r="L11520" i="1" s="1"/>
  <c r="J11540" i="1"/>
  <c r="L11540" i="1" s="1"/>
  <c r="J11541" i="1"/>
  <c r="L11541" i="1" s="1"/>
  <c r="J11544" i="1"/>
  <c r="L11544" i="1" s="1"/>
  <c r="J11545" i="1"/>
  <c r="L11545" i="1" s="1"/>
  <c r="J11546" i="1"/>
  <c r="L11546" i="1" s="1"/>
  <c r="J11547" i="1"/>
  <c r="L11547" i="1" s="1"/>
  <c r="J11548" i="1"/>
  <c r="L11548" i="1" s="1"/>
  <c r="J11549" i="1"/>
  <c r="L11549" i="1" s="1"/>
  <c r="J11550" i="1"/>
  <c r="L11550" i="1" s="1"/>
  <c r="J11551" i="1"/>
  <c r="L11551" i="1" s="1"/>
  <c r="J11552" i="1"/>
  <c r="L11552" i="1" s="1"/>
  <c r="J11553" i="1"/>
  <c r="L11553" i="1" s="1"/>
  <c r="J11554" i="1"/>
  <c r="L11554" i="1" s="1"/>
  <c r="J11555" i="1"/>
  <c r="L11555" i="1" s="1"/>
  <c r="J11556" i="1"/>
  <c r="L11556" i="1" s="1"/>
  <c r="J11557" i="1"/>
  <c r="L11557" i="1" s="1"/>
  <c r="J11558" i="1"/>
  <c r="L11558" i="1" s="1"/>
  <c r="J11560" i="1"/>
  <c r="L11560" i="1" s="1"/>
  <c r="J11561" i="1"/>
  <c r="L11561" i="1" s="1"/>
  <c r="J11562" i="1"/>
  <c r="L11562" i="1" s="1"/>
  <c r="J11563" i="1"/>
  <c r="L11563" i="1" s="1"/>
  <c r="J11564" i="1"/>
  <c r="L11564" i="1" s="1"/>
  <c r="J11565" i="1"/>
  <c r="L11565" i="1" s="1"/>
  <c r="J11566" i="1"/>
  <c r="L11566" i="1" s="1"/>
  <c r="J11567" i="1"/>
  <c r="L11567" i="1" s="1"/>
  <c r="J11568" i="1"/>
  <c r="L11568" i="1" s="1"/>
  <c r="J11569" i="1"/>
  <c r="L11569" i="1" s="1"/>
  <c r="J11570" i="1"/>
  <c r="L11570" i="1" s="1"/>
  <c r="J11571" i="1"/>
  <c r="L11571" i="1" s="1"/>
  <c r="J11572" i="1"/>
  <c r="L11572" i="1" s="1"/>
  <c r="J11573" i="1"/>
  <c r="L11573" i="1" s="1"/>
  <c r="J11574" i="1"/>
  <c r="L11574" i="1" s="1"/>
  <c r="J11576" i="1"/>
  <c r="L11576" i="1" s="1"/>
  <c r="J11577" i="1"/>
  <c r="L11577" i="1" s="1"/>
  <c r="J11578" i="1"/>
  <c r="L11578" i="1" s="1"/>
  <c r="J11579" i="1"/>
  <c r="L11579" i="1" s="1"/>
  <c r="J11580" i="1"/>
  <c r="L11580" i="1" s="1"/>
  <c r="J11581" i="1"/>
  <c r="L11581" i="1" s="1"/>
  <c r="J11582" i="1"/>
  <c r="L11582" i="1" s="1"/>
  <c r="J11583" i="1"/>
  <c r="L11583" i="1" s="1"/>
  <c r="J11585" i="1"/>
  <c r="L11585" i="1" s="1"/>
  <c r="J11588" i="1"/>
  <c r="L11588" i="1" s="1"/>
  <c r="J11589" i="1"/>
  <c r="L11589" i="1" s="1"/>
  <c r="J11606" i="1"/>
  <c r="L11606" i="1" s="1"/>
  <c r="J11607" i="1"/>
  <c r="L11607" i="1" s="1"/>
  <c r="J11612" i="1"/>
  <c r="L11612" i="1" s="1"/>
  <c r="J11619" i="1"/>
  <c r="L11619" i="1" s="1"/>
  <c r="J11620" i="1"/>
  <c r="L11620" i="1" s="1"/>
  <c r="J11634" i="1"/>
  <c r="L11634" i="1" s="1"/>
  <c r="J11635" i="1"/>
  <c r="L11635" i="1" s="1"/>
  <c r="J11682" i="1"/>
  <c r="L11682" i="1" s="1"/>
  <c r="J11684" i="1"/>
  <c r="L11684" i="1" s="1"/>
  <c r="J11685" i="1"/>
  <c r="L11685" i="1" s="1"/>
  <c r="J11686" i="1"/>
  <c r="L11686" i="1" s="1"/>
  <c r="J11687" i="1"/>
  <c r="L11687" i="1" s="1"/>
  <c r="J11688" i="1"/>
  <c r="L11688" i="1" s="1"/>
  <c r="J11689" i="1"/>
  <c r="L11689" i="1" s="1"/>
  <c r="J11690" i="1"/>
  <c r="L11690" i="1" s="1"/>
  <c r="J11691" i="1"/>
  <c r="L11691" i="1" s="1"/>
  <c r="J11692" i="1"/>
  <c r="L11692" i="1" s="1"/>
  <c r="J11693" i="1"/>
  <c r="L11693" i="1" s="1"/>
  <c r="J11694" i="1"/>
  <c r="L11694" i="1" s="1"/>
  <c r="J11695" i="1"/>
  <c r="L11695" i="1" s="1"/>
  <c r="J11696" i="1"/>
  <c r="L11696" i="1" s="1"/>
  <c r="J11697" i="1"/>
  <c r="L11697" i="1" s="1"/>
  <c r="J11698" i="1"/>
  <c r="L11698" i="1" s="1"/>
  <c r="J11699" i="1"/>
  <c r="L11699" i="1" s="1"/>
  <c r="J11702" i="1"/>
  <c r="L11702" i="1" s="1"/>
  <c r="J11714" i="1"/>
  <c r="L11714" i="1" s="1"/>
  <c r="J11715" i="1"/>
  <c r="L11715" i="1" s="1"/>
  <c r="J11716" i="1"/>
  <c r="L11716" i="1" s="1"/>
  <c r="J11717" i="1"/>
  <c r="L11717" i="1" s="1"/>
  <c r="J11718" i="1"/>
  <c r="L11718" i="1" s="1"/>
  <c r="J11719" i="1"/>
  <c r="L11719" i="1" s="1"/>
  <c r="J11720" i="1"/>
  <c r="L11720" i="1" s="1"/>
  <c r="J11729" i="1"/>
  <c r="L11729" i="1" s="1"/>
  <c r="J11730" i="1"/>
  <c r="L11730" i="1" s="1"/>
  <c r="J11753" i="1"/>
  <c r="L11753" i="1" s="1"/>
  <c r="J11754" i="1"/>
  <c r="L11754" i="1" s="1"/>
  <c r="J11755" i="1"/>
  <c r="L11755" i="1" s="1"/>
  <c r="J11756" i="1"/>
  <c r="L11756" i="1" s="1"/>
  <c r="J11757" i="1"/>
  <c r="L11757" i="1" s="1"/>
  <c r="J11758" i="1"/>
  <c r="L11758" i="1" s="1"/>
  <c r="J11761" i="1"/>
  <c r="L11761" i="1" s="1"/>
  <c r="J11762" i="1"/>
  <c r="L11762" i="1" s="1"/>
  <c r="J11763" i="1"/>
  <c r="L11763" i="1" s="1"/>
  <c r="J11770" i="1"/>
  <c r="L11770" i="1" s="1"/>
  <c r="J11771" i="1"/>
  <c r="L11771" i="1" s="1"/>
  <c r="J11795" i="1"/>
  <c r="L11795" i="1" s="1"/>
  <c r="J11796" i="1"/>
  <c r="L11796" i="1" s="1"/>
  <c r="J11797" i="1"/>
  <c r="L11797" i="1" s="1"/>
  <c r="J11798" i="1"/>
  <c r="L11798" i="1" s="1"/>
  <c r="J11799" i="1"/>
  <c r="L11799" i="1" s="1"/>
  <c r="J11800" i="1"/>
  <c r="L11800" i="1" s="1"/>
  <c r="J11801" i="1"/>
  <c r="L11801" i="1" s="1"/>
  <c r="J11819" i="1"/>
  <c r="L11819" i="1" s="1"/>
  <c r="J11826" i="1"/>
  <c r="L11826" i="1" s="1"/>
  <c r="J11839" i="1"/>
  <c r="L11839" i="1" s="1"/>
  <c r="J11865" i="1"/>
  <c r="L11865" i="1" s="1"/>
  <c r="J11866" i="1"/>
  <c r="L11866" i="1" s="1"/>
  <c r="J11867" i="1"/>
  <c r="L11867" i="1" s="1"/>
  <c r="J11868" i="1"/>
  <c r="L11868" i="1" s="1"/>
  <c r="J11869" i="1"/>
  <c r="L11869" i="1" s="1"/>
  <c r="J11870" i="1"/>
  <c r="L11870" i="1" s="1"/>
  <c r="J11894" i="1"/>
  <c r="L11894" i="1" s="1"/>
  <c r="J11895" i="1"/>
  <c r="L11895" i="1" s="1"/>
  <c r="J11896" i="1"/>
  <c r="L11896" i="1" s="1"/>
  <c r="J11897" i="1"/>
  <c r="L11897" i="1" s="1"/>
  <c r="J11898" i="1"/>
  <c r="L11898" i="1" s="1"/>
  <c r="J11899" i="1"/>
  <c r="L11899" i="1" s="1"/>
  <c r="J11900" i="1"/>
  <c r="L11900" i="1" s="1"/>
  <c r="J11901" i="1"/>
  <c r="L11901" i="1" s="1"/>
  <c r="J11902" i="1"/>
  <c r="L11902" i="1" s="1"/>
  <c r="J11903" i="1"/>
  <c r="L11903" i="1" s="1"/>
  <c r="J11904" i="1"/>
  <c r="L11904" i="1" s="1"/>
  <c r="J11905" i="1"/>
  <c r="L11905" i="1" s="1"/>
  <c r="J11906" i="1"/>
  <c r="L11906" i="1" s="1"/>
  <c r="J11907" i="1"/>
  <c r="L11907" i="1" s="1"/>
  <c r="J11908" i="1"/>
  <c r="L11908" i="1" s="1"/>
  <c r="J11909" i="1"/>
  <c r="L11909" i="1" s="1"/>
  <c r="J11910" i="1"/>
  <c r="L11910" i="1" s="1"/>
  <c r="J11911" i="1"/>
  <c r="L11911" i="1" s="1"/>
  <c r="J11912" i="1"/>
  <c r="L11912" i="1" s="1"/>
  <c r="J11913" i="1"/>
  <c r="L11913" i="1" s="1"/>
  <c r="J11914" i="1"/>
  <c r="L11914" i="1" s="1"/>
  <c r="J11915" i="1"/>
  <c r="L11915" i="1" s="1"/>
  <c r="J11916" i="1"/>
  <c r="L11916" i="1" s="1"/>
  <c r="J11917" i="1"/>
  <c r="L11917" i="1" s="1"/>
  <c r="J11918" i="1"/>
  <c r="L11918" i="1" s="1"/>
  <c r="J11924" i="1"/>
  <c r="L11924" i="1" s="1"/>
  <c r="J11925" i="1"/>
  <c r="L11925" i="1" s="1"/>
  <c r="J11926" i="1"/>
  <c r="L11926" i="1" s="1"/>
  <c r="J11927" i="1"/>
  <c r="L11927" i="1" s="1"/>
  <c r="J11928" i="1"/>
  <c r="L11928" i="1" s="1"/>
  <c r="J11929" i="1"/>
  <c r="L11929" i="1" s="1"/>
  <c r="J11930" i="1"/>
  <c r="L11930" i="1" s="1"/>
  <c r="J11931" i="1"/>
  <c r="L11931" i="1" s="1"/>
  <c r="J11932" i="1"/>
  <c r="L11932" i="1" s="1"/>
  <c r="J11933" i="1"/>
  <c r="L11933" i="1" s="1"/>
  <c r="J11934" i="1"/>
  <c r="L11934" i="1" s="1"/>
  <c r="J11935" i="1"/>
  <c r="L11935" i="1" s="1"/>
  <c r="J11936" i="1"/>
  <c r="L11936" i="1" s="1"/>
  <c r="J11937" i="1"/>
  <c r="L11937" i="1" s="1"/>
  <c r="J11938" i="1"/>
  <c r="L11938" i="1" s="1"/>
  <c r="J11939" i="1"/>
  <c r="L11939" i="1" s="1"/>
  <c r="J11940" i="1"/>
  <c r="L11940" i="1" s="1"/>
  <c r="J11941" i="1"/>
  <c r="L11941" i="1" s="1"/>
  <c r="J11942" i="1"/>
  <c r="L11942" i="1" s="1"/>
  <c r="J11943" i="1"/>
  <c r="L11943" i="1" s="1"/>
  <c r="J11944" i="1"/>
  <c r="L11944" i="1" s="1"/>
  <c r="J11945" i="1"/>
  <c r="L11945" i="1" s="1"/>
  <c r="J11946" i="1"/>
  <c r="L11946" i="1" s="1"/>
  <c r="J11947" i="1"/>
  <c r="L11947" i="1" s="1"/>
  <c r="J11948" i="1"/>
  <c r="L11948" i="1" s="1"/>
  <c r="J11958" i="1"/>
  <c r="L11958" i="1" s="1"/>
  <c r="J11959" i="1"/>
  <c r="L11959" i="1" s="1"/>
  <c r="J11960" i="1"/>
  <c r="L11960" i="1" s="1"/>
  <c r="J11961" i="1"/>
  <c r="L11961" i="1" s="1"/>
  <c r="J11962" i="1"/>
  <c r="L11962" i="1" s="1"/>
  <c r="J11963" i="1"/>
  <c r="L11963" i="1" s="1"/>
  <c r="J11964" i="1"/>
  <c r="L11964" i="1" s="1"/>
  <c r="J11965" i="1"/>
  <c r="L11965" i="1" s="1"/>
  <c r="J11966" i="1"/>
  <c r="L11966" i="1" s="1"/>
  <c r="J11967" i="1"/>
  <c r="L11967" i="1" s="1"/>
  <c r="J11968" i="1"/>
  <c r="L11968" i="1" s="1"/>
  <c r="J11969" i="1"/>
  <c r="L11969" i="1" s="1"/>
  <c r="J11970" i="1"/>
  <c r="L11970" i="1" s="1"/>
  <c r="J11971" i="1"/>
  <c r="L11971" i="1" s="1"/>
  <c r="J11972" i="1"/>
  <c r="L11972" i="1" s="1"/>
  <c r="J11973" i="1"/>
  <c r="L11973" i="1" s="1"/>
  <c r="J11976" i="1"/>
  <c r="L11976" i="1" s="1"/>
  <c r="J11977" i="1"/>
  <c r="L11977" i="1" s="1"/>
  <c r="J11978" i="1"/>
  <c r="L11978" i="1" s="1"/>
  <c r="J11979" i="1"/>
  <c r="L11979" i="1" s="1"/>
  <c r="J11980" i="1"/>
  <c r="L11980" i="1" s="1"/>
  <c r="J11981" i="1"/>
  <c r="L11981" i="1" s="1"/>
  <c r="J12000" i="1"/>
  <c r="L12000" i="1" s="1"/>
  <c r="J12001" i="1"/>
  <c r="L12001" i="1" s="1"/>
  <c r="J12002" i="1"/>
  <c r="L12002" i="1" s="1"/>
  <c r="J12003" i="1"/>
  <c r="L12003" i="1" s="1"/>
  <c r="J12004" i="1"/>
  <c r="L12004" i="1" s="1"/>
  <c r="J12005" i="1"/>
  <c r="L12005" i="1" s="1"/>
  <c r="J12006" i="1"/>
  <c r="L12006" i="1" s="1"/>
  <c r="J12007" i="1"/>
  <c r="L12007" i="1" s="1"/>
  <c r="J12008" i="1"/>
  <c r="L12008" i="1" s="1"/>
  <c r="J12009" i="1"/>
  <c r="L12009" i="1" s="1"/>
  <c r="J12010" i="1"/>
  <c r="L12010" i="1" s="1"/>
  <c r="J12011" i="1"/>
  <c r="L12011" i="1" s="1"/>
  <c r="J12012" i="1"/>
  <c r="L12012" i="1" s="1"/>
  <c r="J12043" i="1"/>
  <c r="L12043" i="1" s="1"/>
  <c r="J12056" i="1"/>
  <c r="L12056" i="1" s="1"/>
  <c r="J12057" i="1"/>
  <c r="L12057" i="1" s="1"/>
  <c r="J12067" i="1"/>
  <c r="L12067" i="1" s="1"/>
  <c r="J12070" i="1"/>
  <c r="L12070" i="1" s="1"/>
  <c r="J12071" i="1"/>
  <c r="L12071" i="1" s="1"/>
  <c r="J12131" i="1"/>
  <c r="L12131" i="1" s="1"/>
  <c r="J12132" i="1"/>
  <c r="L12132" i="1" s="1"/>
  <c r="J12133" i="1"/>
  <c r="L12133" i="1" s="1"/>
  <c r="J12134" i="1"/>
  <c r="L12134" i="1" s="1"/>
  <c r="J12139" i="1"/>
  <c r="L12139" i="1" s="1"/>
  <c r="J12151" i="1"/>
  <c r="L12151" i="1" s="1"/>
  <c r="J12155" i="1"/>
  <c r="L12155" i="1" s="1"/>
  <c r="J12156" i="1"/>
  <c r="L12156" i="1" s="1"/>
  <c r="J12192" i="1"/>
  <c r="L12192" i="1" s="1"/>
  <c r="J12193" i="1"/>
  <c r="L12193" i="1" s="1"/>
  <c r="J12249" i="1"/>
  <c r="L12249" i="1" s="1"/>
  <c r="J12291" i="1"/>
  <c r="L12291" i="1" s="1"/>
  <c r="J12345" i="1"/>
  <c r="L12345" i="1" s="1"/>
  <c r="J12346" i="1"/>
  <c r="L12346" i="1" s="1"/>
  <c r="J12347" i="1"/>
  <c r="L12347" i="1" s="1"/>
  <c r="J12348" i="1"/>
  <c r="L12348" i="1" s="1"/>
  <c r="J12349" i="1"/>
  <c r="L12349" i="1" s="1"/>
  <c r="J12350" i="1"/>
  <c r="L12350" i="1" s="1"/>
  <c r="J12351" i="1"/>
  <c r="L12351" i="1" s="1"/>
  <c r="J12352" i="1"/>
  <c r="L12352" i="1" s="1"/>
  <c r="J12353" i="1"/>
  <c r="L12353" i="1" s="1"/>
  <c r="J12354" i="1"/>
  <c r="L12354" i="1" s="1"/>
  <c r="J12357" i="1"/>
  <c r="L12357" i="1" s="1"/>
  <c r="J12358" i="1"/>
  <c r="L12358" i="1" s="1"/>
  <c r="J12359" i="1"/>
  <c r="L12359" i="1" s="1"/>
  <c r="J12361" i="1"/>
  <c r="L12361" i="1" s="1"/>
  <c r="J12362" i="1"/>
  <c r="L12362" i="1" s="1"/>
  <c r="J12363" i="1"/>
  <c r="L12363" i="1" s="1"/>
  <c r="J12364" i="1"/>
  <c r="L12364" i="1" s="1"/>
  <c r="J12365" i="1"/>
  <c r="L12365" i="1" s="1"/>
  <c r="J12390" i="1"/>
  <c r="L12390" i="1" s="1"/>
  <c r="J12453" i="1"/>
  <c r="L12453" i="1" s="1"/>
  <c r="J12461" i="1"/>
  <c r="L12461" i="1" s="1"/>
  <c r="J12466" i="1"/>
  <c r="L12466" i="1" s="1"/>
  <c r="J12467" i="1"/>
  <c r="L12467" i="1" s="1"/>
  <c r="J12468" i="1"/>
  <c r="L12468" i="1" s="1"/>
  <c r="J12469" i="1"/>
  <c r="L12469" i="1" s="1"/>
  <c r="J12470" i="1"/>
  <c r="L12470" i="1" s="1"/>
  <c r="J12480" i="1"/>
  <c r="L12480" i="1" s="1"/>
  <c r="J12495" i="1"/>
  <c r="L12495" i="1" s="1"/>
  <c r="J12496" i="1"/>
  <c r="L12496" i="1" s="1"/>
  <c r="J12497" i="1"/>
  <c r="L12497" i="1" s="1"/>
  <c r="J12498" i="1"/>
  <c r="L12498" i="1" s="1"/>
  <c r="J12499" i="1"/>
  <c r="L12499" i="1" s="1"/>
  <c r="J12500" i="1"/>
  <c r="L12500" i="1" s="1"/>
  <c r="J12501" i="1"/>
  <c r="L12501" i="1" s="1"/>
  <c r="J12502" i="1"/>
  <c r="L12502" i="1" s="1"/>
  <c r="J12503" i="1"/>
  <c r="L12503" i="1" s="1"/>
  <c r="J12504" i="1"/>
  <c r="L12504" i="1" s="1"/>
  <c r="J12505" i="1"/>
  <c r="L12505" i="1" s="1"/>
  <c r="J12506" i="1"/>
  <c r="L12506" i="1" s="1"/>
  <c r="J12507" i="1"/>
  <c r="L12507" i="1" s="1"/>
  <c r="J12508" i="1"/>
  <c r="L12508" i="1" s="1"/>
  <c r="J12509" i="1"/>
  <c r="L12509" i="1" s="1"/>
  <c r="J12510" i="1"/>
  <c r="L12510" i="1" s="1"/>
  <c r="J12511" i="1"/>
  <c r="L12511" i="1" s="1"/>
  <c r="J12512" i="1"/>
  <c r="L12512" i="1" s="1"/>
  <c r="J12513" i="1"/>
  <c r="L12513" i="1" s="1"/>
  <c r="J12514" i="1"/>
  <c r="L12514" i="1" s="1"/>
  <c r="J12515" i="1"/>
  <c r="L12515" i="1" s="1"/>
  <c r="J12516" i="1"/>
  <c r="L12516" i="1" s="1"/>
  <c r="J12517" i="1"/>
  <c r="L12517" i="1" s="1"/>
  <c r="J12518" i="1"/>
  <c r="L12518" i="1" s="1"/>
  <c r="J12519" i="1"/>
  <c r="L12519" i="1" s="1"/>
  <c r="J12520" i="1"/>
  <c r="L12520" i="1" s="1"/>
  <c r="J12521" i="1"/>
  <c r="L12521" i="1" s="1"/>
  <c r="J12522" i="1"/>
  <c r="L12522" i="1" s="1"/>
  <c r="J12523" i="1"/>
  <c r="L12523" i="1" s="1"/>
  <c r="J12549" i="1"/>
  <c r="L12549" i="1" s="1"/>
  <c r="J12550" i="1"/>
  <c r="L12550" i="1" s="1"/>
  <c r="J12551" i="1"/>
  <c r="L12551" i="1" s="1"/>
  <c r="J12552" i="1"/>
  <c r="L12552" i="1" s="1"/>
  <c r="J12553" i="1"/>
  <c r="L12553" i="1" s="1"/>
  <c r="J12554" i="1"/>
  <c r="L12554" i="1" s="1"/>
  <c r="J12555" i="1"/>
  <c r="L12555" i="1" s="1"/>
  <c r="J12556" i="1"/>
  <c r="L12556" i="1" s="1"/>
  <c r="J12557" i="1"/>
  <c r="L12557" i="1" s="1"/>
  <c r="J12558" i="1"/>
  <c r="L12558" i="1" s="1"/>
  <c r="J12559" i="1"/>
  <c r="L12559" i="1" s="1"/>
  <c r="J12560" i="1"/>
  <c r="L12560" i="1" s="1"/>
  <c r="J12561" i="1"/>
  <c r="L12561" i="1" s="1"/>
  <c r="J12562" i="1"/>
  <c r="L12562" i="1" s="1"/>
  <c r="J12563" i="1"/>
  <c r="L12563" i="1" s="1"/>
  <c r="J12564" i="1"/>
  <c r="L12564" i="1" s="1"/>
  <c r="J12565" i="1"/>
  <c r="L12565" i="1" s="1"/>
  <c r="J12566" i="1"/>
  <c r="L12566" i="1" s="1"/>
  <c r="J12567" i="1"/>
  <c r="L12567" i="1" s="1"/>
  <c r="J12568" i="1"/>
  <c r="L12568" i="1" s="1"/>
  <c r="J12569" i="1"/>
  <c r="L12569" i="1" s="1"/>
  <c r="J12570" i="1"/>
  <c r="L12570" i="1" s="1"/>
  <c r="J12571" i="1"/>
  <c r="L12571" i="1" s="1"/>
  <c r="J12572" i="1"/>
  <c r="L12572" i="1" s="1"/>
  <c r="J12573" i="1"/>
  <c r="L12573" i="1" s="1"/>
  <c r="J12588" i="1"/>
  <c r="L12588" i="1" s="1"/>
  <c r="J12589" i="1"/>
  <c r="L12589" i="1" s="1"/>
  <c r="J12590" i="1"/>
  <c r="L12590" i="1" s="1"/>
  <c r="J12591" i="1"/>
  <c r="L12591" i="1" s="1"/>
  <c r="J12592" i="1"/>
  <c r="L12592" i="1" s="1"/>
  <c r="J12593" i="1"/>
  <c r="L12593" i="1" s="1"/>
  <c r="J12594" i="1"/>
  <c r="L12594" i="1" s="1"/>
  <c r="J12595" i="1"/>
  <c r="L12595" i="1" s="1"/>
  <c r="J12596" i="1"/>
  <c r="L12596" i="1" s="1"/>
  <c r="J12597" i="1"/>
  <c r="L12597" i="1" s="1"/>
  <c r="J12598" i="1"/>
  <c r="L12598" i="1" s="1"/>
  <c r="J12599" i="1"/>
  <c r="L12599" i="1" s="1"/>
  <c r="J12600" i="1"/>
  <c r="L12600" i="1" s="1"/>
  <c r="J12601" i="1"/>
  <c r="L12601" i="1" s="1"/>
  <c r="J12602" i="1"/>
  <c r="L12602" i="1" s="1"/>
  <c r="J12603" i="1"/>
  <c r="L12603" i="1" s="1"/>
  <c r="J12604" i="1"/>
  <c r="L12604" i="1" s="1"/>
  <c r="J12605" i="1"/>
  <c r="L12605" i="1" s="1"/>
  <c r="J12610" i="1"/>
  <c r="L12610" i="1" s="1"/>
  <c r="J12612" i="1"/>
  <c r="L12612" i="1" s="1"/>
  <c r="J12614" i="1"/>
  <c r="L12614" i="1" s="1"/>
  <c r="J12617" i="1"/>
  <c r="L12617" i="1" s="1"/>
  <c r="J12623" i="1"/>
  <c r="L12623" i="1" s="1"/>
  <c r="J12626" i="1"/>
  <c r="L12626" i="1" s="1"/>
  <c r="J12627" i="1"/>
  <c r="L12627" i="1" s="1"/>
  <c r="J12633" i="1"/>
  <c r="L12633" i="1" s="1"/>
  <c r="J12635" i="1"/>
  <c r="L12635" i="1" s="1"/>
  <c r="J12637" i="1"/>
  <c r="L12637" i="1" s="1"/>
  <c r="J12639" i="1"/>
  <c r="L12639" i="1" s="1"/>
  <c r="J12646" i="1"/>
  <c r="L12646" i="1" s="1"/>
  <c r="J12659" i="1"/>
  <c r="L12659" i="1" s="1"/>
  <c r="J12683" i="1"/>
  <c r="L12683" i="1" s="1"/>
  <c r="J12686" i="1"/>
  <c r="L12686" i="1" s="1"/>
  <c r="J12688" i="1"/>
  <c r="L12688" i="1" s="1"/>
  <c r="J12693" i="1"/>
  <c r="L12693" i="1" s="1"/>
  <c r="J12701" i="1"/>
  <c r="L12701" i="1" s="1"/>
  <c r="J12706" i="1"/>
  <c r="L12706" i="1" s="1"/>
  <c r="J12707" i="1"/>
  <c r="L12707" i="1" s="1"/>
  <c r="J12708" i="1"/>
  <c r="L12708" i="1" s="1"/>
  <c r="J12743" i="1"/>
  <c r="L12743" i="1" s="1"/>
  <c r="J12745" i="1"/>
  <c r="L12745" i="1" s="1"/>
  <c r="J12748" i="1"/>
  <c r="L12748" i="1" s="1"/>
  <c r="J12749" i="1"/>
  <c r="L12749" i="1" s="1"/>
  <c r="J12750" i="1"/>
  <c r="L12750" i="1" s="1"/>
  <c r="J12751" i="1"/>
  <c r="L12751" i="1" s="1"/>
  <c r="J12752" i="1"/>
  <c r="L12752" i="1" s="1"/>
  <c r="J12753" i="1"/>
  <c r="L12753" i="1" s="1"/>
  <c r="J12754" i="1"/>
  <c r="L12754" i="1" s="1"/>
  <c r="J12757" i="1"/>
  <c r="L12757" i="1" s="1"/>
  <c r="J12758" i="1"/>
  <c r="L12758" i="1" s="1"/>
  <c r="J12759" i="1"/>
  <c r="L12759" i="1" s="1"/>
  <c r="J12763" i="1"/>
  <c r="L12763" i="1" s="1"/>
  <c r="J12764" i="1"/>
  <c r="L12764" i="1" s="1"/>
  <c r="J12765" i="1"/>
  <c r="L12765" i="1" s="1"/>
  <c r="J12766" i="1"/>
  <c r="L12766" i="1" s="1"/>
  <c r="J12768" i="1"/>
  <c r="L12768" i="1" s="1"/>
  <c r="J12769" i="1"/>
  <c r="L12769" i="1" s="1"/>
  <c r="J12770" i="1"/>
  <c r="L12770" i="1" s="1"/>
  <c r="J12771" i="1"/>
  <c r="L12771" i="1" s="1"/>
  <c r="J12772" i="1"/>
  <c r="L12772" i="1" s="1"/>
  <c r="J12788" i="1"/>
  <c r="L12788" i="1" s="1"/>
  <c r="J12791" i="1"/>
  <c r="L12791" i="1" s="1"/>
  <c r="J12796" i="1"/>
  <c r="L12796" i="1" s="1"/>
  <c r="J12797" i="1"/>
  <c r="L12797" i="1" s="1"/>
  <c r="J12798" i="1"/>
  <c r="L12798" i="1" s="1"/>
  <c r="J12799" i="1"/>
  <c r="L12799" i="1" s="1"/>
  <c r="J12800" i="1"/>
  <c r="L12800" i="1" s="1"/>
  <c r="J12801" i="1"/>
  <c r="L12801" i="1" s="1"/>
  <c r="J12802" i="1"/>
  <c r="L12802" i="1" s="1"/>
  <c r="J12803" i="1"/>
  <c r="L12803" i="1" s="1"/>
  <c r="J12804" i="1"/>
  <c r="L12804" i="1" s="1"/>
  <c r="J12805" i="1"/>
  <c r="L12805" i="1" s="1"/>
  <c r="J12806" i="1"/>
  <c r="L12806" i="1" s="1"/>
  <c r="J12807" i="1"/>
  <c r="L12807" i="1" s="1"/>
  <c r="J12808" i="1"/>
  <c r="L12808" i="1" s="1"/>
  <c r="J12809" i="1"/>
  <c r="L12809" i="1" s="1"/>
  <c r="J12810" i="1"/>
  <c r="L12810" i="1" s="1"/>
  <c r="J12811" i="1"/>
  <c r="L12811" i="1" s="1"/>
  <c r="J12812" i="1"/>
  <c r="L12812" i="1" s="1"/>
  <c r="J12813" i="1"/>
  <c r="L12813" i="1" s="1"/>
  <c r="J12817" i="1"/>
  <c r="L12817" i="1" s="1"/>
  <c r="J12818" i="1"/>
  <c r="L12818" i="1" s="1"/>
  <c r="J12819" i="1"/>
  <c r="L12819" i="1" s="1"/>
  <c r="J12820" i="1"/>
  <c r="L12820" i="1" s="1"/>
  <c r="J12821" i="1"/>
  <c r="L12821" i="1" s="1"/>
  <c r="J12822" i="1"/>
  <c r="L12822" i="1" s="1"/>
  <c r="J12823" i="1"/>
  <c r="L12823" i="1" s="1"/>
  <c r="J12824" i="1"/>
  <c r="L12824" i="1" s="1"/>
  <c r="J12825" i="1"/>
  <c r="L12825" i="1" s="1"/>
  <c r="J12826" i="1"/>
  <c r="L12826" i="1" s="1"/>
  <c r="J12827" i="1"/>
  <c r="L12827" i="1" s="1"/>
  <c r="J12828" i="1"/>
  <c r="L12828" i="1" s="1"/>
  <c r="J12829" i="1"/>
  <c r="L12829" i="1" s="1"/>
  <c r="J12830" i="1"/>
  <c r="L12830" i="1" s="1"/>
  <c r="J12831" i="1"/>
  <c r="L12831" i="1" s="1"/>
  <c r="J12832" i="1"/>
  <c r="L12832" i="1" s="1"/>
  <c r="J12833" i="1"/>
  <c r="L12833" i="1" s="1"/>
  <c r="J12834" i="1"/>
  <c r="L12834" i="1" s="1"/>
  <c r="J12842" i="1"/>
  <c r="L12842" i="1" s="1"/>
  <c r="J12843" i="1"/>
  <c r="L12843" i="1" s="1"/>
  <c r="J12844" i="1"/>
  <c r="L12844" i="1" s="1"/>
  <c r="J12845" i="1"/>
  <c r="L12845" i="1" s="1"/>
  <c r="J12846" i="1"/>
  <c r="L12846" i="1" s="1"/>
  <c r="J12847" i="1"/>
  <c r="L12847" i="1" s="1"/>
  <c r="J12848" i="1"/>
  <c r="L12848" i="1" s="1"/>
  <c r="J12849" i="1"/>
  <c r="L12849" i="1" s="1"/>
  <c r="J12850" i="1"/>
  <c r="L12850" i="1" s="1"/>
  <c r="J12851" i="1"/>
  <c r="L12851" i="1" s="1"/>
  <c r="J12852" i="1"/>
  <c r="L12852" i="1" s="1"/>
  <c r="J12853" i="1"/>
  <c r="L12853" i="1" s="1"/>
  <c r="J12854" i="1"/>
  <c r="L12854" i="1" s="1"/>
  <c r="J12855" i="1"/>
  <c r="L12855" i="1" s="1"/>
  <c r="J12856" i="1"/>
  <c r="L12856" i="1" s="1"/>
  <c r="J12860" i="1"/>
  <c r="L12860" i="1" s="1"/>
  <c r="J12861" i="1"/>
  <c r="L12861" i="1" s="1"/>
  <c r="J12862" i="1"/>
  <c r="L12862" i="1" s="1"/>
  <c r="J12863" i="1"/>
  <c r="L12863" i="1" s="1"/>
  <c r="J12864" i="1"/>
  <c r="L12864" i="1" s="1"/>
  <c r="J12865" i="1"/>
  <c r="L12865" i="1" s="1"/>
  <c r="J12866" i="1"/>
  <c r="L12866" i="1" s="1"/>
  <c r="J12867" i="1"/>
  <c r="L12867" i="1" s="1"/>
  <c r="J12868" i="1"/>
  <c r="L12868" i="1" s="1"/>
  <c r="J12869" i="1"/>
  <c r="L12869" i="1" s="1"/>
  <c r="J12870" i="1"/>
  <c r="L12870" i="1" s="1"/>
  <c r="J12871" i="1"/>
  <c r="L12871" i="1" s="1"/>
  <c r="J12872" i="1"/>
  <c r="L12872" i="1" s="1"/>
  <c r="J12873" i="1"/>
  <c r="L12873" i="1" s="1"/>
  <c r="J12874" i="1"/>
  <c r="L12874" i="1" s="1"/>
  <c r="J12875" i="1"/>
  <c r="L12875" i="1" s="1"/>
  <c r="J12876" i="1"/>
  <c r="L12876" i="1" s="1"/>
  <c r="J12891" i="1"/>
  <c r="L12891" i="1" s="1"/>
  <c r="J12892" i="1"/>
  <c r="L12892" i="1" s="1"/>
  <c r="J12893" i="1"/>
  <c r="L12893" i="1" s="1"/>
  <c r="J12894" i="1"/>
  <c r="L12894" i="1" s="1"/>
  <c r="J12896" i="1"/>
  <c r="L12896" i="1" s="1"/>
  <c r="J12903" i="1"/>
  <c r="L12903" i="1" s="1"/>
  <c r="J12904" i="1"/>
  <c r="L12904" i="1" s="1"/>
  <c r="J12905" i="1"/>
  <c r="L12905" i="1" s="1"/>
  <c r="J12906" i="1"/>
  <c r="L12906" i="1" s="1"/>
  <c r="J12907" i="1"/>
  <c r="L12907" i="1" s="1"/>
  <c r="J12909" i="1"/>
  <c r="L12909" i="1" s="1"/>
  <c r="J12912" i="1"/>
  <c r="L12912" i="1" s="1"/>
  <c r="J12913" i="1"/>
  <c r="L12913" i="1" s="1"/>
  <c r="J12918" i="1"/>
  <c r="L12918" i="1" s="1"/>
  <c r="J12919" i="1"/>
  <c r="L12919" i="1" s="1"/>
  <c r="J12920" i="1"/>
  <c r="L12920" i="1" s="1"/>
  <c r="J12928" i="1"/>
  <c r="L12928" i="1" s="1"/>
  <c r="J12932" i="1"/>
  <c r="L12932" i="1" s="1"/>
  <c r="J12934" i="1"/>
  <c r="L12934" i="1" s="1"/>
  <c r="J12936" i="1"/>
  <c r="L12936" i="1" s="1"/>
  <c r="J12937" i="1"/>
  <c r="L12937" i="1" s="1"/>
  <c r="J12940" i="1"/>
  <c r="L12940" i="1" s="1"/>
  <c r="J12945" i="1"/>
  <c r="L12945" i="1" s="1"/>
  <c r="J12946" i="1"/>
  <c r="L12946" i="1" s="1"/>
  <c r="J12947" i="1"/>
  <c r="L12947" i="1" s="1"/>
  <c r="J12948" i="1"/>
  <c r="L12948" i="1" s="1"/>
  <c r="J12949" i="1"/>
  <c r="L12949" i="1" s="1"/>
  <c r="J12950" i="1"/>
  <c r="L12950" i="1" s="1"/>
  <c r="J12951" i="1"/>
  <c r="L12951" i="1" s="1"/>
  <c r="J12952" i="1"/>
  <c r="L12952" i="1" s="1"/>
  <c r="J12953" i="1"/>
  <c r="L12953" i="1" s="1"/>
  <c r="J12954" i="1"/>
  <c r="L12954" i="1" s="1"/>
  <c r="J12955" i="1"/>
  <c r="L12955" i="1" s="1"/>
  <c r="J12956" i="1"/>
  <c r="L12956" i="1" s="1"/>
  <c r="J12957" i="1"/>
  <c r="L12957" i="1" s="1"/>
  <c r="J12958" i="1"/>
  <c r="L12958" i="1" s="1"/>
  <c r="J12961" i="1"/>
  <c r="L12961" i="1" s="1"/>
  <c r="J12962" i="1"/>
  <c r="L12962" i="1" s="1"/>
  <c r="J12965" i="1"/>
  <c r="L12965" i="1" s="1"/>
  <c r="J12966" i="1"/>
  <c r="L12966" i="1" s="1"/>
  <c r="J12967" i="1"/>
  <c r="L12967" i="1" s="1"/>
  <c r="J12968" i="1"/>
  <c r="L12968" i="1" s="1"/>
  <c r="J12973" i="1"/>
  <c r="L12973" i="1" s="1"/>
  <c r="J12974" i="1"/>
  <c r="L12974" i="1" s="1"/>
  <c r="J12984" i="1"/>
  <c r="L12984" i="1" s="1"/>
  <c r="J12993" i="1"/>
  <c r="L12993" i="1" s="1"/>
  <c r="J12996" i="1"/>
  <c r="L12996" i="1" s="1"/>
  <c r="J12997" i="1"/>
  <c r="L12997" i="1" s="1"/>
  <c r="J12998" i="1"/>
  <c r="L12998" i="1" s="1"/>
  <c r="J12999" i="1"/>
  <c r="L12999" i="1" s="1"/>
  <c r="J13000" i="1"/>
  <c r="L13000" i="1" s="1"/>
  <c r="J13001" i="1"/>
  <c r="L13001" i="1" s="1"/>
  <c r="J13002" i="1"/>
  <c r="L13002" i="1" s="1"/>
  <c r="J13003" i="1"/>
  <c r="L13003" i="1" s="1"/>
  <c r="J13004" i="1"/>
  <c r="L13004" i="1" s="1"/>
  <c r="J13005" i="1"/>
  <c r="L13005" i="1" s="1"/>
  <c r="J13006" i="1"/>
  <c r="L13006" i="1" s="1"/>
  <c r="J13007" i="1"/>
  <c r="L13007" i="1" s="1"/>
  <c r="J13011" i="1"/>
  <c r="L13011" i="1" s="1"/>
  <c r="J13012" i="1"/>
  <c r="L13012" i="1" s="1"/>
  <c r="J13013" i="1"/>
  <c r="L13013" i="1" s="1"/>
  <c r="J13014" i="1"/>
  <c r="L13014" i="1" s="1"/>
  <c r="J13015" i="1"/>
  <c r="L13015" i="1" s="1"/>
  <c r="J13016" i="1"/>
  <c r="L13016" i="1" s="1"/>
  <c r="J13017" i="1"/>
  <c r="L13017" i="1" s="1"/>
  <c r="J13018" i="1"/>
  <c r="L13018" i="1" s="1"/>
  <c r="J13019" i="1"/>
  <c r="L13019" i="1" s="1"/>
  <c r="J13020" i="1"/>
  <c r="L13020" i="1" s="1"/>
  <c r="J13021" i="1"/>
  <c r="L13021" i="1" s="1"/>
  <c r="J13022" i="1"/>
  <c r="L13022" i="1" s="1"/>
  <c r="J13024" i="1"/>
  <c r="L13024" i="1" s="1"/>
  <c r="J13025" i="1"/>
  <c r="L13025" i="1" s="1"/>
  <c r="J13026" i="1"/>
  <c r="L13026" i="1" s="1"/>
  <c r="J13027" i="1"/>
  <c r="L13027" i="1" s="1"/>
  <c r="J13028" i="1"/>
  <c r="L13028" i="1" s="1"/>
  <c r="J13029" i="1"/>
  <c r="L13029" i="1" s="1"/>
  <c r="J13030" i="1"/>
  <c r="L13030" i="1" s="1"/>
  <c r="J13031" i="1"/>
  <c r="L13031" i="1" s="1"/>
  <c r="J13032" i="1"/>
  <c r="L13032" i="1" s="1"/>
  <c r="J13035" i="1"/>
  <c r="L13035" i="1" s="1"/>
  <c r="J13036" i="1"/>
  <c r="L13036" i="1" s="1"/>
  <c r="J13037" i="1"/>
  <c r="L13037" i="1" s="1"/>
  <c r="J13038" i="1"/>
  <c r="L13038" i="1" s="1"/>
  <c r="J13039" i="1"/>
  <c r="L13039" i="1" s="1"/>
  <c r="J13040" i="1"/>
  <c r="L13040" i="1" s="1"/>
  <c r="J13041" i="1"/>
  <c r="L13041" i="1" s="1"/>
  <c r="J13042" i="1"/>
  <c r="L13042" i="1" s="1"/>
  <c r="J13047" i="1"/>
  <c r="L13047" i="1" s="1"/>
  <c r="J13048" i="1"/>
  <c r="L13048" i="1" s="1"/>
  <c r="J13049" i="1"/>
  <c r="L13049" i="1" s="1"/>
  <c r="J13050" i="1"/>
  <c r="L13050" i="1" s="1"/>
  <c r="J13059" i="1"/>
  <c r="L13059" i="1" s="1"/>
  <c r="J13061" i="1"/>
  <c r="L13061" i="1" s="1"/>
  <c r="J13063" i="1"/>
  <c r="L13063" i="1" s="1"/>
  <c r="J13067" i="1"/>
  <c r="L13067" i="1" s="1"/>
  <c r="J13068" i="1"/>
  <c r="L13068" i="1" s="1"/>
  <c r="J13069" i="1"/>
  <c r="L13069" i="1" s="1"/>
  <c r="J13070" i="1"/>
  <c r="L13070" i="1" s="1"/>
  <c r="J13098" i="1"/>
  <c r="L13098" i="1" s="1"/>
  <c r="J13099" i="1"/>
  <c r="L13099" i="1" s="1"/>
  <c r="J13100" i="1"/>
  <c r="L13100" i="1" s="1"/>
  <c r="J13101" i="1"/>
  <c r="L13101" i="1" s="1"/>
  <c r="J13102" i="1"/>
  <c r="L13102" i="1" s="1"/>
  <c r="J13103" i="1"/>
  <c r="L13103" i="1" s="1"/>
  <c r="J13104" i="1"/>
  <c r="L13104" i="1" s="1"/>
  <c r="J13105" i="1"/>
  <c r="L13105" i="1" s="1"/>
  <c r="J13106" i="1"/>
  <c r="L13106" i="1" s="1"/>
  <c r="J13107" i="1"/>
  <c r="L13107" i="1" s="1"/>
  <c r="J13108" i="1"/>
  <c r="L13108" i="1" s="1"/>
  <c r="J13109" i="1"/>
  <c r="L13109" i="1" s="1"/>
  <c r="J13110" i="1"/>
  <c r="L13110" i="1" s="1"/>
  <c r="J13111" i="1"/>
  <c r="L13111" i="1" s="1"/>
  <c r="J13112" i="1"/>
  <c r="L13112" i="1" s="1"/>
  <c r="J13113" i="1"/>
  <c r="L13113" i="1" s="1"/>
  <c r="J13114" i="1"/>
  <c r="L13114" i="1" s="1"/>
  <c r="J13115" i="1"/>
  <c r="L13115" i="1" s="1"/>
  <c r="J13116" i="1"/>
  <c r="L13116" i="1" s="1"/>
  <c r="J13117" i="1"/>
  <c r="L13117" i="1" s="1"/>
  <c r="J13119" i="1"/>
  <c r="L13119" i="1" s="1"/>
  <c r="J13120" i="1"/>
  <c r="L13120" i="1" s="1"/>
  <c r="J13121" i="1"/>
  <c r="L13121" i="1" s="1"/>
  <c r="J13122" i="1"/>
  <c r="L13122" i="1" s="1"/>
  <c r="J13123" i="1"/>
  <c r="L13123" i="1" s="1"/>
  <c r="J13124" i="1"/>
  <c r="L13124" i="1" s="1"/>
  <c r="J13125" i="1"/>
  <c r="L13125" i="1" s="1"/>
  <c r="J13126" i="1"/>
  <c r="L13126" i="1" s="1"/>
  <c r="J13127" i="1"/>
  <c r="L13127" i="1" s="1"/>
  <c r="J13128" i="1"/>
  <c r="L13128" i="1" s="1"/>
  <c r="J13129" i="1"/>
  <c r="L13129" i="1" s="1"/>
  <c r="J13130" i="1"/>
  <c r="L13130" i="1" s="1"/>
  <c r="J13131" i="1"/>
  <c r="L13131" i="1" s="1"/>
  <c r="J13132" i="1"/>
  <c r="L13132" i="1" s="1"/>
  <c r="J13133" i="1"/>
  <c r="L13133" i="1" s="1"/>
  <c r="J13134" i="1"/>
  <c r="L13134" i="1" s="1"/>
  <c r="J13135" i="1"/>
  <c r="L13135" i="1" s="1"/>
  <c r="J13136" i="1"/>
  <c r="L13136" i="1" s="1"/>
  <c r="J13137" i="1"/>
  <c r="L13137" i="1" s="1"/>
  <c r="J13138" i="1"/>
  <c r="L13138" i="1" s="1"/>
  <c r="J13147" i="1"/>
  <c r="L13147" i="1" s="1"/>
  <c r="J13148" i="1"/>
  <c r="L13148" i="1" s="1"/>
  <c r="J13149" i="1"/>
  <c r="L13149" i="1" s="1"/>
  <c r="J13150" i="1"/>
  <c r="L13150" i="1" s="1"/>
  <c r="J13151" i="1"/>
  <c r="L13151" i="1" s="1"/>
  <c r="J13152" i="1"/>
  <c r="L13152" i="1" s="1"/>
  <c r="J13153" i="1"/>
  <c r="L13153" i="1" s="1"/>
  <c r="J13154" i="1"/>
  <c r="L13154" i="1" s="1"/>
  <c r="J13155" i="1"/>
  <c r="L13155" i="1" s="1"/>
  <c r="J13156" i="1"/>
  <c r="L13156" i="1" s="1"/>
  <c r="J13157" i="1"/>
  <c r="L13157" i="1" s="1"/>
  <c r="J13158" i="1"/>
  <c r="L13158" i="1" s="1"/>
  <c r="J13159" i="1"/>
  <c r="L13159" i="1" s="1"/>
  <c r="J13160" i="1"/>
  <c r="L13160" i="1" s="1"/>
  <c r="J13163" i="1"/>
  <c r="L13163" i="1" s="1"/>
  <c r="J13164" i="1"/>
  <c r="L13164" i="1" s="1"/>
  <c r="J13165" i="1"/>
  <c r="L13165" i="1" s="1"/>
  <c r="J13166" i="1"/>
  <c r="L13166" i="1" s="1"/>
  <c r="J13167" i="1"/>
  <c r="L13167" i="1" s="1"/>
  <c r="J13168" i="1"/>
  <c r="L13168" i="1" s="1"/>
  <c r="J13169" i="1"/>
  <c r="L13169" i="1" s="1"/>
  <c r="J13170" i="1"/>
  <c r="L13170" i="1" s="1"/>
  <c r="J13171" i="1"/>
  <c r="L13171" i="1" s="1"/>
  <c r="J13172" i="1"/>
  <c r="L13172" i="1" s="1"/>
  <c r="J13173" i="1"/>
  <c r="L13173" i="1" s="1"/>
  <c r="J13174" i="1"/>
  <c r="L13174" i="1" s="1"/>
  <c r="J13175" i="1"/>
  <c r="L13175" i="1" s="1"/>
  <c r="J13176" i="1"/>
  <c r="L13176" i="1" s="1"/>
  <c r="J13177" i="1"/>
  <c r="L13177" i="1" s="1"/>
  <c r="J13178" i="1"/>
  <c r="L13178" i="1" s="1"/>
  <c r="J13179" i="1"/>
  <c r="L13179" i="1" s="1"/>
  <c r="J13180" i="1"/>
  <c r="L13180" i="1" s="1"/>
  <c r="J13250" i="1"/>
  <c r="L13250" i="1" s="1"/>
  <c r="J13253" i="1"/>
  <c r="L13253" i="1" s="1"/>
  <c r="J13256" i="1"/>
  <c r="L13256" i="1" s="1"/>
  <c r="J13275" i="1"/>
  <c r="L13275" i="1" s="1"/>
  <c r="J13320" i="1"/>
  <c r="L13320" i="1" s="1"/>
  <c r="J13321" i="1"/>
  <c r="L13321" i="1" s="1"/>
  <c r="J13322" i="1"/>
  <c r="L13322" i="1" s="1"/>
  <c r="J13337" i="1"/>
  <c r="L13337" i="1" s="1"/>
  <c r="J13342" i="1"/>
  <c r="L13342" i="1" s="1"/>
  <c r="J13350" i="1"/>
  <c r="L13350" i="1" s="1"/>
  <c r="J13358" i="1"/>
  <c r="L13358" i="1" s="1"/>
  <c r="J13362" i="1"/>
  <c r="L13362" i="1" s="1"/>
  <c r="J13414" i="1"/>
  <c r="L13414" i="1" s="1"/>
  <c r="J13415" i="1"/>
  <c r="L13415" i="1" s="1"/>
  <c r="J13416" i="1"/>
  <c r="L13416" i="1" s="1"/>
  <c r="J13417" i="1"/>
  <c r="L13417" i="1" s="1"/>
  <c r="J13418" i="1"/>
  <c r="L13418" i="1" s="1"/>
  <c r="J13419" i="1"/>
  <c r="L13419" i="1" s="1"/>
  <c r="J13420" i="1"/>
  <c r="L13420" i="1" s="1"/>
  <c r="J13434" i="1"/>
  <c r="L13434" i="1" s="1"/>
  <c r="J13435" i="1"/>
  <c r="L13435" i="1" s="1"/>
  <c r="J13436" i="1"/>
  <c r="L13436" i="1" s="1"/>
  <c r="J13437" i="1"/>
  <c r="L13437" i="1" s="1"/>
  <c r="J13438" i="1"/>
  <c r="L13438" i="1" s="1"/>
  <c r="J13439" i="1"/>
  <c r="L13439" i="1" s="1"/>
  <c r="J13440" i="1"/>
  <c r="L13440" i="1" s="1"/>
  <c r="J13441" i="1"/>
  <c r="L13441" i="1" s="1"/>
  <c r="J13442" i="1"/>
  <c r="L13442" i="1" s="1"/>
  <c r="J13443" i="1"/>
  <c r="L13443" i="1" s="1"/>
  <c r="J13444" i="1"/>
  <c r="L13444" i="1" s="1"/>
  <c r="J13445" i="1"/>
  <c r="L13445" i="1" s="1"/>
  <c r="J13446" i="1"/>
  <c r="L13446" i="1" s="1"/>
  <c r="J13447" i="1"/>
  <c r="L13447" i="1" s="1"/>
  <c r="J13448" i="1"/>
  <c r="L13448" i="1" s="1"/>
  <c r="J13449" i="1"/>
  <c r="L13449" i="1" s="1"/>
  <c r="J13450" i="1"/>
  <c r="L13450" i="1" s="1"/>
  <c r="J13451" i="1"/>
  <c r="L13451" i="1" s="1"/>
  <c r="J13458" i="1"/>
  <c r="L13458" i="1" s="1"/>
  <c r="J13459" i="1"/>
  <c r="L13459" i="1" s="1"/>
  <c r="J13479" i="1"/>
  <c r="L13479" i="1" s="1"/>
  <c r="J13492" i="1"/>
  <c r="L13492" i="1" s="1"/>
  <c r="J13526" i="1"/>
  <c r="L13526" i="1" s="1"/>
  <c r="J13527" i="1"/>
  <c r="L13527" i="1" s="1"/>
  <c r="J13528" i="1"/>
  <c r="L13528" i="1" s="1"/>
  <c r="J13529" i="1"/>
  <c r="L13529" i="1" s="1"/>
  <c r="J13530" i="1"/>
  <c r="L13530" i="1" s="1"/>
  <c r="J13531" i="1"/>
  <c r="L13531" i="1" s="1"/>
  <c r="J13534" i="1"/>
  <c r="L13534" i="1" s="1"/>
  <c r="J13535" i="1"/>
  <c r="L13535" i="1" s="1"/>
  <c r="J13536" i="1"/>
  <c r="L13536" i="1" s="1"/>
  <c r="J13537" i="1"/>
  <c r="L13537" i="1" s="1"/>
  <c r="J13540" i="1"/>
  <c r="L13540" i="1" s="1"/>
  <c r="J13541" i="1"/>
  <c r="L13541" i="1" s="1"/>
  <c r="J13542" i="1"/>
  <c r="L13542" i="1" s="1"/>
  <c r="J13543" i="1"/>
  <c r="L13543" i="1" s="1"/>
  <c r="J13544" i="1"/>
  <c r="L13544" i="1" s="1"/>
  <c r="J13545" i="1"/>
  <c r="L13545" i="1" s="1"/>
  <c r="J13546" i="1"/>
  <c r="L13546" i="1" s="1"/>
  <c r="J13547" i="1"/>
  <c r="L13547" i="1" s="1"/>
  <c r="J13548" i="1"/>
  <c r="L13548" i="1" s="1"/>
  <c r="J13549" i="1"/>
  <c r="L13549" i="1" s="1"/>
  <c r="J13550" i="1"/>
  <c r="L13550" i="1" s="1"/>
  <c r="J13551" i="1"/>
  <c r="L13551" i="1" s="1"/>
  <c r="J13552" i="1"/>
  <c r="L13552" i="1" s="1"/>
  <c r="J13553" i="1"/>
  <c r="L13553" i="1" s="1"/>
  <c r="J13562" i="1"/>
  <c r="L13562" i="1" s="1"/>
  <c r="J13563" i="1"/>
  <c r="L13563" i="1" s="1"/>
  <c r="J13564" i="1"/>
  <c r="L13564" i="1" s="1"/>
  <c r="J13565" i="1"/>
  <c r="L13565" i="1" s="1"/>
  <c r="J13566" i="1"/>
  <c r="L13566" i="1" s="1"/>
  <c r="J13567" i="1"/>
  <c r="L13567" i="1" s="1"/>
  <c r="J13568" i="1"/>
  <c r="L13568" i="1" s="1"/>
  <c r="J13569" i="1"/>
  <c r="L13569" i="1" s="1"/>
  <c r="J13570" i="1"/>
  <c r="L13570" i="1" s="1"/>
  <c r="J13571" i="1"/>
  <c r="L13571" i="1" s="1"/>
  <c r="J13572" i="1"/>
  <c r="L13572" i="1" s="1"/>
  <c r="J13573" i="1"/>
  <c r="L13573" i="1" s="1"/>
  <c r="J13574" i="1"/>
  <c r="L13574" i="1" s="1"/>
  <c r="J13575" i="1"/>
  <c r="L13575" i="1" s="1"/>
  <c r="J13576" i="1"/>
  <c r="L13576" i="1" s="1"/>
  <c r="J13577" i="1"/>
  <c r="L13577" i="1" s="1"/>
  <c r="J13578" i="1"/>
  <c r="L13578" i="1" s="1"/>
  <c r="J13579" i="1"/>
  <c r="L13579" i="1" s="1"/>
  <c r="J13580" i="1"/>
  <c r="L13580" i="1" s="1"/>
  <c r="J13581" i="1"/>
  <c r="L13581" i="1" s="1"/>
  <c r="J13614" i="1"/>
  <c r="L13614" i="1" s="1"/>
  <c r="J13615" i="1"/>
  <c r="L13615" i="1" s="1"/>
  <c r="J13618" i="1"/>
  <c r="L13618" i="1" s="1"/>
  <c r="J13620" i="1"/>
  <c r="L13620" i="1" s="1"/>
  <c r="J13652" i="1"/>
  <c r="L13652" i="1" s="1"/>
  <c r="J13654" i="1"/>
  <c r="L13654" i="1" s="1"/>
  <c r="J13659" i="1"/>
  <c r="L13659" i="1" s="1"/>
  <c r="J13660" i="1"/>
  <c r="L13660" i="1" s="1"/>
  <c r="J13661" i="1"/>
  <c r="L13661" i="1" s="1"/>
  <c r="J13666" i="1"/>
  <c r="L13666" i="1" s="1"/>
  <c r="J13667" i="1"/>
  <c r="L13667" i="1" s="1"/>
  <c r="J13668" i="1"/>
  <c r="L13668" i="1" s="1"/>
  <c r="J13669" i="1"/>
  <c r="L13669" i="1" s="1"/>
  <c r="J13671" i="1"/>
  <c r="L13671" i="1" s="1"/>
  <c r="J13673" i="1"/>
  <c r="L13673" i="1" s="1"/>
  <c r="J13678" i="1"/>
  <c r="L13678" i="1" s="1"/>
  <c r="J13679" i="1"/>
  <c r="L13679" i="1" s="1"/>
  <c r="J13680" i="1"/>
  <c r="L13680" i="1" s="1"/>
  <c r="J13681" i="1"/>
  <c r="L13681" i="1" s="1"/>
  <c r="J13688" i="1"/>
  <c r="L13688" i="1" s="1"/>
  <c r="J13689" i="1"/>
  <c r="L13689" i="1" s="1"/>
  <c r="J13690" i="1"/>
  <c r="L13690" i="1" s="1"/>
  <c r="J13691" i="1"/>
  <c r="L13691" i="1" s="1"/>
  <c r="J13692" i="1"/>
  <c r="L13692" i="1" s="1"/>
  <c r="J13693" i="1"/>
  <c r="L13693" i="1" s="1"/>
  <c r="J13696" i="1"/>
  <c r="L13696" i="1" s="1"/>
  <c r="J13697" i="1"/>
  <c r="L13697" i="1" s="1"/>
  <c r="J13710" i="1"/>
  <c r="L13710" i="1" s="1"/>
  <c r="J13731" i="1"/>
  <c r="L13731" i="1" s="1"/>
  <c r="J13732" i="1"/>
  <c r="L13732" i="1" s="1"/>
  <c r="J13733" i="1"/>
  <c r="L13733" i="1" s="1"/>
  <c r="J13734" i="1"/>
  <c r="L13734" i="1" s="1"/>
  <c r="J13753" i="1"/>
  <c r="L13753" i="1" s="1"/>
  <c r="J13754" i="1"/>
  <c r="L13754" i="1" s="1"/>
  <c r="J13755" i="1"/>
  <c r="L13755" i="1" s="1"/>
  <c r="J13756" i="1"/>
  <c r="L13756" i="1" s="1"/>
  <c r="J13757" i="1"/>
  <c r="L13757" i="1" s="1"/>
  <c r="J13758" i="1"/>
  <c r="L13758" i="1" s="1"/>
  <c r="J13759" i="1"/>
  <c r="L13759" i="1" s="1"/>
  <c r="J13760" i="1"/>
  <c r="L13760" i="1" s="1"/>
  <c r="J13761" i="1"/>
  <c r="L13761" i="1" s="1"/>
  <c r="J13762" i="1"/>
  <c r="L13762" i="1" s="1"/>
  <c r="J13785" i="1"/>
  <c r="L13785" i="1" s="1"/>
  <c r="J13798" i="1"/>
  <c r="L13798" i="1" s="1"/>
  <c r="J13799" i="1"/>
  <c r="L13799" i="1" s="1"/>
  <c r="J13851" i="1"/>
  <c r="L13851" i="1" s="1"/>
  <c r="J13852" i="1"/>
  <c r="L13852" i="1" s="1"/>
  <c r="J13853" i="1"/>
  <c r="L13853" i="1" s="1"/>
  <c r="J13854" i="1"/>
  <c r="L13854" i="1" s="1"/>
  <c r="J13857" i="1"/>
  <c r="L13857" i="1" s="1"/>
  <c r="J13863" i="1"/>
  <c r="L13863" i="1" s="1"/>
  <c r="J13871" i="1"/>
  <c r="L13871" i="1" s="1"/>
  <c r="J13872" i="1"/>
  <c r="L13872" i="1" s="1"/>
  <c r="J13873" i="1"/>
  <c r="L13873" i="1" s="1"/>
  <c r="J13874" i="1"/>
  <c r="L13874" i="1" s="1"/>
  <c r="J13875" i="1"/>
  <c r="L13875" i="1" s="1"/>
  <c r="J13876" i="1"/>
  <c r="L13876" i="1" s="1"/>
  <c r="J13877" i="1"/>
  <c r="L13877" i="1" s="1"/>
  <c r="J13878" i="1"/>
  <c r="L13878" i="1" s="1"/>
  <c r="J13880" i="1"/>
  <c r="L13880" i="1" s="1"/>
  <c r="J13882" i="1"/>
  <c r="L13882" i="1" s="1"/>
  <c r="J13883" i="1"/>
  <c r="L13883" i="1" s="1"/>
  <c r="J13887" i="1"/>
  <c r="L13887" i="1" s="1"/>
  <c r="J13888" i="1"/>
  <c r="L13888" i="1" s="1"/>
  <c r="J13898" i="1"/>
  <c r="L13898" i="1" s="1"/>
  <c r="J13899" i="1"/>
  <c r="L13899" i="1" s="1"/>
  <c r="J13900" i="1"/>
  <c r="L13900" i="1" s="1"/>
  <c r="J13917" i="1"/>
  <c r="L13917" i="1" s="1"/>
  <c r="J13923" i="1"/>
  <c r="L13923" i="1" s="1"/>
  <c r="J13931" i="1"/>
  <c r="L13931" i="1" s="1"/>
  <c r="J13932" i="1"/>
  <c r="L13932" i="1" s="1"/>
  <c r="J13933" i="1"/>
  <c r="L13933" i="1" s="1"/>
  <c r="J13934" i="1"/>
  <c r="L13934" i="1" s="1"/>
  <c r="J13935" i="1"/>
  <c r="L13935" i="1" s="1"/>
  <c r="J13936" i="1"/>
  <c r="L13936" i="1" s="1"/>
  <c r="J13938" i="1"/>
  <c r="L13938" i="1" s="1"/>
  <c r="J13940" i="1"/>
  <c r="L13940" i="1" s="1"/>
  <c r="J13941" i="1"/>
  <c r="L13941" i="1" s="1"/>
  <c r="J13942" i="1"/>
  <c r="L13942" i="1" s="1"/>
  <c r="J13943" i="1"/>
  <c r="L13943" i="1" s="1"/>
  <c r="J13944" i="1"/>
  <c r="L13944" i="1" s="1"/>
  <c r="J13950" i="1"/>
  <c r="L13950" i="1" s="1"/>
  <c r="J13957" i="1"/>
  <c r="L13957" i="1" s="1"/>
  <c r="J13963" i="1"/>
  <c r="L13963" i="1" s="1"/>
  <c r="J13964" i="1"/>
  <c r="L13964" i="1" s="1"/>
  <c r="J13965" i="1"/>
  <c r="L13965" i="1" s="1"/>
  <c r="J13989" i="1"/>
  <c r="L13989" i="1" s="1"/>
  <c r="J13990" i="1"/>
  <c r="L13990" i="1" s="1"/>
  <c r="J13991" i="1"/>
  <c r="L13991" i="1" s="1"/>
  <c r="J13992" i="1"/>
  <c r="L13992" i="1" s="1"/>
  <c r="J13993" i="1"/>
  <c r="L13993" i="1" s="1"/>
  <c r="J13994" i="1"/>
  <c r="L13994" i="1" s="1"/>
  <c r="J13995" i="1"/>
  <c r="L13995" i="1" s="1"/>
  <c r="J13996" i="1"/>
  <c r="L13996" i="1" s="1"/>
  <c r="J13997" i="1"/>
  <c r="L13997" i="1" s="1"/>
  <c r="J13998" i="1"/>
  <c r="L13998" i="1" s="1"/>
  <c r="J13999" i="1"/>
  <c r="L13999" i="1" s="1"/>
  <c r="J14000" i="1"/>
  <c r="L14000" i="1" s="1"/>
  <c r="J14001" i="1"/>
  <c r="L14001" i="1" s="1"/>
  <c r="J14002" i="1"/>
  <c r="L14002" i="1" s="1"/>
  <c r="J14003" i="1"/>
  <c r="L14003" i="1" s="1"/>
  <c r="J14004" i="1"/>
  <c r="L14004" i="1" s="1"/>
  <c r="J14005" i="1"/>
  <c r="L14005" i="1" s="1"/>
  <c r="J14006" i="1"/>
  <c r="L14006" i="1" s="1"/>
  <c r="J14007" i="1"/>
  <c r="L14007" i="1" s="1"/>
  <c r="J14008" i="1"/>
  <c r="L14008" i="1" s="1"/>
  <c r="J14009" i="1"/>
  <c r="L14009" i="1" s="1"/>
  <c r="J14010" i="1"/>
  <c r="L14010" i="1" s="1"/>
  <c r="J14014" i="1"/>
  <c r="L14014" i="1" s="1"/>
  <c r="J14015" i="1"/>
  <c r="L14015" i="1" s="1"/>
  <c r="J14016" i="1"/>
  <c r="L14016" i="1" s="1"/>
  <c r="J14017" i="1"/>
  <c r="L14017" i="1" s="1"/>
  <c r="J14018" i="1"/>
  <c r="L14018" i="1" s="1"/>
  <c r="J14019" i="1"/>
  <c r="L14019" i="1" s="1"/>
  <c r="J14020" i="1"/>
  <c r="L14020" i="1" s="1"/>
  <c r="J14021" i="1"/>
  <c r="L14021" i="1" s="1"/>
  <c r="J14022" i="1"/>
  <c r="L14022" i="1" s="1"/>
  <c r="J14023" i="1"/>
  <c r="L14023" i="1" s="1"/>
  <c r="J14024" i="1"/>
  <c r="L14024" i="1" s="1"/>
  <c r="J14025" i="1"/>
  <c r="L14025" i="1" s="1"/>
  <c r="J14026" i="1"/>
  <c r="L14026" i="1" s="1"/>
  <c r="J14027" i="1"/>
  <c r="L14027" i="1" s="1"/>
  <c r="J14028" i="1"/>
  <c r="L14028" i="1" s="1"/>
  <c r="J14029" i="1"/>
  <c r="L14029" i="1" s="1"/>
  <c r="J14030" i="1"/>
  <c r="L14030" i="1" s="1"/>
  <c r="J14031" i="1"/>
  <c r="L14031" i="1" s="1"/>
  <c r="J14032" i="1"/>
  <c r="L14032" i="1" s="1"/>
  <c r="J14033" i="1"/>
  <c r="L14033" i="1" s="1"/>
  <c r="J14034" i="1"/>
  <c r="L14034" i="1" s="1"/>
  <c r="J14035" i="1"/>
  <c r="L14035" i="1" s="1"/>
  <c r="J14036" i="1"/>
  <c r="L14036" i="1" s="1"/>
  <c r="J14037" i="1"/>
  <c r="L14037" i="1" s="1"/>
  <c r="J14038" i="1"/>
  <c r="L14038" i="1" s="1"/>
  <c r="J14039" i="1"/>
  <c r="L14039" i="1" s="1"/>
  <c r="J14040" i="1"/>
  <c r="L14040" i="1" s="1"/>
  <c r="J14041" i="1"/>
  <c r="L14041" i="1" s="1"/>
  <c r="J14042" i="1"/>
  <c r="L14042" i="1" s="1"/>
  <c r="J14043" i="1"/>
  <c r="L14043" i="1" s="1"/>
  <c r="J14044" i="1"/>
  <c r="L14044" i="1" s="1"/>
  <c r="J14050" i="1"/>
  <c r="L14050" i="1" s="1"/>
  <c r="J14053" i="1"/>
  <c r="L14053" i="1" s="1"/>
  <c r="J14054" i="1"/>
  <c r="L14054" i="1" s="1"/>
  <c r="J14055" i="1"/>
  <c r="L14055" i="1" s="1"/>
  <c r="J14056" i="1"/>
  <c r="L14056" i="1" s="1"/>
  <c r="J14057" i="1"/>
  <c r="L14057" i="1" s="1"/>
  <c r="J14058" i="1"/>
  <c r="L14058" i="1" s="1"/>
  <c r="J14059" i="1"/>
  <c r="L14059" i="1" s="1"/>
  <c r="J14060" i="1"/>
  <c r="L14060" i="1" s="1"/>
  <c r="J14061" i="1"/>
  <c r="L14061" i="1" s="1"/>
  <c r="J14062" i="1"/>
  <c r="L14062" i="1" s="1"/>
  <c r="J14063" i="1"/>
  <c r="L14063" i="1" s="1"/>
  <c r="J14064" i="1"/>
  <c r="L14064" i="1" s="1"/>
  <c r="J14065" i="1"/>
  <c r="L14065" i="1" s="1"/>
  <c r="J14066" i="1"/>
  <c r="L14066" i="1" s="1"/>
  <c r="J14067" i="1"/>
  <c r="L14067" i="1" s="1"/>
  <c r="J14068" i="1"/>
  <c r="L14068" i="1" s="1"/>
  <c r="J14069" i="1"/>
  <c r="L14069" i="1" s="1"/>
  <c r="J14070" i="1"/>
  <c r="L14070" i="1" s="1"/>
  <c r="J14071" i="1"/>
  <c r="L14071" i="1" s="1"/>
  <c r="J14072" i="1"/>
  <c r="L14072" i="1" s="1"/>
  <c r="J14075" i="1"/>
  <c r="L14075" i="1" s="1"/>
  <c r="J14100" i="1"/>
  <c r="L14100" i="1" s="1"/>
  <c r="J14101" i="1"/>
  <c r="L14101" i="1" s="1"/>
  <c r="J14102" i="1"/>
  <c r="L14102" i="1" s="1"/>
  <c r="J14103" i="1"/>
  <c r="L14103" i="1" s="1"/>
  <c r="J14104" i="1"/>
  <c r="L14104" i="1" s="1"/>
  <c r="J14105" i="1"/>
  <c r="L14105" i="1" s="1"/>
  <c r="J14106" i="1"/>
  <c r="L14106" i="1" s="1"/>
  <c r="J14107" i="1"/>
  <c r="L14107" i="1" s="1"/>
  <c r="J14108" i="1"/>
  <c r="L14108" i="1" s="1"/>
  <c r="J14109" i="1"/>
  <c r="L14109" i="1" s="1"/>
  <c r="J14110" i="1"/>
  <c r="L14110" i="1" s="1"/>
  <c r="J14111" i="1"/>
  <c r="L14111" i="1" s="1"/>
  <c r="J14112" i="1"/>
  <c r="L14112" i="1" s="1"/>
  <c r="J14113" i="1"/>
  <c r="L14113" i="1" s="1"/>
  <c r="J14114" i="1"/>
  <c r="L14114" i="1" s="1"/>
  <c r="J14115" i="1"/>
  <c r="L14115" i="1" s="1"/>
  <c r="J14116" i="1"/>
  <c r="L14116" i="1" s="1"/>
  <c r="J14117" i="1"/>
  <c r="L14117" i="1" s="1"/>
  <c r="J14118" i="1"/>
  <c r="L14118" i="1" s="1"/>
  <c r="J14119" i="1"/>
  <c r="L14119" i="1" s="1"/>
  <c r="J14120" i="1"/>
  <c r="L14120" i="1" s="1"/>
  <c r="J14121" i="1"/>
  <c r="L14121" i="1" s="1"/>
  <c r="J14122" i="1"/>
  <c r="L14122" i="1" s="1"/>
  <c r="J14123" i="1"/>
  <c r="L14123" i="1" s="1"/>
  <c r="J14124" i="1"/>
  <c r="L14124" i="1" s="1"/>
  <c r="J14125" i="1"/>
  <c r="L14125" i="1" s="1"/>
  <c r="J14126" i="1"/>
  <c r="L14126" i="1" s="1"/>
  <c r="J14129" i="1"/>
  <c r="L14129" i="1" s="1"/>
  <c r="J14130" i="1"/>
  <c r="L14130" i="1" s="1"/>
  <c r="J14131" i="1"/>
  <c r="L14131" i="1" s="1"/>
  <c r="J14132" i="1"/>
  <c r="L14132" i="1" s="1"/>
  <c r="J14133" i="1"/>
  <c r="L14133" i="1" s="1"/>
  <c r="J14134" i="1"/>
  <c r="L14134" i="1" s="1"/>
  <c r="J14135" i="1"/>
  <c r="L14135" i="1" s="1"/>
  <c r="J14136" i="1"/>
  <c r="L14136" i="1" s="1"/>
  <c r="J14137" i="1"/>
  <c r="L14137" i="1" s="1"/>
  <c r="J14138" i="1"/>
  <c r="L14138" i="1" s="1"/>
  <c r="J14139" i="1"/>
  <c r="L14139" i="1" s="1"/>
  <c r="J14140" i="1"/>
  <c r="L14140" i="1" s="1"/>
  <c r="J14141" i="1"/>
  <c r="L14141" i="1" s="1"/>
  <c r="J14142" i="1"/>
  <c r="L14142" i="1" s="1"/>
  <c r="J14143" i="1"/>
  <c r="L14143" i="1" s="1"/>
  <c r="J14144" i="1"/>
  <c r="L14144" i="1" s="1"/>
  <c r="J14145" i="1"/>
  <c r="L14145" i="1" s="1"/>
  <c r="J14146" i="1"/>
  <c r="L14146" i="1" s="1"/>
  <c r="J14147" i="1"/>
  <c r="L14147" i="1" s="1"/>
  <c r="J14148" i="1"/>
  <c r="L14148" i="1" s="1"/>
  <c r="J14149" i="1"/>
  <c r="L14149" i="1" s="1"/>
  <c r="J14150" i="1"/>
  <c r="L14150" i="1" s="1"/>
  <c r="J14151" i="1"/>
  <c r="L14151" i="1" s="1"/>
  <c r="J14152" i="1"/>
  <c r="L14152" i="1" s="1"/>
  <c r="J14153" i="1"/>
  <c r="L14153" i="1" s="1"/>
  <c r="J14154" i="1"/>
  <c r="L14154" i="1" s="1"/>
  <c r="J14155" i="1"/>
  <c r="L14155" i="1" s="1"/>
  <c r="J14156" i="1"/>
  <c r="L14156" i="1" s="1"/>
  <c r="J14157" i="1"/>
  <c r="L14157" i="1" s="1"/>
  <c r="J14158" i="1"/>
  <c r="L14158" i="1" s="1"/>
  <c r="J14159" i="1"/>
  <c r="L14159" i="1" s="1"/>
  <c r="J14160" i="1"/>
  <c r="L14160" i="1" s="1"/>
  <c r="J14161" i="1"/>
  <c r="L14161" i="1" s="1"/>
  <c r="J14162" i="1"/>
  <c r="L14162" i="1" s="1"/>
  <c r="J14163" i="1"/>
  <c r="L14163" i="1" s="1"/>
  <c r="J14164" i="1"/>
  <c r="L14164" i="1" s="1"/>
  <c r="J14165" i="1"/>
  <c r="L14165" i="1" s="1"/>
  <c r="J14166" i="1"/>
  <c r="L14166" i="1" s="1"/>
  <c r="J14167" i="1"/>
  <c r="L14167" i="1" s="1"/>
  <c r="J14168" i="1"/>
  <c r="L14168" i="1" s="1"/>
  <c r="J14169" i="1"/>
  <c r="L14169" i="1" s="1"/>
  <c r="J14170" i="1"/>
  <c r="L14170" i="1" s="1"/>
  <c r="J14171" i="1"/>
  <c r="L14171" i="1" s="1"/>
  <c r="J14172" i="1"/>
  <c r="L14172" i="1" s="1"/>
  <c r="J14173" i="1"/>
  <c r="L14173" i="1" s="1"/>
  <c r="J14174" i="1"/>
  <c r="L14174" i="1" s="1"/>
  <c r="J14175" i="1"/>
  <c r="L14175" i="1" s="1"/>
  <c r="J14176" i="1"/>
  <c r="L14176" i="1" s="1"/>
  <c r="J14178" i="1"/>
  <c r="L14178" i="1" s="1"/>
  <c r="J14179" i="1"/>
  <c r="L14179" i="1" s="1"/>
  <c r="J14180" i="1"/>
  <c r="L14180" i="1" s="1"/>
  <c r="J14181" i="1"/>
  <c r="L14181" i="1" s="1"/>
  <c r="J14184" i="1"/>
  <c r="L14184" i="1" s="1"/>
  <c r="J14187" i="1"/>
  <c r="L14187" i="1" s="1"/>
  <c r="J14188" i="1"/>
  <c r="L14188" i="1" s="1"/>
  <c r="J14189" i="1"/>
  <c r="L14189" i="1" s="1"/>
  <c r="J14190" i="1"/>
  <c r="L14190" i="1" s="1"/>
  <c r="J14191" i="1"/>
  <c r="L14191" i="1" s="1"/>
  <c r="J14192" i="1"/>
  <c r="L14192" i="1" s="1"/>
  <c r="J14193" i="1"/>
  <c r="L14193" i="1" s="1"/>
  <c r="J14194" i="1"/>
  <c r="L14194" i="1" s="1"/>
  <c r="J14195" i="1"/>
  <c r="L14195" i="1" s="1"/>
  <c r="J14217" i="1"/>
  <c r="L14217" i="1" s="1"/>
  <c r="J14218" i="1"/>
  <c r="L14218" i="1" s="1"/>
  <c r="J14219" i="1"/>
  <c r="L14219" i="1" s="1"/>
  <c r="J14220" i="1"/>
  <c r="L14220" i="1" s="1"/>
  <c r="J14234" i="1"/>
  <c r="L14234" i="1" s="1"/>
  <c r="J14237" i="1"/>
  <c r="L14237" i="1" s="1"/>
  <c r="J14239" i="1"/>
  <c r="L14239" i="1" s="1"/>
  <c r="J14240" i="1"/>
  <c r="L14240" i="1" s="1"/>
  <c r="J14241" i="1"/>
  <c r="L14241" i="1" s="1"/>
  <c r="J14242" i="1"/>
  <c r="L14242" i="1" s="1"/>
  <c r="J14243" i="1"/>
  <c r="L14243" i="1" s="1"/>
  <c r="J14376" i="1"/>
  <c r="L14376" i="1" s="1"/>
  <c r="J14384" i="1"/>
  <c r="L14384" i="1" s="1"/>
  <c r="J14385" i="1"/>
  <c r="L14385" i="1" s="1"/>
  <c r="J14386" i="1"/>
  <c r="L14386" i="1" s="1"/>
  <c r="J14387" i="1"/>
  <c r="L14387" i="1" s="1"/>
  <c r="J14388" i="1"/>
  <c r="L14388" i="1" s="1"/>
  <c r="J14389" i="1"/>
  <c r="L14389" i="1" s="1"/>
  <c r="J14390" i="1"/>
  <c r="L14390" i="1" s="1"/>
  <c r="J14391" i="1"/>
  <c r="L14391" i="1" s="1"/>
  <c r="J14393" i="1"/>
  <c r="L14393" i="1" s="1"/>
  <c r="J14394" i="1"/>
  <c r="L14394" i="1" s="1"/>
  <c r="J14395" i="1"/>
  <c r="L14395" i="1" s="1"/>
  <c r="J14396" i="1"/>
  <c r="L14396" i="1" s="1"/>
  <c r="J14403" i="1"/>
  <c r="L14403" i="1" s="1"/>
  <c r="J14409" i="1"/>
  <c r="L14409" i="1" s="1"/>
  <c r="J14410" i="1"/>
  <c r="L14410" i="1" s="1"/>
  <c r="J14411" i="1"/>
  <c r="L14411" i="1" s="1"/>
  <c r="J14412" i="1"/>
  <c r="L14412" i="1" s="1"/>
  <c r="J14414" i="1"/>
  <c r="L14414" i="1" s="1"/>
  <c r="J14415" i="1"/>
  <c r="L14415" i="1" s="1"/>
  <c r="J14416" i="1"/>
  <c r="L14416" i="1" s="1"/>
  <c r="J14507" i="1"/>
  <c r="L14507" i="1" s="1"/>
  <c r="J14508" i="1"/>
  <c r="L14508" i="1" s="1"/>
  <c r="J14526" i="1"/>
  <c r="L14526" i="1" s="1"/>
  <c r="J14527" i="1"/>
  <c r="L14527" i="1" s="1"/>
  <c r="J14528" i="1"/>
  <c r="L14528" i="1" s="1"/>
  <c r="J14529" i="1"/>
  <c r="L14529" i="1" s="1"/>
  <c r="J14530" i="1"/>
  <c r="L14530" i="1" s="1"/>
  <c r="J14531" i="1"/>
  <c r="L14531" i="1" s="1"/>
  <c r="J14532" i="1"/>
  <c r="L14532" i="1" s="1"/>
  <c r="J14533" i="1"/>
  <c r="L14533" i="1" s="1"/>
  <c r="J14534" i="1"/>
  <c r="L14534" i="1" s="1"/>
  <c r="J14535" i="1"/>
  <c r="L14535" i="1" s="1"/>
  <c r="J14536" i="1"/>
  <c r="L14536" i="1" s="1"/>
  <c r="J14537" i="1"/>
  <c r="L14537" i="1" s="1"/>
  <c r="J14538" i="1"/>
  <c r="L14538" i="1" s="1"/>
  <c r="J14539" i="1"/>
  <c r="L14539" i="1" s="1"/>
  <c r="J14540" i="1"/>
  <c r="L14540" i="1" s="1"/>
  <c r="J14541" i="1"/>
  <c r="L14541" i="1" s="1"/>
  <c r="J14542" i="1"/>
  <c r="L14542" i="1" s="1"/>
  <c r="J14543" i="1"/>
  <c r="L14543" i="1" s="1"/>
  <c r="J14565" i="1"/>
  <c r="L14565" i="1" s="1"/>
  <c r="J14566" i="1"/>
  <c r="L14566" i="1" s="1"/>
  <c r="J14567" i="1"/>
  <c r="L14567" i="1" s="1"/>
  <c r="J14568" i="1"/>
  <c r="L14568" i="1" s="1"/>
  <c r="J14569" i="1"/>
  <c r="L14569" i="1" s="1"/>
  <c r="J14570" i="1"/>
  <c r="L14570" i="1" s="1"/>
  <c r="J14571" i="1"/>
  <c r="L14571" i="1" s="1"/>
  <c r="J14572" i="1"/>
  <c r="L14572" i="1" s="1"/>
  <c r="J14573" i="1"/>
  <c r="L14573" i="1" s="1"/>
  <c r="J14574" i="1"/>
  <c r="L14574" i="1" s="1"/>
  <c r="J14575" i="1"/>
  <c r="L14575" i="1" s="1"/>
  <c r="J14576" i="1"/>
  <c r="L14576" i="1" s="1"/>
  <c r="J14577" i="1"/>
  <c r="L14577" i="1" s="1"/>
  <c r="J14601" i="1"/>
  <c r="L14601" i="1" s="1"/>
  <c r="J14602" i="1"/>
  <c r="L14602" i="1" s="1"/>
  <c r="J14603" i="1"/>
  <c r="L14603" i="1" s="1"/>
  <c r="J14604" i="1"/>
  <c r="L14604" i="1" s="1"/>
  <c r="J14605" i="1"/>
  <c r="L14605" i="1" s="1"/>
  <c r="J14606" i="1"/>
  <c r="L14606" i="1" s="1"/>
  <c r="J14607" i="1"/>
  <c r="L14607" i="1" s="1"/>
  <c r="J14608" i="1"/>
  <c r="L14608" i="1" s="1"/>
  <c r="J14609" i="1"/>
  <c r="L14609" i="1" s="1"/>
  <c r="J14612" i="1"/>
  <c r="L14612" i="1" s="1"/>
  <c r="J14613" i="1"/>
  <c r="L14613" i="1" s="1"/>
  <c r="J14614" i="1"/>
  <c r="L14614" i="1" s="1"/>
  <c r="J14615" i="1"/>
  <c r="L14615" i="1" s="1"/>
  <c r="J14616" i="1"/>
  <c r="L14616" i="1" s="1"/>
  <c r="J14617" i="1"/>
  <c r="L14617" i="1" s="1"/>
  <c r="J14618" i="1"/>
  <c r="L14618" i="1" s="1"/>
  <c r="J14619" i="1"/>
  <c r="L14619" i="1" s="1"/>
  <c r="J14620" i="1"/>
  <c r="L14620" i="1" s="1"/>
  <c r="J14621" i="1"/>
  <c r="L14621" i="1" s="1"/>
  <c r="J14622" i="1"/>
  <c r="L14622" i="1" s="1"/>
  <c r="J14623" i="1"/>
  <c r="L14623" i="1" s="1"/>
  <c r="J14624" i="1"/>
  <c r="L14624" i="1" s="1"/>
  <c r="J14625" i="1"/>
  <c r="L14625" i="1" s="1"/>
  <c r="J14626" i="1"/>
  <c r="L14626" i="1" s="1"/>
  <c r="J14627" i="1"/>
  <c r="L14627" i="1" s="1"/>
  <c r="J14628" i="1"/>
  <c r="L14628" i="1" s="1"/>
  <c r="J14629" i="1"/>
  <c r="L14629" i="1" s="1"/>
  <c r="J14630" i="1"/>
  <c r="L14630" i="1" s="1"/>
  <c r="J14631" i="1"/>
  <c r="L14631" i="1" s="1"/>
  <c r="J14632" i="1"/>
  <c r="L14632" i="1" s="1"/>
  <c r="J14633" i="1"/>
  <c r="L14633" i="1" s="1"/>
  <c r="J14634" i="1"/>
  <c r="L14634" i="1" s="1"/>
  <c r="J14635" i="1"/>
  <c r="L14635" i="1" s="1"/>
  <c r="J14636" i="1"/>
  <c r="L14636" i="1" s="1"/>
  <c r="J14637" i="1"/>
  <c r="L14637" i="1" s="1"/>
  <c r="J14638" i="1"/>
  <c r="L14638" i="1" s="1"/>
  <c r="J14639" i="1"/>
  <c r="L14639" i="1" s="1"/>
  <c r="J14640" i="1"/>
  <c r="L14640" i="1" s="1"/>
  <c r="J14641" i="1"/>
  <c r="L14641" i="1" s="1"/>
  <c r="J14642" i="1"/>
  <c r="L14642" i="1" s="1"/>
  <c r="J14643" i="1"/>
  <c r="L14643" i="1" s="1"/>
  <c r="J14644" i="1"/>
  <c r="L14644" i="1" s="1"/>
  <c r="J14645" i="1"/>
  <c r="L14645" i="1" s="1"/>
  <c r="J14646" i="1"/>
  <c r="L14646" i="1" s="1"/>
  <c r="J14647" i="1"/>
  <c r="L14647" i="1" s="1"/>
  <c r="J14648" i="1"/>
  <c r="L14648" i="1" s="1"/>
  <c r="J14649" i="1"/>
  <c r="L14649" i="1" s="1"/>
  <c r="J14650" i="1"/>
  <c r="L14650" i="1" s="1"/>
  <c r="J14651" i="1"/>
  <c r="L14651" i="1" s="1"/>
  <c r="J14652" i="1"/>
  <c r="L14652" i="1" s="1"/>
  <c r="J14653" i="1"/>
  <c r="L14653" i="1" s="1"/>
  <c r="J14654" i="1"/>
  <c r="L14654" i="1" s="1"/>
  <c r="J14655" i="1"/>
  <c r="L14655" i="1" s="1"/>
  <c r="J14656" i="1"/>
  <c r="L14656" i="1" s="1"/>
  <c r="J14657" i="1"/>
  <c r="L14657" i="1" s="1"/>
  <c r="J14658" i="1"/>
  <c r="L14658" i="1" s="1"/>
  <c r="J14659" i="1"/>
  <c r="L14659" i="1" s="1"/>
  <c r="J14660" i="1"/>
  <c r="L14660" i="1" s="1"/>
  <c r="J14661" i="1"/>
  <c r="L14661" i="1" s="1"/>
  <c r="J14662" i="1"/>
  <c r="L14662" i="1" s="1"/>
  <c r="J14663" i="1"/>
  <c r="L14663" i="1" s="1"/>
  <c r="J14664" i="1"/>
  <c r="L14664" i="1" s="1"/>
  <c r="J14665" i="1"/>
  <c r="L14665" i="1" s="1"/>
  <c r="J14666" i="1"/>
  <c r="L14666" i="1" s="1"/>
  <c r="J14667" i="1"/>
  <c r="L14667" i="1" s="1"/>
  <c r="J14668" i="1"/>
  <c r="L14668" i="1" s="1"/>
  <c r="J14669" i="1"/>
  <c r="L14669" i="1" s="1"/>
  <c r="J14670" i="1"/>
  <c r="L14670" i="1" s="1"/>
  <c r="J14671" i="1"/>
  <c r="L14671" i="1" s="1"/>
  <c r="J14672" i="1"/>
  <c r="L14672" i="1" s="1"/>
  <c r="J14673" i="1"/>
  <c r="L14673" i="1" s="1"/>
  <c r="J14674" i="1"/>
  <c r="L14674" i="1" s="1"/>
  <c r="J14675" i="1"/>
  <c r="L14675" i="1" s="1"/>
  <c r="J14676" i="1"/>
  <c r="L14676" i="1" s="1"/>
  <c r="J14677" i="1"/>
  <c r="L14677" i="1" s="1"/>
  <c r="J14694" i="1"/>
  <c r="L14694" i="1" s="1"/>
  <c r="J14707" i="1"/>
  <c r="L14707" i="1" s="1"/>
  <c r="J14714" i="1"/>
  <c r="L14714" i="1" s="1"/>
  <c r="J14715" i="1"/>
  <c r="L14715" i="1" s="1"/>
  <c r="J14716" i="1"/>
  <c r="L14716" i="1" s="1"/>
  <c r="J14718" i="1"/>
  <c r="L14718" i="1" s="1"/>
  <c r="J14722" i="1"/>
  <c r="L14722" i="1" s="1"/>
  <c r="J14725" i="1"/>
  <c r="L14725" i="1" s="1"/>
  <c r="J14731" i="1"/>
  <c r="L14731" i="1" s="1"/>
  <c r="J14838" i="1"/>
  <c r="L14838" i="1" s="1"/>
  <c r="J14839" i="1"/>
  <c r="L14839" i="1" s="1"/>
  <c r="J14840" i="1"/>
  <c r="L14840" i="1" s="1"/>
  <c r="J14841" i="1"/>
  <c r="L14841" i="1" s="1"/>
  <c r="J14842" i="1"/>
  <c r="L14842" i="1" s="1"/>
  <c r="J14843" i="1"/>
  <c r="L14843" i="1" s="1"/>
  <c r="J14844" i="1"/>
  <c r="L14844" i="1" s="1"/>
  <c r="J14845" i="1"/>
  <c r="L14845" i="1" s="1"/>
  <c r="J14846" i="1"/>
  <c r="L14846" i="1" s="1"/>
  <c r="J14852" i="1"/>
  <c r="L14852" i="1" s="1"/>
  <c r="J14853" i="1"/>
  <c r="L14853" i="1" s="1"/>
  <c r="J14854" i="1"/>
  <c r="L14854" i="1" s="1"/>
  <c r="J14855" i="1"/>
  <c r="L14855" i="1" s="1"/>
  <c r="J14856" i="1"/>
  <c r="L14856" i="1" s="1"/>
  <c r="J14863" i="1"/>
  <c r="L14863" i="1" s="1"/>
  <c r="J14864" i="1"/>
  <c r="L14864" i="1" s="1"/>
  <c r="J14865" i="1"/>
  <c r="L14865" i="1" s="1"/>
  <c r="J14866" i="1"/>
  <c r="L14866" i="1" s="1"/>
  <c r="J14873" i="1"/>
  <c r="L14873" i="1" s="1"/>
  <c r="J14874" i="1"/>
  <c r="L14874" i="1" s="1"/>
  <c r="J14875" i="1"/>
  <c r="L14875" i="1" s="1"/>
  <c r="J14876" i="1"/>
  <c r="L14876" i="1" s="1"/>
  <c r="J14877" i="1"/>
  <c r="L14877" i="1" s="1"/>
  <c r="J14878" i="1"/>
  <c r="L14878" i="1" s="1"/>
  <c r="J14879" i="1"/>
  <c r="L14879" i="1" s="1"/>
  <c r="J14880" i="1"/>
  <c r="L14880" i="1" s="1"/>
  <c r="J14881" i="1"/>
  <c r="L14881" i="1" s="1"/>
  <c r="J14882" i="1"/>
  <c r="L14882" i="1" s="1"/>
  <c r="J14883" i="1"/>
  <c r="L14883" i="1" s="1"/>
  <c r="J14884" i="1"/>
  <c r="L14884" i="1" s="1"/>
  <c r="J14885" i="1"/>
  <c r="L14885" i="1" s="1"/>
  <c r="J14886" i="1"/>
  <c r="L14886" i="1" s="1"/>
  <c r="J14889" i="1"/>
  <c r="L14889" i="1" s="1"/>
  <c r="J14890" i="1"/>
  <c r="L14890" i="1" s="1"/>
  <c r="J14891" i="1"/>
  <c r="L14891" i="1" s="1"/>
  <c r="J14912" i="1"/>
  <c r="L14912" i="1" s="1"/>
  <c r="J14913" i="1"/>
  <c r="L14913" i="1" s="1"/>
  <c r="J14914" i="1"/>
  <c r="L14914" i="1" s="1"/>
  <c r="J14915" i="1"/>
  <c r="L14915" i="1" s="1"/>
  <c r="J14916" i="1"/>
  <c r="L14916" i="1" s="1"/>
  <c r="J14934" i="1"/>
  <c r="L14934" i="1" s="1"/>
  <c r="J14935" i="1"/>
  <c r="L14935" i="1" s="1"/>
  <c r="J14944" i="1"/>
  <c r="L14944" i="1" s="1"/>
  <c r="J14945" i="1"/>
  <c r="L14945" i="1" s="1"/>
  <c r="J14946" i="1"/>
  <c r="L14946" i="1" s="1"/>
  <c r="J14947" i="1"/>
  <c r="L14947" i="1" s="1"/>
  <c r="J14948" i="1"/>
  <c r="L14948" i="1" s="1"/>
  <c r="J14949" i="1"/>
  <c r="L14949" i="1" s="1"/>
  <c r="J14950" i="1"/>
  <c r="L14950" i="1" s="1"/>
  <c r="J14951" i="1"/>
  <c r="L14951" i="1" s="1"/>
  <c r="J14952" i="1"/>
  <c r="L14952" i="1" s="1"/>
  <c r="J14953" i="1"/>
  <c r="L14953" i="1" s="1"/>
  <c r="J14954" i="1"/>
  <c r="L14954" i="1" s="1"/>
  <c r="J14955" i="1"/>
  <c r="L14955" i="1" s="1"/>
  <c r="J14956" i="1"/>
  <c r="L14956" i="1" s="1"/>
  <c r="J14957" i="1"/>
  <c r="L14957" i="1" s="1"/>
  <c r="J14958" i="1"/>
  <c r="L14958" i="1" s="1"/>
  <c r="J14959" i="1"/>
  <c r="L14959" i="1" s="1"/>
  <c r="J14960" i="1"/>
  <c r="L14960" i="1" s="1"/>
  <c r="J14961" i="1"/>
  <c r="L14961" i="1" s="1"/>
  <c r="J14962" i="1"/>
  <c r="L14962" i="1" s="1"/>
  <c r="J14963" i="1"/>
  <c r="L14963" i="1" s="1"/>
  <c r="J14964" i="1"/>
  <c r="L14964" i="1" s="1"/>
  <c r="J14965" i="1"/>
  <c r="L14965" i="1" s="1"/>
  <c r="J14966" i="1"/>
  <c r="L14966" i="1" s="1"/>
  <c r="J14967" i="1"/>
  <c r="L14967" i="1" s="1"/>
  <c r="J14985" i="1"/>
  <c r="L14985" i="1" s="1"/>
  <c r="J14986" i="1"/>
  <c r="L14986" i="1" s="1"/>
  <c r="J14987" i="1"/>
  <c r="L14987" i="1" s="1"/>
  <c r="J14988" i="1"/>
  <c r="L14988" i="1" s="1"/>
  <c r="J14989" i="1"/>
  <c r="L14989" i="1" s="1"/>
  <c r="J14998" i="1"/>
  <c r="L14998" i="1" s="1"/>
  <c r="J14999" i="1"/>
  <c r="L14999" i="1" s="1"/>
  <c r="J15000" i="1"/>
  <c r="L15000" i="1" s="1"/>
  <c r="J15001" i="1"/>
  <c r="L15001" i="1" s="1"/>
  <c r="J15002" i="1"/>
  <c r="L15002" i="1" s="1"/>
  <c r="J15003" i="1"/>
  <c r="L15003" i="1" s="1"/>
  <c r="J15004" i="1"/>
  <c r="L15004" i="1" s="1"/>
  <c r="J15005" i="1"/>
  <c r="L15005" i="1" s="1"/>
  <c r="J15006" i="1"/>
  <c r="L15006" i="1" s="1"/>
  <c r="J15007" i="1"/>
  <c r="L15007" i="1" s="1"/>
  <c r="J15009" i="1"/>
  <c r="L15009" i="1" s="1"/>
  <c r="J15023" i="1"/>
  <c r="L15023" i="1" s="1"/>
  <c r="J15026" i="1"/>
  <c r="L15026" i="1" s="1"/>
  <c r="J15030" i="1"/>
  <c r="L15030" i="1" s="1"/>
  <c r="J15031" i="1"/>
  <c r="L15031" i="1" s="1"/>
  <c r="J15032" i="1"/>
  <c r="L15032" i="1" s="1"/>
  <c r="J15033" i="1"/>
  <c r="L15033" i="1" s="1"/>
  <c r="J15034" i="1"/>
  <c r="L15034" i="1" s="1"/>
  <c r="J15035" i="1"/>
  <c r="L15035" i="1" s="1"/>
  <c r="J15042" i="1"/>
  <c r="L15042" i="1" s="1"/>
  <c r="J15043" i="1"/>
  <c r="L15043" i="1" s="1"/>
  <c r="J15044" i="1"/>
  <c r="L15044" i="1" s="1"/>
  <c r="J15045" i="1"/>
  <c r="L15045" i="1" s="1"/>
  <c r="J15046" i="1"/>
  <c r="L15046" i="1" s="1"/>
  <c r="J15047" i="1"/>
  <c r="L15047" i="1" s="1"/>
  <c r="J15050" i="1"/>
  <c r="L15050" i="1" s="1"/>
  <c r="J15055" i="1"/>
  <c r="L15055" i="1" s="1"/>
  <c r="J15084" i="1"/>
  <c r="L15084" i="1" s="1"/>
  <c r="J15109" i="1"/>
  <c r="L15109" i="1" s="1"/>
  <c r="J15110" i="1"/>
  <c r="L15110" i="1" s="1"/>
  <c r="J15111" i="1"/>
  <c r="L15111" i="1" s="1"/>
  <c r="J15112" i="1"/>
  <c r="L15112" i="1" s="1"/>
  <c r="J15113" i="1"/>
  <c r="L15113" i="1" s="1"/>
  <c r="J15114" i="1"/>
  <c r="L15114" i="1" s="1"/>
  <c r="J15115" i="1"/>
  <c r="L15115" i="1" s="1"/>
  <c r="J15116" i="1"/>
  <c r="L15116" i="1" s="1"/>
  <c r="J15117" i="1"/>
  <c r="L15117" i="1" s="1"/>
  <c r="J15118" i="1"/>
  <c r="L15118" i="1" s="1"/>
  <c r="J15132" i="1"/>
  <c r="L15132" i="1" s="1"/>
  <c r="J15133" i="1"/>
  <c r="L15133" i="1" s="1"/>
  <c r="J15134" i="1"/>
  <c r="L15134" i="1" s="1"/>
  <c r="J15135" i="1"/>
  <c r="L15135" i="1" s="1"/>
  <c r="J15136" i="1"/>
  <c r="L15136" i="1" s="1"/>
  <c r="J15137" i="1"/>
  <c r="L15137" i="1" s="1"/>
  <c r="J15138" i="1"/>
  <c r="L15138" i="1" s="1"/>
  <c r="J15139" i="1"/>
  <c r="L15139" i="1" s="1"/>
  <c r="J15171" i="1"/>
  <c r="L15171" i="1" s="1"/>
  <c r="J15172" i="1"/>
  <c r="L15172" i="1" s="1"/>
  <c r="J15173" i="1"/>
  <c r="L15173" i="1" s="1"/>
  <c r="J15174" i="1"/>
  <c r="L15174" i="1" s="1"/>
  <c r="J15175" i="1"/>
  <c r="L15175" i="1" s="1"/>
  <c r="J15176" i="1"/>
  <c r="L15176" i="1" s="1"/>
  <c r="J15177" i="1"/>
  <c r="L15177" i="1" s="1"/>
  <c r="J15178" i="1"/>
  <c r="L15178" i="1" s="1"/>
  <c r="J15179" i="1"/>
  <c r="L15179" i="1" s="1"/>
  <c r="J15182" i="1"/>
  <c r="L15182" i="1" s="1"/>
  <c r="J15184" i="1"/>
  <c r="L15184" i="1" s="1"/>
  <c r="J15185" i="1"/>
  <c r="L15185" i="1" s="1"/>
  <c r="J15191" i="1"/>
  <c r="L15191" i="1" s="1"/>
  <c r="J15214" i="1"/>
  <c r="L15214" i="1" s="1"/>
  <c r="J15215" i="1"/>
  <c r="L15215" i="1" s="1"/>
  <c r="J15216" i="1"/>
  <c r="L15216" i="1" s="1"/>
  <c r="J15217" i="1"/>
  <c r="L15217" i="1" s="1"/>
  <c r="J15218" i="1"/>
  <c r="L15218" i="1" s="1"/>
  <c r="J15219" i="1"/>
  <c r="L15219" i="1" s="1"/>
  <c r="J15220" i="1"/>
  <c r="L15220" i="1" s="1"/>
  <c r="J15221" i="1"/>
  <c r="L15221" i="1" s="1"/>
  <c r="J15243" i="1"/>
  <c r="L15243" i="1" s="1"/>
  <c r="J15244" i="1"/>
  <c r="L15244" i="1" s="1"/>
  <c r="J15247" i="1"/>
  <c r="L15247" i="1" s="1"/>
  <c r="J15273" i="1"/>
  <c r="L15273" i="1" s="1"/>
  <c r="J15298" i="1"/>
  <c r="L15298" i="1" s="1"/>
  <c r="J15310" i="1"/>
  <c r="L15310" i="1" s="1"/>
  <c r="J15311" i="1"/>
  <c r="L15311" i="1" s="1"/>
  <c r="J15312" i="1"/>
  <c r="L15312" i="1" s="1"/>
  <c r="J15313" i="1"/>
  <c r="L15313" i="1" s="1"/>
  <c r="J15314" i="1"/>
  <c r="L15314" i="1" s="1"/>
  <c r="J15315" i="1"/>
  <c r="L15315" i="1" s="1"/>
  <c r="J15316" i="1"/>
  <c r="L15316" i="1" s="1"/>
  <c r="J15317" i="1"/>
  <c r="L15317" i="1" s="1"/>
  <c r="J15318" i="1"/>
  <c r="L15318" i="1" s="1"/>
  <c r="J15319" i="1"/>
  <c r="L15319" i="1" s="1"/>
  <c r="J15320" i="1"/>
  <c r="L15320" i="1" s="1"/>
  <c r="J15321" i="1"/>
  <c r="L15321" i="1" s="1"/>
  <c r="J15322" i="1"/>
  <c r="L15322" i="1" s="1"/>
  <c r="J15323" i="1"/>
  <c r="L15323" i="1" s="1"/>
  <c r="J15324" i="1"/>
  <c r="L15324" i="1" s="1"/>
  <c r="J15325" i="1"/>
  <c r="L15325" i="1" s="1"/>
  <c r="J15326" i="1"/>
  <c r="L15326" i="1" s="1"/>
  <c r="J15327" i="1"/>
  <c r="L15327" i="1" s="1"/>
  <c r="J15328" i="1"/>
  <c r="L15328" i="1" s="1"/>
  <c r="J15329" i="1"/>
  <c r="L15329" i="1" s="1"/>
  <c r="J15330" i="1"/>
  <c r="L15330" i="1" s="1"/>
  <c r="J15331" i="1"/>
  <c r="L15331" i="1" s="1"/>
  <c r="J15332" i="1"/>
  <c r="L15332" i="1" s="1"/>
  <c r="J15333" i="1"/>
  <c r="L15333" i="1" s="1"/>
  <c r="J15334" i="1"/>
  <c r="L15334" i="1" s="1"/>
  <c r="J15335" i="1"/>
  <c r="L15335" i="1" s="1"/>
  <c r="J15340" i="1"/>
  <c r="L15340" i="1" s="1"/>
  <c r="J15341" i="1"/>
  <c r="L15341" i="1" s="1"/>
  <c r="J15342" i="1"/>
  <c r="L15342" i="1" s="1"/>
  <c r="J15343" i="1"/>
  <c r="L15343" i="1" s="1"/>
  <c r="J15344" i="1"/>
  <c r="L15344" i="1" s="1"/>
  <c r="J15345" i="1"/>
  <c r="L15345" i="1" s="1"/>
  <c r="J15346" i="1"/>
  <c r="L15346" i="1" s="1"/>
  <c r="J15347" i="1"/>
  <c r="L15347" i="1" s="1"/>
  <c r="J15348" i="1"/>
  <c r="L15348" i="1" s="1"/>
  <c r="J15349" i="1"/>
  <c r="L15349" i="1" s="1"/>
  <c r="J15350" i="1"/>
  <c r="L15350" i="1" s="1"/>
  <c r="J15351" i="1"/>
  <c r="L15351" i="1" s="1"/>
  <c r="J15352" i="1"/>
  <c r="L15352" i="1" s="1"/>
  <c r="J15353" i="1"/>
  <c r="L15353" i="1" s="1"/>
  <c r="J15354" i="1"/>
  <c r="L15354" i="1" s="1"/>
  <c r="J15355" i="1"/>
  <c r="L15355" i="1" s="1"/>
  <c r="J15356" i="1"/>
  <c r="L15356" i="1" s="1"/>
  <c r="J15357" i="1"/>
  <c r="L15357" i="1" s="1"/>
  <c r="J15358" i="1"/>
  <c r="L15358" i="1" s="1"/>
  <c r="J15359" i="1"/>
  <c r="L15359" i="1" s="1"/>
  <c r="J15360" i="1"/>
  <c r="L15360" i="1" s="1"/>
  <c r="J15361" i="1"/>
  <c r="L15361" i="1" s="1"/>
  <c r="J15362" i="1"/>
  <c r="L15362" i="1" s="1"/>
  <c r="J15363" i="1"/>
  <c r="L15363" i="1" s="1"/>
  <c r="J15364" i="1"/>
  <c r="L15364" i="1" s="1"/>
  <c r="J15371" i="1"/>
  <c r="L15371" i="1" s="1"/>
  <c r="J15372" i="1"/>
  <c r="L15372" i="1" s="1"/>
  <c r="J15373" i="1"/>
  <c r="L15373" i="1" s="1"/>
  <c r="J15374" i="1"/>
  <c r="L15374" i="1" s="1"/>
  <c r="J15375" i="1"/>
  <c r="L15375" i="1" s="1"/>
  <c r="J15376" i="1"/>
  <c r="L15376" i="1" s="1"/>
  <c r="J15377" i="1"/>
  <c r="L15377" i="1" s="1"/>
  <c r="J15378" i="1"/>
  <c r="L15378" i="1" s="1"/>
  <c r="J15379" i="1"/>
  <c r="L15379" i="1" s="1"/>
  <c r="J15380" i="1"/>
  <c r="L15380" i="1" s="1"/>
  <c r="J15381" i="1"/>
  <c r="L15381" i="1" s="1"/>
  <c r="J15382" i="1"/>
  <c r="L15382" i="1" s="1"/>
  <c r="J15383" i="1"/>
  <c r="L15383" i="1" s="1"/>
  <c r="J15384" i="1"/>
  <c r="L15384" i="1" s="1"/>
  <c r="J15385" i="1"/>
  <c r="L15385" i="1" s="1"/>
  <c r="J15389" i="1"/>
  <c r="L15389" i="1" s="1"/>
  <c r="J15390" i="1"/>
  <c r="L15390" i="1" s="1"/>
  <c r="J15391" i="1"/>
  <c r="L15391" i="1" s="1"/>
  <c r="J15392" i="1"/>
  <c r="L15392" i="1" s="1"/>
  <c r="J15393" i="1"/>
  <c r="L15393" i="1" s="1"/>
  <c r="J15412" i="1"/>
  <c r="L15412" i="1" s="1"/>
  <c r="J15413" i="1"/>
  <c r="L15413" i="1" s="1"/>
  <c r="J15414" i="1"/>
  <c r="L15414" i="1" s="1"/>
  <c r="J15415" i="1"/>
  <c r="L15415" i="1" s="1"/>
  <c r="J15416" i="1"/>
  <c r="L15416" i="1" s="1"/>
  <c r="J15417" i="1"/>
  <c r="L15417" i="1" s="1"/>
  <c r="J15418" i="1"/>
  <c r="L15418" i="1" s="1"/>
  <c r="J15419" i="1"/>
  <c r="L15419" i="1" s="1"/>
  <c r="J15420" i="1"/>
  <c r="L15420" i="1" s="1"/>
  <c r="J15421" i="1"/>
  <c r="L15421" i="1" s="1"/>
  <c r="J15422" i="1"/>
  <c r="L15422" i="1" s="1"/>
  <c r="J15423" i="1"/>
  <c r="L15423" i="1" s="1"/>
  <c r="J15424" i="1"/>
  <c r="L15424" i="1" s="1"/>
  <c r="J15532" i="1"/>
  <c r="L15532" i="1" s="1"/>
  <c r="J15533" i="1"/>
  <c r="L15533" i="1" s="1"/>
  <c r="J15534" i="1"/>
  <c r="L15534" i="1" s="1"/>
  <c r="J15535" i="1"/>
  <c r="L15535" i="1" s="1"/>
  <c r="J15536" i="1"/>
  <c r="L15536" i="1" s="1"/>
  <c r="J15537" i="1"/>
  <c r="L15537" i="1" s="1"/>
  <c r="J15538" i="1"/>
  <c r="L15538" i="1" s="1"/>
  <c r="J15539" i="1"/>
  <c r="L15539" i="1" s="1"/>
  <c r="J15567" i="1"/>
  <c r="L15567" i="1" s="1"/>
  <c r="J15571" i="1"/>
  <c r="L15571" i="1" s="1"/>
  <c r="J15574" i="1"/>
  <c r="L15574" i="1" s="1"/>
  <c r="J15625" i="1"/>
  <c r="L15625" i="1" s="1"/>
  <c r="J15626" i="1"/>
  <c r="L15626" i="1" s="1"/>
  <c r="J15632" i="1"/>
  <c r="L15632" i="1" s="1"/>
  <c r="J15665" i="1"/>
  <c r="L15665" i="1" s="1"/>
  <c r="J15680" i="1"/>
  <c r="L15680" i="1" s="1"/>
  <c r="J15687" i="1"/>
  <c r="L15687" i="1" s="1"/>
  <c r="J15747" i="1"/>
  <c r="L15747" i="1" s="1"/>
  <c r="J15753" i="1"/>
  <c r="L15753" i="1" s="1"/>
  <c r="J15754" i="1"/>
  <c r="L15754" i="1" s="1"/>
  <c r="J15755" i="1"/>
  <c r="L15755" i="1" s="1"/>
  <c r="J15756" i="1"/>
  <c r="L15756" i="1" s="1"/>
  <c r="J15757" i="1"/>
  <c r="L15757" i="1" s="1"/>
  <c r="J15758" i="1"/>
  <c r="L15758" i="1" s="1"/>
  <c r="J15759" i="1"/>
  <c r="L15759" i="1" s="1"/>
  <c r="J15760" i="1"/>
  <c r="L15760" i="1" s="1"/>
  <c r="J15761" i="1"/>
  <c r="L15761" i="1" s="1"/>
  <c r="J15762" i="1"/>
  <c r="L15762" i="1" s="1"/>
  <c r="J15763" i="1"/>
  <c r="L15763" i="1" s="1"/>
  <c r="J15768" i="1"/>
  <c r="L15768" i="1" s="1"/>
  <c r="J15769" i="1"/>
  <c r="L15769" i="1" s="1"/>
  <c r="J15770" i="1"/>
  <c r="L15770" i="1" s="1"/>
  <c r="J15771" i="1"/>
  <c r="L15771" i="1" s="1"/>
  <c r="J15772" i="1"/>
  <c r="L15772" i="1" s="1"/>
  <c r="J15773" i="1"/>
  <c r="L15773" i="1" s="1"/>
  <c r="J15774" i="1"/>
  <c r="L15774" i="1" s="1"/>
  <c r="J15775" i="1"/>
  <c r="L15775" i="1" s="1"/>
  <c r="J15794" i="1"/>
  <c r="L15794" i="1" s="1"/>
  <c r="J15796" i="1"/>
  <c r="L15796" i="1" s="1"/>
  <c r="J15817" i="1"/>
  <c r="L15817" i="1" s="1"/>
  <c r="J15852" i="1"/>
  <c r="L15852" i="1" s="1"/>
  <c r="J15853" i="1"/>
  <c r="L15853" i="1" s="1"/>
  <c r="J15854" i="1"/>
  <c r="L15854" i="1" s="1"/>
  <c r="J15855" i="1"/>
  <c r="L15855" i="1" s="1"/>
  <c r="J15856" i="1"/>
  <c r="L15856" i="1" s="1"/>
  <c r="J15857" i="1"/>
  <c r="L15857" i="1" s="1"/>
  <c r="J15858" i="1"/>
  <c r="L15858" i="1" s="1"/>
  <c r="J15859" i="1"/>
  <c r="L15859" i="1" s="1"/>
  <c r="J15860" i="1"/>
  <c r="L15860" i="1" s="1"/>
  <c r="J15861" i="1"/>
  <c r="L15861" i="1" s="1"/>
  <c r="J15862" i="1"/>
  <c r="L15862" i="1" s="1"/>
  <c r="J15863" i="1"/>
  <c r="L15863" i="1" s="1"/>
  <c r="J15864" i="1"/>
  <c r="L15864" i="1" s="1"/>
  <c r="J15865" i="1"/>
  <c r="L15865" i="1" s="1"/>
  <c r="J15866" i="1"/>
  <c r="L15866" i="1" s="1"/>
  <c r="J15867" i="1"/>
  <c r="L15867" i="1" s="1"/>
  <c r="J15868" i="1"/>
  <c r="L15868" i="1" s="1"/>
  <c r="J15869" i="1"/>
  <c r="L15869" i="1" s="1"/>
  <c r="J15870" i="1"/>
  <c r="L15870" i="1" s="1"/>
  <c r="J15871" i="1"/>
  <c r="L15871" i="1" s="1"/>
  <c r="J15872" i="1"/>
  <c r="L15872" i="1" s="1"/>
  <c r="J15873" i="1"/>
  <c r="L15873" i="1" s="1"/>
  <c r="J15874" i="1"/>
  <c r="L15874" i="1" s="1"/>
  <c r="J15875" i="1"/>
  <c r="L15875" i="1" s="1"/>
  <c r="J15876" i="1"/>
  <c r="L15876" i="1" s="1"/>
  <c r="J15877" i="1"/>
  <c r="L15877" i="1" s="1"/>
  <c r="J15878" i="1"/>
  <c r="L15878" i="1" s="1"/>
  <c r="J15916" i="1"/>
  <c r="L15916" i="1" s="1"/>
  <c r="J15917" i="1"/>
  <c r="L15917" i="1" s="1"/>
  <c r="J15918" i="1"/>
  <c r="L15918" i="1" s="1"/>
  <c r="J15919" i="1"/>
  <c r="L15919" i="1" s="1"/>
  <c r="J15920" i="1"/>
  <c r="L15920" i="1" s="1"/>
  <c r="J15921" i="1"/>
  <c r="L15921" i="1" s="1"/>
  <c r="J15922" i="1"/>
  <c r="L15922" i="1" s="1"/>
  <c r="J15923" i="1"/>
  <c r="L15923" i="1" s="1"/>
  <c r="J15924" i="1"/>
  <c r="L15924" i="1" s="1"/>
  <c r="J15925" i="1"/>
  <c r="L15925" i="1" s="1"/>
  <c r="J15926" i="1"/>
  <c r="L15926" i="1" s="1"/>
  <c r="J15927" i="1"/>
  <c r="L15927" i="1" s="1"/>
  <c r="J15928" i="1"/>
  <c r="L15928" i="1" s="1"/>
  <c r="J15929" i="1"/>
  <c r="L15929" i="1" s="1"/>
  <c r="J15930" i="1"/>
  <c r="L15930" i="1" s="1"/>
  <c r="J15931" i="1"/>
  <c r="L15931" i="1" s="1"/>
  <c r="J15932" i="1"/>
  <c r="L15932" i="1" s="1"/>
  <c r="J15933" i="1"/>
  <c r="L15933" i="1" s="1"/>
  <c r="J15934" i="1"/>
  <c r="L15934" i="1" s="1"/>
  <c r="J15935" i="1"/>
  <c r="L15935" i="1" s="1"/>
  <c r="J15936" i="1"/>
  <c r="L15936" i="1" s="1"/>
  <c r="J15937" i="1"/>
  <c r="L15937" i="1" s="1"/>
  <c r="J15938" i="1"/>
  <c r="L15938" i="1" s="1"/>
  <c r="J15939" i="1"/>
  <c r="L15939" i="1" s="1"/>
  <c r="J15940" i="1"/>
  <c r="L15940" i="1" s="1"/>
  <c r="J15941" i="1"/>
  <c r="L15941" i="1" s="1"/>
  <c r="J15953" i="1"/>
  <c r="L15953" i="1" s="1"/>
  <c r="J15954" i="1"/>
  <c r="L15954" i="1" s="1"/>
  <c r="J15955" i="1"/>
  <c r="L15955" i="1" s="1"/>
  <c r="J15956" i="1"/>
  <c r="L15956" i="1" s="1"/>
  <c r="J15957" i="1"/>
  <c r="L15957" i="1" s="1"/>
  <c r="J15958" i="1"/>
  <c r="L15958" i="1" s="1"/>
  <c r="J15959" i="1"/>
  <c r="L15959" i="1" s="1"/>
  <c r="J15960" i="1"/>
  <c r="L15960" i="1" s="1"/>
  <c r="J15961" i="1"/>
  <c r="L15961" i="1" s="1"/>
  <c r="J15962" i="1"/>
  <c r="L15962" i="1" s="1"/>
  <c r="J15963" i="1"/>
  <c r="L15963" i="1" s="1"/>
  <c r="J15964" i="1"/>
  <c r="L15964" i="1" s="1"/>
  <c r="J15965" i="1"/>
  <c r="L15965" i="1" s="1"/>
  <c r="J15966" i="1"/>
  <c r="L15966" i="1" s="1"/>
  <c r="J15967" i="1"/>
  <c r="L15967" i="1" s="1"/>
  <c r="J15968" i="1"/>
  <c r="L15968" i="1" s="1"/>
  <c r="J15969" i="1"/>
  <c r="L15969" i="1" s="1"/>
  <c r="J15970" i="1"/>
  <c r="L15970" i="1" s="1"/>
  <c r="J15971" i="1"/>
  <c r="L15971" i="1" s="1"/>
  <c r="J15972" i="1"/>
  <c r="L15972" i="1" s="1"/>
  <c r="J15973" i="1"/>
  <c r="L15973" i="1" s="1"/>
  <c r="J15978" i="1"/>
  <c r="L15978" i="1" s="1"/>
  <c r="J15980" i="1"/>
  <c r="L15980" i="1" s="1"/>
  <c r="J15982" i="1"/>
  <c r="L15982" i="1" s="1"/>
  <c r="J15984" i="1"/>
  <c r="L15984" i="1" s="1"/>
  <c r="J15990" i="1"/>
  <c r="L15990" i="1" s="1"/>
  <c r="J15993" i="1"/>
  <c r="L15993" i="1" s="1"/>
  <c r="J15994" i="1"/>
  <c r="L15994" i="1" s="1"/>
  <c r="J16000" i="1"/>
  <c r="L16000" i="1" s="1"/>
  <c r="J16002" i="1"/>
  <c r="L16002" i="1" s="1"/>
  <c r="J16004" i="1"/>
  <c r="L16004" i="1" s="1"/>
  <c r="J16011" i="1"/>
  <c r="L16011" i="1" s="1"/>
  <c r="J16052" i="1"/>
  <c r="L16052" i="1" s="1"/>
  <c r="J16055" i="1"/>
  <c r="L16055" i="1" s="1"/>
  <c r="J16062" i="1"/>
  <c r="L16062" i="1" s="1"/>
  <c r="J16067" i="1"/>
  <c r="L16067" i="1" s="1"/>
  <c r="J16068" i="1"/>
  <c r="L16068" i="1" s="1"/>
  <c r="J16069" i="1"/>
  <c r="L16069" i="1" s="1"/>
  <c r="J16102" i="1"/>
  <c r="L16102" i="1" s="1"/>
  <c r="J16104" i="1"/>
  <c r="L16104" i="1" s="1"/>
  <c r="J16105" i="1"/>
  <c r="L16105" i="1" s="1"/>
  <c r="J16106" i="1"/>
  <c r="L16106" i="1" s="1"/>
  <c r="J16107" i="1"/>
  <c r="L16107" i="1" s="1"/>
  <c r="J16109" i="1"/>
  <c r="L16109" i="1" s="1"/>
  <c r="J16112" i="1"/>
  <c r="L16112" i="1" s="1"/>
  <c r="J16113" i="1"/>
  <c r="L16113" i="1" s="1"/>
  <c r="J16114" i="1"/>
  <c r="L16114" i="1" s="1"/>
  <c r="J16115" i="1"/>
  <c r="L16115" i="1" s="1"/>
  <c r="J16116" i="1"/>
  <c r="L16116" i="1" s="1"/>
  <c r="J16117" i="1"/>
  <c r="L16117" i="1" s="1"/>
  <c r="J16118" i="1"/>
  <c r="L16118" i="1" s="1"/>
  <c r="J16119" i="1"/>
  <c r="L16119" i="1" s="1"/>
  <c r="J16120" i="1"/>
  <c r="L16120" i="1" s="1"/>
  <c r="J16121" i="1"/>
  <c r="L16121" i="1" s="1"/>
  <c r="J16122" i="1"/>
  <c r="L16122" i="1" s="1"/>
  <c r="J16123" i="1"/>
  <c r="L16123" i="1" s="1"/>
  <c r="J16124" i="1"/>
  <c r="L16124" i="1" s="1"/>
  <c r="J16125" i="1"/>
  <c r="L16125" i="1" s="1"/>
  <c r="J16177" i="1"/>
  <c r="L16177" i="1" s="1"/>
  <c r="J16178" i="1"/>
  <c r="L16178" i="1" s="1"/>
  <c r="J16179" i="1"/>
  <c r="L16179" i="1" s="1"/>
  <c r="J16180" i="1"/>
  <c r="L16180" i="1" s="1"/>
  <c r="J16181" i="1"/>
  <c r="L16181" i="1" s="1"/>
  <c r="J16182" i="1"/>
  <c r="L16182" i="1" s="1"/>
  <c r="J16183" i="1"/>
  <c r="L16183" i="1" s="1"/>
  <c r="J16184" i="1"/>
  <c r="L16184" i="1" s="1"/>
  <c r="J16185" i="1"/>
  <c r="L16185" i="1" s="1"/>
  <c r="J16186" i="1"/>
  <c r="L16186" i="1" s="1"/>
  <c r="J16187" i="1"/>
  <c r="L16187" i="1" s="1"/>
  <c r="J16188" i="1"/>
  <c r="L16188" i="1" s="1"/>
  <c r="J16189" i="1"/>
  <c r="L16189" i="1" s="1"/>
  <c r="J16190" i="1"/>
  <c r="L16190" i="1" s="1"/>
  <c r="J16191" i="1"/>
  <c r="L16191" i="1" s="1"/>
  <c r="J16192" i="1"/>
  <c r="L16192" i="1" s="1"/>
  <c r="J16193" i="1"/>
  <c r="L16193" i="1" s="1"/>
  <c r="J16202" i="1"/>
  <c r="L16202" i="1" s="1"/>
  <c r="J16203" i="1"/>
  <c r="L16203" i="1" s="1"/>
  <c r="J16204" i="1"/>
  <c r="L16204" i="1" s="1"/>
  <c r="J16205" i="1"/>
  <c r="L16205" i="1" s="1"/>
  <c r="J16206" i="1"/>
  <c r="L16206" i="1" s="1"/>
  <c r="J16207" i="1"/>
  <c r="L16207" i="1" s="1"/>
  <c r="J16208" i="1"/>
  <c r="L16208" i="1" s="1"/>
  <c r="J16209" i="1"/>
  <c r="L16209" i="1" s="1"/>
  <c r="J16210" i="1"/>
  <c r="L16210" i="1" s="1"/>
  <c r="J16211" i="1"/>
  <c r="L16211" i="1" s="1"/>
  <c r="J16212" i="1"/>
  <c r="L16212" i="1" s="1"/>
  <c r="J16213" i="1"/>
  <c r="L16213" i="1" s="1"/>
  <c r="J16215" i="1"/>
  <c r="L16215" i="1" s="1"/>
  <c r="J16216" i="1"/>
  <c r="L16216" i="1" s="1"/>
  <c r="J16224" i="1"/>
  <c r="L16224" i="1" s="1"/>
  <c r="J16225" i="1"/>
  <c r="L16225" i="1" s="1"/>
  <c r="J16226" i="1"/>
  <c r="L16226" i="1" s="1"/>
  <c r="J16227" i="1"/>
  <c r="L16227" i="1" s="1"/>
  <c r="J16228" i="1"/>
  <c r="L16228" i="1" s="1"/>
  <c r="J16229" i="1"/>
  <c r="L16229" i="1" s="1"/>
  <c r="J16230" i="1"/>
  <c r="L16230" i="1" s="1"/>
  <c r="J16231" i="1"/>
  <c r="L16231" i="1" s="1"/>
  <c r="J16232" i="1"/>
  <c r="L16232" i="1" s="1"/>
  <c r="J16233" i="1"/>
  <c r="L16233" i="1" s="1"/>
  <c r="J16234" i="1"/>
  <c r="L16234" i="1" s="1"/>
  <c r="J16235" i="1"/>
  <c r="L16235" i="1" s="1"/>
  <c r="J16236" i="1"/>
  <c r="L16236" i="1" s="1"/>
  <c r="J16238" i="1"/>
  <c r="L16238" i="1" s="1"/>
  <c r="J16239" i="1"/>
  <c r="L16239" i="1" s="1"/>
  <c r="J16240" i="1"/>
  <c r="L16240" i="1" s="1"/>
  <c r="J16241" i="1"/>
  <c r="L16241" i="1" s="1"/>
  <c r="J16242" i="1"/>
  <c r="L16242" i="1" s="1"/>
  <c r="J16243" i="1"/>
  <c r="L16243" i="1" s="1"/>
  <c r="J16244" i="1"/>
  <c r="L16244" i="1" s="1"/>
  <c r="J16245" i="1"/>
  <c r="L16245" i="1" s="1"/>
  <c r="J16246" i="1"/>
  <c r="L16246" i="1" s="1"/>
  <c r="J16247" i="1"/>
  <c r="L16247" i="1" s="1"/>
  <c r="J16248" i="1"/>
  <c r="L16248" i="1" s="1"/>
  <c r="J16249" i="1"/>
  <c r="L16249" i="1" s="1"/>
  <c r="J16250" i="1"/>
  <c r="L16250" i="1" s="1"/>
  <c r="J16251" i="1"/>
  <c r="L16251" i="1" s="1"/>
  <c r="J16252" i="1"/>
  <c r="L16252" i="1" s="1"/>
  <c r="J16253" i="1"/>
  <c r="L16253" i="1" s="1"/>
  <c r="J16254" i="1"/>
  <c r="L16254" i="1" s="1"/>
  <c r="J16255" i="1"/>
  <c r="L16255" i="1" s="1"/>
  <c r="J16256" i="1"/>
  <c r="L16256" i="1" s="1"/>
  <c r="J16257" i="1"/>
  <c r="L16257" i="1" s="1"/>
  <c r="J16273" i="1"/>
  <c r="L16273" i="1" s="1"/>
  <c r="J16274" i="1"/>
  <c r="L16274" i="1" s="1"/>
  <c r="J16280" i="1"/>
  <c r="L16280" i="1" s="1"/>
  <c r="J16281" i="1"/>
  <c r="L16281" i="1" s="1"/>
  <c r="J16284" i="1"/>
  <c r="L16284" i="1" s="1"/>
  <c r="J16288" i="1"/>
  <c r="L16288" i="1" s="1"/>
  <c r="J16304" i="1"/>
  <c r="L16304" i="1" s="1"/>
  <c r="J16308" i="1"/>
  <c r="L16308" i="1" s="1"/>
  <c r="J16310" i="1"/>
  <c r="L16310" i="1" s="1"/>
  <c r="J16312" i="1"/>
  <c r="L16312" i="1" s="1"/>
  <c r="J16317" i="1"/>
  <c r="L16317" i="1" s="1"/>
  <c r="J16320" i="1"/>
  <c r="L16320" i="1" s="1"/>
  <c r="J16321" i="1"/>
  <c r="L16321" i="1" s="1"/>
  <c r="J16322" i="1"/>
  <c r="L16322" i="1" s="1"/>
  <c r="J16323" i="1"/>
  <c r="L16323" i="1" s="1"/>
  <c r="J16324" i="1"/>
  <c r="L16324" i="1" s="1"/>
  <c r="J16325" i="1"/>
  <c r="L16325" i="1" s="1"/>
  <c r="J16326" i="1"/>
  <c r="L16326" i="1" s="1"/>
  <c r="J16327" i="1"/>
  <c r="L16327" i="1" s="1"/>
  <c r="J16329" i="1"/>
  <c r="L16329" i="1" s="1"/>
  <c r="J16331" i="1"/>
  <c r="L16331" i="1" s="1"/>
  <c r="J16335" i="1"/>
  <c r="L16335" i="1" s="1"/>
  <c r="J16336" i="1"/>
  <c r="L16336" i="1" s="1"/>
  <c r="J16345" i="1"/>
  <c r="L16345" i="1" s="1"/>
  <c r="J16346" i="1"/>
  <c r="L16346" i="1" s="1"/>
  <c r="J16347" i="1"/>
  <c r="L16347" i="1" s="1"/>
  <c r="J16354" i="1"/>
  <c r="L16354" i="1" s="1"/>
  <c r="J16355" i="1"/>
  <c r="L16355" i="1" s="1"/>
  <c r="J16358" i="1"/>
  <c r="L16358" i="1" s="1"/>
  <c r="J16359" i="1"/>
  <c r="L16359" i="1" s="1"/>
  <c r="J16360" i="1"/>
  <c r="L16360" i="1" s="1"/>
  <c r="J16361" i="1"/>
  <c r="L16361" i="1" s="1"/>
  <c r="J16362" i="1"/>
  <c r="L16362" i="1" s="1"/>
  <c r="J16363" i="1"/>
  <c r="L16363" i="1" s="1"/>
  <c r="J16364" i="1"/>
  <c r="L16364" i="1" s="1"/>
  <c r="J16365" i="1"/>
  <c r="L16365" i="1" s="1"/>
  <c r="J16366" i="1"/>
  <c r="L16366" i="1" s="1"/>
  <c r="J16367" i="1"/>
  <c r="L16367" i="1" s="1"/>
  <c r="J16368" i="1"/>
  <c r="L16368" i="1" s="1"/>
  <c r="J16369" i="1"/>
  <c r="L16369" i="1" s="1"/>
  <c r="J16370" i="1"/>
  <c r="L16370" i="1" s="1"/>
  <c r="J16371" i="1"/>
  <c r="L16371" i="1" s="1"/>
  <c r="J16372" i="1"/>
  <c r="L16372" i="1" s="1"/>
  <c r="J16375" i="1"/>
  <c r="L16375" i="1" s="1"/>
  <c r="J16376" i="1"/>
  <c r="L16376" i="1" s="1"/>
  <c r="J16377" i="1"/>
  <c r="L16377" i="1" s="1"/>
  <c r="J16378" i="1"/>
  <c r="L16378" i="1" s="1"/>
  <c r="J16379" i="1"/>
  <c r="L16379" i="1" s="1"/>
  <c r="J16380" i="1"/>
  <c r="L16380" i="1" s="1"/>
  <c r="J16381" i="1"/>
  <c r="L16381" i="1" s="1"/>
  <c r="J16382" i="1"/>
  <c r="L16382" i="1" s="1"/>
  <c r="J16383" i="1"/>
  <c r="L16383" i="1" s="1"/>
  <c r="J16384" i="1"/>
  <c r="L16384" i="1" s="1"/>
  <c r="J16385" i="1"/>
  <c r="L16385" i="1" s="1"/>
  <c r="J16386" i="1"/>
  <c r="L16386" i="1" s="1"/>
  <c r="J16387" i="1"/>
  <c r="L16387" i="1" s="1"/>
  <c r="J16388" i="1"/>
  <c r="L16388" i="1" s="1"/>
  <c r="J16389" i="1"/>
  <c r="L16389" i="1" s="1"/>
  <c r="J16390" i="1"/>
  <c r="L16390" i="1" s="1"/>
  <c r="J16396" i="1"/>
  <c r="L16396" i="1" s="1"/>
  <c r="J16397" i="1"/>
  <c r="L16397" i="1" s="1"/>
  <c r="J16398" i="1"/>
  <c r="L16398" i="1" s="1"/>
  <c r="J16399" i="1"/>
  <c r="L16399" i="1" s="1"/>
  <c r="J16400" i="1"/>
  <c r="L16400" i="1" s="1"/>
  <c r="J16401" i="1"/>
  <c r="L16401" i="1" s="1"/>
  <c r="J16402" i="1"/>
  <c r="L16402" i="1" s="1"/>
  <c r="J16403" i="1"/>
  <c r="L16403" i="1" s="1"/>
  <c r="J16404" i="1"/>
  <c r="L16404" i="1" s="1"/>
  <c r="J16406" i="1"/>
  <c r="L16406" i="1" s="1"/>
  <c r="J16407" i="1"/>
  <c r="L16407" i="1" s="1"/>
  <c r="J16408" i="1"/>
  <c r="L16408" i="1" s="1"/>
  <c r="J16409" i="1"/>
  <c r="L16409" i="1" s="1"/>
  <c r="J16410" i="1"/>
  <c r="L16410" i="1" s="1"/>
  <c r="J16411" i="1"/>
  <c r="L16411" i="1" s="1"/>
  <c r="J16412" i="1"/>
  <c r="L16412" i="1" s="1"/>
  <c r="J16413" i="1"/>
  <c r="L16413" i="1" s="1"/>
  <c r="J16414" i="1"/>
  <c r="L16414" i="1" s="1"/>
  <c r="J16415" i="1"/>
  <c r="L16415" i="1" s="1"/>
  <c r="J16424" i="1"/>
  <c r="L16424" i="1" s="1"/>
  <c r="J16425" i="1"/>
  <c r="L16425" i="1" s="1"/>
  <c r="J16426" i="1"/>
  <c r="L16426" i="1" s="1"/>
  <c r="J16435" i="1"/>
  <c r="L16435" i="1" s="1"/>
  <c r="J16437" i="1"/>
  <c r="L16437" i="1" s="1"/>
  <c r="J16440" i="1"/>
  <c r="L16440" i="1" s="1"/>
  <c r="J16442" i="1"/>
  <c r="L16442" i="1" s="1"/>
  <c r="J16485" i="1"/>
  <c r="L16485" i="1" s="1"/>
  <c r="J16486" i="1"/>
  <c r="L16486" i="1" s="1"/>
  <c r="J16487" i="1"/>
  <c r="L16487" i="1" s="1"/>
  <c r="J16488" i="1"/>
  <c r="L16488" i="1" s="1"/>
  <c r="J16489" i="1"/>
  <c r="L16489" i="1" s="1"/>
  <c r="J16490" i="1"/>
  <c r="L16490" i="1" s="1"/>
  <c r="J16491" i="1"/>
  <c r="L16491" i="1" s="1"/>
  <c r="J16492" i="1"/>
  <c r="L16492" i="1" s="1"/>
  <c r="J16493" i="1"/>
  <c r="L16493" i="1" s="1"/>
  <c r="J16494" i="1"/>
  <c r="L16494" i="1" s="1"/>
  <c r="J16495" i="1"/>
  <c r="L16495" i="1" s="1"/>
  <c r="J16496" i="1"/>
  <c r="L16496" i="1" s="1"/>
  <c r="J16497" i="1"/>
  <c r="L16497" i="1" s="1"/>
  <c r="J16498" i="1"/>
  <c r="L16498" i="1" s="1"/>
  <c r="J16499" i="1"/>
  <c r="L16499" i="1" s="1"/>
  <c r="J16500" i="1"/>
  <c r="L16500" i="1" s="1"/>
  <c r="J16501" i="1"/>
  <c r="L16501" i="1" s="1"/>
  <c r="J16502" i="1"/>
  <c r="L16502" i="1" s="1"/>
  <c r="J16503" i="1"/>
  <c r="L16503" i="1" s="1"/>
  <c r="J16504" i="1"/>
  <c r="L16504" i="1" s="1"/>
  <c r="J16508" i="1"/>
  <c r="L16508" i="1" s="1"/>
  <c r="J16509" i="1"/>
  <c r="L16509" i="1" s="1"/>
  <c r="J16510" i="1"/>
  <c r="L16510" i="1" s="1"/>
  <c r="J16511" i="1"/>
  <c r="L16511" i="1" s="1"/>
  <c r="J16512" i="1"/>
  <c r="L16512" i="1" s="1"/>
  <c r="J16513" i="1"/>
  <c r="L16513" i="1" s="1"/>
  <c r="J16514" i="1"/>
  <c r="L16514" i="1" s="1"/>
  <c r="J16515" i="1"/>
  <c r="L16515" i="1" s="1"/>
  <c r="J16516" i="1"/>
  <c r="L16516" i="1" s="1"/>
  <c r="J16517" i="1"/>
  <c r="L16517" i="1" s="1"/>
  <c r="J16518" i="1"/>
  <c r="L16518" i="1" s="1"/>
  <c r="J16519" i="1"/>
  <c r="L16519" i="1" s="1"/>
  <c r="J16520" i="1"/>
  <c r="L16520" i="1" s="1"/>
  <c r="J16521" i="1"/>
  <c r="L16521" i="1" s="1"/>
  <c r="J16522" i="1"/>
  <c r="L16522" i="1" s="1"/>
  <c r="J16523" i="1"/>
  <c r="L16523" i="1" s="1"/>
  <c r="J16524" i="1"/>
  <c r="L16524" i="1" s="1"/>
  <c r="J16535" i="1"/>
  <c r="L16535" i="1" s="1"/>
  <c r="J16536" i="1"/>
  <c r="L16536" i="1" s="1"/>
  <c r="J16537" i="1"/>
  <c r="L16537" i="1" s="1"/>
  <c r="J16538" i="1"/>
  <c r="L16538" i="1" s="1"/>
  <c r="J16539" i="1"/>
  <c r="L16539" i="1" s="1"/>
  <c r="J16540" i="1"/>
  <c r="L16540" i="1" s="1"/>
  <c r="J16541" i="1"/>
  <c r="L16541" i="1" s="1"/>
  <c r="J16542" i="1"/>
  <c r="L16542" i="1" s="1"/>
  <c r="J16543" i="1"/>
  <c r="L16543" i="1" s="1"/>
  <c r="J16544" i="1"/>
  <c r="L16544" i="1" s="1"/>
  <c r="J16545" i="1"/>
  <c r="L16545" i="1" s="1"/>
  <c r="J16546" i="1"/>
  <c r="L16546" i="1" s="1"/>
  <c r="J16547" i="1"/>
  <c r="L16547" i="1" s="1"/>
  <c r="J16548" i="1"/>
  <c r="L16548" i="1" s="1"/>
  <c r="J16549" i="1"/>
  <c r="L16549" i="1" s="1"/>
  <c r="J16550" i="1"/>
  <c r="L16550" i="1" s="1"/>
  <c r="J16551" i="1"/>
  <c r="L16551" i="1" s="1"/>
  <c r="J16624" i="1"/>
  <c r="L16624" i="1" s="1"/>
  <c r="J16626" i="1"/>
  <c r="L16626" i="1" s="1"/>
  <c r="J16768" i="1"/>
  <c r="L16768" i="1" s="1"/>
  <c r="J16769" i="1"/>
  <c r="L16769" i="1" s="1"/>
  <c r="J16770" i="1"/>
  <c r="L16770" i="1" s="1"/>
  <c r="J16771" i="1"/>
  <c r="L16771" i="1" s="1"/>
  <c r="J16772" i="1"/>
  <c r="L16772" i="1" s="1"/>
  <c r="J16787" i="1"/>
  <c r="L16787" i="1" s="1"/>
  <c r="J16788" i="1"/>
  <c r="L16788" i="1" s="1"/>
  <c r="J16789" i="1"/>
  <c r="L16789" i="1" s="1"/>
  <c r="J16790" i="1"/>
  <c r="L16790" i="1" s="1"/>
  <c r="J16791" i="1"/>
  <c r="L16791" i="1" s="1"/>
  <c r="J16792" i="1"/>
  <c r="L16792" i="1" s="1"/>
  <c r="J16793" i="1"/>
  <c r="L16793" i="1" s="1"/>
  <c r="J16794" i="1"/>
  <c r="L16794" i="1" s="1"/>
  <c r="J16795" i="1"/>
  <c r="L16795" i="1" s="1"/>
  <c r="J16796" i="1"/>
  <c r="L16796" i="1" s="1"/>
  <c r="J16797" i="1"/>
  <c r="L16797" i="1" s="1"/>
  <c r="J16798" i="1"/>
  <c r="L16798" i="1" s="1"/>
  <c r="J16799" i="1"/>
  <c r="L16799" i="1" s="1"/>
  <c r="J16800" i="1"/>
  <c r="L16800" i="1" s="1"/>
  <c r="J16801" i="1"/>
  <c r="L16801" i="1" s="1"/>
  <c r="J16802" i="1"/>
  <c r="L16802" i="1" s="1"/>
  <c r="J16803" i="1"/>
  <c r="L16803" i="1" s="1"/>
  <c r="J16810" i="1"/>
  <c r="L16810" i="1" s="1"/>
  <c r="J16811" i="1"/>
  <c r="L16811" i="1" s="1"/>
  <c r="J16848" i="1"/>
  <c r="L16848" i="1" s="1"/>
  <c r="J16877" i="1"/>
  <c r="L16877" i="1" s="1"/>
  <c r="J16878" i="1"/>
  <c r="L16878" i="1" s="1"/>
  <c r="J16881" i="1"/>
  <c r="L16881" i="1" s="1"/>
  <c r="J16882" i="1"/>
  <c r="L16882" i="1" s="1"/>
  <c r="J16883" i="1"/>
  <c r="L16883" i="1" s="1"/>
  <c r="J16884" i="1"/>
  <c r="L16884" i="1" s="1"/>
  <c r="J16885" i="1"/>
  <c r="L16885" i="1" s="1"/>
  <c r="J16886" i="1"/>
  <c r="L16886" i="1" s="1"/>
  <c r="J16887" i="1"/>
  <c r="L16887" i="1" s="1"/>
  <c r="J16888" i="1"/>
  <c r="L16888" i="1" s="1"/>
  <c r="J16889" i="1"/>
  <c r="L16889" i="1" s="1"/>
  <c r="J16890" i="1"/>
  <c r="L16890" i="1" s="1"/>
  <c r="J16891" i="1"/>
  <c r="L16891" i="1" s="1"/>
  <c r="J16892" i="1"/>
  <c r="L16892" i="1" s="1"/>
  <c r="J16895" i="1"/>
  <c r="L16895" i="1" s="1"/>
  <c r="J16896" i="1"/>
  <c r="L16896" i="1" s="1"/>
  <c r="J16897" i="1"/>
  <c r="L16897" i="1" s="1"/>
  <c r="J16898" i="1"/>
  <c r="L16898" i="1" s="1"/>
  <c r="J16899" i="1"/>
  <c r="L16899" i="1" s="1"/>
  <c r="J16900" i="1"/>
  <c r="L16900" i="1" s="1"/>
  <c r="J16901" i="1"/>
  <c r="L16901" i="1" s="1"/>
  <c r="J16902" i="1"/>
  <c r="L16902" i="1" s="1"/>
  <c r="J16903" i="1"/>
  <c r="L16903" i="1" s="1"/>
  <c r="J16904" i="1"/>
  <c r="L16904" i="1" s="1"/>
  <c r="J16905" i="1"/>
  <c r="L16905" i="1" s="1"/>
  <c r="J16906" i="1"/>
  <c r="L16906" i="1" s="1"/>
  <c r="J16907" i="1"/>
  <c r="L16907" i="1" s="1"/>
  <c r="J16908" i="1"/>
  <c r="L16908" i="1" s="1"/>
  <c r="J16909" i="1"/>
  <c r="L16909" i="1" s="1"/>
  <c r="J16910" i="1"/>
  <c r="L16910" i="1" s="1"/>
  <c r="J16911" i="1"/>
  <c r="L16911" i="1" s="1"/>
  <c r="J16912" i="1"/>
  <c r="L16912" i="1" s="1"/>
  <c r="J16913" i="1"/>
  <c r="L16913" i="1" s="1"/>
  <c r="J16914" i="1"/>
  <c r="L16914" i="1" s="1"/>
  <c r="J16915" i="1"/>
  <c r="L16915" i="1" s="1"/>
  <c r="J16921" i="1"/>
  <c r="L16921" i="1" s="1"/>
  <c r="J16955" i="1"/>
  <c r="L16955" i="1" s="1"/>
  <c r="J16959" i="1"/>
  <c r="L16959" i="1" s="1"/>
  <c r="J16962" i="1"/>
  <c r="L16962" i="1" s="1"/>
  <c r="J16963" i="1"/>
  <c r="L16963" i="1" s="1"/>
  <c r="J16965" i="1"/>
  <c r="L16965" i="1" s="1"/>
  <c r="J16999" i="1"/>
  <c r="L16999" i="1" s="1"/>
  <c r="J17001" i="1"/>
  <c r="L17001" i="1" s="1"/>
  <c r="J17003" i="1"/>
  <c r="L17003" i="1" s="1"/>
  <c r="J17007" i="1"/>
  <c r="L17007" i="1" s="1"/>
  <c r="J17008" i="1"/>
  <c r="L17008" i="1" s="1"/>
  <c r="J17009" i="1"/>
  <c r="L17009" i="1" s="1"/>
  <c r="J17019" i="1"/>
  <c r="L17019" i="1" s="1"/>
  <c r="J17015" i="1"/>
  <c r="L17015" i="1" s="1"/>
  <c r="J17016" i="1"/>
  <c r="L17016" i="1" s="1"/>
  <c r="J17017" i="1"/>
  <c r="L17017" i="1" s="1"/>
  <c r="J17018" i="1"/>
  <c r="L17018" i="1" s="1"/>
  <c r="J17021" i="1"/>
  <c r="L17021" i="1" s="1"/>
  <c r="J17023" i="1"/>
  <c r="L17023" i="1" s="1"/>
  <c r="J17029" i="1"/>
  <c r="L17029" i="1" s="1"/>
  <c r="J17030" i="1"/>
  <c r="L17030" i="1" s="1"/>
  <c r="J17037" i="1"/>
  <c r="L17037" i="1" s="1"/>
  <c r="J17038" i="1"/>
  <c r="L17038" i="1" s="1"/>
  <c r="J17039" i="1"/>
  <c r="L17039" i="1" s="1"/>
  <c r="J17040" i="1"/>
  <c r="L17040" i="1" s="1"/>
  <c r="J17041" i="1"/>
  <c r="L17041" i="1" s="1"/>
  <c r="J17042" i="1"/>
  <c r="L17042" i="1" s="1"/>
  <c r="J17045" i="1"/>
  <c r="L17045" i="1" s="1"/>
  <c r="J17046" i="1"/>
  <c r="L17046" i="1" s="1"/>
  <c r="J17052" i="1"/>
  <c r="L17052" i="1" s="1"/>
  <c r="J17057" i="1"/>
  <c r="L17057" i="1" s="1"/>
  <c r="J17063" i="1"/>
  <c r="L17063" i="1" s="1"/>
  <c r="J17077" i="1"/>
  <c r="L17077" i="1" s="1"/>
  <c r="J17078" i="1"/>
  <c r="L17078" i="1" s="1"/>
  <c r="J17094" i="1"/>
  <c r="L17094" i="1" s="1"/>
  <c r="J17095" i="1"/>
  <c r="L17095" i="1" s="1"/>
  <c r="J17096" i="1"/>
  <c r="L17096" i="1" s="1"/>
  <c r="J17097" i="1"/>
  <c r="L17097" i="1" s="1"/>
  <c r="J17098" i="1"/>
  <c r="L17098" i="1" s="1"/>
  <c r="J17099" i="1"/>
  <c r="L17099" i="1" s="1"/>
  <c r="J17115" i="1"/>
  <c r="L17115" i="1" s="1"/>
  <c r="J17116" i="1"/>
  <c r="L17116" i="1" s="1"/>
  <c r="J17117" i="1"/>
  <c r="L17117" i="1" s="1"/>
  <c r="J17132" i="1"/>
  <c r="L17132" i="1" s="1"/>
  <c r="J17182" i="1"/>
  <c r="L17182" i="1" s="1"/>
  <c r="J17188" i="1"/>
  <c r="L17188" i="1" s="1"/>
  <c r="J17194" i="1"/>
  <c r="L17194" i="1" s="1"/>
  <c r="J17195" i="1"/>
  <c r="L17195" i="1" s="1"/>
  <c r="J17196" i="1"/>
  <c r="L17196" i="1" s="1"/>
  <c r="J17197" i="1"/>
  <c r="L17197" i="1" s="1"/>
  <c r="J17199" i="1"/>
  <c r="L17199" i="1" s="1"/>
  <c r="J17207" i="1"/>
  <c r="L17207" i="1" s="1"/>
  <c r="J17216" i="1"/>
  <c r="L17216" i="1" s="1"/>
  <c r="J17217" i="1"/>
  <c r="L17217" i="1" s="1"/>
  <c r="J17218" i="1"/>
  <c r="L17218" i="1" s="1"/>
  <c r="J17219" i="1"/>
  <c r="L17219" i="1" s="1"/>
  <c r="J17220" i="1"/>
  <c r="L17220" i="1" s="1"/>
  <c r="J17221" i="1"/>
  <c r="L17221" i="1" s="1"/>
  <c r="J17222" i="1"/>
  <c r="L17222" i="1" s="1"/>
  <c r="J17223" i="1"/>
  <c r="L17223" i="1" s="1"/>
  <c r="J17224" i="1"/>
  <c r="L17224" i="1" s="1"/>
  <c r="J17225" i="1"/>
  <c r="L17225" i="1" s="1"/>
  <c r="J17231" i="1"/>
  <c r="L17231" i="1" s="1"/>
  <c r="J17233" i="1"/>
  <c r="L17233" i="1" s="1"/>
  <c r="J17234" i="1"/>
  <c r="L17234" i="1" s="1"/>
  <c r="J17235" i="1"/>
  <c r="L17235" i="1" s="1"/>
  <c r="J17236" i="1"/>
  <c r="L17236" i="1" s="1"/>
  <c r="J17245" i="1"/>
  <c r="L17245" i="1" s="1"/>
  <c r="J17246" i="1"/>
  <c r="L17246" i="1" s="1"/>
  <c r="J17247" i="1"/>
  <c r="L17247" i="1" s="1"/>
  <c r="J17248" i="1"/>
  <c r="L17248" i="1" s="1"/>
  <c r="J17258" i="1"/>
  <c r="L17258" i="1" s="1"/>
  <c r="J17259" i="1"/>
  <c r="L17259" i="1" s="1"/>
  <c r="J17260" i="1"/>
  <c r="L17260" i="1" s="1"/>
  <c r="J17263" i="1"/>
  <c r="L17263" i="1" s="1"/>
  <c r="J17264" i="1"/>
  <c r="L17264" i="1" s="1"/>
  <c r="J17271" i="1"/>
  <c r="L17271" i="1" s="1"/>
  <c r="J17277" i="1"/>
  <c r="L17277" i="1" s="1"/>
  <c r="J17280" i="1"/>
  <c r="L17280" i="1" s="1"/>
  <c r="J17281" i="1"/>
  <c r="L17281" i="1" s="1"/>
  <c r="J17282" i="1"/>
  <c r="L17282" i="1" s="1"/>
  <c r="J17283" i="1"/>
  <c r="L17283" i="1" s="1"/>
  <c r="J7253" i="1"/>
  <c r="L7253" i="1" s="1"/>
  <c r="J7285" i="1"/>
  <c r="L7285" i="1" s="1"/>
  <c r="J7286" i="1"/>
  <c r="L7286" i="1" s="1"/>
  <c r="J7287" i="1"/>
  <c r="L7287" i="1" s="1"/>
  <c r="J7303" i="1"/>
  <c r="L7303" i="1" s="1"/>
  <c r="J7304" i="1"/>
  <c r="L7304" i="1" s="1"/>
  <c r="J7328" i="1"/>
  <c r="L7328" i="1" s="1"/>
  <c r="J7329" i="1"/>
  <c r="L7329" i="1" s="1"/>
  <c r="J7330" i="1"/>
  <c r="L7330" i="1" s="1"/>
  <c r="J7335" i="1"/>
  <c r="L7335" i="1" s="1"/>
  <c r="J7336" i="1"/>
  <c r="L7336" i="1" s="1"/>
  <c r="J7337" i="1"/>
  <c r="L7337" i="1" s="1"/>
  <c r="J7338" i="1"/>
  <c r="L7338" i="1" s="1"/>
  <c r="J7339" i="1"/>
  <c r="L7339" i="1" s="1"/>
  <c r="J7340" i="1"/>
  <c r="L7340" i="1" s="1"/>
  <c r="J7341" i="1"/>
  <c r="L7341" i="1" s="1"/>
  <c r="J7342" i="1"/>
  <c r="L7342" i="1" s="1"/>
  <c r="J7343" i="1"/>
  <c r="L7343" i="1" s="1"/>
  <c r="J7344" i="1"/>
  <c r="L7344" i="1" s="1"/>
  <c r="J7345" i="1"/>
  <c r="L7345" i="1" s="1"/>
  <c r="J7346" i="1"/>
  <c r="L7346" i="1" s="1"/>
  <c r="J7368" i="1"/>
  <c r="L7368" i="1" s="1"/>
  <c r="J7369" i="1"/>
  <c r="L7369" i="1" s="1"/>
  <c r="J7370" i="1"/>
  <c r="L7370" i="1" s="1"/>
  <c r="J7371" i="1"/>
  <c r="L7371" i="1" s="1"/>
  <c r="J7449" i="1"/>
  <c r="L7449" i="1" s="1"/>
  <c r="J7452" i="1"/>
  <c r="L7452" i="1" s="1"/>
  <c r="J7453" i="1"/>
  <c r="L7453" i="1" s="1"/>
  <c r="J7454" i="1"/>
  <c r="L7454" i="1" s="1"/>
  <c r="J7455" i="1"/>
  <c r="L7455" i="1" s="1"/>
  <c r="J7486" i="1"/>
  <c r="L7486" i="1" s="1"/>
  <c r="J7487" i="1"/>
  <c r="L7487" i="1" s="1"/>
  <c r="J7488" i="1"/>
  <c r="L7488" i="1" s="1"/>
  <c r="J7489" i="1"/>
  <c r="L7489" i="1" s="1"/>
  <c r="J7490" i="1"/>
  <c r="L7490" i="1" s="1"/>
  <c r="J7517" i="1"/>
  <c r="L7517" i="1" s="1"/>
  <c r="J7518" i="1"/>
  <c r="L7518" i="1" s="1"/>
  <c r="J7543" i="1"/>
  <c r="L7543" i="1" s="1"/>
  <c r="J7550" i="1"/>
  <c r="L7550" i="1" s="1"/>
  <c r="J7551" i="1"/>
  <c r="L7551" i="1" s="1"/>
  <c r="J7552" i="1"/>
  <c r="L7552" i="1" s="1"/>
  <c r="J7565" i="1"/>
  <c r="L7565" i="1" s="1"/>
  <c r="J7566" i="1"/>
  <c r="L7566" i="1" s="1"/>
  <c r="J7567" i="1"/>
  <c r="L7567" i="1" s="1"/>
  <c r="J7568" i="1"/>
  <c r="L7568" i="1" s="1"/>
  <c r="J7569" i="1"/>
  <c r="L7569" i="1" s="1"/>
  <c r="J7570" i="1"/>
  <c r="L7570" i="1" s="1"/>
  <c r="J7571" i="1"/>
  <c r="L7571" i="1" s="1"/>
  <c r="J7572" i="1"/>
  <c r="L7572" i="1" s="1"/>
  <c r="J7573" i="1"/>
  <c r="L7573" i="1" s="1"/>
  <c r="J7574" i="1"/>
  <c r="L7574" i="1" s="1"/>
  <c r="J7600" i="1"/>
  <c r="L7600" i="1" s="1"/>
  <c r="J7602" i="1"/>
  <c r="L7602" i="1" s="1"/>
  <c r="J7605" i="1"/>
  <c r="L7605" i="1" s="1"/>
  <c r="J7616" i="1"/>
  <c r="L7616" i="1" s="1"/>
  <c r="J7617" i="1"/>
  <c r="L7617" i="1" s="1"/>
  <c r="J7756" i="1"/>
  <c r="L7756" i="1" s="1"/>
  <c r="J7767" i="1"/>
  <c r="L7767" i="1" s="1"/>
  <c r="J7768" i="1"/>
  <c r="L7768" i="1" s="1"/>
  <c r="J7769" i="1"/>
  <c r="L7769" i="1" s="1"/>
  <c r="J7776" i="1"/>
  <c r="L7776" i="1" s="1"/>
  <c r="J7781" i="1"/>
  <c r="L7781" i="1" s="1"/>
  <c r="J7786" i="1"/>
  <c r="L7786" i="1" s="1"/>
  <c r="J7787" i="1"/>
  <c r="L7787" i="1" s="1"/>
  <c r="J7788" i="1"/>
  <c r="L7788" i="1" s="1"/>
  <c r="J7789" i="1"/>
  <c r="L7789" i="1" s="1"/>
  <c r="J7793" i="1"/>
  <c r="L7793" i="1" s="1"/>
  <c r="J7794" i="1"/>
  <c r="L7794" i="1" s="1"/>
  <c r="J7863" i="1"/>
  <c r="L7863" i="1" s="1"/>
  <c r="J7866" i="1"/>
  <c r="L7866" i="1" s="1"/>
  <c r="J7867" i="1"/>
  <c r="L7867" i="1" s="1"/>
  <c r="J7868" i="1"/>
  <c r="L7868" i="1" s="1"/>
  <c r="J7877" i="1"/>
  <c r="L7877" i="1" s="1"/>
  <c r="J7878" i="1"/>
  <c r="L7878" i="1" s="1"/>
  <c r="J7879" i="1"/>
  <c r="L7879" i="1" s="1"/>
  <c r="J7880" i="1"/>
  <c r="L7880" i="1" s="1"/>
  <c r="J7881" i="1"/>
  <c r="L7881" i="1" s="1"/>
  <c r="J7882" i="1"/>
  <c r="L7882" i="1" s="1"/>
  <c r="J7883" i="1"/>
  <c r="L7883" i="1" s="1"/>
  <c r="J7884" i="1"/>
  <c r="L7884" i="1" s="1"/>
  <c r="J7885" i="1"/>
  <c r="L7885" i="1" s="1"/>
  <c r="J7915" i="1"/>
  <c r="L7915" i="1" s="1"/>
  <c r="J7916" i="1"/>
  <c r="L7916" i="1" s="1"/>
  <c r="J7917" i="1"/>
  <c r="L7917" i="1" s="1"/>
  <c r="J7918" i="1"/>
  <c r="L7918" i="1" s="1"/>
  <c r="J7919" i="1"/>
  <c r="L7919" i="1" s="1"/>
  <c r="J7920" i="1"/>
  <c r="L7920" i="1" s="1"/>
  <c r="J7921" i="1"/>
  <c r="L7921" i="1" s="1"/>
  <c r="J7922" i="1"/>
  <c r="L7922" i="1" s="1"/>
  <c r="J7923" i="1"/>
  <c r="L7923" i="1" s="1"/>
  <c r="J7924" i="1"/>
  <c r="L7924" i="1" s="1"/>
  <c r="J7925" i="1"/>
  <c r="L7925" i="1" s="1"/>
  <c r="J7952" i="1"/>
  <c r="L7952" i="1" s="1"/>
  <c r="J7953" i="1"/>
  <c r="L7953" i="1" s="1"/>
  <c r="J7954" i="1"/>
  <c r="L7954" i="1" s="1"/>
  <c r="J7955" i="1"/>
  <c r="L7955" i="1" s="1"/>
  <c r="J7956" i="1"/>
  <c r="L7956" i="1" s="1"/>
  <c r="J7966" i="1"/>
  <c r="L7966" i="1" s="1"/>
  <c r="J7967" i="1"/>
  <c r="L7967" i="1" s="1"/>
  <c r="J8026" i="1"/>
  <c r="L8026" i="1" s="1"/>
  <c r="J8075" i="1"/>
  <c r="L8075" i="1" s="1"/>
  <c r="J8093" i="1"/>
  <c r="L8093" i="1" s="1"/>
  <c r="J8094" i="1"/>
  <c r="L8094" i="1" s="1"/>
  <c r="J8099" i="1"/>
  <c r="L8099" i="1" s="1"/>
  <c r="J8193" i="1"/>
  <c r="L8193" i="1" s="1"/>
  <c r="J8194" i="1"/>
  <c r="L8194" i="1" s="1"/>
  <c r="J8206" i="1"/>
  <c r="L8206" i="1" s="1"/>
  <c r="J8207" i="1"/>
  <c r="L8207" i="1" s="1"/>
  <c r="J8215" i="1"/>
  <c r="L8215" i="1" s="1"/>
  <c r="J8216" i="1"/>
  <c r="L8216" i="1" s="1"/>
  <c r="J8226" i="1"/>
  <c r="L8226" i="1" s="1"/>
  <c r="J8227" i="1"/>
  <c r="L8227" i="1" s="1"/>
  <c r="J8237" i="1"/>
  <c r="L8237" i="1" s="1"/>
  <c r="J8238" i="1"/>
  <c r="L8238" i="1" s="1"/>
  <c r="J8239" i="1"/>
  <c r="L8239" i="1" s="1"/>
  <c r="J8255" i="1"/>
  <c r="L8255" i="1" s="1"/>
  <c r="J8269" i="1"/>
  <c r="L8269" i="1" s="1"/>
  <c r="J8270" i="1"/>
  <c r="L8270" i="1" s="1"/>
  <c r="J8271" i="1"/>
  <c r="L8271" i="1" s="1"/>
  <c r="J8272" i="1"/>
  <c r="L8272" i="1" s="1"/>
  <c r="J8288" i="1"/>
  <c r="L8288" i="1" s="1"/>
  <c r="J8289" i="1"/>
  <c r="L8289" i="1" s="1"/>
  <c r="J8290" i="1"/>
  <c r="L8290" i="1" s="1"/>
  <c r="J8291" i="1"/>
  <c r="L8291" i="1" s="1"/>
  <c r="J8292" i="1"/>
  <c r="L8292" i="1" s="1"/>
  <c r="J8299" i="1"/>
  <c r="L8299" i="1" s="1"/>
  <c r="J8300" i="1"/>
  <c r="L8300" i="1" s="1"/>
  <c r="J8304" i="1"/>
  <c r="L8304" i="1" s="1"/>
  <c r="J8320" i="1"/>
  <c r="L8320" i="1" s="1"/>
  <c r="J8347" i="1"/>
  <c r="L8347" i="1" s="1"/>
  <c r="J8348" i="1"/>
  <c r="L8348" i="1" s="1"/>
  <c r="J8349" i="1"/>
  <c r="L8349" i="1" s="1"/>
  <c r="J8350" i="1"/>
  <c r="L8350" i="1" s="1"/>
  <c r="J8351" i="1"/>
  <c r="L8351" i="1" s="1"/>
  <c r="J8352" i="1"/>
  <c r="L8352" i="1" s="1"/>
  <c r="J8366" i="1"/>
  <c r="L8366" i="1" s="1"/>
  <c r="J8367" i="1"/>
  <c r="L8367" i="1" s="1"/>
  <c r="J8377" i="1"/>
  <c r="L8377" i="1" s="1"/>
  <c r="J8378" i="1"/>
  <c r="L8378" i="1" s="1"/>
  <c r="J8400" i="1"/>
  <c r="L8400" i="1" s="1"/>
  <c r="J8401" i="1"/>
  <c r="L8401" i="1" s="1"/>
  <c r="J8402" i="1"/>
  <c r="L8402" i="1" s="1"/>
  <c r="J8404" i="1"/>
  <c r="L8404" i="1" s="1"/>
  <c r="J8405" i="1"/>
  <c r="L8405" i="1" s="1"/>
  <c r="J8459" i="1"/>
  <c r="L8459" i="1" s="1"/>
  <c r="J8463" i="1"/>
  <c r="L8463" i="1" s="1"/>
  <c r="J8466" i="1"/>
  <c r="L8466" i="1" s="1"/>
  <c r="J8473" i="1"/>
  <c r="L8473" i="1" s="1"/>
  <c r="J8474" i="1"/>
  <c r="L8474" i="1" s="1"/>
  <c r="J8490" i="1"/>
  <c r="L8490" i="1" s="1"/>
  <c r="J8491" i="1"/>
  <c r="L8491" i="1" s="1"/>
  <c r="J8492" i="1"/>
  <c r="L8492" i="1" s="1"/>
  <c r="J8493" i="1"/>
  <c r="L8493" i="1" s="1"/>
  <c r="J8523" i="1"/>
  <c r="L8523" i="1" s="1"/>
  <c r="J8528" i="1"/>
  <c r="L8528" i="1" s="1"/>
  <c r="J8529" i="1"/>
  <c r="L8529" i="1" s="1"/>
  <c r="J8534" i="1"/>
  <c r="L8534" i="1" s="1"/>
  <c r="J8535" i="1"/>
  <c r="L8535" i="1" s="1"/>
  <c r="J8536" i="1"/>
  <c r="L8536" i="1" s="1"/>
  <c r="J8567" i="1"/>
  <c r="L8567" i="1" s="1"/>
  <c r="J8571" i="1"/>
  <c r="L8571" i="1" s="1"/>
  <c r="J8573" i="1"/>
  <c r="L8573" i="1" s="1"/>
  <c r="J8574" i="1"/>
  <c r="L8574" i="1" s="1"/>
  <c r="J8600" i="1"/>
  <c r="L8600" i="1" s="1"/>
  <c r="J8601" i="1"/>
  <c r="L8601" i="1" s="1"/>
  <c r="J8602" i="1"/>
  <c r="L8602" i="1" s="1"/>
  <c r="J8603" i="1"/>
  <c r="L8603" i="1" s="1"/>
  <c r="J8604" i="1"/>
  <c r="L8604" i="1" s="1"/>
  <c r="J8609" i="1"/>
  <c r="L8609" i="1" s="1"/>
  <c r="J8610" i="1"/>
  <c r="L8610" i="1" s="1"/>
  <c r="J8611" i="1"/>
  <c r="L8611" i="1" s="1"/>
  <c r="J8616" i="1"/>
  <c r="L8616" i="1" s="1"/>
  <c r="J8617" i="1"/>
  <c r="L8617" i="1" s="1"/>
  <c r="J8618" i="1"/>
  <c r="L8618" i="1" s="1"/>
  <c r="J8637" i="1"/>
  <c r="L8637" i="1" s="1"/>
  <c r="J8646" i="1"/>
  <c r="L8646" i="1" s="1"/>
  <c r="J8647" i="1"/>
  <c r="L8647" i="1" s="1"/>
  <c r="J8648" i="1"/>
  <c r="L8648" i="1" s="1"/>
  <c r="J8649" i="1"/>
  <c r="L8649" i="1" s="1"/>
  <c r="J8650" i="1"/>
  <c r="L8650" i="1" s="1"/>
  <c r="J8658" i="1"/>
  <c r="L8658" i="1" s="1"/>
  <c r="J8659" i="1"/>
  <c r="L8659" i="1" s="1"/>
  <c r="J8660" i="1"/>
  <c r="L8660" i="1" s="1"/>
  <c r="J8661" i="1"/>
  <c r="L8661" i="1" s="1"/>
  <c r="J8662" i="1"/>
  <c r="L8662" i="1" s="1"/>
  <c r="J8691" i="1"/>
  <c r="L8691" i="1" s="1"/>
  <c r="J8692" i="1"/>
  <c r="L8692" i="1" s="1"/>
  <c r="J8693" i="1"/>
  <c r="L8693" i="1" s="1"/>
  <c r="J8717" i="1"/>
  <c r="L8717" i="1" s="1"/>
  <c r="J8718" i="1"/>
  <c r="L8718" i="1" s="1"/>
  <c r="J8719" i="1"/>
  <c r="L8719" i="1" s="1"/>
  <c r="J8720" i="1"/>
  <c r="L8720" i="1" s="1"/>
  <c r="J8721" i="1"/>
  <c r="L8721" i="1" s="1"/>
  <c r="J8722" i="1"/>
  <c r="L8722" i="1" s="1"/>
  <c r="J8723" i="1"/>
  <c r="L8723" i="1" s="1"/>
  <c r="J8736" i="1"/>
  <c r="L8736" i="1" s="1"/>
  <c r="J8737" i="1"/>
  <c r="L8737" i="1" s="1"/>
  <c r="J8738" i="1"/>
  <c r="L8738" i="1" s="1"/>
  <c r="J8739" i="1"/>
  <c r="L8739" i="1" s="1"/>
  <c r="J8740" i="1"/>
  <c r="L8740" i="1" s="1"/>
  <c r="J8757" i="1"/>
  <c r="L8757" i="1" s="1"/>
  <c r="J8758" i="1"/>
  <c r="L8758" i="1" s="1"/>
  <c r="J8759" i="1"/>
  <c r="L8759" i="1" s="1"/>
  <c r="J8760" i="1"/>
  <c r="L8760" i="1" s="1"/>
  <c r="J8761" i="1"/>
  <c r="L8761" i="1" s="1"/>
  <c r="J8762" i="1"/>
  <c r="L8762" i="1" s="1"/>
  <c r="J8763" i="1"/>
  <c r="L8763" i="1" s="1"/>
  <c r="J8764" i="1"/>
  <c r="L8764" i="1" s="1"/>
  <c r="J8765" i="1"/>
  <c r="L8765" i="1" s="1"/>
  <c r="J8766" i="1"/>
  <c r="L8766" i="1" s="1"/>
  <c r="J8797" i="1"/>
  <c r="L8797" i="1" s="1"/>
  <c r="J8829" i="1"/>
  <c r="L8829" i="1" s="1"/>
  <c r="J8830" i="1"/>
  <c r="L8830" i="1" s="1"/>
  <c r="J8913" i="1"/>
  <c r="L8913" i="1" s="1"/>
  <c r="J8914" i="1"/>
  <c r="L8914" i="1" s="1"/>
  <c r="J8921" i="1"/>
  <c r="L8921" i="1" s="1"/>
  <c r="J8922" i="1"/>
  <c r="L8922" i="1" s="1"/>
  <c r="J8923" i="1"/>
  <c r="L8923" i="1" s="1"/>
  <c r="J8924" i="1"/>
  <c r="L8924" i="1" s="1"/>
  <c r="J8925" i="1"/>
  <c r="L8925" i="1" s="1"/>
  <c r="J8926" i="1"/>
  <c r="L8926" i="1" s="1"/>
  <c r="J8927" i="1"/>
  <c r="L8927" i="1" s="1"/>
  <c r="J8928" i="1"/>
  <c r="L8928" i="1" s="1"/>
  <c r="J8929" i="1"/>
  <c r="L8929" i="1" s="1"/>
  <c r="J8935" i="1"/>
  <c r="L8935" i="1" s="1"/>
  <c r="J8936" i="1"/>
  <c r="L8936" i="1" s="1"/>
  <c r="J8937" i="1"/>
  <c r="L8937" i="1" s="1"/>
  <c r="J8944" i="1"/>
  <c r="L8944" i="1" s="1"/>
  <c r="J8945" i="1"/>
  <c r="L8945" i="1" s="1"/>
  <c r="J8948" i="1"/>
  <c r="L8948" i="1" s="1"/>
  <c r="J8949" i="1"/>
  <c r="L8949" i="1" s="1"/>
  <c r="J8992" i="1"/>
  <c r="L8992" i="1" s="1"/>
  <c r="J9002" i="1"/>
  <c r="L9002" i="1" s="1"/>
  <c r="J9009" i="1"/>
  <c r="L9009" i="1" s="1"/>
  <c r="J9035" i="1"/>
  <c r="L9035" i="1" s="1"/>
  <c r="J9060" i="1"/>
  <c r="L9060" i="1" s="1"/>
  <c r="J9061" i="1"/>
  <c r="L9061" i="1" s="1"/>
  <c r="J9062" i="1"/>
  <c r="L9062" i="1" s="1"/>
  <c r="J9063" i="1"/>
  <c r="L9063" i="1" s="1"/>
  <c r="J9064" i="1"/>
  <c r="L9064" i="1" s="1"/>
  <c r="J9065" i="1"/>
  <c r="L9065" i="1" s="1"/>
  <c r="J9067" i="1"/>
  <c r="L9067" i="1" s="1"/>
  <c r="J9068" i="1"/>
  <c r="L9068" i="1" s="1"/>
  <c r="J9070" i="1"/>
  <c r="L9070" i="1" s="1"/>
  <c r="J9071" i="1"/>
  <c r="L9071" i="1" s="1"/>
  <c r="J9096" i="1"/>
  <c r="L9096" i="1" s="1"/>
  <c r="J9098" i="1"/>
  <c r="L9098" i="1" s="1"/>
  <c r="J9099" i="1"/>
  <c r="L9099" i="1" s="1"/>
  <c r="J9100" i="1"/>
  <c r="L9100" i="1" s="1"/>
  <c r="J9101" i="1"/>
  <c r="L9101" i="1" s="1"/>
  <c r="J9102" i="1"/>
  <c r="L9102" i="1" s="1"/>
  <c r="J9103" i="1"/>
  <c r="L9103" i="1" s="1"/>
  <c r="J9105" i="1"/>
  <c r="L9105" i="1" s="1"/>
  <c r="J9170" i="1"/>
  <c r="L9170" i="1" s="1"/>
  <c r="J9172" i="1"/>
  <c r="L9172" i="1" s="1"/>
  <c r="J9173" i="1"/>
  <c r="L9173" i="1" s="1"/>
  <c r="J9174" i="1"/>
  <c r="L9174" i="1" s="1"/>
  <c r="J9175" i="1"/>
  <c r="L9175" i="1" s="1"/>
  <c r="J9176" i="1"/>
  <c r="L9176" i="1" s="1"/>
  <c r="J9178" i="1"/>
  <c r="L9178" i="1" s="1"/>
  <c r="J9180" i="1"/>
  <c r="L9180" i="1" s="1"/>
  <c r="J9194" i="1"/>
  <c r="L9194" i="1" s="1"/>
  <c r="J9195" i="1"/>
  <c r="L9195" i="1" s="1"/>
  <c r="J9196" i="1"/>
  <c r="L9196" i="1" s="1"/>
  <c r="J9207" i="1"/>
  <c r="L9207" i="1" s="1"/>
  <c r="J9208" i="1"/>
  <c r="L9208" i="1" s="1"/>
  <c r="J9218" i="1"/>
  <c r="L9218" i="1" s="1"/>
  <c r="J9219" i="1"/>
  <c r="L9219" i="1" s="1"/>
  <c r="J9242" i="1"/>
  <c r="L9242" i="1" s="1"/>
  <c r="J9284" i="1"/>
  <c r="L9284" i="1" s="1"/>
  <c r="J9286" i="1"/>
  <c r="L9286" i="1" s="1"/>
  <c r="J9287" i="1"/>
  <c r="L9287" i="1" s="1"/>
  <c r="J9288" i="1"/>
  <c r="L9288" i="1" s="1"/>
  <c r="J9314" i="1"/>
  <c r="L9314" i="1" s="1"/>
  <c r="J9319" i="1"/>
  <c r="L9319" i="1" s="1"/>
  <c r="J9320" i="1"/>
  <c r="L9320" i="1" s="1"/>
  <c r="J9477" i="1"/>
  <c r="L9477" i="1" s="1"/>
  <c r="J9478" i="1"/>
  <c r="L9478" i="1" s="1"/>
  <c r="J9479" i="1"/>
  <c r="L9479" i="1" s="1"/>
  <c r="J9483" i="1"/>
  <c r="L9483" i="1" s="1"/>
  <c r="J9485" i="1"/>
  <c r="L9485" i="1" s="1"/>
  <c r="J9488" i="1"/>
  <c r="L9488" i="1" s="1"/>
  <c r="J9489" i="1"/>
  <c r="L9489" i="1" s="1"/>
  <c r="J9494" i="1"/>
  <c r="L9494" i="1" s="1"/>
  <c r="J9502" i="1"/>
  <c r="L9502" i="1" s="1"/>
  <c r="J9503" i="1"/>
  <c r="L9503" i="1" s="1"/>
  <c r="J9504" i="1"/>
  <c r="L9504" i="1" s="1"/>
  <c r="J9505" i="1"/>
  <c r="L9505" i="1" s="1"/>
  <c r="J9506" i="1"/>
  <c r="L9506" i="1" s="1"/>
  <c r="J9507" i="1"/>
  <c r="L9507" i="1" s="1"/>
  <c r="J9508" i="1"/>
  <c r="L9508" i="1" s="1"/>
  <c r="J9509" i="1"/>
  <c r="L9509" i="1" s="1"/>
  <c r="J9510" i="1"/>
  <c r="L9510" i="1" s="1"/>
  <c r="J9511" i="1"/>
  <c r="L9511" i="1" s="1"/>
  <c r="J9512" i="1"/>
  <c r="L9512" i="1" s="1"/>
  <c r="J9514" i="1"/>
  <c r="L9514" i="1" s="1"/>
  <c r="J9515" i="1"/>
  <c r="L9515" i="1" s="1"/>
  <c r="J9516" i="1"/>
  <c r="L9516" i="1" s="1"/>
  <c r="J9517" i="1"/>
  <c r="L9517" i="1" s="1"/>
  <c r="J9527" i="1"/>
  <c r="L9527" i="1" s="1"/>
  <c r="J9529" i="1"/>
  <c r="L9529" i="1" s="1"/>
  <c r="J9530" i="1"/>
  <c r="L9530" i="1" s="1"/>
  <c r="J9533" i="1"/>
  <c r="L9533" i="1" s="1"/>
  <c r="J9534" i="1"/>
  <c r="L9534" i="1" s="1"/>
  <c r="J9535" i="1"/>
  <c r="L9535" i="1" s="1"/>
  <c r="J9536" i="1"/>
  <c r="L9536" i="1" s="1"/>
  <c r="J9537" i="1"/>
  <c r="L9537" i="1" s="1"/>
  <c r="J9538" i="1"/>
  <c r="L9538" i="1" s="1"/>
  <c r="J9557" i="1"/>
  <c r="L9557" i="1" s="1"/>
  <c r="J9558" i="1"/>
  <c r="L9558" i="1" s="1"/>
  <c r="J9559" i="1"/>
  <c r="L9559" i="1" s="1"/>
  <c r="J9574" i="1"/>
  <c r="L9574" i="1" s="1"/>
  <c r="J9575" i="1"/>
  <c r="L9575" i="1" s="1"/>
  <c r="J9603" i="1"/>
  <c r="L9603" i="1" s="1"/>
  <c r="J9604" i="1"/>
  <c r="L9604" i="1" s="1"/>
  <c r="J9605" i="1"/>
  <c r="L9605" i="1" s="1"/>
  <c r="J9606" i="1"/>
  <c r="L9606" i="1" s="1"/>
  <c r="J9612" i="1"/>
  <c r="L9612" i="1" s="1"/>
  <c r="J9620" i="1"/>
  <c r="L9620" i="1" s="1"/>
  <c r="J9621" i="1"/>
  <c r="L9621" i="1" s="1"/>
  <c r="J9622" i="1"/>
  <c r="L9622" i="1" s="1"/>
  <c r="J9626" i="1"/>
  <c r="L9626" i="1" s="1"/>
  <c r="J9627" i="1"/>
  <c r="L9627" i="1" s="1"/>
  <c r="J9628" i="1"/>
  <c r="L9628" i="1" s="1"/>
  <c r="J9645" i="1"/>
  <c r="L9645" i="1" s="1"/>
  <c r="J9647" i="1"/>
  <c r="L9647" i="1" s="1"/>
  <c r="J9648" i="1"/>
  <c r="L9648" i="1" s="1"/>
  <c r="J9657" i="1"/>
  <c r="L9657" i="1" s="1"/>
  <c r="J9668" i="1"/>
  <c r="L9668" i="1" s="1"/>
  <c r="J9670" i="1"/>
  <c r="L9670" i="1" s="1"/>
  <c r="J9673" i="1"/>
  <c r="L9673" i="1" s="1"/>
  <c r="J9675" i="1"/>
  <c r="L9675" i="1" s="1"/>
  <c r="J9683" i="1"/>
  <c r="L9683" i="1" s="1"/>
  <c r="J9687" i="1"/>
  <c r="L9687" i="1" s="1"/>
  <c r="J9705" i="1"/>
  <c r="L9705" i="1" s="1"/>
  <c r="J9719" i="1"/>
  <c r="L9719" i="1" s="1"/>
  <c r="J9729" i="1"/>
  <c r="L9729" i="1" s="1"/>
  <c r="J9747" i="1"/>
  <c r="L9747" i="1" s="1"/>
  <c r="J9748" i="1"/>
  <c r="L9748" i="1" s="1"/>
  <c r="J9749" i="1"/>
  <c r="L9749" i="1" s="1"/>
  <c r="J9750" i="1"/>
  <c r="L9750" i="1" s="1"/>
  <c r="J9776" i="1"/>
  <c r="L9776" i="1" s="1"/>
  <c r="J9777" i="1"/>
  <c r="L9777" i="1" s="1"/>
  <c r="J9778" i="1"/>
  <c r="L9778" i="1" s="1"/>
  <c r="J9779" i="1"/>
  <c r="L9779" i="1" s="1"/>
  <c r="J9780" i="1"/>
  <c r="L9780" i="1" s="1"/>
  <c r="J9781" i="1"/>
  <c r="L9781" i="1" s="1"/>
  <c r="J9801" i="1"/>
  <c r="L9801" i="1" s="1"/>
  <c r="J9802" i="1"/>
  <c r="L9802" i="1" s="1"/>
  <c r="J9820" i="1"/>
  <c r="L9820" i="1" s="1"/>
  <c r="J9822" i="1"/>
  <c r="L9822" i="1" s="1"/>
  <c r="J9823" i="1"/>
  <c r="L9823" i="1" s="1"/>
  <c r="J9824" i="1"/>
  <c r="L9824" i="1" s="1"/>
  <c r="J9825" i="1"/>
  <c r="L9825" i="1" s="1"/>
  <c r="J9826" i="1"/>
  <c r="L9826" i="1" s="1"/>
  <c r="J9929" i="1"/>
  <c r="L9929" i="1" s="1"/>
  <c r="J10003" i="1"/>
  <c r="L10003" i="1" s="1"/>
  <c r="J10009" i="1"/>
  <c r="L10009" i="1" s="1"/>
  <c r="J10010" i="1"/>
  <c r="L10010" i="1" s="1"/>
  <c r="J10011" i="1"/>
  <c r="L10011" i="1" s="1"/>
  <c r="J10013" i="1"/>
  <c r="L10013" i="1" s="1"/>
  <c r="J10014" i="1"/>
  <c r="L10014" i="1" s="1"/>
  <c r="J10015" i="1"/>
  <c r="L10015" i="1" s="1"/>
  <c r="J10017" i="1"/>
  <c r="L10017" i="1" s="1"/>
  <c r="J10018" i="1"/>
  <c r="L10018" i="1" s="1"/>
  <c r="J10019" i="1"/>
  <c r="L10019" i="1" s="1"/>
  <c r="J10020" i="1"/>
  <c r="L10020" i="1" s="1"/>
  <c r="J10100" i="1"/>
  <c r="L10100" i="1" s="1"/>
  <c r="J10101" i="1"/>
  <c r="L10101" i="1" s="1"/>
  <c r="J10102" i="1"/>
  <c r="L10102" i="1" s="1"/>
  <c r="J10103" i="1"/>
  <c r="L10103" i="1" s="1"/>
  <c r="J10104" i="1"/>
  <c r="L10104" i="1" s="1"/>
  <c r="J10105" i="1"/>
  <c r="L10105" i="1" s="1"/>
  <c r="J10106" i="1"/>
  <c r="L10106" i="1" s="1"/>
  <c r="J10119" i="1"/>
  <c r="L10119" i="1" s="1"/>
  <c r="J10120" i="1"/>
  <c r="L10120" i="1" s="1"/>
  <c r="J10121" i="1"/>
  <c r="L10121" i="1" s="1"/>
  <c r="J10122" i="1"/>
  <c r="L10122" i="1" s="1"/>
  <c r="J10123" i="1"/>
  <c r="L10123" i="1" s="1"/>
  <c r="J10124" i="1"/>
  <c r="L10124" i="1" s="1"/>
  <c r="J10125" i="1"/>
  <c r="L10125" i="1" s="1"/>
  <c r="J10126" i="1"/>
  <c r="L10126" i="1" s="1"/>
  <c r="J10162" i="1"/>
  <c r="L10162" i="1" s="1"/>
  <c r="J10165" i="1"/>
  <c r="L10165" i="1" s="1"/>
  <c r="J10192" i="1"/>
  <c r="L10192" i="1" s="1"/>
  <c r="J10193" i="1"/>
  <c r="L10193" i="1" s="1"/>
  <c r="J10194" i="1"/>
  <c r="L10194" i="1" s="1"/>
  <c r="J10214" i="1"/>
  <c r="L10214" i="1" s="1"/>
  <c r="J10215" i="1"/>
  <c r="L10215" i="1" s="1"/>
  <c r="J10217" i="1"/>
  <c r="L10217" i="1" s="1"/>
  <c r="J10218" i="1"/>
  <c r="L10218" i="1" s="1"/>
  <c r="J10221" i="1"/>
  <c r="L10221" i="1" s="1"/>
  <c r="J10258" i="1"/>
  <c r="L10258" i="1" s="1"/>
  <c r="J10260" i="1"/>
  <c r="L10260" i="1" s="1"/>
  <c r="J10287" i="1"/>
  <c r="L10287" i="1" s="1"/>
  <c r="J10288" i="1"/>
  <c r="L10288" i="1" s="1"/>
  <c r="J10289" i="1"/>
  <c r="L10289" i="1" s="1"/>
  <c r="J10290" i="1"/>
  <c r="L10290" i="1" s="1"/>
  <c r="J10307" i="1"/>
  <c r="L10307" i="1" s="1"/>
  <c r="J10308" i="1"/>
  <c r="L10308" i="1" s="1"/>
  <c r="J10316" i="1"/>
  <c r="L10316" i="1" s="1"/>
  <c r="J10320" i="1"/>
  <c r="L10320" i="1" s="1"/>
  <c r="J10321" i="1"/>
  <c r="L10321" i="1" s="1"/>
  <c r="J10325" i="1"/>
  <c r="L10325" i="1" s="1"/>
  <c r="J10326" i="1"/>
  <c r="L10326" i="1" s="1"/>
  <c r="J10338" i="1"/>
  <c r="L10338" i="1" s="1"/>
  <c r="J10339" i="1"/>
  <c r="L10339" i="1" s="1"/>
  <c r="J10340" i="1"/>
  <c r="L10340" i="1" s="1"/>
  <c r="J10349" i="1"/>
  <c r="L10349" i="1" s="1"/>
  <c r="J10350" i="1"/>
  <c r="L10350" i="1" s="1"/>
  <c r="J10356" i="1"/>
  <c r="L10356" i="1" s="1"/>
  <c r="J10400" i="1"/>
  <c r="L10400" i="1" s="1"/>
  <c r="J10413" i="1"/>
  <c r="L10413" i="1" s="1"/>
  <c r="J10414" i="1"/>
  <c r="L10414" i="1" s="1"/>
  <c r="J10427" i="1"/>
  <c r="L10427" i="1" s="1"/>
  <c r="J10429" i="1"/>
  <c r="L10429" i="1" s="1"/>
  <c r="J10431" i="1"/>
  <c r="L10431" i="1" s="1"/>
  <c r="J10432" i="1"/>
  <c r="L10432" i="1" s="1"/>
  <c r="J10438" i="1"/>
  <c r="L10438" i="1" s="1"/>
  <c r="J10441" i="1"/>
  <c r="L10441" i="1" s="1"/>
  <c r="J10442" i="1"/>
  <c r="L10442" i="1" s="1"/>
  <c r="J10443" i="1"/>
  <c r="L10443" i="1" s="1"/>
  <c r="J10444" i="1"/>
  <c r="L10444" i="1" s="1"/>
  <c r="J10445" i="1"/>
  <c r="L10445" i="1" s="1"/>
  <c r="J10450" i="1"/>
  <c r="L10450" i="1" s="1"/>
  <c r="J10451" i="1"/>
  <c r="L10451" i="1" s="1"/>
  <c r="J10453" i="1"/>
  <c r="L10453" i="1" s="1"/>
  <c r="J10462" i="1"/>
  <c r="L10462" i="1" s="1"/>
  <c r="J10463" i="1"/>
  <c r="L10463" i="1" s="1"/>
  <c r="J10486" i="1"/>
  <c r="L10486" i="1" s="1"/>
  <c r="J10487" i="1"/>
  <c r="L10487" i="1" s="1"/>
  <c r="J10493" i="1"/>
  <c r="L10493" i="1" s="1"/>
  <c r="J10499" i="1"/>
  <c r="L10499" i="1" s="1"/>
  <c r="J10500" i="1"/>
  <c r="L10500" i="1" s="1"/>
  <c r="J10501" i="1"/>
  <c r="L10501" i="1" s="1"/>
  <c r="J10504" i="1"/>
  <c r="L10504" i="1" s="1"/>
  <c r="J10521" i="1"/>
  <c r="L10521" i="1" s="1"/>
  <c r="J10560" i="1"/>
  <c r="L10560" i="1" s="1"/>
  <c r="J10561" i="1"/>
  <c r="L10561" i="1" s="1"/>
  <c r="J10562" i="1"/>
  <c r="L10562" i="1" s="1"/>
  <c r="J10571" i="1"/>
  <c r="L10571" i="1" s="1"/>
  <c r="J10572" i="1"/>
  <c r="L10572" i="1" s="1"/>
  <c r="J10573" i="1"/>
  <c r="L10573" i="1" s="1"/>
  <c r="J10574" i="1"/>
  <c r="L10574" i="1" s="1"/>
  <c r="J10597" i="1"/>
  <c r="L10597" i="1" s="1"/>
  <c r="J10598" i="1"/>
  <c r="L10598" i="1" s="1"/>
  <c r="J10599" i="1"/>
  <c r="L10599" i="1" s="1"/>
  <c r="J10600" i="1"/>
  <c r="L10600" i="1" s="1"/>
  <c r="J10601" i="1"/>
  <c r="L10601" i="1" s="1"/>
  <c r="J10602" i="1"/>
  <c r="L10602" i="1" s="1"/>
  <c r="J10603" i="1"/>
  <c r="L10603" i="1" s="1"/>
  <c r="J10636" i="1"/>
  <c r="L10636" i="1" s="1"/>
  <c r="J10637" i="1"/>
  <c r="L10637" i="1" s="1"/>
  <c r="J10678" i="1"/>
  <c r="L10678" i="1" s="1"/>
  <c r="J10680" i="1"/>
  <c r="L10680" i="1" s="1"/>
  <c r="J10681" i="1"/>
  <c r="L10681" i="1" s="1"/>
  <c r="J10682" i="1"/>
  <c r="L10682" i="1" s="1"/>
  <c r="J10683" i="1"/>
  <c r="L10683" i="1" s="1"/>
  <c r="J10684" i="1"/>
  <c r="L10684" i="1" s="1"/>
  <c r="J10712" i="1"/>
  <c r="L10712" i="1" s="1"/>
  <c r="J10716" i="1"/>
  <c r="L10716" i="1" s="1"/>
  <c r="J10717" i="1"/>
  <c r="L10717" i="1" s="1"/>
  <c r="J10718" i="1"/>
  <c r="L10718" i="1" s="1"/>
  <c r="J10736" i="1"/>
  <c r="L10736" i="1" s="1"/>
  <c r="J10747" i="1"/>
  <c r="L10747" i="1" s="1"/>
  <c r="J10770" i="1"/>
  <c r="L10770" i="1" s="1"/>
  <c r="J10771" i="1"/>
  <c r="L10771" i="1" s="1"/>
  <c r="J10772" i="1"/>
  <c r="L10772" i="1" s="1"/>
  <c r="J10773" i="1"/>
  <c r="L10773" i="1" s="1"/>
  <c r="J10775" i="1"/>
  <c r="L10775" i="1" s="1"/>
  <c r="J10776" i="1"/>
  <c r="L10776" i="1" s="1"/>
  <c r="J10777" i="1"/>
  <c r="L10777" i="1" s="1"/>
  <c r="J10795" i="1"/>
  <c r="L10795" i="1" s="1"/>
  <c r="J10796" i="1"/>
  <c r="L10796" i="1" s="1"/>
  <c r="J10797" i="1"/>
  <c r="L10797" i="1" s="1"/>
  <c r="J10798" i="1"/>
  <c r="L10798" i="1" s="1"/>
  <c r="J10799" i="1"/>
  <c r="L10799" i="1" s="1"/>
  <c r="J10800" i="1"/>
  <c r="L10800" i="1" s="1"/>
  <c r="J10801" i="1"/>
  <c r="L10801" i="1" s="1"/>
  <c r="J10802" i="1"/>
  <c r="L10802" i="1" s="1"/>
  <c r="J10803" i="1"/>
  <c r="L10803" i="1" s="1"/>
  <c r="J10816" i="1"/>
  <c r="L10816" i="1" s="1"/>
  <c r="J10819" i="1"/>
  <c r="L10819" i="1" s="1"/>
  <c r="J10821" i="1"/>
  <c r="L10821" i="1" s="1"/>
  <c r="J10822" i="1"/>
  <c r="L10822" i="1" s="1"/>
  <c r="J10831" i="1"/>
  <c r="L10831" i="1" s="1"/>
  <c r="J10955" i="1"/>
  <c r="L10955" i="1" s="1"/>
  <c r="J10956" i="1"/>
  <c r="L10956" i="1" s="1"/>
  <c r="J10972" i="1"/>
  <c r="L10972" i="1" s="1"/>
  <c r="J10973" i="1"/>
  <c r="L10973" i="1" s="1"/>
  <c r="J10974" i="1"/>
  <c r="L10974" i="1" s="1"/>
  <c r="J10975" i="1"/>
  <c r="L10975" i="1" s="1"/>
  <c r="J10976" i="1"/>
  <c r="L10976" i="1" s="1"/>
  <c r="J10977" i="1"/>
  <c r="L10977" i="1" s="1"/>
  <c r="J10984" i="1"/>
  <c r="L10984" i="1" s="1"/>
  <c r="J10985" i="1"/>
  <c r="L10985" i="1" s="1"/>
  <c r="J10986" i="1"/>
  <c r="L10986" i="1" s="1"/>
  <c r="J10987" i="1"/>
  <c r="L10987" i="1" s="1"/>
  <c r="J10990" i="1"/>
  <c r="L10990" i="1" s="1"/>
  <c r="J10991" i="1"/>
  <c r="L10991" i="1" s="1"/>
  <c r="J10992" i="1"/>
  <c r="L10992" i="1" s="1"/>
  <c r="J10993" i="1"/>
  <c r="L10993" i="1" s="1"/>
  <c r="J10994" i="1"/>
  <c r="L10994" i="1" s="1"/>
  <c r="J10995" i="1"/>
  <c r="L10995" i="1" s="1"/>
  <c r="J10996" i="1"/>
  <c r="L10996" i="1" s="1"/>
  <c r="J10998" i="1"/>
  <c r="L10998" i="1" s="1"/>
  <c r="J10999" i="1"/>
  <c r="L10999" i="1" s="1"/>
  <c r="J11073" i="1"/>
  <c r="L11073" i="1" s="1"/>
  <c r="J11074" i="1"/>
  <c r="L11074" i="1" s="1"/>
  <c r="J11088" i="1"/>
  <c r="L11088" i="1" s="1"/>
  <c r="J11089" i="1"/>
  <c r="L11089" i="1" s="1"/>
  <c r="J11090" i="1"/>
  <c r="L11090" i="1" s="1"/>
  <c r="J11115" i="1"/>
  <c r="L11115" i="1" s="1"/>
  <c r="J11116" i="1"/>
  <c r="L11116" i="1" s="1"/>
  <c r="J11127" i="1"/>
  <c r="L11127" i="1" s="1"/>
  <c r="J11128" i="1"/>
  <c r="L11128" i="1" s="1"/>
  <c r="J11129" i="1"/>
  <c r="L11129" i="1" s="1"/>
  <c r="J11130" i="1"/>
  <c r="L11130" i="1" s="1"/>
  <c r="J11131" i="1"/>
  <c r="L11131" i="1" s="1"/>
  <c r="J11132" i="1"/>
  <c r="L11132" i="1" s="1"/>
  <c r="J11133" i="1"/>
  <c r="L11133" i="1" s="1"/>
  <c r="J11134" i="1"/>
  <c r="L11134" i="1" s="1"/>
  <c r="J11169" i="1"/>
  <c r="L11169" i="1" s="1"/>
  <c r="J11170" i="1"/>
  <c r="L11170" i="1" s="1"/>
  <c r="J11171" i="1"/>
  <c r="L11171" i="1" s="1"/>
  <c r="J11172" i="1"/>
  <c r="L11172" i="1" s="1"/>
  <c r="J11182" i="1"/>
  <c r="L11182" i="1" s="1"/>
  <c r="J11265" i="1"/>
  <c r="L11265" i="1" s="1"/>
  <c r="J11266" i="1"/>
  <c r="L11266" i="1" s="1"/>
  <c r="J11269" i="1"/>
  <c r="L11269" i="1" s="1"/>
  <c r="J11387" i="1"/>
  <c r="L11387" i="1" s="1"/>
  <c r="J11388" i="1"/>
  <c r="L11388" i="1" s="1"/>
  <c r="J11391" i="1"/>
  <c r="L11391" i="1" s="1"/>
  <c r="J11392" i="1"/>
  <c r="L11392" i="1" s="1"/>
  <c r="J11393" i="1"/>
  <c r="L11393" i="1" s="1"/>
  <c r="J11401" i="1"/>
  <c r="L11401" i="1" s="1"/>
  <c r="J11402" i="1"/>
  <c r="L11402" i="1" s="1"/>
  <c r="J11415" i="1"/>
  <c r="L11415" i="1" s="1"/>
  <c r="J11416" i="1"/>
  <c r="L11416" i="1" s="1"/>
  <c r="J11423" i="1"/>
  <c r="L11423" i="1" s="1"/>
  <c r="J11424" i="1"/>
  <c r="L11424" i="1" s="1"/>
  <c r="J11425" i="1"/>
  <c r="L11425" i="1" s="1"/>
  <c r="J11426" i="1"/>
  <c r="L11426" i="1" s="1"/>
  <c r="J11427" i="1"/>
  <c r="L11427" i="1" s="1"/>
  <c r="J11444" i="1"/>
  <c r="L11444" i="1" s="1"/>
  <c r="J11447" i="1"/>
  <c r="L11447" i="1" s="1"/>
  <c r="J11454" i="1"/>
  <c r="L11454" i="1" s="1"/>
  <c r="J11455" i="1"/>
  <c r="L11455" i="1" s="1"/>
  <c r="J11456" i="1"/>
  <c r="L11456" i="1" s="1"/>
  <c r="J11457" i="1"/>
  <c r="L11457" i="1" s="1"/>
  <c r="J11458" i="1"/>
  <c r="L11458" i="1" s="1"/>
  <c r="J11459" i="1"/>
  <c r="L11459" i="1" s="1"/>
  <c r="J11482" i="1"/>
  <c r="L11482" i="1" s="1"/>
  <c r="J11483" i="1"/>
  <c r="L11483" i="1" s="1"/>
  <c r="J11484" i="1"/>
  <c r="L11484" i="1" s="1"/>
  <c r="J11485" i="1"/>
  <c r="L11485" i="1" s="1"/>
  <c r="J11493" i="1"/>
  <c r="L11493" i="1" s="1"/>
  <c r="J11494" i="1"/>
  <c r="L11494" i="1" s="1"/>
  <c r="J11495" i="1"/>
  <c r="L11495" i="1" s="1"/>
  <c r="J11509" i="1"/>
  <c r="L11509" i="1" s="1"/>
  <c r="J11534" i="1"/>
  <c r="L11534" i="1" s="1"/>
  <c r="J11535" i="1"/>
  <c r="L11535" i="1" s="1"/>
  <c r="J11536" i="1"/>
  <c r="L11536" i="1" s="1"/>
  <c r="J11537" i="1"/>
  <c r="L11537" i="1" s="1"/>
  <c r="J11538" i="1"/>
  <c r="L11538" i="1" s="1"/>
  <c r="J11539" i="1"/>
  <c r="L11539" i="1" s="1"/>
  <c r="J11543" i="1"/>
  <c r="L11543" i="1" s="1"/>
  <c r="J11559" i="1"/>
  <c r="L11559" i="1" s="1"/>
  <c r="J11584" i="1"/>
  <c r="L11584" i="1" s="1"/>
  <c r="J11586" i="1"/>
  <c r="L11586" i="1" s="1"/>
  <c r="J11587" i="1"/>
  <c r="L11587" i="1" s="1"/>
  <c r="J11613" i="1"/>
  <c r="L11613" i="1" s="1"/>
  <c r="J11615" i="1"/>
  <c r="L11615" i="1" s="1"/>
  <c r="J11616" i="1"/>
  <c r="L11616" i="1" s="1"/>
  <c r="J11617" i="1"/>
  <c r="L11617" i="1" s="1"/>
  <c r="J11618" i="1"/>
  <c r="L11618" i="1" s="1"/>
  <c r="J11622" i="1"/>
  <c r="L11622" i="1" s="1"/>
  <c r="J11655" i="1"/>
  <c r="L11655" i="1" s="1"/>
  <c r="J11701" i="1"/>
  <c r="L11701" i="1" s="1"/>
  <c r="J11703" i="1"/>
  <c r="L11703" i="1" s="1"/>
  <c r="J11710" i="1"/>
  <c r="L11710" i="1" s="1"/>
  <c r="J11711" i="1"/>
  <c r="L11711" i="1" s="1"/>
  <c r="J11712" i="1"/>
  <c r="L11712" i="1" s="1"/>
  <c r="J11713" i="1"/>
  <c r="L11713" i="1" s="1"/>
  <c r="J11748" i="1"/>
  <c r="L11748" i="1" s="1"/>
  <c r="J11749" i="1"/>
  <c r="L11749" i="1" s="1"/>
  <c r="J11750" i="1"/>
  <c r="L11750" i="1" s="1"/>
  <c r="J11751" i="1"/>
  <c r="L11751" i="1" s="1"/>
  <c r="J11752" i="1"/>
  <c r="L11752" i="1" s="1"/>
  <c r="J11828" i="1"/>
  <c r="L11828" i="1" s="1"/>
  <c r="J11834" i="1"/>
  <c r="L11834" i="1" s="1"/>
  <c r="J11835" i="1"/>
  <c r="L11835" i="1" s="1"/>
  <c r="J11836" i="1"/>
  <c r="L11836" i="1" s="1"/>
  <c r="J11837" i="1"/>
  <c r="L11837" i="1" s="1"/>
  <c r="J11838" i="1"/>
  <c r="L11838" i="1" s="1"/>
  <c r="J11842" i="1"/>
  <c r="L11842" i="1" s="1"/>
  <c r="J11843" i="1"/>
  <c r="L11843" i="1" s="1"/>
  <c r="J11844" i="1"/>
  <c r="L11844" i="1" s="1"/>
  <c r="J11845" i="1"/>
  <c r="L11845" i="1" s="1"/>
  <c r="J11846" i="1"/>
  <c r="L11846" i="1" s="1"/>
  <c r="J11848" i="1"/>
  <c r="L11848" i="1" s="1"/>
  <c r="J11849" i="1"/>
  <c r="L11849" i="1" s="1"/>
  <c r="J11850" i="1"/>
  <c r="L11850" i="1" s="1"/>
  <c r="J11851" i="1"/>
  <c r="L11851" i="1" s="1"/>
  <c r="J11879" i="1"/>
  <c r="L11879" i="1" s="1"/>
  <c r="J11880" i="1"/>
  <c r="L11880" i="1" s="1"/>
  <c r="J11881" i="1"/>
  <c r="L11881" i="1" s="1"/>
  <c r="J11882" i="1"/>
  <c r="L11882" i="1" s="1"/>
  <c r="J11891" i="1"/>
  <c r="L11891" i="1" s="1"/>
  <c r="J11892" i="1"/>
  <c r="L11892" i="1" s="1"/>
  <c r="J11893" i="1"/>
  <c r="L11893" i="1" s="1"/>
  <c r="J11919" i="1"/>
  <c r="L11919" i="1" s="1"/>
  <c r="J11920" i="1"/>
  <c r="L11920" i="1" s="1"/>
  <c r="J11921" i="1"/>
  <c r="L11921" i="1" s="1"/>
  <c r="J11922" i="1"/>
  <c r="L11922" i="1" s="1"/>
  <c r="J11923" i="1"/>
  <c r="L11923" i="1" s="1"/>
  <c r="J11949" i="1"/>
  <c r="L11949" i="1" s="1"/>
  <c r="J11950" i="1"/>
  <c r="L11950" i="1" s="1"/>
  <c r="J11951" i="1"/>
  <c r="L11951" i="1" s="1"/>
  <c r="J11952" i="1"/>
  <c r="L11952" i="1" s="1"/>
  <c r="J11953" i="1"/>
  <c r="L11953" i="1" s="1"/>
  <c r="J11954" i="1"/>
  <c r="L11954" i="1" s="1"/>
  <c r="J11955" i="1"/>
  <c r="L11955" i="1" s="1"/>
  <c r="J11956" i="1"/>
  <c r="L11956" i="1" s="1"/>
  <c r="J11957" i="1"/>
  <c r="L11957" i="1" s="1"/>
  <c r="J11993" i="1"/>
  <c r="L11993" i="1" s="1"/>
  <c r="J11994" i="1"/>
  <c r="L11994" i="1" s="1"/>
  <c r="J11995" i="1"/>
  <c r="L11995" i="1" s="1"/>
  <c r="J11996" i="1"/>
  <c r="L11996" i="1" s="1"/>
  <c r="J11997" i="1"/>
  <c r="L11997" i="1" s="1"/>
  <c r="J11998" i="1"/>
  <c r="L11998" i="1" s="1"/>
  <c r="J11999" i="1"/>
  <c r="L11999" i="1" s="1"/>
  <c r="J12042" i="1"/>
  <c r="L12042" i="1" s="1"/>
  <c r="J12128" i="1"/>
  <c r="L12128" i="1" s="1"/>
  <c r="J12129" i="1"/>
  <c r="L12129" i="1" s="1"/>
  <c r="J12130" i="1"/>
  <c r="L12130" i="1" s="1"/>
  <c r="J12135" i="1"/>
  <c r="L12135" i="1" s="1"/>
  <c r="J12136" i="1"/>
  <c r="L12136" i="1" s="1"/>
  <c r="J12137" i="1"/>
  <c r="L12137" i="1" s="1"/>
  <c r="J12138" i="1"/>
  <c r="L12138" i="1" s="1"/>
  <c r="J12144" i="1"/>
  <c r="L12144" i="1" s="1"/>
  <c r="J12145" i="1"/>
  <c r="L12145" i="1" s="1"/>
  <c r="J12146" i="1"/>
  <c r="L12146" i="1" s="1"/>
  <c r="J12147" i="1"/>
  <c r="L12147" i="1" s="1"/>
  <c r="J12148" i="1"/>
  <c r="L12148" i="1" s="1"/>
  <c r="J12149" i="1"/>
  <c r="L12149" i="1" s="1"/>
  <c r="J12150" i="1"/>
  <c r="L12150" i="1" s="1"/>
  <c r="J12152" i="1"/>
  <c r="L12152" i="1" s="1"/>
  <c r="J12154" i="1"/>
  <c r="L12154" i="1" s="1"/>
  <c r="J12177" i="1"/>
  <c r="L12177" i="1" s="1"/>
  <c r="J12228" i="1"/>
  <c r="L12228" i="1" s="1"/>
  <c r="J12248" i="1"/>
  <c r="L12248" i="1" s="1"/>
  <c r="J12253" i="1"/>
  <c r="L12253" i="1" s="1"/>
  <c r="J12254" i="1"/>
  <c r="L12254" i="1" s="1"/>
  <c r="J12255" i="1"/>
  <c r="L12255" i="1" s="1"/>
  <c r="J12342" i="1"/>
  <c r="L12342" i="1" s="1"/>
  <c r="J12355" i="1"/>
  <c r="L12355" i="1" s="1"/>
  <c r="J12356" i="1"/>
  <c r="L12356" i="1" s="1"/>
  <c r="J12444" i="1"/>
  <c r="L12444" i="1" s="1"/>
  <c r="J12445" i="1"/>
  <c r="L12445" i="1" s="1"/>
  <c r="J12455" i="1"/>
  <c r="L12455" i="1" s="1"/>
  <c r="J12460" i="1"/>
  <c r="L12460" i="1" s="1"/>
  <c r="J12462" i="1"/>
  <c r="L12462" i="1" s="1"/>
  <c r="J12463" i="1"/>
  <c r="L12463" i="1" s="1"/>
  <c r="J12464" i="1"/>
  <c r="L12464" i="1" s="1"/>
  <c r="J12465" i="1"/>
  <c r="L12465" i="1" s="1"/>
  <c r="J12473" i="1"/>
  <c r="L12473" i="1" s="1"/>
  <c r="J12528" i="1"/>
  <c r="L12528" i="1" s="1"/>
  <c r="J12546" i="1"/>
  <c r="L12546" i="1" s="1"/>
  <c r="J12547" i="1"/>
  <c r="L12547" i="1" s="1"/>
  <c r="J12548" i="1"/>
  <c r="L12548" i="1" s="1"/>
  <c r="J12575" i="1"/>
  <c r="L12575" i="1" s="1"/>
  <c r="J12581" i="1"/>
  <c r="L12581" i="1" s="1"/>
  <c r="J12582" i="1"/>
  <c r="L12582" i="1" s="1"/>
  <c r="J12583" i="1"/>
  <c r="L12583" i="1" s="1"/>
  <c r="J12584" i="1"/>
  <c r="L12584" i="1" s="1"/>
  <c r="J12585" i="1"/>
  <c r="L12585" i="1" s="1"/>
  <c r="J12586" i="1"/>
  <c r="L12586" i="1" s="1"/>
  <c r="J12587" i="1"/>
  <c r="L12587" i="1" s="1"/>
  <c r="J12744" i="1"/>
  <c r="L12744" i="1" s="1"/>
  <c r="J12747" i="1"/>
  <c r="L12747" i="1" s="1"/>
  <c r="J12755" i="1"/>
  <c r="L12755" i="1" s="1"/>
  <c r="J12760" i="1"/>
  <c r="L12760" i="1" s="1"/>
  <c r="J12761" i="1"/>
  <c r="L12761" i="1" s="1"/>
  <c r="J12762" i="1"/>
  <c r="L12762" i="1" s="1"/>
  <c r="J12767" i="1"/>
  <c r="L12767" i="1" s="1"/>
  <c r="J12777" i="1"/>
  <c r="L12777" i="1" s="1"/>
  <c r="J12778" i="1"/>
  <c r="L12778" i="1" s="1"/>
  <c r="J12779" i="1"/>
  <c r="L12779" i="1" s="1"/>
  <c r="J12780" i="1"/>
  <c r="L12780" i="1" s="1"/>
  <c r="J12781" i="1"/>
  <c r="L12781" i="1" s="1"/>
  <c r="J12782" i="1"/>
  <c r="L12782" i="1" s="1"/>
  <c r="J12787" i="1"/>
  <c r="L12787" i="1" s="1"/>
  <c r="J12790" i="1"/>
  <c r="L12790" i="1" s="1"/>
  <c r="J12793" i="1"/>
  <c r="L12793" i="1" s="1"/>
  <c r="J12795" i="1"/>
  <c r="L12795" i="1" s="1"/>
  <c r="J12835" i="1"/>
  <c r="L12835" i="1" s="1"/>
  <c r="J12838" i="1"/>
  <c r="L12838" i="1" s="1"/>
  <c r="J12839" i="1"/>
  <c r="L12839" i="1" s="1"/>
  <c r="J12840" i="1"/>
  <c r="L12840" i="1" s="1"/>
  <c r="J12841" i="1"/>
  <c r="L12841" i="1" s="1"/>
  <c r="J12858" i="1"/>
  <c r="L12858" i="1" s="1"/>
  <c r="J12859" i="1"/>
  <c r="L12859" i="1" s="1"/>
  <c r="J12888" i="1"/>
  <c r="L12888" i="1" s="1"/>
  <c r="J12889" i="1"/>
  <c r="L12889" i="1" s="1"/>
  <c r="J12890" i="1"/>
  <c r="L12890" i="1" s="1"/>
  <c r="J12899" i="1"/>
  <c r="L12899" i="1" s="1"/>
  <c r="J12902" i="1"/>
  <c r="L12902" i="1" s="1"/>
  <c r="J12908" i="1"/>
  <c r="L12908" i="1" s="1"/>
  <c r="J12910" i="1"/>
  <c r="L12910" i="1" s="1"/>
  <c r="J12911" i="1"/>
  <c r="L12911" i="1" s="1"/>
  <c r="J12917" i="1"/>
  <c r="L12917" i="1" s="1"/>
  <c r="J12923" i="1"/>
  <c r="L12923" i="1" s="1"/>
  <c r="J12925" i="1"/>
  <c r="L12925" i="1" s="1"/>
  <c r="J12926" i="1"/>
  <c r="L12926" i="1" s="1"/>
  <c r="J12927" i="1"/>
  <c r="L12927" i="1" s="1"/>
  <c r="J12929" i="1"/>
  <c r="L12929" i="1" s="1"/>
  <c r="J12930" i="1"/>
  <c r="L12930" i="1" s="1"/>
  <c r="J12933" i="1"/>
  <c r="L12933" i="1" s="1"/>
  <c r="J12939" i="1"/>
  <c r="L12939" i="1" s="1"/>
  <c r="J12941" i="1"/>
  <c r="L12941" i="1" s="1"/>
  <c r="J12942" i="1"/>
  <c r="L12942" i="1" s="1"/>
  <c r="J12959" i="1"/>
  <c r="L12959" i="1" s="1"/>
  <c r="J12960" i="1"/>
  <c r="L12960" i="1" s="1"/>
  <c r="J12963" i="1"/>
  <c r="L12963" i="1" s="1"/>
  <c r="J12964" i="1"/>
  <c r="L12964" i="1" s="1"/>
  <c r="J12969" i="1"/>
  <c r="L12969" i="1" s="1"/>
  <c r="J12970" i="1"/>
  <c r="L12970" i="1" s="1"/>
  <c r="J12971" i="1"/>
  <c r="L12971" i="1" s="1"/>
  <c r="J12972" i="1"/>
  <c r="L12972" i="1" s="1"/>
  <c r="J12979" i="1"/>
  <c r="L12979" i="1" s="1"/>
  <c r="J12980" i="1"/>
  <c r="L12980" i="1" s="1"/>
  <c r="J12981" i="1"/>
  <c r="L12981" i="1" s="1"/>
  <c r="J12982" i="1"/>
  <c r="L12982" i="1" s="1"/>
  <c r="J12983" i="1"/>
  <c r="L12983" i="1" s="1"/>
  <c r="J12989" i="1"/>
  <c r="L12989" i="1" s="1"/>
  <c r="J12992" i="1"/>
  <c r="L12992" i="1" s="1"/>
  <c r="J12995" i="1"/>
  <c r="L12995" i="1" s="1"/>
  <c r="J13008" i="1"/>
  <c r="L13008" i="1" s="1"/>
  <c r="J13009" i="1"/>
  <c r="L13009" i="1" s="1"/>
  <c r="J13010" i="1"/>
  <c r="L13010" i="1" s="1"/>
  <c r="J13023" i="1"/>
  <c r="L13023" i="1" s="1"/>
  <c r="J13033" i="1"/>
  <c r="L13033" i="1" s="1"/>
  <c r="J13034" i="1"/>
  <c r="L13034" i="1" s="1"/>
  <c r="J13045" i="1"/>
  <c r="L13045" i="1" s="1"/>
  <c r="J13046" i="1"/>
  <c r="L13046" i="1" s="1"/>
  <c r="J13065" i="1"/>
  <c r="L13065" i="1" s="1"/>
  <c r="J13066" i="1"/>
  <c r="L13066" i="1" s="1"/>
  <c r="J13095" i="1"/>
  <c r="L13095" i="1" s="1"/>
  <c r="J13096" i="1"/>
  <c r="L13096" i="1" s="1"/>
  <c r="J13097" i="1"/>
  <c r="L13097" i="1" s="1"/>
  <c r="J13118" i="1"/>
  <c r="L13118" i="1" s="1"/>
  <c r="J13140" i="1"/>
  <c r="L13140" i="1" s="1"/>
  <c r="J13144" i="1"/>
  <c r="L13144" i="1" s="1"/>
  <c r="J13145" i="1"/>
  <c r="L13145" i="1" s="1"/>
  <c r="J13146" i="1"/>
  <c r="L13146" i="1" s="1"/>
  <c r="J13162" i="1"/>
  <c r="L13162" i="1" s="1"/>
  <c r="J13251" i="1"/>
  <c r="L13251" i="1" s="1"/>
  <c r="J13255" i="1"/>
  <c r="L13255" i="1" s="1"/>
  <c r="J13336" i="1"/>
  <c r="L13336" i="1" s="1"/>
  <c r="J13338" i="1"/>
  <c r="L13338" i="1" s="1"/>
  <c r="J13339" i="1"/>
  <c r="L13339" i="1" s="1"/>
  <c r="J13340" i="1"/>
  <c r="L13340" i="1" s="1"/>
  <c r="J13341" i="1"/>
  <c r="L13341" i="1" s="1"/>
  <c r="J13360" i="1"/>
  <c r="L13360" i="1" s="1"/>
  <c r="J13361" i="1"/>
  <c r="L13361" i="1" s="1"/>
  <c r="J13408" i="1"/>
  <c r="L13408" i="1" s="1"/>
  <c r="J13409" i="1"/>
  <c r="L13409" i="1" s="1"/>
  <c r="J13410" i="1"/>
  <c r="L13410" i="1" s="1"/>
  <c r="J13411" i="1"/>
  <c r="L13411" i="1" s="1"/>
  <c r="J13412" i="1"/>
  <c r="L13412" i="1" s="1"/>
  <c r="J13413" i="1"/>
  <c r="L13413" i="1" s="1"/>
  <c r="J13425" i="1"/>
  <c r="L13425" i="1" s="1"/>
  <c r="J13426" i="1"/>
  <c r="L13426" i="1" s="1"/>
  <c r="J13427" i="1"/>
  <c r="L13427" i="1" s="1"/>
  <c r="J13428" i="1"/>
  <c r="L13428" i="1" s="1"/>
  <c r="J13429" i="1"/>
  <c r="L13429" i="1" s="1"/>
  <c r="J13430" i="1"/>
  <c r="L13430" i="1" s="1"/>
  <c r="J13431" i="1"/>
  <c r="L13431" i="1" s="1"/>
  <c r="J13432" i="1"/>
  <c r="L13432" i="1" s="1"/>
  <c r="J13433" i="1"/>
  <c r="L13433" i="1" s="1"/>
  <c r="J13512" i="1"/>
  <c r="L13512" i="1" s="1"/>
  <c r="J13533" i="1"/>
  <c r="L13533" i="1" s="1"/>
  <c r="J13539" i="1"/>
  <c r="L13539" i="1" s="1"/>
  <c r="J13555" i="1"/>
  <c r="L13555" i="1" s="1"/>
  <c r="J13560" i="1"/>
  <c r="L13560" i="1" s="1"/>
  <c r="J13561" i="1"/>
  <c r="L13561" i="1" s="1"/>
  <c r="J13582" i="1"/>
  <c r="L13582" i="1" s="1"/>
  <c r="J13621" i="1"/>
  <c r="L13621" i="1" s="1"/>
  <c r="J13622" i="1"/>
  <c r="L13622" i="1" s="1"/>
  <c r="J13709" i="1"/>
  <c r="L13709" i="1" s="1"/>
  <c r="J13730" i="1"/>
  <c r="L13730" i="1" s="1"/>
  <c r="J13750" i="1"/>
  <c r="L13750" i="1" s="1"/>
  <c r="J13751" i="1"/>
  <c r="L13751" i="1" s="1"/>
  <c r="J13752" i="1"/>
  <c r="L13752" i="1" s="1"/>
  <c r="J13774" i="1"/>
  <c r="L13774" i="1" s="1"/>
  <c r="J13775" i="1"/>
  <c r="L13775" i="1" s="1"/>
  <c r="J13776" i="1"/>
  <c r="L13776" i="1" s="1"/>
  <c r="J13790" i="1"/>
  <c r="L13790" i="1" s="1"/>
  <c r="J13791" i="1"/>
  <c r="L13791" i="1" s="1"/>
  <c r="J13792" i="1"/>
  <c r="L13792" i="1" s="1"/>
  <c r="J13793" i="1"/>
  <c r="L13793" i="1" s="1"/>
  <c r="J13794" i="1"/>
  <c r="L13794" i="1" s="1"/>
  <c r="J13795" i="1"/>
  <c r="L13795" i="1" s="1"/>
  <c r="J13832" i="1"/>
  <c r="L13832" i="1" s="1"/>
  <c r="J13835" i="1"/>
  <c r="L13835" i="1" s="1"/>
  <c r="J13837" i="1"/>
  <c r="L13837" i="1" s="1"/>
  <c r="J13850" i="1"/>
  <c r="L13850" i="1" s="1"/>
  <c r="J13855" i="1"/>
  <c r="L13855" i="1" s="1"/>
  <c r="J13856" i="1"/>
  <c r="L13856" i="1" s="1"/>
  <c r="J13859" i="1"/>
  <c r="L13859" i="1" s="1"/>
  <c r="J13860" i="1"/>
  <c r="L13860" i="1" s="1"/>
  <c r="J13861" i="1"/>
  <c r="L13861" i="1" s="1"/>
  <c r="J13862" i="1"/>
  <c r="L13862" i="1" s="1"/>
  <c r="J13864" i="1"/>
  <c r="L13864" i="1" s="1"/>
  <c r="J13865" i="1"/>
  <c r="L13865" i="1" s="1"/>
  <c r="J13866" i="1"/>
  <c r="L13866" i="1" s="1"/>
  <c r="J13867" i="1"/>
  <c r="L13867" i="1" s="1"/>
  <c r="J13868" i="1"/>
  <c r="L13868" i="1" s="1"/>
  <c r="J13869" i="1"/>
  <c r="L13869" i="1" s="1"/>
  <c r="J13870" i="1"/>
  <c r="L13870" i="1" s="1"/>
  <c r="J13879" i="1"/>
  <c r="L13879" i="1" s="1"/>
  <c r="J13885" i="1"/>
  <c r="L13885" i="1" s="1"/>
  <c r="J13893" i="1"/>
  <c r="L13893" i="1" s="1"/>
  <c r="J13894" i="1"/>
  <c r="L13894" i="1" s="1"/>
  <c r="J13895" i="1"/>
  <c r="L13895" i="1" s="1"/>
  <c r="J13896" i="1"/>
  <c r="L13896" i="1" s="1"/>
  <c r="J13897" i="1"/>
  <c r="L13897" i="1" s="1"/>
  <c r="J13916" i="1"/>
  <c r="L13916" i="1" s="1"/>
  <c r="J13918" i="1"/>
  <c r="L13918" i="1" s="1"/>
  <c r="J13919" i="1"/>
  <c r="L13919" i="1" s="1"/>
  <c r="J13924" i="1"/>
  <c r="L13924" i="1" s="1"/>
  <c r="J13930" i="1"/>
  <c r="L13930" i="1" s="1"/>
  <c r="J13939" i="1"/>
  <c r="L13939" i="1" s="1"/>
  <c r="J13947" i="1"/>
  <c r="L13947" i="1" s="1"/>
  <c r="J13956" i="1"/>
  <c r="L13956" i="1" s="1"/>
  <c r="J13962" i="1"/>
  <c r="L13962" i="1" s="1"/>
  <c r="J13979" i="1"/>
  <c r="L13979" i="1" s="1"/>
  <c r="J13980" i="1"/>
  <c r="L13980" i="1" s="1"/>
  <c r="J13981" i="1"/>
  <c r="L13981" i="1" s="1"/>
  <c r="J13982" i="1"/>
  <c r="L13982" i="1" s="1"/>
  <c r="J13983" i="1"/>
  <c r="L13983" i="1" s="1"/>
  <c r="J13984" i="1"/>
  <c r="L13984" i="1" s="1"/>
  <c r="J13985" i="1"/>
  <c r="L13985" i="1" s="1"/>
  <c r="J13986" i="1"/>
  <c r="L13986" i="1" s="1"/>
  <c r="J13987" i="1"/>
  <c r="L13987" i="1" s="1"/>
  <c r="J13988" i="1"/>
  <c r="L13988" i="1" s="1"/>
  <c r="J14011" i="1"/>
  <c r="L14011" i="1" s="1"/>
  <c r="J14012" i="1"/>
  <c r="L14012" i="1" s="1"/>
  <c r="J14013" i="1"/>
  <c r="L14013" i="1" s="1"/>
  <c r="J14048" i="1"/>
  <c r="L14048" i="1" s="1"/>
  <c r="J14049" i="1"/>
  <c r="L14049" i="1" s="1"/>
  <c r="J14051" i="1"/>
  <c r="L14051" i="1" s="1"/>
  <c r="J14097" i="1"/>
  <c r="L14097" i="1" s="1"/>
  <c r="J14098" i="1"/>
  <c r="L14098" i="1" s="1"/>
  <c r="J14099" i="1"/>
  <c r="L14099" i="1" s="1"/>
  <c r="J14128" i="1"/>
  <c r="L14128" i="1" s="1"/>
  <c r="J14183" i="1"/>
  <c r="L14183" i="1" s="1"/>
  <c r="J14185" i="1"/>
  <c r="L14185" i="1" s="1"/>
  <c r="J14186" i="1"/>
  <c r="L14186" i="1" s="1"/>
  <c r="J14208" i="1"/>
  <c r="L14208" i="1" s="1"/>
  <c r="J14209" i="1"/>
  <c r="L14209" i="1" s="1"/>
  <c r="J14210" i="1"/>
  <c r="L14210" i="1" s="1"/>
  <c r="J14211" i="1"/>
  <c r="L14211" i="1" s="1"/>
  <c r="J14212" i="1"/>
  <c r="L14212" i="1" s="1"/>
  <c r="J14213" i="1"/>
  <c r="L14213" i="1" s="1"/>
  <c r="J14214" i="1"/>
  <c r="L14214" i="1" s="1"/>
  <c r="J14215" i="1"/>
  <c r="L14215" i="1" s="1"/>
  <c r="J14216" i="1"/>
  <c r="L14216" i="1" s="1"/>
  <c r="J14232" i="1"/>
  <c r="L14232" i="1" s="1"/>
  <c r="J14233" i="1"/>
  <c r="L14233" i="1" s="1"/>
  <c r="J14235" i="1"/>
  <c r="L14235" i="1" s="1"/>
  <c r="J14236" i="1"/>
  <c r="L14236" i="1" s="1"/>
  <c r="J14379" i="1"/>
  <c r="L14379" i="1" s="1"/>
  <c r="J14380" i="1"/>
  <c r="L14380" i="1" s="1"/>
  <c r="J14381" i="1"/>
  <c r="L14381" i="1" s="1"/>
  <c r="J14382" i="1"/>
  <c r="L14382" i="1" s="1"/>
  <c r="J14383" i="1"/>
  <c r="L14383" i="1" s="1"/>
  <c r="J14392" i="1"/>
  <c r="L14392" i="1" s="1"/>
  <c r="J14397" i="1"/>
  <c r="L14397" i="1" s="1"/>
  <c r="J14398" i="1"/>
  <c r="L14398" i="1" s="1"/>
  <c r="J14399" i="1"/>
  <c r="L14399" i="1" s="1"/>
  <c r="J14400" i="1"/>
  <c r="L14400" i="1" s="1"/>
  <c r="J14401" i="1"/>
  <c r="L14401" i="1" s="1"/>
  <c r="J14402" i="1"/>
  <c r="L14402" i="1" s="1"/>
  <c r="J14404" i="1"/>
  <c r="L14404" i="1" s="1"/>
  <c r="J14405" i="1"/>
  <c r="L14405" i="1" s="1"/>
  <c r="J14406" i="1"/>
  <c r="L14406" i="1" s="1"/>
  <c r="J14407" i="1"/>
  <c r="L14407" i="1" s="1"/>
  <c r="J14408" i="1"/>
  <c r="L14408" i="1" s="1"/>
  <c r="J14413" i="1"/>
  <c r="L14413" i="1" s="1"/>
  <c r="J14471" i="1"/>
  <c r="L14471" i="1" s="1"/>
  <c r="J14498" i="1"/>
  <c r="L14498" i="1" s="1"/>
  <c r="J14499" i="1"/>
  <c r="L14499" i="1" s="1"/>
  <c r="J14519" i="1"/>
  <c r="L14519" i="1" s="1"/>
  <c r="J14520" i="1"/>
  <c r="L14520" i="1" s="1"/>
  <c r="J14521" i="1"/>
  <c r="L14521" i="1" s="1"/>
  <c r="J14522" i="1"/>
  <c r="L14522" i="1" s="1"/>
  <c r="J14523" i="1"/>
  <c r="L14523" i="1" s="1"/>
  <c r="J14524" i="1"/>
  <c r="L14524" i="1" s="1"/>
  <c r="J14525" i="1"/>
  <c r="L14525" i="1" s="1"/>
  <c r="J14558" i="1"/>
  <c r="L14558" i="1" s="1"/>
  <c r="J14559" i="1"/>
  <c r="L14559" i="1" s="1"/>
  <c r="J14560" i="1"/>
  <c r="L14560" i="1" s="1"/>
  <c r="J14561" i="1"/>
  <c r="L14561" i="1" s="1"/>
  <c r="J14562" i="1"/>
  <c r="L14562" i="1" s="1"/>
  <c r="J14563" i="1"/>
  <c r="L14563" i="1" s="1"/>
  <c r="J14564" i="1"/>
  <c r="L14564" i="1" s="1"/>
  <c r="J14597" i="1"/>
  <c r="L14597" i="1" s="1"/>
  <c r="J14598" i="1"/>
  <c r="L14598" i="1" s="1"/>
  <c r="J14599" i="1"/>
  <c r="L14599" i="1" s="1"/>
  <c r="J14600" i="1"/>
  <c r="L14600" i="1" s="1"/>
  <c r="J14611" i="1"/>
  <c r="L14611" i="1" s="1"/>
  <c r="J14686" i="1"/>
  <c r="L14686" i="1" s="1"/>
  <c r="J14688" i="1"/>
  <c r="L14688" i="1" s="1"/>
  <c r="J14693" i="1"/>
  <c r="L14693" i="1" s="1"/>
  <c r="J14698" i="1"/>
  <c r="L14698" i="1" s="1"/>
  <c r="J14713" i="1"/>
  <c r="L14713" i="1" s="1"/>
  <c r="J14717" i="1"/>
  <c r="L14717" i="1" s="1"/>
  <c r="J14724" i="1"/>
  <c r="L14724" i="1" s="1"/>
  <c r="J14732" i="1"/>
  <c r="L14732" i="1" s="1"/>
  <c r="J14836" i="1"/>
  <c r="L14836" i="1" s="1"/>
  <c r="J14837" i="1"/>
  <c r="L14837" i="1" s="1"/>
  <c r="J14848" i="1"/>
  <c r="L14848" i="1" s="1"/>
  <c r="J14849" i="1"/>
  <c r="L14849" i="1" s="1"/>
  <c r="J14850" i="1"/>
  <c r="L14850" i="1" s="1"/>
  <c r="J14851" i="1"/>
  <c r="L14851" i="1" s="1"/>
  <c r="J14860" i="1"/>
  <c r="L14860" i="1" s="1"/>
  <c r="J14861" i="1"/>
  <c r="L14861" i="1" s="1"/>
  <c r="J14862" i="1"/>
  <c r="L14862" i="1" s="1"/>
  <c r="J14869" i="1"/>
  <c r="L14869" i="1" s="1"/>
  <c r="J14870" i="1"/>
  <c r="L14870" i="1" s="1"/>
  <c r="J14871" i="1"/>
  <c r="L14871" i="1" s="1"/>
  <c r="J14872" i="1"/>
  <c r="L14872" i="1" s="1"/>
  <c r="J14887" i="1"/>
  <c r="L14887" i="1" s="1"/>
  <c r="J14893" i="1"/>
  <c r="L14893" i="1" s="1"/>
  <c r="J14907" i="1"/>
  <c r="L14907" i="1" s="1"/>
  <c r="J14908" i="1"/>
  <c r="L14908" i="1" s="1"/>
  <c r="J14909" i="1"/>
  <c r="L14909" i="1" s="1"/>
  <c r="J14910" i="1"/>
  <c r="L14910" i="1" s="1"/>
  <c r="J14911" i="1"/>
  <c r="L14911" i="1" s="1"/>
  <c r="J14929" i="1"/>
  <c r="L14929" i="1" s="1"/>
  <c r="J14930" i="1"/>
  <c r="L14930" i="1" s="1"/>
  <c r="J14931" i="1"/>
  <c r="L14931" i="1" s="1"/>
  <c r="J14932" i="1"/>
  <c r="L14932" i="1" s="1"/>
  <c r="J14933" i="1"/>
  <c r="L14933" i="1" s="1"/>
  <c r="J14939" i="1"/>
  <c r="L14939" i="1" s="1"/>
  <c r="J14940" i="1"/>
  <c r="L14940" i="1" s="1"/>
  <c r="J14941" i="1"/>
  <c r="L14941" i="1" s="1"/>
  <c r="J14942" i="1"/>
  <c r="L14942" i="1" s="1"/>
  <c r="J14943" i="1"/>
  <c r="L14943" i="1" s="1"/>
  <c r="J14970" i="1"/>
  <c r="L14970" i="1" s="1"/>
  <c r="J14979" i="1"/>
  <c r="L14979" i="1" s="1"/>
  <c r="J14980" i="1"/>
  <c r="L14980" i="1" s="1"/>
  <c r="J14981" i="1"/>
  <c r="L14981" i="1" s="1"/>
  <c r="J14982" i="1"/>
  <c r="L14982" i="1" s="1"/>
  <c r="J14983" i="1"/>
  <c r="L14983" i="1" s="1"/>
  <c r="J14984" i="1"/>
  <c r="L14984" i="1" s="1"/>
  <c r="J14990" i="1"/>
  <c r="L14990" i="1" s="1"/>
  <c r="J14991" i="1"/>
  <c r="L14991" i="1" s="1"/>
  <c r="J14994" i="1"/>
  <c r="L14994" i="1" s="1"/>
  <c r="J14996" i="1"/>
  <c r="L14996" i="1" s="1"/>
  <c r="J14997" i="1"/>
  <c r="L14997" i="1" s="1"/>
  <c r="J15008" i="1"/>
  <c r="L15008" i="1" s="1"/>
  <c r="J15022" i="1"/>
  <c r="L15022" i="1" s="1"/>
  <c r="J15041" i="1"/>
  <c r="L15041" i="1" s="1"/>
  <c r="J15048" i="1"/>
  <c r="L15048" i="1" s="1"/>
  <c r="J15105" i="1"/>
  <c r="L15105" i="1" s="1"/>
  <c r="J15106" i="1"/>
  <c r="L15106" i="1" s="1"/>
  <c r="J15107" i="1"/>
  <c r="L15107" i="1" s="1"/>
  <c r="J15108" i="1"/>
  <c r="L15108" i="1" s="1"/>
  <c r="J15120" i="1"/>
  <c r="L15120" i="1" s="1"/>
  <c r="J15121" i="1"/>
  <c r="L15121" i="1" s="1"/>
  <c r="J15130" i="1"/>
  <c r="L15130" i="1" s="1"/>
  <c r="J15131" i="1"/>
  <c r="L15131" i="1" s="1"/>
  <c r="J15149" i="1"/>
  <c r="L15149" i="1" s="1"/>
  <c r="J15170" i="1"/>
  <c r="L15170" i="1" s="1"/>
  <c r="J15181" i="1"/>
  <c r="L15181" i="1" s="1"/>
  <c r="J15242" i="1"/>
  <c r="L15242" i="1" s="1"/>
  <c r="J15245" i="1"/>
  <c r="L15245" i="1" s="1"/>
  <c r="J15246" i="1"/>
  <c r="L15246" i="1" s="1"/>
  <c r="J15260" i="1"/>
  <c r="L15260" i="1" s="1"/>
  <c r="J15261" i="1"/>
  <c r="L15261" i="1" s="1"/>
  <c r="J15262" i="1"/>
  <c r="L15262" i="1" s="1"/>
  <c r="J15263" i="1"/>
  <c r="L15263" i="1" s="1"/>
  <c r="J15264" i="1"/>
  <c r="L15264" i="1" s="1"/>
  <c r="J15265" i="1"/>
  <c r="L15265" i="1" s="1"/>
  <c r="J15267" i="1"/>
  <c r="L15267" i="1" s="1"/>
  <c r="J15268" i="1"/>
  <c r="L15268" i="1" s="1"/>
  <c r="J15269" i="1"/>
  <c r="L15269" i="1" s="1"/>
  <c r="J15271" i="1"/>
  <c r="L15271" i="1" s="1"/>
  <c r="J15272" i="1"/>
  <c r="L15272" i="1" s="1"/>
  <c r="J15282" i="1"/>
  <c r="L15282" i="1" s="1"/>
  <c r="J15286" i="1"/>
  <c r="L15286" i="1" s="1"/>
  <c r="J15287" i="1"/>
  <c r="L15287" i="1" s="1"/>
  <c r="J15292" i="1"/>
  <c r="L15292" i="1" s="1"/>
  <c r="J15294" i="1"/>
  <c r="L15294" i="1" s="1"/>
  <c r="J15295" i="1"/>
  <c r="L15295" i="1" s="1"/>
  <c r="J15296" i="1"/>
  <c r="L15296" i="1" s="1"/>
  <c r="J15297" i="1"/>
  <c r="L15297" i="1" s="1"/>
  <c r="J15306" i="1"/>
  <c r="L15306" i="1" s="1"/>
  <c r="J15307" i="1"/>
  <c r="L15307" i="1" s="1"/>
  <c r="J15308" i="1"/>
  <c r="L15308" i="1" s="1"/>
  <c r="J15309" i="1"/>
  <c r="L15309" i="1" s="1"/>
  <c r="J15336" i="1"/>
  <c r="L15336" i="1" s="1"/>
  <c r="J15337" i="1"/>
  <c r="L15337" i="1" s="1"/>
  <c r="J15338" i="1"/>
  <c r="L15338" i="1" s="1"/>
  <c r="J15339" i="1"/>
  <c r="L15339" i="1" s="1"/>
  <c r="J15365" i="1"/>
  <c r="L15365" i="1" s="1"/>
  <c r="J15366" i="1"/>
  <c r="L15366" i="1" s="1"/>
  <c r="J15367" i="1"/>
  <c r="L15367" i="1" s="1"/>
  <c r="J15368" i="1"/>
  <c r="L15368" i="1" s="1"/>
  <c r="J15369" i="1"/>
  <c r="L15369" i="1" s="1"/>
  <c r="J15370" i="1"/>
  <c r="L15370" i="1" s="1"/>
  <c r="J15403" i="1"/>
  <c r="L15403" i="1" s="1"/>
  <c r="J15404" i="1"/>
  <c r="L15404" i="1" s="1"/>
  <c r="J15405" i="1"/>
  <c r="L15405" i="1" s="1"/>
  <c r="J15406" i="1"/>
  <c r="L15406" i="1" s="1"/>
  <c r="J15407" i="1"/>
  <c r="L15407" i="1" s="1"/>
  <c r="J15408" i="1"/>
  <c r="L15408" i="1" s="1"/>
  <c r="J15409" i="1"/>
  <c r="L15409" i="1" s="1"/>
  <c r="J15410" i="1"/>
  <c r="L15410" i="1" s="1"/>
  <c r="J15411" i="1"/>
  <c r="L15411" i="1" s="1"/>
  <c r="J15442" i="1"/>
  <c r="L15442" i="1" s="1"/>
  <c r="J15443" i="1"/>
  <c r="L15443" i="1" s="1"/>
  <c r="J15444" i="1"/>
  <c r="L15444" i="1" s="1"/>
  <c r="J15461" i="1"/>
  <c r="L15461" i="1" s="1"/>
  <c r="J15528" i="1"/>
  <c r="L15528" i="1" s="1"/>
  <c r="J15530" i="1"/>
  <c r="L15530" i="1" s="1"/>
  <c r="J15531" i="1"/>
  <c r="L15531" i="1" s="1"/>
  <c r="J15544" i="1"/>
  <c r="L15544" i="1" s="1"/>
  <c r="J15545" i="1"/>
  <c r="L15545" i="1" s="1"/>
  <c r="J15546" i="1"/>
  <c r="L15546" i="1" s="1"/>
  <c r="J15547" i="1"/>
  <c r="L15547" i="1" s="1"/>
  <c r="J15548" i="1"/>
  <c r="L15548" i="1" s="1"/>
  <c r="J15550" i="1"/>
  <c r="L15550" i="1" s="1"/>
  <c r="J15551" i="1"/>
  <c r="L15551" i="1" s="1"/>
  <c r="J15553" i="1"/>
  <c r="L15553" i="1" s="1"/>
  <c r="J15556" i="1"/>
  <c r="L15556" i="1" s="1"/>
  <c r="J15557" i="1"/>
  <c r="L15557" i="1" s="1"/>
  <c r="J15558" i="1"/>
  <c r="L15558" i="1" s="1"/>
  <c r="J15559" i="1"/>
  <c r="L15559" i="1" s="1"/>
  <c r="J15560" i="1"/>
  <c r="L15560" i="1" s="1"/>
  <c r="J15561" i="1"/>
  <c r="L15561" i="1" s="1"/>
  <c r="J15562" i="1"/>
  <c r="L15562" i="1" s="1"/>
  <c r="J15563" i="1"/>
  <c r="L15563" i="1" s="1"/>
  <c r="J15566" i="1"/>
  <c r="L15566" i="1" s="1"/>
  <c r="J15596" i="1"/>
  <c r="L15596" i="1" s="1"/>
  <c r="J15597" i="1"/>
  <c r="L15597" i="1" s="1"/>
  <c r="J15604" i="1"/>
  <c r="L15604" i="1" s="1"/>
  <c r="J15623" i="1"/>
  <c r="L15623" i="1" s="1"/>
  <c r="J15624" i="1"/>
  <c r="L15624" i="1" s="1"/>
  <c r="J15630" i="1"/>
  <c r="L15630" i="1" s="1"/>
  <c r="J15631" i="1"/>
  <c r="L15631" i="1" s="1"/>
  <c r="J15684" i="1"/>
  <c r="L15684" i="1" s="1"/>
  <c r="J15689" i="1"/>
  <c r="L15689" i="1" s="1"/>
  <c r="J15748" i="1"/>
  <c r="L15748" i="1" s="1"/>
  <c r="J15750" i="1"/>
  <c r="L15750" i="1" s="1"/>
  <c r="J15751" i="1"/>
  <c r="L15751" i="1" s="1"/>
  <c r="J15752" i="1"/>
  <c r="L15752" i="1" s="1"/>
  <c r="J15764" i="1"/>
  <c r="L15764" i="1" s="1"/>
  <c r="J15766" i="1"/>
  <c r="L15766" i="1" s="1"/>
  <c r="J15767" i="1"/>
  <c r="L15767" i="1" s="1"/>
  <c r="J15815" i="1"/>
  <c r="L15815" i="1" s="1"/>
  <c r="J15816" i="1"/>
  <c r="L15816" i="1" s="1"/>
  <c r="J15833" i="1"/>
  <c r="L15833" i="1" s="1"/>
  <c r="J15834" i="1"/>
  <c r="L15834" i="1" s="1"/>
  <c r="J15836" i="1"/>
  <c r="L15836" i="1" s="1"/>
  <c r="J15837" i="1"/>
  <c r="L15837" i="1" s="1"/>
  <c r="J15848" i="1"/>
  <c r="L15848" i="1" s="1"/>
  <c r="J15849" i="1"/>
  <c r="L15849" i="1" s="1"/>
  <c r="J15850" i="1"/>
  <c r="L15850" i="1" s="1"/>
  <c r="J15851" i="1"/>
  <c r="L15851" i="1" s="1"/>
  <c r="J15912" i="1"/>
  <c r="L15912" i="1" s="1"/>
  <c r="J15913" i="1"/>
  <c r="L15913" i="1" s="1"/>
  <c r="J15914" i="1"/>
  <c r="L15914" i="1" s="1"/>
  <c r="J15915" i="1"/>
  <c r="L15915" i="1" s="1"/>
  <c r="J15948" i="1"/>
  <c r="L15948" i="1" s="1"/>
  <c r="J15949" i="1"/>
  <c r="L15949" i="1" s="1"/>
  <c r="J15950" i="1"/>
  <c r="L15950" i="1" s="1"/>
  <c r="J15951" i="1"/>
  <c r="L15951" i="1" s="1"/>
  <c r="J15952" i="1"/>
  <c r="L15952" i="1" s="1"/>
  <c r="J16028" i="1"/>
  <c r="L16028" i="1" s="1"/>
  <c r="J16103" i="1"/>
  <c r="L16103" i="1" s="1"/>
  <c r="J16110" i="1"/>
  <c r="L16110" i="1" s="1"/>
  <c r="J16111" i="1"/>
  <c r="L16111" i="1" s="1"/>
  <c r="J16128" i="1"/>
  <c r="L16128" i="1" s="1"/>
  <c r="J16129" i="1"/>
  <c r="L16129" i="1" s="1"/>
  <c r="J16130" i="1"/>
  <c r="L16130" i="1" s="1"/>
  <c r="J16131" i="1"/>
  <c r="L16131" i="1" s="1"/>
  <c r="J16132" i="1"/>
  <c r="L16132" i="1" s="1"/>
  <c r="J16135" i="1"/>
  <c r="L16135" i="1" s="1"/>
  <c r="J16136" i="1"/>
  <c r="L16136" i="1" s="1"/>
  <c r="J16137" i="1"/>
  <c r="L16137" i="1" s="1"/>
  <c r="J16138" i="1"/>
  <c r="L16138" i="1" s="1"/>
  <c r="J16139" i="1"/>
  <c r="L16139" i="1" s="1"/>
  <c r="J16140" i="1"/>
  <c r="L16140" i="1" s="1"/>
  <c r="J16141" i="1"/>
  <c r="L16141" i="1" s="1"/>
  <c r="J16142" i="1"/>
  <c r="L16142" i="1" s="1"/>
  <c r="J16143" i="1"/>
  <c r="L16143" i="1" s="1"/>
  <c r="J16161" i="1"/>
  <c r="L16161" i="1" s="1"/>
  <c r="J16172" i="1"/>
  <c r="L16172" i="1" s="1"/>
  <c r="J16176" i="1"/>
  <c r="L16176" i="1" s="1"/>
  <c r="J16198" i="1"/>
  <c r="L16198" i="1" s="1"/>
  <c r="J16199" i="1"/>
  <c r="L16199" i="1" s="1"/>
  <c r="J16200" i="1"/>
  <c r="L16200" i="1" s="1"/>
  <c r="J16201" i="1"/>
  <c r="L16201" i="1" s="1"/>
  <c r="J16214" i="1"/>
  <c r="L16214" i="1" s="1"/>
  <c r="J16221" i="1"/>
  <c r="L16221" i="1" s="1"/>
  <c r="J16222" i="1"/>
  <c r="L16222" i="1" s="1"/>
  <c r="J16223" i="1"/>
  <c r="L16223" i="1" s="1"/>
  <c r="J16269" i="1"/>
  <c r="L16269" i="1" s="1"/>
  <c r="J16270" i="1"/>
  <c r="L16270" i="1" s="1"/>
  <c r="J16271" i="1"/>
  <c r="L16271" i="1" s="1"/>
  <c r="J16272" i="1"/>
  <c r="L16272" i="1" s="1"/>
  <c r="J16278" i="1"/>
  <c r="L16278" i="1" s="1"/>
  <c r="J16283" i="1"/>
  <c r="L16283" i="1" s="1"/>
  <c r="J16285" i="1"/>
  <c r="L16285" i="1" s="1"/>
  <c r="J16287" i="1"/>
  <c r="L16287" i="1" s="1"/>
  <c r="J16290" i="1"/>
  <c r="L16290" i="1" s="1"/>
  <c r="J16299" i="1"/>
  <c r="L16299" i="1" s="1"/>
  <c r="J16302" i="1"/>
  <c r="L16302" i="1" s="1"/>
  <c r="J16303" i="1"/>
  <c r="L16303" i="1" s="1"/>
  <c r="J16328" i="1"/>
  <c r="L16328" i="1" s="1"/>
  <c r="J16332" i="1"/>
  <c r="L16332" i="1" s="1"/>
  <c r="J16333" i="1"/>
  <c r="L16333" i="1" s="1"/>
  <c r="J16334" i="1"/>
  <c r="L16334" i="1" s="1"/>
  <c r="J16344" i="1"/>
  <c r="L16344" i="1" s="1"/>
  <c r="J16357" i="1"/>
  <c r="L16357" i="1" s="1"/>
  <c r="J16373" i="1"/>
  <c r="L16373" i="1" s="1"/>
  <c r="J16374" i="1"/>
  <c r="L16374" i="1" s="1"/>
  <c r="J16391" i="1"/>
  <c r="L16391" i="1" s="1"/>
  <c r="J16393" i="1"/>
  <c r="L16393" i="1" s="1"/>
  <c r="J16394" i="1"/>
  <c r="L16394" i="1" s="1"/>
  <c r="J16395" i="1"/>
  <c r="L16395" i="1" s="1"/>
  <c r="J16405" i="1"/>
  <c r="L16405" i="1" s="1"/>
  <c r="J16421" i="1"/>
  <c r="L16421" i="1" s="1"/>
  <c r="J16422" i="1"/>
  <c r="L16422" i="1" s="1"/>
  <c r="J16423" i="1"/>
  <c r="L16423" i="1" s="1"/>
  <c r="J16443" i="1"/>
  <c r="L16443" i="1" s="1"/>
  <c r="J16484" i="1"/>
  <c r="L16484" i="1" s="1"/>
  <c r="J16506" i="1"/>
  <c r="L16506" i="1" s="1"/>
  <c r="J16507" i="1"/>
  <c r="L16507" i="1" s="1"/>
  <c r="J16529" i="1"/>
  <c r="L16529" i="1" s="1"/>
  <c r="J16530" i="1"/>
  <c r="L16530" i="1" s="1"/>
  <c r="J16531" i="1"/>
  <c r="L16531" i="1" s="1"/>
  <c r="J16532" i="1"/>
  <c r="L16532" i="1" s="1"/>
  <c r="J16533" i="1"/>
  <c r="L16533" i="1" s="1"/>
  <c r="J16534" i="1"/>
  <c r="L16534" i="1" s="1"/>
  <c r="J16560" i="1"/>
  <c r="L16560" i="1" s="1"/>
  <c r="J16619" i="1"/>
  <c r="L16619" i="1" s="1"/>
  <c r="J16628" i="1"/>
  <c r="L16628" i="1" s="1"/>
  <c r="J16630" i="1"/>
  <c r="L16630" i="1" s="1"/>
  <c r="J16679" i="1"/>
  <c r="L16679" i="1" s="1"/>
  <c r="J16680" i="1"/>
  <c r="L16680" i="1" s="1"/>
  <c r="J16683" i="1"/>
  <c r="L16683" i="1" s="1"/>
  <c r="J16684" i="1"/>
  <c r="L16684" i="1" s="1"/>
  <c r="J16685" i="1"/>
  <c r="L16685" i="1" s="1"/>
  <c r="J16704" i="1"/>
  <c r="L16704" i="1" s="1"/>
  <c r="J16764" i="1"/>
  <c r="L16764" i="1" s="1"/>
  <c r="J16765" i="1"/>
  <c r="L16765" i="1" s="1"/>
  <c r="J16766" i="1"/>
  <c r="L16766" i="1" s="1"/>
  <c r="J16767" i="1"/>
  <c r="L16767" i="1" s="1"/>
  <c r="J16782" i="1"/>
  <c r="L16782" i="1" s="1"/>
  <c r="J16783" i="1"/>
  <c r="L16783" i="1" s="1"/>
  <c r="J16784" i="1"/>
  <c r="L16784" i="1" s="1"/>
  <c r="J16785" i="1"/>
  <c r="L16785" i="1" s="1"/>
  <c r="J16786" i="1"/>
  <c r="L16786" i="1" s="1"/>
  <c r="J16880" i="1"/>
  <c r="L16880" i="1" s="1"/>
  <c r="J16894" i="1"/>
  <c r="L16894" i="1" s="1"/>
  <c r="J16916" i="1"/>
  <c r="L16916" i="1" s="1"/>
  <c r="J16917" i="1"/>
  <c r="L16917" i="1" s="1"/>
  <c r="J16918" i="1"/>
  <c r="L16918" i="1" s="1"/>
  <c r="J16919" i="1"/>
  <c r="L16919" i="1" s="1"/>
  <c r="J16920" i="1"/>
  <c r="L16920" i="1" s="1"/>
  <c r="J16957" i="1"/>
  <c r="L16957" i="1" s="1"/>
  <c r="J17056" i="1"/>
  <c r="L17056" i="1" s="1"/>
  <c r="J17062" i="1"/>
  <c r="L17062" i="1" s="1"/>
  <c r="J17065" i="1"/>
  <c r="L17065" i="1" s="1"/>
  <c r="J17074" i="1"/>
  <c r="L17074" i="1" s="1"/>
  <c r="J17075" i="1"/>
  <c r="L17075" i="1" s="1"/>
  <c r="J17076" i="1"/>
  <c r="L17076" i="1" s="1"/>
  <c r="J17079" i="1"/>
  <c r="L17079" i="1" s="1"/>
  <c r="J17091" i="1"/>
  <c r="L17091" i="1" s="1"/>
  <c r="J17092" i="1"/>
  <c r="L17092" i="1" s="1"/>
  <c r="J17093" i="1"/>
  <c r="L17093" i="1" s="1"/>
  <c r="J17100" i="1"/>
  <c r="L17100" i="1" s="1"/>
  <c r="J17113" i="1"/>
  <c r="L17113" i="1" s="1"/>
  <c r="J17114" i="1"/>
  <c r="L17114" i="1" s="1"/>
  <c r="J17120" i="1"/>
  <c r="L17120" i="1" s="1"/>
  <c r="J17180" i="1"/>
  <c r="L17180" i="1" s="1"/>
  <c r="J17181" i="1"/>
  <c r="L17181" i="1" s="1"/>
  <c r="J17189" i="1"/>
  <c r="L17189" i="1" s="1"/>
  <c r="J17190" i="1"/>
  <c r="L17190" i="1" s="1"/>
  <c r="J17191" i="1"/>
  <c r="L17191" i="1" s="1"/>
  <c r="J17193" i="1"/>
  <c r="L17193" i="1" s="1"/>
  <c r="J17198" i="1"/>
  <c r="L17198" i="1" s="1"/>
  <c r="J17204" i="1"/>
  <c r="L17204" i="1" s="1"/>
  <c r="J17205" i="1"/>
  <c r="L17205" i="1" s="1"/>
  <c r="J17206" i="1"/>
  <c r="L17206" i="1" s="1"/>
  <c r="J17208" i="1"/>
  <c r="L17208" i="1" s="1"/>
  <c r="J17209" i="1"/>
  <c r="L17209" i="1" s="1"/>
  <c r="J17210" i="1"/>
  <c r="L17210" i="1" s="1"/>
  <c r="J17212" i="1"/>
  <c r="L17212" i="1" s="1"/>
  <c r="J17213" i="1"/>
  <c r="L17213" i="1" s="1"/>
  <c r="J17214" i="1"/>
  <c r="L17214" i="1" s="1"/>
  <c r="J17215" i="1"/>
  <c r="L17215" i="1" s="1"/>
  <c r="J17230" i="1"/>
  <c r="L17230" i="1" s="1"/>
  <c r="J17232" i="1"/>
  <c r="L17232" i="1" s="1"/>
  <c r="J17241" i="1"/>
  <c r="L17241" i="1" s="1"/>
  <c r="J17242" i="1"/>
  <c r="L17242" i="1" s="1"/>
  <c r="J17243" i="1"/>
  <c r="L17243" i="1" s="1"/>
  <c r="J17244" i="1"/>
  <c r="L17244" i="1" s="1"/>
  <c r="J17268" i="1"/>
  <c r="L17268" i="1" s="1"/>
  <c r="J17279" i="1"/>
  <c r="L17279" i="1" s="1"/>
  <c r="J17284" i="1"/>
  <c r="L17284" i="1" s="1"/>
  <c r="J7255" i="1"/>
  <c r="L7255" i="1" s="1"/>
  <c r="J7284" i="1"/>
  <c r="L7284" i="1" s="1"/>
  <c r="J7333" i="1"/>
  <c r="L7333" i="1" s="1"/>
  <c r="J7334" i="1"/>
  <c r="L7334" i="1" s="1"/>
  <c r="J7447" i="1"/>
  <c r="L7447" i="1" s="1"/>
  <c r="J7450" i="1"/>
  <c r="L7450" i="1" s="1"/>
  <c r="J7451" i="1"/>
  <c r="L7451" i="1" s="1"/>
  <c r="J7480" i="1"/>
  <c r="L7480" i="1" s="1"/>
  <c r="J7483" i="1"/>
  <c r="L7483" i="1" s="1"/>
  <c r="J7484" i="1"/>
  <c r="L7484" i="1" s="1"/>
  <c r="J7485" i="1"/>
  <c r="L7485" i="1" s="1"/>
  <c r="J7516" i="1"/>
  <c r="L7516" i="1" s="1"/>
  <c r="J104" i="1"/>
  <c r="L104" i="1" s="1"/>
  <c r="J7560" i="1"/>
  <c r="L7560" i="1" s="1"/>
  <c r="J7561" i="1"/>
  <c r="L7561" i="1" s="1"/>
  <c r="J7562" i="1"/>
  <c r="L7562" i="1" s="1"/>
  <c r="J7563" i="1"/>
  <c r="L7563" i="1" s="1"/>
  <c r="J7564" i="1"/>
  <c r="L7564" i="1" s="1"/>
  <c r="J125" i="1"/>
  <c r="L125" i="1" s="1"/>
  <c r="J140" i="1"/>
  <c r="L140" i="1" s="1"/>
  <c r="J7604" i="1"/>
  <c r="L7604" i="1" s="1"/>
  <c r="J7749" i="1"/>
  <c r="L7749" i="1" s="1"/>
  <c r="J7750" i="1"/>
  <c r="L7750" i="1" s="1"/>
  <c r="J180" i="1"/>
  <c r="L180" i="1" s="1"/>
  <c r="J193" i="1"/>
  <c r="L193" i="1" s="1"/>
  <c r="J194" i="1"/>
  <c r="L194" i="1" s="1"/>
  <c r="J195" i="1"/>
  <c r="L195" i="1" s="1"/>
  <c r="J196" i="1"/>
  <c r="L196" i="1" s="1"/>
  <c r="J197" i="1"/>
  <c r="L197" i="1" s="1"/>
  <c r="J199" i="1"/>
  <c r="L199" i="1" s="1"/>
  <c r="J200" i="1"/>
  <c r="L200" i="1" s="1"/>
  <c r="J7783" i="1"/>
  <c r="L7783" i="1" s="1"/>
  <c r="J7784" i="1"/>
  <c r="L7784" i="1" s="1"/>
  <c r="J7785" i="1"/>
  <c r="L7785" i="1" s="1"/>
  <c r="J7861" i="1"/>
  <c r="L7861" i="1" s="1"/>
  <c r="J7862" i="1"/>
  <c r="L7862" i="1" s="1"/>
  <c r="J219" i="1"/>
  <c r="L219" i="1" s="1"/>
  <c r="J221" i="1"/>
  <c r="L221" i="1" s="1"/>
  <c r="J7875" i="1"/>
  <c r="L7875" i="1" s="1"/>
  <c r="J7876" i="1"/>
  <c r="L7876" i="1" s="1"/>
  <c r="J7910" i="1"/>
  <c r="L7910" i="1" s="1"/>
  <c r="J7911" i="1"/>
  <c r="L7911" i="1" s="1"/>
  <c r="J7912" i="1"/>
  <c r="L7912" i="1" s="1"/>
  <c r="J7913" i="1"/>
  <c r="L7913" i="1" s="1"/>
  <c r="J7914" i="1"/>
  <c r="L7914" i="1" s="1"/>
  <c r="J7946" i="1"/>
  <c r="L7946" i="1" s="1"/>
  <c r="J7947" i="1"/>
  <c r="L7947" i="1" s="1"/>
  <c r="J7948" i="1"/>
  <c r="L7948" i="1" s="1"/>
  <c r="J7949" i="1"/>
  <c r="L7949" i="1" s="1"/>
  <c r="J7950" i="1"/>
  <c r="L7950" i="1" s="1"/>
  <c r="J7951" i="1"/>
  <c r="L7951" i="1" s="1"/>
  <c r="J8057" i="1"/>
  <c r="L8057" i="1" s="1"/>
  <c r="J251" i="1"/>
  <c r="L251" i="1" s="1"/>
  <c r="J255" i="1"/>
  <c r="L255" i="1" s="1"/>
  <c r="J8192" i="1"/>
  <c r="L8192" i="1" s="1"/>
  <c r="J8202" i="1"/>
  <c r="L8202" i="1" s="1"/>
  <c r="J8203" i="1"/>
  <c r="L8203" i="1" s="1"/>
  <c r="J8204" i="1"/>
  <c r="L8204" i="1" s="1"/>
  <c r="J8205" i="1"/>
  <c r="L8205" i="1" s="1"/>
  <c r="J8214" i="1"/>
  <c r="L8214" i="1" s="1"/>
  <c r="J8236" i="1"/>
  <c r="L8236" i="1" s="1"/>
  <c r="J291" i="1"/>
  <c r="L291" i="1" s="1"/>
  <c r="J8265" i="1"/>
  <c r="L8265" i="1" s="1"/>
  <c r="J8266" i="1"/>
  <c r="L8266" i="1" s="1"/>
  <c r="J8267" i="1"/>
  <c r="L8267" i="1" s="1"/>
  <c r="J8268" i="1"/>
  <c r="L8268" i="1" s="1"/>
  <c r="J8284" i="1"/>
  <c r="L8284" i="1" s="1"/>
  <c r="J8285" i="1"/>
  <c r="L8285" i="1" s="1"/>
  <c r="J8286" i="1"/>
  <c r="L8286" i="1" s="1"/>
  <c r="J8287" i="1"/>
  <c r="L8287" i="1" s="1"/>
  <c r="J334" i="1"/>
  <c r="L334" i="1" s="1"/>
  <c r="J350" i="1"/>
  <c r="L350" i="1" s="1"/>
  <c r="J353" i="1"/>
  <c r="L353" i="1" s="1"/>
  <c r="J8343" i="1"/>
  <c r="L8343" i="1" s="1"/>
  <c r="J8344" i="1"/>
  <c r="L8344" i="1" s="1"/>
  <c r="J8345" i="1"/>
  <c r="L8345" i="1" s="1"/>
  <c r="J8346" i="1"/>
  <c r="L8346" i="1" s="1"/>
  <c r="J402" i="1"/>
  <c r="L402" i="1" s="1"/>
  <c r="J8403" i="1"/>
  <c r="L8403" i="1" s="1"/>
  <c r="J8464" i="1"/>
  <c r="L8464" i="1" s="1"/>
  <c r="J8468" i="1"/>
  <c r="L8468" i="1" s="1"/>
  <c r="J8471" i="1"/>
  <c r="L8471" i="1" s="1"/>
  <c r="J8472" i="1"/>
  <c r="L8472" i="1" s="1"/>
  <c r="J8487" i="1"/>
  <c r="L8487" i="1" s="1"/>
  <c r="J8488" i="1"/>
  <c r="L8488" i="1" s="1"/>
  <c r="J8489" i="1"/>
  <c r="L8489" i="1" s="1"/>
  <c r="J8527" i="1"/>
  <c r="L8527" i="1" s="1"/>
  <c r="J8533" i="1"/>
  <c r="L8533" i="1" s="1"/>
  <c r="J8554" i="1"/>
  <c r="L8554" i="1" s="1"/>
  <c r="J691" i="1"/>
  <c r="L691" i="1" s="1"/>
  <c r="J699" i="1"/>
  <c r="L699" i="1" s="1"/>
  <c r="J730" i="1"/>
  <c r="L730" i="1" s="1"/>
  <c r="J732" i="1"/>
  <c r="L732" i="1" s="1"/>
  <c r="J8598" i="1"/>
  <c r="L8598" i="1" s="1"/>
  <c r="J8599" i="1"/>
  <c r="L8599" i="1" s="1"/>
  <c r="J8608" i="1"/>
  <c r="L8608" i="1" s="1"/>
  <c r="J8615" i="1"/>
  <c r="L8615" i="1" s="1"/>
  <c r="J8688" i="1"/>
  <c r="L8688" i="1" s="1"/>
  <c r="J8689" i="1"/>
  <c r="L8689" i="1" s="1"/>
  <c r="J8690" i="1"/>
  <c r="L8690" i="1" s="1"/>
  <c r="J803" i="1"/>
  <c r="L803" i="1" s="1"/>
  <c r="J804" i="1"/>
  <c r="L804" i="1" s="1"/>
  <c r="J813" i="1"/>
  <c r="L813" i="1" s="1"/>
  <c r="J8745" i="1"/>
  <c r="L8745" i="1" s="1"/>
  <c r="J8752" i="1"/>
  <c r="L8752" i="1" s="1"/>
  <c r="J8753" i="1"/>
  <c r="L8753" i="1" s="1"/>
  <c r="J8754" i="1"/>
  <c r="L8754" i="1" s="1"/>
  <c r="J8755" i="1"/>
  <c r="L8755" i="1" s="1"/>
  <c r="J8756" i="1"/>
  <c r="L8756" i="1" s="1"/>
  <c r="J8777" i="1"/>
  <c r="L8777" i="1" s="1"/>
  <c r="J8919" i="1"/>
  <c r="L8919" i="1" s="1"/>
  <c r="J8934" i="1"/>
  <c r="L8934" i="1" s="1"/>
  <c r="J9015" i="1"/>
  <c r="L9015" i="1" s="1"/>
  <c r="J9034" i="1"/>
  <c r="L9034" i="1" s="1"/>
  <c r="J1075" i="1"/>
  <c r="L1075" i="1" s="1"/>
  <c r="J1077" i="1"/>
  <c r="L1077" i="1" s="1"/>
  <c r="J9069" i="1"/>
  <c r="L9069" i="1" s="1"/>
  <c r="J1106" i="1"/>
  <c r="L1106" i="1" s="1"/>
  <c r="J1160" i="1"/>
  <c r="L1160" i="1" s="1"/>
  <c r="J1161" i="1"/>
  <c r="L1161" i="1" s="1"/>
  <c r="J1162" i="1"/>
  <c r="L1162" i="1" s="1"/>
  <c r="J1163" i="1"/>
  <c r="L1163" i="1" s="1"/>
  <c r="J1169" i="1"/>
  <c r="L1169" i="1" s="1"/>
  <c r="J9191" i="1"/>
  <c r="L9191" i="1" s="1"/>
  <c r="J9192" i="1"/>
  <c r="L9192" i="1" s="1"/>
  <c r="J9193" i="1"/>
  <c r="L9193" i="1" s="1"/>
  <c r="J9205" i="1"/>
  <c r="L9205" i="1" s="1"/>
  <c r="J9206" i="1"/>
  <c r="L9206" i="1" s="1"/>
  <c r="J9268" i="1"/>
  <c r="L9268" i="1" s="1"/>
  <c r="J1381" i="1"/>
  <c r="L1381" i="1" s="1"/>
  <c r="J1388" i="1"/>
  <c r="L1388" i="1" s="1"/>
  <c r="J9316" i="1"/>
  <c r="L9316" i="1" s="1"/>
  <c r="J9317" i="1"/>
  <c r="L9317" i="1" s="1"/>
  <c r="J9318" i="1"/>
  <c r="L9318" i="1" s="1"/>
  <c r="J1447" i="1"/>
  <c r="L1447" i="1" s="1"/>
  <c r="J1451" i="1"/>
  <c r="L1451" i="1" s="1"/>
  <c r="J9486" i="1"/>
  <c r="L9486" i="1" s="1"/>
  <c r="J1500" i="1"/>
  <c r="L1500" i="1" s="1"/>
  <c r="J1518" i="1"/>
  <c r="L1518" i="1" s="1"/>
  <c r="J9501" i="1"/>
  <c r="L9501" i="1" s="1"/>
  <c r="J1591" i="1"/>
  <c r="L1591" i="1" s="1"/>
  <c r="J9532" i="1"/>
  <c r="L9532" i="1" s="1"/>
  <c r="J9555" i="1"/>
  <c r="L9555" i="1" s="1"/>
  <c r="J9556" i="1"/>
  <c r="L9556" i="1" s="1"/>
  <c r="J1690" i="1"/>
  <c r="L1690" i="1" s="1"/>
  <c r="J9573" i="1"/>
  <c r="L9573" i="1" s="1"/>
  <c r="J1692" i="1"/>
  <c r="L1692" i="1" s="1"/>
  <c r="J9599" i="1"/>
  <c r="L9599" i="1" s="1"/>
  <c r="J9600" i="1"/>
  <c r="L9600" i="1" s="1"/>
  <c r="J9601" i="1"/>
  <c r="L9601" i="1" s="1"/>
  <c r="J9602" i="1"/>
  <c r="L9602" i="1" s="1"/>
  <c r="J9615" i="1"/>
  <c r="L9615" i="1" s="1"/>
  <c r="J9633" i="1"/>
  <c r="L9633" i="1" s="1"/>
  <c r="J9636" i="1"/>
  <c r="L9636" i="1" s="1"/>
  <c r="J9637" i="1"/>
  <c r="L9637" i="1" s="1"/>
  <c r="J9638" i="1"/>
  <c r="L9638" i="1" s="1"/>
  <c r="J9650" i="1"/>
  <c r="L9650" i="1" s="1"/>
  <c r="J9651" i="1"/>
  <c r="L9651" i="1" s="1"/>
  <c r="J1709" i="1"/>
  <c r="L1709" i="1" s="1"/>
  <c r="J1710" i="1"/>
  <c r="L1710" i="1" s="1"/>
  <c r="J1723" i="1"/>
  <c r="L1723" i="1" s="1"/>
  <c r="J1762" i="1"/>
  <c r="L1762" i="1" s="1"/>
  <c r="J9704" i="1"/>
  <c r="L9704" i="1" s="1"/>
  <c r="J9800" i="1"/>
  <c r="L9800" i="1" s="1"/>
  <c r="J9818" i="1"/>
  <c r="L9818" i="1" s="1"/>
  <c r="J9839" i="1"/>
  <c r="L9839" i="1" s="1"/>
  <c r="J1926" i="1"/>
  <c r="L1926" i="1" s="1"/>
  <c r="J1936" i="1"/>
  <c r="L1936" i="1" s="1"/>
  <c r="J9931" i="1"/>
  <c r="L9931" i="1" s="1"/>
  <c r="J9964" i="1"/>
  <c r="L9964" i="1" s="1"/>
  <c r="J10007" i="1"/>
  <c r="L10007" i="1" s="1"/>
  <c r="J10008" i="1"/>
  <c r="L10008" i="1" s="1"/>
  <c r="J1978" i="1"/>
  <c r="L1978" i="1" s="1"/>
  <c r="J2015" i="1"/>
  <c r="L2015" i="1" s="1"/>
  <c r="J10096" i="1"/>
  <c r="L10096" i="1" s="1"/>
  <c r="J10097" i="1"/>
  <c r="L10097" i="1" s="1"/>
  <c r="J10098" i="1"/>
  <c r="L10098" i="1" s="1"/>
  <c r="J10099" i="1"/>
  <c r="L10099" i="1" s="1"/>
  <c r="J10117" i="1"/>
  <c r="L10117" i="1" s="1"/>
  <c r="J10118" i="1"/>
  <c r="L10118" i="1" s="1"/>
  <c r="J10153" i="1"/>
  <c r="L10153" i="1" s="1"/>
  <c r="J10161" i="1"/>
  <c r="L10161" i="1" s="1"/>
  <c r="J10190" i="1"/>
  <c r="L10190" i="1" s="1"/>
  <c r="J2094" i="1"/>
  <c r="L2094" i="1" s="1"/>
  <c r="J10261" i="1"/>
  <c r="L10261" i="1" s="1"/>
  <c r="J10265" i="1"/>
  <c r="L10265" i="1" s="1"/>
  <c r="J2130" i="1"/>
  <c r="L2130" i="1" s="1"/>
  <c r="J2232" i="1"/>
  <c r="L2232" i="1" s="1"/>
  <c r="J2235" i="1"/>
  <c r="L2235" i="1" s="1"/>
  <c r="J10354" i="1"/>
  <c r="L10354" i="1" s="1"/>
  <c r="J2272" i="1"/>
  <c r="L2272" i="1" s="1"/>
  <c r="J2276" i="1"/>
  <c r="L2276" i="1" s="1"/>
  <c r="J2284" i="1"/>
  <c r="L2284" i="1" s="1"/>
  <c r="J2364" i="1"/>
  <c r="L2364" i="1" s="1"/>
  <c r="J10437" i="1"/>
  <c r="L10437" i="1" s="1"/>
  <c r="J2407" i="1"/>
  <c r="L2407" i="1" s="1"/>
  <c r="J10439" i="1"/>
  <c r="L10439" i="1" s="1"/>
  <c r="J10440" i="1"/>
  <c r="L10440" i="1" s="1"/>
  <c r="J10459" i="1"/>
  <c r="L10459" i="1" s="1"/>
  <c r="J10466" i="1"/>
  <c r="L10466" i="1" s="1"/>
  <c r="J2419" i="1"/>
  <c r="L2419" i="1" s="1"/>
  <c r="J2420" i="1"/>
  <c r="L2420" i="1" s="1"/>
  <c r="J2425" i="1"/>
  <c r="L2425" i="1" s="1"/>
  <c r="J10498" i="1"/>
  <c r="L10498" i="1" s="1"/>
  <c r="J10519" i="1"/>
  <c r="L10519" i="1" s="1"/>
  <c r="J2561" i="1"/>
  <c r="L2561" i="1" s="1"/>
  <c r="L2595" i="1"/>
  <c r="J2597" i="1"/>
  <c r="L2597" i="1" s="1"/>
  <c r="J10564" i="1"/>
  <c r="L10564" i="1" s="1"/>
  <c r="J10565" i="1"/>
  <c r="L10565" i="1" s="1"/>
  <c r="J10566" i="1"/>
  <c r="L10566" i="1" s="1"/>
  <c r="J10567" i="1"/>
  <c r="L10567" i="1" s="1"/>
  <c r="J10568" i="1"/>
  <c r="L10568" i="1" s="1"/>
  <c r="J10569" i="1"/>
  <c r="L10569" i="1" s="1"/>
  <c r="J10570" i="1"/>
  <c r="L10570" i="1" s="1"/>
  <c r="J10715" i="1"/>
  <c r="L10715" i="1" s="1"/>
  <c r="J10746" i="1"/>
  <c r="L10746" i="1" s="1"/>
  <c r="J2646" i="1"/>
  <c r="L2646" i="1" s="1"/>
  <c r="J10791" i="1"/>
  <c r="L10791" i="1" s="1"/>
  <c r="J10792" i="1"/>
  <c r="L10792" i="1" s="1"/>
  <c r="J10793" i="1"/>
  <c r="L10793" i="1" s="1"/>
  <c r="J10794" i="1"/>
  <c r="L10794" i="1" s="1"/>
  <c r="J2659" i="1"/>
  <c r="L2659" i="1" s="1"/>
  <c r="J10817" i="1"/>
  <c r="L10817" i="1" s="1"/>
  <c r="J2669" i="1"/>
  <c r="L2669" i="1" s="1"/>
  <c r="J2685" i="1"/>
  <c r="L2685" i="1" s="1"/>
  <c r="J2686" i="1"/>
  <c r="L2686" i="1" s="1"/>
  <c r="J10933" i="1"/>
  <c r="L10933" i="1" s="1"/>
  <c r="J10953" i="1"/>
  <c r="L10953" i="1" s="1"/>
  <c r="J10954" i="1"/>
  <c r="L10954" i="1" s="1"/>
  <c r="J10960" i="1"/>
  <c r="L10960" i="1" s="1"/>
  <c r="J2728" i="1"/>
  <c r="L2728" i="1" s="1"/>
  <c r="J2729" i="1"/>
  <c r="L2729" i="1" s="1"/>
  <c r="J2730" i="1"/>
  <c r="L2730" i="1" s="1"/>
  <c r="J2731" i="1"/>
  <c r="L2731" i="1" s="1"/>
  <c r="J2732" i="1"/>
  <c r="L2732" i="1" s="1"/>
  <c r="J10989" i="1"/>
  <c r="L10989" i="1" s="1"/>
  <c r="J11070" i="1"/>
  <c r="L11070" i="1" s="1"/>
  <c r="J11071" i="1"/>
  <c r="L11071" i="1" s="1"/>
  <c r="J11072" i="1"/>
  <c r="L11072" i="1" s="1"/>
  <c r="J2745" i="1"/>
  <c r="L2745" i="1" s="1"/>
  <c r="J11081" i="1"/>
  <c r="L11081" i="1" s="1"/>
  <c r="J2756" i="1"/>
  <c r="L2756" i="1" s="1"/>
  <c r="J11085" i="1"/>
  <c r="L11085" i="1" s="1"/>
  <c r="J11086" i="1"/>
  <c r="L11086" i="1" s="1"/>
  <c r="J11087" i="1"/>
  <c r="L11087" i="1" s="1"/>
  <c r="J2762" i="1"/>
  <c r="L2762" i="1" s="1"/>
  <c r="J11123" i="1"/>
  <c r="L11123" i="1" s="1"/>
  <c r="J11124" i="1"/>
  <c r="L11124" i="1" s="1"/>
  <c r="J11125" i="1"/>
  <c r="L11125" i="1" s="1"/>
  <c r="J11126" i="1"/>
  <c r="L11126" i="1" s="1"/>
  <c r="J11165" i="1"/>
  <c r="L11165" i="1" s="1"/>
  <c r="J11166" i="1"/>
  <c r="L11166" i="1" s="1"/>
  <c r="J11167" i="1"/>
  <c r="L11167" i="1" s="1"/>
  <c r="J11168" i="1"/>
  <c r="L11168" i="1" s="1"/>
  <c r="J11390" i="1"/>
  <c r="L11390" i="1" s="1"/>
  <c r="J11413" i="1"/>
  <c r="L11413" i="1" s="1"/>
  <c r="J11414" i="1"/>
  <c r="L11414" i="1" s="1"/>
  <c r="J11421" i="1"/>
  <c r="L11421" i="1" s="1"/>
  <c r="J11422" i="1"/>
  <c r="L11422" i="1" s="1"/>
  <c r="J11452" i="1"/>
  <c r="L11452" i="1" s="1"/>
  <c r="J11453" i="1"/>
  <c r="L11453" i="1" s="1"/>
  <c r="J11479" i="1"/>
  <c r="L11479" i="1" s="1"/>
  <c r="J11480" i="1"/>
  <c r="L11480" i="1" s="1"/>
  <c r="J11481" i="1"/>
  <c r="L11481" i="1" s="1"/>
  <c r="J2862" i="1"/>
  <c r="L2862" i="1" s="1"/>
  <c r="J2863" i="1"/>
  <c r="L2863" i="1" s="1"/>
  <c r="J2864" i="1"/>
  <c r="L2864" i="1" s="1"/>
  <c r="J2877" i="1"/>
  <c r="L2877" i="1" s="1"/>
  <c r="J11530" i="1"/>
  <c r="L11530" i="1" s="1"/>
  <c r="J11531" i="1"/>
  <c r="L11531" i="1" s="1"/>
  <c r="J11532" i="1"/>
  <c r="L11532" i="1" s="1"/>
  <c r="J11533" i="1"/>
  <c r="L11533" i="1" s="1"/>
  <c r="J2903" i="1"/>
  <c r="L2903" i="1" s="1"/>
  <c r="J3003" i="1"/>
  <c r="L3003" i="1" s="1"/>
  <c r="J3037" i="1"/>
  <c r="L3037" i="1" s="1"/>
  <c r="J3058" i="1"/>
  <c r="L3058" i="1" s="1"/>
  <c r="J3059" i="1"/>
  <c r="L3059" i="1" s="1"/>
  <c r="J11621" i="1"/>
  <c r="L11621" i="1" s="1"/>
  <c r="J3072" i="1"/>
  <c r="L3072" i="1" s="1"/>
  <c r="J11678" i="1"/>
  <c r="L11678" i="1" s="1"/>
  <c r="J11683" i="1"/>
  <c r="L11683" i="1" s="1"/>
  <c r="J11707" i="1"/>
  <c r="L11707" i="1" s="1"/>
  <c r="J11708" i="1"/>
  <c r="L11708" i="1" s="1"/>
  <c r="J11709" i="1"/>
  <c r="L11709" i="1" s="1"/>
  <c r="J3128" i="1"/>
  <c r="L3128" i="1" s="1"/>
  <c r="J3132" i="1"/>
  <c r="L3132" i="1" s="1"/>
  <c r="J11747" i="1"/>
  <c r="L11747" i="1" s="1"/>
  <c r="J11769" i="1"/>
  <c r="L11769" i="1" s="1"/>
  <c r="J11781" i="1"/>
  <c r="L11781" i="1" s="1"/>
  <c r="J11817" i="1"/>
  <c r="L11817" i="1" s="1"/>
  <c r="J3195" i="1"/>
  <c r="L3195" i="1" s="1"/>
  <c r="J11825" i="1"/>
  <c r="L11825" i="1" s="1"/>
  <c r="J11831" i="1"/>
  <c r="L11831" i="1" s="1"/>
  <c r="J11832" i="1"/>
  <c r="L11832" i="1" s="1"/>
  <c r="J11833" i="1"/>
  <c r="L11833" i="1" s="1"/>
  <c r="J11840" i="1"/>
  <c r="L11840" i="1" s="1"/>
  <c r="J11841" i="1"/>
  <c r="L11841" i="1" s="1"/>
  <c r="J11847" i="1"/>
  <c r="L11847" i="1" s="1"/>
  <c r="J3222" i="1"/>
  <c r="L3222" i="1" s="1"/>
  <c r="J3231" i="1"/>
  <c r="L3231" i="1" s="1"/>
  <c r="J11878" i="1"/>
  <c r="L11878" i="1" s="1"/>
  <c r="J11890" i="1"/>
  <c r="L11890" i="1" s="1"/>
  <c r="J3266" i="1"/>
  <c r="L3266" i="1" s="1"/>
  <c r="J3273" i="1"/>
  <c r="L3273" i="1" s="1"/>
  <c r="J3274" i="1"/>
  <c r="L3274" i="1" s="1"/>
  <c r="J3275" i="1"/>
  <c r="L3275" i="1" s="1"/>
  <c r="J3279" i="1"/>
  <c r="L3279" i="1" s="1"/>
  <c r="J11989" i="1"/>
  <c r="L11989" i="1" s="1"/>
  <c r="J11990" i="1"/>
  <c r="L11990" i="1" s="1"/>
  <c r="J11991" i="1"/>
  <c r="L11991" i="1" s="1"/>
  <c r="J11992" i="1"/>
  <c r="L11992" i="1" s="1"/>
  <c r="J12041" i="1"/>
  <c r="L12041" i="1" s="1"/>
  <c r="J12051" i="1"/>
  <c r="L12051" i="1" s="1"/>
  <c r="J12055" i="1"/>
  <c r="L12055" i="1" s="1"/>
  <c r="J12119" i="1"/>
  <c r="L12119" i="1" s="1"/>
  <c r="J12124" i="1"/>
  <c r="L12124" i="1" s="1"/>
  <c r="J12125" i="1"/>
  <c r="L12125" i="1" s="1"/>
  <c r="J12126" i="1"/>
  <c r="L12126" i="1" s="1"/>
  <c r="J12127" i="1"/>
  <c r="L12127" i="1" s="1"/>
  <c r="J12143" i="1"/>
  <c r="L12143" i="1" s="1"/>
  <c r="J12153" i="1"/>
  <c r="L12153" i="1" s="1"/>
  <c r="B20" i="3" s="1"/>
  <c r="J3409" i="1"/>
  <c r="L3409" i="1" s="1"/>
  <c r="J12183" i="1"/>
  <c r="L12183" i="1" s="1"/>
  <c r="J3498" i="1"/>
  <c r="L3498" i="1" s="1"/>
  <c r="J12341" i="1"/>
  <c r="L12341" i="1" s="1"/>
  <c r="J3535" i="1"/>
  <c r="L3535" i="1" s="1"/>
  <c r="J12360" i="1"/>
  <c r="L12360" i="1" s="1"/>
  <c r="J12373" i="1"/>
  <c r="L12373" i="1" s="1"/>
  <c r="J3568" i="1"/>
  <c r="L3568" i="1" s="1"/>
  <c r="J3579" i="1"/>
  <c r="L3579" i="1" s="1"/>
  <c r="J12493" i="1"/>
  <c r="L12493" i="1" s="1"/>
  <c r="J12494" i="1"/>
  <c r="L12494" i="1" s="1"/>
  <c r="J3774" i="1"/>
  <c r="L3774" i="1" s="1"/>
  <c r="J3776" i="1"/>
  <c r="L3776" i="1" s="1"/>
  <c r="J12544" i="1"/>
  <c r="L12544" i="1" s="1"/>
  <c r="J12545" i="1"/>
  <c r="L12545" i="1" s="1"/>
  <c r="J12577" i="1"/>
  <c r="L12577" i="1" s="1"/>
  <c r="J12578" i="1"/>
  <c r="L12578" i="1" s="1"/>
  <c r="J12579" i="1"/>
  <c r="L12579" i="1" s="1"/>
  <c r="J12580" i="1"/>
  <c r="L12580" i="1" s="1"/>
  <c r="J3877" i="1"/>
  <c r="L3877" i="1" s="1"/>
  <c r="J12775" i="1"/>
  <c r="L12775" i="1" s="1"/>
  <c r="J12776" i="1"/>
  <c r="L12776" i="1" s="1"/>
  <c r="J12786" i="1"/>
  <c r="L12786" i="1" s="1"/>
  <c r="J3992" i="1"/>
  <c r="L3992" i="1" s="1"/>
  <c r="J12794" i="1"/>
  <c r="L12794" i="1" s="1"/>
  <c r="J12815" i="1"/>
  <c r="L12815" i="1" s="1"/>
  <c r="J12816" i="1"/>
  <c r="L12816" i="1" s="1"/>
  <c r="J4022" i="1"/>
  <c r="L4022" i="1" s="1"/>
  <c r="J12886" i="1"/>
  <c r="L12886" i="1" s="1"/>
  <c r="J12887" i="1"/>
  <c r="L12887" i="1" s="1"/>
  <c r="J12900" i="1"/>
  <c r="L12900" i="1" s="1"/>
  <c r="J12901" i="1"/>
  <c r="L12901" i="1" s="1"/>
  <c r="J12921" i="1"/>
  <c r="L12921" i="1" s="1"/>
  <c r="J12922" i="1"/>
  <c r="L12922" i="1" s="1"/>
  <c r="J12924" i="1"/>
  <c r="L12924" i="1" s="1"/>
  <c r="J12935" i="1"/>
  <c r="L12935" i="1" s="1"/>
  <c r="J12943" i="1"/>
  <c r="L12943" i="1" s="1"/>
  <c r="J4044" i="1"/>
  <c r="L4044" i="1" s="1"/>
  <c r="J4045" i="1"/>
  <c r="L4045" i="1" s="1"/>
  <c r="J4046" i="1"/>
  <c r="L4046" i="1" s="1"/>
  <c r="J4047" i="1"/>
  <c r="L4047" i="1" s="1"/>
  <c r="J4052" i="1"/>
  <c r="L4052" i="1" s="1"/>
  <c r="J4056" i="1"/>
  <c r="L4056" i="1" s="1"/>
  <c r="J4066" i="1"/>
  <c r="L4066" i="1" s="1"/>
  <c r="J4070" i="1"/>
  <c r="L4070" i="1" s="1"/>
  <c r="J4071" i="1"/>
  <c r="L4071" i="1" s="1"/>
  <c r="J12977" i="1"/>
  <c r="L12977" i="1" s="1"/>
  <c r="J12978" i="1"/>
  <c r="L12978" i="1" s="1"/>
  <c r="J4075" i="1"/>
  <c r="L4075" i="1" s="1"/>
  <c r="J12994" i="1"/>
  <c r="L12994" i="1" s="1"/>
  <c r="J13044" i="1"/>
  <c r="L13044" i="1" s="1"/>
  <c r="J4178" i="1"/>
  <c r="L4178" i="1" s="1"/>
  <c r="J4179" i="1"/>
  <c r="L4179" i="1" s="1"/>
  <c r="J4180" i="1"/>
  <c r="L4180" i="1" s="1"/>
  <c r="J4181" i="1"/>
  <c r="L4181" i="1" s="1"/>
  <c r="J4182" i="1"/>
  <c r="L4182" i="1" s="1"/>
  <c r="J4183" i="1"/>
  <c r="L4183" i="1" s="1"/>
  <c r="J4184" i="1"/>
  <c r="L4184" i="1" s="1"/>
  <c r="J4185" i="1"/>
  <c r="L4185" i="1" s="1"/>
  <c r="J4186" i="1"/>
  <c r="L4186" i="1" s="1"/>
  <c r="J13143" i="1"/>
  <c r="L13143" i="1" s="1"/>
  <c r="J13330" i="1"/>
  <c r="L13330" i="1" s="1"/>
  <c r="J13333" i="1"/>
  <c r="L13333" i="1" s="1"/>
  <c r="J4299" i="1"/>
  <c r="L4299" i="1" s="1"/>
  <c r="J13407" i="1"/>
  <c r="L13407" i="1" s="1"/>
  <c r="J13422" i="1"/>
  <c r="L13422" i="1" s="1"/>
  <c r="J13423" i="1"/>
  <c r="L13423" i="1" s="1"/>
  <c r="J13424" i="1"/>
  <c r="L13424" i="1" s="1"/>
  <c r="J13478" i="1"/>
  <c r="L13478" i="1" s="1"/>
  <c r="J13511" i="1"/>
  <c r="L13511" i="1" s="1"/>
  <c r="J13538" i="1"/>
  <c r="L13538" i="1" s="1"/>
  <c r="J13708" i="1"/>
  <c r="L13708" i="1" s="1"/>
  <c r="J13728" i="1"/>
  <c r="L13728" i="1" s="1"/>
  <c r="J13729" i="1"/>
  <c r="L13729" i="1" s="1"/>
  <c r="J13747" i="1"/>
  <c r="L13747" i="1" s="1"/>
  <c r="J13748" i="1"/>
  <c r="L13748" i="1" s="1"/>
  <c r="J13749" i="1"/>
  <c r="L13749" i="1" s="1"/>
  <c r="J13772" i="1"/>
  <c r="L13772" i="1" s="1"/>
  <c r="J13773" i="1"/>
  <c r="L13773" i="1" s="1"/>
  <c r="J4556" i="1"/>
  <c r="L4556" i="1" s="1"/>
  <c r="J13847" i="1"/>
  <c r="L13847" i="1" s="1"/>
  <c r="J4567" i="1"/>
  <c r="L4567" i="1" s="1"/>
  <c r="J4590" i="1"/>
  <c r="L4590" i="1" s="1"/>
  <c r="J4591" i="1"/>
  <c r="L4591" i="1" s="1"/>
  <c r="J4594" i="1"/>
  <c r="L4594" i="1" s="1"/>
  <c r="J4617" i="1"/>
  <c r="L4617" i="1" s="1"/>
  <c r="J13886" i="1"/>
  <c r="L13886" i="1" s="1"/>
  <c r="J4624" i="1"/>
  <c r="L4624" i="1" s="1"/>
  <c r="J4630" i="1"/>
  <c r="L4630" i="1" s="1"/>
  <c r="J4687" i="1"/>
  <c r="L4687" i="1" s="1"/>
  <c r="J13920" i="1"/>
  <c r="L13920" i="1" s="1"/>
  <c r="J13955" i="1"/>
  <c r="L13955" i="1" s="1"/>
  <c r="J13978" i="1"/>
  <c r="L13978" i="1" s="1"/>
  <c r="J14182" i="1"/>
  <c r="L14182" i="1" s="1"/>
  <c r="J4827" i="1"/>
  <c r="L4827" i="1" s="1"/>
  <c r="J4828" i="1"/>
  <c r="L4828" i="1" s="1"/>
  <c r="J14204" i="1"/>
  <c r="L14204" i="1" s="1"/>
  <c r="J14205" i="1"/>
  <c r="L14205" i="1" s="1"/>
  <c r="J14206" i="1"/>
  <c r="L14206" i="1" s="1"/>
  <c r="J14207" i="1"/>
  <c r="L14207" i="1" s="1"/>
  <c r="J14230" i="1"/>
  <c r="L14230" i="1" s="1"/>
  <c r="J4855" i="1"/>
  <c r="L4855" i="1" s="1"/>
  <c r="J14251" i="1"/>
  <c r="L14251" i="1" s="1"/>
  <c r="J14252" i="1"/>
  <c r="L14252" i="1" s="1"/>
  <c r="J14340" i="1"/>
  <c r="L14340" i="1" s="1"/>
  <c r="J4915" i="1"/>
  <c r="L4915" i="1" s="1"/>
  <c r="J4920" i="1"/>
  <c r="L4920" i="1" s="1"/>
  <c r="J4921" i="1"/>
  <c r="L4921" i="1" s="1"/>
  <c r="J4922" i="1"/>
  <c r="L4922" i="1" s="1"/>
  <c r="J14496" i="1"/>
  <c r="L14496" i="1" s="1"/>
  <c r="J14497" i="1"/>
  <c r="L14497" i="1" s="1"/>
  <c r="J14501" i="1"/>
  <c r="L14501" i="1" s="1"/>
  <c r="J4944" i="1"/>
  <c r="L4944" i="1" s="1"/>
  <c r="J4952" i="1"/>
  <c r="L4952" i="1" s="1"/>
  <c r="J14514" i="1"/>
  <c r="L14514" i="1" s="1"/>
  <c r="J14515" i="1"/>
  <c r="L14515" i="1" s="1"/>
  <c r="J14516" i="1"/>
  <c r="L14516" i="1" s="1"/>
  <c r="J14517" i="1"/>
  <c r="L14517" i="1" s="1"/>
  <c r="J14518" i="1"/>
  <c r="L14518" i="1" s="1"/>
  <c r="J4968" i="1"/>
  <c r="L4968" i="1" s="1"/>
  <c r="J14553" i="1"/>
  <c r="L14553" i="1" s="1"/>
  <c r="J14554" i="1"/>
  <c r="L14554" i="1" s="1"/>
  <c r="J14555" i="1"/>
  <c r="L14555" i="1" s="1"/>
  <c r="J14556" i="1"/>
  <c r="L14556" i="1" s="1"/>
  <c r="J14557" i="1"/>
  <c r="L14557" i="1" s="1"/>
  <c r="J14590" i="1"/>
  <c r="L14590" i="1" s="1"/>
  <c r="J14591" i="1"/>
  <c r="L14591" i="1" s="1"/>
  <c r="J14592" i="1"/>
  <c r="L14592" i="1" s="1"/>
  <c r="J14593" i="1"/>
  <c r="L14593" i="1" s="1"/>
  <c r="J14594" i="1"/>
  <c r="L14594" i="1" s="1"/>
  <c r="J14595" i="1"/>
  <c r="L14595" i="1" s="1"/>
  <c r="J14596" i="1"/>
  <c r="L14596" i="1" s="1"/>
  <c r="J14681" i="1"/>
  <c r="L14681" i="1" s="1"/>
  <c r="J14682" i="1"/>
  <c r="L14682" i="1" s="1"/>
  <c r="J14706" i="1"/>
  <c r="L14706" i="1" s="1"/>
  <c r="J14730" i="1"/>
  <c r="L14730" i="1" s="1"/>
  <c r="J14859" i="1"/>
  <c r="L14859" i="1" s="1"/>
  <c r="J14868" i="1"/>
  <c r="L14868" i="1" s="1"/>
  <c r="J5022" i="1"/>
  <c r="L5022" i="1" s="1"/>
  <c r="J14899" i="1"/>
  <c r="L14899" i="1" s="1"/>
  <c r="J14900" i="1"/>
  <c r="L14900" i="1" s="1"/>
  <c r="J14901" i="1"/>
  <c r="L14901" i="1" s="1"/>
  <c r="J14902" i="1"/>
  <c r="L14902" i="1" s="1"/>
  <c r="J14903" i="1"/>
  <c r="L14903" i="1" s="1"/>
  <c r="J14904" i="1"/>
  <c r="L14904" i="1" s="1"/>
  <c r="J14905" i="1"/>
  <c r="L14905" i="1" s="1"/>
  <c r="J14906" i="1"/>
  <c r="L14906" i="1" s="1"/>
  <c r="J14925" i="1"/>
  <c r="L14925" i="1" s="1"/>
  <c r="J14926" i="1"/>
  <c r="L14926" i="1" s="1"/>
  <c r="J14927" i="1"/>
  <c r="L14927" i="1" s="1"/>
  <c r="J14928" i="1"/>
  <c r="L14928" i="1" s="1"/>
  <c r="J5036" i="1"/>
  <c r="L5036" i="1" s="1"/>
  <c r="J14938" i="1"/>
  <c r="L14938" i="1" s="1"/>
  <c r="J5072" i="1"/>
  <c r="L5072" i="1" s="1"/>
  <c r="J5077" i="1"/>
  <c r="L5077" i="1" s="1"/>
  <c r="J14978" i="1"/>
  <c r="L14978" i="1" s="1"/>
  <c r="J5117" i="1"/>
  <c r="L5117" i="1" s="1"/>
  <c r="J15029" i="1"/>
  <c r="L15029" i="1" s="1"/>
  <c r="J5234" i="1"/>
  <c r="L5234" i="1" s="1"/>
  <c r="J5286" i="1"/>
  <c r="L5286" i="1" s="1"/>
  <c r="J5350" i="1"/>
  <c r="L5350" i="1" s="1"/>
  <c r="J15102" i="1"/>
  <c r="L15102" i="1" s="1"/>
  <c r="J5366" i="1"/>
  <c r="L5366" i="1" s="1"/>
  <c r="J15103" i="1"/>
  <c r="L15103" i="1" s="1"/>
  <c r="J15104" i="1"/>
  <c r="L15104" i="1" s="1"/>
  <c r="J5375" i="1"/>
  <c r="L5375" i="1" s="1"/>
  <c r="J5378" i="1"/>
  <c r="L5378" i="1" s="1"/>
  <c r="J15127" i="1"/>
  <c r="L15127" i="1" s="1"/>
  <c r="J15128" i="1"/>
  <c r="L15128" i="1" s="1"/>
  <c r="J15129" i="1"/>
  <c r="L15129" i="1" s="1"/>
  <c r="J15169" i="1"/>
  <c r="L15169" i="1" s="1"/>
  <c r="J15270" i="1"/>
  <c r="L15270" i="1" s="1"/>
  <c r="J15291" i="1"/>
  <c r="L15291" i="1" s="1"/>
  <c r="J5536" i="1"/>
  <c r="L5536" i="1" s="1"/>
  <c r="J5545" i="1"/>
  <c r="L5545" i="1" s="1"/>
  <c r="J5547" i="1"/>
  <c r="L5547" i="1" s="1"/>
  <c r="J5557" i="1"/>
  <c r="L5557" i="1" s="1"/>
  <c r="J5558" i="1"/>
  <c r="L5558" i="1" s="1"/>
  <c r="J5559" i="1"/>
  <c r="L5559" i="1" s="1"/>
  <c r="J5560" i="1"/>
  <c r="L5560" i="1" s="1"/>
  <c r="J5561" i="1"/>
  <c r="L5561" i="1" s="1"/>
  <c r="J5569" i="1"/>
  <c r="L5569" i="1" s="1"/>
  <c r="J5573" i="1"/>
  <c r="L5573" i="1" s="1"/>
  <c r="J15386" i="1"/>
  <c r="L15386" i="1" s="1"/>
  <c r="J15387" i="1"/>
  <c r="L15387" i="1" s="1"/>
  <c r="J15388" i="1"/>
  <c r="L15388" i="1" s="1"/>
  <c r="J15399" i="1"/>
  <c r="L15399" i="1" s="1"/>
  <c r="J15400" i="1"/>
  <c r="L15400" i="1" s="1"/>
  <c r="J15401" i="1"/>
  <c r="L15401" i="1" s="1"/>
  <c r="J15402" i="1"/>
  <c r="L15402" i="1" s="1"/>
  <c r="J15441" i="1"/>
  <c r="L15441" i="1" s="1"/>
  <c r="J15527" i="1"/>
  <c r="L15527" i="1" s="1"/>
  <c r="J15529" i="1"/>
  <c r="L15529" i="1" s="1"/>
  <c r="J15549" i="1"/>
  <c r="L15549" i="1" s="1"/>
  <c r="J15555" i="1"/>
  <c r="L15555" i="1" s="1"/>
  <c r="J15564" i="1"/>
  <c r="L15564" i="1" s="1"/>
  <c r="J5703" i="1"/>
  <c r="L5703" i="1" s="1"/>
  <c r="J15664" i="1"/>
  <c r="L15664" i="1" s="1"/>
  <c r="J5817" i="1"/>
  <c r="L5817" i="1" s="1"/>
  <c r="J15688" i="1"/>
  <c r="L15688" i="1" s="1"/>
  <c r="J15749" i="1"/>
  <c r="L15749" i="1" s="1"/>
  <c r="J15765" i="1"/>
  <c r="L15765" i="1" s="1"/>
  <c r="J15832" i="1"/>
  <c r="L15832" i="1" s="1"/>
  <c r="J6124" i="1"/>
  <c r="L6124" i="1" s="1"/>
  <c r="J15906" i="1"/>
  <c r="L15906" i="1" s="1"/>
  <c r="J6157" i="1"/>
  <c r="L6157" i="1" s="1"/>
  <c r="J15945" i="1"/>
  <c r="L15945" i="1" s="1"/>
  <c r="J15946" i="1"/>
  <c r="L15946" i="1" s="1"/>
  <c r="J15947" i="1"/>
  <c r="L15947" i="1" s="1"/>
  <c r="J6175" i="1"/>
  <c r="L6175" i="1" s="1"/>
  <c r="J6195" i="1"/>
  <c r="L6195" i="1" s="1"/>
  <c r="J6196" i="1"/>
  <c r="L6196" i="1" s="1"/>
  <c r="J16108" i="1"/>
  <c r="L16108" i="1" s="1"/>
  <c r="J6251" i="1"/>
  <c r="L6251" i="1" s="1"/>
  <c r="J16126" i="1"/>
  <c r="L16126" i="1" s="1"/>
  <c r="J16127" i="1"/>
  <c r="L16127" i="1" s="1"/>
  <c r="J16133" i="1"/>
  <c r="L16133" i="1" s="1"/>
  <c r="J16134" i="1"/>
  <c r="L16134" i="1" s="1"/>
  <c r="J6332" i="1"/>
  <c r="L6332" i="1" s="1"/>
  <c r="J6347" i="1"/>
  <c r="L6347" i="1" s="1"/>
  <c r="J6362" i="1"/>
  <c r="L6362" i="1" s="1"/>
  <c r="J6363" i="1"/>
  <c r="L6363" i="1" s="1"/>
  <c r="J6365" i="1"/>
  <c r="L6365" i="1" s="1"/>
  <c r="J6375" i="1"/>
  <c r="L6375" i="1" s="1"/>
  <c r="J16175" i="1"/>
  <c r="L16175" i="1" s="1"/>
  <c r="J16195" i="1"/>
  <c r="L16195" i="1" s="1"/>
  <c r="J16196" i="1"/>
  <c r="L16196" i="1" s="1"/>
  <c r="J16197" i="1"/>
  <c r="L16197" i="1" s="1"/>
  <c r="J16220" i="1"/>
  <c r="L16220" i="1" s="1"/>
  <c r="J16267" i="1"/>
  <c r="L16267" i="1" s="1"/>
  <c r="J16268" i="1"/>
  <c r="L16268" i="1" s="1"/>
  <c r="J16282" i="1"/>
  <c r="L16282" i="1" s="1"/>
  <c r="J16286" i="1"/>
  <c r="L16286" i="1" s="1"/>
  <c r="J16294" i="1"/>
  <c r="L16294" i="1" s="1"/>
  <c r="J16295" i="1"/>
  <c r="L16295" i="1" s="1"/>
  <c r="J16296" i="1"/>
  <c r="L16296" i="1" s="1"/>
  <c r="J16297" i="1"/>
  <c r="L16297" i="1" s="1"/>
  <c r="J16298" i="1"/>
  <c r="L16298" i="1" s="1"/>
  <c r="J16301" i="1"/>
  <c r="L16301" i="1" s="1"/>
  <c r="J16305" i="1"/>
  <c r="L16305" i="1" s="1"/>
  <c r="J16306" i="1"/>
  <c r="L16306" i="1" s="1"/>
  <c r="J16309" i="1"/>
  <c r="L16309" i="1" s="1"/>
  <c r="J6430" i="1"/>
  <c r="L6430" i="1" s="1"/>
  <c r="J6431" i="1"/>
  <c r="L6431" i="1" s="1"/>
  <c r="J6432" i="1"/>
  <c r="L6432" i="1" s="1"/>
  <c r="J16330" i="1"/>
  <c r="L16330" i="1" s="1"/>
  <c r="J6453" i="1"/>
  <c r="L6453" i="1" s="1"/>
  <c r="J6459" i="1"/>
  <c r="L6459" i="1" s="1"/>
  <c r="J6460" i="1"/>
  <c r="L6460" i="1" s="1"/>
  <c r="J6461" i="1"/>
  <c r="L6461" i="1" s="1"/>
  <c r="J16340" i="1"/>
  <c r="L16340" i="1" s="1"/>
  <c r="J16341" i="1"/>
  <c r="L16341" i="1" s="1"/>
  <c r="J16342" i="1"/>
  <c r="L16342" i="1" s="1"/>
  <c r="J16343" i="1"/>
  <c r="L16343" i="1" s="1"/>
  <c r="J6489" i="1"/>
  <c r="L6489" i="1" s="1"/>
  <c r="J16392" i="1"/>
  <c r="L16392" i="1" s="1"/>
  <c r="J6495" i="1"/>
  <c r="L6495" i="1" s="1"/>
  <c r="J6498" i="1"/>
  <c r="L6498" i="1" s="1"/>
  <c r="J6579" i="1"/>
  <c r="L6579" i="1" s="1"/>
  <c r="J6580" i="1"/>
  <c r="L6580" i="1" s="1"/>
  <c r="J16505" i="1"/>
  <c r="L16505" i="1" s="1"/>
  <c r="J16526" i="1"/>
  <c r="L16526" i="1" s="1"/>
  <c r="J16528" i="1"/>
  <c r="L16528" i="1" s="1"/>
  <c r="J6638" i="1"/>
  <c r="L6638" i="1" s="1"/>
  <c r="J16702" i="1"/>
  <c r="L16702" i="1" s="1"/>
  <c r="J6699" i="1"/>
  <c r="L6699" i="1" s="1"/>
  <c r="J6706" i="1"/>
  <c r="L6706" i="1" s="1"/>
  <c r="J16760" i="1"/>
  <c r="L16760" i="1" s="1"/>
  <c r="J16761" i="1"/>
  <c r="L16761" i="1" s="1"/>
  <c r="J16762" i="1"/>
  <c r="L16762" i="1" s="1"/>
  <c r="J16763" i="1"/>
  <c r="L16763" i="1" s="1"/>
  <c r="J16776" i="1"/>
  <c r="L16776" i="1" s="1"/>
  <c r="J16777" i="1"/>
  <c r="L16777" i="1" s="1"/>
  <c r="J16778" i="1"/>
  <c r="L16778" i="1" s="1"/>
  <c r="J16779" i="1"/>
  <c r="L16779" i="1" s="1"/>
  <c r="J16780" i="1"/>
  <c r="L16780" i="1" s="1"/>
  <c r="J16781" i="1"/>
  <c r="L16781" i="1" s="1"/>
  <c r="J16861" i="1"/>
  <c r="L16861" i="1" s="1"/>
  <c r="J6779" i="1"/>
  <c r="L6779" i="1" s="1"/>
  <c r="J6802" i="1"/>
  <c r="L6802" i="1" s="1"/>
  <c r="J6804" i="1"/>
  <c r="L6804" i="1" s="1"/>
  <c r="J16964" i="1"/>
  <c r="L16964" i="1" s="1"/>
  <c r="J6821" i="1"/>
  <c r="L6821" i="1" s="1"/>
  <c r="J17090" i="1"/>
  <c r="L17090" i="1" s="1"/>
  <c r="J6844" i="1"/>
  <c r="L6844" i="1" s="1"/>
  <c r="J6848" i="1"/>
  <c r="L6848" i="1" s="1"/>
  <c r="J17104" i="1"/>
  <c r="L17104" i="1" s="1"/>
  <c r="J17112" i="1"/>
  <c r="L17112" i="1" s="1"/>
  <c r="J6956" i="1"/>
  <c r="L6956" i="1" s="1"/>
  <c r="J17142" i="1"/>
  <c r="L17142" i="1" s="1"/>
  <c r="J17158" i="1"/>
  <c r="L17158" i="1" s="1"/>
  <c r="J6976" i="1"/>
  <c r="L6976" i="1" s="1"/>
  <c r="J6978" i="1"/>
  <c r="L6978" i="1" s="1"/>
  <c r="J17175" i="1"/>
  <c r="L17175" i="1" s="1"/>
  <c r="J17178" i="1"/>
  <c r="L17178" i="1" s="1"/>
  <c r="J7074" i="1"/>
  <c r="L7074" i="1" s="1"/>
  <c r="J17211" i="1"/>
  <c r="L17211" i="1" s="1"/>
  <c r="J17228" i="1"/>
  <c r="L17228" i="1" s="1"/>
  <c r="J7117" i="1"/>
  <c r="L7117" i="1" s="1"/>
  <c r="J7118" i="1"/>
  <c r="L7118" i="1" s="1"/>
  <c r="J7121" i="1"/>
  <c r="L7121" i="1" s="1"/>
  <c r="J7124" i="1"/>
  <c r="L7124" i="1" s="1"/>
  <c r="J7126" i="1"/>
  <c r="L7126" i="1" s="1"/>
  <c r="J17272" i="1"/>
  <c r="L17272" i="1" s="1"/>
  <c r="J17275" i="1"/>
  <c r="L17275" i="1" s="1"/>
  <c r="J17278" i="1"/>
  <c r="L17278" i="1" s="1"/>
  <c r="J7275" i="1"/>
  <c r="L7275" i="1" s="1"/>
  <c r="J7278" i="1"/>
  <c r="L7278" i="1" s="1"/>
  <c r="J36" i="1"/>
  <c r="L36" i="1" s="1"/>
  <c r="J7437" i="1"/>
  <c r="L7437" i="1" s="1"/>
  <c r="J7557" i="1"/>
  <c r="L7557" i="1" s="1"/>
  <c r="J7558" i="1"/>
  <c r="L7558" i="1" s="1"/>
  <c r="J7559" i="1"/>
  <c r="L7559" i="1" s="1"/>
  <c r="J7598" i="1"/>
  <c r="L7598" i="1" s="1"/>
  <c r="J111" i="1"/>
  <c r="L111" i="1" s="1"/>
  <c r="J141" i="1"/>
  <c r="L141" i="1" s="1"/>
  <c r="J7603" i="1"/>
  <c r="L7603" i="1" s="1"/>
  <c r="J7615" i="1"/>
  <c r="L7615" i="1" s="1"/>
  <c r="J7686" i="1"/>
  <c r="L7686" i="1" s="1"/>
  <c r="J181" i="1"/>
  <c r="L181" i="1" s="1"/>
  <c r="J191" i="1"/>
  <c r="L191" i="1" s="1"/>
  <c r="J192" i="1"/>
  <c r="L192" i="1" s="1"/>
  <c r="J198" i="1"/>
  <c r="L198" i="1" s="1"/>
  <c r="J7874" i="1"/>
  <c r="L7874" i="1" s="1"/>
  <c r="J7909" i="1"/>
  <c r="L7909" i="1" s="1"/>
  <c r="J7943" i="1"/>
  <c r="L7943" i="1" s="1"/>
  <c r="J7944" i="1"/>
  <c r="L7944" i="1" s="1"/>
  <c r="J7945" i="1"/>
  <c r="L7945" i="1" s="1"/>
  <c r="J244" i="1"/>
  <c r="L244" i="1" s="1"/>
  <c r="J8025" i="1"/>
  <c r="L8025" i="1" s="1"/>
  <c r="J8048" i="1"/>
  <c r="L8048" i="1" s="1"/>
  <c r="J8091" i="1"/>
  <c r="L8091" i="1" s="1"/>
  <c r="J8092" i="1"/>
  <c r="L8092" i="1" s="1"/>
  <c r="J8224" i="1"/>
  <c r="L8224" i="1" s="1"/>
  <c r="J8225" i="1"/>
  <c r="L8225" i="1" s="1"/>
  <c r="J8233" i="1"/>
  <c r="L8233" i="1" s="1"/>
  <c r="J8234" i="1"/>
  <c r="L8234" i="1" s="1"/>
  <c r="J8235" i="1"/>
  <c r="L8235" i="1" s="1"/>
  <c r="J8261" i="1"/>
  <c r="L8261" i="1" s="1"/>
  <c r="J8262" i="1"/>
  <c r="L8262" i="1" s="1"/>
  <c r="J8263" i="1"/>
  <c r="L8263" i="1" s="1"/>
  <c r="J8264" i="1"/>
  <c r="L8264" i="1" s="1"/>
  <c r="J8282" i="1"/>
  <c r="L8282" i="1" s="1"/>
  <c r="J8283" i="1"/>
  <c r="L8283" i="1" s="1"/>
  <c r="J312" i="1"/>
  <c r="L312" i="1" s="1"/>
  <c r="J349" i="1"/>
  <c r="L349" i="1" s="1"/>
  <c r="J8341" i="1"/>
  <c r="L8341" i="1" s="1"/>
  <c r="J8342" i="1"/>
  <c r="L8342" i="1" s="1"/>
  <c r="J8358" i="1"/>
  <c r="L8358" i="1" s="1"/>
  <c r="J509" i="1"/>
  <c r="L509" i="1" s="1"/>
  <c r="J8392" i="1"/>
  <c r="L8392" i="1" s="1"/>
  <c r="J573" i="1"/>
  <c r="L573" i="1" s="1"/>
  <c r="J602" i="1"/>
  <c r="L602" i="1" s="1"/>
  <c r="J603" i="1"/>
  <c r="L603" i="1" s="1"/>
  <c r="J604" i="1"/>
  <c r="L604" i="1" s="1"/>
  <c r="J614" i="1"/>
  <c r="L614" i="1" s="1"/>
  <c r="J632" i="1"/>
  <c r="L632" i="1" s="1"/>
  <c r="J8469" i="1"/>
  <c r="L8469" i="1" s="1"/>
  <c r="J8470" i="1"/>
  <c r="L8470" i="1" s="1"/>
  <c r="J8483" i="1"/>
  <c r="L8483" i="1" s="1"/>
  <c r="J8484" i="1"/>
  <c r="L8484" i="1" s="1"/>
  <c r="J8485" i="1"/>
  <c r="L8485" i="1" s="1"/>
  <c r="J8486" i="1"/>
  <c r="L8486" i="1" s="1"/>
  <c r="J8532" i="1"/>
  <c r="L8532" i="1" s="1"/>
  <c r="J8590" i="1"/>
  <c r="L8590" i="1" s="1"/>
  <c r="J768" i="1"/>
  <c r="L768" i="1" s="1"/>
  <c r="J8644" i="1"/>
  <c r="L8644" i="1" s="1"/>
  <c r="J797" i="1"/>
  <c r="L797" i="1" s="1"/>
  <c r="J798" i="1"/>
  <c r="L798" i="1" s="1"/>
  <c r="J799" i="1"/>
  <c r="L799" i="1" s="1"/>
  <c r="J800" i="1"/>
  <c r="L800" i="1" s="1"/>
  <c r="J801" i="1"/>
  <c r="L801" i="1" s="1"/>
  <c r="J802" i="1"/>
  <c r="L802" i="1" s="1"/>
  <c r="J8742" i="1"/>
  <c r="L8742" i="1" s="1"/>
  <c r="J8743" i="1"/>
  <c r="L8743" i="1" s="1"/>
  <c r="J8744" i="1"/>
  <c r="L8744" i="1" s="1"/>
  <c r="J8749" i="1"/>
  <c r="L8749" i="1" s="1"/>
  <c r="J8750" i="1"/>
  <c r="L8750" i="1" s="1"/>
  <c r="J8751" i="1"/>
  <c r="L8751" i="1" s="1"/>
  <c r="J9033" i="1"/>
  <c r="L9033" i="1" s="1"/>
  <c r="J9050" i="1"/>
  <c r="L9050" i="1" s="1"/>
  <c r="J1057" i="1"/>
  <c r="L1057" i="1" s="1"/>
  <c r="J9072" i="1"/>
  <c r="L9072" i="1" s="1"/>
  <c r="J9097" i="1"/>
  <c r="L9097" i="1" s="1"/>
  <c r="J1118" i="1"/>
  <c r="L1118" i="1" s="1"/>
  <c r="J9145" i="1"/>
  <c r="L9145" i="1" s="1"/>
  <c r="J1168" i="1"/>
  <c r="L1168" i="1" s="1"/>
  <c r="J9189" i="1"/>
  <c r="L9189" i="1" s="1"/>
  <c r="J9190" i="1"/>
  <c r="L9190" i="1" s="1"/>
  <c r="J9204" i="1"/>
  <c r="L9204" i="1" s="1"/>
  <c r="J9241" i="1"/>
  <c r="L9241" i="1" s="1"/>
  <c r="J9283" i="1"/>
  <c r="L9283" i="1" s="1"/>
  <c r="J9315" i="1"/>
  <c r="L9315" i="1" s="1"/>
  <c r="J1425" i="1"/>
  <c r="L1425" i="1" s="1"/>
  <c r="J1436" i="1"/>
  <c r="L1436" i="1" s="1"/>
  <c r="J1458" i="1"/>
  <c r="L1458" i="1" s="1"/>
  <c r="J9484" i="1"/>
  <c r="L9484" i="1" s="1"/>
  <c r="J1476" i="1"/>
  <c r="L1476" i="1" s="1"/>
  <c r="J1617" i="1"/>
  <c r="L1617" i="1" s="1"/>
  <c r="J1628" i="1"/>
  <c r="L1628" i="1" s="1"/>
  <c r="J1645" i="1"/>
  <c r="L1645" i="1" s="1"/>
  <c r="J1648" i="1"/>
  <c r="L1648" i="1" s="1"/>
  <c r="J1649" i="1"/>
  <c r="L1649" i="1" s="1"/>
  <c r="J1680" i="1"/>
  <c r="L1680" i="1" s="1"/>
  <c r="J1682" i="1"/>
  <c r="L1682" i="1" s="1"/>
  <c r="J9597" i="1"/>
  <c r="L9597" i="1" s="1"/>
  <c r="J9598" i="1"/>
  <c r="L9598" i="1" s="1"/>
  <c r="J9613" i="1"/>
  <c r="L9613" i="1" s="1"/>
  <c r="J9614" i="1"/>
  <c r="L9614" i="1" s="1"/>
  <c r="J9619" i="1"/>
  <c r="L9619" i="1" s="1"/>
  <c r="J9625" i="1"/>
  <c r="L9625" i="1" s="1"/>
  <c r="J9642" i="1"/>
  <c r="L9642" i="1" s="1"/>
  <c r="J9658" i="1"/>
  <c r="L9658" i="1" s="1"/>
  <c r="J1708" i="1"/>
  <c r="L1708" i="1" s="1"/>
  <c r="J1719" i="1"/>
  <c r="L1719" i="1" s="1"/>
  <c r="J1722" i="1"/>
  <c r="L1722" i="1" s="1"/>
  <c r="J1724" i="1"/>
  <c r="L1724" i="1" s="1"/>
  <c r="J1733" i="1"/>
  <c r="L1733" i="1" s="1"/>
  <c r="J1735" i="1"/>
  <c r="L1735" i="1" s="1"/>
  <c r="J1739" i="1"/>
  <c r="L1739" i="1" s="1"/>
  <c r="J1744" i="1"/>
  <c r="L1744" i="1" s="1"/>
  <c r="J1766" i="1"/>
  <c r="L1766" i="1" s="1"/>
  <c r="J9703" i="1"/>
  <c r="L9703" i="1" s="1"/>
  <c r="J1773" i="1"/>
  <c r="L1773" i="1" s="1"/>
  <c r="J1784" i="1"/>
  <c r="L1784" i="1" s="1"/>
  <c r="J1872" i="1"/>
  <c r="L1872" i="1" s="1"/>
  <c r="J1873" i="1"/>
  <c r="L1873" i="1" s="1"/>
  <c r="J1874" i="1"/>
  <c r="L1874" i="1" s="1"/>
  <c r="J1875" i="1"/>
  <c r="L1875" i="1" s="1"/>
  <c r="J9821" i="1"/>
  <c r="L9821" i="1" s="1"/>
  <c r="J9987" i="1"/>
  <c r="L9987" i="1" s="1"/>
  <c r="J10005" i="1"/>
  <c r="L10005" i="1" s="1"/>
  <c r="J10034" i="1"/>
  <c r="L10034" i="1" s="1"/>
  <c r="J2002" i="1"/>
  <c r="L2002" i="1" s="1"/>
  <c r="J2016" i="1"/>
  <c r="L2016" i="1" s="1"/>
  <c r="J2018" i="1"/>
  <c r="L2018" i="1" s="1"/>
  <c r="J2030" i="1"/>
  <c r="L2030" i="1" s="1"/>
  <c r="J10116" i="1"/>
  <c r="L10116" i="1" s="1"/>
  <c r="J2074" i="1"/>
  <c r="L2074" i="1" s="1"/>
  <c r="J2082" i="1"/>
  <c r="L2082" i="1" s="1"/>
  <c r="J2092" i="1"/>
  <c r="L2092" i="1" s="1"/>
  <c r="J10191" i="1"/>
  <c r="L10191" i="1" s="1"/>
  <c r="J2106" i="1"/>
  <c r="L2106" i="1" s="1"/>
  <c r="J10262" i="1"/>
  <c r="L10262" i="1" s="1"/>
  <c r="J10263" i="1"/>
  <c r="L10263" i="1" s="1"/>
  <c r="J10264" i="1"/>
  <c r="L10264" i="1" s="1"/>
  <c r="J10267" i="1"/>
  <c r="L10267" i="1" s="1"/>
  <c r="J10270" i="1"/>
  <c r="L10270" i="1" s="1"/>
  <c r="J10284" i="1"/>
  <c r="L10284" i="1" s="1"/>
  <c r="J10314" i="1"/>
  <c r="L10314" i="1" s="1"/>
  <c r="J10315" i="1"/>
  <c r="L10315" i="1" s="1"/>
  <c r="J2239" i="1"/>
  <c r="L2239" i="1" s="1"/>
  <c r="J10352" i="1"/>
  <c r="L10352" i="1" s="1"/>
  <c r="J10367" i="1"/>
  <c r="L10367" i="1" s="1"/>
  <c r="J10398" i="1"/>
  <c r="L10398" i="1" s="1"/>
  <c r="J2359" i="1"/>
  <c r="L2359" i="1" s="1"/>
  <c r="J2368" i="1"/>
  <c r="L2368" i="1" s="1"/>
  <c r="J10457" i="1"/>
  <c r="L10457" i="1" s="1"/>
  <c r="J10458" i="1"/>
  <c r="L10458" i="1" s="1"/>
  <c r="J10461" i="1"/>
  <c r="L10461" i="1" s="1"/>
  <c r="J10465" i="1"/>
  <c r="L10465" i="1" s="1"/>
  <c r="J2417" i="1"/>
  <c r="L2417" i="1" s="1"/>
  <c r="J2418" i="1"/>
  <c r="L2418" i="1" s="1"/>
  <c r="J2430" i="1"/>
  <c r="L2430" i="1" s="1"/>
  <c r="J2555" i="1"/>
  <c r="L2555" i="1" s="1"/>
  <c r="J2564" i="1"/>
  <c r="L2564" i="1" s="1"/>
  <c r="J2583" i="1"/>
  <c r="L2583" i="1" s="1"/>
  <c r="J10789" i="1"/>
  <c r="L10789" i="1" s="1"/>
  <c r="J10790" i="1"/>
  <c r="L10790" i="1" s="1"/>
  <c r="J2673" i="1"/>
  <c r="L2673" i="1" s="1"/>
  <c r="J2682" i="1"/>
  <c r="L2682" i="1" s="1"/>
  <c r="J2684" i="1"/>
  <c r="L2684" i="1" s="1"/>
  <c r="J2687" i="1"/>
  <c r="L2687" i="1" s="1"/>
  <c r="J10820" i="1"/>
  <c r="L10820" i="1" s="1"/>
  <c r="J10830" i="1"/>
  <c r="L10830" i="1" s="1"/>
  <c r="J10922" i="1"/>
  <c r="L10922" i="1" s="1"/>
  <c r="J10970" i="1"/>
  <c r="L10970" i="1" s="1"/>
  <c r="J2725" i="1"/>
  <c r="L2725" i="1" s="1"/>
  <c r="J2726" i="1"/>
  <c r="L2726" i="1" s="1"/>
  <c r="J2727" i="1"/>
  <c r="L2727" i="1" s="1"/>
  <c r="J11049" i="1"/>
  <c r="L11049" i="1" s="1"/>
  <c r="J11066" i="1"/>
  <c r="L11066" i="1" s="1"/>
  <c r="J11084" i="1"/>
  <c r="L11084" i="1" s="1"/>
  <c r="J11120" i="1"/>
  <c r="L11120" i="1" s="1"/>
  <c r="J11121" i="1"/>
  <c r="L11121" i="1" s="1"/>
  <c r="J11122" i="1"/>
  <c r="L11122" i="1" s="1"/>
  <c r="J11161" i="1"/>
  <c r="L11161" i="1" s="1"/>
  <c r="J11162" i="1"/>
  <c r="L11162" i="1" s="1"/>
  <c r="J11163" i="1"/>
  <c r="L11163" i="1" s="1"/>
  <c r="J11164" i="1"/>
  <c r="L11164" i="1" s="1"/>
  <c r="J11249" i="1"/>
  <c r="L11249" i="1" s="1"/>
  <c r="J11263" i="1"/>
  <c r="L11263" i="1" s="1"/>
  <c r="J11268" i="1"/>
  <c r="L11268" i="1" s="1"/>
  <c r="J2781" i="1"/>
  <c r="L2781" i="1" s="1"/>
  <c r="J11294" i="1"/>
  <c r="L11294" i="1" s="1"/>
  <c r="J11412" i="1"/>
  <c r="L11412" i="1" s="1"/>
  <c r="J2809" i="1"/>
  <c r="L2809" i="1" s="1"/>
  <c r="J2816" i="1"/>
  <c r="L2816" i="1" s="1"/>
  <c r="J11446" i="1"/>
  <c r="L11446" i="1" s="1"/>
  <c r="J11475" i="1"/>
  <c r="L11475" i="1" s="1"/>
  <c r="J11476" i="1"/>
  <c r="L11476" i="1" s="1"/>
  <c r="J11477" i="1"/>
  <c r="L11477" i="1" s="1"/>
  <c r="J11478" i="1"/>
  <c r="L11478" i="1" s="1"/>
  <c r="J2827" i="1"/>
  <c r="L2827" i="1" s="1"/>
  <c r="J2868" i="1"/>
  <c r="L2868" i="1" s="1"/>
  <c r="J11529" i="1"/>
  <c r="L11529" i="1" s="1"/>
  <c r="J11542" i="1"/>
  <c r="L11542" i="1" s="1"/>
  <c r="J2902" i="1"/>
  <c r="L2902" i="1" s="1"/>
  <c r="J2906" i="1"/>
  <c r="L2906" i="1" s="1"/>
  <c r="J2910" i="1"/>
  <c r="L2910" i="1" s="1"/>
  <c r="J3007" i="1"/>
  <c r="L3007" i="1" s="1"/>
  <c r="J3010" i="1"/>
  <c r="L3010" i="1" s="1"/>
  <c r="J11614" i="1"/>
  <c r="L11614" i="1" s="1"/>
  <c r="J3075" i="1"/>
  <c r="L3075" i="1" s="1"/>
  <c r="J3103" i="1"/>
  <c r="L3103" i="1" s="1"/>
  <c r="J11680" i="1"/>
  <c r="L11680" i="1" s="1"/>
  <c r="J11681" i="1"/>
  <c r="L11681" i="1" s="1"/>
  <c r="J3123" i="1"/>
  <c r="L3123" i="1" s="1"/>
  <c r="J11706" i="1"/>
  <c r="L11706" i="1" s="1"/>
  <c r="J11760" i="1"/>
  <c r="L11760" i="1" s="1"/>
  <c r="J3179" i="1"/>
  <c r="L3179" i="1" s="1"/>
  <c r="J11816" i="1"/>
  <c r="L11816" i="1" s="1"/>
  <c r="J3200" i="1"/>
  <c r="L3200" i="1" s="1"/>
  <c r="J3242" i="1"/>
  <c r="L3242" i="1" s="1"/>
  <c r="J11876" i="1"/>
  <c r="L11876" i="1" s="1"/>
  <c r="J3270" i="1"/>
  <c r="L3270" i="1" s="1"/>
  <c r="J3271" i="1"/>
  <c r="L3271" i="1" s="1"/>
  <c r="J3272" i="1"/>
  <c r="L3272" i="1" s="1"/>
  <c r="J3281" i="1"/>
  <c r="L3281" i="1" s="1"/>
  <c r="J11985" i="1"/>
  <c r="L11985" i="1" s="1"/>
  <c r="J11986" i="1"/>
  <c r="L11986" i="1" s="1"/>
  <c r="J11987" i="1"/>
  <c r="L11987" i="1" s="1"/>
  <c r="J11988" i="1"/>
  <c r="L11988" i="1" s="1"/>
  <c r="J12066" i="1"/>
  <c r="L12066" i="1" s="1"/>
  <c r="J12182" i="1"/>
  <c r="L12182" i="1" s="1"/>
  <c r="J12227" i="1"/>
  <c r="L12227" i="1" s="1"/>
  <c r="J3534" i="1"/>
  <c r="L3534" i="1" s="1"/>
  <c r="J12372" i="1"/>
  <c r="L12372" i="1" s="1"/>
  <c r="J12458" i="1"/>
  <c r="L12458" i="1" s="1"/>
  <c r="J3577" i="1"/>
  <c r="L3577" i="1" s="1"/>
  <c r="J3578" i="1"/>
  <c r="L3578" i="1" s="1"/>
  <c r="J12459" i="1"/>
  <c r="L12459" i="1" s="1"/>
  <c r="J12526" i="1"/>
  <c r="L12526" i="1" s="1"/>
  <c r="J3779" i="1"/>
  <c r="L3779" i="1" s="1"/>
  <c r="J3797" i="1"/>
  <c r="L3797" i="1" s="1"/>
  <c r="J12576" i="1"/>
  <c r="L12576" i="1" s="1"/>
  <c r="J12722" i="1"/>
  <c r="L12722" i="1" s="1"/>
  <c r="J12735" i="1"/>
  <c r="L12735" i="1" s="1"/>
  <c r="J3805" i="1"/>
  <c r="L3805" i="1" s="1"/>
  <c r="J12746" i="1"/>
  <c r="L12746" i="1" s="1"/>
  <c r="J3825" i="1"/>
  <c r="L3825" i="1" s="1"/>
  <c r="J3835" i="1"/>
  <c r="L3835" i="1" s="1"/>
  <c r="J3854" i="1"/>
  <c r="L3854" i="1" s="1"/>
  <c r="J12774" i="1"/>
  <c r="L12774" i="1" s="1"/>
  <c r="J3979" i="1"/>
  <c r="L3979" i="1" s="1"/>
  <c r="J4012" i="1"/>
  <c r="L4012" i="1" s="1"/>
  <c r="J12814" i="1"/>
  <c r="L12814" i="1" s="1"/>
  <c r="J4030" i="1"/>
  <c r="L4030" i="1" s="1"/>
  <c r="J12837" i="1"/>
  <c r="L12837" i="1" s="1"/>
  <c r="J12879" i="1"/>
  <c r="L12879" i="1" s="1"/>
  <c r="J12880" i="1"/>
  <c r="L12880" i="1" s="1"/>
  <c r="J12881" i="1"/>
  <c r="L12881" i="1" s="1"/>
  <c r="J12882" i="1"/>
  <c r="L12882" i="1" s="1"/>
  <c r="J12883" i="1"/>
  <c r="L12883" i="1" s="1"/>
  <c r="J12884" i="1"/>
  <c r="L12884" i="1" s="1"/>
  <c r="J12885" i="1"/>
  <c r="L12885" i="1" s="1"/>
  <c r="J4043" i="1"/>
  <c r="L4043" i="1" s="1"/>
  <c r="J4051" i="1"/>
  <c r="L4051" i="1" s="1"/>
  <c r="J4054" i="1"/>
  <c r="L4054" i="1" s="1"/>
  <c r="J4055" i="1"/>
  <c r="L4055" i="1" s="1"/>
  <c r="J4062" i="1"/>
  <c r="L4062" i="1" s="1"/>
  <c r="J4064" i="1"/>
  <c r="L4064" i="1" s="1"/>
  <c r="J4068" i="1"/>
  <c r="L4068" i="1" s="1"/>
  <c r="J12976" i="1"/>
  <c r="L12976" i="1" s="1"/>
  <c r="J4101" i="1"/>
  <c r="L4101" i="1" s="1"/>
  <c r="J4105" i="1"/>
  <c r="L4105" i="1" s="1"/>
  <c r="J4106" i="1"/>
  <c r="L4106" i="1" s="1"/>
  <c r="J4162" i="1"/>
  <c r="L4162" i="1" s="1"/>
  <c r="J4174" i="1"/>
  <c r="L4174" i="1" s="1"/>
  <c r="J4175" i="1"/>
  <c r="L4175" i="1" s="1"/>
  <c r="J4176" i="1"/>
  <c r="L4176" i="1" s="1"/>
  <c r="J4177" i="1"/>
  <c r="L4177" i="1" s="1"/>
  <c r="J4206" i="1"/>
  <c r="L4206" i="1" s="1"/>
  <c r="J13142" i="1"/>
  <c r="L13142" i="1" s="1"/>
  <c r="J4237" i="1"/>
  <c r="L4237" i="1" s="1"/>
  <c r="J4244" i="1"/>
  <c r="L4244" i="1" s="1"/>
  <c r="J13319" i="1"/>
  <c r="L13319" i="1" s="1"/>
  <c r="J13335" i="1"/>
  <c r="L13335" i="1" s="1"/>
  <c r="J13406" i="1"/>
  <c r="L13406" i="1" s="1"/>
  <c r="J13477" i="1"/>
  <c r="L13477" i="1" s="1"/>
  <c r="J13532" i="1"/>
  <c r="L13532" i="1" s="1"/>
  <c r="J4363" i="1"/>
  <c r="L4363" i="1" s="1"/>
  <c r="J4371" i="1"/>
  <c r="L4371" i="1" s="1"/>
  <c r="J13559" i="1"/>
  <c r="L13559" i="1" s="1"/>
  <c r="J13616" i="1"/>
  <c r="L13616" i="1" s="1"/>
  <c r="J4410" i="1"/>
  <c r="L4410" i="1" s="1"/>
  <c r="J13705" i="1"/>
  <c r="L13705" i="1" s="1"/>
  <c r="J13706" i="1"/>
  <c r="L13706" i="1" s="1"/>
  <c r="J13707" i="1"/>
  <c r="L13707" i="1" s="1"/>
  <c r="J13712" i="1"/>
  <c r="L13712" i="1" s="1"/>
  <c r="J13713" i="1"/>
  <c r="L13713" i="1" s="1"/>
  <c r="J13714" i="1"/>
  <c r="L13714" i="1" s="1"/>
  <c r="J4430" i="1"/>
  <c r="L4430" i="1" s="1"/>
  <c r="J4431" i="1"/>
  <c r="L4431" i="1" s="1"/>
  <c r="J4518" i="1"/>
  <c r="L4518" i="1" s="1"/>
  <c r="J13789" i="1"/>
  <c r="L13789" i="1" s="1"/>
  <c r="J4533" i="1"/>
  <c r="L4533" i="1" s="1"/>
  <c r="J13797" i="1"/>
  <c r="L13797" i="1" s="1"/>
  <c r="J4549" i="1"/>
  <c r="L4549" i="1" s="1"/>
  <c r="J13849" i="1"/>
  <c r="L13849" i="1" s="1"/>
  <c r="J4561" i="1"/>
  <c r="L4561" i="1" s="1"/>
  <c r="J4584" i="1"/>
  <c r="L4584" i="1" s="1"/>
  <c r="J13858" i="1"/>
  <c r="L13858" i="1" s="1"/>
  <c r="J4585" i="1"/>
  <c r="L4585" i="1" s="1"/>
  <c r="J4593" i="1"/>
  <c r="L4593" i="1" s="1"/>
  <c r="J13881" i="1"/>
  <c r="L13881" i="1" s="1"/>
  <c r="J13884" i="1"/>
  <c r="L13884" i="1" s="1"/>
  <c r="J4623" i="1"/>
  <c r="L4623" i="1" s="1"/>
  <c r="J13909" i="1"/>
  <c r="L13909" i="1" s="1"/>
  <c r="J4631" i="1"/>
  <c r="L4631" i="1" s="1"/>
  <c r="J4746" i="1"/>
  <c r="L4746" i="1" s="1"/>
  <c r="J13953" i="1"/>
  <c r="L13953" i="1" s="1"/>
  <c r="J13977" i="1"/>
  <c r="L13977" i="1" s="1"/>
  <c r="J4792" i="1"/>
  <c r="L4792" i="1" s="1"/>
  <c r="J14052" i="1"/>
  <c r="L14052" i="1" s="1"/>
  <c r="J14200" i="1"/>
  <c r="L14200" i="1" s="1"/>
  <c r="J14201" i="1"/>
  <c r="L14201" i="1" s="1"/>
  <c r="J14202" i="1"/>
  <c r="L14202" i="1" s="1"/>
  <c r="J14203" i="1"/>
  <c r="L14203" i="1" s="1"/>
  <c r="J4843" i="1"/>
  <c r="L4843" i="1" s="1"/>
  <c r="J4845" i="1"/>
  <c r="L4845" i="1" s="1"/>
  <c r="J4867" i="1"/>
  <c r="L4867" i="1" s="1"/>
  <c r="J4868" i="1"/>
  <c r="L4868" i="1" s="1"/>
  <c r="J14238" i="1"/>
  <c r="L14238" i="1" s="1"/>
  <c r="J14244" i="1"/>
  <c r="L14244" i="1" s="1"/>
  <c r="J14357" i="1"/>
  <c r="L14357" i="1" s="1"/>
  <c r="J4907" i="1"/>
  <c r="L4907" i="1" s="1"/>
  <c r="J4918" i="1"/>
  <c r="L4918" i="1" s="1"/>
  <c r="J4919" i="1"/>
  <c r="L4919" i="1" s="1"/>
  <c r="J14478" i="1"/>
  <c r="L14478" i="1" s="1"/>
  <c r="J14494" i="1"/>
  <c r="L14494" i="1" s="1"/>
  <c r="J14495" i="1"/>
  <c r="L14495" i="1" s="1"/>
  <c r="J14500" i="1"/>
  <c r="L14500" i="1" s="1"/>
  <c r="J14503" i="1"/>
  <c r="L14503" i="1" s="1"/>
  <c r="J14506" i="1"/>
  <c r="L14506" i="1" s="1"/>
  <c r="J4951" i="1"/>
  <c r="L4951" i="1" s="1"/>
  <c r="J14512" i="1"/>
  <c r="L14512" i="1" s="1"/>
  <c r="J14513" i="1"/>
  <c r="L14513" i="1" s="1"/>
  <c r="J14552" i="1"/>
  <c r="L14552" i="1" s="1"/>
  <c r="J14587" i="1"/>
  <c r="L14587" i="1" s="1"/>
  <c r="J14588" i="1"/>
  <c r="L14588" i="1" s="1"/>
  <c r="J14589" i="1"/>
  <c r="L14589" i="1" s="1"/>
  <c r="J14680" i="1"/>
  <c r="L14680" i="1" s="1"/>
  <c r="J14685" i="1"/>
  <c r="L14685" i="1" s="1"/>
  <c r="J14692" i="1"/>
  <c r="L14692" i="1" s="1"/>
  <c r="J14712" i="1"/>
  <c r="L14712" i="1" s="1"/>
  <c r="J14727" i="1"/>
  <c r="L14727" i="1" s="1"/>
  <c r="J4986" i="1"/>
  <c r="L4986" i="1" s="1"/>
  <c r="J14858" i="1"/>
  <c r="L14858" i="1" s="1"/>
  <c r="J5008" i="1"/>
  <c r="L5008" i="1" s="1"/>
  <c r="J5020" i="1"/>
  <c r="L5020" i="1" s="1"/>
  <c r="J5025" i="1"/>
  <c r="L5025" i="1" s="1"/>
  <c r="J14892" i="1"/>
  <c r="L14892" i="1" s="1"/>
  <c r="J14898" i="1"/>
  <c r="L14898" i="1" s="1"/>
  <c r="J14922" i="1"/>
  <c r="L14922" i="1" s="1"/>
  <c r="J14923" i="1"/>
  <c r="L14923" i="1" s="1"/>
  <c r="J14924" i="1"/>
  <c r="L14924" i="1" s="1"/>
  <c r="J5071" i="1"/>
  <c r="L5071" i="1" s="1"/>
  <c r="J14971" i="1"/>
  <c r="L14971" i="1" s="1"/>
  <c r="J14976" i="1"/>
  <c r="L14976" i="1" s="1"/>
  <c r="J14977" i="1"/>
  <c r="L14977" i="1" s="1"/>
  <c r="J5093" i="1"/>
  <c r="L5093" i="1" s="1"/>
  <c r="J5106" i="1"/>
  <c r="L5106" i="1" s="1"/>
  <c r="J5121" i="1"/>
  <c r="L5121" i="1" s="1"/>
  <c r="J15021" i="1"/>
  <c r="L15021" i="1" s="1"/>
  <c r="J5241" i="1"/>
  <c r="L5241" i="1" s="1"/>
  <c r="J5285" i="1"/>
  <c r="L5285" i="1" s="1"/>
  <c r="J5349" i="1"/>
  <c r="L5349" i="1" s="1"/>
  <c r="J5381" i="1"/>
  <c r="L5381" i="1" s="1"/>
  <c r="J15126" i="1"/>
  <c r="L15126" i="1" s="1"/>
  <c r="J15168" i="1"/>
  <c r="L15168" i="1" s="1"/>
  <c r="J15201" i="1"/>
  <c r="L15201" i="1" s="1"/>
  <c r="J5448" i="1"/>
  <c r="L5448" i="1" s="1"/>
  <c r="J15234" i="1"/>
  <c r="L15234" i="1" s="1"/>
  <c r="J5464" i="1"/>
  <c r="L5464" i="1" s="1"/>
  <c r="J5491" i="1"/>
  <c r="L5491" i="1" s="1"/>
  <c r="J5517" i="1"/>
  <c r="L5517" i="1" s="1"/>
  <c r="J15288" i="1"/>
  <c r="L15288" i="1" s="1"/>
  <c r="J5531" i="1"/>
  <c r="L5531" i="1" s="1"/>
  <c r="J5533" i="1"/>
  <c r="L5533" i="1" s="1"/>
  <c r="J5540" i="1"/>
  <c r="L5540" i="1" s="1"/>
  <c r="J5555" i="1"/>
  <c r="L5555" i="1" s="1"/>
  <c r="J5556" i="1"/>
  <c r="L5556" i="1" s="1"/>
  <c r="J15440" i="1"/>
  <c r="L15440" i="1" s="1"/>
  <c r="J15466" i="1"/>
  <c r="L15466" i="1" s="1"/>
  <c r="J15554" i="1"/>
  <c r="L15554" i="1" s="1"/>
  <c r="J5702" i="1"/>
  <c r="L5702" i="1" s="1"/>
  <c r="J5721" i="1"/>
  <c r="L5721" i="1" s="1"/>
  <c r="J15657" i="1"/>
  <c r="L15657" i="1" s="1"/>
  <c r="J15663" i="1"/>
  <c r="L15663" i="1" s="1"/>
  <c r="J5801" i="1"/>
  <c r="L5801" i="1" s="1"/>
  <c r="J5842" i="1"/>
  <c r="L5842" i="1" s="1"/>
  <c r="J15746" i="1"/>
  <c r="L15746" i="1" s="1"/>
  <c r="J5851" i="1"/>
  <c r="L5851" i="1" s="1"/>
  <c r="J15791" i="1"/>
  <c r="L15791" i="1" s="1"/>
  <c r="J5884" i="1"/>
  <c r="L5884" i="1" s="1"/>
  <c r="J5889" i="1"/>
  <c r="L5889" i="1" s="1"/>
  <c r="J5926" i="1"/>
  <c r="L5926" i="1" s="1"/>
  <c r="J5927" i="1"/>
  <c r="L5927" i="1" s="1"/>
  <c r="J6126" i="1"/>
  <c r="L6126" i="1" s="1"/>
  <c r="J6150" i="1"/>
  <c r="L6150" i="1" s="1"/>
  <c r="J15943" i="1"/>
  <c r="L15943" i="1" s="1"/>
  <c r="J15944" i="1"/>
  <c r="L15944" i="1" s="1"/>
  <c r="J6165" i="1"/>
  <c r="L6165" i="1" s="1"/>
  <c r="J6192" i="1"/>
  <c r="L6192" i="1" s="1"/>
  <c r="J6236" i="1"/>
  <c r="L6236" i="1" s="1"/>
  <c r="J6248" i="1"/>
  <c r="L6248" i="1" s="1"/>
  <c r="J6250" i="1"/>
  <c r="L6250" i="1" s="1"/>
  <c r="J6377" i="1"/>
  <c r="L6377" i="1" s="1"/>
  <c r="J6382" i="1"/>
  <c r="L6382" i="1" s="1"/>
  <c r="J6405" i="1"/>
  <c r="L6405" i="1" s="1"/>
  <c r="J6407" i="1"/>
  <c r="L6407" i="1" s="1"/>
  <c r="J16219" i="1"/>
  <c r="L16219" i="1" s="1"/>
  <c r="J16262" i="1"/>
  <c r="L16262" i="1" s="1"/>
  <c r="J16263" i="1"/>
  <c r="L16263" i="1" s="1"/>
  <c r="J16264" i="1"/>
  <c r="L16264" i="1" s="1"/>
  <c r="J16265" i="1"/>
  <c r="L16265" i="1" s="1"/>
  <c r="J16266" i="1"/>
  <c r="L16266" i="1" s="1"/>
  <c r="J16276" i="1"/>
  <c r="L16276" i="1" s="1"/>
  <c r="J16300" i="1"/>
  <c r="L16300" i="1" s="1"/>
  <c r="J16318" i="1"/>
  <c r="L16318" i="1" s="1"/>
  <c r="J6427" i="1"/>
  <c r="L6427" i="1" s="1"/>
  <c r="J6428" i="1"/>
  <c r="L6428" i="1" s="1"/>
  <c r="J6429" i="1"/>
  <c r="L6429" i="1" s="1"/>
  <c r="J6445" i="1"/>
  <c r="L6445" i="1" s="1"/>
  <c r="J6446" i="1"/>
  <c r="L6446" i="1" s="1"/>
  <c r="J6447" i="1"/>
  <c r="L6447" i="1" s="1"/>
  <c r="J16339" i="1"/>
  <c r="L16339" i="1" s="1"/>
  <c r="J6578" i="1"/>
  <c r="L6578" i="1" s="1"/>
  <c r="J16527" i="1"/>
  <c r="L16527" i="1" s="1"/>
  <c r="J16759" i="1"/>
  <c r="L16759" i="1" s="1"/>
  <c r="J16775" i="1"/>
  <c r="L16775" i="1" s="1"/>
  <c r="J6748" i="1"/>
  <c r="L6748" i="1" s="1"/>
  <c r="J16862" i="1"/>
  <c r="L16862" i="1" s="1"/>
  <c r="J16876" i="1"/>
  <c r="L16876" i="1" s="1"/>
  <c r="J17058" i="1"/>
  <c r="L17058" i="1" s="1"/>
  <c r="J17060" i="1"/>
  <c r="L17060" i="1" s="1"/>
  <c r="J17061" i="1"/>
  <c r="L17061" i="1" s="1"/>
  <c r="J17064" i="1"/>
  <c r="L17064" i="1" s="1"/>
  <c r="J17066" i="1"/>
  <c r="L17066" i="1" s="1"/>
  <c r="J17067" i="1"/>
  <c r="L17067" i="1" s="1"/>
  <c r="J17072" i="1"/>
  <c r="L17072" i="1" s="1"/>
  <c r="J17073" i="1"/>
  <c r="L17073" i="1" s="1"/>
  <c r="J6938" i="1"/>
  <c r="L6938" i="1" s="1"/>
  <c r="J6975" i="1"/>
  <c r="L6975" i="1" s="1"/>
  <c r="J6998" i="1"/>
  <c r="L6998" i="1" s="1"/>
  <c r="J7066" i="1"/>
  <c r="L7066" i="1" s="1"/>
  <c r="J7073" i="1"/>
  <c r="L7073" i="1" s="1"/>
  <c r="J7075" i="1"/>
  <c r="L7075" i="1" s="1"/>
  <c r="J7077" i="1"/>
  <c r="L7077" i="1" s="1"/>
  <c r="J7109" i="1"/>
  <c r="L7109" i="1" s="1"/>
  <c r="J7116" i="1"/>
  <c r="L7116" i="1" s="1"/>
  <c r="J17276" i="1"/>
  <c r="L17276" i="1" s="1"/>
  <c r="J7242" i="1"/>
  <c r="L7242" i="1" s="1"/>
  <c r="J7243" i="1"/>
  <c r="L7243" i="1" s="1"/>
  <c r="J5" i="1"/>
  <c r="L5" i="1" s="1"/>
  <c r="J6" i="1"/>
  <c r="L6" i="1" s="1"/>
  <c r="J40" i="1"/>
  <c r="L40" i="1" s="1"/>
  <c r="J7367" i="1"/>
  <c r="L7367" i="1" s="1"/>
  <c r="J7435" i="1"/>
  <c r="L7435" i="1" s="1"/>
  <c r="J7436" i="1"/>
  <c r="L7436" i="1" s="1"/>
  <c r="J128" i="1"/>
  <c r="L128" i="1" s="1"/>
  <c r="J135" i="1"/>
  <c r="L135" i="1" s="1"/>
  <c r="J7669" i="1"/>
  <c r="L7669" i="1" s="1"/>
  <c r="J7716" i="1"/>
  <c r="L7716" i="1" s="1"/>
  <c r="J177" i="1"/>
  <c r="L177" i="1" s="1"/>
  <c r="J7860" i="1"/>
  <c r="L7860" i="1" s="1"/>
  <c r="J7873" i="1"/>
  <c r="L7873" i="1" s="1"/>
  <c r="J235" i="1"/>
  <c r="L235" i="1" s="1"/>
  <c r="J7903" i="1"/>
  <c r="L7903" i="1" s="1"/>
  <c r="J7939" i="1"/>
  <c r="L7939" i="1" s="1"/>
  <c r="J7940" i="1"/>
  <c r="L7940" i="1" s="1"/>
  <c r="J7941" i="1"/>
  <c r="L7941" i="1" s="1"/>
  <c r="J7942" i="1"/>
  <c r="L7942" i="1" s="1"/>
  <c r="J8065" i="1"/>
  <c r="L8065" i="1" s="1"/>
  <c r="J8077" i="1"/>
  <c r="L8077" i="1" s="1"/>
  <c r="J250" i="1"/>
  <c r="L250" i="1" s="1"/>
  <c r="J8213" i="1"/>
  <c r="L8213" i="1" s="1"/>
  <c r="J8232" i="1"/>
  <c r="L8232" i="1" s="1"/>
  <c r="J286" i="1"/>
  <c r="L286" i="1" s="1"/>
  <c r="J288" i="1"/>
  <c r="L288" i="1" s="1"/>
  <c r="J8259" i="1"/>
  <c r="L8259" i="1" s="1"/>
  <c r="J8260" i="1"/>
  <c r="L8260" i="1" s="1"/>
  <c r="J8281" i="1"/>
  <c r="L8281" i="1" s="1"/>
  <c r="J311" i="1"/>
  <c r="L311" i="1" s="1"/>
  <c r="J331" i="1"/>
  <c r="L331" i="1" s="1"/>
  <c r="J348" i="1"/>
  <c r="L348" i="1" s="1"/>
  <c r="J377" i="1"/>
  <c r="L377" i="1" s="1"/>
  <c r="J378" i="1"/>
  <c r="L378" i="1" s="1"/>
  <c r="J633" i="1"/>
  <c r="L633" i="1" s="1"/>
  <c r="J8531" i="1"/>
  <c r="L8531" i="1" s="1"/>
  <c r="J675" i="1"/>
  <c r="L675" i="1" s="1"/>
  <c r="J700" i="1"/>
  <c r="L700" i="1" s="1"/>
  <c r="J718" i="1"/>
  <c r="L718" i="1" s="1"/>
  <c r="J725" i="1"/>
  <c r="L725" i="1" s="1"/>
  <c r="J8595" i="1"/>
  <c r="L8595" i="1" s="1"/>
  <c r="J8629" i="1"/>
  <c r="L8629" i="1" s="1"/>
  <c r="J8643" i="1"/>
  <c r="L8643" i="1" s="1"/>
  <c r="J796" i="1"/>
  <c r="L796" i="1" s="1"/>
  <c r="J806" i="1"/>
  <c r="L806" i="1" s="1"/>
  <c r="J8741" i="1"/>
  <c r="L8741" i="1" s="1"/>
  <c r="J8748" i="1"/>
  <c r="L8748" i="1" s="1"/>
  <c r="J8779" i="1"/>
  <c r="L8779" i="1" s="1"/>
  <c r="J913" i="1"/>
  <c r="L913" i="1" s="1"/>
  <c r="J921" i="1"/>
  <c r="L921" i="1" s="1"/>
  <c r="J8933" i="1"/>
  <c r="L8933" i="1" s="1"/>
  <c r="J934" i="1"/>
  <c r="L934" i="1" s="1"/>
  <c r="J941" i="1"/>
  <c r="L941" i="1" s="1"/>
  <c r="J8978" i="1"/>
  <c r="L8978" i="1" s="1"/>
  <c r="J9032" i="1"/>
  <c r="L9032" i="1" s="1"/>
  <c r="J1059" i="1"/>
  <c r="L1059" i="1" s="1"/>
  <c r="J1071" i="1"/>
  <c r="L1071" i="1" s="1"/>
  <c r="J9136" i="1"/>
  <c r="L9136" i="1" s="1"/>
  <c r="J9140" i="1"/>
  <c r="L9140" i="1" s="1"/>
  <c r="J1175" i="1"/>
  <c r="L1175" i="1" s="1"/>
  <c r="J9188" i="1"/>
  <c r="L9188" i="1" s="1"/>
  <c r="J1177" i="1"/>
  <c r="L1177" i="1" s="1"/>
  <c r="J1178" i="1"/>
  <c r="L1178" i="1" s="1"/>
  <c r="J1186" i="1"/>
  <c r="L1186" i="1" s="1"/>
  <c r="J9224" i="1"/>
  <c r="L9224" i="1" s="1"/>
  <c r="J1225" i="1"/>
  <c r="L1225" i="1" s="1"/>
  <c r="J1373" i="1"/>
  <c r="L1373" i="1" s="1"/>
  <c r="J1416" i="1"/>
  <c r="L1416" i="1" s="1"/>
  <c r="J9392" i="1"/>
  <c r="L9392" i="1" s="1"/>
  <c r="J1438" i="1"/>
  <c r="L1438" i="1" s="1"/>
  <c r="J1495" i="1"/>
  <c r="L1495" i="1" s="1"/>
  <c r="J1499" i="1"/>
  <c r="L1499" i="1" s="1"/>
  <c r="J1570" i="1"/>
  <c r="L1570" i="1" s="1"/>
  <c r="J1601" i="1"/>
  <c r="L1601" i="1" s="1"/>
  <c r="J1606" i="1"/>
  <c r="L1606" i="1" s="1"/>
  <c r="J1611" i="1"/>
  <c r="L1611" i="1" s="1"/>
  <c r="J1618" i="1"/>
  <c r="L1618" i="1" s="1"/>
  <c r="J1631" i="1"/>
  <c r="L1631" i="1" s="1"/>
  <c r="J9594" i="1"/>
  <c r="L9594" i="1" s="1"/>
  <c r="J9595" i="1"/>
  <c r="L9595" i="1" s="1"/>
  <c r="J9596" i="1"/>
  <c r="L9596" i="1" s="1"/>
  <c r="J9639" i="1"/>
  <c r="L9639" i="1" s="1"/>
  <c r="J9640" i="1"/>
  <c r="L9640" i="1" s="1"/>
  <c r="J9641" i="1"/>
  <c r="L9641" i="1" s="1"/>
  <c r="J9644" i="1"/>
  <c r="L9644" i="1" s="1"/>
  <c r="J9656" i="1"/>
  <c r="L9656" i="1" s="1"/>
  <c r="J1705" i="1"/>
  <c r="L1705" i="1" s="1"/>
  <c r="J1706" i="1"/>
  <c r="L1706" i="1" s="1"/>
  <c r="J1707" i="1"/>
  <c r="L1707" i="1" s="1"/>
  <c r="J1715" i="1"/>
  <c r="L1715" i="1" s="1"/>
  <c r="J1716" i="1"/>
  <c r="L1716" i="1" s="1"/>
  <c r="J1717" i="1"/>
  <c r="L1717" i="1" s="1"/>
  <c r="J1718" i="1"/>
  <c r="L1718" i="1" s="1"/>
  <c r="J1721" i="1"/>
  <c r="L1721" i="1" s="1"/>
  <c r="J1737" i="1"/>
  <c r="L1737" i="1" s="1"/>
  <c r="J9676" i="1"/>
  <c r="L9676" i="1" s="1"/>
  <c r="J1783" i="1"/>
  <c r="L1783" i="1" s="1"/>
  <c r="J1849" i="1"/>
  <c r="L1849" i="1" s="1"/>
  <c r="J1869" i="1"/>
  <c r="L1869" i="1" s="1"/>
  <c r="J1870" i="1"/>
  <c r="L1870" i="1" s="1"/>
  <c r="J1871" i="1"/>
  <c r="L1871" i="1" s="1"/>
  <c r="J1899" i="1"/>
  <c r="L1899" i="1" s="1"/>
  <c r="J9928" i="1"/>
  <c r="L9928" i="1" s="1"/>
  <c r="J1938" i="1"/>
  <c r="L1938" i="1" s="1"/>
  <c r="J9994" i="1"/>
  <c r="L9994" i="1" s="1"/>
  <c r="J10002" i="1"/>
  <c r="L10002" i="1" s="1"/>
  <c r="J10024" i="1"/>
  <c r="L10024" i="1" s="1"/>
  <c r="J10033" i="1"/>
  <c r="L10033" i="1" s="1"/>
  <c r="J2011" i="1"/>
  <c r="L2011" i="1" s="1"/>
  <c r="J10095" i="1"/>
  <c r="L10095" i="1" s="1"/>
  <c r="J10115" i="1"/>
  <c r="L10115" i="1" s="1"/>
  <c r="J2039" i="1"/>
  <c r="L2039" i="1" s="1"/>
  <c r="J10152" i="1"/>
  <c r="L10152" i="1" s="1"/>
  <c r="J10159" i="1"/>
  <c r="L10159" i="1" s="1"/>
  <c r="J10160" i="1"/>
  <c r="L10160" i="1" s="1"/>
  <c r="J2081" i="1"/>
  <c r="L2081" i="1" s="1"/>
  <c r="J2089" i="1"/>
  <c r="L2089" i="1" s="1"/>
  <c r="J2093" i="1"/>
  <c r="L2093" i="1" s="1"/>
  <c r="J2104" i="1"/>
  <c r="L2104" i="1" s="1"/>
  <c r="J2128" i="1"/>
  <c r="L2128" i="1" s="1"/>
  <c r="J10268" i="1"/>
  <c r="L10268" i="1" s="1"/>
  <c r="J10269" i="1"/>
  <c r="L10269" i="1" s="1"/>
  <c r="J2154" i="1"/>
  <c r="L2154" i="1" s="1"/>
  <c r="J10319" i="1"/>
  <c r="L10319" i="1" s="1"/>
  <c r="J10324" i="1"/>
  <c r="L10324" i="1" s="1"/>
  <c r="J10337" i="1"/>
  <c r="L10337" i="1" s="1"/>
  <c r="J2270" i="1"/>
  <c r="L2270" i="1" s="1"/>
  <c r="J10415" i="1"/>
  <c r="L10415" i="1" s="1"/>
  <c r="J2342" i="1"/>
  <c r="L2342" i="1" s="1"/>
  <c r="J2346" i="1"/>
  <c r="L2346" i="1" s="1"/>
  <c r="J10428" i="1"/>
  <c r="L10428" i="1" s="1"/>
  <c r="J2366" i="1"/>
  <c r="L2366" i="1" s="1"/>
  <c r="J2367" i="1"/>
  <c r="L2367" i="1" s="1"/>
  <c r="J2406" i="1"/>
  <c r="L2406" i="1" s="1"/>
  <c r="J2415" i="1"/>
  <c r="L2415" i="1" s="1"/>
  <c r="J2416" i="1"/>
  <c r="L2416" i="1" s="1"/>
  <c r="J10485" i="1"/>
  <c r="L10485" i="1" s="1"/>
  <c r="J2422" i="1"/>
  <c r="L2422" i="1" s="1"/>
  <c r="J2437" i="1"/>
  <c r="L2437" i="1" s="1"/>
  <c r="J2454" i="1"/>
  <c r="L2454" i="1" s="1"/>
  <c r="J2543" i="1"/>
  <c r="L2543" i="1" s="1"/>
  <c r="J2544" i="1"/>
  <c r="L2544" i="1" s="1"/>
  <c r="J2563" i="1"/>
  <c r="L2563" i="1" s="1"/>
  <c r="J10520" i="1"/>
  <c r="L10520" i="1" s="1"/>
  <c r="J10526" i="1"/>
  <c r="L10526" i="1" s="1"/>
  <c r="J10537" i="1"/>
  <c r="L10537" i="1" s="1"/>
  <c r="J10549" i="1"/>
  <c r="L10549" i="1" s="1"/>
  <c r="J2587" i="1"/>
  <c r="L2587" i="1" s="1"/>
  <c r="J10563" i="1"/>
  <c r="L10563" i="1" s="1"/>
  <c r="J2618" i="1"/>
  <c r="L2618" i="1" s="1"/>
  <c r="J10674" i="1"/>
  <c r="L10674" i="1" s="1"/>
  <c r="J2629" i="1"/>
  <c r="L2629" i="1" s="1"/>
  <c r="J2644" i="1"/>
  <c r="L2644" i="1" s="1"/>
  <c r="J2645" i="1"/>
  <c r="L2645" i="1" s="1"/>
  <c r="J10788" i="1"/>
  <c r="L10788" i="1" s="1"/>
  <c r="J10815" i="1"/>
  <c r="L10815" i="1" s="1"/>
  <c r="J2657" i="1"/>
  <c r="L2657" i="1" s="1"/>
  <c r="J2671" i="1"/>
  <c r="L2671" i="1" s="1"/>
  <c r="J2678" i="1"/>
  <c r="L2678" i="1" s="1"/>
  <c r="J10899" i="1"/>
  <c r="L10899" i="1" s="1"/>
  <c r="J10932" i="1"/>
  <c r="L10932" i="1" s="1"/>
  <c r="J2720" i="1"/>
  <c r="L2720" i="1" s="1"/>
  <c r="J2724" i="1"/>
  <c r="L2724" i="1" s="1"/>
  <c r="J11069" i="1"/>
  <c r="L11069" i="1" s="1"/>
  <c r="J11119" i="1"/>
  <c r="L11119" i="1" s="1"/>
  <c r="J11155" i="1"/>
  <c r="L11155" i="1" s="1"/>
  <c r="J11156" i="1"/>
  <c r="L11156" i="1" s="1"/>
  <c r="J11157" i="1"/>
  <c r="L11157" i="1" s="1"/>
  <c r="J11158" i="1"/>
  <c r="L11158" i="1" s="1"/>
  <c r="J11159" i="1"/>
  <c r="L11159" i="1" s="1"/>
  <c r="J11160" i="1"/>
  <c r="L11160" i="1" s="1"/>
  <c r="J11282" i="1"/>
  <c r="L11282" i="1" s="1"/>
  <c r="J11370" i="1"/>
  <c r="L11370" i="1" s="1"/>
  <c r="J2812" i="1"/>
  <c r="L2812" i="1" s="1"/>
  <c r="J2822" i="1"/>
  <c r="L2822" i="1" s="1"/>
  <c r="J11451" i="1"/>
  <c r="L11451" i="1" s="1"/>
  <c r="J11472" i="1"/>
  <c r="L11472" i="1" s="1"/>
  <c r="J11473" i="1"/>
  <c r="L11473" i="1" s="1"/>
  <c r="J11474" i="1"/>
  <c r="L11474" i="1" s="1"/>
  <c r="J2849" i="1"/>
  <c r="L2849" i="1" s="1"/>
  <c r="J2851" i="1"/>
  <c r="L2851" i="1" s="1"/>
  <c r="J11527" i="1"/>
  <c r="L11527" i="1" s="1"/>
  <c r="J11528" i="1"/>
  <c r="L11528" i="1" s="1"/>
  <c r="J2885" i="1"/>
  <c r="L2885" i="1" s="1"/>
  <c r="J11610" i="1"/>
  <c r="L11610" i="1" s="1"/>
  <c r="J11611" i="1"/>
  <c r="L11611" i="1" s="1"/>
  <c r="J3021" i="1"/>
  <c r="L3021" i="1" s="1"/>
  <c r="J3057" i="1"/>
  <c r="L3057" i="1" s="1"/>
  <c r="J3060" i="1"/>
  <c r="L3060" i="1" s="1"/>
  <c r="J11628" i="1"/>
  <c r="L11628" i="1" s="1"/>
  <c r="J11662" i="1"/>
  <c r="L11662" i="1" s="1"/>
  <c r="J11705" i="1"/>
  <c r="L11705" i="1" s="1"/>
  <c r="J3166" i="1"/>
  <c r="L3166" i="1" s="1"/>
  <c r="J3207" i="1"/>
  <c r="L3207" i="1" s="1"/>
  <c r="J11871" i="1"/>
  <c r="L11871" i="1" s="1"/>
  <c r="J11874" i="1"/>
  <c r="L11874" i="1" s="1"/>
  <c r="J11885" i="1"/>
  <c r="L11885" i="1" s="1"/>
  <c r="J11889" i="1"/>
  <c r="L11889" i="1" s="1"/>
  <c r="J3268" i="1"/>
  <c r="L3268" i="1" s="1"/>
  <c r="J3269" i="1"/>
  <c r="L3269" i="1" s="1"/>
  <c r="J11974" i="1"/>
  <c r="L11974" i="1" s="1"/>
  <c r="J11975" i="1"/>
  <c r="L11975" i="1" s="1"/>
  <c r="J11984" i="1"/>
  <c r="L11984" i="1" s="1"/>
  <c r="J12040" i="1"/>
  <c r="L12040" i="1" s="1"/>
  <c r="J12075" i="1"/>
  <c r="L12075" i="1" s="1"/>
  <c r="J3408" i="1"/>
  <c r="L3408" i="1" s="1"/>
  <c r="J12190" i="1"/>
  <c r="L12190" i="1" s="1"/>
  <c r="J12191" i="1"/>
  <c r="L12191" i="1" s="1"/>
  <c r="J12226" i="1"/>
  <c r="L12226" i="1" s="1"/>
  <c r="J3505" i="1"/>
  <c r="L3505" i="1" s="1"/>
  <c r="J3506" i="1"/>
  <c r="L3506" i="1" s="1"/>
  <c r="J12344" i="1"/>
  <c r="L12344" i="1" s="1"/>
  <c r="J3543" i="1"/>
  <c r="L3543" i="1" s="1"/>
  <c r="J12367" i="1"/>
  <c r="L12367" i="1" s="1"/>
  <c r="J12388" i="1"/>
  <c r="L12388" i="1" s="1"/>
  <c r="J12401" i="1"/>
  <c r="L12401" i="1" s="1"/>
  <c r="J12443" i="1"/>
  <c r="L12443" i="1" s="1"/>
  <c r="J3592" i="1"/>
  <c r="L3592" i="1" s="1"/>
  <c r="J3749" i="1"/>
  <c r="L3749" i="1" s="1"/>
  <c r="J12640" i="1"/>
  <c r="L12640" i="1" s="1"/>
  <c r="J12696" i="1"/>
  <c r="L12696" i="1" s="1"/>
  <c r="J3818" i="1"/>
  <c r="L3818" i="1" s="1"/>
  <c r="J3823" i="1"/>
  <c r="L3823" i="1" s="1"/>
  <c r="J3833" i="1"/>
  <c r="L3833" i="1" s="1"/>
  <c r="J3888" i="1"/>
  <c r="L3888" i="1" s="1"/>
  <c r="J3894" i="1"/>
  <c r="L3894" i="1" s="1"/>
  <c r="J3977" i="1"/>
  <c r="L3977" i="1" s="1"/>
  <c r="J3978" i="1"/>
  <c r="L3978" i="1" s="1"/>
  <c r="J3985" i="1"/>
  <c r="L3985" i="1" s="1"/>
  <c r="J3986" i="1"/>
  <c r="L3986" i="1" s="1"/>
  <c r="J3997" i="1"/>
  <c r="L3997" i="1" s="1"/>
  <c r="J4011" i="1"/>
  <c r="L4011" i="1" s="1"/>
  <c r="J4028" i="1"/>
  <c r="L4028" i="1" s="1"/>
  <c r="J4035" i="1"/>
  <c r="L4035" i="1" s="1"/>
  <c r="J12878" i="1"/>
  <c r="L12878" i="1" s="1"/>
  <c r="J4039" i="1"/>
  <c r="L4039" i="1" s="1"/>
  <c r="J12931" i="1"/>
  <c r="L12931" i="1" s="1"/>
  <c r="J12938" i="1"/>
  <c r="L12938" i="1" s="1"/>
  <c r="J4042" i="1"/>
  <c r="L4042" i="1" s="1"/>
  <c r="J4053" i="1"/>
  <c r="L4053" i="1" s="1"/>
  <c r="J4060" i="1"/>
  <c r="L4060" i="1" s="1"/>
  <c r="J4069" i="1"/>
  <c r="L4069" i="1" s="1"/>
  <c r="J12975" i="1"/>
  <c r="L12975" i="1" s="1"/>
  <c r="J4088" i="1"/>
  <c r="L4088" i="1" s="1"/>
  <c r="J4095" i="1"/>
  <c r="L4095" i="1" s="1"/>
  <c r="J4173" i="1"/>
  <c r="L4173" i="1" s="1"/>
  <c r="J13161" i="1"/>
  <c r="L13161" i="1" s="1"/>
  <c r="J13184" i="1"/>
  <c r="L13184" i="1" s="1"/>
  <c r="J4242" i="1"/>
  <c r="L4242" i="1" s="1"/>
  <c r="J4243" i="1"/>
  <c r="L4243" i="1" s="1"/>
  <c r="J13274" i="1"/>
  <c r="L13274" i="1" s="1"/>
  <c r="J13301" i="1"/>
  <c r="L13301" i="1" s="1"/>
  <c r="J13349" i="1"/>
  <c r="L13349" i="1" s="1"/>
  <c r="J4301" i="1"/>
  <c r="L4301" i="1" s="1"/>
  <c r="J13405" i="1"/>
  <c r="L13405" i="1" s="1"/>
  <c r="J13469" i="1"/>
  <c r="L13469" i="1" s="1"/>
  <c r="J13505" i="1"/>
  <c r="L13505" i="1" s="1"/>
  <c r="J13518" i="1"/>
  <c r="L13518" i="1" s="1"/>
  <c r="J4373" i="1"/>
  <c r="L4373" i="1" s="1"/>
  <c r="J13770" i="1"/>
  <c r="L13770" i="1" s="1"/>
  <c r="J13771" i="1"/>
  <c r="L13771" i="1" s="1"/>
  <c r="J13782" i="1"/>
  <c r="L13782" i="1" s="1"/>
  <c r="J4516" i="1"/>
  <c r="L4516" i="1" s="1"/>
  <c r="J13786" i="1"/>
  <c r="L13786" i="1" s="1"/>
  <c r="J4573" i="1"/>
  <c r="L4573" i="1" s="1"/>
  <c r="J4587" i="1"/>
  <c r="L4587" i="1" s="1"/>
  <c r="J4589" i="1"/>
  <c r="L4589" i="1" s="1"/>
  <c r="J4614" i="1"/>
  <c r="L4614" i="1" s="1"/>
  <c r="J4615" i="1"/>
  <c r="L4615" i="1" s="1"/>
  <c r="J4616" i="1"/>
  <c r="L4616" i="1" s="1"/>
  <c r="J4622" i="1"/>
  <c r="L4622" i="1" s="1"/>
  <c r="J4625" i="1"/>
  <c r="L4625" i="1" s="1"/>
  <c r="J4626" i="1"/>
  <c r="L4626" i="1" s="1"/>
  <c r="J4627" i="1"/>
  <c r="L4627" i="1" s="1"/>
  <c r="J4628" i="1"/>
  <c r="L4628" i="1" s="1"/>
  <c r="J4637" i="1"/>
  <c r="L4637" i="1" s="1"/>
  <c r="J4737" i="1"/>
  <c r="L4737" i="1" s="1"/>
  <c r="J13929" i="1"/>
  <c r="L13929" i="1" s="1"/>
  <c r="J4786" i="1"/>
  <c r="L4786" i="1" s="1"/>
  <c r="J14093" i="1"/>
  <c r="L14093" i="1" s="1"/>
  <c r="J14199" i="1"/>
  <c r="L14199" i="1" s="1"/>
  <c r="J4859" i="1"/>
  <c r="L4859" i="1" s="1"/>
  <c r="J4866" i="1"/>
  <c r="L4866" i="1" s="1"/>
  <c r="J14268" i="1"/>
  <c r="L14268" i="1" s="1"/>
  <c r="J14369" i="1"/>
  <c r="L14369" i="1" s="1"/>
  <c r="J4906" i="1"/>
  <c r="L4906" i="1" s="1"/>
  <c r="J14377" i="1"/>
  <c r="L14377" i="1" s="1"/>
  <c r="J14490" i="1"/>
  <c r="L14490" i="1" s="1"/>
  <c r="J14493" i="1"/>
  <c r="L14493" i="1" s="1"/>
  <c r="J4954" i="1"/>
  <c r="L4954" i="1" s="1"/>
  <c r="J14550" i="1"/>
  <c r="L14550" i="1" s="1"/>
  <c r="J14551" i="1"/>
  <c r="L14551" i="1" s="1"/>
  <c r="J14585" i="1"/>
  <c r="L14585" i="1" s="1"/>
  <c r="J14586" i="1"/>
  <c r="L14586" i="1" s="1"/>
  <c r="J14711" i="1"/>
  <c r="L14711" i="1" s="1"/>
  <c r="J4975" i="1"/>
  <c r="L4975" i="1" s="1"/>
  <c r="J14847" i="1"/>
  <c r="L14847" i="1" s="1"/>
  <c r="J5018" i="1"/>
  <c r="L5018" i="1" s="1"/>
  <c r="J14896" i="1"/>
  <c r="L14896" i="1" s="1"/>
  <c r="J14897" i="1"/>
  <c r="L14897" i="1" s="1"/>
  <c r="J14919" i="1"/>
  <c r="L14919" i="1" s="1"/>
  <c r="J14920" i="1"/>
  <c r="L14920" i="1" s="1"/>
  <c r="J14921" i="1"/>
  <c r="L14921" i="1" s="1"/>
  <c r="J5035" i="1"/>
  <c r="L5035" i="1" s="1"/>
  <c r="J14936" i="1"/>
  <c r="L14936" i="1" s="1"/>
  <c r="J14992" i="1"/>
  <c r="L14992" i="1" s="1"/>
  <c r="J5124" i="1"/>
  <c r="L5124" i="1" s="1"/>
  <c r="J5214" i="1"/>
  <c r="L5214" i="1" s="1"/>
  <c r="J5282" i="1"/>
  <c r="L5282" i="1" s="1"/>
  <c r="J5283" i="1"/>
  <c r="L5283" i="1" s="1"/>
  <c r="J5284" i="1"/>
  <c r="L5284" i="1" s="1"/>
  <c r="J5310" i="1"/>
  <c r="L5310" i="1" s="1"/>
  <c r="J5315" i="1"/>
  <c r="L5315" i="1" s="1"/>
  <c r="J5320" i="1"/>
  <c r="L5320" i="1" s="1"/>
  <c r="J15099" i="1"/>
  <c r="L15099" i="1" s="1"/>
  <c r="J15123" i="1"/>
  <c r="L15123" i="1" s="1"/>
  <c r="J15124" i="1"/>
  <c r="L15124" i="1" s="1"/>
  <c r="J15125" i="1"/>
  <c r="L15125" i="1" s="1"/>
  <c r="J15163" i="1"/>
  <c r="L15163" i="1" s="1"/>
  <c r="J5432" i="1"/>
  <c r="L5432" i="1" s="1"/>
  <c r="J15240" i="1"/>
  <c r="L15240" i="1" s="1"/>
  <c r="J15241" i="1"/>
  <c r="L15241" i="1" s="1"/>
  <c r="J15254" i="1"/>
  <c r="L15254" i="1" s="1"/>
  <c r="J15259" i="1"/>
  <c r="L15259" i="1" s="1"/>
  <c r="J15266" i="1"/>
  <c r="L15266" i="1" s="1"/>
  <c r="J5521" i="1"/>
  <c r="L5521" i="1" s="1"/>
  <c r="J5553" i="1"/>
  <c r="L5553" i="1" s="1"/>
  <c r="J5554" i="1"/>
  <c r="L5554" i="1" s="1"/>
  <c r="J15397" i="1"/>
  <c r="L15397" i="1" s="1"/>
  <c r="J15398" i="1"/>
  <c r="L15398" i="1" s="1"/>
  <c r="J5773" i="1"/>
  <c r="L5773" i="1" s="1"/>
  <c r="J5795" i="1"/>
  <c r="L5795" i="1" s="1"/>
  <c r="J5800" i="1"/>
  <c r="L5800" i="1" s="1"/>
  <c r="J5806" i="1"/>
  <c r="L5806" i="1" s="1"/>
  <c r="J5814" i="1"/>
  <c r="L5814" i="1" s="1"/>
  <c r="J5833" i="1"/>
  <c r="L5833" i="1" s="1"/>
  <c r="J5852" i="1"/>
  <c r="L5852" i="1" s="1"/>
  <c r="J5859" i="1"/>
  <c r="L5859" i="1" s="1"/>
  <c r="J5890" i="1"/>
  <c r="L5890" i="1" s="1"/>
  <c r="J5900" i="1"/>
  <c r="L5900" i="1" s="1"/>
  <c r="J15828" i="1"/>
  <c r="L15828" i="1" s="1"/>
  <c r="J5945" i="1"/>
  <c r="L5945" i="1" s="1"/>
  <c r="J15847" i="1"/>
  <c r="L15847" i="1" s="1"/>
  <c r="J15908" i="1"/>
  <c r="L15908" i="1" s="1"/>
  <c r="J16048" i="1"/>
  <c r="L16048" i="1" s="1"/>
  <c r="J6189" i="1"/>
  <c r="L6189" i="1" s="1"/>
  <c r="J6190" i="1"/>
  <c r="L6190" i="1" s="1"/>
  <c r="J6240" i="1"/>
  <c r="L6240" i="1" s="1"/>
  <c r="J6244" i="1"/>
  <c r="L6244" i="1" s="1"/>
  <c r="J6334" i="1"/>
  <c r="L6334" i="1" s="1"/>
  <c r="J6361" i="1"/>
  <c r="L6361" i="1" s="1"/>
  <c r="J6374" i="1"/>
  <c r="L6374" i="1" s="1"/>
  <c r="J6389" i="1"/>
  <c r="L6389" i="1" s="1"/>
  <c r="J16218" i="1"/>
  <c r="L16218" i="1" s="1"/>
  <c r="J6413" i="1"/>
  <c r="L6413" i="1" s="1"/>
  <c r="J16260" i="1"/>
  <c r="L16260" i="1" s="1"/>
  <c r="J16261" i="1"/>
  <c r="L16261" i="1" s="1"/>
  <c r="J6417" i="1"/>
  <c r="L6417" i="1" s="1"/>
  <c r="J16289" i="1"/>
  <c r="L16289" i="1" s="1"/>
  <c r="J16316" i="1"/>
  <c r="L16316" i="1" s="1"/>
  <c r="J6444" i="1"/>
  <c r="L6444" i="1" s="1"/>
  <c r="J6456" i="1"/>
  <c r="L6456" i="1" s="1"/>
  <c r="J16338" i="1"/>
  <c r="L16338" i="1" s="1"/>
  <c r="J6466" i="1"/>
  <c r="L6466" i="1" s="1"/>
  <c r="J6497" i="1"/>
  <c r="L6497" i="1" s="1"/>
  <c r="J6575" i="1"/>
  <c r="L6575" i="1" s="1"/>
  <c r="J6576" i="1"/>
  <c r="L6576" i="1" s="1"/>
  <c r="J6577" i="1"/>
  <c r="L6577" i="1" s="1"/>
  <c r="J16468" i="1"/>
  <c r="L16468" i="1" s="1"/>
  <c r="J16478" i="1"/>
  <c r="L16478" i="1" s="1"/>
  <c r="J16483" i="1"/>
  <c r="L16483" i="1" s="1"/>
  <c r="J16699" i="1"/>
  <c r="L16699" i="1" s="1"/>
  <c r="J6701" i="1"/>
  <c r="L6701" i="1" s="1"/>
  <c r="J6702" i="1"/>
  <c r="L6702" i="1" s="1"/>
  <c r="J6703" i="1"/>
  <c r="L6703" i="1" s="1"/>
  <c r="J6705" i="1"/>
  <c r="L6705" i="1" s="1"/>
  <c r="J6722" i="1"/>
  <c r="L6722" i="1" s="1"/>
  <c r="J16757" i="1"/>
  <c r="L16757" i="1" s="1"/>
  <c r="J16758" i="1"/>
  <c r="L16758" i="1" s="1"/>
  <c r="J16774" i="1"/>
  <c r="L16774" i="1" s="1"/>
  <c r="J6729" i="1"/>
  <c r="L6729" i="1" s="1"/>
  <c r="J16826" i="1"/>
  <c r="L16826" i="1" s="1"/>
  <c r="J6754" i="1"/>
  <c r="L6754" i="1" s="1"/>
  <c r="J16879" i="1"/>
  <c r="L16879" i="1" s="1"/>
  <c r="J16893" i="1"/>
  <c r="L16893" i="1" s="1"/>
  <c r="J6798" i="1"/>
  <c r="L6798" i="1" s="1"/>
  <c r="J6799" i="1"/>
  <c r="L6799" i="1" s="1"/>
  <c r="J16953" i="1"/>
  <c r="L16953" i="1" s="1"/>
  <c r="J16956" i="1"/>
  <c r="L16956" i="1" s="1"/>
  <c r="J17051" i="1"/>
  <c r="L17051" i="1" s="1"/>
  <c r="J17089" i="1"/>
  <c r="L17089" i="1" s="1"/>
  <c r="J6936" i="1"/>
  <c r="L6936" i="1" s="1"/>
  <c r="J6940" i="1"/>
  <c r="L6940" i="1" s="1"/>
  <c r="J6973" i="1"/>
  <c r="L6973" i="1" s="1"/>
  <c r="J7044" i="1"/>
  <c r="L7044" i="1" s="1"/>
  <c r="J7059" i="1"/>
  <c r="L7059" i="1" s="1"/>
  <c r="J17192" i="1"/>
  <c r="L17192" i="1" s="1"/>
  <c r="J7076" i="1"/>
  <c r="L7076" i="1" s="1"/>
  <c r="J7078" i="1"/>
  <c r="L7078" i="1" s="1"/>
  <c r="J17253" i="1"/>
  <c r="L17253" i="1" s="1"/>
  <c r="J7120" i="1"/>
  <c r="L7120" i="1" s="1"/>
  <c r="J7123" i="1"/>
  <c r="L7123" i="1" s="1"/>
  <c r="J7240" i="1"/>
  <c r="L7240" i="1" s="1"/>
  <c r="J10" i="1"/>
  <c r="L10" i="1" s="1"/>
  <c r="J7282" i="1"/>
  <c r="L7282" i="1" s="1"/>
  <c r="J66" i="1"/>
  <c r="L66" i="1" s="1"/>
  <c r="J7443" i="1"/>
  <c r="L7443" i="1" s="1"/>
  <c r="J7555" i="1"/>
  <c r="L7555" i="1" s="1"/>
  <c r="J7556" i="1"/>
  <c r="L7556" i="1" s="1"/>
  <c r="J116" i="1"/>
  <c r="L116" i="1" s="1"/>
  <c r="J136" i="1"/>
  <c r="L136" i="1" s="1"/>
  <c r="J7633" i="1"/>
  <c r="L7633" i="1" s="1"/>
  <c r="J7659" i="1"/>
  <c r="L7659" i="1" s="1"/>
  <c r="J7664" i="1"/>
  <c r="L7664" i="1" s="1"/>
  <c r="J7683" i="1"/>
  <c r="L7683" i="1" s="1"/>
  <c r="J7727" i="1"/>
  <c r="L7727" i="1" s="1"/>
  <c r="J7746" i="1"/>
  <c r="L7746" i="1" s="1"/>
  <c r="J7747" i="1"/>
  <c r="L7747" i="1" s="1"/>
  <c r="J7748" i="1"/>
  <c r="L7748" i="1" s="1"/>
  <c r="J7757" i="1"/>
  <c r="L7757" i="1" s="1"/>
  <c r="J173" i="1"/>
  <c r="L173" i="1" s="1"/>
  <c r="J183" i="1"/>
  <c r="L183" i="1" s="1"/>
  <c r="J190" i="1"/>
  <c r="L190" i="1" s="1"/>
  <c r="J7837" i="1"/>
  <c r="L7837" i="1" s="1"/>
  <c r="J213" i="1"/>
  <c r="L213" i="1" s="1"/>
  <c r="J7856" i="1"/>
  <c r="L7856" i="1" s="1"/>
  <c r="J216" i="1"/>
  <c r="L216" i="1" s="1"/>
  <c r="J7908" i="1"/>
  <c r="L7908" i="1" s="1"/>
  <c r="J8043" i="1"/>
  <c r="L8043" i="1" s="1"/>
  <c r="J8062" i="1"/>
  <c r="L8062" i="1" s="1"/>
  <c r="J8063" i="1"/>
  <c r="L8063" i="1" s="1"/>
  <c r="J8074" i="1"/>
  <c r="L8074" i="1" s="1"/>
  <c r="J8169" i="1"/>
  <c r="L8169" i="1" s="1"/>
  <c r="J269" i="1"/>
  <c r="L269" i="1" s="1"/>
  <c r="J8223" i="1"/>
  <c r="L8223" i="1" s="1"/>
  <c r="J277" i="1"/>
  <c r="L277" i="1" s="1"/>
  <c r="J322" i="1"/>
  <c r="L322" i="1" s="1"/>
  <c r="J327" i="1"/>
  <c r="L327" i="1" s="1"/>
  <c r="J355" i="1"/>
  <c r="L355" i="1" s="1"/>
  <c r="J359" i="1"/>
  <c r="L359" i="1" s="1"/>
  <c r="J550" i="1"/>
  <c r="L550" i="1" s="1"/>
  <c r="J8391" i="1"/>
  <c r="L8391" i="1" s="1"/>
  <c r="J570" i="1"/>
  <c r="L570" i="1" s="1"/>
  <c r="J574" i="1"/>
  <c r="L574" i="1" s="1"/>
  <c r="J8397" i="1"/>
  <c r="L8397" i="1" s="1"/>
  <c r="J8448" i="1"/>
  <c r="L8448" i="1" s="1"/>
  <c r="J627" i="1"/>
  <c r="L627" i="1" s="1"/>
  <c r="J8482" i="1"/>
  <c r="L8482" i="1" s="1"/>
  <c r="J8552" i="1"/>
  <c r="L8552" i="1" s="1"/>
  <c r="J8588" i="1"/>
  <c r="L8588" i="1" s="1"/>
  <c r="J717" i="1"/>
  <c r="L717" i="1" s="1"/>
  <c r="J726" i="1"/>
  <c r="L726" i="1" s="1"/>
  <c r="J739" i="1"/>
  <c r="L739" i="1" s="1"/>
  <c r="J761" i="1"/>
  <c r="L761" i="1" s="1"/>
  <c r="J8645" i="1"/>
  <c r="L8645" i="1" s="1"/>
  <c r="J791" i="1"/>
  <c r="L791" i="1" s="1"/>
  <c r="J794" i="1"/>
  <c r="L794" i="1" s="1"/>
  <c r="J795" i="1"/>
  <c r="L795" i="1" s="1"/>
  <c r="J811" i="1"/>
  <c r="L811" i="1" s="1"/>
  <c r="J8796" i="1"/>
  <c r="L8796" i="1" s="1"/>
  <c r="J8897" i="1"/>
  <c r="L8897" i="1" s="1"/>
  <c r="J965" i="1"/>
  <c r="L965" i="1" s="1"/>
  <c r="J9000" i="1"/>
  <c r="L9000" i="1" s="1"/>
  <c r="J9054" i="1"/>
  <c r="L9054" i="1" s="1"/>
  <c r="J1062" i="1"/>
  <c r="L1062" i="1" s="1"/>
  <c r="J1117" i="1"/>
  <c r="L1117" i="1" s="1"/>
  <c r="J1123" i="1"/>
  <c r="L1123" i="1" s="1"/>
  <c r="J9187" i="1"/>
  <c r="L9187" i="1" s="1"/>
  <c r="J1194" i="1"/>
  <c r="L1194" i="1" s="1"/>
  <c r="J1200" i="1"/>
  <c r="L1200" i="1" s="1"/>
  <c r="J9225" i="1"/>
  <c r="L9225" i="1" s="1"/>
  <c r="J1211" i="1"/>
  <c r="L1211" i="1" s="1"/>
  <c r="J1213" i="1"/>
  <c r="L1213" i="1" s="1"/>
  <c r="J1219" i="1"/>
  <c r="L1219" i="1" s="1"/>
  <c r="J1409" i="1"/>
  <c r="L1409" i="1" s="1"/>
  <c r="J1422" i="1"/>
  <c r="L1422" i="1" s="1"/>
  <c r="J9463" i="1"/>
  <c r="L9463" i="1" s="1"/>
  <c r="J1444" i="1"/>
  <c r="L1444" i="1" s="1"/>
  <c r="J1445" i="1"/>
  <c r="L1445" i="1" s="1"/>
  <c r="J1452" i="1"/>
  <c r="L1452" i="1" s="1"/>
  <c r="J1456" i="1"/>
  <c r="L1456" i="1" s="1"/>
  <c r="J1461" i="1"/>
  <c r="L1461" i="1" s="1"/>
  <c r="J1505" i="1"/>
  <c r="L1505" i="1" s="1"/>
  <c r="J1516" i="1"/>
  <c r="L1516" i="1" s="1"/>
  <c r="J9499" i="1"/>
  <c r="L9499" i="1" s="1"/>
  <c r="J9520" i="1"/>
  <c r="L9520" i="1" s="1"/>
  <c r="J1600" i="1"/>
  <c r="L1600" i="1" s="1"/>
  <c r="J1620" i="1"/>
  <c r="L1620" i="1" s="1"/>
  <c r="J1625" i="1"/>
  <c r="L1625" i="1" s="1"/>
  <c r="J1629" i="1"/>
  <c r="L1629" i="1" s="1"/>
  <c r="J1632" i="1"/>
  <c r="L1632" i="1" s="1"/>
  <c r="J1636" i="1"/>
  <c r="L1636" i="1" s="1"/>
  <c r="J1637" i="1"/>
  <c r="L1637" i="1" s="1"/>
  <c r="J1644" i="1"/>
  <c r="L1644" i="1" s="1"/>
  <c r="J1650" i="1"/>
  <c r="L1650" i="1" s="1"/>
  <c r="J1653" i="1"/>
  <c r="L1653" i="1" s="1"/>
  <c r="J1663" i="1"/>
  <c r="L1663" i="1" s="1"/>
  <c r="J1664" i="1"/>
  <c r="L1664" i="1" s="1"/>
  <c r="J9531" i="1"/>
  <c r="L9531" i="1" s="1"/>
  <c r="J9553" i="1"/>
  <c r="L9553" i="1" s="1"/>
  <c r="J9554" i="1"/>
  <c r="L9554" i="1" s="1"/>
  <c r="J9646" i="1"/>
  <c r="L9646" i="1" s="1"/>
  <c r="J1704" i="1"/>
  <c r="L1704" i="1" s="1"/>
  <c r="J1731" i="1"/>
  <c r="L1731" i="1" s="1"/>
  <c r="J1743" i="1"/>
  <c r="L1743" i="1" s="1"/>
  <c r="J1746" i="1"/>
  <c r="L1746" i="1" s="1"/>
  <c r="J1747" i="1"/>
  <c r="L1747" i="1" s="1"/>
  <c r="J1753" i="1"/>
  <c r="L1753" i="1" s="1"/>
  <c r="J1758" i="1"/>
  <c r="L1758" i="1" s="1"/>
  <c r="J1761" i="1"/>
  <c r="L1761" i="1" s="1"/>
  <c r="J1767" i="1"/>
  <c r="L1767" i="1" s="1"/>
  <c r="J9686" i="1"/>
  <c r="L9686" i="1" s="1"/>
  <c r="J1771" i="1"/>
  <c r="L1771" i="1" s="1"/>
  <c r="J1782" i="1"/>
  <c r="L1782" i="1" s="1"/>
  <c r="J9742" i="1"/>
  <c r="L9742" i="1" s="1"/>
  <c r="J9743" i="1"/>
  <c r="L9743" i="1" s="1"/>
  <c r="J1867" i="1"/>
  <c r="L1867" i="1" s="1"/>
  <c r="J1868" i="1"/>
  <c r="L1868" i="1" s="1"/>
  <c r="J1896" i="1"/>
  <c r="L1896" i="1" s="1"/>
  <c r="J9919" i="1"/>
  <c r="L9919" i="1" s="1"/>
  <c r="J1925" i="1"/>
  <c r="L1925" i="1" s="1"/>
  <c r="J9927" i="1"/>
  <c r="L9927" i="1" s="1"/>
  <c r="J1944" i="1"/>
  <c r="L1944" i="1" s="1"/>
  <c r="J9940" i="1"/>
  <c r="L9940" i="1" s="1"/>
  <c r="J10023" i="1"/>
  <c r="L10023" i="1" s="1"/>
  <c r="J10026" i="1"/>
  <c r="L10026" i="1" s="1"/>
  <c r="J1995" i="1"/>
  <c r="L1995" i="1" s="1"/>
  <c r="J10094" i="1"/>
  <c r="L10094" i="1" s="1"/>
  <c r="J10114" i="1"/>
  <c r="L10114" i="1" s="1"/>
  <c r="J2041" i="1"/>
  <c r="L2041" i="1" s="1"/>
  <c r="J2078" i="1"/>
  <c r="L2078" i="1" s="1"/>
  <c r="J10255" i="1"/>
  <c r="L10255" i="1" s="1"/>
  <c r="J2129" i="1"/>
  <c r="L2129" i="1" s="1"/>
  <c r="J2146" i="1"/>
  <c r="L2146" i="1" s="1"/>
  <c r="J2148" i="1"/>
  <c r="L2148" i="1" s="1"/>
  <c r="J2197" i="1"/>
  <c r="L2197" i="1" s="1"/>
  <c r="J10332" i="1"/>
  <c r="L10332" i="1" s="1"/>
  <c r="J10336" i="1"/>
  <c r="L10336" i="1" s="1"/>
  <c r="J10379" i="1"/>
  <c r="L10379" i="1" s="1"/>
  <c r="J10411" i="1"/>
  <c r="L10411" i="1" s="1"/>
  <c r="J2369" i="1"/>
  <c r="L2369" i="1" s="1"/>
  <c r="J2401" i="1"/>
  <c r="L2401" i="1" s="1"/>
  <c r="J2414" i="1"/>
  <c r="L2414" i="1" s="1"/>
  <c r="J2424" i="1"/>
  <c r="L2424" i="1" s="1"/>
  <c r="J10494" i="1"/>
  <c r="L10494" i="1" s="1"/>
  <c r="J10535" i="1"/>
  <c r="L10535" i="1" s="1"/>
  <c r="J10536" i="1"/>
  <c r="L10536" i="1" s="1"/>
  <c r="J10547" i="1"/>
  <c r="L10547" i="1" s="1"/>
  <c r="J10548" i="1"/>
  <c r="L10548" i="1" s="1"/>
  <c r="J2617" i="1"/>
  <c r="L2617" i="1" s="1"/>
  <c r="J10673" i="1"/>
  <c r="L10673" i="1" s="1"/>
  <c r="J2642" i="1"/>
  <c r="L2642" i="1" s="1"/>
  <c r="J10714" i="1"/>
  <c r="L10714" i="1" s="1"/>
  <c r="J10784" i="1"/>
  <c r="L10784" i="1" s="1"/>
  <c r="J10785" i="1"/>
  <c r="L10785" i="1" s="1"/>
  <c r="J10786" i="1"/>
  <c r="L10786" i="1" s="1"/>
  <c r="J10787" i="1"/>
  <c r="L10787" i="1" s="1"/>
  <c r="J2677" i="1"/>
  <c r="L2677" i="1" s="1"/>
  <c r="J10912" i="1"/>
  <c r="L10912" i="1" s="1"/>
  <c r="J10941" i="1"/>
  <c r="L10941" i="1" s="1"/>
  <c r="J2718" i="1"/>
  <c r="L2718" i="1" s="1"/>
  <c r="J11068" i="1"/>
  <c r="L11068" i="1" s="1"/>
  <c r="J11153" i="1"/>
  <c r="L11153" i="1" s="1"/>
  <c r="J11154" i="1"/>
  <c r="L11154" i="1" s="1"/>
  <c r="J11280" i="1"/>
  <c r="L11280" i="1" s="1"/>
  <c r="J11292" i="1"/>
  <c r="L11292" i="1" s="1"/>
  <c r="J11293" i="1"/>
  <c r="L11293" i="1" s="1"/>
  <c r="J11379" i="1"/>
  <c r="L11379" i="1" s="1"/>
  <c r="J2841" i="1"/>
  <c r="L2841" i="1" s="1"/>
  <c r="J2857" i="1"/>
  <c r="L2857" i="1" s="1"/>
  <c r="J2866" i="1"/>
  <c r="L2866" i="1" s="1"/>
  <c r="J2884" i="1"/>
  <c r="L2884" i="1" s="1"/>
  <c r="J3013" i="1"/>
  <c r="L3013" i="1" s="1"/>
  <c r="J3053" i="1"/>
  <c r="L3053" i="1" s="1"/>
  <c r="J3054" i="1"/>
  <c r="L3054" i="1" s="1"/>
  <c r="J3055" i="1"/>
  <c r="L3055" i="1" s="1"/>
  <c r="J3056" i="1"/>
  <c r="L3056" i="1" s="1"/>
  <c r="J11648" i="1"/>
  <c r="L11648" i="1" s="1"/>
  <c r="J11723" i="1"/>
  <c r="L11723" i="1" s="1"/>
  <c r="J11759" i="1"/>
  <c r="L11759" i="1" s="1"/>
  <c r="J3167" i="1"/>
  <c r="L3167" i="1" s="1"/>
  <c r="J11807" i="1"/>
  <c r="L11807" i="1" s="1"/>
  <c r="J3208" i="1"/>
  <c r="L3208" i="1" s="1"/>
  <c r="J11830" i="1"/>
  <c r="L11830" i="1" s="1"/>
  <c r="J3247" i="1"/>
  <c r="L3247" i="1" s="1"/>
  <c r="J11875" i="1"/>
  <c r="L11875" i="1" s="1"/>
  <c r="J3262" i="1"/>
  <c r="L3262" i="1" s="1"/>
  <c r="J3263" i="1"/>
  <c r="L3263" i="1" s="1"/>
  <c r="J11983" i="1"/>
  <c r="L11983" i="1" s="1"/>
  <c r="J12039" i="1"/>
  <c r="L12039" i="1" s="1"/>
  <c r="J12065" i="1"/>
  <c r="L12065" i="1" s="1"/>
  <c r="J12069" i="1"/>
  <c r="L12069" i="1" s="1"/>
  <c r="J12083" i="1"/>
  <c r="L12083" i="1" s="1"/>
  <c r="J12092" i="1"/>
  <c r="L12092" i="1" s="1"/>
  <c r="J3407" i="1"/>
  <c r="L3407" i="1" s="1"/>
  <c r="J3457" i="1"/>
  <c r="L3457" i="1" s="1"/>
  <c r="J3512" i="1"/>
  <c r="L3512" i="1" s="1"/>
  <c r="J3519" i="1"/>
  <c r="L3519" i="1" s="1"/>
  <c r="J3525" i="1"/>
  <c r="L3525" i="1" s="1"/>
  <c r="J3531" i="1"/>
  <c r="L3531" i="1" s="1"/>
  <c r="J3536" i="1"/>
  <c r="L3536" i="1" s="1"/>
  <c r="J12371" i="1"/>
  <c r="L12371" i="1" s="1"/>
  <c r="J12397" i="1"/>
  <c r="L12397" i="1" s="1"/>
  <c r="J12524" i="1"/>
  <c r="L12524" i="1" s="1"/>
  <c r="J3830" i="1"/>
  <c r="L3830" i="1" s="1"/>
  <c r="J3852" i="1"/>
  <c r="L3852" i="1" s="1"/>
  <c r="J3857" i="1"/>
  <c r="L3857" i="1" s="1"/>
  <c r="J3860" i="1"/>
  <c r="L3860" i="1" s="1"/>
  <c r="J3864" i="1"/>
  <c r="L3864" i="1" s="1"/>
  <c r="J3881" i="1"/>
  <c r="L3881" i="1" s="1"/>
  <c r="J3887" i="1"/>
  <c r="L3887" i="1" s="1"/>
  <c r="J3967" i="1"/>
  <c r="L3967" i="1" s="1"/>
  <c r="J3968" i="1"/>
  <c r="L3968" i="1" s="1"/>
  <c r="J3982" i="1"/>
  <c r="L3982" i="1" s="1"/>
  <c r="J3989" i="1"/>
  <c r="L3989" i="1" s="1"/>
  <c r="J4001" i="1"/>
  <c r="L4001" i="1" s="1"/>
  <c r="J12857" i="1"/>
  <c r="L12857" i="1" s="1"/>
  <c r="J12897" i="1"/>
  <c r="L12897" i="1" s="1"/>
  <c r="J12898" i="1"/>
  <c r="L12898" i="1" s="1"/>
  <c r="J12916" i="1"/>
  <c r="L12916" i="1" s="1"/>
  <c r="J4081" i="1"/>
  <c r="L4081" i="1" s="1"/>
  <c r="J4082" i="1"/>
  <c r="L4082" i="1" s="1"/>
  <c r="J4089" i="1"/>
  <c r="L4089" i="1" s="1"/>
  <c r="J4091" i="1"/>
  <c r="L4091" i="1" s="1"/>
  <c r="J4099" i="1"/>
  <c r="L4099" i="1" s="1"/>
  <c r="J4171" i="1"/>
  <c r="L4171" i="1" s="1"/>
  <c r="J4172" i="1"/>
  <c r="L4172" i="1" s="1"/>
  <c r="J13243" i="1"/>
  <c r="L13243" i="1" s="1"/>
  <c r="J4240" i="1"/>
  <c r="L4240" i="1" s="1"/>
  <c r="J13300" i="1"/>
  <c r="L13300" i="1" s="1"/>
  <c r="J4295" i="1"/>
  <c r="L4295" i="1" s="1"/>
  <c r="J4307" i="1"/>
  <c r="L4307" i="1" s="1"/>
  <c r="J4342" i="1"/>
  <c r="L4342" i="1" s="1"/>
  <c r="J13476" i="1"/>
  <c r="L13476" i="1" s="1"/>
  <c r="J4345" i="1"/>
  <c r="L4345" i="1" s="1"/>
  <c r="J13495" i="1"/>
  <c r="L13495" i="1" s="1"/>
  <c r="J4358" i="1"/>
  <c r="L4358" i="1" s="1"/>
  <c r="J4367" i="1"/>
  <c r="L4367" i="1" s="1"/>
  <c r="J4380" i="1"/>
  <c r="L4380" i="1" s="1"/>
  <c r="J4387" i="1"/>
  <c r="L4387" i="1" s="1"/>
  <c r="J4397" i="1"/>
  <c r="L4397" i="1" s="1"/>
  <c r="J13769" i="1"/>
  <c r="L13769" i="1" s="1"/>
  <c r="J4434" i="1"/>
  <c r="L4434" i="1" s="1"/>
  <c r="J13784" i="1"/>
  <c r="L13784" i="1" s="1"/>
  <c r="J13828" i="1"/>
  <c r="L13828" i="1" s="1"/>
  <c r="J4557" i="1"/>
  <c r="L4557" i="1" s="1"/>
  <c r="J13848" i="1"/>
  <c r="L13848" i="1" s="1"/>
  <c r="J4579" i="1"/>
  <c r="L4579" i="1" s="1"/>
  <c r="J4580" i="1"/>
  <c r="L4580" i="1" s="1"/>
  <c r="J4583" i="1"/>
  <c r="L4583" i="1" s="1"/>
  <c r="J4588" i="1"/>
  <c r="L4588" i="1" s="1"/>
  <c r="J4736" i="1"/>
  <c r="L4736" i="1" s="1"/>
  <c r="J4754" i="1"/>
  <c r="L4754" i="1" s="1"/>
  <c r="J4809" i="1"/>
  <c r="L4809" i="1" s="1"/>
  <c r="J14198" i="1"/>
  <c r="L14198" i="1" s="1"/>
  <c r="J14267" i="1"/>
  <c r="L14267" i="1" s="1"/>
  <c r="J14338" i="1"/>
  <c r="L14338" i="1" s="1"/>
  <c r="J14350" i="1"/>
  <c r="L14350" i="1" s="1"/>
  <c r="J14351" i="1"/>
  <c r="L14351" i="1" s="1"/>
  <c r="J4914" i="1"/>
  <c r="L4914" i="1" s="1"/>
  <c r="J4917" i="1"/>
  <c r="L4917" i="1" s="1"/>
  <c r="J14491" i="1"/>
  <c r="L14491" i="1" s="1"/>
  <c r="J14492" i="1"/>
  <c r="L14492" i="1" s="1"/>
  <c r="J14511" i="1"/>
  <c r="L14511" i="1" s="1"/>
  <c r="J4970" i="1"/>
  <c r="L4970" i="1" s="1"/>
  <c r="J14544" i="1"/>
  <c r="L14544" i="1" s="1"/>
  <c r="J14548" i="1"/>
  <c r="L14548" i="1" s="1"/>
  <c r="J14549" i="1"/>
  <c r="L14549" i="1" s="1"/>
  <c r="J14582" i="1"/>
  <c r="L14582" i="1" s="1"/>
  <c r="J14583" i="1"/>
  <c r="L14583" i="1" s="1"/>
  <c r="J14584" i="1"/>
  <c r="L14584" i="1" s="1"/>
  <c r="J14703" i="1"/>
  <c r="L14703" i="1" s="1"/>
  <c r="J14719" i="1"/>
  <c r="L14719" i="1" s="1"/>
  <c r="J14835" i="1"/>
  <c r="L14835" i="1" s="1"/>
  <c r="J14918" i="1"/>
  <c r="L14918" i="1" s="1"/>
  <c r="J5049" i="1"/>
  <c r="L5049" i="1" s="1"/>
  <c r="J14975" i="1"/>
  <c r="L14975" i="1" s="1"/>
  <c r="J5212" i="1"/>
  <c r="L5212" i="1" s="1"/>
  <c r="J5213" i="1"/>
  <c r="L5213" i="1" s="1"/>
  <c r="J5251" i="1"/>
  <c r="L5251" i="1" s="1"/>
  <c r="J5322" i="1"/>
  <c r="L5322" i="1" s="1"/>
  <c r="J15205" i="1"/>
  <c r="L15205" i="1" s="1"/>
  <c r="J5439" i="1"/>
  <c r="L5439" i="1" s="1"/>
  <c r="J15235" i="1"/>
  <c r="L15235" i="1" s="1"/>
  <c r="J15237" i="1"/>
  <c r="L15237" i="1" s="1"/>
  <c r="J5479" i="1"/>
  <c r="L5479" i="1" s="1"/>
  <c r="J5502" i="1"/>
  <c r="L5502" i="1" s="1"/>
  <c r="J15289" i="1"/>
  <c r="L15289" i="1" s="1"/>
  <c r="J5552" i="1"/>
  <c r="L5552" i="1" s="1"/>
  <c r="J15395" i="1"/>
  <c r="L15395" i="1" s="1"/>
  <c r="J15396" i="1"/>
  <c r="L15396" i="1" s="1"/>
  <c r="J15475" i="1"/>
  <c r="L15475" i="1" s="1"/>
  <c r="J5693" i="1"/>
  <c r="L5693" i="1" s="1"/>
  <c r="J5713" i="1"/>
  <c r="L5713" i="1" s="1"/>
  <c r="J5722" i="1"/>
  <c r="L5722" i="1" s="1"/>
  <c r="J15650" i="1"/>
  <c r="L15650" i="1" s="1"/>
  <c r="J15651" i="1"/>
  <c r="L15651" i="1" s="1"/>
  <c r="J15654" i="1"/>
  <c r="L15654" i="1" s="1"/>
  <c r="J15662" i="1"/>
  <c r="L15662" i="1" s="1"/>
  <c r="J5802" i="1"/>
  <c r="L5802" i="1" s="1"/>
  <c r="J5804" i="1"/>
  <c r="L5804" i="1" s="1"/>
  <c r="J5808" i="1"/>
  <c r="L5808" i="1" s="1"/>
  <c r="J5821" i="1"/>
  <c r="L5821" i="1" s="1"/>
  <c r="J5823" i="1"/>
  <c r="L5823" i="1" s="1"/>
  <c r="J5837" i="1"/>
  <c r="L5837" i="1" s="1"/>
  <c r="J5848" i="1"/>
  <c r="L5848" i="1" s="1"/>
  <c r="J5853" i="1"/>
  <c r="L5853" i="1" s="1"/>
  <c r="J5854" i="1"/>
  <c r="L5854" i="1" s="1"/>
  <c r="J15776" i="1"/>
  <c r="L15776" i="1" s="1"/>
  <c r="J15808" i="1"/>
  <c r="L15808" i="1" s="1"/>
  <c r="J15814" i="1"/>
  <c r="L15814" i="1" s="1"/>
  <c r="J5901" i="1"/>
  <c r="L5901" i="1" s="1"/>
  <c r="J5909" i="1"/>
  <c r="L5909" i="1" s="1"/>
  <c r="J15831" i="1"/>
  <c r="L15831" i="1" s="1"/>
  <c r="J5925" i="1"/>
  <c r="L5925" i="1" s="1"/>
  <c r="J15844" i="1"/>
  <c r="L15844" i="1" s="1"/>
  <c r="J15845" i="1"/>
  <c r="L15845" i="1" s="1"/>
  <c r="J15885" i="1"/>
  <c r="L15885" i="1" s="1"/>
  <c r="J6135" i="1"/>
  <c r="L6135" i="1" s="1"/>
  <c r="J15911" i="1"/>
  <c r="L15911" i="1" s="1"/>
  <c r="J6164" i="1"/>
  <c r="L6164" i="1" s="1"/>
  <c r="J6183" i="1"/>
  <c r="L6183" i="1" s="1"/>
  <c r="J6191" i="1"/>
  <c r="L6191" i="1" s="1"/>
  <c r="J6194" i="1"/>
  <c r="L6194" i="1" s="1"/>
  <c r="J6221" i="1"/>
  <c r="L6221" i="1" s="1"/>
  <c r="J6252" i="1"/>
  <c r="L6252" i="1" s="1"/>
  <c r="J16146" i="1"/>
  <c r="L16146" i="1" s="1"/>
  <c r="J6345" i="1"/>
  <c r="L6345" i="1" s="1"/>
  <c r="J16170" i="1"/>
  <c r="L16170" i="1" s="1"/>
  <c r="J6370" i="1"/>
  <c r="L6370" i="1" s="1"/>
  <c r="J6387" i="1"/>
  <c r="L6387" i="1" s="1"/>
  <c r="J6388" i="1"/>
  <c r="L6388" i="1" s="1"/>
  <c r="J6403" i="1"/>
  <c r="L6403" i="1" s="1"/>
  <c r="J16259" i="1"/>
  <c r="L16259" i="1" s="1"/>
  <c r="J16277" i="1"/>
  <c r="L16277" i="1" s="1"/>
  <c r="J16279" i="1"/>
  <c r="L16279" i="1" s="1"/>
  <c r="J16311" i="1"/>
  <c r="L16311" i="1" s="1"/>
  <c r="J16315" i="1"/>
  <c r="L16315" i="1" s="1"/>
  <c r="J6426" i="1"/>
  <c r="L6426" i="1" s="1"/>
  <c r="J6440" i="1"/>
  <c r="L6440" i="1" s="1"/>
  <c r="J6451" i="1"/>
  <c r="L6451" i="1" s="1"/>
  <c r="J16337" i="1"/>
  <c r="L16337" i="1" s="1"/>
  <c r="J6485" i="1"/>
  <c r="L6485" i="1" s="1"/>
  <c r="J16419" i="1"/>
  <c r="L16419" i="1" s="1"/>
  <c r="J16420" i="1"/>
  <c r="L16420" i="1" s="1"/>
  <c r="J16469" i="1"/>
  <c r="L16469" i="1" s="1"/>
  <c r="J16474" i="1"/>
  <c r="L16474" i="1" s="1"/>
  <c r="J6600" i="1"/>
  <c r="L6600" i="1" s="1"/>
  <c r="J6629" i="1"/>
  <c r="L6629" i="1" s="1"/>
  <c r="J6637" i="1"/>
  <c r="L6637" i="1" s="1"/>
  <c r="J16693" i="1"/>
  <c r="L16693" i="1" s="1"/>
  <c r="J16698" i="1"/>
  <c r="L16698" i="1" s="1"/>
  <c r="J16860" i="1"/>
  <c r="L16860" i="1" s="1"/>
  <c r="J6775" i="1"/>
  <c r="L6775" i="1" s="1"/>
  <c r="J6785" i="1"/>
  <c r="L6785" i="1" s="1"/>
  <c r="J17049" i="1"/>
  <c r="L17049" i="1" s="1"/>
  <c r="J17050" i="1"/>
  <c r="L17050" i="1" s="1"/>
  <c r="J17059" i="1"/>
  <c r="L17059" i="1" s="1"/>
  <c r="J17087" i="1"/>
  <c r="L17087" i="1" s="1"/>
  <c r="J6941" i="1"/>
  <c r="L6941" i="1" s="1"/>
  <c r="J17166" i="1"/>
  <c r="L17166" i="1" s="1"/>
  <c r="J17168" i="1"/>
  <c r="L17168" i="1" s="1"/>
  <c r="J17176" i="1"/>
  <c r="L17176" i="1" s="1"/>
  <c r="J6983" i="1"/>
  <c r="L6983" i="1" s="1"/>
  <c r="J7047" i="1"/>
  <c r="L7047" i="1" s="1"/>
  <c r="J7049" i="1"/>
  <c r="L7049" i="1" s="1"/>
  <c r="J7058" i="1"/>
  <c r="L7058" i="1" s="1"/>
  <c r="J17226" i="1"/>
  <c r="L17226" i="1" s="1"/>
  <c r="J7147" i="1"/>
  <c r="L7147" i="1" s="1"/>
  <c r="J7236" i="1"/>
  <c r="L7236" i="1" s="1"/>
  <c r="J7238" i="1"/>
  <c r="L7238" i="1" s="1"/>
  <c r="J7" i="1"/>
  <c r="L7" i="1" s="1"/>
  <c r="J8" i="1"/>
  <c r="L8" i="1" s="1"/>
  <c r="J9" i="1"/>
  <c r="L9" i="1" s="1"/>
  <c r="J7267" i="1"/>
  <c r="L7267" i="1" s="1"/>
  <c r="J7293" i="1"/>
  <c r="L7293" i="1" s="1"/>
  <c r="J27" i="1"/>
  <c r="L27" i="1" s="1"/>
  <c r="J30" i="1"/>
  <c r="L30" i="1" s="1"/>
  <c r="J7409" i="1"/>
  <c r="L7409" i="1" s="1"/>
  <c r="J89" i="1"/>
  <c r="L89" i="1" s="1"/>
  <c r="J7554" i="1"/>
  <c r="L7554" i="1" s="1"/>
  <c r="J138" i="1"/>
  <c r="L138" i="1" s="1"/>
  <c r="J151" i="1"/>
  <c r="L151" i="1" s="1"/>
  <c r="J7651" i="1"/>
  <c r="L7651" i="1" s="1"/>
  <c r="J7679" i="1"/>
  <c r="L7679" i="1" s="1"/>
  <c r="J7680" i="1"/>
  <c r="L7680" i="1" s="1"/>
  <c r="J7739" i="1"/>
  <c r="L7739" i="1" s="1"/>
  <c r="J7834" i="1"/>
  <c r="L7834" i="1" s="1"/>
  <c r="J7855" i="1"/>
  <c r="L7855" i="1" s="1"/>
  <c r="J7859" i="1"/>
  <c r="L7859" i="1" s="1"/>
  <c r="J218" i="1"/>
  <c r="L218" i="1" s="1"/>
  <c r="J241" i="1"/>
  <c r="L241" i="1" s="1"/>
  <c r="J242" i="1"/>
  <c r="L242" i="1" s="1"/>
  <c r="J7907" i="1"/>
  <c r="L7907" i="1" s="1"/>
  <c r="J7937" i="1"/>
  <c r="L7937" i="1" s="1"/>
  <c r="J7938" i="1"/>
  <c r="L7938" i="1" s="1"/>
  <c r="J8052" i="1"/>
  <c r="L8052" i="1" s="1"/>
  <c r="J8060" i="1"/>
  <c r="L8060" i="1" s="1"/>
  <c r="J8061" i="1"/>
  <c r="L8061" i="1" s="1"/>
  <c r="J8070" i="1"/>
  <c r="L8070" i="1" s="1"/>
  <c r="J8076" i="1"/>
  <c r="L8076" i="1" s="1"/>
  <c r="J249" i="1"/>
  <c r="L249" i="1" s="1"/>
  <c r="J257" i="1"/>
  <c r="L257" i="1" s="1"/>
  <c r="J298" i="1"/>
  <c r="L298" i="1" s="1"/>
  <c r="J303" i="1"/>
  <c r="L303" i="1" s="1"/>
  <c r="J305" i="1"/>
  <c r="L305" i="1" s="1"/>
  <c r="J320" i="1"/>
  <c r="L320" i="1" s="1"/>
  <c r="J326" i="1"/>
  <c r="L326" i="1" s="1"/>
  <c r="J333" i="1"/>
  <c r="L333" i="1" s="1"/>
  <c r="J343" i="1"/>
  <c r="L343" i="1" s="1"/>
  <c r="J8387" i="1"/>
  <c r="L8387" i="1" s="1"/>
  <c r="J521" i="1"/>
  <c r="L521" i="1" s="1"/>
  <c r="J599" i="1"/>
  <c r="L599" i="1" s="1"/>
  <c r="J8443" i="1"/>
  <c r="L8443" i="1" s="1"/>
  <c r="J8454" i="1"/>
  <c r="L8454" i="1" s="1"/>
  <c r="J8519" i="1"/>
  <c r="L8519" i="1" s="1"/>
  <c r="J8520" i="1"/>
  <c r="L8520" i="1" s="1"/>
  <c r="J707" i="1"/>
  <c r="L707" i="1" s="1"/>
  <c r="J8587" i="1"/>
  <c r="L8587" i="1" s="1"/>
  <c r="J728" i="1"/>
  <c r="L728" i="1" s="1"/>
  <c r="J731" i="1"/>
  <c r="L731" i="1" s="1"/>
  <c r="J772" i="1"/>
  <c r="L772" i="1" s="1"/>
  <c r="J8641" i="1"/>
  <c r="L8641" i="1" s="1"/>
  <c r="J8778" i="1"/>
  <c r="L8778" i="1" s="1"/>
  <c r="J8810" i="1"/>
  <c r="L8810" i="1" s="1"/>
  <c r="J8846" i="1"/>
  <c r="L8846" i="1" s="1"/>
  <c r="J918" i="1"/>
  <c r="L918" i="1" s="1"/>
  <c r="J8920" i="1"/>
  <c r="L8920" i="1" s="1"/>
  <c r="J8997" i="1"/>
  <c r="L8997" i="1" s="1"/>
  <c r="J9014" i="1"/>
  <c r="L9014" i="1" s="1"/>
  <c r="J1022" i="1"/>
  <c r="L1022" i="1" s="1"/>
  <c r="J1032" i="1"/>
  <c r="L1032" i="1" s="1"/>
  <c r="J1040" i="1"/>
  <c r="L1040" i="1" s="1"/>
  <c r="J9045" i="1"/>
  <c r="L9045" i="1" s="1"/>
  <c r="J1048" i="1"/>
  <c r="L1048" i="1" s="1"/>
  <c r="J9057" i="1"/>
  <c r="L9057" i="1" s="1"/>
  <c r="J1083" i="1"/>
  <c r="L1083" i="1" s="1"/>
  <c r="J1084" i="1"/>
  <c r="L1084" i="1" s="1"/>
  <c r="J1092" i="1"/>
  <c r="L1092" i="1" s="1"/>
  <c r="J1102" i="1"/>
  <c r="L1102" i="1" s="1"/>
  <c r="J1108" i="1"/>
  <c r="L1108" i="1" s="1"/>
  <c r="J1110" i="1"/>
  <c r="L1110" i="1" s="1"/>
  <c r="J1124" i="1"/>
  <c r="L1124" i="1" s="1"/>
  <c r="J9138" i="1"/>
  <c r="L9138" i="1" s="1"/>
  <c r="J9139" i="1"/>
  <c r="L9139" i="1" s="1"/>
  <c r="J1149" i="1"/>
  <c r="L1149" i="1" s="1"/>
  <c r="J1159" i="1"/>
  <c r="L1159" i="1" s="1"/>
  <c r="J1174" i="1"/>
  <c r="L1174" i="1" s="1"/>
  <c r="J1195" i="1"/>
  <c r="L1195" i="1" s="1"/>
  <c r="J1212" i="1"/>
  <c r="L1212" i="1" s="1"/>
  <c r="J1222" i="1"/>
  <c r="L1222" i="1" s="1"/>
  <c r="J1379" i="1"/>
  <c r="L1379" i="1" s="1"/>
  <c r="J1401" i="1"/>
  <c r="L1401" i="1" s="1"/>
  <c r="J9373" i="1"/>
  <c r="L9373" i="1" s="1"/>
  <c r="J9415" i="1"/>
  <c r="L9415" i="1" s="1"/>
  <c r="J9424" i="1"/>
  <c r="L9424" i="1" s="1"/>
  <c r="J1424" i="1"/>
  <c r="L1424" i="1" s="1"/>
  <c r="J1453" i="1"/>
  <c r="L1453" i="1" s="1"/>
  <c r="J1459" i="1"/>
  <c r="L1459" i="1" s="1"/>
  <c r="J1480" i="1"/>
  <c r="L1480" i="1" s="1"/>
  <c r="J1481" i="1"/>
  <c r="L1481" i="1" s="1"/>
  <c r="J1487" i="1"/>
  <c r="L1487" i="1" s="1"/>
  <c r="J1512" i="1"/>
  <c r="L1512" i="1" s="1"/>
  <c r="J1513" i="1"/>
  <c r="L1513" i="1" s="1"/>
  <c r="J9500" i="1"/>
  <c r="L9500" i="1" s="1"/>
  <c r="J1571" i="1"/>
  <c r="L1571" i="1" s="1"/>
  <c r="J1594" i="1"/>
  <c r="L1594" i="1" s="1"/>
  <c r="J1599" i="1"/>
  <c r="L1599" i="1" s="1"/>
  <c r="J1602" i="1"/>
  <c r="L1602" i="1" s="1"/>
  <c r="J1612" i="1"/>
  <c r="L1612" i="1" s="1"/>
  <c r="J1622" i="1"/>
  <c r="L1622" i="1" s="1"/>
  <c r="J1624" i="1"/>
  <c r="L1624" i="1" s="1"/>
  <c r="J1647" i="1"/>
  <c r="L1647" i="1" s="1"/>
  <c r="J1659" i="1"/>
  <c r="L1659" i="1" s="1"/>
  <c r="J1660" i="1"/>
  <c r="L1660" i="1" s="1"/>
  <c r="J1661" i="1"/>
  <c r="L1661" i="1" s="1"/>
  <c r="J1662" i="1"/>
  <c r="L1662" i="1" s="1"/>
  <c r="J1684" i="1"/>
  <c r="L1684" i="1" s="1"/>
  <c r="J1691" i="1"/>
  <c r="L1691" i="1" s="1"/>
  <c r="J9654" i="1"/>
  <c r="L9654" i="1" s="1"/>
  <c r="J1695" i="1"/>
  <c r="L1695" i="1" s="1"/>
  <c r="J1701" i="1"/>
  <c r="L1701" i="1" s="1"/>
  <c r="J1702" i="1"/>
  <c r="L1702" i="1" s="1"/>
  <c r="J1703" i="1"/>
  <c r="L1703" i="1" s="1"/>
  <c r="J1728" i="1"/>
  <c r="L1728" i="1" s="1"/>
  <c r="J1765" i="1"/>
  <c r="L1765" i="1" s="1"/>
  <c r="J1780" i="1"/>
  <c r="L1780" i="1" s="1"/>
  <c r="J1864" i="1"/>
  <c r="L1864" i="1" s="1"/>
  <c r="J1865" i="1"/>
  <c r="L1865" i="1" s="1"/>
  <c r="J1866" i="1"/>
  <c r="L1866" i="1" s="1"/>
  <c r="J9773" i="1"/>
  <c r="L9773" i="1" s="1"/>
  <c r="J1901" i="1"/>
  <c r="L1901" i="1" s="1"/>
  <c r="J1940" i="1"/>
  <c r="L1940" i="1" s="1"/>
  <c r="J1942" i="1"/>
  <c r="L1942" i="1" s="1"/>
  <c r="J1943" i="1"/>
  <c r="L1943" i="1" s="1"/>
  <c r="J9958" i="1"/>
  <c r="L9958" i="1" s="1"/>
  <c r="J9978" i="1"/>
  <c r="L9978" i="1" s="1"/>
  <c r="J9993" i="1"/>
  <c r="L9993" i="1" s="1"/>
  <c r="J10001" i="1"/>
  <c r="L10001" i="1" s="1"/>
  <c r="J10004" i="1"/>
  <c r="L10004" i="1" s="1"/>
  <c r="J1968" i="1"/>
  <c r="L1968" i="1" s="1"/>
  <c r="J1989" i="1"/>
  <c r="L1989" i="1" s="1"/>
  <c r="J10032" i="1"/>
  <c r="L10032" i="1" s="1"/>
  <c r="J2009" i="1"/>
  <c r="L2009" i="1" s="1"/>
  <c r="J2014" i="1"/>
  <c r="L2014" i="1" s="1"/>
  <c r="J10045" i="1"/>
  <c r="L10045" i="1" s="1"/>
  <c r="J10064" i="1"/>
  <c r="L10064" i="1" s="1"/>
  <c r="J2032" i="1"/>
  <c r="L2032" i="1" s="1"/>
  <c r="J10093" i="1"/>
  <c r="L10093" i="1" s="1"/>
  <c r="J2053" i="1"/>
  <c r="L2053" i="1" s="1"/>
  <c r="J10150" i="1"/>
  <c r="L10150" i="1" s="1"/>
  <c r="J10189" i="1"/>
  <c r="L10189" i="1" s="1"/>
  <c r="J2091" i="1"/>
  <c r="L2091" i="1" s="1"/>
  <c r="J2110" i="1"/>
  <c r="L2110" i="1" s="1"/>
  <c r="J10306" i="1"/>
  <c r="L10306" i="1" s="1"/>
  <c r="J10318" i="1"/>
  <c r="L10318" i="1" s="1"/>
  <c r="J2231" i="1"/>
  <c r="L2231" i="1" s="1"/>
  <c r="J2233" i="1"/>
  <c r="L2233" i="1" s="1"/>
  <c r="J2241" i="1"/>
  <c r="L2241" i="1" s="1"/>
  <c r="J10380" i="1"/>
  <c r="L10380" i="1" s="1"/>
  <c r="J2283" i="1"/>
  <c r="L2283" i="1" s="1"/>
  <c r="J2293" i="1"/>
  <c r="L2293" i="1" s="1"/>
  <c r="J2294" i="1"/>
  <c r="L2294" i="1" s="1"/>
  <c r="J2295" i="1"/>
  <c r="L2295" i="1" s="1"/>
  <c r="J10422" i="1"/>
  <c r="L10422" i="1" s="1"/>
  <c r="J2318" i="1"/>
  <c r="L2318" i="1" s="1"/>
  <c r="J2319" i="1"/>
  <c r="L2319" i="1" s="1"/>
  <c r="J2329" i="1"/>
  <c r="L2329" i="1" s="1"/>
  <c r="J2345" i="1"/>
  <c r="L2345" i="1" s="1"/>
  <c r="J2352" i="1"/>
  <c r="L2352" i="1" s="1"/>
  <c r="J2370" i="1"/>
  <c r="L2370" i="1" s="1"/>
  <c r="J2435" i="1"/>
  <c r="L2435" i="1" s="1"/>
  <c r="J2458" i="1"/>
  <c r="L2458" i="1" s="1"/>
  <c r="J2480" i="1"/>
  <c r="L2480" i="1" s="1"/>
  <c r="J2542" i="1"/>
  <c r="L2542" i="1" s="1"/>
  <c r="J2551" i="1"/>
  <c r="L2551" i="1" s="1"/>
  <c r="J2553" i="1"/>
  <c r="L2553" i="1" s="1"/>
  <c r="J10534" i="1"/>
  <c r="L10534" i="1" s="1"/>
  <c r="J10546" i="1"/>
  <c r="L10546" i="1" s="1"/>
  <c r="J2611" i="1"/>
  <c r="L2611" i="1" s="1"/>
  <c r="J2636" i="1"/>
  <c r="L2636" i="1" s="1"/>
  <c r="J2661" i="1"/>
  <c r="L2661" i="1" s="1"/>
  <c r="J10885" i="1"/>
  <c r="L10885" i="1" s="1"/>
  <c r="J10905" i="1"/>
  <c r="L10905" i="1" s="1"/>
  <c r="J10940" i="1"/>
  <c r="L10940" i="1" s="1"/>
  <c r="J10951" i="1"/>
  <c r="L10951" i="1" s="1"/>
  <c r="J10952" i="1"/>
  <c r="L10952" i="1" s="1"/>
  <c r="J2723" i="1"/>
  <c r="L2723" i="1" s="1"/>
  <c r="J2744" i="1"/>
  <c r="L2744" i="1" s="1"/>
  <c r="J11117" i="1"/>
  <c r="L11117" i="1" s="1"/>
  <c r="J2771" i="1"/>
  <c r="L2771" i="1" s="1"/>
  <c r="J11151" i="1"/>
  <c r="L11151" i="1" s="1"/>
  <c r="J11152" i="1"/>
  <c r="L11152" i="1" s="1"/>
  <c r="J11256" i="1"/>
  <c r="L11256" i="1" s="1"/>
  <c r="J2796" i="1"/>
  <c r="L2796" i="1" s="1"/>
  <c r="J11382" i="1"/>
  <c r="L11382" i="1" s="1"/>
  <c r="J2826" i="1"/>
  <c r="L2826" i="1" s="1"/>
  <c r="J2840" i="1"/>
  <c r="L2840" i="1" s="1"/>
  <c r="J2871" i="1"/>
  <c r="L2871" i="1" s="1"/>
  <c r="J2875" i="1"/>
  <c r="L2875" i="1" s="1"/>
  <c r="J11526" i="1"/>
  <c r="L11526" i="1" s="1"/>
  <c r="J2905" i="1"/>
  <c r="L2905" i="1" s="1"/>
  <c r="J2974" i="1"/>
  <c r="L2974" i="1" s="1"/>
  <c r="J2985" i="1"/>
  <c r="L2985" i="1" s="1"/>
  <c r="J3095" i="1"/>
  <c r="L3095" i="1" s="1"/>
  <c r="J3097" i="1"/>
  <c r="L3097" i="1" s="1"/>
  <c r="J11721" i="1"/>
  <c r="L11721" i="1" s="1"/>
  <c r="J11722" i="1"/>
  <c r="L11722" i="1" s="1"/>
  <c r="J11743" i="1"/>
  <c r="L11743" i="1" s="1"/>
  <c r="J3165" i="1"/>
  <c r="L3165" i="1" s="1"/>
  <c r="J11815" i="1"/>
  <c r="L11815" i="1" s="1"/>
  <c r="J3240" i="1"/>
  <c r="L3240" i="1" s="1"/>
  <c r="J11982" i="1"/>
  <c r="L11982" i="1" s="1"/>
  <c r="J12022" i="1"/>
  <c r="L12022" i="1" s="1"/>
  <c r="J12050" i="1"/>
  <c r="L12050" i="1" s="1"/>
  <c r="J12063" i="1"/>
  <c r="L12063" i="1" s="1"/>
  <c r="J12064" i="1"/>
  <c r="L12064" i="1" s="1"/>
  <c r="J12072" i="1"/>
  <c r="L12072" i="1" s="1"/>
  <c r="J3364" i="1"/>
  <c r="L3364" i="1" s="1"/>
  <c r="J3365" i="1"/>
  <c r="L3365" i="1" s="1"/>
  <c r="J3382" i="1"/>
  <c r="L3382" i="1" s="1"/>
  <c r="J12122" i="1"/>
  <c r="L12122" i="1" s="1"/>
  <c r="J12141" i="1"/>
  <c r="L12141" i="1" s="1"/>
  <c r="J3397" i="1"/>
  <c r="L3397" i="1" s="1"/>
  <c r="J12203" i="1"/>
  <c r="L12203" i="1" s="1"/>
  <c r="J12208" i="1"/>
  <c r="L12208" i="1" s="1"/>
  <c r="J12225" i="1"/>
  <c r="L12225" i="1" s="1"/>
  <c r="J12240" i="1"/>
  <c r="L12240" i="1" s="1"/>
  <c r="J3494" i="1"/>
  <c r="L3494" i="1" s="1"/>
  <c r="J3508" i="1"/>
  <c r="L3508" i="1" s="1"/>
  <c r="J12321" i="1"/>
  <c r="L12321" i="1" s="1"/>
  <c r="J3529" i="1"/>
  <c r="L3529" i="1" s="1"/>
  <c r="J3530" i="1"/>
  <c r="L3530" i="1" s="1"/>
  <c r="J3539" i="1"/>
  <c r="L3539" i="1" s="1"/>
  <c r="J12370" i="1"/>
  <c r="L12370" i="1" s="1"/>
  <c r="J12410" i="1"/>
  <c r="L12410" i="1" s="1"/>
  <c r="J3572" i="1"/>
  <c r="L3572" i="1" s="1"/>
  <c r="J3586" i="1"/>
  <c r="L3586" i="1" s="1"/>
  <c r="J3587" i="1"/>
  <c r="L3587" i="1" s="1"/>
  <c r="J3588" i="1"/>
  <c r="L3588" i="1" s="1"/>
  <c r="J3591" i="1"/>
  <c r="L3591" i="1" s="1"/>
  <c r="J3747" i="1"/>
  <c r="L3747" i="1" s="1"/>
  <c r="J12641" i="1"/>
  <c r="L12641" i="1" s="1"/>
  <c r="J12698" i="1"/>
  <c r="L12698" i="1" s="1"/>
  <c r="J12718" i="1"/>
  <c r="L12718" i="1" s="1"/>
  <c r="J12720" i="1"/>
  <c r="L12720" i="1" s="1"/>
  <c r="J12728" i="1"/>
  <c r="L12728" i="1" s="1"/>
  <c r="J12730" i="1"/>
  <c r="L12730" i="1" s="1"/>
  <c r="J3824" i="1"/>
  <c r="L3824" i="1" s="1"/>
  <c r="J3826" i="1"/>
  <c r="L3826" i="1" s="1"/>
  <c r="J3834" i="1"/>
  <c r="L3834" i="1" s="1"/>
  <c r="J3851" i="1"/>
  <c r="L3851" i="1" s="1"/>
  <c r="J3859" i="1"/>
  <c r="L3859" i="1" s="1"/>
  <c r="J3890" i="1"/>
  <c r="L3890" i="1" s="1"/>
  <c r="J3892" i="1"/>
  <c r="L3892" i="1" s="1"/>
  <c r="J3999" i="1"/>
  <c r="L3999" i="1" s="1"/>
  <c r="J4002" i="1"/>
  <c r="L4002" i="1" s="1"/>
  <c r="J4010" i="1"/>
  <c r="L4010" i="1" s="1"/>
  <c r="J12877" i="1"/>
  <c r="L12877" i="1" s="1"/>
  <c r="J4050" i="1"/>
  <c r="L4050" i="1" s="1"/>
  <c r="J4058" i="1"/>
  <c r="L4058" i="1" s="1"/>
  <c r="J12991" i="1"/>
  <c r="L12991" i="1" s="1"/>
  <c r="J4085" i="1"/>
  <c r="L4085" i="1" s="1"/>
  <c r="J4161" i="1"/>
  <c r="L4161" i="1" s="1"/>
  <c r="J4168" i="1"/>
  <c r="L4168" i="1" s="1"/>
  <c r="J4169" i="1"/>
  <c r="L4169" i="1" s="1"/>
  <c r="J4170" i="1"/>
  <c r="L4170" i="1" s="1"/>
  <c r="J13073" i="1"/>
  <c r="L13073" i="1" s="1"/>
  <c r="J13074" i="1"/>
  <c r="L13074" i="1" s="1"/>
  <c r="J4209" i="1"/>
  <c r="L4209" i="1" s="1"/>
  <c r="J13141" i="1"/>
  <c r="L13141" i="1" s="1"/>
  <c r="J4225" i="1"/>
  <c r="L4225" i="1" s="1"/>
  <c r="J4241" i="1"/>
  <c r="L4241" i="1" s="1"/>
  <c r="J13329" i="1"/>
  <c r="L13329" i="1" s="1"/>
  <c r="J4296" i="1"/>
  <c r="L4296" i="1" s="1"/>
  <c r="J4304" i="1"/>
  <c r="L4304" i="1" s="1"/>
  <c r="J13390" i="1"/>
  <c r="L13390" i="1" s="1"/>
  <c r="J4327" i="1"/>
  <c r="L4327" i="1" s="1"/>
  <c r="J13525" i="1"/>
  <c r="L13525" i="1" s="1"/>
  <c r="J13554" i="1"/>
  <c r="L13554" i="1" s="1"/>
  <c r="J13557" i="1"/>
  <c r="L13557" i="1" s="1"/>
  <c r="J13558" i="1"/>
  <c r="L13558" i="1" s="1"/>
  <c r="J4382" i="1"/>
  <c r="L4382" i="1" s="1"/>
  <c r="J4383" i="1"/>
  <c r="L4383" i="1" s="1"/>
  <c r="J4394" i="1"/>
  <c r="L4394" i="1" s="1"/>
  <c r="J13610" i="1"/>
  <c r="L13610" i="1" s="1"/>
  <c r="J13612" i="1"/>
  <c r="L13612" i="1" s="1"/>
  <c r="J4409" i="1"/>
  <c r="L4409" i="1" s="1"/>
  <c r="J13711" i="1"/>
  <c r="L13711" i="1" s="1"/>
  <c r="J13766" i="1"/>
  <c r="L13766" i="1" s="1"/>
  <c r="J13767" i="1"/>
  <c r="L13767" i="1" s="1"/>
  <c r="J4433" i="1"/>
  <c r="L4433" i="1" s="1"/>
  <c r="J13781" i="1"/>
  <c r="L13781" i="1" s="1"/>
  <c r="J4514" i="1"/>
  <c r="L4514" i="1" s="1"/>
  <c r="J13787" i="1"/>
  <c r="L13787" i="1" s="1"/>
  <c r="J13788" i="1"/>
  <c r="L13788" i="1" s="1"/>
  <c r="J4550" i="1"/>
  <c r="L4550" i="1" s="1"/>
  <c r="J4552" i="1"/>
  <c r="L4552" i="1" s="1"/>
  <c r="J13827" i="1"/>
  <c r="L13827" i="1" s="1"/>
  <c r="J13839" i="1"/>
  <c r="L13839" i="1" s="1"/>
  <c r="J4560" i="1"/>
  <c r="L4560" i="1" s="1"/>
  <c r="J4563" i="1"/>
  <c r="L4563" i="1" s="1"/>
  <c r="J4586" i="1"/>
  <c r="L4586" i="1" s="1"/>
  <c r="J4600" i="1"/>
  <c r="L4600" i="1" s="1"/>
  <c r="J4629" i="1"/>
  <c r="L4629" i="1" s="1"/>
  <c r="J13915" i="1"/>
  <c r="L13915" i="1" s="1"/>
  <c r="J4657" i="1"/>
  <c r="L4657" i="1" s="1"/>
  <c r="J4686" i="1"/>
  <c r="L4686" i="1" s="1"/>
  <c r="J4734" i="1"/>
  <c r="L4734" i="1" s="1"/>
  <c r="J13937" i="1"/>
  <c r="L13937" i="1" s="1"/>
  <c r="J4752" i="1"/>
  <c r="L4752" i="1" s="1"/>
  <c r="J4763" i="1"/>
  <c r="L4763" i="1" s="1"/>
  <c r="J4826" i="1"/>
  <c r="L4826" i="1" s="1"/>
  <c r="J14197" i="1"/>
  <c r="L14197" i="1" s="1"/>
  <c r="J4839" i="1"/>
  <c r="L4839" i="1" s="1"/>
  <c r="J4841" i="1"/>
  <c r="L4841" i="1" s="1"/>
  <c r="J4858" i="1"/>
  <c r="L4858" i="1" s="1"/>
  <c r="J14266" i="1"/>
  <c r="L14266" i="1" s="1"/>
  <c r="J14286" i="1"/>
  <c r="L14286" i="1" s="1"/>
  <c r="J14345" i="1"/>
  <c r="L14345" i="1" s="1"/>
  <c r="J4910" i="1"/>
  <c r="L4910" i="1" s="1"/>
  <c r="J4945" i="1"/>
  <c r="L4945" i="1" s="1"/>
  <c r="J14578" i="1"/>
  <c r="L14578" i="1" s="1"/>
  <c r="J14579" i="1"/>
  <c r="L14579" i="1" s="1"/>
  <c r="J14580" i="1"/>
  <c r="L14580" i="1" s="1"/>
  <c r="J14581" i="1"/>
  <c r="L14581" i="1" s="1"/>
  <c r="J14697" i="1"/>
  <c r="L14697" i="1" s="1"/>
  <c r="J4976" i="1"/>
  <c r="L4976" i="1" s="1"/>
  <c r="J4985" i="1"/>
  <c r="L4985" i="1" s="1"/>
  <c r="J5016" i="1"/>
  <c r="L5016" i="1" s="1"/>
  <c r="J5083" i="1"/>
  <c r="L5083" i="1" s="1"/>
  <c r="J5090" i="1"/>
  <c r="L5090" i="1" s="1"/>
  <c r="J5108" i="1"/>
  <c r="L5108" i="1" s="1"/>
  <c r="J5110" i="1"/>
  <c r="L5110" i="1" s="1"/>
  <c r="J5126" i="1"/>
  <c r="L5126" i="1" s="1"/>
  <c r="J15020" i="1"/>
  <c r="L15020" i="1" s="1"/>
  <c r="J5211" i="1"/>
  <c r="L5211" i="1" s="1"/>
  <c r="J5353" i="1"/>
  <c r="L5353" i="1" s="1"/>
  <c r="J5388" i="1"/>
  <c r="L5388" i="1" s="1"/>
  <c r="J15161" i="1"/>
  <c r="L15161" i="1" s="1"/>
  <c r="J15162" i="1"/>
  <c r="L15162" i="1" s="1"/>
  <c r="J5456" i="1"/>
  <c r="L5456" i="1" s="1"/>
  <c r="J5500" i="1"/>
  <c r="L5500" i="1" s="1"/>
  <c r="J5529" i="1"/>
  <c r="L5529" i="1" s="1"/>
  <c r="J5551" i="1"/>
  <c r="L5551" i="1" s="1"/>
  <c r="J15394" i="1"/>
  <c r="L15394" i="1" s="1"/>
  <c r="J15460" i="1"/>
  <c r="L15460" i="1" s="1"/>
  <c r="J15476" i="1"/>
  <c r="L15476" i="1" s="1"/>
  <c r="J15517" i="1"/>
  <c r="L15517" i="1" s="1"/>
  <c r="J5690" i="1"/>
  <c r="L5690" i="1" s="1"/>
  <c r="J15592" i="1"/>
  <c r="L15592" i="1" s="1"/>
  <c r="J5749" i="1"/>
  <c r="L5749" i="1" s="1"/>
  <c r="J15634" i="1"/>
  <c r="L15634" i="1" s="1"/>
  <c r="J15638" i="1"/>
  <c r="L15638" i="1" s="1"/>
  <c r="J15639" i="1"/>
  <c r="L15639" i="1" s="1"/>
  <c r="J15642" i="1"/>
  <c r="L15642" i="1" s="1"/>
  <c r="J15653" i="1"/>
  <c r="L15653" i="1" s="1"/>
  <c r="J15656" i="1"/>
  <c r="L15656" i="1" s="1"/>
  <c r="J5788" i="1"/>
  <c r="L5788" i="1" s="1"/>
  <c r="J15675" i="1"/>
  <c r="L15675" i="1" s="1"/>
  <c r="J5803" i="1"/>
  <c r="L5803" i="1" s="1"/>
  <c r="J5805" i="1"/>
  <c r="L5805" i="1" s="1"/>
  <c r="J15690" i="1"/>
  <c r="L15690" i="1" s="1"/>
  <c r="J5824" i="1"/>
  <c r="L5824" i="1" s="1"/>
  <c r="J5832" i="1"/>
  <c r="L5832" i="1" s="1"/>
  <c r="J15784" i="1"/>
  <c r="L15784" i="1" s="1"/>
  <c r="J5880" i="1"/>
  <c r="L5880" i="1" s="1"/>
  <c r="J15900" i="1"/>
  <c r="L15900" i="1" s="1"/>
  <c r="J6216" i="1"/>
  <c r="L6216" i="1" s="1"/>
  <c r="J6249" i="1"/>
  <c r="L6249" i="1" s="1"/>
  <c r="J6333" i="1"/>
  <c r="L6333" i="1" s="1"/>
  <c r="J6350" i="1"/>
  <c r="L6350" i="1" s="1"/>
  <c r="J6353" i="1"/>
  <c r="L6353" i="1" s="1"/>
  <c r="J6358" i="1"/>
  <c r="L6358" i="1" s="1"/>
  <c r="J6367" i="1"/>
  <c r="L6367" i="1" s="1"/>
  <c r="J6385" i="1"/>
  <c r="L6385" i="1" s="1"/>
  <c r="J6386" i="1"/>
  <c r="L6386" i="1" s="1"/>
  <c r="J6410" i="1"/>
  <c r="L6410" i="1" s="1"/>
  <c r="J16313" i="1"/>
  <c r="L16313" i="1" s="1"/>
  <c r="J16314" i="1"/>
  <c r="L16314" i="1" s="1"/>
  <c r="J6425" i="1"/>
  <c r="L6425" i="1" s="1"/>
  <c r="J6438" i="1"/>
  <c r="L6438" i="1" s="1"/>
  <c r="J6439" i="1"/>
  <c r="L6439" i="1" s="1"/>
  <c r="J6443" i="1"/>
  <c r="L6443" i="1" s="1"/>
  <c r="J6449" i="1"/>
  <c r="L6449" i="1" s="1"/>
  <c r="J6480" i="1"/>
  <c r="L6480" i="1" s="1"/>
  <c r="J16356" i="1"/>
  <c r="L16356" i="1" s="1"/>
  <c r="J6499" i="1"/>
  <c r="L6499" i="1" s="1"/>
  <c r="J6503" i="1"/>
  <c r="L6503" i="1" s="1"/>
  <c r="J6572" i="1"/>
  <c r="L6572" i="1" s="1"/>
  <c r="J6573" i="1"/>
  <c r="L6573" i="1" s="1"/>
  <c r="J6574" i="1"/>
  <c r="L6574" i="1" s="1"/>
  <c r="J16479" i="1"/>
  <c r="L16479" i="1" s="1"/>
  <c r="J6594" i="1"/>
  <c r="L6594" i="1" s="1"/>
  <c r="J16525" i="1"/>
  <c r="L16525" i="1" s="1"/>
  <c r="J16559" i="1"/>
  <c r="L16559" i="1" s="1"/>
  <c r="J16616" i="1"/>
  <c r="L16616" i="1" s="1"/>
  <c r="J16625" i="1"/>
  <c r="L16625" i="1" s="1"/>
  <c r="J16629" i="1"/>
  <c r="L16629" i="1" s="1"/>
  <c r="J6635" i="1"/>
  <c r="L6635" i="1" s="1"/>
  <c r="B36" i="4" s="1"/>
  <c r="J16672" i="1"/>
  <c r="L16672" i="1" s="1"/>
  <c r="J6697" i="1"/>
  <c r="L6697" i="1" s="1"/>
  <c r="J6704" i="1"/>
  <c r="L6704" i="1" s="1"/>
  <c r="J6708" i="1"/>
  <c r="L6708" i="1" s="1"/>
  <c r="J16756" i="1"/>
  <c r="L16756" i="1" s="1"/>
  <c r="J6743" i="1"/>
  <c r="L6743" i="1" s="1"/>
  <c r="J16841" i="1"/>
  <c r="L16841" i="1" s="1"/>
  <c r="J16847" i="1"/>
  <c r="L16847" i="1" s="1"/>
  <c r="J6778" i="1"/>
  <c r="L6778" i="1" s="1"/>
  <c r="J6793" i="1"/>
  <c r="L6793" i="1" s="1"/>
  <c r="J6800" i="1"/>
  <c r="L6800" i="1" s="1"/>
  <c r="J16961" i="1"/>
  <c r="L16961" i="1" s="1"/>
  <c r="J17047" i="1"/>
  <c r="L17047" i="1" s="1"/>
  <c r="J17048" i="1"/>
  <c r="L17048" i="1" s="1"/>
  <c r="J6839" i="1"/>
  <c r="L6839" i="1" s="1"/>
  <c r="J6852" i="1"/>
  <c r="L6852" i="1" s="1"/>
  <c r="J17103" i="1"/>
  <c r="L17103" i="1" s="1"/>
  <c r="J17138" i="1"/>
  <c r="L17138" i="1" s="1"/>
  <c r="J17177" i="1"/>
  <c r="L17177" i="1" s="1"/>
  <c r="J6995" i="1"/>
  <c r="L6995" i="1" s="1"/>
  <c r="J6996" i="1"/>
  <c r="L6996" i="1" s="1"/>
  <c r="J7022" i="1"/>
  <c r="L7022" i="1" s="1"/>
  <c r="J7035" i="1"/>
  <c r="L7035" i="1" s="1"/>
  <c r="J7048" i="1"/>
  <c r="L7048" i="1" s="1"/>
  <c r="J7070" i="1"/>
  <c r="L7070" i="1" s="1"/>
  <c r="J7071" i="1"/>
  <c r="L7071" i="1" s="1"/>
  <c r="J7072" i="1"/>
  <c r="L7072" i="1" s="1"/>
  <c r="J7085" i="1"/>
  <c r="L7085" i="1" s="1"/>
  <c r="J7089" i="1"/>
  <c r="L7089" i="1" s="1"/>
  <c r="J7098" i="1"/>
  <c r="L7098" i="1" s="1"/>
  <c r="J7107" i="1"/>
  <c r="L7107" i="1" s="1"/>
  <c r="J7110" i="1"/>
  <c r="L7110" i="1" s="1"/>
  <c r="J17227" i="1"/>
  <c r="L17227" i="1" s="1"/>
  <c r="J7115" i="1"/>
  <c r="L7115" i="1" s="1"/>
  <c r="J7183" i="1"/>
  <c r="L7183" i="1" s="1"/>
  <c r="J7229" i="1"/>
  <c r="L7229" i="1" s="1"/>
  <c r="J7239" i="1"/>
  <c r="L7239" i="1" s="1"/>
  <c r="J7264" i="1"/>
  <c r="L7264" i="1" s="1"/>
  <c r="J20" i="1"/>
  <c r="L20" i="1" s="1"/>
  <c r="J29" i="1"/>
  <c r="L29" i="1" s="1"/>
  <c r="J35" i="1"/>
  <c r="L35" i="1" s="1"/>
  <c r="J39" i="1"/>
  <c r="L39" i="1" s="1"/>
  <c r="J41" i="1"/>
  <c r="L41" i="1" s="1"/>
  <c r="J64" i="1"/>
  <c r="L64" i="1" s="1"/>
  <c r="J65" i="1"/>
  <c r="L65" i="1" s="1"/>
  <c r="J68" i="1"/>
  <c r="L68" i="1" s="1"/>
  <c r="J101" i="1"/>
  <c r="L101" i="1" s="1"/>
  <c r="J7553" i="1"/>
  <c r="L7553" i="1" s="1"/>
  <c r="J132" i="1"/>
  <c r="L132" i="1" s="1"/>
  <c r="J139" i="1"/>
  <c r="L139" i="1" s="1"/>
  <c r="J7649" i="1"/>
  <c r="L7649" i="1" s="1"/>
  <c r="J7650" i="1"/>
  <c r="L7650" i="1" s="1"/>
  <c r="J7688" i="1"/>
  <c r="L7688" i="1" s="1"/>
  <c r="J7691" i="1"/>
  <c r="L7691" i="1" s="1"/>
  <c r="J7700" i="1"/>
  <c r="L7700" i="1" s="1"/>
  <c r="J7726" i="1"/>
  <c r="L7726" i="1" s="1"/>
  <c r="J165" i="1"/>
  <c r="L165" i="1" s="1"/>
  <c r="J166" i="1"/>
  <c r="L166" i="1" s="1"/>
  <c r="J7759" i="1"/>
  <c r="L7759" i="1" s="1"/>
  <c r="J187" i="1"/>
  <c r="L187" i="1" s="1"/>
  <c r="J188" i="1"/>
  <c r="L188" i="1" s="1"/>
  <c r="J7836" i="1"/>
  <c r="L7836" i="1" s="1"/>
  <c r="J209" i="1"/>
  <c r="L209" i="1" s="1"/>
  <c r="J7936" i="1"/>
  <c r="L7936" i="1" s="1"/>
  <c r="J8059" i="1"/>
  <c r="L8059" i="1" s="1"/>
  <c r="J8145" i="1"/>
  <c r="L8145" i="1" s="1"/>
  <c r="J301" i="1"/>
  <c r="L301" i="1" s="1"/>
  <c r="J304" i="1"/>
  <c r="L304" i="1" s="1"/>
  <c r="J319" i="1"/>
  <c r="L319" i="1" s="1"/>
  <c r="J340" i="1"/>
  <c r="L340" i="1" s="1"/>
  <c r="J8301" i="1"/>
  <c r="L8301" i="1" s="1"/>
  <c r="J351" i="1"/>
  <c r="L351" i="1" s="1"/>
  <c r="J8340" i="1"/>
  <c r="L8340" i="1" s="1"/>
  <c r="J405" i="1"/>
  <c r="L405" i="1" s="1"/>
  <c r="J515" i="1"/>
  <c r="L515" i="1" s="1"/>
  <c r="J525" i="1"/>
  <c r="L525" i="1" s="1"/>
  <c r="J548" i="1"/>
  <c r="L548" i="1" s="1"/>
  <c r="J564" i="1"/>
  <c r="L564" i="1" s="1"/>
  <c r="J8427" i="1"/>
  <c r="L8427" i="1" s="1"/>
  <c r="J8451" i="1"/>
  <c r="L8451" i="1" s="1"/>
  <c r="J667" i="1"/>
  <c r="L667" i="1" s="1"/>
  <c r="J701" i="1"/>
  <c r="L701" i="1" s="1"/>
  <c r="J702" i="1"/>
  <c r="L702" i="1" s="1"/>
  <c r="J711" i="1"/>
  <c r="L711" i="1" s="1"/>
  <c r="J770" i="1"/>
  <c r="L770" i="1" s="1"/>
  <c r="J8639" i="1"/>
  <c r="L8639" i="1" s="1"/>
  <c r="J8642" i="1"/>
  <c r="L8642" i="1" s="1"/>
  <c r="J8654" i="1"/>
  <c r="L8654" i="1" s="1"/>
  <c r="J781" i="1"/>
  <c r="L781" i="1" s="1"/>
  <c r="J793" i="1"/>
  <c r="L793" i="1" s="1"/>
  <c r="J805" i="1"/>
  <c r="L805" i="1" s="1"/>
  <c r="J815" i="1"/>
  <c r="L815" i="1" s="1"/>
  <c r="J8747" i="1"/>
  <c r="L8747" i="1" s="1"/>
  <c r="J8828" i="1"/>
  <c r="L8828" i="1" s="1"/>
  <c r="J8876" i="1"/>
  <c r="L8876" i="1" s="1"/>
  <c r="J8877" i="1"/>
  <c r="L8877" i="1" s="1"/>
  <c r="J8880" i="1"/>
  <c r="L8880" i="1" s="1"/>
  <c r="J8882" i="1"/>
  <c r="L8882" i="1" s="1"/>
  <c r="J8883" i="1"/>
  <c r="L8883" i="1" s="1"/>
  <c r="J8906" i="1"/>
  <c r="L8906" i="1" s="1"/>
  <c r="J8915" i="1"/>
  <c r="L8915" i="1" s="1"/>
  <c r="J8917" i="1"/>
  <c r="L8917" i="1" s="1"/>
  <c r="J939" i="1"/>
  <c r="L939" i="1" s="1"/>
  <c r="J1014" i="1"/>
  <c r="L1014" i="1" s="1"/>
  <c r="J1015" i="1"/>
  <c r="L1015" i="1" s="1"/>
  <c r="J9038" i="1"/>
  <c r="L9038" i="1" s="1"/>
  <c r="J9049" i="1"/>
  <c r="L9049" i="1" s="1"/>
  <c r="J1056" i="1"/>
  <c r="L1056" i="1" s="1"/>
  <c r="J1058" i="1"/>
  <c r="L1058" i="1" s="1"/>
  <c r="J1072" i="1"/>
  <c r="L1072" i="1" s="1"/>
  <c r="J1082" i="1"/>
  <c r="L1082" i="1" s="1"/>
  <c r="J1085" i="1"/>
  <c r="L1085" i="1" s="1"/>
  <c r="J1093" i="1"/>
  <c r="L1093" i="1" s="1"/>
  <c r="J1094" i="1"/>
  <c r="L1094" i="1" s="1"/>
  <c r="J1107" i="1"/>
  <c r="L1107" i="1" s="1"/>
  <c r="J1114" i="1"/>
  <c r="L1114" i="1" s="1"/>
  <c r="J9135" i="1"/>
  <c r="L9135" i="1" s="1"/>
  <c r="J1157" i="1"/>
  <c r="L1157" i="1" s="1"/>
  <c r="J9186" i="1"/>
  <c r="L9186" i="1" s="1"/>
  <c r="J9203" i="1"/>
  <c r="L9203" i="1" s="1"/>
  <c r="J1179" i="1"/>
  <c r="L1179" i="1" s="1"/>
  <c r="J1180" i="1"/>
  <c r="L1180" i="1" s="1"/>
  <c r="J1181" i="1"/>
  <c r="L1181" i="1" s="1"/>
  <c r="J1187" i="1"/>
  <c r="L1187" i="1" s="1"/>
  <c r="J1196" i="1"/>
  <c r="L1196" i="1" s="1"/>
  <c r="J1204" i="1"/>
  <c r="L1204" i="1" s="1"/>
  <c r="J1403" i="1"/>
  <c r="L1403" i="1" s="1"/>
  <c r="J9461" i="1"/>
  <c r="L9461" i="1" s="1"/>
  <c r="J9464" i="1"/>
  <c r="L9464" i="1" s="1"/>
  <c r="J1427" i="1"/>
  <c r="L1427" i="1" s="1"/>
  <c r="J1434" i="1"/>
  <c r="L1434" i="1" s="1"/>
  <c r="J1441" i="1"/>
  <c r="L1441" i="1" s="1"/>
  <c r="J1442" i="1"/>
  <c r="L1442" i="1" s="1"/>
  <c r="J1443" i="1"/>
  <c r="L1443" i="1" s="1"/>
  <c r="J1448" i="1"/>
  <c r="L1448" i="1" s="1"/>
  <c r="J1455" i="1"/>
  <c r="L1455" i="1" s="1"/>
  <c r="J1460" i="1"/>
  <c r="L1460" i="1" s="1"/>
  <c r="J1473" i="1"/>
  <c r="L1473" i="1" s="1"/>
  <c r="J1475" i="1"/>
  <c r="L1475" i="1" s="1"/>
  <c r="J1477" i="1"/>
  <c r="L1477" i="1" s="1"/>
  <c r="J1502" i="1"/>
  <c r="L1502" i="1" s="1"/>
  <c r="J1510" i="1"/>
  <c r="L1510" i="1" s="1"/>
  <c r="J1517" i="1"/>
  <c r="L1517" i="1" s="1"/>
  <c r="J1521" i="1"/>
  <c r="L1521" i="1" s="1"/>
  <c r="J1592" i="1"/>
  <c r="L1592" i="1" s="1"/>
  <c r="J1593" i="1"/>
  <c r="L1593" i="1" s="1"/>
  <c r="J1634" i="1"/>
  <c r="L1634" i="1" s="1"/>
  <c r="J1638" i="1"/>
  <c r="L1638" i="1" s="1"/>
  <c r="J1689" i="1"/>
  <c r="L1689" i="1" s="1"/>
  <c r="J1720" i="1"/>
  <c r="L1720" i="1" s="1"/>
  <c r="J1726" i="1"/>
  <c r="L1726" i="1" s="1"/>
  <c r="J1742" i="1"/>
  <c r="L1742" i="1" s="1"/>
  <c r="J1751" i="1"/>
  <c r="L1751" i="1" s="1"/>
  <c r="J9682" i="1"/>
  <c r="L9682" i="1" s="1"/>
  <c r="J1772" i="1"/>
  <c r="L1772" i="1" s="1"/>
  <c r="J1890" i="1"/>
  <c r="L1890" i="1" s="1"/>
  <c r="J9860" i="1"/>
  <c r="L9860" i="1" s="1"/>
  <c r="J1918" i="1"/>
  <c r="L1918" i="1" s="1"/>
  <c r="J1924" i="1"/>
  <c r="L1924" i="1" s="1"/>
  <c r="J1941" i="1"/>
  <c r="L1941" i="1" s="1"/>
  <c r="J9977" i="1"/>
  <c r="L9977" i="1" s="1"/>
  <c r="J1960" i="1"/>
  <c r="L1960" i="1" s="1"/>
  <c r="J1994" i="1"/>
  <c r="L1994" i="1" s="1"/>
  <c r="J10079" i="1"/>
  <c r="L10079" i="1" s="1"/>
  <c r="J10088" i="1"/>
  <c r="L10088" i="1" s="1"/>
  <c r="J10089" i="1"/>
  <c r="L10089" i="1" s="1"/>
  <c r="J10113" i="1"/>
  <c r="L10113" i="1" s="1"/>
  <c r="J2060" i="1"/>
  <c r="L2060" i="1" s="1"/>
  <c r="J10143" i="1"/>
  <c r="L10143" i="1" s="1"/>
  <c r="J10157" i="1"/>
  <c r="L10157" i="1" s="1"/>
  <c r="J2097" i="1"/>
  <c r="L2097" i="1" s="1"/>
  <c r="J2102" i="1"/>
  <c r="L2102" i="1" s="1"/>
  <c r="J2108" i="1"/>
  <c r="L2108" i="1" s="1"/>
  <c r="J2109" i="1"/>
  <c r="L2109" i="1" s="1"/>
  <c r="J2195" i="1"/>
  <c r="L2195" i="1" s="1"/>
  <c r="J2196" i="1"/>
  <c r="L2196" i="1" s="1"/>
  <c r="J2211" i="1"/>
  <c r="L2211" i="1" s="1"/>
  <c r="J2236" i="1"/>
  <c r="L2236" i="1" s="1"/>
  <c r="J10410" i="1"/>
  <c r="L10410" i="1" s="1"/>
  <c r="J2288" i="1"/>
  <c r="L2288" i="1" s="1"/>
  <c r="J2332" i="1"/>
  <c r="L2332" i="1" s="1"/>
  <c r="J2344" i="1"/>
  <c r="L2344" i="1" s="1"/>
  <c r="J2394" i="1"/>
  <c r="L2394" i="1" s="1"/>
  <c r="J2409" i="1"/>
  <c r="L2409" i="1" s="1"/>
  <c r="J10460" i="1"/>
  <c r="L10460" i="1" s="1"/>
  <c r="J2423" i="1"/>
  <c r="L2423" i="1" s="1"/>
  <c r="J2479" i="1"/>
  <c r="L2479" i="1" s="1"/>
  <c r="J2489" i="1"/>
  <c r="L2489" i="1" s="1"/>
  <c r="J2510" i="1"/>
  <c r="L2510" i="1" s="1"/>
  <c r="J2521" i="1"/>
  <c r="L2521" i="1" s="1"/>
  <c r="J2550" i="1"/>
  <c r="L2550" i="1" s="1"/>
  <c r="J2554" i="1"/>
  <c r="L2554" i="1" s="1"/>
  <c r="J2560" i="1"/>
  <c r="L2560" i="1" s="1"/>
  <c r="J2574" i="1"/>
  <c r="L2574" i="1" s="1"/>
  <c r="J10545" i="1"/>
  <c r="L10545" i="1" s="1"/>
  <c r="J10559" i="1"/>
  <c r="L10559" i="1" s="1"/>
  <c r="J2586" i="1"/>
  <c r="L2586" i="1" s="1"/>
  <c r="J2588" i="1"/>
  <c r="L2588" i="1" s="1"/>
  <c r="J10672" i="1"/>
  <c r="L10672" i="1" s="1"/>
  <c r="J10713" i="1"/>
  <c r="L10713" i="1" s="1"/>
  <c r="J2683" i="1"/>
  <c r="L2683" i="1" s="1"/>
  <c r="J10847" i="1"/>
  <c r="L10847" i="1" s="1"/>
  <c r="J10864" i="1"/>
  <c r="L10864" i="1" s="1"/>
  <c r="J10865" i="1"/>
  <c r="L10865" i="1" s="1"/>
  <c r="J10919" i="1"/>
  <c r="L10919" i="1" s="1"/>
  <c r="J10925" i="1"/>
  <c r="L10925" i="1" s="1"/>
  <c r="J10931" i="1"/>
  <c r="L10931" i="1" s="1"/>
  <c r="J10936" i="1"/>
  <c r="L10936" i="1" s="1"/>
  <c r="J10937" i="1"/>
  <c r="L10937" i="1" s="1"/>
  <c r="J10938" i="1"/>
  <c r="L10938" i="1" s="1"/>
  <c r="J10939" i="1"/>
  <c r="L10939" i="1" s="1"/>
  <c r="J11063" i="1"/>
  <c r="L11063" i="1" s="1"/>
  <c r="J11067" i="1"/>
  <c r="L11067" i="1" s="1"/>
  <c r="J2747" i="1"/>
  <c r="L2747" i="1" s="1"/>
  <c r="J11150" i="1"/>
  <c r="L11150" i="1" s="1"/>
  <c r="J2783" i="1"/>
  <c r="L2783" i="1" s="1"/>
  <c r="J11336" i="1"/>
  <c r="L11336" i="1" s="1"/>
  <c r="J2794" i="1"/>
  <c r="L2794" i="1" s="1"/>
  <c r="J2795" i="1"/>
  <c r="L2795" i="1" s="1"/>
  <c r="J2847" i="1"/>
  <c r="L2847" i="1" s="1"/>
  <c r="J11492" i="1"/>
  <c r="L11492" i="1" s="1"/>
  <c r="J2895" i="1"/>
  <c r="L2895" i="1" s="1"/>
  <c r="J3005" i="1"/>
  <c r="L3005" i="1" s="1"/>
  <c r="J3025" i="1"/>
  <c r="L3025" i="1" s="1"/>
  <c r="J3052" i="1"/>
  <c r="L3052" i="1" s="1"/>
  <c r="J3061" i="1"/>
  <c r="L3061" i="1" s="1"/>
  <c r="J3066" i="1"/>
  <c r="L3066" i="1" s="1"/>
  <c r="J11629" i="1"/>
  <c r="L11629" i="1" s="1"/>
  <c r="J11639" i="1"/>
  <c r="L11639" i="1" s="1"/>
  <c r="J11644" i="1"/>
  <c r="L11644" i="1" s="1"/>
  <c r="J11665" i="1"/>
  <c r="L11665" i="1" s="1"/>
  <c r="J11667" i="1"/>
  <c r="L11667" i="1" s="1"/>
  <c r="J3100" i="1"/>
  <c r="L3100" i="1" s="1"/>
  <c r="J11741" i="1"/>
  <c r="L11741" i="1" s="1"/>
  <c r="J11742" i="1"/>
  <c r="L11742" i="1" s="1"/>
  <c r="J3164" i="1"/>
  <c r="L3164" i="1" s="1"/>
  <c r="J3181" i="1"/>
  <c r="L3181" i="1" s="1"/>
  <c r="J3182" i="1"/>
  <c r="L3182" i="1" s="1"/>
  <c r="J3191" i="1"/>
  <c r="L3191" i="1" s="1"/>
  <c r="J11806" i="1"/>
  <c r="L11806" i="1" s="1"/>
  <c r="J3192" i="1"/>
  <c r="L3192" i="1" s="1"/>
  <c r="J11877" i="1"/>
  <c r="L11877" i="1" s="1"/>
  <c r="J12021" i="1"/>
  <c r="L12021" i="1" s="1"/>
  <c r="J12048" i="1"/>
  <c r="L12048" i="1" s="1"/>
  <c r="J12049" i="1"/>
  <c r="L12049" i="1" s="1"/>
  <c r="J12054" i="1"/>
  <c r="L12054" i="1" s="1"/>
  <c r="J12068" i="1"/>
  <c r="L12068" i="1" s="1"/>
  <c r="J12074" i="1"/>
  <c r="L12074" i="1" s="1"/>
  <c r="J12121" i="1"/>
  <c r="L12121" i="1" s="1"/>
  <c r="J3398" i="1"/>
  <c r="L3398" i="1" s="1"/>
  <c r="J3416" i="1"/>
  <c r="L3416" i="1" s="1"/>
  <c r="J3444" i="1"/>
  <c r="L3444" i="1" s="1"/>
  <c r="J12202" i="1"/>
  <c r="L12202" i="1" s="1"/>
  <c r="J12221" i="1"/>
  <c r="L12221" i="1" s="1"/>
  <c r="J12243" i="1"/>
  <c r="L12243" i="1" s="1"/>
  <c r="J3511" i="1"/>
  <c r="L3511" i="1" s="1"/>
  <c r="J3518" i="1"/>
  <c r="L3518" i="1" s="1"/>
  <c r="J3532" i="1"/>
  <c r="L3532" i="1" s="1"/>
  <c r="J12396" i="1"/>
  <c r="L12396" i="1" s="1"/>
  <c r="J3576" i="1"/>
  <c r="L3576" i="1" s="1"/>
  <c r="J3580" i="1"/>
  <c r="L3580" i="1" s="1"/>
  <c r="J12479" i="1"/>
  <c r="L12479" i="1" s="1"/>
  <c r="J3607" i="1"/>
  <c r="L3607" i="1" s="1"/>
  <c r="J3679" i="1"/>
  <c r="L3679" i="1" s="1"/>
  <c r="J3748" i="1"/>
  <c r="L3748" i="1" s="1"/>
  <c r="J12615" i="1"/>
  <c r="L12615" i="1" s="1"/>
  <c r="J12694" i="1"/>
  <c r="L12694" i="1" s="1"/>
  <c r="J3815" i="1"/>
  <c r="L3815" i="1" s="1"/>
  <c r="J3817" i="1"/>
  <c r="L3817" i="1" s="1"/>
  <c r="J12756" i="1"/>
  <c r="L12756" i="1" s="1"/>
  <c r="J3853" i="1"/>
  <c r="L3853" i="1" s="1"/>
  <c r="J3858" i="1"/>
  <c r="L3858" i="1" s="1"/>
  <c r="J3889" i="1"/>
  <c r="L3889" i="1" s="1"/>
  <c r="J3942" i="1"/>
  <c r="L3942" i="1" s="1"/>
  <c r="J3961" i="1"/>
  <c r="L3961" i="1" s="1"/>
  <c r="J3969" i="1"/>
  <c r="L3969" i="1" s="1"/>
  <c r="J3998" i="1"/>
  <c r="L3998" i="1" s="1"/>
  <c r="J4003" i="1"/>
  <c r="L4003" i="1" s="1"/>
  <c r="J4007" i="1"/>
  <c r="L4007" i="1" s="1"/>
  <c r="J12944" i="1"/>
  <c r="L12944" i="1" s="1"/>
  <c r="J4049" i="1"/>
  <c r="L4049" i="1" s="1"/>
  <c r="J4093" i="1"/>
  <c r="L4093" i="1" s="1"/>
  <c r="J13062" i="1"/>
  <c r="L13062" i="1" s="1"/>
  <c r="J4160" i="1"/>
  <c r="L4160" i="1" s="1"/>
  <c r="J4166" i="1"/>
  <c r="L4166" i="1" s="1"/>
  <c r="J4167" i="1"/>
  <c r="L4167" i="1" s="1"/>
  <c r="J13072" i="1"/>
  <c r="L13072" i="1" s="1"/>
  <c r="J13139" i="1"/>
  <c r="L13139" i="1" s="1"/>
  <c r="J13187" i="1"/>
  <c r="L13187" i="1" s="1"/>
  <c r="J13283" i="1"/>
  <c r="L13283" i="1" s="1"/>
  <c r="J13299" i="1"/>
  <c r="L13299" i="1" s="1"/>
  <c r="J13312" i="1"/>
  <c r="L13312" i="1" s="1"/>
  <c r="J13348" i="1"/>
  <c r="L13348" i="1" s="1"/>
  <c r="J4300" i="1"/>
  <c r="L4300" i="1" s="1"/>
  <c r="J4302" i="1"/>
  <c r="L4302" i="1" s="1"/>
  <c r="J4308" i="1"/>
  <c r="L4308" i="1" s="1"/>
  <c r="J4314" i="1"/>
  <c r="L4314" i="1" s="1"/>
  <c r="J13392" i="1"/>
  <c r="L13392" i="1" s="1"/>
  <c r="J13400" i="1"/>
  <c r="L13400" i="1" s="1"/>
  <c r="J13404" i="1"/>
  <c r="L13404" i="1" s="1"/>
  <c r="J13421" i="1"/>
  <c r="L13421" i="1" s="1"/>
  <c r="J13468" i="1"/>
  <c r="L13468" i="1" s="1"/>
  <c r="J4346" i="1"/>
  <c r="L4346" i="1" s="1"/>
  <c r="J13514" i="1"/>
  <c r="L13514" i="1" s="1"/>
  <c r="J13521" i="1"/>
  <c r="L13521" i="1" s="1"/>
  <c r="J4379" i="1"/>
  <c r="L4379" i="1" s="1"/>
  <c r="J4390" i="1"/>
  <c r="L4390" i="1" s="1"/>
  <c r="J4391" i="1"/>
  <c r="L4391" i="1" s="1"/>
  <c r="J4392" i="1"/>
  <c r="L4392" i="1" s="1"/>
  <c r="J13609" i="1"/>
  <c r="L13609" i="1" s="1"/>
  <c r="J13700" i="1"/>
  <c r="L13700" i="1" s="1"/>
  <c r="J13701" i="1"/>
  <c r="L13701" i="1" s="1"/>
  <c r="J4503" i="1"/>
  <c r="L4503" i="1" s="1"/>
  <c r="J4511" i="1"/>
  <c r="L4511" i="1" s="1"/>
  <c r="J4515" i="1"/>
  <c r="L4515" i="1" s="1"/>
  <c r="J4519" i="1"/>
  <c r="L4519" i="1" s="1"/>
  <c r="J13823" i="1"/>
  <c r="L13823" i="1" s="1"/>
  <c r="J4565" i="1"/>
  <c r="L4565" i="1" s="1"/>
  <c r="J4569" i="1"/>
  <c r="L4569" i="1" s="1"/>
  <c r="J4570" i="1"/>
  <c r="L4570" i="1" s="1"/>
  <c r="J4572" i="1"/>
  <c r="L4572" i="1" s="1"/>
  <c r="J4604" i="1"/>
  <c r="L4604" i="1" s="1"/>
  <c r="J4612" i="1"/>
  <c r="L4612" i="1" s="1"/>
  <c r="J13905" i="1"/>
  <c r="L13905" i="1" s="1"/>
  <c r="J4633" i="1"/>
  <c r="L4633" i="1" s="1"/>
  <c r="J4735" i="1"/>
  <c r="L4735" i="1" s="1"/>
  <c r="J4738" i="1"/>
  <c r="L4738" i="1" s="1"/>
  <c r="J4744" i="1"/>
  <c r="L4744" i="1" s="1"/>
  <c r="J4745" i="1"/>
  <c r="L4745" i="1" s="1"/>
  <c r="J4764" i="1"/>
  <c r="L4764" i="1" s="1"/>
  <c r="J14045" i="1"/>
  <c r="L14045" i="1" s="1"/>
  <c r="J14196" i="1"/>
  <c r="L14196" i="1" s="1"/>
  <c r="J14265" i="1"/>
  <c r="L14265" i="1" s="1"/>
  <c r="J14298" i="1"/>
  <c r="L14298" i="1" s="1"/>
  <c r="J14323" i="1"/>
  <c r="L14323" i="1" s="1"/>
  <c r="J14356" i="1"/>
  <c r="L14356" i="1" s="1"/>
  <c r="J4904" i="1"/>
  <c r="L4904" i="1" s="1"/>
  <c r="J4909" i="1"/>
  <c r="L4909" i="1" s="1"/>
  <c r="J14709" i="1"/>
  <c r="L14709" i="1" s="1"/>
  <c r="J14728" i="1"/>
  <c r="L14728" i="1" s="1"/>
  <c r="J4979" i="1"/>
  <c r="L4979" i="1" s="1"/>
  <c r="J14785" i="1"/>
  <c r="L14785" i="1" s="1"/>
  <c r="J14802" i="1"/>
  <c r="L14802" i="1" s="1"/>
  <c r="J5002" i="1"/>
  <c r="L5002" i="1" s="1"/>
  <c r="J5014" i="1"/>
  <c r="L5014" i="1" s="1"/>
  <c r="J14917" i="1"/>
  <c r="L14917" i="1" s="1"/>
  <c r="J5057" i="1"/>
  <c r="L5057" i="1" s="1"/>
  <c r="J5060" i="1"/>
  <c r="L5060" i="1" s="1"/>
  <c r="J5125" i="1"/>
  <c r="L5125" i="1" s="1"/>
  <c r="J5198" i="1"/>
  <c r="L5198" i="1" s="1"/>
  <c r="J5209" i="1"/>
  <c r="L5209" i="1" s="1"/>
  <c r="J5210" i="1"/>
  <c r="L5210" i="1" s="1"/>
  <c r="J15028" i="1"/>
  <c r="L15028" i="1" s="1"/>
  <c r="J5314" i="1"/>
  <c r="L5314" i="1" s="1"/>
  <c r="J15067" i="1"/>
  <c r="L15067" i="1" s="1"/>
  <c r="J5356" i="1"/>
  <c r="L5356" i="1" s="1"/>
  <c r="J15100" i="1"/>
  <c r="L15100" i="1" s="1"/>
  <c r="J15141" i="1"/>
  <c r="L15141" i="1" s="1"/>
  <c r="J5447" i="1"/>
  <c r="L5447" i="1" s="1"/>
  <c r="J5451" i="1"/>
  <c r="L5451" i="1" s="1"/>
  <c r="J5486" i="1"/>
  <c r="L5486" i="1" s="1"/>
  <c r="J5550" i="1"/>
  <c r="L5550" i="1" s="1"/>
  <c r="J15465" i="1"/>
  <c r="L15465" i="1" s="1"/>
  <c r="J15489" i="1"/>
  <c r="L15489" i="1" s="1"/>
  <c r="J15497" i="1"/>
  <c r="L15497" i="1" s="1"/>
  <c r="J15503" i="1"/>
  <c r="L15503" i="1" s="1"/>
  <c r="J5673" i="1"/>
  <c r="L5673" i="1" s="1"/>
  <c r="J5712" i="1"/>
  <c r="L5712" i="1" s="1"/>
  <c r="J15610" i="1"/>
  <c r="L15610" i="1" s="1"/>
  <c r="J5746" i="1"/>
  <c r="L5746" i="1" s="1"/>
  <c r="J5769" i="1"/>
  <c r="L5769" i="1" s="1"/>
  <c r="J15646" i="1"/>
  <c r="L15646" i="1" s="1"/>
  <c r="J15647" i="1"/>
  <c r="L15647" i="1" s="1"/>
  <c r="J15648" i="1"/>
  <c r="L15648" i="1" s="1"/>
  <c r="J15649" i="1"/>
  <c r="L15649" i="1" s="1"/>
  <c r="J15655" i="1"/>
  <c r="L15655" i="1" s="1"/>
  <c r="J5774" i="1"/>
  <c r="L5774" i="1" s="1"/>
  <c r="J5815" i="1"/>
  <c r="L5815" i="1" s="1"/>
  <c r="J5818" i="1"/>
  <c r="L5818" i="1" s="1"/>
  <c r="J5831" i="1"/>
  <c r="L5831" i="1" s="1"/>
  <c r="J5857" i="1"/>
  <c r="L5857" i="1" s="1"/>
  <c r="J5861" i="1"/>
  <c r="L5861" i="1" s="1"/>
  <c r="J5906" i="1"/>
  <c r="L5906" i="1" s="1"/>
  <c r="J5916" i="1"/>
  <c r="L5916" i="1" s="1"/>
  <c r="J5917" i="1"/>
  <c r="L5917" i="1" s="1"/>
  <c r="J5933" i="1"/>
  <c r="L5933" i="1" s="1"/>
  <c r="J16050" i="1"/>
  <c r="L16050" i="1" s="1"/>
  <c r="J6178" i="1"/>
  <c r="L6178" i="1" s="1"/>
  <c r="J6181" i="1"/>
  <c r="L6181" i="1" s="1"/>
  <c r="J6182" i="1"/>
  <c r="L6182" i="1" s="1"/>
  <c r="J6214" i="1"/>
  <c r="L6214" i="1" s="1"/>
  <c r="J6220" i="1"/>
  <c r="L6220" i="1" s="1"/>
  <c r="J6247" i="1"/>
  <c r="L6247" i="1" s="1"/>
  <c r="J6312" i="1"/>
  <c r="L6312" i="1" s="1"/>
  <c r="J16145" i="1"/>
  <c r="L16145" i="1" s="1"/>
  <c r="J6322" i="1"/>
  <c r="L6322" i="1" s="1"/>
  <c r="J6344" i="1"/>
  <c r="L6344" i="1" s="1"/>
  <c r="J6348" i="1"/>
  <c r="L6348" i="1" s="1"/>
  <c r="J6351" i="1"/>
  <c r="L6351" i="1" s="1"/>
  <c r="J6360" i="1"/>
  <c r="L6360" i="1" s="1"/>
  <c r="J6368" i="1"/>
  <c r="L6368" i="1" s="1"/>
  <c r="J6381" i="1"/>
  <c r="L6381" i="1" s="1"/>
  <c r="J6384" i="1"/>
  <c r="L6384" i="1" s="1"/>
  <c r="J16194" i="1"/>
  <c r="L16194" i="1" s="1"/>
  <c r="J16258" i="1"/>
  <c r="L16258" i="1" s="1"/>
  <c r="J6437" i="1"/>
  <c r="L6437" i="1" s="1"/>
  <c r="J6490" i="1"/>
  <c r="L6490" i="1" s="1"/>
  <c r="J6501" i="1"/>
  <c r="L6501" i="1" s="1"/>
  <c r="J6551" i="1"/>
  <c r="L6551" i="1" s="1"/>
  <c r="J6569" i="1"/>
  <c r="L6569" i="1" s="1"/>
  <c r="J6570" i="1"/>
  <c r="L6570" i="1" s="1"/>
  <c r="J6571" i="1"/>
  <c r="L6571" i="1" s="1"/>
  <c r="J16557" i="1"/>
  <c r="L16557" i="1" s="1"/>
  <c r="J16597" i="1"/>
  <c r="L16597" i="1" s="1"/>
  <c r="J6617" i="1"/>
  <c r="L6617" i="1" s="1"/>
  <c r="J16627" i="1"/>
  <c r="L16627" i="1" s="1"/>
  <c r="J16688" i="1"/>
  <c r="L16688" i="1" s="1"/>
  <c r="J6700" i="1"/>
  <c r="L6700" i="1" s="1"/>
  <c r="J16859" i="1"/>
  <c r="L16859" i="1" s="1"/>
  <c r="J6752" i="1"/>
  <c r="L6752" i="1" s="1"/>
  <c r="J6784" i="1"/>
  <c r="L6784" i="1" s="1"/>
  <c r="J6795" i="1"/>
  <c r="L6795" i="1" s="1"/>
  <c r="J16960" i="1"/>
  <c r="L16960" i="1" s="1"/>
  <c r="J6842" i="1"/>
  <c r="L6842" i="1" s="1"/>
  <c r="J6851" i="1"/>
  <c r="L6851" i="1" s="1"/>
  <c r="J6915" i="1"/>
  <c r="L6915" i="1" s="1"/>
  <c r="J17126" i="1"/>
  <c r="L17126" i="1" s="1"/>
  <c r="J17160" i="1"/>
  <c r="L17160" i="1" s="1"/>
  <c r="J17167" i="1"/>
  <c r="L17167" i="1" s="1"/>
  <c r="J6987" i="1"/>
  <c r="L6987" i="1" s="1"/>
  <c r="J6991" i="1"/>
  <c r="L6991" i="1" s="1"/>
  <c r="J7024" i="1"/>
  <c r="L7024" i="1" s="1"/>
  <c r="J7025" i="1"/>
  <c r="L7025" i="1" s="1"/>
  <c r="J7026" i="1"/>
  <c r="L7026" i="1" s="1"/>
  <c r="J7029" i="1"/>
  <c r="L7029" i="1" s="1"/>
  <c r="J7050" i="1"/>
  <c r="L7050" i="1" s="1"/>
  <c r="J7103" i="1"/>
  <c r="L7103" i="1" s="1"/>
  <c r="J17229" i="1"/>
  <c r="L17229" i="1" s="1"/>
  <c r="J17256" i="1"/>
  <c r="L17256" i="1" s="1"/>
  <c r="J7127" i="1"/>
  <c r="L7127" i="1" s="1"/>
  <c r="J7176" i="1"/>
  <c r="L7176" i="1" s="1"/>
  <c r="J7182" i="1"/>
  <c r="L7182" i="1" s="1"/>
  <c r="J7210" i="1"/>
  <c r="L7210" i="1" s="1"/>
  <c r="J7214" i="1"/>
  <c r="L7214" i="1" s="1"/>
  <c r="J7227" i="1"/>
  <c r="L7227" i="1" s="1"/>
  <c r="J7228" i="1"/>
  <c r="L7228" i="1" s="1"/>
  <c r="J7235" i="1"/>
  <c r="L7235" i="1" s="1"/>
  <c r="J7265" i="1"/>
  <c r="L7265" i="1" s="1"/>
  <c r="J7281" i="1"/>
  <c r="L7281" i="1" s="1"/>
  <c r="J18" i="1"/>
  <c r="L18" i="1" s="1"/>
  <c r="J7290" i="1"/>
  <c r="L7290" i="1" s="1"/>
  <c r="J7291" i="1"/>
  <c r="L7291" i="1" s="1"/>
  <c r="J7292" i="1"/>
  <c r="L7292" i="1" s="1"/>
  <c r="J32" i="1"/>
  <c r="L32" i="1" s="1"/>
  <c r="J56" i="1"/>
  <c r="L56" i="1" s="1"/>
  <c r="J63" i="1"/>
  <c r="L63" i="1" s="1"/>
  <c r="J7433" i="1"/>
  <c r="L7433" i="1" s="1"/>
  <c r="J7434" i="1"/>
  <c r="L7434" i="1" s="1"/>
  <c r="J76" i="1"/>
  <c r="L76" i="1" s="1"/>
  <c r="J105" i="1"/>
  <c r="L105" i="1" s="1"/>
  <c r="J126" i="1"/>
  <c r="L126" i="1" s="1"/>
  <c r="J137" i="1"/>
  <c r="L137" i="1" s="1"/>
  <c r="J7613" i="1"/>
  <c r="L7613" i="1" s="1"/>
  <c r="J7632" i="1"/>
  <c r="L7632" i="1" s="1"/>
  <c r="J7647" i="1"/>
  <c r="L7647" i="1" s="1"/>
  <c r="J7648" i="1"/>
  <c r="L7648" i="1" s="1"/>
  <c r="J7667" i="1"/>
  <c r="L7667" i="1" s="1"/>
  <c r="J7687" i="1"/>
  <c r="L7687" i="1" s="1"/>
  <c r="J7690" i="1"/>
  <c r="L7690" i="1" s="1"/>
  <c r="J7697" i="1"/>
  <c r="L7697" i="1" s="1"/>
  <c r="J7698" i="1"/>
  <c r="L7698" i="1" s="1"/>
  <c r="J7715" i="1"/>
  <c r="L7715" i="1" s="1"/>
  <c r="J7743" i="1"/>
  <c r="L7743" i="1" s="1"/>
  <c r="J7745" i="1"/>
  <c r="L7745" i="1" s="1"/>
  <c r="J172" i="1"/>
  <c r="L172" i="1" s="1"/>
  <c r="J176" i="1"/>
  <c r="L176" i="1" s="1"/>
  <c r="J7820" i="1"/>
  <c r="L7820" i="1" s="1"/>
  <c r="J7848" i="1"/>
  <c r="L7848" i="1" s="1"/>
  <c r="J7858" i="1"/>
  <c r="L7858" i="1" s="1"/>
  <c r="J215" i="1"/>
  <c r="L215" i="1" s="1"/>
  <c r="J222" i="1"/>
  <c r="L222" i="1" s="1"/>
  <c r="J233" i="1"/>
  <c r="L233" i="1" s="1"/>
  <c r="J7906" i="1"/>
  <c r="L7906" i="1" s="1"/>
  <c r="J8033" i="1"/>
  <c r="L8033" i="1" s="1"/>
  <c r="J8058" i="1"/>
  <c r="L8058" i="1" s="1"/>
  <c r="J8067" i="1"/>
  <c r="L8067" i="1" s="1"/>
  <c r="J8068" i="1"/>
  <c r="L8068" i="1" s="1"/>
  <c r="J8069" i="1"/>
  <c r="L8069" i="1" s="1"/>
  <c r="J8168" i="1"/>
  <c r="L8168" i="1" s="1"/>
  <c r="J276" i="1"/>
  <c r="L276" i="1" s="1"/>
  <c r="J325" i="1"/>
  <c r="L325" i="1" s="1"/>
  <c r="J335" i="1"/>
  <c r="L335" i="1" s="1"/>
  <c r="J339" i="1"/>
  <c r="L339" i="1" s="1"/>
  <c r="J341" i="1"/>
  <c r="L341" i="1" s="1"/>
  <c r="J8302" i="1"/>
  <c r="L8302" i="1" s="1"/>
  <c r="J371" i="1"/>
  <c r="L371" i="1" s="1"/>
  <c r="J397" i="1"/>
  <c r="L397" i="1" s="1"/>
  <c r="J565" i="1"/>
  <c r="L565" i="1" s="1"/>
  <c r="J569" i="1"/>
  <c r="L569" i="1" s="1"/>
  <c r="J8446" i="1"/>
  <c r="L8446" i="1" s="1"/>
  <c r="J607" i="1"/>
  <c r="L607" i="1" s="1"/>
  <c r="J613" i="1"/>
  <c r="L613" i="1" s="1"/>
  <c r="J696" i="1"/>
  <c r="L696" i="1" s="1"/>
  <c r="J705" i="1"/>
  <c r="L705" i="1" s="1"/>
  <c r="J706" i="1"/>
  <c r="L706" i="1" s="1"/>
  <c r="J8589" i="1"/>
  <c r="L8589" i="1" s="1"/>
  <c r="J763" i="1"/>
  <c r="L763" i="1" s="1"/>
  <c r="J771" i="1"/>
  <c r="L771" i="1" s="1"/>
  <c r="J8640" i="1"/>
  <c r="L8640" i="1" s="1"/>
  <c r="J8827" i="1"/>
  <c r="L8827" i="1" s="1"/>
  <c r="J8842" i="1"/>
  <c r="L8842" i="1" s="1"/>
  <c r="J932" i="1"/>
  <c r="L932" i="1" s="1"/>
  <c r="J8953" i="1"/>
  <c r="L8953" i="1" s="1"/>
  <c r="J8985" i="1"/>
  <c r="L8985" i="1" s="1"/>
  <c r="J963" i="1"/>
  <c r="L963" i="1" s="1"/>
  <c r="J8998" i="1"/>
  <c r="L8998" i="1" s="1"/>
  <c r="J989" i="1"/>
  <c r="L989" i="1" s="1"/>
  <c r="J1010" i="1"/>
  <c r="L1010" i="1" s="1"/>
  <c r="J1021" i="1"/>
  <c r="L1021" i="1" s="1"/>
  <c r="J9031" i="1"/>
  <c r="L9031" i="1" s="1"/>
  <c r="J1038" i="1"/>
  <c r="L1038" i="1" s="1"/>
  <c r="J1046" i="1"/>
  <c r="L1046" i="1" s="1"/>
  <c r="J1047" i="1"/>
  <c r="L1047" i="1" s="1"/>
  <c r="J1055" i="1"/>
  <c r="L1055" i="1" s="1"/>
  <c r="J9053" i="1"/>
  <c r="L9053" i="1" s="1"/>
  <c r="J1065" i="1"/>
  <c r="L1065" i="1" s="1"/>
  <c r="J1073" i="1"/>
  <c r="L1073" i="1" s="1"/>
  <c r="J1091" i="1"/>
  <c r="L1091" i="1" s="1"/>
  <c r="J1096" i="1"/>
  <c r="L1096" i="1" s="1"/>
  <c r="J1099" i="1"/>
  <c r="L1099" i="1" s="1"/>
  <c r="J1100" i="1"/>
  <c r="L1100" i="1" s="1"/>
  <c r="J1109" i="1"/>
  <c r="L1109" i="1" s="1"/>
  <c r="J1116" i="1"/>
  <c r="L1116" i="1" s="1"/>
  <c r="J1121" i="1"/>
  <c r="L1121" i="1" s="1"/>
  <c r="J9134" i="1"/>
  <c r="L9134" i="1" s="1"/>
  <c r="J1156" i="1"/>
  <c r="L1156" i="1" s="1"/>
  <c r="J1170" i="1"/>
  <c r="L1170" i="1" s="1"/>
  <c r="J9217" i="1"/>
  <c r="L9217" i="1" s="1"/>
  <c r="J1218" i="1"/>
  <c r="L1218" i="1" s="1"/>
  <c r="J1405" i="1"/>
  <c r="L1405" i="1" s="1"/>
  <c r="J9402" i="1"/>
  <c r="L9402" i="1" s="1"/>
  <c r="J9457" i="1"/>
  <c r="L9457" i="1" s="1"/>
  <c r="J1437" i="1"/>
  <c r="L1437" i="1" s="1"/>
  <c r="J1439" i="1"/>
  <c r="L1439" i="1" s="1"/>
  <c r="J1484" i="1"/>
  <c r="L1484" i="1" s="1"/>
  <c r="J1486" i="1"/>
  <c r="L1486" i="1" s="1"/>
  <c r="J1501" i="1"/>
  <c r="L1501" i="1" s="1"/>
  <c r="J1511" i="1"/>
  <c r="L1511" i="1" s="1"/>
  <c r="J1590" i="1"/>
  <c r="L1590" i="1" s="1"/>
  <c r="J9526" i="1"/>
  <c r="L9526" i="1" s="1"/>
  <c r="J1635" i="1"/>
  <c r="L1635" i="1" s="1"/>
  <c r="J1652" i="1"/>
  <c r="L1652" i="1" s="1"/>
  <c r="J1676" i="1"/>
  <c r="L1676" i="1" s="1"/>
  <c r="J9593" i="1"/>
  <c r="L9593" i="1" s="1"/>
  <c r="J1699" i="1"/>
  <c r="L1699" i="1" s="1"/>
  <c r="J1700" i="1"/>
  <c r="L1700" i="1" s="1"/>
  <c r="J1730" i="1"/>
  <c r="L1730" i="1" s="1"/>
  <c r="J1752" i="1"/>
  <c r="L1752" i="1" s="1"/>
  <c r="J9681" i="1"/>
  <c r="L9681" i="1" s="1"/>
  <c r="J1764" i="1"/>
  <c r="L1764" i="1" s="1"/>
  <c r="J1862" i="1"/>
  <c r="L1862" i="1" s="1"/>
  <c r="J1863" i="1"/>
  <c r="L1863" i="1" s="1"/>
  <c r="J9817" i="1"/>
  <c r="L9817" i="1" s="1"/>
  <c r="J9898" i="1"/>
  <c r="L9898" i="1" s="1"/>
  <c r="J9899" i="1"/>
  <c r="L9899" i="1" s="1"/>
  <c r="J1917" i="1"/>
  <c r="L1917" i="1" s="1"/>
  <c r="J1931" i="1"/>
  <c r="L1931" i="1" s="1"/>
  <c r="J1939" i="1"/>
  <c r="L1939" i="1" s="1"/>
  <c r="J1979" i="1"/>
  <c r="L1979" i="1" s="1"/>
  <c r="J2010" i="1"/>
  <c r="L2010" i="1" s="1"/>
  <c r="J2017" i="1"/>
  <c r="L2017" i="1" s="1"/>
  <c r="J10087" i="1"/>
  <c r="L10087" i="1" s="1"/>
  <c r="J2047" i="1"/>
  <c r="L2047" i="1" s="1"/>
  <c r="J2048" i="1"/>
  <c r="L2048" i="1" s="1"/>
  <c r="J2052" i="1"/>
  <c r="L2052" i="1" s="1"/>
  <c r="J2056" i="1"/>
  <c r="L2056" i="1" s="1"/>
  <c r="J10156" i="1"/>
  <c r="L10156" i="1" s="1"/>
  <c r="J2077" i="1"/>
  <c r="L2077" i="1" s="1"/>
  <c r="J2100" i="1"/>
  <c r="L2100" i="1" s="1"/>
  <c r="J2107" i="1"/>
  <c r="L2107" i="1" s="1"/>
  <c r="J10250" i="1"/>
  <c r="L10250" i="1" s="1"/>
  <c r="J2122" i="1"/>
  <c r="L2122" i="1" s="1"/>
  <c r="J10251" i="1"/>
  <c r="L10251" i="1" s="1"/>
  <c r="J2142" i="1"/>
  <c r="L2142" i="1" s="1"/>
  <c r="J10328" i="1"/>
  <c r="L10328" i="1" s="1"/>
  <c r="J10329" i="1"/>
  <c r="L10329" i="1" s="1"/>
  <c r="J10335" i="1"/>
  <c r="L10335" i="1" s="1"/>
  <c r="J2242" i="1"/>
  <c r="L2242" i="1" s="1"/>
  <c r="J2275" i="1"/>
  <c r="L2275" i="1" s="1"/>
  <c r="J2277" i="1"/>
  <c r="L2277" i="1" s="1"/>
  <c r="J2281" i="1"/>
  <c r="L2281" i="1" s="1"/>
  <c r="J2301" i="1"/>
  <c r="L2301" i="1" s="1"/>
  <c r="J2302" i="1"/>
  <c r="L2302" i="1" s="1"/>
  <c r="J2303" i="1"/>
  <c r="L2303" i="1" s="1"/>
  <c r="J2304" i="1"/>
  <c r="L2304" i="1" s="1"/>
  <c r="J2306" i="1"/>
  <c r="L2306" i="1" s="1"/>
  <c r="J2312" i="1"/>
  <c r="L2312" i="1" s="1"/>
  <c r="J2326" i="1"/>
  <c r="L2326" i="1" s="1"/>
  <c r="J2327" i="1"/>
  <c r="L2327" i="1" s="1"/>
  <c r="J2328" i="1"/>
  <c r="L2328" i="1" s="1"/>
  <c r="J2337" i="1"/>
  <c r="L2337" i="1" s="1"/>
  <c r="J2343" i="1"/>
  <c r="L2343" i="1" s="1"/>
  <c r="J2357" i="1"/>
  <c r="L2357" i="1" s="1"/>
  <c r="J2365" i="1"/>
  <c r="L2365" i="1" s="1"/>
  <c r="J2393" i="1"/>
  <c r="L2393" i="1" s="1"/>
  <c r="J2397" i="1"/>
  <c r="L2397" i="1" s="1"/>
  <c r="J2404" i="1"/>
  <c r="L2404" i="1" s="1"/>
  <c r="J2421" i="1"/>
  <c r="L2421" i="1" s="1"/>
  <c r="J2448" i="1"/>
  <c r="L2448" i="1" s="1"/>
  <c r="J2450" i="1"/>
  <c r="L2450" i="1" s="1"/>
  <c r="J2477" i="1"/>
  <c r="L2477" i="1" s="1"/>
  <c r="J2478" i="1"/>
  <c r="L2478" i="1" s="1"/>
  <c r="J2484" i="1"/>
  <c r="L2484" i="1" s="1"/>
  <c r="J2485" i="1"/>
  <c r="L2485" i="1" s="1"/>
  <c r="J2486" i="1"/>
  <c r="L2486" i="1" s="1"/>
  <c r="J2487" i="1"/>
  <c r="L2487" i="1" s="1"/>
  <c r="J2488" i="1"/>
  <c r="L2488" i="1" s="1"/>
  <c r="J2490" i="1"/>
  <c r="L2490" i="1" s="1"/>
  <c r="J2497" i="1"/>
  <c r="L2497" i="1" s="1"/>
  <c r="J2540" i="1"/>
  <c r="L2540" i="1" s="1"/>
  <c r="J2541" i="1"/>
  <c r="L2541" i="1" s="1"/>
  <c r="J2549" i="1"/>
  <c r="L2549" i="1" s="1"/>
  <c r="J10507" i="1"/>
  <c r="L10507" i="1" s="1"/>
  <c r="J10517" i="1"/>
  <c r="L10517" i="1" s="1"/>
  <c r="J10518" i="1"/>
  <c r="L10518" i="1" s="1"/>
  <c r="J10533" i="1"/>
  <c r="L10533" i="1" s="1"/>
  <c r="J10543" i="1"/>
  <c r="L10543" i="1" s="1"/>
  <c r="J10544" i="1"/>
  <c r="L10544" i="1" s="1"/>
  <c r="J2585" i="1"/>
  <c r="L2585" i="1" s="1"/>
  <c r="J10666" i="1"/>
  <c r="L10666" i="1" s="1"/>
  <c r="J10667" i="1"/>
  <c r="L10667" i="1" s="1"/>
  <c r="J2633" i="1"/>
  <c r="L2633" i="1" s="1"/>
  <c r="J2667" i="1"/>
  <c r="L2667" i="1" s="1"/>
  <c r="J2674" i="1"/>
  <c r="L2674" i="1" s="1"/>
  <c r="J10829" i="1"/>
  <c r="L10829" i="1" s="1"/>
  <c r="J10862" i="1"/>
  <c r="L10862" i="1" s="1"/>
  <c r="J10863" i="1"/>
  <c r="L10863" i="1" s="1"/>
  <c r="J10915" i="1"/>
  <c r="L10915" i="1" s="1"/>
  <c r="J10928" i="1"/>
  <c r="L10928" i="1" s="1"/>
  <c r="J10929" i="1"/>
  <c r="L10929" i="1" s="1"/>
  <c r="J10930" i="1"/>
  <c r="L10930" i="1" s="1"/>
  <c r="J10946" i="1"/>
  <c r="L10946" i="1" s="1"/>
  <c r="J10947" i="1"/>
  <c r="L10947" i="1" s="1"/>
  <c r="J2714" i="1"/>
  <c r="L2714" i="1" s="1"/>
  <c r="J11258" i="1"/>
  <c r="L11258" i="1" s="1"/>
  <c r="J11260" i="1"/>
  <c r="L11260" i="1" s="1"/>
  <c r="J2777" i="1"/>
  <c r="L2777" i="1" s="1"/>
  <c r="J2788" i="1"/>
  <c r="L2788" i="1" s="1"/>
  <c r="J11400" i="1"/>
  <c r="L11400" i="1" s="1"/>
  <c r="J2845" i="1"/>
  <c r="L2845" i="1" s="1"/>
  <c r="J2848" i="1"/>
  <c r="L2848" i="1" s="1"/>
  <c r="J2850" i="1"/>
  <c r="L2850" i="1" s="1"/>
  <c r="J11601" i="1"/>
  <c r="L11601" i="1" s="1"/>
  <c r="J11602" i="1"/>
  <c r="L11602" i="1" s="1"/>
  <c r="J2984" i="1"/>
  <c r="L2984" i="1" s="1"/>
  <c r="J3051" i="1"/>
  <c r="L3051" i="1" s="1"/>
  <c r="J3067" i="1"/>
  <c r="L3067" i="1" s="1"/>
  <c r="J11643" i="1"/>
  <c r="L11643" i="1" s="1"/>
  <c r="J11645" i="1"/>
  <c r="L11645" i="1" s="1"/>
  <c r="J11650" i="1"/>
  <c r="L11650" i="1" s="1"/>
  <c r="J11669" i="1"/>
  <c r="L11669" i="1" s="1"/>
  <c r="J3127" i="1"/>
  <c r="L3127" i="1" s="1"/>
  <c r="J3202" i="1"/>
  <c r="L3202" i="1" s="1"/>
  <c r="J3203" i="1"/>
  <c r="L3203" i="1" s="1"/>
  <c r="J11827" i="1"/>
  <c r="L11827" i="1" s="1"/>
  <c r="J3219" i="1"/>
  <c r="L3219" i="1" s="1"/>
  <c r="J3233" i="1"/>
  <c r="L3233" i="1" s="1"/>
  <c r="J12037" i="1"/>
  <c r="L12037" i="1" s="1"/>
  <c r="J12038" i="1"/>
  <c r="L12038" i="1" s="1"/>
  <c r="J12047" i="1"/>
  <c r="L12047" i="1" s="1"/>
  <c r="J12102" i="1"/>
  <c r="L12102" i="1" s="1"/>
  <c r="J12110" i="1"/>
  <c r="L12110" i="1" s="1"/>
  <c r="J3372" i="1"/>
  <c r="L3372" i="1" s="1"/>
  <c r="J3376" i="1"/>
  <c r="L3376" i="1" s="1"/>
  <c r="J3385" i="1"/>
  <c r="L3385" i="1" s="1"/>
  <c r="J12157" i="1"/>
  <c r="L12157" i="1" s="1"/>
  <c r="J12168" i="1"/>
  <c r="L12168" i="1" s="1"/>
  <c r="J3452" i="1"/>
  <c r="L3452" i="1" s="1"/>
  <c r="J12209" i="1"/>
  <c r="L12209" i="1" s="1"/>
  <c r="J12210" i="1"/>
  <c r="L12210" i="1" s="1"/>
  <c r="J12217" i="1"/>
  <c r="L12217" i="1" s="1"/>
  <c r="J3464" i="1"/>
  <c r="L3464" i="1" s="1"/>
  <c r="J3476" i="1"/>
  <c r="L3476" i="1" s="1"/>
  <c r="J12242" i="1"/>
  <c r="L12242" i="1" s="1"/>
  <c r="J3502" i="1"/>
  <c r="L3502" i="1" s="1"/>
  <c r="J3503" i="1"/>
  <c r="L3503" i="1" s="1"/>
  <c r="J12290" i="1"/>
  <c r="L12290" i="1" s="1"/>
  <c r="J3523" i="1"/>
  <c r="L3523" i="1" s="1"/>
  <c r="J3524" i="1"/>
  <c r="L3524" i="1" s="1"/>
  <c r="J3537" i="1"/>
  <c r="L3537" i="1" s="1"/>
  <c r="J3540" i="1"/>
  <c r="L3540" i="1" s="1"/>
  <c r="J12378" i="1"/>
  <c r="L12378" i="1" s="1"/>
  <c r="J12384" i="1"/>
  <c r="L12384" i="1" s="1"/>
  <c r="J12414" i="1"/>
  <c r="L12414" i="1" s="1"/>
  <c r="J12415" i="1"/>
  <c r="L12415" i="1" s="1"/>
  <c r="J12421" i="1"/>
  <c r="L12421" i="1" s="1"/>
  <c r="J12442" i="1"/>
  <c r="L12442" i="1" s="1"/>
  <c r="J3590" i="1"/>
  <c r="L3590" i="1" s="1"/>
  <c r="J12471" i="1"/>
  <c r="L12471" i="1" s="1"/>
  <c r="J3715" i="1"/>
  <c r="L3715" i="1" s="1"/>
  <c r="J12689" i="1"/>
  <c r="L12689" i="1" s="1"/>
  <c r="J12727" i="1"/>
  <c r="L12727" i="1" s="1"/>
  <c r="J3807" i="1"/>
  <c r="L3807" i="1" s="1"/>
  <c r="J3816" i="1"/>
  <c r="L3816" i="1" s="1"/>
  <c r="J3829" i="1"/>
  <c r="L3829" i="1" s="1"/>
  <c r="J3850" i="1"/>
  <c r="L3850" i="1" s="1"/>
  <c r="J3863" i="1"/>
  <c r="L3863" i="1" s="1"/>
  <c r="J3873" i="1"/>
  <c r="L3873" i="1" s="1"/>
  <c r="J12773" i="1"/>
  <c r="L12773" i="1" s="1"/>
  <c r="J3984" i="1"/>
  <c r="L3984" i="1" s="1"/>
  <c r="J3988" i="1"/>
  <c r="L3988" i="1" s="1"/>
  <c r="J3994" i="1"/>
  <c r="L3994" i="1" s="1"/>
  <c r="J3995" i="1"/>
  <c r="L3995" i="1" s="1"/>
  <c r="J4009" i="1"/>
  <c r="L4009" i="1" s="1"/>
  <c r="J4027" i="1"/>
  <c r="L4027" i="1" s="1"/>
  <c r="J4048" i="1"/>
  <c r="L4048" i="1" s="1"/>
  <c r="J12990" i="1"/>
  <c r="L12990" i="1" s="1"/>
  <c r="J4086" i="1"/>
  <c r="L4086" i="1" s="1"/>
  <c r="J4159" i="1"/>
  <c r="L4159" i="1" s="1"/>
  <c r="J4165" i="1"/>
  <c r="L4165" i="1" s="1"/>
  <c r="J13071" i="1"/>
  <c r="L13071" i="1" s="1"/>
  <c r="J13183" i="1"/>
  <c r="L13183" i="1" s="1"/>
  <c r="J13224" i="1"/>
  <c r="L13224" i="1" s="1"/>
  <c r="J13252" i="1"/>
  <c r="L13252" i="1" s="1"/>
  <c r="J13334" i="1"/>
  <c r="L13334" i="1" s="1"/>
  <c r="J4303" i="1"/>
  <c r="L4303" i="1" s="1"/>
  <c r="J13395" i="1"/>
  <c r="L13395" i="1" s="1"/>
  <c r="J4326" i="1"/>
  <c r="L4326" i="1" s="1"/>
  <c r="J13455" i="1"/>
  <c r="L13455" i="1" s="1"/>
  <c r="J13504" i="1"/>
  <c r="L13504" i="1" s="1"/>
  <c r="J13508" i="1"/>
  <c r="L13508" i="1" s="1"/>
  <c r="J13516" i="1"/>
  <c r="L13516" i="1" s="1"/>
  <c r="J4364" i="1"/>
  <c r="L4364" i="1" s="1"/>
  <c r="J4378" i="1"/>
  <c r="L4378" i="1" s="1"/>
  <c r="J4385" i="1"/>
  <c r="L4385" i="1" s="1"/>
  <c r="J13613" i="1"/>
  <c r="L13613" i="1" s="1"/>
  <c r="J13699" i="1"/>
  <c r="L13699" i="1" s="1"/>
  <c r="J13744" i="1"/>
  <c r="L13744" i="1" s="1"/>
  <c r="J13768" i="1"/>
  <c r="L13768" i="1" s="1"/>
  <c r="J13778" i="1"/>
  <c r="L13778" i="1" s="1"/>
  <c r="J4491" i="1"/>
  <c r="L4491" i="1" s="1"/>
  <c r="J4501" i="1"/>
  <c r="L4501" i="1" s="1"/>
  <c r="J4502" i="1"/>
  <c r="L4502" i="1" s="1"/>
  <c r="J13783" i="1"/>
  <c r="L13783" i="1" s="1"/>
  <c r="J4512" i="1"/>
  <c r="L4512" i="1" s="1"/>
  <c r="J4545" i="1"/>
  <c r="L4545" i="1" s="1"/>
  <c r="J4547" i="1"/>
  <c r="L4547" i="1" s="1"/>
  <c r="J4571" i="1"/>
  <c r="L4571" i="1" s="1"/>
  <c r="J4581" i="1"/>
  <c r="L4581" i="1" s="1"/>
  <c r="J4592" i="1"/>
  <c r="L4592" i="1" s="1"/>
  <c r="J4610" i="1"/>
  <c r="L4610" i="1" s="1"/>
  <c r="J4611" i="1"/>
  <c r="L4611" i="1" s="1"/>
  <c r="J4613" i="1"/>
  <c r="L4613" i="1" s="1"/>
  <c r="J4621" i="1"/>
  <c r="L4621" i="1" s="1"/>
  <c r="B5" i="3" s="1"/>
  <c r="J4639" i="1"/>
  <c r="L4639" i="1" s="1"/>
  <c r="J4642" i="1"/>
  <c r="L4642" i="1" s="1"/>
  <c r="J4681" i="1"/>
  <c r="L4681" i="1" s="1"/>
  <c r="J4685" i="1"/>
  <c r="L4685" i="1" s="1"/>
  <c r="J4733" i="1"/>
  <c r="L4733" i="1" s="1"/>
  <c r="J13928" i="1"/>
  <c r="L13928" i="1" s="1"/>
  <c r="J4743" i="1"/>
  <c r="L4743" i="1" s="1"/>
  <c r="J4747" i="1"/>
  <c r="L4747" i="1" s="1"/>
  <c r="J4751" i="1"/>
  <c r="L4751" i="1" s="1"/>
  <c r="J13974" i="1"/>
  <c r="L13974" i="1" s="1"/>
  <c r="J4766" i="1"/>
  <c r="L4766" i="1" s="1"/>
  <c r="J4769" i="1"/>
  <c r="L4769" i="1" s="1"/>
  <c r="J14047" i="1"/>
  <c r="L14047" i="1" s="1"/>
  <c r="J4793" i="1"/>
  <c r="L4793" i="1" s="1"/>
  <c r="J14085" i="1"/>
  <c r="L14085" i="1" s="1"/>
  <c r="J4811" i="1"/>
  <c r="L4811" i="1" s="1"/>
  <c r="J4856" i="1"/>
  <c r="L4856" i="1" s="1"/>
  <c r="J14250" i="1"/>
  <c r="L14250" i="1" s="1"/>
  <c r="J14264" i="1"/>
  <c r="L14264" i="1" s="1"/>
  <c r="J14284" i="1"/>
  <c r="L14284" i="1" s="1"/>
  <c r="J14285" i="1"/>
  <c r="L14285" i="1" s="1"/>
  <c r="J4881" i="1"/>
  <c r="L4881" i="1" s="1"/>
  <c r="J14295" i="1"/>
  <c r="L14295" i="1" s="1"/>
  <c r="J14304" i="1"/>
  <c r="L14304" i="1" s="1"/>
  <c r="J14308" i="1"/>
  <c r="L14308" i="1" s="1"/>
  <c r="J14317" i="1"/>
  <c r="L14317" i="1" s="1"/>
  <c r="J14321" i="1"/>
  <c r="L14321" i="1" s="1"/>
  <c r="J14337" i="1"/>
  <c r="L14337" i="1" s="1"/>
  <c r="J14355" i="1"/>
  <c r="L14355" i="1" s="1"/>
  <c r="J14361" i="1"/>
  <c r="L14361" i="1" s="1"/>
  <c r="J14367" i="1"/>
  <c r="L14367" i="1" s="1"/>
  <c r="J4895" i="1"/>
  <c r="L4895" i="1" s="1"/>
  <c r="J4939" i="1"/>
  <c r="L4939" i="1" s="1"/>
  <c r="J4961" i="1"/>
  <c r="L4961" i="1" s="1"/>
  <c r="J14777" i="1"/>
  <c r="L14777" i="1" s="1"/>
  <c r="J14857" i="1"/>
  <c r="L14857" i="1" s="1"/>
  <c r="J5006" i="1"/>
  <c r="L5006" i="1" s="1"/>
  <c r="J5050" i="1"/>
  <c r="L5050" i="1" s="1"/>
  <c r="J5051" i="1"/>
  <c r="L5051" i="1" s="1"/>
  <c r="J5059" i="1"/>
  <c r="L5059" i="1" s="1"/>
  <c r="J5062" i="1"/>
  <c r="L5062" i="1" s="1"/>
  <c r="J14937" i="1"/>
  <c r="L14937" i="1" s="1"/>
  <c r="J5069" i="1"/>
  <c r="L5069" i="1" s="1"/>
  <c r="J5097" i="1"/>
  <c r="L5097" i="1" s="1"/>
  <c r="J5128" i="1"/>
  <c r="L5128" i="1" s="1"/>
  <c r="J5197" i="1"/>
  <c r="L5197" i="1" s="1"/>
  <c r="J15010" i="1"/>
  <c r="L15010" i="1" s="1"/>
  <c r="J5208" i="1"/>
  <c r="L5208" i="1" s="1"/>
  <c r="J15027" i="1"/>
  <c r="L15027" i="1" s="1"/>
  <c r="J5244" i="1"/>
  <c r="L5244" i="1" s="1"/>
  <c r="J5261" i="1"/>
  <c r="L5261" i="1" s="1"/>
  <c r="J5308" i="1"/>
  <c r="L5308" i="1" s="1"/>
  <c r="J5313" i="1"/>
  <c r="L5313" i="1" s="1"/>
  <c r="J15069" i="1"/>
  <c r="L15069" i="1" s="1"/>
  <c r="J15070" i="1"/>
  <c r="L15070" i="1" s="1"/>
  <c r="J15072" i="1"/>
  <c r="L15072" i="1" s="1"/>
  <c r="J5436" i="1"/>
  <c r="L5436" i="1" s="1"/>
  <c r="J15233" i="1"/>
  <c r="L15233" i="1" s="1"/>
  <c r="J15239" i="1"/>
  <c r="L15239" i="1" s="1"/>
  <c r="J5485" i="1"/>
  <c r="L5485" i="1" s="1"/>
  <c r="J5488" i="1"/>
  <c r="L5488" i="1" s="1"/>
  <c r="J15293" i="1"/>
  <c r="L15293" i="1" s="1"/>
  <c r="J5549" i="1"/>
  <c r="L5549" i="1" s="1"/>
  <c r="J5567" i="1"/>
  <c r="L5567" i="1" s="1"/>
  <c r="J15439" i="1"/>
  <c r="L15439" i="1" s="1"/>
  <c r="J15491" i="1"/>
  <c r="L15491" i="1" s="1"/>
  <c r="J15492" i="1"/>
  <c r="L15492" i="1" s="1"/>
  <c r="J15495" i="1"/>
  <c r="L15495" i="1" s="1"/>
  <c r="J5681" i="1"/>
  <c r="L5681" i="1" s="1"/>
  <c r="J5699" i="1"/>
  <c r="L5699" i="1" s="1"/>
  <c r="J5706" i="1"/>
  <c r="L5706" i="1" s="1"/>
  <c r="J15616" i="1"/>
  <c r="L15616" i="1" s="1"/>
  <c r="J5754" i="1"/>
  <c r="L5754" i="1" s="1"/>
  <c r="J15637" i="1"/>
  <c r="L15637" i="1" s="1"/>
  <c r="J15644" i="1"/>
  <c r="L15644" i="1" s="1"/>
  <c r="J15658" i="1"/>
  <c r="L15658" i="1" s="1"/>
  <c r="J5830" i="1"/>
  <c r="L5830" i="1" s="1"/>
  <c r="J5840" i="1"/>
  <c r="L5840" i="1" s="1"/>
  <c r="J5860" i="1"/>
  <c r="L5860" i="1" s="1"/>
  <c r="J15783" i="1"/>
  <c r="L15783" i="1" s="1"/>
  <c r="J15790" i="1"/>
  <c r="L15790" i="1" s="1"/>
  <c r="J5881" i="1"/>
  <c r="L5881" i="1" s="1"/>
  <c r="J5882" i="1"/>
  <c r="L5882" i="1" s="1"/>
  <c r="J5893" i="1"/>
  <c r="L5893" i="1" s="1"/>
  <c r="J5894" i="1"/>
  <c r="L5894" i="1" s="1"/>
  <c r="J15826" i="1"/>
  <c r="L15826" i="1" s="1"/>
  <c r="J5908" i="1"/>
  <c r="L5908" i="1" s="1"/>
  <c r="J5914" i="1"/>
  <c r="L5914" i="1" s="1"/>
  <c r="J5918" i="1"/>
  <c r="L5918" i="1" s="1"/>
  <c r="J6149" i="1"/>
  <c r="L6149" i="1" s="1"/>
  <c r="J16007" i="1"/>
  <c r="L16007" i="1" s="1"/>
  <c r="J16049" i="1"/>
  <c r="L16049" i="1" s="1"/>
  <c r="J16059" i="1"/>
  <c r="L16059" i="1" s="1"/>
  <c r="J6173" i="1"/>
  <c r="L6173" i="1" s="1"/>
  <c r="J6177" i="1"/>
  <c r="L6177" i="1" s="1"/>
  <c r="J6186" i="1"/>
  <c r="L6186" i="1" s="1"/>
  <c r="J6197" i="1"/>
  <c r="L6197" i="1" s="1"/>
  <c r="J6198" i="1"/>
  <c r="L6198" i="1" s="1"/>
  <c r="J6217" i="1"/>
  <c r="L6217" i="1" s="1"/>
  <c r="J6219" i="1"/>
  <c r="L6219" i="1" s="1"/>
  <c r="J6234" i="1"/>
  <c r="L6234" i="1" s="1"/>
  <c r="J6235" i="1"/>
  <c r="L6235" i="1" s="1"/>
  <c r="J6305" i="1"/>
  <c r="L6305" i="1" s="1"/>
  <c r="J6324" i="1"/>
  <c r="L6324" i="1" s="1"/>
  <c r="J6331" i="1"/>
  <c r="L6331" i="1" s="1"/>
  <c r="J6342" i="1"/>
  <c r="L6342" i="1" s="1"/>
  <c r="J6343" i="1"/>
  <c r="L6343" i="1" s="1"/>
  <c r="J6371" i="1"/>
  <c r="L6371" i="1" s="1"/>
  <c r="J6379" i="1"/>
  <c r="L6379" i="1" s="1"/>
  <c r="J6380" i="1"/>
  <c r="L6380" i="1" s="1"/>
  <c r="J6383" i="1"/>
  <c r="L6383" i="1" s="1"/>
  <c r="J16307" i="1"/>
  <c r="L16307" i="1" s="1"/>
  <c r="J6423" i="1"/>
  <c r="L6423" i="1" s="1"/>
  <c r="J6424" i="1"/>
  <c r="L6424" i="1" s="1"/>
  <c r="J6435" i="1"/>
  <c r="L6435" i="1" s="1"/>
  <c r="J6436" i="1"/>
  <c r="L6436" i="1" s="1"/>
  <c r="J6442" i="1"/>
  <c r="L6442" i="1" s="1"/>
  <c r="J6481" i="1"/>
  <c r="L6481" i="1" s="1"/>
  <c r="J6482" i="1"/>
  <c r="L6482" i="1" s="1"/>
  <c r="J6500" i="1"/>
  <c r="L6500" i="1" s="1"/>
  <c r="J6568" i="1"/>
  <c r="L6568" i="1" s="1"/>
  <c r="J16444" i="1"/>
  <c r="L16444" i="1" s="1"/>
  <c r="J16445" i="1"/>
  <c r="L16445" i="1" s="1"/>
  <c r="J6593" i="1"/>
  <c r="L6593" i="1" s="1"/>
  <c r="J6632" i="1"/>
  <c r="L6632" i="1" s="1"/>
  <c r="J6664" i="1"/>
  <c r="L6664" i="1" s="1"/>
  <c r="J6672" i="1"/>
  <c r="L6672" i="1" s="1"/>
  <c r="J16687" i="1"/>
  <c r="L16687" i="1" s="1"/>
  <c r="J6677" i="1"/>
  <c r="L6677" i="1" s="1"/>
  <c r="J6682" i="1"/>
  <c r="L6682" i="1" s="1"/>
  <c r="J6690" i="1"/>
  <c r="L6690" i="1" s="1"/>
  <c r="J16710" i="1"/>
  <c r="L16710" i="1" s="1"/>
  <c r="J16748" i="1"/>
  <c r="L16748" i="1" s="1"/>
  <c r="J16755" i="1"/>
  <c r="L16755" i="1" s="1"/>
  <c r="J6742" i="1"/>
  <c r="L6742" i="1" s="1"/>
  <c r="J6744" i="1"/>
  <c r="L6744" i="1" s="1"/>
  <c r="J16869" i="1"/>
  <c r="L16869" i="1" s="1"/>
  <c r="J6769" i="1"/>
  <c r="L6769" i="1" s="1"/>
  <c r="J6774" i="1"/>
  <c r="L6774" i="1" s="1"/>
  <c r="J6783" i="1"/>
  <c r="L6783" i="1" s="1"/>
  <c r="J6791" i="1"/>
  <c r="L6791" i="1" s="1"/>
  <c r="J6792" i="1"/>
  <c r="L6792" i="1" s="1"/>
  <c r="J6803" i="1"/>
  <c r="L6803" i="1" s="1"/>
  <c r="J6822" i="1"/>
  <c r="L6822" i="1" s="1"/>
  <c r="B5" i="4" s="1"/>
  <c r="J6838" i="1"/>
  <c r="L6838" i="1" s="1"/>
  <c r="J6850" i="1"/>
  <c r="L6850" i="1" s="1"/>
  <c r="J17105" i="1"/>
  <c r="L17105" i="1" s="1"/>
  <c r="J6896" i="1"/>
  <c r="L6896" i="1" s="1"/>
  <c r="J6897" i="1"/>
  <c r="L6897" i="1" s="1"/>
  <c r="J6898" i="1"/>
  <c r="L6898" i="1" s="1"/>
  <c r="J6914" i="1"/>
  <c r="L6914" i="1" s="1"/>
  <c r="J6916" i="1"/>
  <c r="L6916" i="1" s="1"/>
  <c r="J17107" i="1"/>
  <c r="L17107" i="1" s="1"/>
  <c r="J17108" i="1"/>
  <c r="L17108" i="1" s="1"/>
  <c r="J6942" i="1"/>
  <c r="L6942" i="1" s="1"/>
  <c r="J6959" i="1"/>
  <c r="L6959" i="1" s="1"/>
  <c r="J6965" i="1"/>
  <c r="L6965" i="1" s="1"/>
  <c r="J17131" i="1"/>
  <c r="L17131" i="1" s="1"/>
  <c r="J6980" i="1"/>
  <c r="L6980" i="1" s="1"/>
  <c r="J6990" i="1"/>
  <c r="L6990" i="1" s="1"/>
  <c r="J7000" i="1"/>
  <c r="L7000" i="1" s="1"/>
  <c r="J7001" i="1"/>
  <c r="L7001" i="1" s="1"/>
  <c r="J7006" i="1"/>
  <c r="L7006" i="1" s="1"/>
  <c r="J7007" i="1"/>
  <c r="L7007" i="1" s="1"/>
  <c r="J7008" i="1"/>
  <c r="L7008" i="1" s="1"/>
  <c r="J7041" i="1"/>
  <c r="L7041" i="1" s="1"/>
  <c r="J7043" i="1"/>
  <c r="L7043" i="1" s="1"/>
  <c r="J7045" i="1"/>
  <c r="L7045" i="1" s="1"/>
  <c r="J7046" i="1"/>
  <c r="L7046" i="1" s="1"/>
  <c r="J7057" i="1"/>
  <c r="L7057" i="1" s="1"/>
  <c r="J7060" i="1"/>
  <c r="L7060" i="1" s="1"/>
  <c r="J7099" i="1"/>
  <c r="L7099" i="1" s="1"/>
  <c r="J7100" i="1"/>
  <c r="L7100" i="1" s="1"/>
  <c r="J17269" i="1"/>
  <c r="L17269" i="1" s="1"/>
  <c r="J7179" i="1"/>
  <c r="L7179" i="1" s="1"/>
  <c r="J7180" i="1"/>
  <c r="L7180" i="1" s="1"/>
  <c r="J7181" i="1"/>
  <c r="L7181" i="1" s="1"/>
  <c r="J7233" i="1"/>
  <c r="L7233" i="1" s="1"/>
  <c r="J7234" i="1"/>
  <c r="L7234" i="1" s="1"/>
  <c r="J7241" i="1"/>
  <c r="L7241" i="1" s="1"/>
  <c r="J7247" i="1"/>
  <c r="L7247" i="1" s="1"/>
  <c r="J21" i="1"/>
  <c r="L21" i="1" s="1"/>
  <c r="J7327" i="1"/>
  <c r="L7327" i="1" s="1"/>
  <c r="J33" i="1"/>
  <c r="L33" i="1" s="1"/>
  <c r="J34" i="1"/>
  <c r="L34" i="1" s="1"/>
  <c r="J7430" i="1"/>
  <c r="L7430" i="1" s="1"/>
  <c r="J7431" i="1"/>
  <c r="L7431" i="1" s="1"/>
  <c r="J7432" i="1"/>
  <c r="L7432" i="1" s="1"/>
  <c r="J86" i="1"/>
  <c r="L86" i="1" s="1"/>
  <c r="J98" i="1"/>
  <c r="L98" i="1" s="1"/>
  <c r="J100" i="1"/>
  <c r="L100" i="1" s="1"/>
  <c r="J114" i="1"/>
  <c r="L114" i="1" s="1"/>
  <c r="J134" i="1"/>
  <c r="L134" i="1" s="1"/>
  <c r="J150" i="1"/>
  <c r="L150" i="1" s="1"/>
  <c r="J7614" i="1"/>
  <c r="L7614" i="1" s="1"/>
  <c r="J7625" i="1"/>
  <c r="L7625" i="1" s="1"/>
  <c r="J7631" i="1"/>
  <c r="L7631" i="1" s="1"/>
  <c r="J7645" i="1"/>
  <c r="L7645" i="1" s="1"/>
  <c r="J7646" i="1"/>
  <c r="L7646" i="1" s="1"/>
  <c r="J7673" i="1"/>
  <c r="L7673" i="1" s="1"/>
  <c r="J7675" i="1"/>
  <c r="L7675" i="1" s="1"/>
  <c r="J7733" i="1"/>
  <c r="L7733" i="1" s="1"/>
  <c r="J7744" i="1"/>
  <c r="L7744" i="1" s="1"/>
  <c r="J7803" i="1"/>
  <c r="L7803" i="1" s="1"/>
  <c r="J7817" i="1"/>
  <c r="L7817" i="1" s="1"/>
  <c r="J7854" i="1"/>
  <c r="L7854" i="1" s="1"/>
  <c r="J8032" i="1"/>
  <c r="L8032" i="1" s="1"/>
  <c r="J8138" i="1"/>
  <c r="L8138" i="1" s="1"/>
  <c r="J262" i="1"/>
  <c r="L262" i="1" s="1"/>
  <c r="J8201" i="1"/>
  <c r="L8201" i="1" s="1"/>
  <c r="J272" i="1"/>
  <c r="L272" i="1" s="1"/>
  <c r="J8280" i="1"/>
  <c r="L8280" i="1" s="1"/>
  <c r="J323" i="1"/>
  <c r="L323" i="1" s="1"/>
  <c r="J324" i="1"/>
  <c r="L324" i="1" s="1"/>
  <c r="J332" i="1"/>
  <c r="L332" i="1" s="1"/>
  <c r="J372" i="1"/>
  <c r="L372" i="1" s="1"/>
  <c r="J376" i="1"/>
  <c r="L376" i="1" s="1"/>
  <c r="J379" i="1"/>
  <c r="L379" i="1" s="1"/>
  <c r="J381" i="1"/>
  <c r="L381" i="1" s="1"/>
  <c r="J8365" i="1"/>
  <c r="L8365" i="1" s="1"/>
  <c r="J387" i="1"/>
  <c r="L387" i="1" s="1"/>
  <c r="J394" i="1"/>
  <c r="L394" i="1" s="1"/>
  <c r="J487" i="1"/>
  <c r="L487" i="1" s="1"/>
  <c r="J511" i="1"/>
  <c r="L511" i="1" s="1"/>
  <c r="J563" i="1"/>
  <c r="L563" i="1" s="1"/>
  <c r="J568" i="1"/>
  <c r="L568" i="1" s="1"/>
  <c r="J588" i="1"/>
  <c r="L588" i="1" s="1"/>
  <c r="J8455" i="1"/>
  <c r="L8455" i="1" s="1"/>
  <c r="J8458" i="1"/>
  <c r="L8458" i="1" s="1"/>
  <c r="J609" i="1"/>
  <c r="L609" i="1" s="1"/>
  <c r="J8499" i="1"/>
  <c r="L8499" i="1" s="1"/>
  <c r="J8555" i="1"/>
  <c r="L8555" i="1" s="1"/>
  <c r="J703" i="1"/>
  <c r="L703" i="1" s="1"/>
  <c r="J708" i="1"/>
  <c r="L708" i="1" s="1"/>
  <c r="J8582" i="1"/>
  <c r="L8582" i="1" s="1"/>
  <c r="J8585" i="1"/>
  <c r="L8585" i="1" s="1"/>
  <c r="J729" i="1"/>
  <c r="L729" i="1" s="1"/>
  <c r="J8630" i="1"/>
  <c r="L8630" i="1" s="1"/>
  <c r="J755" i="1"/>
  <c r="L755" i="1" s="1"/>
  <c r="J759" i="1"/>
  <c r="L759" i="1" s="1"/>
  <c r="J773" i="1"/>
  <c r="L773" i="1" s="1"/>
  <c r="J783" i="1"/>
  <c r="L783" i="1" s="1"/>
  <c r="J8808" i="1"/>
  <c r="L8808" i="1" s="1"/>
  <c r="J8818" i="1"/>
  <c r="L8818" i="1" s="1"/>
  <c r="J8879" i="1"/>
  <c r="L8879" i="1" s="1"/>
  <c r="J8912" i="1"/>
  <c r="L8912" i="1" s="1"/>
  <c r="J914" i="1"/>
  <c r="L914" i="1" s="1"/>
  <c r="J8975" i="1"/>
  <c r="L8975" i="1" s="1"/>
  <c r="J958" i="1"/>
  <c r="L958" i="1" s="1"/>
  <c r="J972" i="1"/>
  <c r="L972" i="1" s="1"/>
  <c r="J979" i="1"/>
  <c r="L979" i="1" s="1"/>
  <c r="J987" i="1"/>
  <c r="L987" i="1" s="1"/>
  <c r="J988" i="1"/>
  <c r="L988" i="1" s="1"/>
  <c r="J996" i="1"/>
  <c r="L996" i="1" s="1"/>
  <c r="J1009" i="1"/>
  <c r="L1009" i="1" s="1"/>
  <c r="J1013" i="1"/>
  <c r="L1013" i="1" s="1"/>
  <c r="J9011" i="1"/>
  <c r="L9011" i="1" s="1"/>
  <c r="J9018" i="1"/>
  <c r="L9018" i="1" s="1"/>
  <c r="J9025" i="1"/>
  <c r="L9025" i="1" s="1"/>
  <c r="J9026" i="1"/>
  <c r="L9026" i="1" s="1"/>
  <c r="J9027" i="1"/>
  <c r="L9027" i="1" s="1"/>
  <c r="J9028" i="1"/>
  <c r="L9028" i="1" s="1"/>
  <c r="J1039" i="1"/>
  <c r="L1039" i="1" s="1"/>
  <c r="J1069" i="1"/>
  <c r="L1069" i="1" s="1"/>
  <c r="J1086" i="1"/>
  <c r="L1086" i="1" s="1"/>
  <c r="J1090" i="1"/>
  <c r="L1090" i="1" s="1"/>
  <c r="J1098" i="1"/>
  <c r="L1098" i="1" s="1"/>
  <c r="J9148" i="1"/>
  <c r="L9148" i="1" s="1"/>
  <c r="J1164" i="1"/>
  <c r="L1164" i="1" s="1"/>
  <c r="J1172" i="1"/>
  <c r="L1172" i="1" s="1"/>
  <c r="J1182" i="1"/>
  <c r="L1182" i="1" s="1"/>
  <c r="J9240" i="1"/>
  <c r="L9240" i="1" s="1"/>
  <c r="J1391" i="1"/>
  <c r="L1391" i="1" s="1"/>
  <c r="J1421" i="1"/>
  <c r="L1421" i="1" s="1"/>
  <c r="J9388" i="1"/>
  <c r="L9388" i="1" s="1"/>
  <c r="J9417" i="1"/>
  <c r="L9417" i="1" s="1"/>
  <c r="J9422" i="1"/>
  <c r="L9422" i="1" s="1"/>
  <c r="J9426" i="1"/>
  <c r="L9426" i="1" s="1"/>
  <c r="J9454" i="1"/>
  <c r="L9454" i="1" s="1"/>
  <c r="J1433" i="1"/>
  <c r="L1433" i="1" s="1"/>
  <c r="J1457" i="1"/>
  <c r="L1457" i="1" s="1"/>
  <c r="J1464" i="1"/>
  <c r="L1464" i="1" s="1"/>
  <c r="J1478" i="1"/>
  <c r="L1478" i="1" s="1"/>
  <c r="J1504" i="1"/>
  <c r="L1504" i="1" s="1"/>
  <c r="J1577" i="1"/>
  <c r="L1577" i="1" s="1"/>
  <c r="J1598" i="1"/>
  <c r="L1598" i="1" s="1"/>
  <c r="J1609" i="1"/>
  <c r="L1609" i="1" s="1"/>
  <c r="J1610" i="1"/>
  <c r="L1610" i="1" s="1"/>
  <c r="J1616" i="1"/>
  <c r="L1616" i="1" s="1"/>
  <c r="J1621" i="1"/>
  <c r="L1621" i="1" s="1"/>
  <c r="J1626" i="1"/>
  <c r="L1626" i="1" s="1"/>
  <c r="J9525" i="1"/>
  <c r="L9525" i="1" s="1"/>
  <c r="J1639" i="1"/>
  <c r="L1639" i="1" s="1"/>
  <c r="J1641" i="1"/>
  <c r="L1641" i="1" s="1"/>
  <c r="J1646" i="1"/>
  <c r="L1646" i="1" s="1"/>
  <c r="J1656" i="1"/>
  <c r="L1656" i="1" s="1"/>
  <c r="J9659" i="1"/>
  <c r="L9659" i="1" s="1"/>
  <c r="J1732" i="1"/>
  <c r="L1732" i="1" s="1"/>
  <c r="J9678" i="1"/>
  <c r="L9678" i="1" s="1"/>
  <c r="J1750" i="1"/>
  <c r="L1750" i="1" s="1"/>
  <c r="J1755" i="1"/>
  <c r="L1755" i="1" s="1"/>
  <c r="J1777" i="1"/>
  <c r="L1777" i="1" s="1"/>
  <c r="J1785" i="1"/>
  <c r="L1785" i="1" s="1"/>
  <c r="J1847" i="1"/>
  <c r="L1847" i="1" s="1"/>
  <c r="J1848" i="1"/>
  <c r="L1848" i="1" s="1"/>
  <c r="J1861" i="1"/>
  <c r="L1861" i="1" s="1"/>
  <c r="J9895" i="1"/>
  <c r="L9895" i="1" s="1"/>
  <c r="J9896" i="1"/>
  <c r="L9896" i="1" s="1"/>
  <c r="J9897" i="1"/>
  <c r="L9897" i="1" s="1"/>
  <c r="J1932" i="1"/>
  <c r="L1932" i="1" s="1"/>
  <c r="J9963" i="1"/>
  <c r="L9963" i="1" s="1"/>
  <c r="J9976" i="1"/>
  <c r="L9976" i="1" s="1"/>
  <c r="J10022" i="1"/>
  <c r="L10022" i="1" s="1"/>
  <c r="J2005" i="1"/>
  <c r="L2005" i="1" s="1"/>
  <c r="J2006" i="1"/>
  <c r="L2006" i="1" s="1"/>
  <c r="J2013" i="1"/>
  <c r="L2013" i="1" s="1"/>
  <c r="J10073" i="1"/>
  <c r="L10073" i="1" s="1"/>
  <c r="J2043" i="1"/>
  <c r="L2043" i="1" s="1"/>
  <c r="J2046" i="1"/>
  <c r="L2046" i="1" s="1"/>
  <c r="J2075" i="1"/>
  <c r="L2075" i="1" s="1"/>
  <c r="J2079" i="1"/>
  <c r="L2079" i="1" s="1"/>
  <c r="J2112" i="1"/>
  <c r="L2112" i="1" s="1"/>
  <c r="J2120" i="1"/>
  <c r="L2120" i="1" s="1"/>
  <c r="J10305" i="1"/>
  <c r="L10305" i="1" s="1"/>
  <c r="J2150" i="1"/>
  <c r="L2150" i="1" s="1"/>
  <c r="J2152" i="1"/>
  <c r="L2152" i="1" s="1"/>
  <c r="J2210" i="1"/>
  <c r="L2210" i="1" s="1"/>
  <c r="J2212" i="1"/>
  <c r="L2212" i="1" s="1"/>
  <c r="J10330" i="1"/>
  <c r="L10330" i="1" s="1"/>
  <c r="J10353" i="1"/>
  <c r="L10353" i="1" s="1"/>
  <c r="J10406" i="1"/>
  <c r="L10406" i="1" s="1"/>
  <c r="J10409" i="1"/>
  <c r="L10409" i="1" s="1"/>
  <c r="J10419" i="1"/>
  <c r="L10419" i="1" s="1"/>
  <c r="J2305" i="1"/>
  <c r="L2305" i="1" s="1"/>
  <c r="J2308" i="1"/>
  <c r="L2308" i="1" s="1"/>
  <c r="J2320" i="1"/>
  <c r="L2320" i="1" s="1"/>
  <c r="J2322" i="1"/>
  <c r="L2322" i="1" s="1"/>
  <c r="J2324" i="1"/>
  <c r="L2324" i="1" s="1"/>
  <c r="J2325" i="1"/>
  <c r="L2325" i="1" s="1"/>
  <c r="J2334" i="1"/>
  <c r="L2334" i="1" s="1"/>
  <c r="J2336" i="1"/>
  <c r="L2336" i="1" s="1"/>
  <c r="J2341" i="1"/>
  <c r="L2341" i="1" s="1"/>
  <c r="J2349" i="1"/>
  <c r="L2349" i="1" s="1"/>
  <c r="J2383" i="1"/>
  <c r="L2383" i="1" s="1"/>
  <c r="J2384" i="1"/>
  <c r="L2384" i="1" s="1"/>
  <c r="J2390" i="1"/>
  <c r="L2390" i="1" s="1"/>
  <c r="J2395" i="1"/>
  <c r="L2395" i="1" s="1"/>
  <c r="J2396" i="1"/>
  <c r="L2396" i="1" s="1"/>
  <c r="J2403" i="1"/>
  <c r="L2403" i="1" s="1"/>
  <c r="J2405" i="1"/>
  <c r="L2405" i="1" s="1"/>
  <c r="J2408" i="1"/>
  <c r="L2408" i="1" s="1"/>
  <c r="J2431" i="1"/>
  <c r="L2431" i="1" s="1"/>
  <c r="J2434" i="1"/>
  <c r="L2434" i="1" s="1"/>
  <c r="J2441" i="1"/>
  <c r="L2441" i="1" s="1"/>
  <c r="J2442" i="1"/>
  <c r="L2442" i="1" s="1"/>
  <c r="J2453" i="1"/>
  <c r="L2453" i="1" s="1"/>
  <c r="J2466" i="1"/>
  <c r="L2466" i="1" s="1"/>
  <c r="J2483" i="1"/>
  <c r="L2483" i="1" s="1"/>
  <c r="J2517" i="1"/>
  <c r="L2517" i="1" s="1"/>
  <c r="J2520" i="1"/>
  <c r="L2520" i="1" s="1"/>
  <c r="J2538" i="1"/>
  <c r="L2538" i="1" s="1"/>
  <c r="J2539" i="1"/>
  <c r="L2539" i="1" s="1"/>
  <c r="J2548" i="1"/>
  <c r="L2548" i="1" s="1"/>
  <c r="J2552" i="1"/>
  <c r="L2552" i="1" s="1"/>
  <c r="J10505" i="1"/>
  <c r="L10505" i="1" s="1"/>
  <c r="J10515" i="1"/>
  <c r="L10515" i="1" s="1"/>
  <c r="J10516" i="1"/>
  <c r="L10516" i="1" s="1"/>
  <c r="J10532" i="1"/>
  <c r="L10532" i="1" s="1"/>
  <c r="J2571" i="1"/>
  <c r="L2571" i="1" s="1"/>
  <c r="J2572" i="1"/>
  <c r="L2572" i="1" s="1"/>
  <c r="J2581" i="1"/>
  <c r="L2581" i="1" s="1"/>
  <c r="J2590" i="1"/>
  <c r="L2590" i="1" s="1"/>
  <c r="J10665" i="1"/>
  <c r="L10665" i="1" s="1"/>
  <c r="J2634" i="1"/>
  <c r="L2634" i="1" s="1"/>
  <c r="J2635" i="1"/>
  <c r="L2635" i="1" s="1"/>
  <c r="J2666" i="1"/>
  <c r="L2666" i="1" s="1"/>
  <c r="J2676" i="1"/>
  <c r="L2676" i="1" s="1"/>
  <c r="J2689" i="1"/>
  <c r="L2689" i="1" s="1"/>
  <c r="J10846" i="1"/>
  <c r="L10846" i="1" s="1"/>
  <c r="J10861" i="1"/>
  <c r="L10861" i="1" s="1"/>
  <c r="J10878" i="1"/>
  <c r="L10878" i="1" s="1"/>
  <c r="J10892" i="1"/>
  <c r="L10892" i="1" s="1"/>
  <c r="J10907" i="1"/>
  <c r="L10907" i="1" s="1"/>
  <c r="J10927" i="1"/>
  <c r="L10927" i="1" s="1"/>
  <c r="J10945" i="1"/>
  <c r="L10945" i="1" s="1"/>
  <c r="J10966" i="1"/>
  <c r="L10966" i="1" s="1"/>
  <c r="J11059" i="1"/>
  <c r="L11059" i="1" s="1"/>
  <c r="J11062" i="1"/>
  <c r="L11062" i="1" s="1"/>
  <c r="J2752" i="1"/>
  <c r="L2752" i="1" s="1"/>
  <c r="J11264" i="1"/>
  <c r="L11264" i="1" s="1"/>
  <c r="J11270" i="1"/>
  <c r="L11270" i="1" s="1"/>
  <c r="J2779" i="1"/>
  <c r="L2779" i="1" s="1"/>
  <c r="J11286" i="1"/>
  <c r="L11286" i="1" s="1"/>
  <c r="J11291" i="1"/>
  <c r="L11291" i="1" s="1"/>
  <c r="J2839" i="1"/>
  <c r="L2839" i="1" s="1"/>
  <c r="J2853" i="1"/>
  <c r="L2853" i="1" s="1"/>
  <c r="J2856" i="1"/>
  <c r="L2856" i="1" s="1"/>
  <c r="J11525" i="1"/>
  <c r="L11525" i="1" s="1"/>
  <c r="J2897" i="1"/>
  <c r="L2897" i="1" s="1"/>
  <c r="J3096" i="1"/>
  <c r="L3096" i="1" s="1"/>
  <c r="J11661" i="1"/>
  <c r="L11661" i="1" s="1"/>
  <c r="J3108" i="1"/>
  <c r="L3108" i="1" s="1"/>
  <c r="J3177" i="1"/>
  <c r="L3177" i="1" s="1"/>
  <c r="J3183" i="1"/>
  <c r="L3183" i="1" s="1"/>
  <c r="J3187" i="1"/>
  <c r="L3187" i="1" s="1"/>
  <c r="J3189" i="1"/>
  <c r="L3189" i="1" s="1"/>
  <c r="J11860" i="1"/>
  <c r="L11860" i="1" s="1"/>
  <c r="J3257" i="1"/>
  <c r="L3257" i="1" s="1"/>
  <c r="J12059" i="1"/>
  <c r="L12059" i="1" s="1"/>
  <c r="J12060" i="1"/>
  <c r="L12060" i="1" s="1"/>
  <c r="J12062" i="1"/>
  <c r="L12062" i="1" s="1"/>
  <c r="J3363" i="1"/>
  <c r="L3363" i="1" s="1"/>
  <c r="J12086" i="1"/>
  <c r="L12086" i="1" s="1"/>
  <c r="J12097" i="1"/>
  <c r="L12097" i="1" s="1"/>
  <c r="J12101" i="1"/>
  <c r="L12101" i="1" s="1"/>
  <c r="J12184" i="1"/>
  <c r="L12184" i="1" s="1"/>
  <c r="J3447" i="1"/>
  <c r="L3447" i="1" s="1"/>
  <c r="J3448" i="1"/>
  <c r="L3448" i="1" s="1"/>
  <c r="J12201" i="1"/>
  <c r="L12201" i="1" s="1"/>
  <c r="J12216" i="1"/>
  <c r="L12216" i="1" s="1"/>
  <c r="J12220" i="1"/>
  <c r="L12220" i="1" s="1"/>
  <c r="J3475" i="1"/>
  <c r="L3475" i="1" s="1"/>
  <c r="J3482" i="1"/>
  <c r="L3482" i="1" s="1"/>
  <c r="J3495" i="1"/>
  <c r="L3495" i="1" s="1"/>
  <c r="J12241" i="1"/>
  <c r="L12241" i="1" s="1"/>
  <c r="J12244" i="1"/>
  <c r="L12244" i="1" s="1"/>
  <c r="J3501" i="1"/>
  <c r="L3501" i="1" s="1"/>
  <c r="J3507" i="1"/>
  <c r="L3507" i="1" s="1"/>
  <c r="J3509" i="1"/>
  <c r="L3509" i="1" s="1"/>
  <c r="J3541" i="1"/>
  <c r="L3541" i="1" s="1"/>
  <c r="J12381" i="1"/>
  <c r="L12381" i="1" s="1"/>
  <c r="J12382" i="1"/>
  <c r="L12382" i="1" s="1"/>
  <c r="J12383" i="1"/>
  <c r="L12383" i="1" s="1"/>
  <c r="J12387" i="1"/>
  <c r="L12387" i="1" s="1"/>
  <c r="J12409" i="1"/>
  <c r="L12409" i="1" s="1"/>
  <c r="J12416" i="1"/>
  <c r="L12416" i="1" s="1"/>
  <c r="J12419" i="1"/>
  <c r="L12419" i="1" s="1"/>
  <c r="J12420" i="1"/>
  <c r="L12420" i="1" s="1"/>
  <c r="J12440" i="1"/>
  <c r="L12440" i="1" s="1"/>
  <c r="J12441" i="1"/>
  <c r="L12441" i="1" s="1"/>
  <c r="J3567" i="1"/>
  <c r="L3567" i="1" s="1"/>
  <c r="J3608" i="1"/>
  <c r="L3608" i="1" s="1"/>
  <c r="J12482" i="1"/>
  <c r="L12482" i="1" s="1"/>
  <c r="J3678" i="1"/>
  <c r="L3678" i="1" s="1"/>
  <c r="J3746" i="1"/>
  <c r="L3746" i="1" s="1"/>
  <c r="J3761" i="1"/>
  <c r="L3761" i="1" s="1"/>
  <c r="J12621" i="1"/>
  <c r="L12621" i="1" s="1"/>
  <c r="J12642" i="1"/>
  <c r="L12642" i="1" s="1"/>
  <c r="J12647" i="1"/>
  <c r="L12647" i="1" s="1"/>
  <c r="J12719" i="1"/>
  <c r="L12719" i="1" s="1"/>
  <c r="J12724" i="1"/>
  <c r="L12724" i="1" s="1"/>
  <c r="J12741" i="1"/>
  <c r="L12741" i="1" s="1"/>
  <c r="J3822" i="1"/>
  <c r="L3822" i="1" s="1"/>
  <c r="J3848" i="1"/>
  <c r="L3848" i="1" s="1"/>
  <c r="J3861" i="1"/>
  <c r="L3861" i="1" s="1"/>
  <c r="J3872" i="1"/>
  <c r="L3872" i="1" s="1"/>
  <c r="J3880" i="1"/>
  <c r="L3880" i="1" s="1"/>
  <c r="J3895" i="1"/>
  <c r="L3895" i="1" s="1"/>
  <c r="J12785" i="1"/>
  <c r="L12785" i="1" s="1"/>
  <c r="J3975" i="1"/>
  <c r="L3975" i="1" s="1"/>
  <c r="J3981" i="1"/>
  <c r="L3981" i="1" s="1"/>
  <c r="J4006" i="1"/>
  <c r="L4006" i="1" s="1"/>
  <c r="J4020" i="1"/>
  <c r="L4020" i="1" s="1"/>
  <c r="J4023" i="1"/>
  <c r="L4023" i="1" s="1"/>
  <c r="J4080" i="1"/>
  <c r="L4080" i="1" s="1"/>
  <c r="J4087" i="1"/>
  <c r="L4087" i="1" s="1"/>
  <c r="J4100" i="1"/>
  <c r="L4100" i="1" s="1"/>
  <c r="J4102" i="1"/>
  <c r="L4102" i="1" s="1"/>
  <c r="J4158" i="1"/>
  <c r="L4158" i="1" s="1"/>
  <c r="J13080" i="1"/>
  <c r="L13080" i="1" s="1"/>
  <c r="J13089" i="1"/>
  <c r="L13089" i="1" s="1"/>
  <c r="J13185" i="1"/>
  <c r="L13185" i="1" s="1"/>
  <c r="J13223" i="1"/>
  <c r="L13223" i="1" s="1"/>
  <c r="J4221" i="1"/>
  <c r="L4221" i="1" s="1"/>
  <c r="J4222" i="1"/>
  <c r="L4222" i="1" s="1"/>
  <c r="J4223" i="1"/>
  <c r="L4223" i="1" s="1"/>
  <c r="J4224" i="1"/>
  <c r="L4224" i="1" s="1"/>
  <c r="J13249" i="1"/>
  <c r="L13249" i="1" s="1"/>
  <c r="J13297" i="1"/>
  <c r="L13297" i="1" s="1"/>
  <c r="J13298" i="1"/>
  <c r="L13298" i="1" s="1"/>
  <c r="J13311" i="1"/>
  <c r="L13311" i="1" s="1"/>
  <c r="J13326" i="1"/>
  <c r="L13326" i="1" s="1"/>
  <c r="J13328" i="1"/>
  <c r="L13328" i="1" s="1"/>
  <c r="J13344" i="1"/>
  <c r="L13344" i="1" s="1"/>
  <c r="J4280" i="1"/>
  <c r="L4280" i="1" s="1"/>
  <c r="J13347" i="1"/>
  <c r="L13347" i="1" s="1"/>
  <c r="J4298" i="1"/>
  <c r="L4298" i="1" s="1"/>
  <c r="J13399" i="1"/>
  <c r="L13399" i="1" s="1"/>
  <c r="J13467" i="1"/>
  <c r="L13467" i="1" s="1"/>
  <c r="J13475" i="1"/>
  <c r="L13475" i="1" s="1"/>
  <c r="J13520" i="1"/>
  <c r="L13520" i="1" s="1"/>
  <c r="J4370" i="1"/>
  <c r="L4370" i="1" s="1"/>
  <c r="J4377" i="1"/>
  <c r="L4377" i="1" s="1"/>
  <c r="J4384" i="1"/>
  <c r="L4384" i="1" s="1"/>
  <c r="J4393" i="1"/>
  <c r="L4393" i="1" s="1"/>
  <c r="J4402" i="1"/>
  <c r="L4402" i="1" s="1"/>
  <c r="J13698" i="1"/>
  <c r="L13698" i="1" s="1"/>
  <c r="J4477" i="1"/>
  <c r="L4477" i="1" s="1"/>
  <c r="J4478" i="1"/>
  <c r="L4478" i="1" s="1"/>
  <c r="J4490" i="1"/>
  <c r="L4490" i="1" s="1"/>
  <c r="J4510" i="1"/>
  <c r="L4510" i="1" s="1"/>
  <c r="J4541" i="1"/>
  <c r="L4541" i="1" s="1"/>
  <c r="J13838" i="1"/>
  <c r="L13838" i="1" s="1"/>
  <c r="J13845" i="1"/>
  <c r="L13845" i="1" s="1"/>
  <c r="J4566" i="1"/>
  <c r="L4566" i="1" s="1"/>
  <c r="J4568" i="1"/>
  <c r="L4568" i="1" s="1"/>
  <c r="J4574" i="1"/>
  <c r="L4574" i="1" s="1"/>
  <c r="J4608" i="1"/>
  <c r="L4608" i="1" s="1"/>
  <c r="J4618" i="1"/>
  <c r="L4618" i="1" s="1"/>
  <c r="J4645" i="1"/>
  <c r="L4645" i="1" s="1"/>
  <c r="J4680" i="1"/>
  <c r="L4680" i="1" s="1"/>
  <c r="J4682" i="1"/>
  <c r="L4682" i="1" s="1"/>
  <c r="J4683" i="1"/>
  <c r="L4683" i="1" s="1"/>
  <c r="J4684" i="1"/>
  <c r="L4684" i="1" s="1"/>
  <c r="J13922" i="1"/>
  <c r="L13922" i="1" s="1"/>
  <c r="J4741" i="1"/>
  <c r="L4741" i="1" s="1"/>
  <c r="J13961" i="1"/>
  <c r="L13961" i="1" s="1"/>
  <c r="J4755" i="1"/>
  <c r="L4755" i="1" s="1"/>
  <c r="J4767" i="1"/>
  <c r="L4767" i="1" s="1"/>
  <c r="J4770" i="1"/>
  <c r="L4770" i="1" s="1"/>
  <c r="J4785" i="1"/>
  <c r="L4785" i="1" s="1"/>
  <c r="J4791" i="1"/>
  <c r="L4791" i="1" s="1"/>
  <c r="J14084" i="1"/>
  <c r="L14084" i="1" s="1"/>
  <c r="J14092" i="1"/>
  <c r="L14092" i="1" s="1"/>
  <c r="J4803" i="1"/>
  <c r="L4803" i="1" s="1"/>
  <c r="J4808" i="1"/>
  <c r="L4808" i="1" s="1"/>
  <c r="J4810" i="1"/>
  <c r="L4810" i="1" s="1"/>
  <c r="J4862" i="1"/>
  <c r="L4862" i="1" s="1"/>
  <c r="J14249" i="1"/>
  <c r="L14249" i="1" s="1"/>
  <c r="J14260" i="1"/>
  <c r="L14260" i="1" s="1"/>
  <c r="J14263" i="1"/>
  <c r="L14263" i="1" s="1"/>
  <c r="J14305" i="1"/>
  <c r="L14305" i="1" s="1"/>
  <c r="J14319" i="1"/>
  <c r="L14319" i="1" s="1"/>
  <c r="J14331" i="1"/>
  <c r="L14331" i="1" s="1"/>
  <c r="J14332" i="1"/>
  <c r="L14332" i="1" s="1"/>
  <c r="J14336" i="1"/>
  <c r="L14336" i="1" s="1"/>
  <c r="J14349" i="1"/>
  <c r="L14349" i="1" s="1"/>
  <c r="J14360" i="1"/>
  <c r="L14360" i="1" s="1"/>
  <c r="J14366" i="1"/>
  <c r="L14366" i="1" s="1"/>
  <c r="J14375" i="1"/>
  <c r="L14375" i="1" s="1"/>
  <c r="J4935" i="1"/>
  <c r="L4935" i="1" s="1"/>
  <c r="J14546" i="1"/>
  <c r="L14546" i="1" s="1"/>
  <c r="J14547" i="1"/>
  <c r="L14547" i="1" s="1"/>
  <c r="J14696" i="1"/>
  <c r="L14696" i="1" s="1"/>
  <c r="J4977" i="1"/>
  <c r="L4977" i="1" s="1"/>
  <c r="J14783" i="1"/>
  <c r="L14783" i="1" s="1"/>
  <c r="J14784" i="1"/>
  <c r="L14784" i="1" s="1"/>
  <c r="J14805" i="1"/>
  <c r="L14805" i="1" s="1"/>
  <c r="J14823" i="1"/>
  <c r="L14823" i="1" s="1"/>
  <c r="J14834" i="1"/>
  <c r="L14834" i="1" s="1"/>
  <c r="J5054" i="1"/>
  <c r="L5054" i="1" s="1"/>
  <c r="J5055" i="1"/>
  <c r="L5055" i="1" s="1"/>
  <c r="J5058" i="1"/>
  <c r="L5058" i="1" s="1"/>
  <c r="J5066" i="1"/>
  <c r="L5066" i="1" s="1"/>
  <c r="J5089" i="1"/>
  <c r="L5089" i="1" s="1"/>
  <c r="J14974" i="1"/>
  <c r="L14974" i="1" s="1"/>
  <c r="J5091" i="1"/>
  <c r="L5091" i="1" s="1"/>
  <c r="J14993" i="1"/>
  <c r="L14993" i="1" s="1"/>
  <c r="J5226" i="1"/>
  <c r="L5226" i="1" s="1"/>
  <c r="J5237" i="1"/>
  <c r="L5237" i="1" s="1"/>
  <c r="J5268" i="1"/>
  <c r="L5268" i="1" s="1"/>
  <c r="J5307" i="1"/>
  <c r="L5307" i="1" s="1"/>
  <c r="J15082" i="1"/>
  <c r="L15082" i="1" s="1"/>
  <c r="J15094" i="1"/>
  <c r="L15094" i="1" s="1"/>
  <c r="J15140" i="1"/>
  <c r="L15140" i="1" s="1"/>
  <c r="J15180" i="1"/>
  <c r="L15180" i="1" s="1"/>
  <c r="J5438" i="1"/>
  <c r="L5438" i="1" s="1"/>
  <c r="J5443" i="1"/>
  <c r="L5443" i="1" s="1"/>
  <c r="J5445" i="1"/>
  <c r="L5445" i="1" s="1"/>
  <c r="J5453" i="1"/>
  <c r="L5453" i="1" s="1"/>
  <c r="J5466" i="1"/>
  <c r="L5466" i="1" s="1"/>
  <c r="J5473" i="1"/>
  <c r="L5473" i="1" s="1"/>
  <c r="J5474" i="1"/>
  <c r="L5474" i="1" s="1"/>
  <c r="J15253" i="1"/>
  <c r="L15253" i="1" s="1"/>
  <c r="J5505" i="1"/>
  <c r="L5505" i="1" s="1"/>
  <c r="J5509" i="1"/>
  <c r="L5509" i="1" s="1"/>
  <c r="J15459" i="1"/>
  <c r="L15459" i="1" s="1"/>
  <c r="J15469" i="1"/>
  <c r="L15469" i="1" s="1"/>
  <c r="J15474" i="1"/>
  <c r="L15474" i="1" s="1"/>
  <c r="J15485" i="1"/>
  <c r="L15485" i="1" s="1"/>
  <c r="J15490" i="1"/>
  <c r="L15490" i="1" s="1"/>
  <c r="J15500" i="1"/>
  <c r="L15500" i="1" s="1"/>
  <c r="J5677" i="1"/>
  <c r="L5677" i="1" s="1"/>
  <c r="J5682" i="1"/>
  <c r="L5682" i="1" s="1"/>
  <c r="J15543" i="1"/>
  <c r="L15543" i="1" s="1"/>
  <c r="J5694" i="1"/>
  <c r="L5694" i="1" s="1"/>
  <c r="J15589" i="1"/>
  <c r="L15589" i="1" s="1"/>
  <c r="J15595" i="1"/>
  <c r="L15595" i="1" s="1"/>
  <c r="J15598" i="1"/>
  <c r="L15598" i="1" s="1"/>
  <c r="J5715" i="1"/>
  <c r="L5715" i="1" s="1"/>
  <c r="J5728" i="1"/>
  <c r="L5728" i="1" s="1"/>
  <c r="J5729" i="1"/>
  <c r="L5729" i="1" s="1"/>
  <c r="J5730" i="1"/>
  <c r="L5730" i="1" s="1"/>
  <c r="J5736" i="1"/>
  <c r="L5736" i="1" s="1"/>
  <c r="J5737" i="1"/>
  <c r="L5737" i="1" s="1"/>
  <c r="J5743" i="1"/>
  <c r="L5743" i="1" s="1"/>
  <c r="J5744" i="1"/>
  <c r="L5744" i="1" s="1"/>
  <c r="J5745" i="1"/>
  <c r="L5745" i="1" s="1"/>
  <c r="J5762" i="1"/>
  <c r="L5762" i="1" s="1"/>
  <c r="J15628" i="1"/>
  <c r="L15628" i="1" s="1"/>
  <c r="J5768" i="1"/>
  <c r="L5768" i="1" s="1"/>
  <c r="J15633" i="1"/>
  <c r="L15633" i="1" s="1"/>
  <c r="J15643" i="1"/>
  <c r="L15643" i="1" s="1"/>
  <c r="J15678" i="1"/>
  <c r="L15678" i="1" s="1"/>
  <c r="J5810" i="1"/>
  <c r="L5810" i="1" s="1"/>
  <c r="J5816" i="1"/>
  <c r="L5816" i="1" s="1"/>
  <c r="J5829" i="1"/>
  <c r="L5829" i="1" s="1"/>
  <c r="J5850" i="1"/>
  <c r="L5850" i="1" s="1"/>
  <c r="J5856" i="1"/>
  <c r="L5856" i="1" s="1"/>
  <c r="J15811" i="1"/>
  <c r="L15811" i="1" s="1"/>
  <c r="J5896" i="1"/>
  <c r="L5896" i="1" s="1"/>
  <c r="J5932" i="1"/>
  <c r="L5932" i="1" s="1"/>
  <c r="J15843" i="1"/>
  <c r="L15843" i="1" s="1"/>
  <c r="J5944" i="1"/>
  <c r="L5944" i="1" s="1"/>
  <c r="J6096" i="1"/>
  <c r="L6096" i="1" s="1"/>
  <c r="B11" i="4" s="1"/>
  <c r="J6097" i="1"/>
  <c r="L6097" i="1" s="1"/>
  <c r="B12" i="4" s="1"/>
  <c r="J6110" i="1"/>
  <c r="L6110" i="1" s="1"/>
  <c r="J15895" i="1"/>
  <c r="L15895" i="1" s="1"/>
  <c r="J16057" i="1"/>
  <c r="L16057" i="1" s="1"/>
  <c r="J16084" i="1"/>
  <c r="L16084" i="1" s="1"/>
  <c r="J16085" i="1"/>
  <c r="L16085" i="1" s="1"/>
  <c r="J16093" i="1"/>
  <c r="L16093" i="1" s="1"/>
  <c r="J6172" i="1"/>
  <c r="L6172" i="1" s="1"/>
  <c r="J6193" i="1"/>
  <c r="L6193" i="1" s="1"/>
  <c r="J6211" i="1"/>
  <c r="L6211" i="1" s="1"/>
  <c r="J6215" i="1"/>
  <c r="L6215" i="1" s="1"/>
  <c r="B26" i="4" s="1"/>
  <c r="J6301" i="1"/>
  <c r="L6301" i="1" s="1"/>
  <c r="J6306" i="1"/>
  <c r="L6306" i="1" s="1"/>
  <c r="J16159" i="1"/>
  <c r="L16159" i="1" s="1"/>
  <c r="J16160" i="1"/>
  <c r="L16160" i="1" s="1"/>
  <c r="J16163" i="1"/>
  <c r="L16163" i="1" s="1"/>
  <c r="J16169" i="1"/>
  <c r="L16169" i="1" s="1"/>
  <c r="J6372" i="1"/>
  <c r="L6372" i="1" s="1"/>
  <c r="J6376" i="1"/>
  <c r="L6376" i="1" s="1"/>
  <c r="J6422" i="1"/>
  <c r="L6422" i="1" s="1"/>
  <c r="J6434" i="1"/>
  <c r="L6434" i="1" s="1"/>
  <c r="J6441" i="1"/>
  <c r="L6441" i="1" s="1"/>
  <c r="J6474" i="1"/>
  <c r="L6474" i="1" s="1"/>
  <c r="J16352" i="1"/>
  <c r="L16352" i="1" s="1"/>
  <c r="J6496" i="1"/>
  <c r="L6496" i="1" s="1"/>
  <c r="J6550" i="1"/>
  <c r="L6550" i="1" s="1"/>
  <c r="J6566" i="1"/>
  <c r="L6566" i="1" s="1"/>
  <c r="J6567" i="1"/>
  <c r="L6567" i="1" s="1"/>
  <c r="J6615" i="1"/>
  <c r="L6615" i="1" s="1"/>
  <c r="J6616" i="1"/>
  <c r="L6616" i="1" s="1"/>
  <c r="J16623" i="1"/>
  <c r="L16623" i="1" s="1"/>
  <c r="J16651" i="1"/>
  <c r="L16651" i="1" s="1"/>
  <c r="J16652" i="1"/>
  <c r="L16652" i="1" s="1"/>
  <c r="J16671" i="1"/>
  <c r="L16671" i="1" s="1"/>
  <c r="J6663" i="1"/>
  <c r="L6663" i="1" s="1"/>
  <c r="J6671" i="1"/>
  <c r="L6671" i="1" s="1"/>
  <c r="J16697" i="1"/>
  <c r="L16697" i="1" s="1"/>
  <c r="J6689" i="1"/>
  <c r="L6689" i="1" s="1"/>
  <c r="J6694" i="1"/>
  <c r="L6694" i="1" s="1"/>
  <c r="J16752" i="1"/>
  <c r="L16752" i="1" s="1"/>
  <c r="J16773" i="1"/>
  <c r="L16773" i="1" s="1"/>
  <c r="J6736" i="1"/>
  <c r="L6736" i="1" s="1"/>
  <c r="J16871" i="1"/>
  <c r="L16871" i="1" s="1"/>
  <c r="J6771" i="1"/>
  <c r="L6771" i="1" s="1"/>
  <c r="J6772" i="1"/>
  <c r="L6772" i="1" s="1"/>
  <c r="J6781" i="1"/>
  <c r="L6781" i="1" s="1"/>
  <c r="J6790" i="1"/>
  <c r="L6790" i="1" s="1"/>
  <c r="J6801" i="1"/>
  <c r="L6801" i="1" s="1"/>
  <c r="J6805" i="1"/>
  <c r="L6805" i="1" s="1"/>
  <c r="J6880" i="1"/>
  <c r="L6880" i="1" s="1"/>
  <c r="J6895" i="1"/>
  <c r="L6895" i="1" s="1"/>
  <c r="J6934" i="1"/>
  <c r="L6934" i="1" s="1"/>
  <c r="J6935" i="1"/>
  <c r="L6935" i="1" s="1"/>
  <c r="J6968" i="1"/>
  <c r="L6968" i="1" s="1"/>
  <c r="J6972" i="1"/>
  <c r="L6972" i="1" s="1"/>
  <c r="J17161" i="1"/>
  <c r="L17161" i="1" s="1"/>
  <c r="J6979" i="1"/>
  <c r="L6979" i="1" s="1"/>
  <c r="J6994" i="1"/>
  <c r="L6994" i="1" s="1"/>
  <c r="J7010" i="1"/>
  <c r="L7010" i="1" s="1"/>
  <c r="J7031" i="1"/>
  <c r="L7031" i="1" s="1"/>
  <c r="J7032" i="1"/>
  <c r="L7032" i="1" s="1"/>
  <c r="J7033" i="1"/>
  <c r="L7033" i="1" s="1"/>
  <c r="J7034" i="1"/>
  <c r="L7034" i="1" s="1"/>
  <c r="J7084" i="1"/>
  <c r="L7084" i="1" s="1"/>
  <c r="J7119" i="1"/>
  <c r="L7119" i="1" s="1"/>
  <c r="J7122" i="1"/>
  <c r="L7122" i="1" s="1"/>
  <c r="J7175" i="1"/>
  <c r="L7175" i="1" s="1"/>
  <c r="J7177" i="1"/>
  <c r="L7177" i="1" s="1"/>
  <c r="J7178" i="1"/>
  <c r="L7178" i="1" s="1"/>
  <c r="J7232" i="1"/>
  <c r="L7232" i="1" s="1"/>
  <c r="J7266" i="1"/>
  <c r="L7266" i="1" s="1"/>
  <c r="J7274" i="1"/>
  <c r="L7274" i="1" s="1"/>
  <c r="J7276" i="1"/>
  <c r="L7276" i="1" s="1"/>
  <c r="J7299" i="1"/>
  <c r="L7299" i="1" s="1"/>
  <c r="J7302" i="1"/>
  <c r="L7302" i="1" s="1"/>
  <c r="J42" i="1"/>
  <c r="L42" i="1" s="1"/>
  <c r="J7407" i="1"/>
  <c r="L7407" i="1" s="1"/>
  <c r="J61" i="1"/>
  <c r="L61" i="1" s="1"/>
  <c r="J62" i="1"/>
  <c r="L62" i="1" s="1"/>
  <c r="J74" i="1"/>
  <c r="L74" i="1" s="1"/>
  <c r="J87" i="1"/>
  <c r="L87" i="1" s="1"/>
  <c r="J91" i="1"/>
  <c r="L91" i="1" s="1"/>
  <c r="J7482" i="1"/>
  <c r="L7482" i="1" s="1"/>
  <c r="J146" i="1"/>
  <c r="L146" i="1" s="1"/>
  <c r="J149" i="1"/>
  <c r="L149" i="1" s="1"/>
  <c r="J153" i="1"/>
  <c r="L153" i="1" s="1"/>
  <c r="J7620" i="1"/>
  <c r="L7620" i="1" s="1"/>
  <c r="J7621" i="1"/>
  <c r="L7621" i="1" s="1"/>
  <c r="J7622" i="1"/>
  <c r="L7622" i="1" s="1"/>
  <c r="J7623" i="1"/>
  <c r="L7623" i="1" s="1"/>
  <c r="J7624" i="1"/>
  <c r="L7624" i="1" s="1"/>
  <c r="J7630" i="1"/>
  <c r="L7630" i="1" s="1"/>
  <c r="J7644" i="1"/>
  <c r="L7644" i="1" s="1"/>
  <c r="J7692" i="1"/>
  <c r="L7692" i="1" s="1"/>
  <c r="J7724" i="1"/>
  <c r="L7724" i="1" s="1"/>
  <c r="J7725" i="1"/>
  <c r="L7725" i="1" s="1"/>
  <c r="J167" i="1"/>
  <c r="L167" i="1" s="1"/>
  <c r="J7802" i="1"/>
  <c r="L7802" i="1" s="1"/>
  <c r="J8051" i="1"/>
  <c r="L8051" i="1" s="1"/>
  <c r="J8137" i="1"/>
  <c r="L8137" i="1" s="1"/>
  <c r="J268" i="1"/>
  <c r="L268" i="1" s="1"/>
  <c r="J271" i="1"/>
  <c r="L271" i="1" s="1"/>
  <c r="J310" i="1"/>
  <c r="L310" i="1" s="1"/>
  <c r="J8339" i="1"/>
  <c r="L8339" i="1" s="1"/>
  <c r="J393" i="1"/>
  <c r="L393" i="1" s="1"/>
  <c r="J398" i="1"/>
  <c r="L398" i="1" s="1"/>
  <c r="J475" i="1"/>
  <c r="L475" i="1" s="1"/>
  <c r="C13" i="2" s="1"/>
  <c r="J532" i="1"/>
  <c r="L532" i="1" s="1"/>
  <c r="J8394" i="1"/>
  <c r="L8394" i="1" s="1"/>
  <c r="J8435" i="1"/>
  <c r="L8435" i="1" s="1"/>
  <c r="J8460" i="1"/>
  <c r="L8460" i="1" s="1"/>
  <c r="J617" i="1"/>
  <c r="L617" i="1" s="1"/>
  <c r="J622" i="1"/>
  <c r="L622" i="1" s="1"/>
  <c r="J637" i="1"/>
  <c r="L637" i="1" s="1"/>
  <c r="J8581" i="1"/>
  <c r="L8581" i="1" s="1"/>
  <c r="J8591" i="1"/>
  <c r="L8591" i="1" s="1"/>
  <c r="J735" i="1"/>
  <c r="L735" i="1" s="1"/>
  <c r="J756" i="1"/>
  <c r="L756" i="1" s="1"/>
  <c r="J8817" i="1"/>
  <c r="L8817" i="1" s="1"/>
  <c r="J8820" i="1"/>
  <c r="L8820" i="1" s="1"/>
  <c r="J903" i="1"/>
  <c r="L903" i="1" s="1"/>
  <c r="J8874" i="1"/>
  <c r="L8874" i="1" s="1"/>
  <c r="J8885" i="1"/>
  <c r="L8885" i="1" s="1"/>
  <c r="J8887" i="1"/>
  <c r="L8887" i="1" s="1"/>
  <c r="J8888" i="1"/>
  <c r="L8888" i="1" s="1"/>
  <c r="J8902" i="1"/>
  <c r="L8902" i="1" s="1"/>
  <c r="J8905" i="1"/>
  <c r="L8905" i="1" s="1"/>
  <c r="J906" i="1"/>
  <c r="L906" i="1" s="1"/>
  <c r="J8916" i="1"/>
  <c r="L8916" i="1" s="1"/>
  <c r="J8918" i="1"/>
  <c r="L8918" i="1" s="1"/>
  <c r="J946" i="1"/>
  <c r="L946" i="1" s="1"/>
  <c r="J947" i="1"/>
  <c r="L947" i="1" s="1"/>
  <c r="J8965" i="1"/>
  <c r="L8965" i="1" s="1"/>
  <c r="J8966" i="1"/>
  <c r="L8966" i="1" s="1"/>
  <c r="J8967" i="1"/>
  <c r="L8967" i="1" s="1"/>
  <c r="J956" i="1"/>
  <c r="L956" i="1" s="1"/>
  <c r="J957" i="1"/>
  <c r="L957" i="1" s="1"/>
  <c r="J959" i="1"/>
  <c r="L959" i="1" s="1"/>
  <c r="J971" i="1"/>
  <c r="L971" i="1" s="1"/>
  <c r="J978" i="1"/>
  <c r="L978" i="1" s="1"/>
  <c r="J984" i="1"/>
  <c r="L984" i="1" s="1"/>
  <c r="J985" i="1"/>
  <c r="L985" i="1" s="1"/>
  <c r="J993" i="1"/>
  <c r="L993" i="1" s="1"/>
  <c r="J1006" i="1"/>
  <c r="L1006" i="1" s="1"/>
  <c r="J1007" i="1"/>
  <c r="L1007" i="1" s="1"/>
  <c r="J1008" i="1"/>
  <c r="L1008" i="1" s="1"/>
  <c r="J9016" i="1"/>
  <c r="L9016" i="1" s="1"/>
  <c r="J9017" i="1"/>
  <c r="L9017" i="1" s="1"/>
  <c r="J9024" i="1"/>
  <c r="L9024" i="1" s="1"/>
  <c r="J9029" i="1"/>
  <c r="L9029" i="1" s="1"/>
  <c r="J1031" i="1"/>
  <c r="L1031" i="1" s="1"/>
  <c r="J9048" i="1"/>
  <c r="L9048" i="1" s="1"/>
  <c r="J1053" i="1"/>
  <c r="L1053" i="1" s="1"/>
  <c r="J9055" i="1"/>
  <c r="L9055" i="1" s="1"/>
  <c r="J1061" i="1"/>
  <c r="L1061" i="1" s="1"/>
  <c r="J1066" i="1"/>
  <c r="L1066" i="1" s="1"/>
  <c r="J1068" i="1"/>
  <c r="L1068" i="1" s="1"/>
  <c r="J1074" i="1"/>
  <c r="L1074" i="1" s="1"/>
  <c r="J1089" i="1"/>
  <c r="L1089" i="1" s="1"/>
  <c r="J1097" i="1"/>
  <c r="L1097" i="1" s="1"/>
  <c r="J1113" i="1"/>
  <c r="L1113" i="1" s="1"/>
  <c r="J1120" i="1"/>
  <c r="L1120" i="1" s="1"/>
  <c r="J9133" i="1"/>
  <c r="L9133" i="1" s="1"/>
  <c r="J1152" i="1"/>
  <c r="L1152" i="1" s="1"/>
  <c r="J1153" i="1"/>
  <c r="L1153" i="1" s="1"/>
  <c r="J1166" i="1"/>
  <c r="L1166" i="1" s="1"/>
  <c r="J9185" i="1"/>
  <c r="L9185" i="1" s="1"/>
  <c r="J1184" i="1"/>
  <c r="L1184" i="1" s="1"/>
  <c r="J9216" i="1"/>
  <c r="L9216" i="1" s="1"/>
  <c r="J1214" i="1"/>
  <c r="L1214" i="1" s="1"/>
  <c r="J1289" i="1"/>
  <c r="L1289" i="1" s="1"/>
  <c r="J9351" i="1"/>
  <c r="L9351" i="1" s="1"/>
  <c r="J9389" i="1"/>
  <c r="L9389" i="1" s="1"/>
  <c r="J9421" i="1"/>
  <c r="L9421" i="1" s="1"/>
  <c r="J9456" i="1"/>
  <c r="L9456" i="1" s="1"/>
  <c r="J9469" i="1"/>
  <c r="L9469" i="1" s="1"/>
  <c r="J1462" i="1"/>
  <c r="L1462" i="1" s="1"/>
  <c r="J1463" i="1"/>
  <c r="L1463" i="1" s="1"/>
  <c r="J1474" i="1"/>
  <c r="L1474" i="1" s="1"/>
  <c r="J1491" i="1"/>
  <c r="L1491" i="1" s="1"/>
  <c r="J1597" i="1"/>
  <c r="L1597" i="1" s="1"/>
  <c r="J1608" i="1"/>
  <c r="L1608" i="1" s="1"/>
  <c r="J1619" i="1"/>
  <c r="L1619" i="1" s="1"/>
  <c r="J9522" i="1"/>
  <c r="L9522" i="1" s="1"/>
  <c r="J9523" i="1"/>
  <c r="L9523" i="1" s="1"/>
  <c r="J9524" i="1"/>
  <c r="L9524" i="1" s="1"/>
  <c r="J1651" i="1"/>
  <c r="L1651" i="1" s="1"/>
  <c r="J1654" i="1"/>
  <c r="L1654" i="1" s="1"/>
  <c r="J1679" i="1"/>
  <c r="L1679" i="1" s="1"/>
  <c r="J9592" i="1"/>
  <c r="L9592" i="1" s="1"/>
  <c r="J1693" i="1"/>
  <c r="L1693" i="1" s="1"/>
  <c r="J9653" i="1"/>
  <c r="L9653" i="1" s="1"/>
  <c r="J1713" i="1"/>
  <c r="L1713" i="1" s="1"/>
  <c r="J1714" i="1"/>
  <c r="L1714" i="1" s="1"/>
  <c r="J1741" i="1"/>
  <c r="L1741" i="1" s="1"/>
  <c r="J1760" i="1"/>
  <c r="L1760" i="1" s="1"/>
  <c r="J1763" i="1"/>
  <c r="L1763" i="1" s="1"/>
  <c r="J1769" i="1"/>
  <c r="L1769" i="1" s="1"/>
  <c r="J1778" i="1"/>
  <c r="L1778" i="1" s="1"/>
  <c r="J1846" i="1"/>
  <c r="L1846" i="1" s="1"/>
  <c r="J1860" i="1"/>
  <c r="L1860" i="1" s="1"/>
  <c r="J9894" i="1"/>
  <c r="L9894" i="1" s="1"/>
  <c r="J1915" i="1"/>
  <c r="L1915" i="1" s="1"/>
  <c r="J1916" i="1"/>
  <c r="L1916" i="1" s="1"/>
  <c r="J1930" i="1"/>
  <c r="L1930" i="1" s="1"/>
  <c r="J9962" i="1"/>
  <c r="L9962" i="1" s="1"/>
  <c r="J9975" i="1"/>
  <c r="L9975" i="1" s="1"/>
  <c r="J1971" i="1"/>
  <c r="L1971" i="1" s="1"/>
  <c r="J1976" i="1"/>
  <c r="L1976" i="1" s="1"/>
  <c r="J1977" i="1"/>
  <c r="L1977" i="1" s="1"/>
  <c r="J1997" i="1"/>
  <c r="L1997" i="1" s="1"/>
  <c r="J1998" i="1"/>
  <c r="L1998" i="1" s="1"/>
  <c r="J2045" i="1"/>
  <c r="L2045" i="1" s="1"/>
  <c r="J2050" i="1"/>
  <c r="L2050" i="1" s="1"/>
  <c r="J2090" i="1"/>
  <c r="L2090" i="1" s="1"/>
  <c r="J2111" i="1"/>
  <c r="L2111" i="1" s="1"/>
  <c r="J2123" i="1"/>
  <c r="L2123" i="1" s="1"/>
  <c r="J10252" i="1"/>
  <c r="L10252" i="1" s="1"/>
  <c r="J2179" i="1"/>
  <c r="L2179" i="1" s="1"/>
  <c r="J2209" i="1"/>
  <c r="L2209" i="1" s="1"/>
  <c r="J10327" i="1"/>
  <c r="L10327" i="1" s="1"/>
  <c r="J10333" i="1"/>
  <c r="L10333" i="1" s="1"/>
  <c r="J2238" i="1"/>
  <c r="L2238" i="1" s="1"/>
  <c r="J10404" i="1"/>
  <c r="L10404" i="1" s="1"/>
  <c r="J2280" i="1"/>
  <c r="L2280" i="1" s="1"/>
  <c r="J2282" i="1"/>
  <c r="L2282" i="1" s="1"/>
  <c r="J2296" i="1"/>
  <c r="L2296" i="1" s="1"/>
  <c r="J2300" i="1"/>
  <c r="L2300" i="1" s="1"/>
  <c r="J2307" i="1"/>
  <c r="L2307" i="1" s="1"/>
  <c r="J2323" i="1"/>
  <c r="L2323" i="1" s="1"/>
  <c r="J2333" i="1"/>
  <c r="L2333" i="1" s="1"/>
  <c r="J2340" i="1"/>
  <c r="L2340" i="1" s="1"/>
  <c r="J2360" i="1"/>
  <c r="L2360" i="1" s="1"/>
  <c r="J2398" i="1"/>
  <c r="L2398" i="1" s="1"/>
  <c r="J2457" i="1"/>
  <c r="L2457" i="1" s="1"/>
  <c r="J2460" i="1"/>
  <c r="L2460" i="1" s="1"/>
  <c r="J2475" i="1"/>
  <c r="L2475" i="1" s="1"/>
  <c r="J2476" i="1"/>
  <c r="L2476" i="1" s="1"/>
  <c r="J2481" i="1"/>
  <c r="L2481" i="1" s="1"/>
  <c r="J2482" i="1"/>
  <c r="L2482" i="1" s="1"/>
  <c r="J2509" i="1"/>
  <c r="L2509" i="1" s="1"/>
  <c r="J2536" i="1"/>
  <c r="L2536" i="1" s="1"/>
  <c r="J2537" i="1"/>
  <c r="L2537" i="1" s="1"/>
  <c r="J2547" i="1"/>
  <c r="L2547" i="1" s="1"/>
  <c r="J2562" i="1"/>
  <c r="L2562" i="1" s="1"/>
  <c r="J10529" i="1"/>
  <c r="L10529" i="1" s="1"/>
  <c r="J10530" i="1"/>
  <c r="L10530" i="1" s="1"/>
  <c r="J10531" i="1"/>
  <c r="L10531" i="1" s="1"/>
  <c r="J2575" i="1"/>
  <c r="L2575" i="1" s="1"/>
  <c r="J2576" i="1"/>
  <c r="L2576" i="1" s="1"/>
  <c r="J2593" i="1"/>
  <c r="L2593" i="1" s="1"/>
  <c r="J2596" i="1"/>
  <c r="L2596" i="1" s="1"/>
  <c r="J2616" i="1"/>
  <c r="L2616" i="1" s="1"/>
  <c r="J2639" i="1"/>
  <c r="L2639" i="1" s="1"/>
  <c r="J2640" i="1"/>
  <c r="L2640" i="1" s="1"/>
  <c r="J10828" i="1"/>
  <c r="L10828" i="1" s="1"/>
  <c r="J10837" i="1"/>
  <c r="L10837" i="1" s="1"/>
  <c r="J10838" i="1"/>
  <c r="L10838" i="1" s="1"/>
  <c r="J10839" i="1"/>
  <c r="L10839" i="1" s="1"/>
  <c r="J10845" i="1"/>
  <c r="L10845" i="1" s="1"/>
  <c r="J10857" i="1"/>
  <c r="L10857" i="1" s="1"/>
  <c r="J10858" i="1"/>
  <c r="L10858" i="1" s="1"/>
  <c r="J10859" i="1"/>
  <c r="L10859" i="1" s="1"/>
  <c r="J10860" i="1"/>
  <c r="L10860" i="1" s="1"/>
  <c r="J10918" i="1"/>
  <c r="L10918" i="1" s="1"/>
  <c r="J11047" i="1"/>
  <c r="L11047" i="1" s="1"/>
  <c r="J11290" i="1"/>
  <c r="L11290" i="1" s="1"/>
  <c r="J11328" i="1"/>
  <c r="L11328" i="1" s="1"/>
  <c r="J11352" i="1"/>
  <c r="L11352" i="1" s="1"/>
  <c r="J11369" i="1"/>
  <c r="L11369" i="1" s="1"/>
  <c r="J2798" i="1"/>
  <c r="L2798" i="1" s="1"/>
  <c r="J11386" i="1"/>
  <c r="L11386" i="1" s="1"/>
  <c r="J2832" i="1"/>
  <c r="L2832" i="1" s="1"/>
  <c r="J2894" i="1"/>
  <c r="L2894" i="1" s="1"/>
  <c r="J2909" i="1"/>
  <c r="L2909" i="1" s="1"/>
  <c r="J2975" i="1"/>
  <c r="L2975" i="1" s="1"/>
  <c r="C13" i="3" s="1"/>
  <c r="J11646" i="1"/>
  <c r="L11646" i="1" s="1"/>
  <c r="J11663" i="1"/>
  <c r="L11663" i="1" s="1"/>
  <c r="J11677" i="1"/>
  <c r="L11677" i="1" s="1"/>
  <c r="J3117" i="1"/>
  <c r="L3117" i="1" s="1"/>
  <c r="J11700" i="1"/>
  <c r="L11700" i="1" s="1"/>
  <c r="J3118" i="1"/>
  <c r="L3118" i="1" s="1"/>
  <c r="J3130" i="1"/>
  <c r="L3130" i="1" s="1"/>
  <c r="J3133" i="1"/>
  <c r="L3133" i="1" s="1"/>
  <c r="J11772" i="1"/>
  <c r="L11772" i="1" s="1"/>
  <c r="J11778" i="1"/>
  <c r="L11778" i="1" s="1"/>
  <c r="J3171" i="1"/>
  <c r="L3171" i="1" s="1"/>
  <c r="J3172" i="1"/>
  <c r="L3172" i="1" s="1"/>
  <c r="J3180" i="1"/>
  <c r="L3180" i="1" s="1"/>
  <c r="J3186" i="1"/>
  <c r="L3186" i="1" s="1"/>
  <c r="J11812" i="1"/>
  <c r="L11812" i="1" s="1"/>
  <c r="J11818" i="1"/>
  <c r="L11818" i="1" s="1"/>
  <c r="J3201" i="1"/>
  <c r="L3201" i="1" s="1"/>
  <c r="J11829" i="1"/>
  <c r="L11829" i="1" s="1"/>
  <c r="J11863" i="1"/>
  <c r="L11863" i="1" s="1"/>
  <c r="J3238" i="1"/>
  <c r="L3238" i="1" s="1"/>
  <c r="J12044" i="1"/>
  <c r="L12044" i="1" s="1"/>
  <c r="J12045" i="1"/>
  <c r="L12045" i="1" s="1"/>
  <c r="J12046" i="1"/>
  <c r="L12046" i="1" s="1"/>
  <c r="J12058" i="1"/>
  <c r="L12058" i="1" s="1"/>
  <c r="J12061" i="1"/>
  <c r="L12061" i="1" s="1"/>
  <c r="J12073" i="1"/>
  <c r="L12073" i="1" s="1"/>
  <c r="J12084" i="1"/>
  <c r="L12084" i="1" s="1"/>
  <c r="J12085" i="1"/>
  <c r="L12085" i="1" s="1"/>
  <c r="J12088" i="1"/>
  <c r="L12088" i="1" s="1"/>
  <c r="J12090" i="1"/>
  <c r="L12090" i="1" s="1"/>
  <c r="J12109" i="1"/>
  <c r="L12109" i="1" s="1"/>
  <c r="J12118" i="1"/>
  <c r="L12118" i="1" s="1"/>
  <c r="J3393" i="1"/>
  <c r="L3393" i="1" s="1"/>
  <c r="J3396" i="1"/>
  <c r="L3396" i="1" s="1"/>
  <c r="J3404" i="1"/>
  <c r="L3404" i="1" s="1"/>
  <c r="J12175" i="1"/>
  <c r="L12175" i="1" s="1"/>
  <c r="J3442" i="1"/>
  <c r="L3442" i="1" s="1"/>
  <c r="J3443" i="1"/>
  <c r="L3443" i="1" s="1"/>
  <c r="J3446" i="1"/>
  <c r="L3446" i="1" s="1"/>
  <c r="J3450" i="1"/>
  <c r="L3450" i="1" s="1"/>
  <c r="J3451" i="1"/>
  <c r="L3451" i="1" s="1"/>
  <c r="J12211" i="1"/>
  <c r="L12211" i="1" s="1"/>
  <c r="J12214" i="1"/>
  <c r="L12214" i="1" s="1"/>
  <c r="J12215" i="1"/>
  <c r="L12215" i="1" s="1"/>
  <c r="J3473" i="1"/>
  <c r="L3473" i="1" s="1"/>
  <c r="J3474" i="1"/>
  <c r="L3474" i="1" s="1"/>
  <c r="J12238" i="1"/>
  <c r="L12238" i="1" s="1"/>
  <c r="J12239" i="1"/>
  <c r="L12239" i="1" s="1"/>
  <c r="J3490" i="1"/>
  <c r="L3490" i="1" s="1"/>
  <c r="J12245" i="1"/>
  <c r="L12245" i="1" s="1"/>
  <c r="J3496" i="1"/>
  <c r="L3496" i="1" s="1"/>
  <c r="J3516" i="1"/>
  <c r="L3516" i="1" s="1"/>
  <c r="J3542" i="1"/>
  <c r="L3542" i="1" s="1"/>
  <c r="J12369" i="1"/>
  <c r="L12369" i="1" s="1"/>
  <c r="J12393" i="1"/>
  <c r="L12393" i="1" s="1"/>
  <c r="J12394" i="1"/>
  <c r="L12394" i="1" s="1"/>
  <c r="J12395" i="1"/>
  <c r="L12395" i="1" s="1"/>
  <c r="J12400" i="1"/>
  <c r="L12400" i="1" s="1"/>
  <c r="J12438" i="1"/>
  <c r="L12438" i="1" s="1"/>
  <c r="J12439" i="1"/>
  <c r="L12439" i="1" s="1"/>
  <c r="J12450" i="1"/>
  <c r="L12450" i="1" s="1"/>
  <c r="J12452" i="1"/>
  <c r="L12452" i="1" s="1"/>
  <c r="J3571" i="1"/>
  <c r="L3571" i="1" s="1"/>
  <c r="J3574" i="1"/>
  <c r="L3574" i="1" s="1"/>
  <c r="J3581" i="1"/>
  <c r="L3581" i="1" s="1"/>
  <c r="J3600" i="1"/>
  <c r="L3600" i="1" s="1"/>
  <c r="J3714" i="1"/>
  <c r="L3714" i="1" s="1"/>
  <c r="J3751" i="1"/>
  <c r="L3751" i="1" s="1"/>
  <c r="J12680" i="1"/>
  <c r="L12680" i="1" s="1"/>
  <c r="J12681" i="1"/>
  <c r="L12681" i="1" s="1"/>
  <c r="J12715" i="1"/>
  <c r="L12715" i="1" s="1"/>
  <c r="J12717" i="1"/>
  <c r="L12717" i="1" s="1"/>
  <c r="J12726" i="1"/>
  <c r="L12726" i="1" s="1"/>
  <c r="J3828" i="1"/>
  <c r="L3828" i="1" s="1"/>
  <c r="J3846" i="1"/>
  <c r="L3846" i="1" s="1"/>
  <c r="J3847" i="1"/>
  <c r="L3847" i="1" s="1"/>
  <c r="J3876" i="1"/>
  <c r="L3876" i="1" s="1"/>
  <c r="J3945" i="1"/>
  <c r="L3945" i="1" s="1"/>
  <c r="J3964" i="1"/>
  <c r="L3964" i="1" s="1"/>
  <c r="J3996" i="1"/>
  <c r="L3996" i="1" s="1"/>
  <c r="J4004" i="1"/>
  <c r="L4004" i="1" s="1"/>
  <c r="J4041" i="1"/>
  <c r="L4041" i="1" s="1"/>
  <c r="J4098" i="1"/>
  <c r="L4098" i="1" s="1"/>
  <c r="J4104" i="1"/>
  <c r="L4104" i="1" s="1"/>
  <c r="J13043" i="1"/>
  <c r="L13043" i="1" s="1"/>
  <c r="J13052" i="1"/>
  <c r="L13052" i="1" s="1"/>
  <c r="J13064" i="1"/>
  <c r="L13064" i="1" s="1"/>
  <c r="J4157" i="1"/>
  <c r="L4157" i="1" s="1"/>
  <c r="J4164" i="1"/>
  <c r="L4164" i="1" s="1"/>
  <c r="J4205" i="1"/>
  <c r="L4205" i="1" s="1"/>
  <c r="J4207" i="1"/>
  <c r="L4207" i="1" s="1"/>
  <c r="J13204" i="1"/>
  <c r="L13204" i="1" s="1"/>
  <c r="J13221" i="1"/>
  <c r="L13221" i="1" s="1"/>
  <c r="J13222" i="1"/>
  <c r="L13222" i="1" s="1"/>
  <c r="J13296" i="1"/>
  <c r="L13296" i="1" s="1"/>
  <c r="J13310" i="1"/>
  <c r="L13310" i="1" s="1"/>
  <c r="J13354" i="1"/>
  <c r="L13354" i="1" s="1"/>
  <c r="J13357" i="1"/>
  <c r="L13357" i="1" s="1"/>
  <c r="J4319" i="1"/>
  <c r="L4319" i="1" s="1"/>
  <c r="J13466" i="1"/>
  <c r="L13466" i="1" s="1"/>
  <c r="J13474" i="1"/>
  <c r="L13474" i="1" s="1"/>
  <c r="J13496" i="1"/>
  <c r="L13496" i="1" s="1"/>
  <c r="J4348" i="1"/>
  <c r="L4348" i="1" s="1"/>
  <c r="J13523" i="1"/>
  <c r="L13523" i="1" s="1"/>
  <c r="J4368" i="1"/>
  <c r="L4368" i="1" s="1"/>
  <c r="J4386" i="1"/>
  <c r="L4386" i="1" s="1"/>
  <c r="J4388" i="1"/>
  <c r="L4388" i="1" s="1"/>
  <c r="J4389" i="1"/>
  <c r="L4389" i="1" s="1"/>
  <c r="J13638" i="1"/>
  <c r="L13638" i="1" s="1"/>
  <c r="J13745" i="1"/>
  <c r="L13745" i="1" s="1"/>
  <c r="J4473" i="1"/>
  <c r="L4473" i="1" s="1"/>
  <c r="J4474" i="1"/>
  <c r="L4474" i="1" s="1"/>
  <c r="J4475" i="1"/>
  <c r="L4475" i="1" s="1"/>
  <c r="J4476" i="1"/>
  <c r="L4476" i="1" s="1"/>
  <c r="J4500" i="1"/>
  <c r="L4500" i="1" s="1"/>
  <c r="J4504" i="1"/>
  <c r="L4504" i="1" s="1"/>
  <c r="J4513" i="1"/>
  <c r="L4513" i="1" s="1"/>
  <c r="J4517" i="1"/>
  <c r="L4517" i="1" s="1"/>
  <c r="J4540" i="1"/>
  <c r="L4540" i="1" s="1"/>
  <c r="J13810" i="1"/>
  <c r="L13810" i="1" s="1"/>
  <c r="J4558" i="1"/>
  <c r="L4558" i="1" s="1"/>
  <c r="J4603" i="1"/>
  <c r="L4603" i="1" s="1"/>
  <c r="J4619" i="1"/>
  <c r="L4619" i="1" s="1"/>
  <c r="J4620" i="1"/>
  <c r="L4620" i="1" s="1"/>
  <c r="J13906" i="1"/>
  <c r="L13906" i="1" s="1"/>
  <c r="J4635" i="1"/>
  <c r="L4635" i="1" s="1"/>
  <c r="J4641" i="1"/>
  <c r="L4641" i="1" s="1"/>
  <c r="J4651" i="1"/>
  <c r="L4651" i="1" s="1"/>
  <c r="J4660" i="1"/>
  <c r="L4660" i="1" s="1"/>
  <c r="J4678" i="1"/>
  <c r="L4678" i="1" s="1"/>
  <c r="J4679" i="1"/>
  <c r="L4679" i="1" s="1"/>
  <c r="J4729" i="1"/>
  <c r="L4729" i="1" s="1"/>
  <c r="J4732" i="1"/>
  <c r="L4732" i="1" s="1"/>
  <c r="J4777" i="1"/>
  <c r="L4777" i="1" s="1"/>
  <c r="J14090" i="1"/>
  <c r="L14090" i="1" s="1"/>
  <c r="J14091" i="1"/>
  <c r="L14091" i="1" s="1"/>
  <c r="J4865" i="1"/>
  <c r="L4865" i="1" s="1"/>
  <c r="J4877" i="1"/>
  <c r="L4877" i="1" s="1"/>
  <c r="J14256" i="1"/>
  <c r="L14256" i="1" s="1"/>
  <c r="J14257" i="1"/>
  <c r="L14257" i="1" s="1"/>
  <c r="J14258" i="1"/>
  <c r="L14258" i="1" s="1"/>
  <c r="J14259" i="1"/>
  <c r="L14259" i="1" s="1"/>
  <c r="J14261" i="1"/>
  <c r="L14261" i="1" s="1"/>
  <c r="J14262" i="1"/>
  <c r="L14262" i="1" s="1"/>
  <c r="J14279" i="1"/>
  <c r="L14279" i="1" s="1"/>
  <c r="J14280" i="1"/>
  <c r="L14280" i="1" s="1"/>
  <c r="J14281" i="1"/>
  <c r="L14281" i="1" s="1"/>
  <c r="J14282" i="1"/>
  <c r="L14282" i="1" s="1"/>
  <c r="J14283" i="1"/>
  <c r="L14283" i="1" s="1"/>
  <c r="J14335" i="1"/>
  <c r="L14335" i="1" s="1"/>
  <c r="J14339" i="1"/>
  <c r="L14339" i="1" s="1"/>
  <c r="J14346" i="1"/>
  <c r="L14346" i="1" s="1"/>
  <c r="J14347" i="1"/>
  <c r="L14347" i="1" s="1"/>
  <c r="J14348" i="1"/>
  <c r="L14348" i="1" s="1"/>
  <c r="J14364" i="1"/>
  <c r="L14364" i="1" s="1"/>
  <c r="J14365" i="1"/>
  <c r="L14365" i="1" s="1"/>
  <c r="J14368" i="1"/>
  <c r="L14368" i="1" s="1"/>
  <c r="J4894" i="1"/>
  <c r="L4894" i="1" s="1"/>
  <c r="J4896" i="1"/>
  <c r="L4896" i="1" s="1"/>
  <c r="J4902" i="1"/>
  <c r="L4902" i="1" s="1"/>
  <c r="J4912" i="1"/>
  <c r="L4912" i="1" s="1"/>
  <c r="J4938" i="1"/>
  <c r="L4938" i="1" s="1"/>
  <c r="J14489" i="1"/>
  <c r="L14489" i="1" s="1"/>
  <c r="J14782" i="1"/>
  <c r="L14782" i="1" s="1"/>
  <c r="J14804" i="1"/>
  <c r="L14804" i="1" s="1"/>
  <c r="J14828" i="1"/>
  <c r="L14828" i="1" s="1"/>
  <c r="J14833" i="1"/>
  <c r="L14833" i="1" s="1"/>
  <c r="J5003" i="1"/>
  <c r="L5003" i="1" s="1"/>
  <c r="J5048" i="1"/>
  <c r="L5048" i="1" s="1"/>
  <c r="J5053" i="1"/>
  <c r="L5053" i="1" s="1"/>
  <c r="J5056" i="1"/>
  <c r="L5056" i="1" s="1"/>
  <c r="J5104" i="1"/>
  <c r="L5104" i="1" s="1"/>
  <c r="J14995" i="1"/>
  <c r="L14995" i="1" s="1"/>
  <c r="J5119" i="1"/>
  <c r="L5119" i="1" s="1"/>
  <c r="J5127" i="1"/>
  <c r="L5127" i="1" s="1"/>
  <c r="J5199" i="1"/>
  <c r="L5199" i="1" s="1"/>
  <c r="C13" i="4" s="1"/>
  <c r="J5246" i="1"/>
  <c r="L5246" i="1" s="1"/>
  <c r="J5306" i="1"/>
  <c r="L5306" i="1" s="1"/>
  <c r="J5333" i="1"/>
  <c r="L5333" i="1" s="1"/>
  <c r="J15093" i="1"/>
  <c r="L15093" i="1" s="1"/>
  <c r="J15097" i="1"/>
  <c r="L15097" i="1" s="1"/>
  <c r="J15098" i="1"/>
  <c r="L15098" i="1" s="1"/>
  <c r="J5382" i="1"/>
  <c r="L5382" i="1" s="1"/>
  <c r="J5446" i="1"/>
  <c r="L5446" i="1" s="1"/>
  <c r="J5452" i="1"/>
  <c r="L5452" i="1" s="1"/>
  <c r="J15252" i="1"/>
  <c r="L15252" i="1" s="1"/>
  <c r="J5472" i="1"/>
  <c r="L5472" i="1" s="1"/>
  <c r="J5478" i="1"/>
  <c r="L5478" i="1" s="1"/>
  <c r="J15258" i="1"/>
  <c r="L15258" i="1" s="1"/>
  <c r="J5532" i="1"/>
  <c r="L5532" i="1" s="1"/>
  <c r="J5565" i="1"/>
  <c r="L5565" i="1" s="1"/>
  <c r="J15458" i="1"/>
  <c r="L15458" i="1" s="1"/>
  <c r="J15468" i="1"/>
  <c r="L15468" i="1" s="1"/>
  <c r="J15477" i="1"/>
  <c r="L15477" i="1" s="1"/>
  <c r="J5666" i="1"/>
  <c r="L5666" i="1" s="1"/>
  <c r="J15488" i="1"/>
  <c r="L15488" i="1" s="1"/>
  <c r="J15496" i="1"/>
  <c r="L15496" i="1" s="1"/>
  <c r="J15507" i="1"/>
  <c r="L15507" i="1" s="1"/>
  <c r="J15515" i="1"/>
  <c r="L15515" i="1" s="1"/>
  <c r="J15516" i="1"/>
  <c r="L15516" i="1" s="1"/>
  <c r="J5674" i="1"/>
  <c r="L5674" i="1" s="1"/>
  <c r="J15542" i="1"/>
  <c r="L15542" i="1" s="1"/>
  <c r="J5686" i="1"/>
  <c r="L5686" i="1" s="1"/>
  <c r="J5698" i="1"/>
  <c r="L5698" i="1" s="1"/>
  <c r="J15609" i="1"/>
  <c r="L15609" i="1" s="1"/>
  <c r="J5727" i="1"/>
  <c r="L5727" i="1" s="1"/>
  <c r="J5733" i="1"/>
  <c r="L5733" i="1" s="1"/>
  <c r="J5734" i="1"/>
  <c r="L5734" i="1" s="1"/>
  <c r="J5735" i="1"/>
  <c r="L5735" i="1" s="1"/>
  <c r="J5740" i="1"/>
  <c r="L5740" i="1" s="1"/>
  <c r="J5741" i="1"/>
  <c r="L5741" i="1" s="1"/>
  <c r="J5742" i="1"/>
  <c r="L5742" i="1" s="1"/>
  <c r="J15614" i="1"/>
  <c r="L15614" i="1" s="1"/>
  <c r="J15615" i="1"/>
  <c r="L15615" i="1" s="1"/>
  <c r="J5758" i="1"/>
  <c r="L5758" i="1" s="1"/>
  <c r="J15641" i="1"/>
  <c r="L15641" i="1" s="1"/>
  <c r="J15645" i="1"/>
  <c r="L15645" i="1" s="1"/>
  <c r="J15652" i="1"/>
  <c r="L15652" i="1" s="1"/>
  <c r="J5787" i="1"/>
  <c r="L5787" i="1" s="1"/>
  <c r="J5794" i="1"/>
  <c r="L5794" i="1" s="1"/>
  <c r="J15681" i="1"/>
  <c r="L15681" i="1" s="1"/>
  <c r="J5812" i="1"/>
  <c r="L5812" i="1" s="1"/>
  <c r="J5813" i="1"/>
  <c r="L5813" i="1" s="1"/>
  <c r="J5825" i="1"/>
  <c r="L5825" i="1" s="1"/>
  <c r="J5835" i="1"/>
  <c r="L5835" i="1" s="1"/>
  <c r="J5836" i="1"/>
  <c r="L5836" i="1" s="1"/>
  <c r="J5839" i="1"/>
  <c r="L5839" i="1" s="1"/>
  <c r="J5844" i="1"/>
  <c r="L5844" i="1" s="1"/>
  <c r="J5845" i="1"/>
  <c r="L5845" i="1" s="1"/>
  <c r="J5862" i="1"/>
  <c r="L5862" i="1" s="1"/>
  <c r="J15782" i="1"/>
  <c r="L15782" i="1" s="1"/>
  <c r="J5888" i="1"/>
  <c r="L5888" i="1" s="1"/>
  <c r="J5892" i="1"/>
  <c r="L5892" i="1" s="1"/>
  <c r="J5899" i="1"/>
  <c r="L5899" i="1" s="1"/>
  <c r="J5903" i="1"/>
  <c r="L5903" i="1" s="1"/>
  <c r="J5905" i="1"/>
  <c r="L5905" i="1" s="1"/>
  <c r="J5913" i="1"/>
  <c r="L5913" i="1" s="1"/>
  <c r="J16076" i="1"/>
  <c r="L16076" i="1" s="1"/>
  <c r="J6188" i="1"/>
  <c r="L6188" i="1" s="1"/>
  <c r="J6205" i="1"/>
  <c r="L6205" i="1" s="1"/>
  <c r="J6212" i="1"/>
  <c r="L6212" i="1" s="1"/>
  <c r="J6213" i="1"/>
  <c r="L6213" i="1" s="1"/>
  <c r="J6218" i="1"/>
  <c r="L6218" i="1" s="1"/>
  <c r="J6226" i="1"/>
  <c r="L6226" i="1" s="1"/>
  <c r="J6339" i="1"/>
  <c r="L6339" i="1" s="1"/>
  <c r="J6352" i="1"/>
  <c r="L6352" i="1" s="1"/>
  <c r="J6355" i="1"/>
  <c r="L6355" i="1" s="1"/>
  <c r="J6359" i="1"/>
  <c r="L6359" i="1" s="1"/>
  <c r="J6418" i="1"/>
  <c r="L6418" i="1" s="1"/>
  <c r="J6448" i="1"/>
  <c r="L6448" i="1" s="1"/>
  <c r="J6464" i="1"/>
  <c r="L6464" i="1" s="1"/>
  <c r="J16353" i="1"/>
  <c r="L16353" i="1" s="1"/>
  <c r="J6483" i="1"/>
  <c r="L6483" i="1" s="1"/>
  <c r="J6565" i="1"/>
  <c r="L6565" i="1" s="1"/>
  <c r="J6597" i="1"/>
  <c r="L6597" i="1" s="1"/>
  <c r="J16577" i="1"/>
  <c r="L16577" i="1" s="1"/>
  <c r="J16595" i="1"/>
  <c r="L16595" i="1" s="1"/>
  <c r="J16596" i="1"/>
  <c r="L16596" i="1" s="1"/>
  <c r="J16610" i="1"/>
  <c r="L16610" i="1" s="1"/>
  <c r="J16663" i="1"/>
  <c r="L16663" i="1" s="1"/>
  <c r="J16664" i="1"/>
  <c r="L16664" i="1" s="1"/>
  <c r="J6656" i="1"/>
  <c r="L6656" i="1" s="1"/>
  <c r="J6661" i="1"/>
  <c r="L6661" i="1" s="1"/>
  <c r="J6662" i="1"/>
  <c r="L6662" i="1" s="1"/>
  <c r="J6688" i="1"/>
  <c r="L6688" i="1" s="1"/>
  <c r="J6692" i="1"/>
  <c r="L6692" i="1" s="1"/>
  <c r="J16750" i="1"/>
  <c r="L16750" i="1" s="1"/>
  <c r="J6735" i="1"/>
  <c r="L6735" i="1" s="1"/>
  <c r="J6737" i="1"/>
  <c r="L6737" i="1" s="1"/>
  <c r="J16816" i="1"/>
  <c r="L16816" i="1" s="1"/>
  <c r="J16864" i="1"/>
  <c r="L16864" i="1" s="1"/>
  <c r="J16867" i="1"/>
  <c r="L16867" i="1" s="1"/>
  <c r="J6764" i="1"/>
  <c r="L6764" i="1" s="1"/>
  <c r="J6765" i="1"/>
  <c r="L6765" i="1" s="1"/>
  <c r="J6770" i="1"/>
  <c r="L6770" i="1" s="1"/>
  <c r="J6777" i="1"/>
  <c r="L6777" i="1" s="1"/>
  <c r="J6789" i="1"/>
  <c r="L6789" i="1" s="1"/>
  <c r="J6794" i="1"/>
  <c r="L6794" i="1" s="1"/>
  <c r="J6818" i="1"/>
  <c r="L6818" i="1" s="1"/>
  <c r="J16954" i="1"/>
  <c r="L16954" i="1" s="1"/>
  <c r="J17085" i="1"/>
  <c r="L17085" i="1" s="1"/>
  <c r="J6833" i="1"/>
  <c r="L6833" i="1" s="1"/>
  <c r="J6867" i="1"/>
  <c r="L6867" i="1" s="1"/>
  <c r="J6894" i="1"/>
  <c r="L6894" i="1" s="1"/>
  <c r="J6912" i="1"/>
  <c r="L6912" i="1" s="1"/>
  <c r="J6913" i="1"/>
  <c r="L6913" i="1" s="1"/>
  <c r="J6926" i="1"/>
  <c r="L6926" i="1" s="1"/>
  <c r="J17111" i="1"/>
  <c r="L17111" i="1" s="1"/>
  <c r="J6964" i="1"/>
  <c r="L6964" i="1" s="1"/>
  <c r="J17173" i="1"/>
  <c r="L17173" i="1" s="1"/>
  <c r="J6982" i="1"/>
  <c r="L6982" i="1" s="1"/>
  <c r="J6997" i="1"/>
  <c r="L6997" i="1" s="1"/>
  <c r="J7005" i="1"/>
  <c r="L7005" i="1" s="1"/>
  <c r="J7009" i="1"/>
  <c r="L7009" i="1" s="1"/>
  <c r="J7011" i="1"/>
  <c r="L7011" i="1" s="1"/>
  <c r="J7013" i="1"/>
  <c r="L7013" i="1" s="1"/>
  <c r="J7014" i="1"/>
  <c r="L7014" i="1" s="1"/>
  <c r="J7027" i="1"/>
  <c r="L7027" i="1" s="1"/>
  <c r="J7028" i="1"/>
  <c r="L7028" i="1" s="1"/>
  <c r="J7030" i="1"/>
  <c r="L7030" i="1" s="1"/>
  <c r="J7037" i="1"/>
  <c r="L7037" i="1" s="1"/>
  <c r="J7038" i="1"/>
  <c r="L7038" i="1" s="1"/>
  <c r="J7040" i="1"/>
  <c r="L7040" i="1" s="1"/>
  <c r="J7068" i="1"/>
  <c r="L7068" i="1" s="1"/>
  <c r="J7102" i="1"/>
  <c r="L7102" i="1" s="1"/>
  <c r="J7134" i="1"/>
  <c r="L7134" i="1" s="1"/>
  <c r="J7142" i="1"/>
  <c r="L7142" i="1" s="1"/>
  <c r="J7189" i="1"/>
  <c r="L7189" i="1" s="1"/>
  <c r="J7226" i="1"/>
  <c r="L7226" i="1" s="1"/>
  <c r="J17274" i="1"/>
  <c r="L17274" i="1" s="1"/>
  <c r="J7273" i="1"/>
  <c r="L7273" i="1" s="1"/>
  <c r="J22" i="1"/>
  <c r="L22" i="1" s="1"/>
  <c r="J7301" i="1"/>
  <c r="L7301" i="1" s="1"/>
  <c r="J38" i="1"/>
  <c r="L38" i="1" s="1"/>
  <c r="J7404" i="1"/>
  <c r="L7404" i="1" s="1"/>
  <c r="J7408" i="1"/>
  <c r="L7408" i="1" s="1"/>
  <c r="J60" i="1"/>
  <c r="L60" i="1" s="1"/>
  <c r="J121" i="1"/>
  <c r="L121" i="1" s="1"/>
  <c r="J131" i="1"/>
  <c r="L131" i="1" s="1"/>
  <c r="J7618" i="1"/>
  <c r="L7618" i="1" s="1"/>
  <c r="J7619" i="1"/>
  <c r="L7619" i="1" s="1"/>
  <c r="J7662" i="1"/>
  <c r="L7662" i="1" s="1"/>
  <c r="J7678" i="1"/>
  <c r="L7678" i="1" s="1"/>
  <c r="J7693" i="1"/>
  <c r="L7693" i="1" s="1"/>
  <c r="J7706" i="1"/>
  <c r="L7706" i="1" s="1"/>
  <c r="J7713" i="1"/>
  <c r="L7713" i="1" s="1"/>
  <c r="J7714" i="1"/>
  <c r="L7714" i="1" s="1"/>
  <c r="J7719" i="1"/>
  <c r="L7719" i="1" s="1"/>
  <c r="J7722" i="1"/>
  <c r="L7722" i="1" s="1"/>
  <c r="J7723" i="1"/>
  <c r="L7723" i="1" s="1"/>
  <c r="J7732" i="1"/>
  <c r="L7732" i="1" s="1"/>
  <c r="J7816" i="1"/>
  <c r="L7816" i="1" s="1"/>
  <c r="J7853" i="1"/>
  <c r="L7853" i="1" s="1"/>
  <c r="J7935" i="1"/>
  <c r="L7935" i="1" s="1"/>
  <c r="J8199" i="1"/>
  <c r="L8199" i="1" s="1"/>
  <c r="J296" i="1"/>
  <c r="L296" i="1" s="1"/>
  <c r="J308" i="1"/>
  <c r="L308" i="1" s="1"/>
  <c r="J309" i="1"/>
  <c r="L309" i="1" s="1"/>
  <c r="J318" i="1"/>
  <c r="L318" i="1" s="1"/>
  <c r="J321" i="1"/>
  <c r="L321" i="1" s="1"/>
  <c r="J330" i="1"/>
  <c r="L330" i="1" s="1"/>
  <c r="J365" i="1"/>
  <c r="L365" i="1" s="1"/>
  <c r="J375" i="1"/>
  <c r="L375" i="1" s="1"/>
  <c r="J382" i="1"/>
  <c r="L382" i="1" s="1"/>
  <c r="J8364" i="1"/>
  <c r="L8364" i="1" s="1"/>
  <c r="J474" i="1"/>
  <c r="L474" i="1" s="1"/>
  <c r="J8386" i="1"/>
  <c r="L8386" i="1" s="1"/>
  <c r="J507" i="1"/>
  <c r="L507" i="1" s="1"/>
  <c r="J549" i="1"/>
  <c r="L549" i="1" s="1"/>
  <c r="J8399" i="1"/>
  <c r="L8399" i="1" s="1"/>
  <c r="J578" i="1"/>
  <c r="L578" i="1" s="1"/>
  <c r="J8457" i="1"/>
  <c r="L8457" i="1" s="1"/>
  <c r="J606" i="1"/>
  <c r="L606" i="1" s="1"/>
  <c r="J623" i="1"/>
  <c r="L623" i="1" s="1"/>
  <c r="J8465" i="1"/>
  <c r="L8465" i="1" s="1"/>
  <c r="J8481" i="1"/>
  <c r="L8481" i="1" s="1"/>
  <c r="J636" i="1"/>
  <c r="L636" i="1" s="1"/>
  <c r="J683" i="1"/>
  <c r="L683" i="1" s="1"/>
  <c r="J692" i="1"/>
  <c r="L692" i="1" s="1"/>
  <c r="J697" i="1"/>
  <c r="L697" i="1" s="1"/>
  <c r="J8580" i="1"/>
  <c r="L8580" i="1" s="1"/>
  <c r="J720" i="1"/>
  <c r="L720" i="1" s="1"/>
  <c r="J727" i="1"/>
  <c r="L727" i="1" s="1"/>
  <c r="J757" i="1"/>
  <c r="L757" i="1" s="1"/>
  <c r="J762" i="1"/>
  <c r="L762" i="1" s="1"/>
  <c r="J789" i="1"/>
  <c r="L789" i="1" s="1"/>
  <c r="J809" i="1"/>
  <c r="L809" i="1" s="1"/>
  <c r="J817" i="1"/>
  <c r="L817" i="1" s="1"/>
  <c r="J819" i="1"/>
  <c r="L819" i="1" s="1"/>
  <c r="J820" i="1"/>
  <c r="L820" i="1" s="1"/>
  <c r="J8813" i="1"/>
  <c r="L8813" i="1" s="1"/>
  <c r="J8815" i="1"/>
  <c r="L8815" i="1" s="1"/>
  <c r="J8816" i="1"/>
  <c r="L8816" i="1" s="1"/>
  <c r="J8826" i="1"/>
  <c r="L8826" i="1" s="1"/>
  <c r="J8844" i="1"/>
  <c r="L8844" i="1" s="1"/>
  <c r="J8845" i="1"/>
  <c r="L8845" i="1" s="1"/>
  <c r="J901" i="1"/>
  <c r="L901" i="1" s="1"/>
  <c r="J902" i="1"/>
  <c r="L902" i="1" s="1"/>
  <c r="J8881" i="1"/>
  <c r="L8881" i="1" s="1"/>
  <c r="J8884" i="1"/>
  <c r="L8884" i="1" s="1"/>
  <c r="J8891" i="1"/>
  <c r="L8891" i="1" s="1"/>
  <c r="J8895" i="1"/>
  <c r="L8895" i="1" s="1"/>
  <c r="J8896" i="1"/>
  <c r="L8896" i="1" s="1"/>
  <c r="J8903" i="1"/>
  <c r="L8903" i="1" s="1"/>
  <c r="J8904" i="1"/>
  <c r="L8904" i="1" s="1"/>
  <c r="J8909" i="1"/>
  <c r="L8909" i="1" s="1"/>
  <c r="J917" i="1"/>
  <c r="L917" i="1" s="1"/>
  <c r="J933" i="1"/>
  <c r="L933" i="1" s="1"/>
  <c r="J8963" i="1"/>
  <c r="L8963" i="1" s="1"/>
  <c r="J8964" i="1"/>
  <c r="L8964" i="1" s="1"/>
  <c r="J8972" i="1"/>
  <c r="L8972" i="1" s="1"/>
  <c r="J8980" i="1"/>
  <c r="L8980" i="1" s="1"/>
  <c r="J8982" i="1"/>
  <c r="L8982" i="1" s="1"/>
  <c r="J8984" i="1"/>
  <c r="L8984" i="1" s="1"/>
  <c r="J8995" i="1"/>
  <c r="L8995" i="1" s="1"/>
  <c r="J969" i="1"/>
  <c r="L969" i="1" s="1"/>
  <c r="J970" i="1"/>
  <c r="L970" i="1" s="1"/>
  <c r="J976" i="1"/>
  <c r="L976" i="1" s="1"/>
  <c r="J977" i="1"/>
  <c r="L977" i="1" s="1"/>
  <c r="J981" i="1"/>
  <c r="L981" i="1" s="1"/>
  <c r="J982" i="1"/>
  <c r="L982" i="1" s="1"/>
  <c r="J983" i="1"/>
  <c r="L983" i="1" s="1"/>
  <c r="J9001" i="1"/>
  <c r="L9001" i="1" s="1"/>
  <c r="J986" i="1"/>
  <c r="L986" i="1" s="1"/>
  <c r="J991" i="1"/>
  <c r="L991" i="1" s="1"/>
  <c r="J992" i="1"/>
  <c r="L992" i="1" s="1"/>
  <c r="J1005" i="1"/>
  <c r="L1005" i="1" s="1"/>
  <c r="J1018" i="1"/>
  <c r="L1018" i="1" s="1"/>
  <c r="J9010" i="1"/>
  <c r="L9010" i="1" s="1"/>
  <c r="J9022" i="1"/>
  <c r="L9022" i="1" s="1"/>
  <c r="J9023" i="1"/>
  <c r="L9023" i="1" s="1"/>
  <c r="J9040" i="1"/>
  <c r="L9040" i="1" s="1"/>
  <c r="J9047" i="1"/>
  <c r="L9047" i="1" s="1"/>
  <c r="J1045" i="1"/>
  <c r="L1045" i="1" s="1"/>
  <c r="J1054" i="1"/>
  <c r="L1054" i="1" s="1"/>
  <c r="J9051" i="1"/>
  <c r="L9051" i="1" s="1"/>
  <c r="J9052" i="1"/>
  <c r="L9052" i="1" s="1"/>
  <c r="J1067" i="1"/>
  <c r="L1067" i="1" s="1"/>
  <c r="J1070" i="1"/>
  <c r="L1070" i="1" s="1"/>
  <c r="J1078" i="1"/>
  <c r="L1078" i="1" s="1"/>
  <c r="J1088" i="1"/>
  <c r="L1088" i="1" s="1"/>
  <c r="J1115" i="1"/>
  <c r="L1115" i="1" s="1"/>
  <c r="J9137" i="1"/>
  <c r="L9137" i="1" s="1"/>
  <c r="J9144" i="1"/>
  <c r="L9144" i="1" s="1"/>
  <c r="J1145" i="1"/>
  <c r="L1145" i="1" s="1"/>
  <c r="J1146" i="1"/>
  <c r="L1146" i="1" s="1"/>
  <c r="J1155" i="1"/>
  <c r="L1155" i="1" s="1"/>
  <c r="J9171" i="1"/>
  <c r="L9171" i="1" s="1"/>
  <c r="J1193" i="1"/>
  <c r="L1193" i="1" s="1"/>
  <c r="J1221" i="1"/>
  <c r="L1221" i="1" s="1"/>
  <c r="J1288" i="1"/>
  <c r="L1288" i="1" s="1"/>
  <c r="J1371" i="1"/>
  <c r="L1371" i="1" s="1"/>
  <c r="J1435" i="1"/>
  <c r="L1435" i="1" s="1"/>
  <c r="J1440" i="1"/>
  <c r="L1440" i="1" s="1"/>
  <c r="J1490" i="1"/>
  <c r="L1490" i="1" s="1"/>
  <c r="J1494" i="1"/>
  <c r="L1494" i="1" s="1"/>
  <c r="J1506" i="1"/>
  <c r="L1506" i="1" s="1"/>
  <c r="J1508" i="1"/>
  <c r="L1508" i="1" s="1"/>
  <c r="J1509" i="1"/>
  <c r="L1509" i="1" s="1"/>
  <c r="J9519" i="1"/>
  <c r="L9519" i="1" s="1"/>
  <c r="J1587" i="1"/>
  <c r="L1587" i="1" s="1"/>
  <c r="J1589" i="1"/>
  <c r="L1589" i="1" s="1"/>
  <c r="J1615" i="1"/>
  <c r="L1615" i="1" s="1"/>
  <c r="J1673" i="1"/>
  <c r="L1673" i="1" s="1"/>
  <c r="J9552" i="1"/>
  <c r="L9552" i="1" s="1"/>
  <c r="J1712" i="1"/>
  <c r="L1712" i="1" s="1"/>
  <c r="J1756" i="1"/>
  <c r="L1756" i="1" s="1"/>
  <c r="J1757" i="1"/>
  <c r="L1757" i="1" s="1"/>
  <c r="J1768" i="1"/>
  <c r="L1768" i="1" s="1"/>
  <c r="J1770" i="1"/>
  <c r="L1770" i="1" s="1"/>
  <c r="J1775" i="1"/>
  <c r="L1775" i="1" s="1"/>
  <c r="J9746" i="1"/>
  <c r="L9746" i="1" s="1"/>
  <c r="J1843" i="1"/>
  <c r="L1843" i="1" s="1"/>
  <c r="J1844" i="1"/>
  <c r="L1844" i="1" s="1"/>
  <c r="J1845" i="1"/>
  <c r="L1845" i="1" s="1"/>
  <c r="J1859" i="1"/>
  <c r="L1859" i="1" s="1"/>
  <c r="J9751" i="1"/>
  <c r="L9751" i="1" s="1"/>
  <c r="J1880" i="1"/>
  <c r="L1880" i="1" s="1"/>
  <c r="J9892" i="1"/>
  <c r="L9892" i="1" s="1"/>
  <c r="J9893" i="1"/>
  <c r="L9893" i="1" s="1"/>
  <c r="J9918" i="1"/>
  <c r="L9918" i="1" s="1"/>
  <c r="J9922" i="1"/>
  <c r="L9922" i="1" s="1"/>
  <c r="J9961" i="1"/>
  <c r="L9961" i="1" s="1"/>
  <c r="J9986" i="1"/>
  <c r="L9986" i="1" s="1"/>
  <c r="J1967" i="1"/>
  <c r="L1967" i="1" s="1"/>
  <c r="J10031" i="1"/>
  <c r="L10031" i="1" s="1"/>
  <c r="J2007" i="1"/>
  <c r="L2007" i="1" s="1"/>
  <c r="J10059" i="1"/>
  <c r="L10059" i="1" s="1"/>
  <c r="J2042" i="1"/>
  <c r="L2042" i="1" s="1"/>
  <c r="J2044" i="1"/>
  <c r="L2044" i="1" s="1"/>
  <c r="J2049" i="1"/>
  <c r="L2049" i="1" s="1"/>
  <c r="J2055" i="1"/>
  <c r="L2055" i="1" s="1"/>
  <c r="J10155" i="1"/>
  <c r="L10155" i="1" s="1"/>
  <c r="J2071" i="1"/>
  <c r="L2071" i="1" s="1"/>
  <c r="J10188" i="1"/>
  <c r="L10188" i="1" s="1"/>
  <c r="J2080" i="1"/>
  <c r="L2080" i="1" s="1"/>
  <c r="J2086" i="1"/>
  <c r="L2086" i="1" s="1"/>
  <c r="J2095" i="1"/>
  <c r="L2095" i="1" s="1"/>
  <c r="J2096" i="1"/>
  <c r="L2096" i="1" s="1"/>
  <c r="J2101" i="1"/>
  <c r="L2101" i="1" s="1"/>
  <c r="J10249" i="1"/>
  <c r="L10249" i="1" s="1"/>
  <c r="J2145" i="1"/>
  <c r="L2145" i="1" s="1"/>
  <c r="J2153" i="1"/>
  <c r="L2153" i="1" s="1"/>
  <c r="J2226" i="1"/>
  <c r="L2226" i="1" s="1"/>
  <c r="J2230" i="1"/>
  <c r="L2230" i="1" s="1"/>
  <c r="J10331" i="1"/>
  <c r="L10331" i="1" s="1"/>
  <c r="J2255" i="1"/>
  <c r="L2255" i="1" s="1"/>
  <c r="J2279" i="1"/>
  <c r="L2279" i="1" s="1"/>
  <c r="J10378" i="1"/>
  <c r="L10378" i="1" s="1"/>
  <c r="J2309" i="1"/>
  <c r="L2309" i="1" s="1"/>
  <c r="J2331" i="1"/>
  <c r="L2331" i="1" s="1"/>
  <c r="J2348" i="1"/>
  <c r="L2348" i="1" s="1"/>
  <c r="J2356" i="1"/>
  <c r="L2356" i="1" s="1"/>
  <c r="J2382" i="1"/>
  <c r="L2382" i="1" s="1"/>
  <c r="J2389" i="1"/>
  <c r="L2389" i="1" s="1"/>
  <c r="J2399" i="1"/>
  <c r="L2399" i="1" s="1"/>
  <c r="J2428" i="1"/>
  <c r="L2428" i="1" s="1"/>
  <c r="J10491" i="1"/>
  <c r="L10491" i="1" s="1"/>
  <c r="J2474" i="1"/>
  <c r="L2474" i="1" s="1"/>
  <c r="J2507" i="1"/>
  <c r="L2507" i="1" s="1"/>
  <c r="J2508" i="1"/>
  <c r="L2508" i="1" s="1"/>
  <c r="J2516" i="1"/>
  <c r="L2516" i="1" s="1"/>
  <c r="J2523" i="1"/>
  <c r="L2523" i="1" s="1"/>
  <c r="J2534" i="1"/>
  <c r="L2534" i="1" s="1"/>
  <c r="J2535" i="1"/>
  <c r="L2535" i="1" s="1"/>
  <c r="J10506" i="1"/>
  <c r="L10506" i="1" s="1"/>
  <c r="J10514" i="1"/>
  <c r="L10514" i="1" s="1"/>
  <c r="J2559" i="1"/>
  <c r="L2559" i="1" s="1"/>
  <c r="J2570" i="1"/>
  <c r="L2570" i="1" s="1"/>
  <c r="J2573" i="1"/>
  <c r="L2573" i="1" s="1"/>
  <c r="J2578" i="1"/>
  <c r="L2578" i="1" s="1"/>
  <c r="J10557" i="1"/>
  <c r="L10557" i="1" s="1"/>
  <c r="J2582" i="1"/>
  <c r="L2582" i="1" s="1"/>
  <c r="J10558" i="1"/>
  <c r="L10558" i="1" s="1"/>
  <c r="J2589" i="1"/>
  <c r="L2589" i="1" s="1"/>
  <c r="J2591" i="1"/>
  <c r="L2591" i="1" s="1"/>
  <c r="J2594" i="1"/>
  <c r="L2594" i="1" s="1"/>
  <c r="J10671" i="1"/>
  <c r="L10671" i="1" s="1"/>
  <c r="J2632" i="1"/>
  <c r="L2632" i="1" s="1"/>
  <c r="J2668" i="1"/>
  <c r="L2668" i="1" s="1"/>
  <c r="J10834" i="1"/>
  <c r="L10834" i="1" s="1"/>
  <c r="J10835" i="1"/>
  <c r="L10835" i="1" s="1"/>
  <c r="J10836" i="1"/>
  <c r="L10836" i="1" s="1"/>
  <c r="J10844" i="1"/>
  <c r="L10844" i="1" s="1"/>
  <c r="J10853" i="1"/>
  <c r="L10853" i="1" s="1"/>
  <c r="J10854" i="1"/>
  <c r="L10854" i="1" s="1"/>
  <c r="J10855" i="1"/>
  <c r="L10855" i="1" s="1"/>
  <c r="J10856" i="1"/>
  <c r="L10856" i="1" s="1"/>
  <c r="J10869" i="1"/>
  <c r="L10869" i="1" s="1"/>
  <c r="J10886" i="1"/>
  <c r="L10886" i="1" s="1"/>
  <c r="J10888" i="1"/>
  <c r="L10888" i="1" s="1"/>
  <c r="J10908" i="1"/>
  <c r="L10908" i="1" s="1"/>
  <c r="J10909" i="1"/>
  <c r="L10909" i="1" s="1"/>
  <c r="J10916" i="1"/>
  <c r="L10916" i="1" s="1"/>
  <c r="J10926" i="1"/>
  <c r="L10926" i="1" s="1"/>
  <c r="J10935" i="1"/>
  <c r="L10935" i="1" s="1"/>
  <c r="J10943" i="1"/>
  <c r="L10943" i="1" s="1"/>
  <c r="J10944" i="1"/>
  <c r="L10944" i="1" s="1"/>
  <c r="J2722" i="1"/>
  <c r="L2722" i="1" s="1"/>
  <c r="J11046" i="1"/>
  <c r="L11046" i="1" s="1"/>
  <c r="J11056" i="1"/>
  <c r="L11056" i="1" s="1"/>
  <c r="J11243" i="1"/>
  <c r="L11243" i="1" s="1"/>
  <c r="J11351" i="1"/>
  <c r="L11351" i="1" s="1"/>
  <c r="J2799" i="1"/>
  <c r="L2799" i="1" s="1"/>
  <c r="J2803" i="1"/>
  <c r="L2803" i="1" s="1"/>
  <c r="J2804" i="1"/>
  <c r="L2804" i="1" s="1"/>
  <c r="J2824" i="1"/>
  <c r="L2824" i="1" s="1"/>
  <c r="J2831" i="1"/>
  <c r="L2831" i="1" s="1"/>
  <c r="J2842" i="1"/>
  <c r="L2842" i="1" s="1"/>
  <c r="J2843" i="1"/>
  <c r="L2843" i="1" s="1"/>
  <c r="J2844" i="1"/>
  <c r="L2844" i="1" s="1"/>
  <c r="J2855" i="1"/>
  <c r="L2855" i="1" s="1"/>
  <c r="J11524" i="1"/>
  <c r="L11524" i="1" s="1"/>
  <c r="J2887" i="1"/>
  <c r="L2887" i="1" s="1"/>
  <c r="J2893" i="1"/>
  <c r="L2893" i="1" s="1"/>
  <c r="J2898" i="1"/>
  <c r="L2898" i="1" s="1"/>
  <c r="J2904" i="1"/>
  <c r="L2904" i="1" s="1"/>
  <c r="J2908" i="1"/>
  <c r="L2908" i="1" s="1"/>
  <c r="J11600" i="1"/>
  <c r="L11600" i="1" s="1"/>
  <c r="J3011" i="1"/>
  <c r="L3011" i="1" s="1"/>
  <c r="J3050" i="1"/>
  <c r="L3050" i="1" s="1"/>
  <c r="J3081" i="1"/>
  <c r="L3081" i="1" s="1"/>
  <c r="J3188" i="1"/>
  <c r="L3188" i="1" s="1"/>
  <c r="J11813" i="1"/>
  <c r="L11813" i="1" s="1"/>
  <c r="J3194" i="1"/>
  <c r="L3194" i="1" s="1"/>
  <c r="J11824" i="1"/>
  <c r="L11824" i="1" s="1"/>
  <c r="J3215" i="1"/>
  <c r="L3215" i="1" s="1"/>
  <c r="J3256" i="1"/>
  <c r="L3256" i="1" s="1"/>
  <c r="J12036" i="1"/>
  <c r="L12036" i="1" s="1"/>
  <c r="J3354" i="1"/>
  <c r="L3354" i="1" s="1"/>
  <c r="J3355" i="1"/>
  <c r="L3355" i="1" s="1"/>
  <c r="J3356" i="1"/>
  <c r="L3356" i="1" s="1"/>
  <c r="J3357" i="1"/>
  <c r="L3357" i="1" s="1"/>
  <c r="J3359" i="1"/>
  <c r="L3359" i="1" s="1"/>
  <c r="J3361" i="1"/>
  <c r="L3361" i="1" s="1"/>
  <c r="J3358" i="1"/>
  <c r="L3358" i="1" s="1"/>
  <c r="J3360" i="1"/>
  <c r="L3360" i="1" s="1"/>
  <c r="J3362" i="1"/>
  <c r="L3362" i="1" s="1"/>
  <c r="J3367" i="1"/>
  <c r="L3367" i="1" s="1"/>
  <c r="J12087" i="1"/>
  <c r="L12087" i="1" s="1"/>
  <c r="J12089" i="1"/>
  <c r="L12089" i="1" s="1"/>
  <c r="J12100" i="1"/>
  <c r="L12100" i="1" s="1"/>
  <c r="J12108" i="1"/>
  <c r="L12108" i="1" s="1"/>
  <c r="J12113" i="1"/>
  <c r="L12113" i="1" s="1"/>
  <c r="J3378" i="1"/>
  <c r="L3378" i="1" s="1"/>
  <c r="J12120" i="1"/>
  <c r="L12120" i="1" s="1"/>
  <c r="J3387" i="1"/>
  <c r="L3387" i="1" s="1"/>
  <c r="J12142" i="1"/>
  <c r="L12142" i="1" s="1"/>
  <c r="J3394" i="1"/>
  <c r="L3394" i="1" s="1"/>
  <c r="J3403" i="1"/>
  <c r="L3403" i="1" s="1"/>
  <c r="J3405" i="1"/>
  <c r="L3405" i="1" s="1"/>
  <c r="J12165" i="1"/>
  <c r="L12165" i="1" s="1"/>
  <c r="J3415" i="1"/>
  <c r="L3415" i="1" s="1"/>
  <c r="J12174" i="1"/>
  <c r="L12174" i="1" s="1"/>
  <c r="J12176" i="1"/>
  <c r="L12176" i="1" s="1"/>
  <c r="J3425" i="1"/>
  <c r="L3425" i="1" s="1"/>
  <c r="J3426" i="1"/>
  <c r="L3426" i="1" s="1"/>
  <c r="J3427" i="1"/>
  <c r="L3427" i="1" s="1"/>
  <c r="J3431" i="1"/>
  <c r="L3431" i="1" s="1"/>
  <c r="J3432" i="1"/>
  <c r="L3432" i="1" s="1"/>
  <c r="J3433" i="1"/>
  <c r="L3433" i="1" s="1"/>
  <c r="J3437" i="1"/>
  <c r="L3437" i="1" s="1"/>
  <c r="J3438" i="1"/>
  <c r="L3438" i="1" s="1"/>
  <c r="J3439" i="1"/>
  <c r="L3439" i="1" s="1"/>
  <c r="J3440" i="1"/>
  <c r="L3440" i="1" s="1"/>
  <c r="J3441" i="1"/>
  <c r="L3441" i="1" s="1"/>
  <c r="J3445" i="1"/>
  <c r="L3445" i="1" s="1"/>
  <c r="J3449" i="1"/>
  <c r="L3449" i="1" s="1"/>
  <c r="J12195" i="1"/>
  <c r="L12195" i="1" s="1"/>
  <c r="J3455" i="1"/>
  <c r="L3455" i="1" s="1"/>
  <c r="J3456" i="1"/>
  <c r="L3456" i="1" s="1"/>
  <c r="J3461" i="1"/>
  <c r="L3461" i="1" s="1"/>
  <c r="J3463" i="1"/>
  <c r="L3463" i="1" s="1"/>
  <c r="J12204" i="1"/>
  <c r="L12204" i="1" s="1"/>
  <c r="J12205" i="1"/>
  <c r="L12205" i="1" s="1"/>
  <c r="J12206" i="1"/>
  <c r="L12206" i="1" s="1"/>
  <c r="J12207" i="1"/>
  <c r="L12207" i="1" s="1"/>
  <c r="J12213" i="1"/>
  <c r="L12213" i="1" s="1"/>
  <c r="J12219" i="1"/>
  <c r="L12219" i="1" s="1"/>
  <c r="J12223" i="1"/>
  <c r="L12223" i="1" s="1"/>
  <c r="J3488" i="1"/>
  <c r="L3488" i="1" s="1"/>
  <c r="J3489" i="1"/>
  <c r="L3489" i="1" s="1"/>
  <c r="J12247" i="1"/>
  <c r="L12247" i="1" s="1"/>
  <c r="J3504" i="1"/>
  <c r="L3504" i="1" s="1"/>
  <c r="J12337" i="1"/>
  <c r="L12337" i="1" s="1"/>
  <c r="J12338" i="1"/>
  <c r="L12338" i="1" s="1"/>
  <c r="J3517" i="1"/>
  <c r="L3517" i="1" s="1"/>
  <c r="J3520" i="1"/>
  <c r="L3520" i="1" s="1"/>
  <c r="J3521" i="1"/>
  <c r="L3521" i="1" s="1"/>
  <c r="J3522" i="1"/>
  <c r="L3522" i="1" s="1"/>
  <c r="J3538" i="1"/>
  <c r="L3538" i="1" s="1"/>
  <c r="J12379" i="1"/>
  <c r="L12379" i="1" s="1"/>
  <c r="J12380" i="1"/>
  <c r="L12380" i="1" s="1"/>
  <c r="J12408" i="1"/>
  <c r="L12408" i="1" s="1"/>
  <c r="J3556" i="1"/>
  <c r="L3556" i="1" s="1"/>
  <c r="J12437" i="1"/>
  <c r="L12437" i="1" s="1"/>
  <c r="J3566" i="1"/>
  <c r="L3566" i="1" s="1"/>
  <c r="J12454" i="1"/>
  <c r="L12454" i="1" s="1"/>
  <c r="J12457" i="1"/>
  <c r="L12457" i="1" s="1"/>
  <c r="J3583" i="1"/>
  <c r="L3583" i="1" s="1"/>
  <c r="J3595" i="1"/>
  <c r="L3595" i="1" s="1"/>
  <c r="J3597" i="1"/>
  <c r="L3597" i="1" s="1"/>
  <c r="J3605" i="1"/>
  <c r="L3605" i="1" s="1"/>
  <c r="J12481" i="1"/>
  <c r="L12481" i="1" s="1"/>
  <c r="J12543" i="1"/>
  <c r="L12543" i="1" s="1"/>
  <c r="J3803" i="1"/>
  <c r="L3803" i="1" s="1"/>
  <c r="C20" i="3" s="1"/>
  <c r="J12660" i="1"/>
  <c r="L12660" i="1" s="1"/>
  <c r="J12695" i="1"/>
  <c r="L12695" i="1" s="1"/>
  <c r="J3821" i="1"/>
  <c r="L3821" i="1" s="1"/>
  <c r="J3827" i="1"/>
  <c r="L3827" i="1" s="1"/>
  <c r="J3832" i="1"/>
  <c r="L3832" i="1" s="1"/>
  <c r="J3837" i="1"/>
  <c r="L3837" i="1" s="1"/>
  <c r="J3844" i="1"/>
  <c r="L3844" i="1" s="1"/>
  <c r="J3845" i="1"/>
  <c r="L3845" i="1" s="1"/>
  <c r="J3849" i="1"/>
  <c r="L3849" i="1" s="1"/>
  <c r="J3855" i="1"/>
  <c r="L3855" i="1" s="1"/>
  <c r="J3869" i="1"/>
  <c r="L3869" i="1" s="1"/>
  <c r="J3874" i="1"/>
  <c r="L3874" i="1" s="1"/>
  <c r="J3875" i="1"/>
  <c r="L3875" i="1" s="1"/>
  <c r="J3966" i="1"/>
  <c r="L3966" i="1" s="1"/>
  <c r="J3973" i="1"/>
  <c r="L3973" i="1" s="1"/>
  <c r="J3980" i="1"/>
  <c r="L3980" i="1" s="1"/>
  <c r="J3990" i="1"/>
  <c r="L3990" i="1" s="1"/>
  <c r="J4005" i="1"/>
  <c r="L4005" i="1" s="1"/>
  <c r="J4008" i="1"/>
  <c r="L4008" i="1" s="1"/>
  <c r="J4092" i="1"/>
  <c r="L4092" i="1" s="1"/>
  <c r="J4094" i="1"/>
  <c r="L4094" i="1" s="1"/>
  <c r="J4096" i="1"/>
  <c r="L4096" i="1" s="1"/>
  <c r="J4103" i="1"/>
  <c r="L4103" i="1" s="1"/>
  <c r="J13057" i="1"/>
  <c r="L13057" i="1" s="1"/>
  <c r="J13058" i="1"/>
  <c r="L13058" i="1" s="1"/>
  <c r="J4156" i="1"/>
  <c r="L4156" i="1" s="1"/>
  <c r="J13079" i="1"/>
  <c r="L13079" i="1" s="1"/>
  <c r="J13084" i="1"/>
  <c r="L13084" i="1" s="1"/>
  <c r="J13085" i="1"/>
  <c r="L13085" i="1" s="1"/>
  <c r="J4203" i="1"/>
  <c r="L4203" i="1" s="1"/>
  <c r="J4208" i="1"/>
  <c r="L4208" i="1" s="1"/>
  <c r="J13203" i="1"/>
  <c r="L13203" i="1" s="1"/>
  <c r="J13219" i="1"/>
  <c r="L13219" i="1" s="1"/>
  <c r="J13220" i="1"/>
  <c r="L13220" i="1" s="1"/>
  <c r="J4216" i="1"/>
  <c r="L4216" i="1" s="1"/>
  <c r="J4217" i="1"/>
  <c r="L4217" i="1" s="1"/>
  <c r="J4218" i="1"/>
  <c r="L4218" i="1" s="1"/>
  <c r="J4219" i="1"/>
  <c r="L4219" i="1" s="1"/>
  <c r="J4220" i="1"/>
  <c r="L4220" i="1" s="1"/>
  <c r="J13240" i="1"/>
  <c r="L13240" i="1" s="1"/>
  <c r="J4234" i="1"/>
  <c r="L4234" i="1" s="1"/>
  <c r="J13282" i="1"/>
  <c r="L13282" i="1" s="1"/>
  <c r="J13295" i="1"/>
  <c r="L13295" i="1" s="1"/>
  <c r="J13308" i="1"/>
  <c r="L13308" i="1" s="1"/>
  <c r="J13309" i="1"/>
  <c r="L13309" i="1" s="1"/>
  <c r="J13314" i="1"/>
  <c r="L13314" i="1" s="1"/>
  <c r="J4268" i="1"/>
  <c r="L4268" i="1" s="1"/>
  <c r="J4288" i="1"/>
  <c r="L4288" i="1" s="1"/>
  <c r="J13356" i="1"/>
  <c r="L13356" i="1" s="1"/>
  <c r="J13376" i="1"/>
  <c r="L13376" i="1" s="1"/>
  <c r="J13384" i="1"/>
  <c r="L13384" i="1" s="1"/>
  <c r="J4337" i="1"/>
  <c r="L4337" i="1" s="1"/>
  <c r="J4340" i="1"/>
  <c r="L4340" i="1" s="1"/>
  <c r="J13490" i="1"/>
  <c r="L13490" i="1" s="1"/>
  <c r="J13507" i="1"/>
  <c r="L13507" i="1" s="1"/>
  <c r="J4350" i="1"/>
  <c r="L4350" i="1" s="1"/>
  <c r="J13522" i="1"/>
  <c r="L13522" i="1" s="1"/>
  <c r="J4376" i="1"/>
  <c r="L4376" i="1" s="1"/>
  <c r="J13637" i="1"/>
  <c r="L13637" i="1" s="1"/>
  <c r="J13640" i="1"/>
  <c r="L13640" i="1" s="1"/>
  <c r="J4416" i="1"/>
  <c r="L4416" i="1" s="1"/>
  <c r="J4426" i="1"/>
  <c r="L4426" i="1" s="1"/>
  <c r="J4429" i="1"/>
  <c r="L4429" i="1" s="1"/>
  <c r="J4449" i="1"/>
  <c r="L4449" i="1" s="1"/>
  <c r="J4450" i="1"/>
  <c r="L4450" i="1" s="1"/>
  <c r="J4472" i="1"/>
  <c r="L4472" i="1" s="1"/>
  <c r="J4499" i="1"/>
  <c r="L4499" i="1" s="1"/>
  <c r="J4546" i="1"/>
  <c r="L4546" i="1" s="1"/>
  <c r="J4551" i="1"/>
  <c r="L4551" i="1" s="1"/>
  <c r="J13826" i="1"/>
  <c r="L13826" i="1" s="1"/>
  <c r="J13831" i="1"/>
  <c r="L13831" i="1" s="1"/>
  <c r="J4562" i="1"/>
  <c r="L4562" i="1" s="1"/>
  <c r="J4601" i="1"/>
  <c r="L4601" i="1" s="1"/>
  <c r="J4602" i="1"/>
  <c r="L4602" i="1" s="1"/>
  <c r="J13907" i="1"/>
  <c r="L13907" i="1" s="1"/>
  <c r="J4638" i="1"/>
  <c r="L4638" i="1" s="1"/>
  <c r="J4659" i="1"/>
  <c r="L4659" i="1" s="1"/>
  <c r="J4666" i="1"/>
  <c r="L4666" i="1" s="1"/>
  <c r="J4676" i="1"/>
  <c r="L4676" i="1" s="1"/>
  <c r="J4677" i="1"/>
  <c r="L4677" i="1" s="1"/>
  <c r="J4692" i="1"/>
  <c r="L4692" i="1" s="1"/>
  <c r="J4713" i="1"/>
  <c r="L4713" i="1" s="1"/>
  <c r="J4728" i="1"/>
  <c r="L4728" i="1" s="1"/>
  <c r="J4731" i="1"/>
  <c r="L4731" i="1" s="1"/>
  <c r="J13925" i="1"/>
  <c r="L13925" i="1" s="1"/>
  <c r="J13948" i="1"/>
  <c r="L13948" i="1" s="1"/>
  <c r="J13952" i="1"/>
  <c r="L13952" i="1" s="1"/>
  <c r="J4753" i="1"/>
  <c r="L4753" i="1" s="1"/>
  <c r="J4756" i="1"/>
  <c r="L4756" i="1" s="1"/>
  <c r="J13970" i="1"/>
  <c r="L13970" i="1" s="1"/>
  <c r="J4765" i="1"/>
  <c r="L4765" i="1" s="1"/>
  <c r="J4768" i="1"/>
  <c r="L4768" i="1" s="1"/>
  <c r="J4790" i="1"/>
  <c r="L4790" i="1" s="1"/>
  <c r="J4799" i="1"/>
  <c r="L4799" i="1" s="1"/>
  <c r="J4851" i="1"/>
  <c r="L4851" i="1" s="1"/>
  <c r="J14253" i="1"/>
  <c r="L14253" i="1" s="1"/>
  <c r="J14254" i="1"/>
  <c r="L14254" i="1" s="1"/>
  <c r="J14255" i="1"/>
  <c r="L14255" i="1" s="1"/>
  <c r="J14275" i="1"/>
  <c r="L14275" i="1" s="1"/>
  <c r="J14276" i="1"/>
  <c r="L14276" i="1" s="1"/>
  <c r="J14277" i="1"/>
  <c r="L14277" i="1" s="1"/>
  <c r="J14278" i="1"/>
  <c r="L14278" i="1" s="1"/>
  <c r="J4882" i="1"/>
  <c r="L4882" i="1" s="1"/>
  <c r="J14343" i="1"/>
  <c r="L14343" i="1" s="1"/>
  <c r="J14354" i="1"/>
  <c r="L14354" i="1" s="1"/>
  <c r="J14359" i="1"/>
  <c r="L14359" i="1" s="1"/>
  <c r="J14363" i="1"/>
  <c r="L14363" i="1" s="1"/>
  <c r="J14374" i="1"/>
  <c r="L14374" i="1" s="1"/>
  <c r="J14477" i="1"/>
  <c r="L14477" i="1" s="1"/>
  <c r="J14502" i="1"/>
  <c r="L14502" i="1" s="1"/>
  <c r="J14691" i="1"/>
  <c r="L14691" i="1" s="1"/>
  <c r="J4999" i="1"/>
  <c r="L4999" i="1" s="1"/>
  <c r="J5000" i="1"/>
  <c r="L5000" i="1" s="1"/>
  <c r="J5007" i="1"/>
  <c r="L5007" i="1" s="1"/>
  <c r="J5065" i="1"/>
  <c r="L5065" i="1" s="1"/>
  <c r="J5074" i="1"/>
  <c r="L5074" i="1" s="1"/>
  <c r="J5092" i="1"/>
  <c r="L5092" i="1" s="1"/>
  <c r="J5098" i="1"/>
  <c r="L5098" i="1" s="1"/>
  <c r="J5118" i="1"/>
  <c r="L5118" i="1" s="1"/>
  <c r="J15019" i="1"/>
  <c r="L15019" i="1" s="1"/>
  <c r="J5207" i="1"/>
  <c r="L5207" i="1" s="1"/>
  <c r="J5304" i="1"/>
  <c r="L5304" i="1" s="1"/>
  <c r="J5305" i="1"/>
  <c r="L5305" i="1" s="1"/>
  <c r="J15061" i="1"/>
  <c r="L15061" i="1" s="1"/>
  <c r="J15085" i="1"/>
  <c r="L15085" i="1" s="1"/>
  <c r="J15101" i="1"/>
  <c r="L15101" i="1" s="1"/>
  <c r="J5385" i="1"/>
  <c r="L5385" i="1" s="1"/>
  <c r="J5429" i="1"/>
  <c r="L5429" i="1" s="1"/>
  <c r="J5454" i="1"/>
  <c r="L5454" i="1" s="1"/>
  <c r="J15227" i="1"/>
  <c r="L15227" i="1" s="1"/>
  <c r="J15238" i="1"/>
  <c r="L15238" i="1" s="1"/>
  <c r="J15457" i="1"/>
  <c r="L15457" i="1" s="1"/>
  <c r="J15467" i="1"/>
  <c r="L15467" i="1" s="1"/>
  <c r="J15470" i="1"/>
  <c r="L15470" i="1" s="1"/>
  <c r="J15471" i="1"/>
  <c r="L15471" i="1" s="1"/>
  <c r="J5664" i="1"/>
  <c r="L5664" i="1" s="1"/>
  <c r="J5663" i="1"/>
  <c r="L5663" i="1" s="1"/>
  <c r="J5665" i="1"/>
  <c r="L5665" i="1" s="1"/>
  <c r="J15486" i="1"/>
  <c r="L15486" i="1" s="1"/>
  <c r="J15487" i="1"/>
  <c r="L15487" i="1" s="1"/>
  <c r="J15493" i="1"/>
  <c r="L15493" i="1" s="1"/>
  <c r="J15514" i="1"/>
  <c r="L15514" i="1" s="1"/>
  <c r="J15520" i="1"/>
  <c r="L15520" i="1" s="1"/>
  <c r="J15524" i="1"/>
  <c r="L15524" i="1" s="1"/>
  <c r="J15541" i="1"/>
  <c r="L15541" i="1" s="1"/>
  <c r="J5691" i="1"/>
  <c r="L5691" i="1" s="1"/>
  <c r="J15599" i="1"/>
  <c r="L15599" i="1" s="1"/>
  <c r="J15602" i="1"/>
  <c r="L15602" i="1" s="1"/>
  <c r="J5719" i="1"/>
  <c r="L5719" i="1" s="1"/>
  <c r="J5723" i="1"/>
  <c r="L5723" i="1" s="1"/>
  <c r="J5724" i="1"/>
  <c r="L5724" i="1" s="1"/>
  <c r="J5725" i="1"/>
  <c r="L5725" i="1" s="1"/>
  <c r="J5726" i="1"/>
  <c r="L5726" i="1" s="1"/>
  <c r="J5731" i="1"/>
  <c r="L5731" i="1" s="1"/>
  <c r="J5732" i="1"/>
  <c r="L5732" i="1" s="1"/>
  <c r="J5738" i="1"/>
  <c r="L5738" i="1" s="1"/>
  <c r="J5739" i="1"/>
  <c r="L5739" i="1" s="1"/>
  <c r="J15620" i="1"/>
  <c r="L15620" i="1" s="1"/>
  <c r="J5751" i="1"/>
  <c r="L5751" i="1" s="1"/>
  <c r="J5752" i="1"/>
  <c r="L5752" i="1" s="1"/>
  <c r="J5753" i="1"/>
  <c r="L5753" i="1" s="1"/>
  <c r="J5756" i="1"/>
  <c r="L5756" i="1" s="1"/>
  <c r="J5757" i="1"/>
  <c r="L5757" i="1" s="1"/>
  <c r="J5761" i="1"/>
  <c r="L5761" i="1" s="1"/>
  <c r="J15629" i="1"/>
  <c r="L15629" i="1" s="1"/>
  <c r="J5765" i="1"/>
  <c r="L5765" i="1" s="1"/>
  <c r="J5771" i="1"/>
  <c r="L5771" i="1" s="1"/>
  <c r="J15640" i="1"/>
  <c r="L15640" i="1" s="1"/>
  <c r="J15659" i="1"/>
  <c r="L15659" i="1" s="1"/>
  <c r="J5786" i="1"/>
  <c r="L5786" i="1" s="1"/>
  <c r="J15674" i="1"/>
  <c r="L15674" i="1" s="1"/>
  <c r="J5792" i="1"/>
  <c r="L5792" i="1" s="1"/>
  <c r="J5793" i="1"/>
  <c r="L5793" i="1" s="1"/>
  <c r="J15738" i="1"/>
  <c r="L15738" i="1" s="1"/>
  <c r="J5834" i="1"/>
  <c r="L5834" i="1" s="1"/>
  <c r="J5847" i="1"/>
  <c r="L5847" i="1" s="1"/>
  <c r="J5855" i="1"/>
  <c r="L5855" i="1" s="1"/>
  <c r="J15781" i="1"/>
  <c r="L15781" i="1" s="1"/>
  <c r="J15788" i="1"/>
  <c r="L15788" i="1" s="1"/>
  <c r="J15789" i="1"/>
  <c r="L15789" i="1" s="1"/>
  <c r="J5879" i="1"/>
  <c r="L5879" i="1" s="1"/>
  <c r="J5883" i="1"/>
  <c r="L5883" i="1" s="1"/>
  <c r="J5886" i="1"/>
  <c r="L5886" i="1" s="1"/>
  <c r="J5902" i="1"/>
  <c r="L5902" i="1" s="1"/>
  <c r="J5904" i="1"/>
  <c r="L5904" i="1" s="1"/>
  <c r="J5907" i="1"/>
  <c r="L5907" i="1" s="1"/>
  <c r="J5910" i="1"/>
  <c r="L5910" i="1" s="1"/>
  <c r="J5912" i="1"/>
  <c r="L5912" i="1" s="1"/>
  <c r="J5924" i="1"/>
  <c r="L5924" i="1" s="1"/>
  <c r="J5936" i="1"/>
  <c r="L5936" i="1" s="1"/>
  <c r="J6109" i="1"/>
  <c r="L6109" i="1" s="1"/>
  <c r="J6114" i="1"/>
  <c r="L6114" i="1" s="1"/>
  <c r="J16025" i="1"/>
  <c r="L16025" i="1" s="1"/>
  <c r="J16091" i="1"/>
  <c r="L16091" i="1" s="1"/>
  <c r="J16101" i="1"/>
  <c r="L16101" i="1" s="1"/>
  <c r="J6176" i="1"/>
  <c r="L6176" i="1" s="1"/>
  <c r="J6180" i="1"/>
  <c r="L6180" i="1" s="1"/>
  <c r="J6184" i="1"/>
  <c r="L6184" i="1" s="1"/>
  <c r="J6185" i="1"/>
  <c r="L6185" i="1" s="1"/>
  <c r="J6209" i="1"/>
  <c r="L6209" i="1" s="1"/>
  <c r="J6231" i="1"/>
  <c r="L6231" i="1" s="1"/>
  <c r="J6232" i="1"/>
  <c r="L6232" i="1" s="1"/>
  <c r="J6233" i="1"/>
  <c r="L6233" i="1" s="1"/>
  <c r="J6239" i="1"/>
  <c r="L6239" i="1" s="1"/>
  <c r="J6308" i="1"/>
  <c r="L6308" i="1" s="1"/>
  <c r="J6311" i="1"/>
  <c r="L6311" i="1" s="1"/>
  <c r="J6330" i="1"/>
  <c r="L6330" i="1" s="1"/>
  <c r="J6346" i="1"/>
  <c r="L6346" i="1" s="1"/>
  <c r="J16168" i="1"/>
  <c r="L16168" i="1" s="1"/>
  <c r="J16237" i="1"/>
  <c r="L16237" i="1" s="1"/>
  <c r="J6421" i="1"/>
  <c r="L6421" i="1" s="1"/>
  <c r="J6468" i="1"/>
  <c r="L6468" i="1" s="1"/>
  <c r="J6488" i="1"/>
  <c r="L6488" i="1" s="1"/>
  <c r="J6491" i="1"/>
  <c r="L6491" i="1" s="1"/>
  <c r="J6492" i="1"/>
  <c r="L6492" i="1" s="1"/>
  <c r="J6547" i="1"/>
  <c r="L6547" i="1" s="1"/>
  <c r="J6548" i="1"/>
  <c r="L6548" i="1" s="1"/>
  <c r="J6549" i="1"/>
  <c r="L6549" i="1" s="1"/>
  <c r="J6560" i="1"/>
  <c r="L6560" i="1" s="1"/>
  <c r="J6561" i="1"/>
  <c r="L6561" i="1" s="1"/>
  <c r="J6562" i="1"/>
  <c r="L6562" i="1" s="1"/>
  <c r="J6563" i="1"/>
  <c r="L6563" i="1" s="1"/>
  <c r="J6564" i="1"/>
  <c r="L6564" i="1" s="1"/>
  <c r="J16467" i="1"/>
  <c r="L16467" i="1" s="1"/>
  <c r="J16591" i="1"/>
  <c r="L16591" i="1" s="1"/>
  <c r="J16592" i="1"/>
  <c r="L16592" i="1" s="1"/>
  <c r="J16593" i="1"/>
  <c r="L16593" i="1" s="1"/>
  <c r="J16594" i="1"/>
  <c r="L16594" i="1" s="1"/>
  <c r="J6624" i="1"/>
  <c r="L6624" i="1" s="1"/>
  <c r="J16675" i="1"/>
  <c r="L16675" i="1" s="1"/>
  <c r="J6655" i="1"/>
  <c r="L6655" i="1" s="1"/>
  <c r="J16691" i="1"/>
  <c r="L16691" i="1" s="1"/>
  <c r="J6687" i="1"/>
  <c r="L6687" i="1" s="1"/>
  <c r="J6695" i="1"/>
  <c r="L6695" i="1" s="1"/>
  <c r="J6698" i="1"/>
  <c r="L6698" i="1" s="1"/>
  <c r="J6728" i="1"/>
  <c r="L6728" i="1" s="1"/>
  <c r="J6734" i="1"/>
  <c r="L6734" i="1" s="1"/>
  <c r="J6741" i="1"/>
  <c r="L6741" i="1" s="1"/>
  <c r="J16807" i="1"/>
  <c r="L16807" i="1" s="1"/>
  <c r="J16874" i="1"/>
  <c r="L16874" i="1" s="1"/>
  <c r="J6787" i="1"/>
  <c r="L6787" i="1" s="1"/>
  <c r="J6788" i="1"/>
  <c r="L6788" i="1" s="1"/>
  <c r="J6797" i="1"/>
  <c r="L6797" i="1" s="1"/>
  <c r="J16952" i="1"/>
  <c r="L16952" i="1" s="1"/>
  <c r="J17084" i="1"/>
  <c r="L17084" i="1" s="1"/>
  <c r="J6847" i="1"/>
  <c r="L6847" i="1" s="1"/>
  <c r="J6909" i="1"/>
  <c r="L6909" i="1" s="1"/>
  <c r="J6910" i="1"/>
  <c r="L6910" i="1" s="1"/>
  <c r="J6911" i="1"/>
  <c r="L6911" i="1" s="1"/>
  <c r="J6974" i="1"/>
  <c r="L6974" i="1" s="1"/>
  <c r="J17171" i="1"/>
  <c r="L17171" i="1" s="1"/>
  <c r="J6986" i="1"/>
  <c r="L6986" i="1" s="1"/>
  <c r="J7012" i="1"/>
  <c r="L7012" i="1" s="1"/>
  <c r="J7019" i="1"/>
  <c r="L7019" i="1" s="1"/>
  <c r="J7042" i="1"/>
  <c r="L7042" i="1" s="1"/>
  <c r="J7054" i="1"/>
  <c r="L7054" i="1" s="1"/>
  <c r="J7088" i="1"/>
  <c r="L7088" i="1" s="1"/>
  <c r="J7105" i="1"/>
  <c r="L7105" i="1" s="1"/>
  <c r="J17257" i="1"/>
  <c r="L17257" i="1" s="1"/>
  <c r="J7143" i="1"/>
  <c r="L7143" i="1" s="1"/>
  <c r="J7171" i="1"/>
  <c r="L7171" i="1" s="1"/>
  <c r="J7172" i="1"/>
  <c r="L7172" i="1" s="1"/>
  <c r="J7173" i="1"/>
  <c r="L7173" i="1" s="1"/>
  <c r="J7174" i="1"/>
  <c r="L7174" i="1" s="1"/>
  <c r="J7225" i="1"/>
  <c r="L7225" i="1" s="1"/>
  <c r="J7237" i="1"/>
  <c r="L7237" i="1" s="1"/>
  <c r="J7245" i="1"/>
  <c r="L7245" i="1" s="1"/>
  <c r="J4" i="1"/>
  <c r="L4" i="1" s="1"/>
  <c r="J7262" i="1"/>
  <c r="L7262" i="1" s="1"/>
  <c r="J17" i="1"/>
  <c r="L17" i="1" s="1"/>
  <c r="J7297" i="1"/>
  <c r="L7297" i="1" s="1"/>
  <c r="J7300" i="1"/>
  <c r="L7300" i="1" s="1"/>
  <c r="J48" i="1"/>
  <c r="L48" i="1" s="1"/>
  <c r="J73" i="1"/>
  <c r="L73" i="1" s="1"/>
  <c r="J78" i="1"/>
  <c r="L78" i="1" s="1"/>
  <c r="J85" i="1"/>
  <c r="L85" i="1" s="1"/>
  <c r="J7481" i="1"/>
  <c r="L7481" i="1" s="1"/>
  <c r="J94" i="1"/>
  <c r="L94" i="1" s="1"/>
  <c r="J97" i="1"/>
  <c r="L97" i="1" s="1"/>
  <c r="J7627" i="1"/>
  <c r="L7627" i="1" s="1"/>
  <c r="J7628" i="1"/>
  <c r="L7628" i="1" s="1"/>
  <c r="J7629" i="1"/>
  <c r="L7629" i="1" s="1"/>
  <c r="J7635" i="1"/>
  <c r="L7635" i="1" s="1"/>
  <c r="J7636" i="1"/>
  <c r="L7636" i="1" s="1"/>
  <c r="J7637" i="1"/>
  <c r="L7637" i="1" s="1"/>
  <c r="J7638" i="1"/>
  <c r="L7638" i="1" s="1"/>
  <c r="J7639" i="1"/>
  <c r="L7639" i="1" s="1"/>
  <c r="J7640" i="1"/>
  <c r="L7640" i="1" s="1"/>
  <c r="J7641" i="1"/>
  <c r="L7641" i="1" s="1"/>
  <c r="J7642" i="1"/>
  <c r="L7642" i="1" s="1"/>
  <c r="J7643" i="1"/>
  <c r="L7643" i="1" s="1"/>
  <c r="J7699" i="1"/>
  <c r="L7699" i="1" s="1"/>
  <c r="J7709" i="1"/>
  <c r="L7709" i="1" s="1"/>
  <c r="J7711" i="1"/>
  <c r="L7711" i="1" s="1"/>
  <c r="J7718" i="1"/>
  <c r="L7718" i="1" s="1"/>
  <c r="J7742" i="1"/>
  <c r="L7742" i="1" s="1"/>
  <c r="J164" i="1"/>
  <c r="L164" i="1" s="1"/>
  <c r="J7814" i="1"/>
  <c r="L7814" i="1" s="1"/>
  <c r="J7815" i="1"/>
  <c r="L7815" i="1" s="1"/>
  <c r="J7832" i="1"/>
  <c r="L7832" i="1" s="1"/>
  <c r="J7833" i="1"/>
  <c r="L7833" i="1" s="1"/>
  <c r="J7844" i="1"/>
  <c r="L7844" i="1" s="1"/>
  <c r="J7846" i="1"/>
  <c r="L7846" i="1" s="1"/>
  <c r="J7857" i="1"/>
  <c r="L7857" i="1" s="1"/>
  <c r="J214" i="1"/>
  <c r="L214" i="1" s="1"/>
  <c r="J8029" i="1"/>
  <c r="L8029" i="1" s="1"/>
  <c r="J8100" i="1"/>
  <c r="L8100" i="1" s="1"/>
  <c r="J8187" i="1"/>
  <c r="L8187" i="1" s="1"/>
  <c r="J275" i="1"/>
  <c r="L275" i="1" s="1"/>
  <c r="J306" i="1"/>
  <c r="L306" i="1" s="1"/>
  <c r="J307" i="1"/>
  <c r="L307" i="1" s="1"/>
  <c r="J316" i="1"/>
  <c r="L316" i="1" s="1"/>
  <c r="J317" i="1"/>
  <c r="L317" i="1" s="1"/>
  <c r="J338" i="1"/>
  <c r="L338" i="1" s="1"/>
  <c r="J404" i="1"/>
  <c r="L404" i="1" s="1"/>
  <c r="J406" i="1"/>
  <c r="L406" i="1" s="1"/>
  <c r="J473" i="1"/>
  <c r="L473" i="1" s="1"/>
  <c r="J572" i="1"/>
  <c r="L572" i="1" s="1"/>
  <c r="J8398" i="1"/>
  <c r="L8398" i="1" s="1"/>
  <c r="J8417" i="1"/>
  <c r="L8417" i="1" s="1"/>
  <c r="J8423" i="1"/>
  <c r="L8423" i="1" s="1"/>
  <c r="J8452" i="1"/>
  <c r="L8452" i="1" s="1"/>
  <c r="J629" i="1"/>
  <c r="L629" i="1" s="1"/>
  <c r="J635" i="1"/>
  <c r="L635" i="1" s="1"/>
  <c r="J8526" i="1"/>
  <c r="L8526" i="1" s="1"/>
  <c r="J677" i="1"/>
  <c r="L677" i="1" s="1"/>
  <c r="J678" i="1"/>
  <c r="L678" i="1" s="1"/>
  <c r="J679" i="1"/>
  <c r="L679" i="1" s="1"/>
  <c r="J722" i="1"/>
  <c r="L722" i="1" s="1"/>
  <c r="J734" i="1"/>
  <c r="L734" i="1" s="1"/>
  <c r="J8597" i="1"/>
  <c r="L8597" i="1" s="1"/>
  <c r="J741" i="1"/>
  <c r="L741" i="1" s="1"/>
  <c r="J753" i="1"/>
  <c r="L753" i="1" s="1"/>
  <c r="J8638" i="1"/>
  <c r="L8638" i="1" s="1"/>
  <c r="J788" i="1"/>
  <c r="L788" i="1" s="1"/>
  <c r="J8806" i="1"/>
  <c r="L8806" i="1" s="1"/>
  <c r="J8811" i="1"/>
  <c r="L8811" i="1" s="1"/>
  <c r="J8814" i="1"/>
  <c r="L8814" i="1" s="1"/>
  <c r="J8819" i="1"/>
  <c r="L8819" i="1" s="1"/>
  <c r="J8843" i="1"/>
  <c r="L8843" i="1" s="1"/>
  <c r="J894" i="1"/>
  <c r="L894" i="1" s="1"/>
  <c r="J896" i="1"/>
  <c r="L896" i="1" s="1"/>
  <c r="J897" i="1"/>
  <c r="L897" i="1" s="1"/>
  <c r="J895" i="1"/>
  <c r="L895" i="1" s="1"/>
  <c r="J898" i="1"/>
  <c r="L898" i="1" s="1"/>
  <c r="J899" i="1"/>
  <c r="L899" i="1" s="1"/>
  <c r="J900" i="1"/>
  <c r="L900" i="1" s="1"/>
  <c r="J8849" i="1"/>
  <c r="L8849" i="1" s="1"/>
  <c r="J8850" i="1"/>
  <c r="L8850" i="1" s="1"/>
  <c r="J8851" i="1"/>
  <c r="L8851" i="1" s="1"/>
  <c r="J8878" i="1"/>
  <c r="L8878" i="1" s="1"/>
  <c r="J8886" i="1"/>
  <c r="L8886" i="1" s="1"/>
  <c r="J8892" i="1"/>
  <c r="L8892" i="1" s="1"/>
  <c r="J8893" i="1"/>
  <c r="L8893" i="1" s="1"/>
  <c r="J8894" i="1"/>
  <c r="L8894" i="1" s="1"/>
  <c r="J910" i="1"/>
  <c r="L910" i="1" s="1"/>
  <c r="J931" i="1"/>
  <c r="L931" i="1" s="1"/>
  <c r="J940" i="1"/>
  <c r="L940" i="1" s="1"/>
  <c r="J954" i="1"/>
  <c r="L954" i="1" s="1"/>
  <c r="J955" i="1"/>
  <c r="L955" i="1" s="1"/>
  <c r="J8987" i="1"/>
  <c r="L8987" i="1" s="1"/>
  <c r="J8991" i="1"/>
  <c r="L8991" i="1" s="1"/>
  <c r="J961" i="1"/>
  <c r="L961" i="1" s="1"/>
  <c r="J8994" i="1"/>
  <c r="L8994" i="1" s="1"/>
  <c r="J967" i="1"/>
  <c r="L967" i="1" s="1"/>
  <c r="J968" i="1"/>
  <c r="L968" i="1" s="1"/>
  <c r="J974" i="1"/>
  <c r="L974" i="1" s="1"/>
  <c r="J975" i="1"/>
  <c r="L975" i="1" s="1"/>
  <c r="J980" i="1"/>
  <c r="L980" i="1" s="1"/>
  <c r="J994" i="1"/>
  <c r="L994" i="1" s="1"/>
  <c r="J995" i="1"/>
  <c r="L995" i="1" s="1"/>
  <c r="J998" i="1"/>
  <c r="L998" i="1" s="1"/>
  <c r="J999" i="1"/>
  <c r="L999" i="1" s="1"/>
  <c r="J1000" i="1"/>
  <c r="L1000" i="1" s="1"/>
  <c r="J1001" i="1"/>
  <c r="L1001" i="1" s="1"/>
  <c r="J1002" i="1"/>
  <c r="L1002" i="1" s="1"/>
  <c r="J1003" i="1"/>
  <c r="L1003" i="1" s="1"/>
  <c r="J1004" i="1"/>
  <c r="L1004" i="1" s="1"/>
  <c r="J9008" i="1"/>
  <c r="L9008" i="1" s="1"/>
  <c r="J1012" i="1"/>
  <c r="L1012" i="1" s="1"/>
  <c r="J1020" i="1"/>
  <c r="L1020" i="1" s="1"/>
  <c r="J9019" i="1"/>
  <c r="L9019" i="1" s="1"/>
  <c r="J9021" i="1"/>
  <c r="L9021" i="1" s="1"/>
  <c r="J1036" i="1"/>
  <c r="L1036" i="1" s="1"/>
  <c r="J1037" i="1"/>
  <c r="L1037" i="1" s="1"/>
  <c r="J9039" i="1"/>
  <c r="L9039" i="1" s="1"/>
  <c r="J9042" i="1"/>
  <c r="L9042" i="1" s="1"/>
  <c r="J9043" i="1"/>
  <c r="L9043" i="1" s="1"/>
  <c r="J9044" i="1"/>
  <c r="L9044" i="1" s="1"/>
  <c r="J1060" i="1"/>
  <c r="L1060" i="1" s="1"/>
  <c r="J1063" i="1"/>
  <c r="L1063" i="1" s="1"/>
  <c r="J1103" i="1"/>
  <c r="L1103" i="1" s="1"/>
  <c r="J1105" i="1"/>
  <c r="L1105" i="1" s="1"/>
  <c r="J1112" i="1"/>
  <c r="L1112" i="1" s="1"/>
  <c r="J9132" i="1"/>
  <c r="L9132" i="1" s="1"/>
  <c r="J9143" i="1"/>
  <c r="L9143" i="1" s="1"/>
  <c r="J1132" i="1"/>
  <c r="L1132" i="1" s="1"/>
  <c r="J1147" i="1"/>
  <c r="L1147" i="1" s="1"/>
  <c r="J1154" i="1"/>
  <c r="L1154" i="1" s="1"/>
  <c r="J1158" i="1"/>
  <c r="L1158" i="1" s="1"/>
  <c r="J1171" i="1"/>
  <c r="L1171" i="1" s="1"/>
  <c r="J1188" i="1"/>
  <c r="L1188" i="1" s="1"/>
  <c r="J1190" i="1"/>
  <c r="L1190" i="1" s="1"/>
  <c r="J9215" i="1"/>
  <c r="L9215" i="1" s="1"/>
  <c r="J1201" i="1"/>
  <c r="L1201" i="1" s="1"/>
  <c r="J1209" i="1"/>
  <c r="L1209" i="1" s="1"/>
  <c r="J1360" i="1"/>
  <c r="L1360" i="1" s="1"/>
  <c r="J9390" i="1"/>
  <c r="L9390" i="1" s="1"/>
  <c r="J9409" i="1"/>
  <c r="L9409" i="1" s="1"/>
  <c r="J9449" i="1"/>
  <c r="L9449" i="1" s="1"/>
  <c r="J9452" i="1"/>
  <c r="L9452" i="1" s="1"/>
  <c r="J9453" i="1"/>
  <c r="L9453" i="1" s="1"/>
  <c r="J9465" i="1"/>
  <c r="L9465" i="1" s="1"/>
  <c r="J1431" i="1"/>
  <c r="L1431" i="1" s="1"/>
  <c r="J1432" i="1"/>
  <c r="L1432" i="1" s="1"/>
  <c r="J1449" i="1"/>
  <c r="L1449" i="1" s="1"/>
  <c r="J1450" i="1"/>
  <c r="L1450" i="1" s="1"/>
  <c r="J1472" i="1"/>
  <c r="L1472" i="1" s="1"/>
  <c r="J1482" i="1"/>
  <c r="L1482" i="1" s="1"/>
  <c r="J1485" i="1"/>
  <c r="L1485" i="1" s="1"/>
  <c r="J1496" i="1"/>
  <c r="L1496" i="1" s="1"/>
  <c r="J1497" i="1"/>
  <c r="L1497" i="1" s="1"/>
  <c r="J1498" i="1"/>
  <c r="L1498" i="1" s="1"/>
  <c r="J1522" i="1"/>
  <c r="L1522" i="1" s="1"/>
  <c r="J1576" i="1"/>
  <c r="L1576" i="1" s="1"/>
  <c r="J1595" i="1"/>
  <c r="L1595" i="1" s="1"/>
  <c r="C36" i="2" s="1"/>
  <c r="J1596" i="1"/>
  <c r="L1596" i="1" s="1"/>
  <c r="J1605" i="1"/>
  <c r="L1605" i="1" s="1"/>
  <c r="J1607" i="1"/>
  <c r="L1607" i="1" s="1"/>
  <c r="J1614" i="1"/>
  <c r="L1614" i="1" s="1"/>
  <c r="J1633" i="1"/>
  <c r="L1633" i="1" s="1"/>
  <c r="J1643" i="1"/>
  <c r="L1643" i="1" s="1"/>
  <c r="J9528" i="1"/>
  <c r="L9528" i="1" s="1"/>
  <c r="J9572" i="1"/>
  <c r="L9572" i="1" s="1"/>
  <c r="J9631" i="1"/>
  <c r="L9631" i="1" s="1"/>
  <c r="J1738" i="1"/>
  <c r="L1738" i="1" s="1"/>
  <c r="J1754" i="1"/>
  <c r="L1754" i="1" s="1"/>
  <c r="J1774" i="1"/>
  <c r="L1774" i="1" s="1"/>
  <c r="J1776" i="1"/>
  <c r="L1776" i="1" s="1"/>
  <c r="J1779" i="1"/>
  <c r="L1779" i="1" s="1"/>
  <c r="J9745" i="1"/>
  <c r="L9745" i="1" s="1"/>
  <c r="J1841" i="1"/>
  <c r="L1841" i="1" s="1"/>
  <c r="J1842" i="1"/>
  <c r="L1842" i="1" s="1"/>
  <c r="J9878" i="1"/>
  <c r="L9878" i="1" s="1"/>
  <c r="J9891" i="1"/>
  <c r="L9891" i="1" s="1"/>
  <c r="J9925" i="1"/>
  <c r="L9925" i="1" s="1"/>
  <c r="J9996" i="1"/>
  <c r="L9996" i="1" s="1"/>
  <c r="J1959" i="1"/>
  <c r="L1959" i="1" s="1"/>
  <c r="J10028" i="1"/>
  <c r="L10028" i="1" s="1"/>
  <c r="J2003" i="1"/>
  <c r="L2003" i="1" s="1"/>
  <c r="J2012" i="1"/>
  <c r="L2012" i="1" s="1"/>
  <c r="J10063" i="1"/>
  <c r="L10063" i="1" s="1"/>
  <c r="J2031" i="1"/>
  <c r="L2031" i="1" s="1"/>
  <c r="J2033" i="1"/>
  <c r="L2033" i="1" s="1"/>
  <c r="J2084" i="1"/>
  <c r="L2084" i="1" s="1"/>
  <c r="J2087" i="1"/>
  <c r="L2087" i="1" s="1"/>
  <c r="J2088" i="1"/>
  <c r="L2088" i="1" s="1"/>
  <c r="J2099" i="1"/>
  <c r="L2099" i="1" s="1"/>
  <c r="J2105" i="1"/>
  <c r="L2105" i="1" s="1"/>
  <c r="J2143" i="1"/>
  <c r="L2143" i="1" s="1"/>
  <c r="J2151" i="1"/>
  <c r="L2151" i="1" s="1"/>
  <c r="J10323" i="1"/>
  <c r="L10323" i="1" s="1"/>
  <c r="J2193" i="1"/>
  <c r="L2193" i="1" s="1"/>
  <c r="J2194" i="1"/>
  <c r="L2194" i="1" s="1"/>
  <c r="J2205" i="1"/>
  <c r="L2205" i="1" s="1"/>
  <c r="J2206" i="1"/>
  <c r="L2206" i="1" s="1"/>
  <c r="J2207" i="1"/>
  <c r="L2207" i="1" s="1"/>
  <c r="J2208" i="1"/>
  <c r="L2208" i="1" s="1"/>
  <c r="J2214" i="1"/>
  <c r="L2214" i="1" s="1"/>
  <c r="J2223" i="1"/>
  <c r="L2223" i="1" s="1"/>
  <c r="J2234" i="1"/>
  <c r="L2234" i="1" s="1"/>
  <c r="J2287" i="1"/>
  <c r="L2287" i="1" s="1"/>
  <c r="J2339" i="1"/>
  <c r="L2339" i="1" s="1"/>
  <c r="J2347" i="1"/>
  <c r="L2347" i="1" s="1"/>
  <c r="J2350" i="1"/>
  <c r="L2350" i="1" s="1"/>
  <c r="J2351" i="1"/>
  <c r="L2351" i="1" s="1"/>
  <c r="J2363" i="1"/>
  <c r="L2363" i="1" s="1"/>
  <c r="J2378" i="1"/>
  <c r="L2378" i="1" s="1"/>
  <c r="J2433" i="1"/>
  <c r="L2433" i="1" s="1"/>
  <c r="J2440" i="1"/>
  <c r="L2440" i="1" s="1"/>
  <c r="J2444" i="1"/>
  <c r="L2444" i="1" s="1"/>
  <c r="J2446" i="1"/>
  <c r="L2446" i="1" s="1"/>
  <c r="J2447" i="1"/>
  <c r="L2447" i="1" s="1"/>
  <c r="J2455" i="1"/>
  <c r="L2455" i="1" s="1"/>
  <c r="J2467" i="1"/>
  <c r="L2467" i="1" s="1"/>
  <c r="J2469" i="1"/>
  <c r="L2469" i="1" s="1"/>
  <c r="J2470" i="1"/>
  <c r="L2470" i="1" s="1"/>
  <c r="J2471" i="1"/>
  <c r="L2471" i="1" s="1"/>
  <c r="J2472" i="1"/>
  <c r="L2472" i="1" s="1"/>
  <c r="J2473" i="1"/>
  <c r="L2473" i="1" s="1"/>
  <c r="J2522" i="1"/>
  <c r="L2522" i="1" s="1"/>
  <c r="J2532" i="1"/>
  <c r="L2532" i="1" s="1"/>
  <c r="J2533" i="1"/>
  <c r="L2533" i="1" s="1"/>
  <c r="J10512" i="1"/>
  <c r="L10512" i="1" s="1"/>
  <c r="J10513" i="1"/>
  <c r="L10513" i="1" s="1"/>
  <c r="J2558" i="1"/>
  <c r="L2558" i="1" s="1"/>
  <c r="J10528" i="1"/>
  <c r="L10528" i="1" s="1"/>
  <c r="J10542" i="1"/>
  <c r="L10542" i="1" s="1"/>
  <c r="J2603" i="1"/>
  <c r="L2603" i="1" s="1"/>
  <c r="J10634" i="1"/>
  <c r="L10634" i="1" s="1"/>
  <c r="J2630" i="1"/>
  <c r="L2630" i="1" s="1"/>
  <c r="J2631" i="1"/>
  <c r="L2631" i="1" s="1"/>
  <c r="J2638" i="1"/>
  <c r="L2638" i="1" s="1"/>
  <c r="J2647" i="1"/>
  <c r="L2647" i="1" s="1"/>
  <c r="J2648" i="1"/>
  <c r="L2648" i="1" s="1"/>
  <c r="J2680" i="1"/>
  <c r="L2680" i="1" s="1"/>
  <c r="J10832" i="1"/>
  <c r="L10832" i="1" s="1"/>
  <c r="J10833" i="1"/>
  <c r="L10833" i="1" s="1"/>
  <c r="J10840" i="1"/>
  <c r="L10840" i="1" s="1"/>
  <c r="J10841" i="1"/>
  <c r="L10841" i="1" s="1"/>
  <c r="J10842" i="1"/>
  <c r="L10842" i="1" s="1"/>
  <c r="J10843" i="1"/>
  <c r="L10843" i="1" s="1"/>
  <c r="J10848" i="1"/>
  <c r="L10848" i="1" s="1"/>
  <c r="J10849" i="1"/>
  <c r="L10849" i="1" s="1"/>
  <c r="J10850" i="1"/>
  <c r="L10850" i="1" s="1"/>
  <c r="J10851" i="1"/>
  <c r="L10851" i="1" s="1"/>
  <c r="J10852" i="1"/>
  <c r="L10852" i="1" s="1"/>
  <c r="J10876" i="1"/>
  <c r="L10876" i="1" s="1"/>
  <c r="J10898" i="1"/>
  <c r="L10898" i="1" s="1"/>
  <c r="J10934" i="1"/>
  <c r="L10934" i="1" s="1"/>
  <c r="J10961" i="1"/>
  <c r="L10961" i="1" s="1"/>
  <c r="J2719" i="1"/>
  <c r="L2719" i="1" s="1"/>
  <c r="J11045" i="1"/>
  <c r="L11045" i="1" s="1"/>
  <c r="J2750" i="1"/>
  <c r="L2750" i="1" s="1"/>
  <c r="J11246" i="1"/>
  <c r="L11246" i="1" s="1"/>
  <c r="J11262" i="1"/>
  <c r="L11262" i="1" s="1"/>
  <c r="J11289" i="1"/>
  <c r="L11289" i="1" s="1"/>
  <c r="J2787" i="1"/>
  <c r="L2787" i="1" s="1"/>
  <c r="J11335" i="1"/>
  <c r="L11335" i="1" s="1"/>
  <c r="J11411" i="1"/>
  <c r="L11411" i="1" s="1"/>
  <c r="J2800" i="1"/>
  <c r="L2800" i="1" s="1"/>
  <c r="J2819" i="1"/>
  <c r="L2819" i="1" s="1"/>
  <c r="J2838" i="1"/>
  <c r="L2838" i="1" s="1"/>
  <c r="J11491" i="1"/>
  <c r="L11491" i="1" s="1"/>
  <c r="J2860" i="1"/>
  <c r="L2860" i="1" s="1"/>
  <c r="J11523" i="1"/>
  <c r="L11523" i="1" s="1"/>
  <c r="J2883" i="1"/>
  <c r="L2883" i="1" s="1"/>
  <c r="J11598" i="1"/>
  <c r="L11598" i="1" s="1"/>
  <c r="J11599" i="1"/>
  <c r="L11599" i="1" s="1"/>
  <c r="J11605" i="1"/>
  <c r="L11605" i="1" s="1"/>
  <c r="J2982" i="1"/>
  <c r="L2982" i="1" s="1"/>
  <c r="J2983" i="1"/>
  <c r="L2983" i="1" s="1"/>
  <c r="J3026" i="1"/>
  <c r="L3026" i="1" s="1"/>
  <c r="J11627" i="1"/>
  <c r="L11627" i="1" s="1"/>
  <c r="J11633" i="1"/>
  <c r="L11633" i="1" s="1"/>
  <c r="J3083" i="1"/>
  <c r="L3083" i="1" s="1"/>
  <c r="J11638" i="1"/>
  <c r="L11638" i="1" s="1"/>
  <c r="J11676" i="1"/>
  <c r="L11676" i="1" s="1"/>
  <c r="J3121" i="1"/>
  <c r="L3121" i="1" s="1"/>
  <c r="J11737" i="1"/>
  <c r="L11737" i="1" s="1"/>
  <c r="J11808" i="1"/>
  <c r="L11808" i="1" s="1"/>
  <c r="J3210" i="1"/>
  <c r="L3210" i="1" s="1"/>
  <c r="J3211" i="1"/>
  <c r="L3211" i="1" s="1"/>
  <c r="J11859" i="1"/>
  <c r="L11859" i="1" s="1"/>
  <c r="J3344" i="1"/>
  <c r="L3344" i="1" s="1"/>
  <c r="J3348" i="1"/>
  <c r="L3348" i="1" s="1"/>
  <c r="J3349" i="1"/>
  <c r="L3349" i="1" s="1"/>
  <c r="J3351" i="1"/>
  <c r="L3351" i="1" s="1"/>
  <c r="J3352" i="1"/>
  <c r="L3352" i="1" s="1"/>
  <c r="J3353" i="1"/>
  <c r="L3353" i="1" s="1"/>
  <c r="J3345" i="1"/>
  <c r="L3345" i="1" s="1"/>
  <c r="J3346" i="1"/>
  <c r="L3346" i="1" s="1"/>
  <c r="J3347" i="1"/>
  <c r="L3347" i="1" s="1"/>
  <c r="J3350" i="1"/>
  <c r="L3350" i="1" s="1"/>
  <c r="J12091" i="1"/>
  <c r="L12091" i="1" s="1"/>
  <c r="J12093" i="1"/>
  <c r="L12093" i="1" s="1"/>
  <c r="J12094" i="1"/>
  <c r="L12094" i="1" s="1"/>
  <c r="J12099" i="1"/>
  <c r="L12099" i="1" s="1"/>
  <c r="J12107" i="1"/>
  <c r="L12107" i="1" s="1"/>
  <c r="J12123" i="1"/>
  <c r="L12123" i="1" s="1"/>
  <c r="J12140" i="1"/>
  <c r="L12140" i="1" s="1"/>
  <c r="J3417" i="1"/>
  <c r="L3417" i="1" s="1"/>
  <c r="J3422" i="1"/>
  <c r="L3422" i="1" s="1"/>
  <c r="J3423" i="1"/>
  <c r="L3423" i="1" s="1"/>
  <c r="J3424" i="1"/>
  <c r="L3424" i="1" s="1"/>
  <c r="J3428" i="1"/>
  <c r="L3428" i="1" s="1"/>
  <c r="J3429" i="1"/>
  <c r="L3429" i="1" s="1"/>
  <c r="J3430" i="1"/>
  <c r="L3430" i="1" s="1"/>
  <c r="J3434" i="1"/>
  <c r="L3434" i="1" s="1"/>
  <c r="J3435" i="1"/>
  <c r="L3435" i="1" s="1"/>
  <c r="J3436" i="1"/>
  <c r="L3436" i="1" s="1"/>
  <c r="J12196" i="1"/>
  <c r="L12196" i="1" s="1"/>
  <c r="J3454" i="1"/>
  <c r="L3454" i="1" s="1"/>
  <c r="J3462" i="1"/>
  <c r="L3462" i="1" s="1"/>
  <c r="J12212" i="1"/>
  <c r="L12212" i="1" s="1"/>
  <c r="J12222" i="1"/>
  <c r="L12222" i="1" s="1"/>
  <c r="J3471" i="1"/>
  <c r="L3471" i="1" s="1"/>
  <c r="J3472" i="1"/>
  <c r="L3472" i="1" s="1"/>
  <c r="J3487" i="1"/>
  <c r="L3487" i="1" s="1"/>
  <c r="J12246" i="1"/>
  <c r="L12246" i="1" s="1"/>
  <c r="J12335" i="1"/>
  <c r="L12335" i="1" s="1"/>
  <c r="J12343" i="1"/>
  <c r="L12343" i="1" s="1"/>
  <c r="J12377" i="1"/>
  <c r="L12377" i="1" s="1"/>
  <c r="J12385" i="1"/>
  <c r="L12385" i="1" s="1"/>
  <c r="J12386" i="1"/>
  <c r="L12386" i="1" s="1"/>
  <c r="J12392" i="1"/>
  <c r="L12392" i="1" s="1"/>
  <c r="J12407" i="1"/>
  <c r="L12407" i="1" s="1"/>
  <c r="J12418" i="1"/>
  <c r="L12418" i="1" s="1"/>
  <c r="J12430" i="1"/>
  <c r="L12430" i="1" s="1"/>
  <c r="J12431" i="1"/>
  <c r="L12431" i="1" s="1"/>
  <c r="J12432" i="1"/>
  <c r="L12432" i="1" s="1"/>
  <c r="J12433" i="1"/>
  <c r="L12433" i="1" s="1"/>
  <c r="J12434" i="1"/>
  <c r="L12434" i="1" s="1"/>
  <c r="J12435" i="1"/>
  <c r="L12435" i="1" s="1"/>
  <c r="J12436" i="1"/>
  <c r="L12436" i="1" s="1"/>
  <c r="J3560" i="1"/>
  <c r="L3560" i="1" s="1"/>
  <c r="J12448" i="1"/>
  <c r="L12448" i="1" s="1"/>
  <c r="J3565" i="1"/>
  <c r="L3565" i="1" s="1"/>
  <c r="J3570" i="1"/>
  <c r="L3570" i="1" s="1"/>
  <c r="J3750" i="1"/>
  <c r="L3750" i="1" s="1"/>
  <c r="C12" i="3" s="1"/>
  <c r="I12" i="3" s="1"/>
  <c r="J12483" i="1"/>
  <c r="L12483" i="1" s="1"/>
  <c r="J3762" i="1"/>
  <c r="L3762" i="1" s="1"/>
  <c r="J3794" i="1"/>
  <c r="L3794" i="1" s="1"/>
  <c r="J3800" i="1"/>
  <c r="L3800" i="1" s="1"/>
  <c r="J3804" i="1"/>
  <c r="L3804" i="1" s="1"/>
  <c r="J12652" i="1"/>
  <c r="L12652" i="1" s="1"/>
  <c r="J3856" i="1"/>
  <c r="L3856" i="1" s="1"/>
  <c r="J3868" i="1"/>
  <c r="L3868" i="1" s="1"/>
  <c r="J3879" i="1"/>
  <c r="L3879" i="1" s="1"/>
  <c r="J3883" i="1"/>
  <c r="L3883" i="1" s="1"/>
  <c r="J3884" i="1"/>
  <c r="L3884" i="1" s="1"/>
  <c r="J3885" i="1"/>
  <c r="L3885" i="1" s="1"/>
  <c r="J3891" i="1"/>
  <c r="L3891" i="1" s="1"/>
  <c r="J3944" i="1"/>
  <c r="L3944" i="1" s="1"/>
  <c r="J3951" i="1"/>
  <c r="L3951" i="1" s="1"/>
  <c r="J3962" i="1"/>
  <c r="L3962" i="1" s="1"/>
  <c r="J3965" i="1"/>
  <c r="L3965" i="1" s="1"/>
  <c r="J3971" i="1"/>
  <c r="L3971" i="1" s="1"/>
  <c r="J3993" i="1"/>
  <c r="L3993" i="1" s="1"/>
  <c r="J4037" i="1"/>
  <c r="L4037" i="1" s="1"/>
  <c r="J4079" i="1"/>
  <c r="L4079" i="1" s="1"/>
  <c r="J13054" i="1"/>
  <c r="L13054" i="1" s="1"/>
  <c r="J13055" i="1"/>
  <c r="L13055" i="1" s="1"/>
  <c r="J13056" i="1"/>
  <c r="L13056" i="1" s="1"/>
  <c r="J13060" i="1"/>
  <c r="L13060" i="1" s="1"/>
  <c r="J4153" i="1"/>
  <c r="L4153" i="1" s="1"/>
  <c r="J4154" i="1"/>
  <c r="L4154" i="1" s="1"/>
  <c r="J4155" i="1"/>
  <c r="L4155" i="1" s="1"/>
  <c r="J4201" i="1"/>
  <c r="L4201" i="1" s="1"/>
  <c r="J13217" i="1"/>
  <c r="L13217" i="1" s="1"/>
  <c r="J13218" i="1"/>
  <c r="L13218" i="1" s="1"/>
  <c r="J4215" i="1"/>
  <c r="L4215" i="1" s="1"/>
  <c r="J13280" i="1"/>
  <c r="L13280" i="1" s="1"/>
  <c r="J13281" i="1"/>
  <c r="L13281" i="1" s="1"/>
  <c r="J13293" i="1"/>
  <c r="L13293" i="1" s="1"/>
  <c r="J13294" i="1"/>
  <c r="L13294" i="1" s="1"/>
  <c r="J13325" i="1"/>
  <c r="L13325" i="1" s="1"/>
  <c r="J4274" i="1"/>
  <c r="L4274" i="1" s="1"/>
  <c r="J4278" i="1"/>
  <c r="L4278" i="1" s="1"/>
  <c r="J13355" i="1"/>
  <c r="L13355" i="1" s="1"/>
  <c r="J13398" i="1"/>
  <c r="L13398" i="1" s="1"/>
  <c r="J4320" i="1"/>
  <c r="L4320" i="1" s="1"/>
  <c r="J4331" i="1"/>
  <c r="L4331" i="1" s="1"/>
  <c r="J4339" i="1"/>
  <c r="L4339" i="1" s="1"/>
  <c r="J13473" i="1"/>
  <c r="L13473" i="1" s="1"/>
  <c r="J13515" i="1"/>
  <c r="L13515" i="1" s="1"/>
  <c r="J13519" i="1"/>
  <c r="L13519" i="1" s="1"/>
  <c r="J4372" i="1"/>
  <c r="L4372" i="1" s="1"/>
  <c r="J13611" i="1"/>
  <c r="L13611" i="1" s="1"/>
  <c r="J4414" i="1"/>
  <c r="L4414" i="1" s="1"/>
  <c r="J4427" i="1"/>
  <c r="L4427" i="1" s="1"/>
  <c r="J4435" i="1"/>
  <c r="L4435" i="1" s="1"/>
  <c r="J13777" i="1"/>
  <c r="L13777" i="1" s="1"/>
  <c r="J4447" i="1"/>
  <c r="L4447" i="1" s="1"/>
  <c r="J4448" i="1"/>
  <c r="L4448" i="1" s="1"/>
  <c r="J4461" i="1"/>
  <c r="L4461" i="1" s="1"/>
  <c r="J4470" i="1"/>
  <c r="L4470" i="1" s="1"/>
  <c r="J4471" i="1"/>
  <c r="L4471" i="1" s="1"/>
  <c r="J4489" i="1"/>
  <c r="L4489" i="1" s="1"/>
  <c r="J4498" i="1"/>
  <c r="L4498" i="1" s="1"/>
  <c r="J4507" i="1"/>
  <c r="L4507" i="1" s="1"/>
  <c r="J13780" i="1"/>
  <c r="L13780" i="1" s="1"/>
  <c r="J4548" i="1"/>
  <c r="L4548" i="1" s="1"/>
  <c r="J13841" i="1"/>
  <c r="L13841" i="1" s="1"/>
  <c r="J13844" i="1"/>
  <c r="L13844" i="1" s="1"/>
  <c r="C36" i="3" s="1"/>
  <c r="J4578" i="1"/>
  <c r="L4578" i="1" s="1"/>
  <c r="J4582" i="1"/>
  <c r="L4582" i="1" s="1"/>
  <c r="J4606" i="1"/>
  <c r="L4606" i="1" s="1"/>
  <c r="J13912" i="1"/>
  <c r="L13912" i="1" s="1"/>
  <c r="J4650" i="1"/>
  <c r="L4650" i="1" s="1"/>
  <c r="J4664" i="1"/>
  <c r="L4664" i="1" s="1"/>
  <c r="J4668" i="1"/>
  <c r="L4668" i="1" s="1"/>
  <c r="J4669" i="1"/>
  <c r="L4669" i="1" s="1"/>
  <c r="J4670" i="1"/>
  <c r="L4670" i="1" s="1"/>
  <c r="J4671" i="1"/>
  <c r="L4671" i="1" s="1"/>
  <c r="J4672" i="1"/>
  <c r="L4672" i="1" s="1"/>
  <c r="J4673" i="1"/>
  <c r="L4673" i="1" s="1"/>
  <c r="J4674" i="1"/>
  <c r="L4674" i="1" s="1"/>
  <c r="J4675" i="1"/>
  <c r="L4675" i="1" s="1"/>
  <c r="J4712" i="1"/>
  <c r="L4712" i="1" s="1"/>
  <c r="J4714" i="1"/>
  <c r="L4714" i="1" s="1"/>
  <c r="J13927" i="1"/>
  <c r="L13927" i="1" s="1"/>
  <c r="J13959" i="1"/>
  <c r="L13959" i="1" s="1"/>
  <c r="J13960" i="1"/>
  <c r="L13960" i="1" s="1"/>
  <c r="J13975" i="1"/>
  <c r="L13975" i="1" s="1"/>
  <c r="J4762" i="1"/>
  <c r="L4762" i="1" s="1"/>
  <c r="J4776" i="1"/>
  <c r="L4776" i="1" s="1"/>
  <c r="J4789" i="1"/>
  <c r="L4789" i="1" s="1"/>
  <c r="J4806" i="1"/>
  <c r="L4806" i="1" s="1"/>
  <c r="J4807" i="1"/>
  <c r="L4807" i="1" s="1"/>
  <c r="J4820" i="1"/>
  <c r="L4820" i="1" s="1"/>
  <c r="J14127" i="1"/>
  <c r="L14127" i="1" s="1"/>
  <c r="J14270" i="1"/>
  <c r="L14270" i="1" s="1"/>
  <c r="J14271" i="1"/>
  <c r="L14271" i="1" s="1"/>
  <c r="J14272" i="1"/>
  <c r="L14272" i="1" s="1"/>
  <c r="J14273" i="1"/>
  <c r="L14273" i="1" s="1"/>
  <c r="J14274" i="1"/>
  <c r="L14274" i="1" s="1"/>
  <c r="J14314" i="1"/>
  <c r="L14314" i="1" s="1"/>
  <c r="J14324" i="1"/>
  <c r="L14324" i="1" s="1"/>
  <c r="J14334" i="1"/>
  <c r="L14334" i="1" s="1"/>
  <c r="J14353" i="1"/>
  <c r="L14353" i="1" s="1"/>
  <c r="J14432" i="1"/>
  <c r="L14432" i="1" s="1"/>
  <c r="J14447" i="1"/>
  <c r="L14447" i="1" s="1"/>
  <c r="J14479" i="1"/>
  <c r="L14479" i="1" s="1"/>
  <c r="J14480" i="1"/>
  <c r="L14480" i="1" s="1"/>
  <c r="J14729" i="1"/>
  <c r="L14729" i="1" s="1"/>
  <c r="J14773" i="1"/>
  <c r="L14773" i="1" s="1"/>
  <c r="J14832" i="1"/>
  <c r="L14832" i="1" s="1"/>
  <c r="J5041" i="1"/>
  <c r="L5041" i="1" s="1"/>
  <c r="J14973" i="1"/>
  <c r="L14973" i="1" s="1"/>
  <c r="J15018" i="1"/>
  <c r="L15018" i="1" s="1"/>
  <c r="J5206" i="1"/>
  <c r="L5206" i="1" s="1"/>
  <c r="J5249" i="1"/>
  <c r="L5249" i="1" s="1"/>
  <c r="J5338" i="1"/>
  <c r="L5338" i="1" s="1"/>
  <c r="J15088" i="1"/>
  <c r="L15088" i="1" s="1"/>
  <c r="J5384" i="1"/>
  <c r="L5384" i="1" s="1"/>
  <c r="J5386" i="1"/>
  <c r="L5386" i="1" s="1"/>
  <c r="J15192" i="1"/>
  <c r="L15192" i="1" s="1"/>
  <c r="J15210" i="1"/>
  <c r="L15210" i="1" s="1"/>
  <c r="J5437" i="1"/>
  <c r="L5437" i="1" s="1"/>
  <c r="J15226" i="1"/>
  <c r="L15226" i="1" s="1"/>
  <c r="J15232" i="1"/>
  <c r="L15232" i="1" s="1"/>
  <c r="J5477" i="1"/>
  <c r="L5477" i="1" s="1"/>
  <c r="J5480" i="1"/>
  <c r="L5480" i="1" s="1"/>
  <c r="J5504" i="1"/>
  <c r="L5504" i="1" s="1"/>
  <c r="J5575" i="1"/>
  <c r="L5575" i="1" s="1"/>
  <c r="J15454" i="1"/>
  <c r="L15454" i="1" s="1"/>
  <c r="J15455" i="1"/>
  <c r="L15455" i="1" s="1"/>
  <c r="J15456" i="1"/>
  <c r="L15456" i="1" s="1"/>
  <c r="J15472" i="1"/>
  <c r="L15472" i="1" s="1"/>
  <c r="J15473" i="1"/>
  <c r="L15473" i="1" s="1"/>
  <c r="J5660" i="1"/>
  <c r="L5660" i="1" s="1"/>
  <c r="J5658" i="1"/>
  <c r="L5658" i="1" s="1"/>
  <c r="J5659" i="1"/>
  <c r="L5659" i="1" s="1"/>
  <c r="J5661" i="1"/>
  <c r="L5661" i="1" s="1"/>
  <c r="J5662" i="1"/>
  <c r="L5662" i="1" s="1"/>
  <c r="J15494" i="1"/>
  <c r="L15494" i="1" s="1"/>
  <c r="J15499" i="1"/>
  <c r="L15499" i="1" s="1"/>
  <c r="J15526" i="1"/>
  <c r="L15526" i="1" s="1"/>
  <c r="J15565" i="1"/>
  <c r="L15565" i="1" s="1"/>
  <c r="J15580" i="1"/>
  <c r="L15580" i="1" s="1"/>
  <c r="J15594" i="1"/>
  <c r="L15594" i="1" s="1"/>
  <c r="J5711" i="1"/>
  <c r="L5711" i="1" s="1"/>
  <c r="J5714" i="1"/>
  <c r="L5714" i="1" s="1"/>
  <c r="J15603" i="1"/>
  <c r="L15603" i="1" s="1"/>
  <c r="J15618" i="1"/>
  <c r="L15618" i="1" s="1"/>
  <c r="J15619" i="1"/>
  <c r="L15619" i="1" s="1"/>
  <c r="J5748" i="1"/>
  <c r="L5748" i="1" s="1"/>
  <c r="J5755" i="1"/>
  <c r="L5755" i="1" s="1"/>
  <c r="J5759" i="1"/>
  <c r="L5759" i="1" s="1"/>
  <c r="J5760" i="1"/>
  <c r="L5760" i="1" s="1"/>
  <c r="J5767" i="1"/>
  <c r="L5767" i="1" s="1"/>
  <c r="J5770" i="1"/>
  <c r="L5770" i="1" s="1"/>
  <c r="J5772" i="1"/>
  <c r="L5772" i="1" s="1"/>
  <c r="J15673" i="1"/>
  <c r="L15673" i="1" s="1"/>
  <c r="J15679" i="1"/>
  <c r="L15679" i="1" s="1"/>
  <c r="J15682" i="1"/>
  <c r="L15682" i="1" s="1"/>
  <c r="J5807" i="1"/>
  <c r="L5807" i="1" s="1"/>
  <c r="J5819" i="1"/>
  <c r="L5819" i="1" s="1"/>
  <c r="J15737" i="1"/>
  <c r="L15737" i="1" s="1"/>
  <c r="J15739" i="1"/>
  <c r="L15739" i="1" s="1"/>
  <c r="J15740" i="1"/>
  <c r="L15740" i="1" s="1"/>
  <c r="J15741" i="1"/>
  <c r="L15741" i="1" s="1"/>
  <c r="J15742" i="1"/>
  <c r="L15742" i="1" s="1"/>
  <c r="J15745" i="1"/>
  <c r="L15745" i="1" s="1"/>
  <c r="J5849" i="1"/>
  <c r="L5849" i="1" s="1"/>
  <c r="J15780" i="1"/>
  <c r="L15780" i="1" s="1"/>
  <c r="J5885" i="1"/>
  <c r="L5885" i="1" s="1"/>
  <c r="J5891" i="1"/>
  <c r="L5891" i="1" s="1"/>
  <c r="J5898" i="1"/>
  <c r="L5898" i="1" s="1"/>
  <c r="J15830" i="1"/>
  <c r="L15830" i="1" s="1"/>
  <c r="J5919" i="1"/>
  <c r="L5919" i="1" s="1"/>
  <c r="J15840" i="1"/>
  <c r="L15840" i="1" s="1"/>
  <c r="J5939" i="1"/>
  <c r="L5939" i="1" s="1"/>
  <c r="J6020" i="1"/>
  <c r="L6020" i="1" s="1"/>
  <c r="J6107" i="1"/>
  <c r="L6107" i="1" s="1"/>
  <c r="J6148" i="1"/>
  <c r="L6148" i="1" s="1"/>
  <c r="J16022" i="1"/>
  <c r="L16022" i="1" s="1"/>
  <c r="J16023" i="1"/>
  <c r="L16023" i="1" s="1"/>
  <c r="J16083" i="1"/>
  <c r="L16083" i="1" s="1"/>
  <c r="J16086" i="1"/>
  <c r="L16086" i="1" s="1"/>
  <c r="J6203" i="1"/>
  <c r="L6203" i="1" s="1"/>
  <c r="J6204" i="1"/>
  <c r="L6204" i="1" s="1"/>
  <c r="J6230" i="1"/>
  <c r="L6230" i="1" s="1"/>
  <c r="J6243" i="1"/>
  <c r="L6243" i="1" s="1"/>
  <c r="J16158" i="1"/>
  <c r="L16158" i="1" s="1"/>
  <c r="J6349" i="1"/>
  <c r="L6349" i="1" s="1"/>
  <c r="J16171" i="1"/>
  <c r="L16171" i="1" s="1"/>
  <c r="J16293" i="1"/>
  <c r="L16293" i="1" s="1"/>
  <c r="J6463" i="1"/>
  <c r="L6463" i="1" s="1"/>
  <c r="J6469" i="1"/>
  <c r="L6469" i="1" s="1"/>
  <c r="J6470" i="1"/>
  <c r="L6470" i="1" s="1"/>
  <c r="J6475" i="1"/>
  <c r="L6475" i="1" s="1"/>
  <c r="J6493" i="1"/>
  <c r="L6493" i="1" s="1"/>
  <c r="J16428" i="1"/>
  <c r="L16428" i="1" s="1"/>
  <c r="J6558" i="1"/>
  <c r="L6558" i="1" s="1"/>
  <c r="J6559" i="1"/>
  <c r="L6559" i="1" s="1"/>
  <c r="J16473" i="1"/>
  <c r="L16473" i="1" s="1"/>
  <c r="J16576" i="1"/>
  <c r="L16576" i="1" s="1"/>
  <c r="J16587" i="1"/>
  <c r="L16587" i="1" s="1"/>
  <c r="J16588" i="1"/>
  <c r="L16588" i="1" s="1"/>
  <c r="J16589" i="1"/>
  <c r="L16589" i="1" s="1"/>
  <c r="J16590" i="1"/>
  <c r="L16590" i="1" s="1"/>
  <c r="J6613" i="1"/>
  <c r="L6613" i="1" s="1"/>
  <c r="J6614" i="1"/>
  <c r="L6614" i="1" s="1"/>
  <c r="J6623" i="1"/>
  <c r="L6623" i="1" s="1"/>
  <c r="J6634" i="1"/>
  <c r="L6634" i="1" s="1"/>
  <c r="J16646" i="1"/>
  <c r="L16646" i="1" s="1"/>
  <c r="J16662" i="1"/>
  <c r="L16662" i="1" s="1"/>
  <c r="J16665" i="1"/>
  <c r="L16665" i="1" s="1"/>
  <c r="J6670" i="1"/>
  <c r="L6670" i="1" s="1"/>
  <c r="J16696" i="1"/>
  <c r="L16696" i="1" s="1"/>
  <c r="J6691" i="1"/>
  <c r="L6691" i="1" s="1"/>
  <c r="J6693" i="1"/>
  <c r="L6693" i="1" s="1"/>
  <c r="J6707" i="1"/>
  <c r="L6707" i="1" s="1"/>
  <c r="J16723" i="1"/>
  <c r="L16723" i="1" s="1"/>
  <c r="J16726" i="1"/>
  <c r="L16726" i="1" s="1"/>
  <c r="J16732" i="1"/>
  <c r="L16732" i="1" s="1"/>
  <c r="J16747" i="1"/>
  <c r="L16747" i="1" s="1"/>
  <c r="J6724" i="1"/>
  <c r="L6724" i="1" s="1"/>
  <c r="J6739" i="1"/>
  <c r="L6739" i="1" s="1"/>
  <c r="J6740" i="1"/>
  <c r="L6740" i="1" s="1"/>
  <c r="J16804" i="1"/>
  <c r="L16804" i="1" s="1"/>
  <c r="J16824" i="1"/>
  <c r="L16824" i="1" s="1"/>
  <c r="J16825" i="1"/>
  <c r="L16825" i="1" s="1"/>
  <c r="J16836" i="1"/>
  <c r="L16836" i="1" s="1"/>
  <c r="J16844" i="1"/>
  <c r="L16844" i="1" s="1"/>
  <c r="J16856" i="1"/>
  <c r="L16856" i="1" s="1"/>
  <c r="J17106" i="1"/>
  <c r="L17106" i="1" s="1"/>
  <c r="J6879" i="1"/>
  <c r="L6879" i="1" s="1"/>
  <c r="J6890" i="1"/>
  <c r="L6890" i="1" s="1"/>
  <c r="J6891" i="1"/>
  <c r="L6891" i="1" s="1"/>
  <c r="J6892" i="1"/>
  <c r="L6892" i="1" s="1"/>
  <c r="J6893" i="1"/>
  <c r="L6893" i="1" s="1"/>
  <c r="J6908" i="1"/>
  <c r="L6908" i="1" s="1"/>
  <c r="J6918" i="1"/>
  <c r="L6918" i="1" s="1"/>
  <c r="J6924" i="1"/>
  <c r="L6924" i="1" s="1"/>
  <c r="J6925" i="1"/>
  <c r="L6925" i="1" s="1"/>
  <c r="J6928" i="1"/>
  <c r="L6928" i="1" s="1"/>
  <c r="J6929" i="1"/>
  <c r="L6929" i="1" s="1"/>
  <c r="J17119" i="1"/>
  <c r="L17119" i="1" s="1"/>
  <c r="J17149" i="1"/>
  <c r="L17149" i="1" s="1"/>
  <c r="J17169" i="1"/>
  <c r="L17169" i="1" s="1"/>
  <c r="J17172" i="1"/>
  <c r="L17172" i="1" s="1"/>
  <c r="J6981" i="1"/>
  <c r="L6981" i="1" s="1"/>
  <c r="J7039" i="1"/>
  <c r="L7039" i="1" s="1"/>
  <c r="J7055" i="1"/>
  <c r="L7055" i="1" s="1"/>
  <c r="J7056" i="1"/>
  <c r="L7056" i="1" s="1"/>
  <c r="J7064" i="1"/>
  <c r="L7064" i="1" s="1"/>
  <c r="J7067" i="1"/>
  <c r="L7067" i="1" s="1"/>
  <c r="J7083" i="1"/>
  <c r="L7083" i="1" s="1"/>
  <c r="J7108" i="1"/>
  <c r="L7108" i="1" s="1"/>
  <c r="J17255" i="1"/>
  <c r="L17255" i="1" s="1"/>
  <c r="J7137" i="1"/>
  <c r="L7137" i="1" s="1"/>
  <c r="J7144" i="1"/>
  <c r="L7144" i="1" s="1"/>
  <c r="J7145" i="1"/>
  <c r="L7145" i="1" s="1"/>
  <c r="J7146" i="1"/>
  <c r="L7146" i="1" s="1"/>
  <c r="J7159" i="1"/>
  <c r="L7159" i="1" s="1"/>
  <c r="J7163" i="1"/>
  <c r="L7163" i="1" s="1"/>
  <c r="J7164" i="1"/>
  <c r="L7164" i="1" s="1"/>
  <c r="J7165" i="1"/>
  <c r="L7165" i="1" s="1"/>
  <c r="J7166" i="1"/>
  <c r="L7166" i="1" s="1"/>
  <c r="J7167" i="1"/>
  <c r="L7167" i="1" s="1"/>
  <c r="J7168" i="1"/>
  <c r="L7168" i="1" s="1"/>
  <c r="J7169" i="1"/>
  <c r="L7169" i="1" s="1"/>
  <c r="J7170" i="1"/>
  <c r="L7170" i="1" s="1"/>
  <c r="J7206" i="1"/>
  <c r="L7206" i="1" s="1"/>
  <c r="J7211" i="1"/>
  <c r="L7211" i="1" s="1"/>
  <c r="J7212" i="1"/>
  <c r="L7212" i="1" s="1"/>
  <c r="J3" i="1"/>
  <c r="L3" i="1" s="1"/>
  <c r="J7272" i="1"/>
  <c r="L7272" i="1" s="1"/>
  <c r="J7289" i="1"/>
  <c r="L7289" i="1" s="1"/>
  <c r="J7326" i="1"/>
  <c r="L7326" i="1" s="1"/>
  <c r="J37" i="1"/>
  <c r="L37" i="1" s="1"/>
  <c r="J58" i="1"/>
  <c r="L58" i="1" s="1"/>
  <c r="J59" i="1"/>
  <c r="L59" i="1" s="1"/>
  <c r="J82" i="1"/>
  <c r="L82" i="1" s="1"/>
  <c r="J95" i="1"/>
  <c r="L95" i="1" s="1"/>
  <c r="J96" i="1"/>
  <c r="L96" i="1" s="1"/>
  <c r="J118" i="1"/>
  <c r="L118" i="1" s="1"/>
  <c r="J130" i="1"/>
  <c r="L130" i="1" s="1"/>
  <c r="J144" i="1"/>
  <c r="L144" i="1" s="1"/>
  <c r="J152" i="1"/>
  <c r="L152" i="1" s="1"/>
  <c r="J7626" i="1"/>
  <c r="L7626" i="1" s="1"/>
  <c r="J7634" i="1"/>
  <c r="L7634" i="1" s="1"/>
  <c r="J7674" i="1"/>
  <c r="L7674" i="1" s="1"/>
  <c r="J7696" i="1"/>
  <c r="L7696" i="1" s="1"/>
  <c r="J7729" i="1"/>
  <c r="L7729" i="1" s="1"/>
  <c r="J7730" i="1"/>
  <c r="L7730" i="1" s="1"/>
  <c r="J7731" i="1"/>
  <c r="L7731" i="1" s="1"/>
  <c r="J7738" i="1"/>
  <c r="L7738" i="1" s="1"/>
  <c r="J7850" i="1"/>
  <c r="L7850" i="1" s="1"/>
  <c r="J8144" i="1"/>
  <c r="L8144" i="1" s="1"/>
  <c r="J8167" i="1"/>
  <c r="L8167" i="1" s="1"/>
  <c r="J8175" i="1"/>
  <c r="L8175" i="1" s="1"/>
  <c r="J8198" i="1"/>
  <c r="L8198" i="1" s="1"/>
  <c r="J8200" i="1"/>
  <c r="L8200" i="1" s="1"/>
  <c r="J8222" i="1"/>
  <c r="L8222" i="1" s="1"/>
  <c r="J329" i="1"/>
  <c r="L329" i="1" s="1"/>
  <c r="J370" i="1"/>
  <c r="L370" i="1" s="1"/>
  <c r="J8338" i="1"/>
  <c r="L8338" i="1" s="1"/>
  <c r="J8363" i="1"/>
  <c r="L8363" i="1" s="1"/>
  <c r="J395" i="1"/>
  <c r="L395" i="1" s="1"/>
  <c r="J400" i="1"/>
  <c r="L400" i="1" s="1"/>
  <c r="J407" i="1"/>
  <c r="L407" i="1" s="1"/>
  <c r="J471" i="1"/>
  <c r="L471" i="1" s="1"/>
  <c r="J472" i="1"/>
  <c r="L472" i="1" s="1"/>
  <c r="J528" i="1"/>
  <c r="L528" i="1" s="1"/>
  <c r="J562" i="1"/>
  <c r="L562" i="1" s="1"/>
  <c r="J586" i="1"/>
  <c r="L586" i="1" s="1"/>
  <c r="J594" i="1"/>
  <c r="L594" i="1" s="1"/>
  <c r="J8428" i="1"/>
  <c r="L8428" i="1" s="1"/>
  <c r="J8445" i="1"/>
  <c r="L8445" i="1" s="1"/>
  <c r="J8456" i="1"/>
  <c r="L8456" i="1" s="1"/>
  <c r="J616" i="1"/>
  <c r="L616" i="1" s="1"/>
  <c r="J634" i="1"/>
  <c r="L634" i="1" s="1"/>
  <c r="J8525" i="1"/>
  <c r="L8525" i="1" s="1"/>
  <c r="J693" i="1"/>
  <c r="L693" i="1" s="1"/>
  <c r="J8579" i="1"/>
  <c r="L8579" i="1" s="1"/>
  <c r="J721" i="1"/>
  <c r="L721" i="1" s="1"/>
  <c r="J8635" i="1"/>
  <c r="L8635" i="1" s="1"/>
  <c r="J8825" i="1"/>
  <c r="L8825" i="1" s="1"/>
  <c r="J870" i="1"/>
  <c r="L870" i="1" s="1"/>
  <c r="J871" i="1"/>
  <c r="L871" i="1" s="1"/>
  <c r="J872" i="1"/>
  <c r="L872" i="1" s="1"/>
  <c r="J873" i="1"/>
  <c r="L873" i="1" s="1"/>
  <c r="J874" i="1"/>
  <c r="L874" i="1" s="1"/>
  <c r="J875" i="1"/>
  <c r="L875" i="1" s="1"/>
  <c r="J876" i="1"/>
  <c r="L876" i="1" s="1"/>
  <c r="J879" i="1"/>
  <c r="L879" i="1" s="1"/>
  <c r="J880" i="1"/>
  <c r="L880" i="1" s="1"/>
  <c r="J882" i="1"/>
  <c r="L882" i="1" s="1"/>
  <c r="J883" i="1"/>
  <c r="L883" i="1" s="1"/>
  <c r="J884" i="1"/>
  <c r="L884" i="1" s="1"/>
  <c r="J886" i="1"/>
  <c r="L886" i="1" s="1"/>
  <c r="J887" i="1"/>
  <c r="L887" i="1" s="1"/>
  <c r="J888" i="1"/>
  <c r="L888" i="1" s="1"/>
  <c r="J891" i="1"/>
  <c r="L891" i="1" s="1"/>
  <c r="J893" i="1"/>
  <c r="L893" i="1" s="1"/>
  <c r="J869" i="1"/>
  <c r="L869" i="1" s="1"/>
  <c r="J877" i="1"/>
  <c r="L877" i="1" s="1"/>
  <c r="J878" i="1"/>
  <c r="L878" i="1" s="1"/>
  <c r="J881" i="1"/>
  <c r="L881" i="1" s="1"/>
  <c r="J885" i="1"/>
  <c r="L885" i="1" s="1"/>
  <c r="J889" i="1"/>
  <c r="L889" i="1" s="1"/>
  <c r="J890" i="1"/>
  <c r="L890" i="1" s="1"/>
  <c r="J892" i="1"/>
  <c r="L892" i="1" s="1"/>
  <c r="J8848" i="1"/>
  <c r="L8848" i="1" s="1"/>
  <c r="J8873" i="1"/>
  <c r="L8873" i="1" s="1"/>
  <c r="J8889" i="1"/>
  <c r="L8889" i="1" s="1"/>
  <c r="J8901" i="1"/>
  <c r="L8901" i="1" s="1"/>
  <c r="J8908" i="1"/>
  <c r="L8908" i="1" s="1"/>
  <c r="J907" i="1"/>
  <c r="L907" i="1" s="1"/>
  <c r="J945" i="1"/>
  <c r="L945" i="1" s="1"/>
  <c r="J8988" i="1"/>
  <c r="L8988" i="1" s="1"/>
  <c r="J9007" i="1"/>
  <c r="L9007" i="1" s="1"/>
  <c r="J1028" i="1"/>
  <c r="L1028" i="1" s="1"/>
  <c r="J1029" i="1"/>
  <c r="L1029" i="1" s="1"/>
  <c r="J1030" i="1"/>
  <c r="L1030" i="1" s="1"/>
  <c r="J1034" i="1"/>
  <c r="L1034" i="1" s="1"/>
  <c r="J1035" i="1"/>
  <c r="L1035" i="1" s="1"/>
  <c r="J1052" i="1"/>
  <c r="L1052" i="1" s="1"/>
  <c r="J9058" i="1"/>
  <c r="L9058" i="1" s="1"/>
  <c r="J1079" i="1"/>
  <c r="L1079" i="1" s="1"/>
  <c r="J1081" i="1"/>
  <c r="L1081" i="1" s="1"/>
  <c r="J1095" i="1"/>
  <c r="L1095" i="1" s="1"/>
  <c r="J1101" i="1"/>
  <c r="L1101" i="1" s="1"/>
  <c r="J1119" i="1"/>
  <c r="L1119" i="1" s="1"/>
  <c r="J1122" i="1"/>
  <c r="L1122" i="1" s="1"/>
  <c r="J1151" i="1"/>
  <c r="L1151" i="1" s="1"/>
  <c r="J9167" i="1"/>
  <c r="L9167" i="1" s="1"/>
  <c r="J9168" i="1"/>
  <c r="L9168" i="1" s="1"/>
  <c r="J1189" i="1"/>
  <c r="L1189" i="1" s="1"/>
  <c r="J9223" i="1"/>
  <c r="L9223" i="1" s="1"/>
  <c r="J1220" i="1"/>
  <c r="L1220" i="1" s="1"/>
  <c r="J1224" i="1"/>
  <c r="L1224" i="1" s="1"/>
  <c r="J1287" i="1"/>
  <c r="L1287" i="1" s="1"/>
  <c r="J1286" i="1"/>
  <c r="L1286" i="1" s="1"/>
  <c r="J1418" i="1"/>
  <c r="L1418" i="1" s="1"/>
  <c r="J1420" i="1"/>
  <c r="L1420" i="1" s="1"/>
  <c r="C20" i="2" s="1"/>
  <c r="J9362" i="1"/>
  <c r="L9362" i="1" s="1"/>
  <c r="J9450" i="1"/>
  <c r="L9450" i="1" s="1"/>
  <c r="J9455" i="1"/>
  <c r="L9455" i="1" s="1"/>
  <c r="J9458" i="1"/>
  <c r="L9458" i="1" s="1"/>
  <c r="J9462" i="1"/>
  <c r="L9462" i="1" s="1"/>
  <c r="J9473" i="1"/>
  <c r="L9473" i="1" s="1"/>
  <c r="J1430" i="1"/>
  <c r="L1430" i="1" s="1"/>
  <c r="J1479" i="1"/>
  <c r="L1479" i="1" s="1"/>
  <c r="J1483" i="1"/>
  <c r="L1483" i="1" s="1"/>
  <c r="J1489" i="1"/>
  <c r="L1489" i="1" s="1"/>
  <c r="J1493" i="1"/>
  <c r="L1493" i="1" s="1"/>
  <c r="J1507" i="1"/>
  <c r="L1507" i="1" s="1"/>
  <c r="J1604" i="1"/>
  <c r="L1604" i="1" s="1"/>
  <c r="J1655" i="1"/>
  <c r="L1655" i="1" s="1"/>
  <c r="J1698" i="1"/>
  <c r="L1698" i="1" s="1"/>
  <c r="J1727" i="1"/>
  <c r="L1727" i="1" s="1"/>
  <c r="J1781" i="1"/>
  <c r="L1781" i="1" s="1"/>
  <c r="J1835" i="1"/>
  <c r="L1835" i="1" s="1"/>
  <c r="J1836" i="1"/>
  <c r="L1836" i="1" s="1"/>
  <c r="J1837" i="1"/>
  <c r="L1837" i="1" s="1"/>
  <c r="J1838" i="1"/>
  <c r="L1838" i="1" s="1"/>
  <c r="J1839" i="1"/>
  <c r="L1839" i="1" s="1"/>
  <c r="J1840" i="1"/>
  <c r="L1840" i="1" s="1"/>
  <c r="J1857" i="1"/>
  <c r="L1857" i="1" s="1"/>
  <c r="J1858" i="1"/>
  <c r="L1858" i="1" s="1"/>
  <c r="J9771" i="1"/>
  <c r="L9771" i="1" s="1"/>
  <c r="J9775" i="1"/>
  <c r="L9775" i="1" s="1"/>
  <c r="J9877" i="1"/>
  <c r="L9877" i="1" s="1"/>
  <c r="J9885" i="1"/>
  <c r="L9885" i="1" s="1"/>
  <c r="J9886" i="1"/>
  <c r="L9886" i="1" s="1"/>
  <c r="J9887" i="1"/>
  <c r="L9887" i="1" s="1"/>
  <c r="J9888" i="1"/>
  <c r="L9888" i="1" s="1"/>
  <c r="J9889" i="1"/>
  <c r="L9889" i="1" s="1"/>
  <c r="J9890" i="1"/>
  <c r="L9890" i="1" s="1"/>
  <c r="J1913" i="1"/>
  <c r="L1913" i="1" s="1"/>
  <c r="J1914" i="1"/>
  <c r="L1914" i="1" s="1"/>
  <c r="J1923" i="1"/>
  <c r="L1923" i="1" s="1"/>
  <c r="J9939" i="1"/>
  <c r="L9939" i="1" s="1"/>
  <c r="J9972" i="1"/>
  <c r="L9972" i="1" s="1"/>
  <c r="J9973" i="1"/>
  <c r="L9973" i="1" s="1"/>
  <c r="J9974" i="1"/>
  <c r="L9974" i="1" s="1"/>
  <c r="J9985" i="1"/>
  <c r="L9985" i="1" s="1"/>
  <c r="J1966" i="1"/>
  <c r="L1966" i="1" s="1"/>
  <c r="J1975" i="1"/>
  <c r="L1975" i="1" s="1"/>
  <c r="J10027" i="1"/>
  <c r="L10027" i="1" s="1"/>
  <c r="J2000" i="1"/>
  <c r="L2000" i="1" s="1"/>
  <c r="J2001" i="1"/>
  <c r="L2001" i="1" s="1"/>
  <c r="J10062" i="1"/>
  <c r="L10062" i="1" s="1"/>
  <c r="J10076" i="1"/>
  <c r="L10076" i="1" s="1"/>
  <c r="J2036" i="1"/>
  <c r="L2036" i="1" s="1"/>
  <c r="J2059" i="1"/>
  <c r="L2059" i="1" s="1"/>
  <c r="J10163" i="1"/>
  <c r="L10163" i="1" s="1"/>
  <c r="J2098" i="1"/>
  <c r="L2098" i="1" s="1"/>
  <c r="J10248" i="1"/>
  <c r="L10248" i="1" s="1"/>
  <c r="J2115" i="1"/>
  <c r="L2115" i="1" s="1"/>
  <c r="J2121" i="1"/>
  <c r="L2121" i="1" s="1"/>
  <c r="J2125" i="1"/>
  <c r="L2125" i="1" s="1"/>
  <c r="J2147" i="1"/>
  <c r="L2147" i="1" s="1"/>
  <c r="J2166" i="1"/>
  <c r="L2166" i="1" s="1"/>
  <c r="J2167" i="1"/>
  <c r="L2167" i="1" s="1"/>
  <c r="J2201" i="1"/>
  <c r="L2201" i="1" s="1"/>
  <c r="J2202" i="1"/>
  <c r="L2202" i="1" s="1"/>
  <c r="J2203" i="1"/>
  <c r="L2203" i="1" s="1"/>
  <c r="J2204" i="1"/>
  <c r="L2204" i="1" s="1"/>
  <c r="J2220" i="1"/>
  <c r="L2220" i="1" s="1"/>
  <c r="J2221" i="1"/>
  <c r="L2221" i="1" s="1"/>
  <c r="J2222" i="1"/>
  <c r="L2222" i="1" s="1"/>
  <c r="J2240" i="1"/>
  <c r="L2240" i="1" s="1"/>
  <c r="J2267" i="1"/>
  <c r="L2267" i="1" s="1"/>
  <c r="J2286" i="1"/>
  <c r="L2286" i="1" s="1"/>
  <c r="J2353" i="1"/>
  <c r="L2353" i="1" s="1"/>
  <c r="J2377" i="1"/>
  <c r="L2377" i="1" s="1"/>
  <c r="J2380" i="1"/>
  <c r="L2380" i="1" s="1"/>
  <c r="J2381" i="1"/>
  <c r="L2381" i="1" s="1"/>
  <c r="J10483" i="1"/>
  <c r="L10483" i="1" s="1"/>
  <c r="J2439" i="1"/>
  <c r="L2439" i="1" s="1"/>
  <c r="J2443" i="1"/>
  <c r="L2443" i="1" s="1"/>
  <c r="J2445" i="1"/>
  <c r="L2445" i="1" s="1"/>
  <c r="J2451" i="1"/>
  <c r="L2451" i="1" s="1"/>
  <c r="J2459" i="1"/>
  <c r="L2459" i="1" s="1"/>
  <c r="J2461" i="1"/>
  <c r="L2461" i="1" s="1"/>
  <c r="J2465" i="1"/>
  <c r="L2465" i="1" s="1"/>
  <c r="J2495" i="1"/>
  <c r="L2495" i="1" s="1"/>
  <c r="J2496" i="1"/>
  <c r="L2496" i="1" s="1"/>
  <c r="J2506" i="1"/>
  <c r="L2506" i="1" s="1"/>
  <c r="J2519" i="1"/>
  <c r="L2519" i="1" s="1"/>
  <c r="J2531" i="1"/>
  <c r="L2531" i="1" s="1"/>
  <c r="J10510" i="1"/>
  <c r="L10510" i="1" s="1"/>
  <c r="J10511" i="1"/>
  <c r="L10511" i="1" s="1"/>
  <c r="J2557" i="1"/>
  <c r="L2557" i="1" s="1"/>
  <c r="J2602" i="1"/>
  <c r="L2602" i="1" s="1"/>
  <c r="J2606" i="1"/>
  <c r="L2606" i="1" s="1"/>
  <c r="J10670" i="1"/>
  <c r="L10670" i="1" s="1"/>
  <c r="J2626" i="1"/>
  <c r="L2626" i="1" s="1"/>
  <c r="J2643" i="1"/>
  <c r="L2643" i="1" s="1"/>
  <c r="J2672" i="1"/>
  <c r="L2672" i="1" s="1"/>
  <c r="J2691" i="1"/>
  <c r="L2691" i="1" s="1"/>
  <c r="J10896" i="1"/>
  <c r="L10896" i="1" s="1"/>
  <c r="J2711" i="1"/>
  <c r="L2711" i="1" s="1"/>
  <c r="J2712" i="1"/>
  <c r="L2712" i="1" s="1"/>
  <c r="J11019" i="1"/>
  <c r="L11019" i="1" s="1"/>
  <c r="J11050" i="1"/>
  <c r="L11050" i="1" s="1"/>
  <c r="J2770" i="1"/>
  <c r="L2770" i="1" s="1"/>
  <c r="J11248" i="1"/>
  <c r="L11248" i="1" s="1"/>
  <c r="J11361" i="1"/>
  <c r="L11361" i="1" s="1"/>
  <c r="J2801" i="1"/>
  <c r="L2801" i="1" s="1"/>
  <c r="J2830" i="1"/>
  <c r="L2830" i="1" s="1"/>
  <c r="J2837" i="1"/>
  <c r="L2837" i="1" s="1"/>
  <c r="J2879" i="1"/>
  <c r="L2879" i="1" s="1"/>
  <c r="J2892" i="1"/>
  <c r="L2892" i="1" s="1"/>
  <c r="J2901" i="1"/>
  <c r="L2901" i="1" s="1"/>
  <c r="J2972" i="1"/>
  <c r="L2972" i="1" s="1"/>
  <c r="J2973" i="1"/>
  <c r="L2973" i="1" s="1"/>
  <c r="J2980" i="1"/>
  <c r="L2980" i="1" s="1"/>
  <c r="J2981" i="1"/>
  <c r="L2981" i="1" s="1"/>
  <c r="J3036" i="1"/>
  <c r="L3036" i="1" s="1"/>
  <c r="J3039" i="1"/>
  <c r="L3039" i="1" s="1"/>
  <c r="J11624" i="1"/>
  <c r="L11624" i="1" s="1"/>
  <c r="J3071" i="1"/>
  <c r="L3071" i="1" s="1"/>
  <c r="J3093" i="1"/>
  <c r="L3093" i="1" s="1"/>
  <c r="J11647" i="1"/>
  <c r="L11647" i="1" s="1"/>
  <c r="J11653" i="1"/>
  <c r="L11653" i="1" s="1"/>
  <c r="J11659" i="1"/>
  <c r="L11659" i="1" s="1"/>
  <c r="J11664" i="1"/>
  <c r="L11664" i="1" s="1"/>
  <c r="J3174" i="1"/>
  <c r="L3174" i="1" s="1"/>
  <c r="J3235" i="1"/>
  <c r="L3235" i="1" s="1"/>
  <c r="J3327" i="1"/>
  <c r="L3327" i="1" s="1"/>
  <c r="J3329" i="1"/>
  <c r="L3329" i="1" s="1"/>
  <c r="J3331" i="1"/>
  <c r="L3331" i="1" s="1"/>
  <c r="J3332" i="1"/>
  <c r="L3332" i="1" s="1"/>
  <c r="J3333" i="1"/>
  <c r="L3333" i="1" s="1"/>
  <c r="J3334" i="1"/>
  <c r="L3334" i="1" s="1"/>
  <c r="J3336" i="1"/>
  <c r="L3336" i="1" s="1"/>
  <c r="J3338" i="1"/>
  <c r="L3338" i="1" s="1"/>
  <c r="J3339" i="1"/>
  <c r="L3339" i="1" s="1"/>
  <c r="J3340" i="1"/>
  <c r="L3340" i="1" s="1"/>
  <c r="J3342" i="1"/>
  <c r="L3342" i="1" s="1"/>
  <c r="J3343" i="1"/>
  <c r="L3343" i="1" s="1"/>
  <c r="J3324" i="1"/>
  <c r="L3324" i="1" s="1"/>
  <c r="J3325" i="1"/>
  <c r="L3325" i="1" s="1"/>
  <c r="J3326" i="1"/>
  <c r="L3326" i="1" s="1"/>
  <c r="J3328" i="1"/>
  <c r="L3328" i="1" s="1"/>
  <c r="J3330" i="1"/>
  <c r="L3330" i="1" s="1"/>
  <c r="J3335" i="1"/>
  <c r="L3335" i="1" s="1"/>
  <c r="J3337" i="1"/>
  <c r="L3337" i="1" s="1"/>
  <c r="J3341" i="1"/>
  <c r="L3341" i="1" s="1"/>
  <c r="J12079" i="1"/>
  <c r="L12079" i="1" s="1"/>
  <c r="J12080" i="1"/>
  <c r="L12080" i="1" s="1"/>
  <c r="J3369" i="1"/>
  <c r="L3369" i="1" s="1"/>
  <c r="J12096" i="1"/>
  <c r="L12096" i="1" s="1"/>
  <c r="J12098" i="1"/>
  <c r="L12098" i="1" s="1"/>
  <c r="J12116" i="1"/>
  <c r="L12116" i="1" s="1"/>
  <c r="J3395" i="1"/>
  <c r="L3395" i="1" s="1"/>
  <c r="J3420" i="1"/>
  <c r="L3420" i="1" s="1"/>
  <c r="J3458" i="1"/>
  <c r="L3458" i="1" s="1"/>
  <c r="J12198" i="1"/>
  <c r="L12198" i="1" s="1"/>
  <c r="J3467" i="1"/>
  <c r="L3467" i="1" s="1"/>
  <c r="J3468" i="1"/>
  <c r="L3468" i="1" s="1"/>
  <c r="J3469" i="1"/>
  <c r="L3469" i="1" s="1"/>
  <c r="J3470" i="1"/>
  <c r="L3470" i="1" s="1"/>
  <c r="J3481" i="1"/>
  <c r="L3481" i="1" s="1"/>
  <c r="J12237" i="1"/>
  <c r="L12237" i="1" s="1"/>
  <c r="J3499" i="1"/>
  <c r="L3499" i="1" s="1"/>
  <c r="J3500" i="1"/>
  <c r="L3500" i="1" s="1"/>
  <c r="J12317" i="1"/>
  <c r="L12317" i="1" s="1"/>
  <c r="J12331" i="1"/>
  <c r="L12331" i="1" s="1"/>
  <c r="J12336" i="1"/>
  <c r="L12336" i="1" s="1"/>
  <c r="J3515" i="1"/>
  <c r="L3515" i="1" s="1"/>
  <c r="J3526" i="1"/>
  <c r="L3526" i="1" s="1"/>
  <c r="J3527" i="1"/>
  <c r="L3527" i="1" s="1"/>
  <c r="J12376" i="1"/>
  <c r="L12376" i="1" s="1"/>
  <c r="J12406" i="1"/>
  <c r="L12406" i="1" s="1"/>
  <c r="J12426" i="1"/>
  <c r="L12426" i="1" s="1"/>
  <c r="J12427" i="1"/>
  <c r="L12427" i="1" s="1"/>
  <c r="J12428" i="1"/>
  <c r="L12428" i="1" s="1"/>
  <c r="J12429" i="1"/>
  <c r="L12429" i="1" s="1"/>
  <c r="J3559" i="1"/>
  <c r="L3559" i="1" s="1"/>
  <c r="J3596" i="1"/>
  <c r="L3596" i="1" s="1"/>
  <c r="J3713" i="1"/>
  <c r="L3713" i="1" s="1"/>
  <c r="J3766" i="1"/>
  <c r="L3766" i="1" s="1"/>
  <c r="J12611" i="1"/>
  <c r="L12611" i="1" s="1"/>
  <c r="J12628" i="1"/>
  <c r="L12628" i="1" s="1"/>
  <c r="J12673" i="1"/>
  <c r="L12673" i="1" s="1"/>
  <c r="J12690" i="1"/>
  <c r="L12690" i="1" s="1"/>
  <c r="J12691" i="1"/>
  <c r="L12691" i="1" s="1"/>
  <c r="J12714" i="1"/>
  <c r="L12714" i="1" s="1"/>
  <c r="J3814" i="1"/>
  <c r="L3814" i="1" s="1"/>
  <c r="J3820" i="1"/>
  <c r="L3820" i="1" s="1"/>
  <c r="J3862" i="1"/>
  <c r="L3862" i="1" s="1"/>
  <c r="J3882" i="1"/>
  <c r="L3882" i="1" s="1"/>
  <c r="J3963" i="1"/>
  <c r="L3963" i="1" s="1"/>
  <c r="J3970" i="1"/>
  <c r="L3970" i="1" s="1"/>
  <c r="J3976" i="1"/>
  <c r="L3976" i="1" s="1"/>
  <c r="J12836" i="1"/>
  <c r="L12836" i="1" s="1"/>
  <c r="J4073" i="1"/>
  <c r="L4073" i="1" s="1"/>
  <c r="J4074" i="1"/>
  <c r="L4074" i="1" s="1"/>
  <c r="J13051" i="1"/>
  <c r="L13051" i="1" s="1"/>
  <c r="J4151" i="1"/>
  <c r="L4151" i="1" s="1"/>
  <c r="J4152" i="1"/>
  <c r="L4152" i="1" s="1"/>
  <c r="J4163" i="1"/>
  <c r="L4163" i="1" s="1"/>
  <c r="J13083" i="1"/>
  <c r="L13083" i="1" s="1"/>
  <c r="J4199" i="1"/>
  <c r="L4199" i="1" s="1"/>
  <c r="J4200" i="1"/>
  <c r="L4200" i="1" s="1"/>
  <c r="J13202" i="1"/>
  <c r="L13202" i="1" s="1"/>
  <c r="J13213" i="1"/>
  <c r="L13213" i="1" s="1"/>
  <c r="J13214" i="1"/>
  <c r="L13214" i="1" s="1"/>
  <c r="J13215" i="1"/>
  <c r="L13215" i="1" s="1"/>
  <c r="J13216" i="1"/>
  <c r="L13216" i="1" s="1"/>
  <c r="J13273" i="1"/>
  <c r="L13273" i="1" s="1"/>
  <c r="J13278" i="1"/>
  <c r="L13278" i="1" s="1"/>
  <c r="J13279" i="1"/>
  <c r="L13279" i="1" s="1"/>
  <c r="J13324" i="1"/>
  <c r="L13324" i="1" s="1"/>
  <c r="J4260" i="1"/>
  <c r="L4260" i="1" s="1"/>
  <c r="J13346" i="1"/>
  <c r="L13346" i="1" s="1"/>
  <c r="J4283" i="1"/>
  <c r="L4283" i="1" s="1"/>
  <c r="J4290" i="1"/>
  <c r="L4290" i="1" s="1"/>
  <c r="J4306" i="1"/>
  <c r="L4306" i="1" s="1"/>
  <c r="J13383" i="1"/>
  <c r="L13383" i="1" s="1"/>
  <c r="J4330" i="1"/>
  <c r="L4330" i="1" s="1"/>
  <c r="J4333" i="1"/>
  <c r="L4333" i="1" s="1"/>
  <c r="J4336" i="1"/>
  <c r="L4336" i="1" s="1"/>
  <c r="J13509" i="1"/>
  <c r="L13509" i="1" s="1"/>
  <c r="J4375" i="1"/>
  <c r="L4375" i="1" s="1"/>
  <c r="J4381" i="1"/>
  <c r="L4381" i="1" s="1"/>
  <c r="J4428" i="1"/>
  <c r="L4428" i="1" s="1"/>
  <c r="J4432" i="1"/>
  <c r="L4432" i="1" s="1"/>
  <c r="J4443" i="1"/>
  <c r="L4443" i="1" s="1"/>
  <c r="J4444" i="1"/>
  <c r="L4444" i="1" s="1"/>
  <c r="J4445" i="1"/>
  <c r="L4445" i="1" s="1"/>
  <c r="J4446" i="1"/>
  <c r="L4446" i="1" s="1"/>
  <c r="J4466" i="1"/>
  <c r="L4466" i="1" s="1"/>
  <c r="J4467" i="1"/>
  <c r="L4467" i="1" s="1"/>
  <c r="J4468" i="1"/>
  <c r="L4468" i="1" s="1"/>
  <c r="J4469" i="1"/>
  <c r="L4469" i="1" s="1"/>
  <c r="J4487" i="1"/>
  <c r="L4487" i="1" s="1"/>
  <c r="J4488" i="1"/>
  <c r="L4488" i="1" s="1"/>
  <c r="J4492" i="1"/>
  <c r="L4492" i="1" s="1"/>
  <c r="J4497" i="1"/>
  <c r="L4497" i="1" s="1"/>
  <c r="J4508" i="1"/>
  <c r="L4508" i="1" s="1"/>
  <c r="J4509" i="1"/>
  <c r="L4509" i="1" s="1"/>
  <c r="J13842" i="1"/>
  <c r="L13842" i="1" s="1"/>
  <c r="J13843" i="1"/>
  <c r="L13843" i="1" s="1"/>
  <c r="J13908" i="1"/>
  <c r="L13908" i="1" s="1"/>
  <c r="J4640" i="1"/>
  <c r="L4640" i="1" s="1"/>
  <c r="J4644" i="1"/>
  <c r="L4644" i="1" s="1"/>
  <c r="J4647" i="1"/>
  <c r="L4647" i="1" s="1"/>
  <c r="J4648" i="1"/>
  <c r="L4648" i="1" s="1"/>
  <c r="J4652" i="1"/>
  <c r="L4652" i="1" s="1"/>
  <c r="J4654" i="1"/>
  <c r="L4654" i="1" s="1"/>
  <c r="J4662" i="1"/>
  <c r="L4662" i="1" s="1"/>
  <c r="J4691" i="1"/>
  <c r="L4691" i="1" s="1"/>
  <c r="J4702" i="1"/>
  <c r="L4702" i="1" s="1"/>
  <c r="J4725" i="1"/>
  <c r="L4725" i="1" s="1"/>
  <c r="J4726" i="1"/>
  <c r="L4726" i="1" s="1"/>
  <c r="J4727" i="1"/>
  <c r="L4727" i="1" s="1"/>
  <c r="J13926" i="1"/>
  <c r="L13926" i="1" s="1"/>
  <c r="J13973" i="1"/>
  <c r="L13973" i="1" s="1"/>
  <c r="J14074" i="1"/>
  <c r="L14074" i="1" s="1"/>
  <c r="J14089" i="1"/>
  <c r="L14089" i="1" s="1"/>
  <c r="J4805" i="1"/>
  <c r="L4805" i="1" s="1"/>
  <c r="J4813" i="1"/>
  <c r="L4813" i="1" s="1"/>
  <c r="J4814" i="1"/>
  <c r="L4814" i="1" s="1"/>
  <c r="J4823" i="1"/>
  <c r="L4823" i="1" s="1"/>
  <c r="J4825" i="1"/>
  <c r="L4825" i="1" s="1"/>
  <c r="J4871" i="1"/>
  <c r="L4871" i="1" s="1"/>
  <c r="J14269" i="1"/>
  <c r="L14269" i="1" s="1"/>
  <c r="J14352" i="1"/>
  <c r="L14352" i="1" s="1"/>
  <c r="J14358" i="1"/>
  <c r="L14358" i="1" s="1"/>
  <c r="J4905" i="1"/>
  <c r="L4905" i="1" s="1"/>
  <c r="J4911" i="1"/>
  <c r="L4911" i="1" s="1"/>
  <c r="J14462" i="1"/>
  <c r="L14462" i="1" s="1"/>
  <c r="J4941" i="1"/>
  <c r="L4941" i="1" s="1"/>
  <c r="J14772" i="1"/>
  <c r="L14772" i="1" s="1"/>
  <c r="J14781" i="1"/>
  <c r="L14781" i="1" s="1"/>
  <c r="J14801" i="1"/>
  <c r="L14801" i="1" s="1"/>
  <c r="J5040" i="1"/>
  <c r="L5040" i="1" s="1"/>
  <c r="J5044" i="1"/>
  <c r="L5044" i="1" s="1"/>
  <c r="J5061" i="1"/>
  <c r="L5061" i="1" s="1"/>
  <c r="J5123" i="1"/>
  <c r="L5123" i="1" s="1"/>
  <c r="J5196" i="1"/>
  <c r="L5196" i="1" s="1"/>
  <c r="J5205" i="1"/>
  <c r="L5205" i="1" s="1"/>
  <c r="J5288" i="1"/>
  <c r="L5288" i="1" s="1"/>
  <c r="J5328" i="1"/>
  <c r="L5328" i="1" s="1"/>
  <c r="J5334" i="1"/>
  <c r="L5334" i="1" s="1"/>
  <c r="J5336" i="1"/>
  <c r="L5336" i="1" s="1"/>
  <c r="J15062" i="1"/>
  <c r="L15062" i="1" s="1"/>
  <c r="J15074" i="1"/>
  <c r="L15074" i="1" s="1"/>
  <c r="J15076" i="1"/>
  <c r="L15076" i="1" s="1"/>
  <c r="J15090" i="1"/>
  <c r="L15090" i="1" s="1"/>
  <c r="J15096" i="1"/>
  <c r="L15096" i="1" s="1"/>
  <c r="J5362" i="1"/>
  <c r="L5362" i="1" s="1"/>
  <c r="J15167" i="1"/>
  <c r="L15167" i="1" s="1"/>
  <c r="J5408" i="1"/>
  <c r="L5408" i="1" s="1"/>
  <c r="J15189" i="1"/>
  <c r="L15189" i="1" s="1"/>
  <c r="J5428" i="1"/>
  <c r="L5428" i="1" s="1"/>
  <c r="J5431" i="1"/>
  <c r="L5431" i="1" s="1"/>
  <c r="J5440" i="1"/>
  <c r="L5440" i="1" s="1"/>
  <c r="J15256" i="1"/>
  <c r="L15256" i="1" s="1"/>
  <c r="J5501" i="1"/>
  <c r="L5501" i="1" s="1"/>
  <c r="J15302" i="1"/>
  <c r="L15302" i="1" s="1"/>
  <c r="J5640" i="1"/>
  <c r="L5640" i="1" s="1"/>
  <c r="J5641" i="1"/>
  <c r="L5641" i="1" s="1"/>
  <c r="J5642" i="1"/>
  <c r="L5642" i="1" s="1"/>
  <c r="J5647" i="1"/>
  <c r="L5647" i="1" s="1"/>
  <c r="J5649" i="1"/>
  <c r="L5649" i="1" s="1"/>
  <c r="J5650" i="1"/>
  <c r="L5650" i="1" s="1"/>
  <c r="J5651" i="1"/>
  <c r="L5651" i="1" s="1"/>
  <c r="J5652" i="1"/>
  <c r="L5652" i="1" s="1"/>
  <c r="J5653" i="1"/>
  <c r="L5653" i="1" s="1"/>
  <c r="J5654" i="1"/>
  <c r="L5654" i="1" s="1"/>
  <c r="J5655" i="1"/>
  <c r="L5655" i="1" s="1"/>
  <c r="J5638" i="1"/>
  <c r="L5638" i="1" s="1"/>
  <c r="J5639" i="1"/>
  <c r="L5639" i="1" s="1"/>
  <c r="J5643" i="1"/>
  <c r="L5643" i="1" s="1"/>
  <c r="J5644" i="1"/>
  <c r="L5644" i="1" s="1"/>
  <c r="J5645" i="1"/>
  <c r="L5645" i="1" s="1"/>
  <c r="J5646" i="1"/>
  <c r="L5646" i="1" s="1"/>
  <c r="J5648" i="1"/>
  <c r="L5648" i="1" s="1"/>
  <c r="J5656" i="1"/>
  <c r="L5656" i="1" s="1"/>
  <c r="J5657" i="1"/>
  <c r="L5657" i="1" s="1"/>
  <c r="J15482" i="1"/>
  <c r="L15482" i="1" s="1"/>
  <c r="J15506" i="1"/>
  <c r="L15506" i="1" s="1"/>
  <c r="J5676" i="1"/>
  <c r="L5676" i="1" s="1"/>
  <c r="J5704" i="1"/>
  <c r="L5704" i="1" s="1"/>
  <c r="J5705" i="1"/>
  <c r="L5705" i="1" s="1"/>
  <c r="J15578" i="1"/>
  <c r="L15578" i="1" s="1"/>
  <c r="J15579" i="1"/>
  <c r="L15579" i="1" s="1"/>
  <c r="J15608" i="1"/>
  <c r="L15608" i="1" s="1"/>
  <c r="J5747" i="1"/>
  <c r="L5747" i="1" s="1"/>
  <c r="J5766" i="1"/>
  <c r="L5766" i="1" s="1"/>
  <c r="J5782" i="1"/>
  <c r="L5782" i="1" s="1"/>
  <c r="J15677" i="1"/>
  <c r="L15677" i="1" s="1"/>
  <c r="J5799" i="1"/>
  <c r="L5799" i="1" s="1"/>
  <c r="J15718" i="1"/>
  <c r="L15718" i="1" s="1"/>
  <c r="J15786" i="1"/>
  <c r="L15786" i="1" s="1"/>
  <c r="J15787" i="1"/>
  <c r="L15787" i="1" s="1"/>
  <c r="J15812" i="1"/>
  <c r="L15812" i="1" s="1"/>
  <c r="J5934" i="1"/>
  <c r="L5934" i="1" s="1"/>
  <c r="J5943" i="1"/>
  <c r="L5943" i="1" s="1"/>
  <c r="J6108" i="1"/>
  <c r="L6108" i="1" s="1"/>
  <c r="J16009" i="1"/>
  <c r="L16009" i="1" s="1"/>
  <c r="J16047" i="1"/>
  <c r="L16047" i="1" s="1"/>
  <c r="J16071" i="1"/>
  <c r="L16071" i="1" s="1"/>
  <c r="J16082" i="1"/>
  <c r="L16082" i="1" s="1"/>
  <c r="J16089" i="1"/>
  <c r="L16089" i="1" s="1"/>
  <c r="J6170" i="1"/>
  <c r="L6170" i="1" s="1"/>
  <c r="J6171" i="1"/>
  <c r="L6171" i="1" s="1"/>
  <c r="J6202" i="1"/>
  <c r="L6202" i="1" s="1"/>
  <c r="J6207" i="1"/>
  <c r="L6207" i="1" s="1"/>
  <c r="J6208" i="1"/>
  <c r="L6208" i="1" s="1"/>
  <c r="J6210" i="1"/>
  <c r="L6210" i="1" s="1"/>
  <c r="J6229" i="1"/>
  <c r="L6229" i="1" s="1"/>
  <c r="J6245" i="1"/>
  <c r="L6245" i="1" s="1"/>
  <c r="J6293" i="1"/>
  <c r="L6293" i="1" s="1"/>
  <c r="J16155" i="1"/>
  <c r="L16155" i="1" s="1"/>
  <c r="J16156" i="1"/>
  <c r="L16156" i="1" s="1"/>
  <c r="J16157" i="1"/>
  <c r="L16157" i="1" s="1"/>
  <c r="J6328" i="1"/>
  <c r="L6328" i="1" s="1"/>
  <c r="J6329" i="1"/>
  <c r="L6329" i="1" s="1"/>
  <c r="J16166" i="1"/>
  <c r="L16166" i="1" s="1"/>
  <c r="J16167" i="1"/>
  <c r="L16167" i="1" s="1"/>
  <c r="J6378" i="1"/>
  <c r="L6378" i="1" s="1"/>
  <c r="J6477" i="1"/>
  <c r="L6477" i="1" s="1"/>
  <c r="J16429" i="1"/>
  <c r="L16429" i="1" s="1"/>
  <c r="J6546" i="1"/>
  <c r="L6546" i="1" s="1"/>
  <c r="J16582" i="1"/>
  <c r="L16582" i="1" s="1"/>
  <c r="J16583" i="1"/>
  <c r="L16583" i="1" s="1"/>
  <c r="J16584" i="1"/>
  <c r="L16584" i="1" s="1"/>
  <c r="J16585" i="1"/>
  <c r="L16585" i="1" s="1"/>
  <c r="J16586" i="1"/>
  <c r="L16586" i="1" s="1"/>
  <c r="J6611" i="1"/>
  <c r="L6611" i="1" s="1"/>
  <c r="J6612" i="1"/>
  <c r="L6612" i="1" s="1"/>
  <c r="J16615" i="1"/>
  <c r="L16615" i="1" s="1"/>
  <c r="J6622" i="1"/>
  <c r="L6622" i="1" s="1"/>
  <c r="J16661" i="1"/>
  <c r="L16661" i="1" s="1"/>
  <c r="J16676" i="1"/>
  <c r="L16676" i="1" s="1"/>
  <c r="J16715" i="1"/>
  <c r="L16715" i="1" s="1"/>
  <c r="J16725" i="1"/>
  <c r="L16725" i="1" s="1"/>
  <c r="J6723" i="1"/>
  <c r="L6723" i="1" s="1"/>
  <c r="J6732" i="1"/>
  <c r="L6732" i="1" s="1"/>
  <c r="J6738" i="1"/>
  <c r="L6738" i="1" s="1"/>
  <c r="J16866" i="1"/>
  <c r="L16866" i="1" s="1"/>
  <c r="J6776" i="1"/>
  <c r="L6776" i="1" s="1"/>
  <c r="J17083" i="1"/>
  <c r="L17083" i="1" s="1"/>
  <c r="J17088" i="1"/>
  <c r="L17088" i="1" s="1"/>
  <c r="J6840" i="1"/>
  <c r="L6840" i="1" s="1"/>
  <c r="J6866" i="1"/>
  <c r="L6866" i="1" s="1"/>
  <c r="J6887" i="1"/>
  <c r="L6887" i="1" s="1"/>
  <c r="J6888" i="1"/>
  <c r="L6888" i="1" s="1"/>
  <c r="J6889" i="1"/>
  <c r="L6889" i="1" s="1"/>
  <c r="J6904" i="1"/>
  <c r="L6904" i="1" s="1"/>
  <c r="J6905" i="1"/>
  <c r="L6905" i="1" s="1"/>
  <c r="J6906" i="1"/>
  <c r="L6906" i="1" s="1"/>
  <c r="J6907" i="1"/>
  <c r="L6907" i="1" s="1"/>
  <c r="J6923" i="1"/>
  <c r="L6923" i="1" s="1"/>
  <c r="J17109" i="1"/>
  <c r="L17109" i="1" s="1"/>
  <c r="J7069" i="1"/>
  <c r="L7069" i="1" s="1"/>
  <c r="J7095" i="1"/>
  <c r="L7095" i="1" s="1"/>
  <c r="J7097" i="1"/>
  <c r="L7097" i="1" s="1"/>
  <c r="J7101" i="1"/>
  <c r="L7101" i="1" s="1"/>
  <c r="J7104" i="1"/>
  <c r="L7104" i="1" s="1"/>
  <c r="J7136" i="1"/>
  <c r="L7136" i="1" s="1"/>
  <c r="J7141" i="1"/>
  <c r="L7141" i="1" s="1"/>
  <c r="J7150" i="1"/>
  <c r="L7150" i="1" s="1"/>
  <c r="J7152" i="1"/>
  <c r="L7152" i="1" s="1"/>
  <c r="J7153" i="1"/>
  <c r="L7153" i="1" s="1"/>
  <c r="J7154" i="1"/>
  <c r="L7154" i="1" s="1"/>
  <c r="J7224" i="1"/>
  <c r="L7224" i="1" s="1"/>
  <c r="J7244" i="1"/>
  <c r="L7244" i="1" s="1"/>
  <c r="J7271" i="1"/>
  <c r="L7271" i="1" s="1"/>
  <c r="J19" i="1"/>
  <c r="L19" i="1" s="1"/>
  <c r="J7288" i="1"/>
  <c r="L7288" i="1" s="1"/>
  <c r="J25" i="1"/>
  <c r="L25" i="1" s="1"/>
  <c r="J26" i="1"/>
  <c r="L26" i="1" s="1"/>
  <c r="J31" i="1"/>
  <c r="L31" i="1" s="1"/>
  <c r="J52" i="1"/>
  <c r="L52" i="1" s="1"/>
  <c r="J7403" i="1"/>
  <c r="L7403" i="1" s="1"/>
  <c r="J77" i="1"/>
  <c r="L77" i="1" s="1"/>
  <c r="J80" i="1"/>
  <c r="L80" i="1" s="1"/>
  <c r="J103" i="1"/>
  <c r="L103" i="1" s="1"/>
  <c r="J7670" i="1"/>
  <c r="L7670" i="1" s="1"/>
  <c r="J7701" i="1"/>
  <c r="L7701" i="1" s="1"/>
  <c r="J7702" i="1"/>
  <c r="L7702" i="1" s="1"/>
  <c r="J7704" i="1"/>
  <c r="L7704" i="1" s="1"/>
  <c r="J7720" i="1"/>
  <c r="L7720" i="1" s="1"/>
  <c r="J7721" i="1"/>
  <c r="L7721" i="1" s="1"/>
  <c r="J7741" i="1"/>
  <c r="L7741" i="1" s="1"/>
  <c r="J182" i="1"/>
  <c r="L182" i="1" s="1"/>
  <c r="J7813" i="1"/>
  <c r="L7813" i="1" s="1"/>
  <c r="J7831" i="1"/>
  <c r="L7831" i="1" s="1"/>
  <c r="J223" i="1"/>
  <c r="L223" i="1" s="1"/>
  <c r="J240" i="1"/>
  <c r="L240" i="1" s="1"/>
  <c r="J8024" i="1"/>
  <c r="L8024" i="1" s="1"/>
  <c r="J261" i="1"/>
  <c r="L261" i="1" s="1"/>
  <c r="J8162" i="1"/>
  <c r="L8162" i="1" s="1"/>
  <c r="J8163" i="1"/>
  <c r="L8163" i="1" s="1"/>
  <c r="J8166" i="1"/>
  <c r="L8166" i="1" s="1"/>
  <c r="J401" i="1"/>
  <c r="L401" i="1" s="1"/>
  <c r="J470" i="1"/>
  <c r="L470" i="1" s="1"/>
  <c r="J469" i="1"/>
  <c r="L469" i="1" s="1"/>
  <c r="J501" i="1"/>
  <c r="L501" i="1" s="1"/>
  <c r="J504" i="1"/>
  <c r="L504" i="1" s="1"/>
  <c r="J561" i="1"/>
  <c r="L561" i="1" s="1"/>
  <c r="J8411" i="1"/>
  <c r="L8411" i="1" s="1"/>
  <c r="J8419" i="1"/>
  <c r="L8419" i="1" s="1"/>
  <c r="J8420" i="1"/>
  <c r="L8420" i="1" s="1"/>
  <c r="J8430" i="1"/>
  <c r="L8430" i="1" s="1"/>
  <c r="J8442" i="1"/>
  <c r="L8442" i="1" s="1"/>
  <c r="J8450" i="1"/>
  <c r="L8450" i="1" s="1"/>
  <c r="J8504" i="1"/>
  <c r="L8504" i="1" s="1"/>
  <c r="J710" i="1"/>
  <c r="L710" i="1" s="1"/>
  <c r="J738" i="1"/>
  <c r="L738" i="1" s="1"/>
  <c r="J784" i="1"/>
  <c r="L784" i="1" s="1"/>
  <c r="J807" i="1"/>
  <c r="L807" i="1" s="1"/>
  <c r="J8804" i="1"/>
  <c r="L8804" i="1" s="1"/>
  <c r="J8805" i="1"/>
  <c r="L8805" i="1" s="1"/>
  <c r="J8812" i="1"/>
  <c r="L8812" i="1" s="1"/>
  <c r="J8821" i="1"/>
  <c r="L8821" i="1" s="1"/>
  <c r="J8822" i="1"/>
  <c r="L8822" i="1" s="1"/>
  <c r="J8823" i="1"/>
  <c r="L8823" i="1" s="1"/>
  <c r="J8824" i="1"/>
  <c r="L8824" i="1" s="1"/>
  <c r="J824" i="1"/>
  <c r="L824" i="1" s="1"/>
  <c r="J826" i="1"/>
  <c r="L826" i="1" s="1"/>
  <c r="J827" i="1"/>
  <c r="L827" i="1" s="1"/>
  <c r="J831" i="1"/>
  <c r="L831" i="1" s="1"/>
  <c r="J835" i="1"/>
  <c r="L835" i="1" s="1"/>
  <c r="J836" i="1"/>
  <c r="L836" i="1" s="1"/>
  <c r="J837" i="1"/>
  <c r="L837" i="1" s="1"/>
  <c r="J838" i="1"/>
  <c r="L838" i="1" s="1"/>
  <c r="J839" i="1"/>
  <c r="L839" i="1" s="1"/>
  <c r="J840" i="1"/>
  <c r="L840" i="1" s="1"/>
  <c r="J841" i="1"/>
  <c r="L841" i="1" s="1"/>
  <c r="J842" i="1"/>
  <c r="L842" i="1" s="1"/>
  <c r="J843" i="1"/>
  <c r="L843" i="1" s="1"/>
  <c r="J844" i="1"/>
  <c r="L844" i="1" s="1"/>
  <c r="J845" i="1"/>
  <c r="L845" i="1" s="1"/>
  <c r="J847" i="1"/>
  <c r="L847" i="1" s="1"/>
  <c r="J848" i="1"/>
  <c r="L848" i="1" s="1"/>
  <c r="J849" i="1"/>
  <c r="L849" i="1" s="1"/>
  <c r="J851" i="1"/>
  <c r="L851" i="1" s="1"/>
  <c r="J852" i="1"/>
  <c r="L852" i="1" s="1"/>
  <c r="J854" i="1"/>
  <c r="L854" i="1" s="1"/>
  <c r="J855" i="1"/>
  <c r="L855" i="1" s="1"/>
  <c r="J856" i="1"/>
  <c r="L856" i="1" s="1"/>
  <c r="J857" i="1"/>
  <c r="L857" i="1" s="1"/>
  <c r="J858" i="1"/>
  <c r="L858" i="1" s="1"/>
  <c r="J861" i="1"/>
  <c r="L861" i="1" s="1"/>
  <c r="J862" i="1"/>
  <c r="L862" i="1" s="1"/>
  <c r="J863" i="1"/>
  <c r="L863" i="1" s="1"/>
  <c r="J864" i="1"/>
  <c r="L864" i="1" s="1"/>
  <c r="J866" i="1"/>
  <c r="L866" i="1" s="1"/>
  <c r="J868" i="1"/>
  <c r="L868" i="1" s="1"/>
  <c r="J825" i="1"/>
  <c r="L825" i="1" s="1"/>
  <c r="J828" i="1"/>
  <c r="L828" i="1" s="1"/>
  <c r="J829" i="1"/>
  <c r="L829" i="1" s="1"/>
  <c r="J830" i="1"/>
  <c r="L830" i="1" s="1"/>
  <c r="J832" i="1"/>
  <c r="L832" i="1" s="1"/>
  <c r="J833" i="1"/>
  <c r="L833" i="1" s="1"/>
  <c r="J834" i="1"/>
  <c r="L834" i="1" s="1"/>
  <c r="J846" i="1"/>
  <c r="L846" i="1" s="1"/>
  <c r="J850" i="1"/>
  <c r="L850" i="1" s="1"/>
  <c r="J853" i="1"/>
  <c r="L853" i="1" s="1"/>
  <c r="J859" i="1"/>
  <c r="L859" i="1" s="1"/>
  <c r="J860" i="1"/>
  <c r="L860" i="1" s="1"/>
  <c r="J865" i="1"/>
  <c r="L865" i="1" s="1"/>
  <c r="J867" i="1"/>
  <c r="L867" i="1" s="1"/>
  <c r="J8857" i="1"/>
  <c r="L8857" i="1" s="1"/>
  <c r="J8867" i="1"/>
  <c r="L8867" i="1" s="1"/>
  <c r="J8868" i="1"/>
  <c r="L8868" i="1" s="1"/>
  <c r="J8869" i="1"/>
  <c r="L8869" i="1" s="1"/>
  <c r="J8872" i="1"/>
  <c r="L8872" i="1" s="1"/>
  <c r="J8890" i="1"/>
  <c r="L8890" i="1" s="1"/>
  <c r="J8911" i="1"/>
  <c r="L8911" i="1" s="1"/>
  <c r="J915" i="1"/>
  <c r="L915" i="1" s="1"/>
  <c r="J916" i="1"/>
  <c r="L916" i="1" s="1"/>
  <c r="J944" i="1"/>
  <c r="L944" i="1" s="1"/>
  <c r="J8990" i="1"/>
  <c r="L8990" i="1" s="1"/>
  <c r="J960" i="1"/>
  <c r="L960" i="1" s="1"/>
  <c r="J1016" i="1"/>
  <c r="L1016" i="1" s="1"/>
  <c r="J1019" i="1"/>
  <c r="L1019" i="1" s="1"/>
  <c r="J9020" i="1"/>
  <c r="L9020" i="1" s="1"/>
  <c r="J1027" i="1"/>
  <c r="L1027" i="1" s="1"/>
  <c r="J1043" i="1"/>
  <c r="L1043" i="1" s="1"/>
  <c r="J1044" i="1"/>
  <c r="L1044" i="1" s="1"/>
  <c r="J1076" i="1"/>
  <c r="L1076" i="1" s="1"/>
  <c r="J1087" i="1"/>
  <c r="L1087" i="1" s="1"/>
  <c r="J1104" i="1"/>
  <c r="L1104" i="1" s="1"/>
  <c r="J1126" i="1"/>
  <c r="L1126" i="1" s="1"/>
  <c r="J1127" i="1"/>
  <c r="L1127" i="1" s="1"/>
  <c r="J1148" i="1"/>
  <c r="L1148" i="1" s="1"/>
  <c r="J9165" i="1"/>
  <c r="L9165" i="1" s="1"/>
  <c r="J9169" i="1"/>
  <c r="L9169" i="1" s="1"/>
  <c r="J1185" i="1"/>
  <c r="L1185" i="1" s="1"/>
  <c r="J1205" i="1"/>
  <c r="L1205" i="1" s="1"/>
  <c r="J1206" i="1"/>
  <c r="L1206" i="1" s="1"/>
  <c r="J1215" i="1"/>
  <c r="L1215" i="1" s="1"/>
  <c r="J1284" i="1"/>
  <c r="L1284" i="1" s="1"/>
  <c r="J1285" i="1"/>
  <c r="L1285" i="1" s="1"/>
  <c r="J1326" i="1"/>
  <c r="L1326" i="1" s="1"/>
  <c r="J1359" i="1"/>
  <c r="L1359" i="1" s="1"/>
  <c r="J9406" i="1"/>
  <c r="L9406" i="1" s="1"/>
  <c r="J9414" i="1"/>
  <c r="L9414" i="1" s="1"/>
  <c r="J9427" i="1"/>
  <c r="L9427" i="1" s="1"/>
  <c r="J1446" i="1"/>
  <c r="L1446" i="1" s="1"/>
  <c r="J1468" i="1"/>
  <c r="L1468" i="1" s="1"/>
  <c r="J1469" i="1"/>
  <c r="L1469" i="1" s="1"/>
  <c r="J1470" i="1"/>
  <c r="L1470" i="1" s="1"/>
  <c r="J1471" i="1"/>
  <c r="L1471" i="1" s="1"/>
  <c r="J1488" i="1"/>
  <c r="L1488" i="1" s="1"/>
  <c r="J1492" i="1"/>
  <c r="L1492" i="1" s="1"/>
  <c r="J1503" i="1"/>
  <c r="L1503" i="1" s="1"/>
  <c r="J1588" i="1"/>
  <c r="L1588" i="1" s="1"/>
  <c r="J1603" i="1"/>
  <c r="L1603" i="1" s="1"/>
  <c r="J1613" i="1"/>
  <c r="L1613" i="1" s="1"/>
  <c r="J1657" i="1"/>
  <c r="L1657" i="1" s="1"/>
  <c r="J1697" i="1"/>
  <c r="L1697" i="1" s="1"/>
  <c r="J9740" i="1"/>
  <c r="L9740" i="1" s="1"/>
  <c r="J9744" i="1"/>
  <c r="L9744" i="1" s="1"/>
  <c r="J1833" i="1"/>
  <c r="L1833" i="1" s="1"/>
  <c r="J1834" i="1"/>
  <c r="L1834" i="1" s="1"/>
  <c r="J1855" i="1"/>
  <c r="L1855" i="1" s="1"/>
  <c r="J1856" i="1"/>
  <c r="L1856" i="1" s="1"/>
  <c r="J9756" i="1"/>
  <c r="L9756" i="1" s="1"/>
  <c r="J1887" i="1"/>
  <c r="L1887" i="1" s="1"/>
  <c r="J9772" i="1"/>
  <c r="L9772" i="1" s="1"/>
  <c r="J1897" i="1"/>
  <c r="L1897" i="1" s="1"/>
  <c r="J9859" i="1"/>
  <c r="L9859" i="1" s="1"/>
  <c r="J9876" i="1"/>
  <c r="L9876" i="1" s="1"/>
  <c r="J9883" i="1"/>
  <c r="L9883" i="1" s="1"/>
  <c r="J9884" i="1"/>
  <c r="L9884" i="1" s="1"/>
  <c r="J1909" i="1"/>
  <c r="L1909" i="1" s="1"/>
  <c r="J1910" i="1"/>
  <c r="L1910" i="1" s="1"/>
  <c r="J1911" i="1"/>
  <c r="L1911" i="1" s="1"/>
  <c r="J1912" i="1"/>
  <c r="L1912" i="1" s="1"/>
  <c r="J9988" i="1"/>
  <c r="L9988" i="1" s="1"/>
  <c r="J9990" i="1"/>
  <c r="L9990" i="1" s="1"/>
  <c r="J10006" i="1"/>
  <c r="L10006" i="1" s="1"/>
  <c r="J10060" i="1"/>
  <c r="L10060" i="1" s="1"/>
  <c r="J10061" i="1"/>
  <c r="L10061" i="1" s="1"/>
  <c r="J10066" i="1"/>
  <c r="L10066" i="1" s="1"/>
  <c r="J10067" i="1"/>
  <c r="L10067" i="1" s="1"/>
  <c r="J10072" i="1"/>
  <c r="L10072" i="1" s="1"/>
  <c r="J10078" i="1"/>
  <c r="L10078" i="1" s="1"/>
  <c r="J10086" i="1"/>
  <c r="L10086" i="1" s="1"/>
  <c r="J10092" i="1"/>
  <c r="L10092" i="1" s="1"/>
  <c r="J2040" i="1"/>
  <c r="L2040" i="1" s="1"/>
  <c r="J2051" i="1"/>
  <c r="L2051" i="1" s="1"/>
  <c r="J10281" i="1"/>
  <c r="L10281" i="1" s="1"/>
  <c r="J10304" i="1"/>
  <c r="L10304" i="1" s="1"/>
  <c r="J2144" i="1"/>
  <c r="L2144" i="1" s="1"/>
  <c r="J2164" i="1"/>
  <c r="L2164" i="1" s="1"/>
  <c r="J2165" i="1"/>
  <c r="L2165" i="1" s="1"/>
  <c r="J2175" i="1"/>
  <c r="L2175" i="1" s="1"/>
  <c r="J2176" i="1"/>
  <c r="L2176" i="1" s="1"/>
  <c r="J2177" i="1"/>
  <c r="L2177" i="1" s="1"/>
  <c r="J2178" i="1"/>
  <c r="L2178" i="1" s="1"/>
  <c r="J2189" i="1"/>
  <c r="L2189" i="1" s="1"/>
  <c r="J2190" i="1"/>
  <c r="L2190" i="1" s="1"/>
  <c r="J2191" i="1"/>
  <c r="L2191" i="1" s="1"/>
  <c r="J2192" i="1"/>
  <c r="L2192" i="1" s="1"/>
  <c r="J2198" i="1"/>
  <c r="L2198" i="1" s="1"/>
  <c r="J2199" i="1"/>
  <c r="L2199" i="1" s="1"/>
  <c r="J2200" i="1"/>
  <c r="L2200" i="1" s="1"/>
  <c r="J2218" i="1"/>
  <c r="L2218" i="1" s="1"/>
  <c r="J2219" i="1"/>
  <c r="L2219" i="1" s="1"/>
  <c r="J2224" i="1"/>
  <c r="L2224" i="1" s="1"/>
  <c r="J2225" i="1"/>
  <c r="L2225" i="1" s="1"/>
  <c r="J2229" i="1"/>
  <c r="L2229" i="1" s="1"/>
  <c r="J2278" i="1"/>
  <c r="L2278" i="1" s="1"/>
  <c r="J10417" i="1"/>
  <c r="L10417" i="1" s="1"/>
  <c r="J10418" i="1"/>
  <c r="L10418" i="1" s="1"/>
  <c r="J10420" i="1"/>
  <c r="L10420" i="1" s="1"/>
  <c r="J2330" i="1"/>
  <c r="L2330" i="1" s="1"/>
  <c r="J10425" i="1"/>
  <c r="L10425" i="1" s="1"/>
  <c r="J10426" i="1"/>
  <c r="L10426" i="1" s="1"/>
  <c r="J2338" i="1"/>
  <c r="L2338" i="1" s="1"/>
  <c r="J2361" i="1"/>
  <c r="L2361" i="1" s="1"/>
  <c r="J2362" i="1"/>
  <c r="L2362" i="1" s="1"/>
  <c r="J2376" i="1"/>
  <c r="L2376" i="1" s="1"/>
  <c r="J2387" i="1"/>
  <c r="L2387" i="1" s="1"/>
  <c r="J2391" i="1"/>
  <c r="L2391" i="1" s="1"/>
  <c r="J2392" i="1"/>
  <c r="L2392" i="1" s="1"/>
  <c r="J2412" i="1"/>
  <c r="L2412" i="1" s="1"/>
  <c r="J2413" i="1"/>
  <c r="L2413" i="1" s="1"/>
  <c r="J10482" i="1"/>
  <c r="L10482" i="1" s="1"/>
  <c r="J10484" i="1"/>
  <c r="L10484" i="1" s="1"/>
  <c r="J2464" i="1"/>
  <c r="L2464" i="1" s="1"/>
  <c r="J2493" i="1"/>
  <c r="L2493" i="1" s="1"/>
  <c r="J2494" i="1"/>
  <c r="L2494" i="1" s="1"/>
  <c r="J2505" i="1"/>
  <c r="L2505" i="1" s="1"/>
  <c r="J2515" i="1"/>
  <c r="L2515" i="1" s="1"/>
  <c r="J2546" i="1"/>
  <c r="L2546" i="1" s="1"/>
  <c r="J10509" i="1"/>
  <c r="L10509" i="1" s="1"/>
  <c r="J2577" i="1"/>
  <c r="L2577" i="1" s="1"/>
  <c r="J2592" i="1"/>
  <c r="L2592" i="1" s="1"/>
  <c r="J2615" i="1"/>
  <c r="L2615" i="1" s="1"/>
  <c r="J10664" i="1"/>
  <c r="L10664" i="1" s="1"/>
  <c r="J10669" i="1"/>
  <c r="L10669" i="1" s="1"/>
  <c r="J2681" i="1"/>
  <c r="L2681" i="1" s="1"/>
  <c r="J10880" i="1"/>
  <c r="L10880" i="1" s="1"/>
  <c r="J10883" i="1"/>
  <c r="L10883" i="1" s="1"/>
  <c r="J10949" i="1"/>
  <c r="L10949" i="1" s="1"/>
  <c r="J10950" i="1"/>
  <c r="L10950" i="1" s="1"/>
  <c r="J2709" i="1"/>
  <c r="L2709" i="1" s="1"/>
  <c r="J10965" i="1"/>
  <c r="L10965" i="1" s="1"/>
  <c r="J2717" i="1"/>
  <c r="L2717" i="1" s="1"/>
  <c r="J11016" i="1"/>
  <c r="L11016" i="1" s="1"/>
  <c r="J11017" i="1"/>
  <c r="L11017" i="1" s="1"/>
  <c r="J11018" i="1"/>
  <c r="L11018" i="1" s="1"/>
  <c r="J11030" i="1"/>
  <c r="L11030" i="1" s="1"/>
  <c r="J11031" i="1"/>
  <c r="L11031" i="1" s="1"/>
  <c r="J11044" i="1"/>
  <c r="L11044" i="1" s="1"/>
  <c r="J11064" i="1"/>
  <c r="L11064" i="1" s="1"/>
  <c r="J11250" i="1"/>
  <c r="L11250" i="1" s="1"/>
  <c r="J11255" i="1"/>
  <c r="L11255" i="1" s="1"/>
  <c r="J2802" i="1"/>
  <c r="L2802" i="1" s="1"/>
  <c r="J2834" i="1"/>
  <c r="L2834" i="1" s="1"/>
  <c r="J2852" i="1"/>
  <c r="L2852" i="1" s="1"/>
  <c r="J2874" i="1"/>
  <c r="L2874" i="1" s="1"/>
  <c r="J2882" i="1"/>
  <c r="L2882" i="1" s="1"/>
  <c r="J2886" i="1"/>
  <c r="L2886" i="1" s="1"/>
  <c r="J2978" i="1"/>
  <c r="L2978" i="1" s="1"/>
  <c r="J2979" i="1"/>
  <c r="L2979" i="1" s="1"/>
  <c r="J11637" i="1"/>
  <c r="L11637" i="1" s="1"/>
  <c r="J11672" i="1"/>
  <c r="L11672" i="1" s="1"/>
  <c r="J11673" i="1"/>
  <c r="L11673" i="1" s="1"/>
  <c r="J11674" i="1"/>
  <c r="L11674" i="1" s="1"/>
  <c r="J11675" i="1"/>
  <c r="L11675" i="1" s="1"/>
  <c r="J3129" i="1"/>
  <c r="L3129" i="1" s="1"/>
  <c r="J3163" i="1"/>
  <c r="L3163" i="1" s="1"/>
  <c r="J3173" i="1"/>
  <c r="L3173" i="1" s="1"/>
  <c r="J3178" i="1"/>
  <c r="L3178" i="1" s="1"/>
  <c r="J11805" i="1"/>
  <c r="L11805" i="1" s="1"/>
  <c r="J3199" i="1"/>
  <c r="L3199" i="1" s="1"/>
  <c r="J3216" i="1"/>
  <c r="L3216" i="1" s="1"/>
  <c r="J11858" i="1"/>
  <c r="L11858" i="1" s="1"/>
  <c r="J3241" i="1"/>
  <c r="L3241" i="1" s="1"/>
  <c r="J3285" i="1"/>
  <c r="L3285" i="1" s="1"/>
  <c r="J3286" i="1"/>
  <c r="L3286" i="1" s="1"/>
  <c r="J3293" i="1"/>
  <c r="L3293" i="1" s="1"/>
  <c r="J3294" i="1"/>
  <c r="L3294" i="1" s="1"/>
  <c r="J3295" i="1"/>
  <c r="L3295" i="1" s="1"/>
  <c r="J3296" i="1"/>
  <c r="L3296" i="1" s="1"/>
  <c r="J3297" i="1"/>
  <c r="L3297" i="1" s="1"/>
  <c r="J3298" i="1"/>
  <c r="L3298" i="1" s="1"/>
  <c r="J3299" i="1"/>
  <c r="L3299" i="1" s="1"/>
  <c r="J3300" i="1"/>
  <c r="L3300" i="1" s="1"/>
  <c r="J3301" i="1"/>
  <c r="L3301" i="1" s="1"/>
  <c r="J3302" i="1"/>
  <c r="L3302" i="1" s="1"/>
  <c r="J3303" i="1"/>
  <c r="L3303" i="1" s="1"/>
  <c r="J3305" i="1"/>
  <c r="L3305" i="1" s="1"/>
  <c r="J3306" i="1"/>
  <c r="L3306" i="1" s="1"/>
  <c r="J3307" i="1"/>
  <c r="L3307" i="1" s="1"/>
  <c r="J3308" i="1"/>
  <c r="L3308" i="1" s="1"/>
  <c r="J3309" i="1"/>
  <c r="L3309" i="1" s="1"/>
  <c r="J3310" i="1"/>
  <c r="L3310" i="1" s="1"/>
  <c r="J3311" i="1"/>
  <c r="L3311" i="1" s="1"/>
  <c r="J3312" i="1"/>
  <c r="L3312" i="1" s="1"/>
  <c r="J3314" i="1"/>
  <c r="L3314" i="1" s="1"/>
  <c r="J3315" i="1"/>
  <c r="L3315" i="1" s="1"/>
  <c r="J3317" i="1"/>
  <c r="L3317" i="1" s="1"/>
  <c r="J3318" i="1"/>
  <c r="L3318" i="1" s="1"/>
  <c r="J3319" i="1"/>
  <c r="L3319" i="1" s="1"/>
  <c r="J3320" i="1"/>
  <c r="L3320" i="1" s="1"/>
  <c r="J3321" i="1"/>
  <c r="L3321" i="1" s="1"/>
  <c r="J3287" i="1"/>
  <c r="L3287" i="1" s="1"/>
  <c r="J3288" i="1"/>
  <c r="L3288" i="1" s="1"/>
  <c r="J3289" i="1"/>
  <c r="L3289" i="1" s="1"/>
  <c r="J3290" i="1"/>
  <c r="L3290" i="1" s="1"/>
  <c r="J3291" i="1"/>
  <c r="L3291" i="1" s="1"/>
  <c r="J3292" i="1"/>
  <c r="L3292" i="1" s="1"/>
  <c r="J3304" i="1"/>
  <c r="L3304" i="1" s="1"/>
  <c r="J3313" i="1"/>
  <c r="L3313" i="1" s="1"/>
  <c r="J3316" i="1"/>
  <c r="L3316" i="1" s="1"/>
  <c r="J3322" i="1"/>
  <c r="L3322" i="1" s="1"/>
  <c r="J3323" i="1"/>
  <c r="L3323" i="1" s="1"/>
  <c r="J12078" i="1"/>
  <c r="L12078" i="1" s="1"/>
  <c r="J3381" i="1"/>
  <c r="L3381" i="1" s="1"/>
  <c r="J3418" i="1"/>
  <c r="L3418" i="1" s="1"/>
  <c r="J12181" i="1"/>
  <c r="L12181" i="1" s="1"/>
  <c r="J12197" i="1"/>
  <c r="L12197" i="1" s="1"/>
  <c r="J3480" i="1"/>
  <c r="L3480" i="1" s="1"/>
  <c r="J12232" i="1"/>
  <c r="L12232" i="1" s="1"/>
  <c r="J12236" i="1"/>
  <c r="L12236" i="1" s="1"/>
  <c r="J3484" i="1"/>
  <c r="L3484" i="1" s="1"/>
  <c r="J3485" i="1"/>
  <c r="L3485" i="1" s="1"/>
  <c r="J3486" i="1"/>
  <c r="L3486" i="1" s="1"/>
  <c r="J3510" i="1"/>
  <c r="L3510" i="1" s="1"/>
  <c r="J12289" i="1"/>
  <c r="L12289" i="1" s="1"/>
  <c r="J12306" i="1"/>
  <c r="L12306" i="1" s="1"/>
  <c r="J12312" i="1"/>
  <c r="L12312" i="1" s="1"/>
  <c r="J12313" i="1"/>
  <c r="L12313" i="1" s="1"/>
  <c r="J12320" i="1"/>
  <c r="L12320" i="1" s="1"/>
  <c r="J12327" i="1"/>
  <c r="L12327" i="1" s="1"/>
  <c r="J12333" i="1"/>
  <c r="L12333" i="1" s="1"/>
  <c r="J12334" i="1"/>
  <c r="L12334" i="1" s="1"/>
  <c r="J3514" i="1"/>
  <c r="L3514" i="1" s="1"/>
  <c r="J3533" i="1"/>
  <c r="L3533" i="1" s="1"/>
  <c r="J12366" i="1"/>
  <c r="L12366" i="1" s="1"/>
  <c r="J12375" i="1"/>
  <c r="L12375" i="1" s="1"/>
  <c r="J3552" i="1"/>
  <c r="L3552" i="1" s="1"/>
  <c r="J12405" i="1"/>
  <c r="L12405" i="1" s="1"/>
  <c r="J12413" i="1"/>
  <c r="L12413" i="1" s="1"/>
  <c r="J12423" i="1"/>
  <c r="L12423" i="1" s="1"/>
  <c r="J12424" i="1"/>
  <c r="L12424" i="1" s="1"/>
  <c r="J12425" i="1"/>
  <c r="L12425" i="1" s="1"/>
  <c r="J3564" i="1"/>
  <c r="L3564" i="1" s="1"/>
  <c r="J3593" i="1"/>
  <c r="L3593" i="1" s="1"/>
  <c r="J3609" i="1"/>
  <c r="L3609" i="1" s="1"/>
  <c r="J3677" i="1"/>
  <c r="L3677" i="1" s="1"/>
  <c r="J3712" i="1"/>
  <c r="L3712" i="1" s="1"/>
  <c r="J12636" i="1"/>
  <c r="L12636" i="1" s="1"/>
  <c r="J12645" i="1"/>
  <c r="L12645" i="1" s="1"/>
  <c r="J12664" i="1"/>
  <c r="L12664" i="1" s="1"/>
  <c r="J12676" i="1"/>
  <c r="L12676" i="1" s="1"/>
  <c r="J12700" i="1"/>
  <c r="L12700" i="1" s="1"/>
  <c r="J12742" i="1"/>
  <c r="L12742" i="1" s="1"/>
  <c r="J3813" i="1"/>
  <c r="L3813" i="1" s="1"/>
  <c r="J3836" i="1"/>
  <c r="L3836" i="1" s="1"/>
  <c r="J3840" i="1"/>
  <c r="L3840" i="1" s="1"/>
  <c r="J3841" i="1"/>
  <c r="L3841" i="1" s="1"/>
  <c r="J3842" i="1"/>
  <c r="L3842" i="1" s="1"/>
  <c r="J3843" i="1"/>
  <c r="L3843" i="1" s="1"/>
  <c r="J3987" i="1"/>
  <c r="L3987" i="1" s="1"/>
  <c r="J4024" i="1"/>
  <c r="L4024" i="1" s="1"/>
  <c r="J4036" i="1"/>
  <c r="L4036" i="1" s="1"/>
  <c r="J12915" i="1"/>
  <c r="L12915" i="1" s="1"/>
  <c r="J4063" i="1"/>
  <c r="L4063" i="1" s="1"/>
  <c r="J4146" i="1"/>
  <c r="L4146" i="1" s="1"/>
  <c r="J4147" i="1"/>
  <c r="L4147" i="1" s="1"/>
  <c r="J4148" i="1"/>
  <c r="L4148" i="1" s="1"/>
  <c r="J4149" i="1"/>
  <c r="L4149" i="1" s="1"/>
  <c r="J4150" i="1"/>
  <c r="L4150" i="1" s="1"/>
  <c r="J13077" i="1"/>
  <c r="L13077" i="1" s="1"/>
  <c r="J13078" i="1"/>
  <c r="L13078" i="1" s="1"/>
  <c r="J13082" i="1"/>
  <c r="L13082" i="1" s="1"/>
  <c r="J13094" i="1"/>
  <c r="L13094" i="1" s="1"/>
  <c r="J13182" i="1"/>
  <c r="L13182" i="1" s="1"/>
  <c r="J13186" i="1"/>
  <c r="L13186" i="1" s="1"/>
  <c r="J13201" i="1"/>
  <c r="L13201" i="1" s="1"/>
  <c r="J13208" i="1"/>
  <c r="L13208" i="1" s="1"/>
  <c r="J13209" i="1"/>
  <c r="L13209" i="1" s="1"/>
  <c r="J13210" i="1"/>
  <c r="L13210" i="1" s="1"/>
  <c r="J13211" i="1"/>
  <c r="L13211" i="1" s="1"/>
  <c r="J13212" i="1"/>
  <c r="L13212" i="1" s="1"/>
  <c r="J13233" i="1"/>
  <c r="L13233" i="1" s="1"/>
  <c r="J4238" i="1"/>
  <c r="L4238" i="1" s="1"/>
  <c r="J13272" i="1"/>
  <c r="L13272" i="1" s="1"/>
  <c r="J13292" i="1"/>
  <c r="L13292" i="1" s="1"/>
  <c r="J13307" i="1"/>
  <c r="L13307" i="1" s="1"/>
  <c r="J13306" i="1"/>
  <c r="L13306" i="1" s="1"/>
  <c r="J4267" i="1"/>
  <c r="L4267" i="1" s="1"/>
  <c r="J4272" i="1"/>
  <c r="L4272" i="1" s="1"/>
  <c r="J4273" i="1"/>
  <c r="L4273" i="1" s="1"/>
  <c r="J13351" i="1"/>
  <c r="L13351" i="1" s="1"/>
  <c r="J4297" i="1"/>
  <c r="L4297" i="1" s="1"/>
  <c r="J13382" i="1"/>
  <c r="L13382" i="1" s="1"/>
  <c r="J4321" i="1"/>
  <c r="L4321" i="1" s="1"/>
  <c r="J4323" i="1"/>
  <c r="L4323" i="1" s="1"/>
  <c r="J4328" i="1"/>
  <c r="L4328" i="1" s="1"/>
  <c r="J4332" i="1"/>
  <c r="L4332" i="1" s="1"/>
  <c r="J4334" i="1"/>
  <c r="L4334" i="1" s="1"/>
  <c r="J4338" i="1"/>
  <c r="L4338" i="1" s="1"/>
  <c r="J13472" i="1"/>
  <c r="L13472" i="1" s="1"/>
  <c r="J13517" i="1"/>
  <c r="L13517" i="1" s="1"/>
  <c r="J4366" i="1"/>
  <c r="L4366" i="1" s="1"/>
  <c r="J4374" i="1"/>
  <c r="L4374" i="1" s="1"/>
  <c r="J13608" i="1"/>
  <c r="L13608" i="1" s="1"/>
  <c r="J4401" i="1"/>
  <c r="L4401" i="1" s="1"/>
  <c r="J13764" i="1"/>
  <c r="L13764" i="1" s="1"/>
  <c r="J13765" i="1"/>
  <c r="L13765" i="1" s="1"/>
  <c r="J4439" i="1"/>
  <c r="L4439" i="1" s="1"/>
  <c r="J4440" i="1"/>
  <c r="L4440" i="1" s="1"/>
  <c r="J4441" i="1"/>
  <c r="L4441" i="1" s="1"/>
  <c r="J4442" i="1"/>
  <c r="L4442" i="1" s="1"/>
  <c r="J4458" i="1"/>
  <c r="L4458" i="1" s="1"/>
  <c r="J4459" i="1"/>
  <c r="L4459" i="1" s="1"/>
  <c r="J4460" i="1"/>
  <c r="L4460" i="1" s="1"/>
  <c r="J4465" i="1"/>
  <c r="L4465" i="1" s="1"/>
  <c r="J4482" i="1"/>
  <c r="L4482" i="1" s="1"/>
  <c r="J4483" i="1"/>
  <c r="L4483" i="1" s="1"/>
  <c r="J4484" i="1"/>
  <c r="L4484" i="1" s="1"/>
  <c r="J4485" i="1"/>
  <c r="L4485" i="1" s="1"/>
  <c r="J4486" i="1"/>
  <c r="L4486" i="1" s="1"/>
  <c r="J4494" i="1"/>
  <c r="L4494" i="1" s="1"/>
  <c r="J4495" i="1"/>
  <c r="L4495" i="1" s="1"/>
  <c r="J4496" i="1"/>
  <c r="L4496" i="1" s="1"/>
  <c r="J4506" i="1"/>
  <c r="L4506" i="1" s="1"/>
  <c r="J13803" i="1"/>
  <c r="L13803" i="1" s="1"/>
  <c r="J4564" i="1"/>
  <c r="L4564" i="1" s="1"/>
  <c r="J4607" i="1"/>
  <c r="L4607" i="1" s="1"/>
  <c r="J4646" i="1"/>
  <c r="L4646" i="1" s="1"/>
  <c r="J4653" i="1"/>
  <c r="L4653" i="1" s="1"/>
  <c r="J4658" i="1"/>
  <c r="L4658" i="1" s="1"/>
  <c r="J4661" i="1"/>
  <c r="L4661" i="1" s="1"/>
  <c r="J4667" i="1"/>
  <c r="L4667" i="1" s="1"/>
  <c r="J4689" i="1"/>
  <c r="L4689" i="1" s="1"/>
  <c r="J4690" i="1"/>
  <c r="L4690" i="1" s="1"/>
  <c r="J4700" i="1"/>
  <c r="L4700" i="1" s="1"/>
  <c r="J4701" i="1"/>
  <c r="L4701" i="1" s="1"/>
  <c r="J4711" i="1"/>
  <c r="L4711" i="1" s="1"/>
  <c r="J4723" i="1"/>
  <c r="L4723" i="1" s="1"/>
  <c r="J4724" i="1"/>
  <c r="L4724" i="1" s="1"/>
  <c r="J13972" i="1"/>
  <c r="L13972" i="1" s="1"/>
  <c r="J14046" i="1"/>
  <c r="L14046" i="1" s="1"/>
  <c r="J14080" i="1"/>
  <c r="L14080" i="1" s="1"/>
  <c r="J14081" i="1"/>
  <c r="L14081" i="1" s="1"/>
  <c r="J14082" i="1"/>
  <c r="L14082" i="1" s="1"/>
  <c r="J14083" i="1"/>
  <c r="L14083" i="1" s="1"/>
  <c r="J14087" i="1"/>
  <c r="L14087" i="1" s="1"/>
  <c r="J14088" i="1"/>
  <c r="L14088" i="1" s="1"/>
  <c r="J4854" i="1"/>
  <c r="L4854" i="1" s="1"/>
  <c r="J4860" i="1"/>
  <c r="L4860" i="1" s="1"/>
  <c r="J4861" i="1"/>
  <c r="L4861" i="1" s="1"/>
  <c r="J4874" i="1"/>
  <c r="L4874" i="1" s="1"/>
  <c r="J14309" i="1"/>
  <c r="L14309" i="1" s="1"/>
  <c r="J4901" i="1"/>
  <c r="L4901" i="1" s="1"/>
  <c r="J14425" i="1"/>
  <c r="L14425" i="1" s="1"/>
  <c r="J14426" i="1"/>
  <c r="L14426" i="1" s="1"/>
  <c r="J14427" i="1"/>
  <c r="L14427" i="1" s="1"/>
  <c r="J14428" i="1"/>
  <c r="L14428" i="1" s="1"/>
  <c r="J14429" i="1"/>
  <c r="L14429" i="1" s="1"/>
  <c r="J14430" i="1"/>
  <c r="L14430" i="1" s="1"/>
  <c r="J14431" i="1"/>
  <c r="L14431" i="1" s="1"/>
  <c r="J14445" i="1"/>
  <c r="L14445" i="1" s="1"/>
  <c r="J14461" i="1"/>
  <c r="L14461" i="1" s="1"/>
  <c r="J14474" i="1"/>
  <c r="L14474" i="1" s="1"/>
  <c r="J14475" i="1"/>
  <c r="L14475" i="1" s="1"/>
  <c r="J14476" i="1"/>
  <c r="L14476" i="1" s="1"/>
  <c r="J14684" i="1"/>
  <c r="L14684" i="1" s="1"/>
  <c r="J14701" i="1"/>
  <c r="L14701" i="1" s="1"/>
  <c r="J14769" i="1"/>
  <c r="L14769" i="1" s="1"/>
  <c r="J14770" i="1"/>
  <c r="L14770" i="1" s="1"/>
  <c r="J14771" i="1"/>
  <c r="L14771" i="1" s="1"/>
  <c r="J14780" i="1"/>
  <c r="L14780" i="1" s="1"/>
  <c r="J14822" i="1"/>
  <c r="L14822" i="1" s="1"/>
  <c r="J14830" i="1"/>
  <c r="L14830" i="1" s="1"/>
  <c r="J5039" i="1"/>
  <c r="L5039" i="1" s="1"/>
  <c r="J5047" i="1"/>
  <c r="L5047" i="1" s="1"/>
  <c r="J5095" i="1"/>
  <c r="L5095" i="1" s="1"/>
  <c r="J5105" i="1"/>
  <c r="L5105" i="1" s="1"/>
  <c r="J5195" i="1"/>
  <c r="L5195" i="1" s="1"/>
  <c r="J5265" i="1"/>
  <c r="L5265" i="1" s="1"/>
  <c r="J5303" i="1"/>
  <c r="L5303" i="1" s="1"/>
  <c r="J5337" i="1"/>
  <c r="L5337" i="1" s="1"/>
  <c r="J5339" i="1"/>
  <c r="L5339" i="1" s="1"/>
  <c r="J5340" i="1"/>
  <c r="L5340" i="1" s="1"/>
  <c r="J5348" i="1"/>
  <c r="L5348" i="1" s="1"/>
  <c r="J15087" i="1"/>
  <c r="L15087" i="1" s="1"/>
  <c r="J5357" i="1"/>
  <c r="L5357" i="1" s="1"/>
  <c r="J5395" i="1"/>
  <c r="L5395" i="1" s="1"/>
  <c r="J15157" i="1"/>
  <c r="L15157" i="1" s="1"/>
  <c r="J15166" i="1"/>
  <c r="L15166" i="1" s="1"/>
  <c r="J15280" i="1"/>
  <c r="L15280" i="1" s="1"/>
  <c r="J15281" i="1"/>
  <c r="L15281" i="1" s="1"/>
  <c r="J5507" i="1"/>
  <c r="L5507" i="1" s="1"/>
  <c r="J5520" i="1"/>
  <c r="L5520" i="1" s="1"/>
  <c r="J15301" i="1"/>
  <c r="L15301" i="1" s="1"/>
  <c r="J15451" i="1"/>
  <c r="L15451" i="1" s="1"/>
  <c r="J15452" i="1"/>
  <c r="L15452" i="1" s="1"/>
  <c r="J15453" i="1"/>
  <c r="L15453" i="1" s="1"/>
  <c r="J5581" i="1"/>
  <c r="L5581" i="1" s="1"/>
  <c r="J5582" i="1"/>
  <c r="L5582" i="1" s="1"/>
  <c r="J5583" i="1"/>
  <c r="L5583" i="1" s="1"/>
  <c r="J5584" i="1"/>
  <c r="L5584" i="1" s="1"/>
  <c r="J5585" i="1"/>
  <c r="L5585" i="1" s="1"/>
  <c r="J5587" i="1"/>
  <c r="L5587" i="1" s="1"/>
  <c r="J5588" i="1"/>
  <c r="L5588" i="1" s="1"/>
  <c r="J5590" i="1"/>
  <c r="L5590" i="1" s="1"/>
  <c r="J5591" i="1"/>
  <c r="L5591" i="1" s="1"/>
  <c r="J5592" i="1"/>
  <c r="L5592" i="1" s="1"/>
  <c r="J5593" i="1"/>
  <c r="L5593" i="1" s="1"/>
  <c r="J5596" i="1"/>
  <c r="L5596" i="1" s="1"/>
  <c r="J5597" i="1"/>
  <c r="L5597" i="1" s="1"/>
  <c r="J5598" i="1"/>
  <c r="L5598" i="1" s="1"/>
  <c r="J5599" i="1"/>
  <c r="L5599" i="1" s="1"/>
  <c r="J5600" i="1"/>
  <c r="L5600" i="1" s="1"/>
  <c r="J5601" i="1"/>
  <c r="L5601" i="1" s="1"/>
  <c r="J5602" i="1"/>
  <c r="L5602" i="1" s="1"/>
  <c r="J5603" i="1"/>
  <c r="L5603" i="1" s="1"/>
  <c r="J5604" i="1"/>
  <c r="L5604" i="1" s="1"/>
  <c r="J5605" i="1"/>
  <c r="L5605" i="1" s="1"/>
  <c r="J5606" i="1"/>
  <c r="L5606" i="1" s="1"/>
  <c r="J5608" i="1"/>
  <c r="L5608" i="1" s="1"/>
  <c r="J5609" i="1"/>
  <c r="L5609" i="1" s="1"/>
  <c r="J5611" i="1"/>
  <c r="L5611" i="1" s="1"/>
  <c r="J5612" i="1"/>
  <c r="L5612" i="1" s="1"/>
  <c r="J5614" i="1"/>
  <c r="L5614" i="1" s="1"/>
  <c r="J5617" i="1"/>
  <c r="L5617" i="1" s="1"/>
  <c r="J5618" i="1"/>
  <c r="L5618" i="1" s="1"/>
  <c r="J5620" i="1"/>
  <c r="L5620" i="1" s="1"/>
  <c r="J5621" i="1"/>
  <c r="L5621" i="1" s="1"/>
  <c r="J5622" i="1"/>
  <c r="L5622" i="1" s="1"/>
  <c r="J5623" i="1"/>
  <c r="L5623" i="1" s="1"/>
  <c r="J5624" i="1"/>
  <c r="L5624" i="1" s="1"/>
  <c r="J5627" i="1"/>
  <c r="L5627" i="1" s="1"/>
  <c r="J5628" i="1"/>
  <c r="L5628" i="1" s="1"/>
  <c r="J5629" i="1"/>
  <c r="L5629" i="1" s="1"/>
  <c r="J5630" i="1"/>
  <c r="L5630" i="1" s="1"/>
  <c r="J5631" i="1"/>
  <c r="L5631" i="1" s="1"/>
  <c r="J5632" i="1"/>
  <c r="L5632" i="1" s="1"/>
  <c r="J5633" i="1"/>
  <c r="L5633" i="1" s="1"/>
  <c r="J5634" i="1"/>
  <c r="L5634" i="1" s="1"/>
  <c r="J5636" i="1"/>
  <c r="L5636" i="1" s="1"/>
  <c r="J5637" i="1"/>
  <c r="L5637" i="1" s="1"/>
  <c r="J5586" i="1"/>
  <c r="L5586" i="1" s="1"/>
  <c r="J5589" i="1"/>
  <c r="L5589" i="1" s="1"/>
  <c r="J5594" i="1"/>
  <c r="L5594" i="1" s="1"/>
  <c r="J5595" i="1"/>
  <c r="L5595" i="1" s="1"/>
  <c r="J5607" i="1"/>
  <c r="L5607" i="1" s="1"/>
  <c r="J5610" i="1"/>
  <c r="L5610" i="1" s="1"/>
  <c r="J5613" i="1"/>
  <c r="L5613" i="1" s="1"/>
  <c r="J5615" i="1"/>
  <c r="L5615" i="1" s="1"/>
  <c r="J5616" i="1"/>
  <c r="L5616" i="1" s="1"/>
  <c r="J5619" i="1"/>
  <c r="L5619" i="1" s="1"/>
  <c r="J5625" i="1"/>
  <c r="L5625" i="1" s="1"/>
  <c r="J5626" i="1"/>
  <c r="L5626" i="1" s="1"/>
  <c r="J5635" i="1"/>
  <c r="L5635" i="1" s="1"/>
  <c r="J15480" i="1"/>
  <c r="L15480" i="1" s="1"/>
  <c r="J15481" i="1"/>
  <c r="L15481" i="1" s="1"/>
  <c r="J15498" i="1"/>
  <c r="L15498" i="1" s="1"/>
  <c r="J15505" i="1"/>
  <c r="L15505" i="1" s="1"/>
  <c r="J5672" i="1"/>
  <c r="L5672" i="1" s="1"/>
  <c r="J5678" i="1"/>
  <c r="L5678" i="1" s="1"/>
  <c r="J5679" i="1"/>
  <c r="L5679" i="1" s="1"/>
  <c r="J15540" i="1"/>
  <c r="L15540" i="1" s="1"/>
  <c r="J5689" i="1"/>
  <c r="L5689" i="1" s="1"/>
  <c r="J15576" i="1"/>
  <c r="L15576" i="1" s="1"/>
  <c r="J15577" i="1"/>
  <c r="L15577" i="1" s="1"/>
  <c r="J15593" i="1"/>
  <c r="L15593" i="1" s="1"/>
  <c r="J15636" i="1"/>
  <c r="L15636" i="1" s="1"/>
  <c r="J5781" i="1"/>
  <c r="L5781" i="1" s="1"/>
  <c r="J15709" i="1"/>
  <c r="L15709" i="1" s="1"/>
  <c r="J15711" i="1"/>
  <c r="L15711" i="1" s="1"/>
  <c r="J15728" i="1"/>
  <c r="L15728" i="1" s="1"/>
  <c r="J15730" i="1"/>
  <c r="L15730" i="1" s="1"/>
  <c r="J5828" i="1"/>
  <c r="L5828" i="1" s="1"/>
  <c r="J5841" i="1"/>
  <c r="L5841" i="1" s="1"/>
  <c r="J15801" i="1"/>
  <c r="L15801" i="1" s="1"/>
  <c r="J5878" i="1"/>
  <c r="L5878" i="1" s="1"/>
  <c r="J5895" i="1"/>
  <c r="L5895" i="1" s="1"/>
  <c r="J5897" i="1"/>
  <c r="L5897" i="1" s="1"/>
  <c r="J5920" i="1"/>
  <c r="L5920" i="1" s="1"/>
  <c r="J5946" i="1"/>
  <c r="L5946" i="1" s="1"/>
  <c r="J6019" i="1"/>
  <c r="L6019" i="1" s="1"/>
  <c r="J6061" i="1"/>
  <c r="L6061" i="1" s="1"/>
  <c r="J6098" i="1"/>
  <c r="L6098" i="1" s="1"/>
  <c r="C12" i="4" s="1"/>
  <c r="J16005" i="1"/>
  <c r="L16005" i="1" s="1"/>
  <c r="J16010" i="1"/>
  <c r="L16010" i="1" s="1"/>
  <c r="J16012" i="1"/>
  <c r="L16012" i="1" s="1"/>
  <c r="J16066" i="1"/>
  <c r="L16066" i="1" s="1"/>
  <c r="J16078" i="1"/>
  <c r="L16078" i="1" s="1"/>
  <c r="J6168" i="1"/>
  <c r="L6168" i="1" s="1"/>
  <c r="J6169" i="1"/>
  <c r="L6169" i="1" s="1"/>
  <c r="J6174" i="1"/>
  <c r="L6174" i="1" s="1"/>
  <c r="J6206" i="1"/>
  <c r="L6206" i="1" s="1"/>
  <c r="J6225" i="1"/>
  <c r="L6225" i="1" s="1"/>
  <c r="J6227" i="1"/>
  <c r="L6227" i="1" s="1"/>
  <c r="J6228" i="1"/>
  <c r="L6228" i="1" s="1"/>
  <c r="J6241" i="1"/>
  <c r="L6241" i="1" s="1"/>
  <c r="J6246" i="1"/>
  <c r="L6246" i="1" s="1"/>
  <c r="J16152" i="1"/>
  <c r="L16152" i="1" s="1"/>
  <c r="J16153" i="1"/>
  <c r="L16153" i="1" s="1"/>
  <c r="J16154" i="1"/>
  <c r="L16154" i="1" s="1"/>
  <c r="J6327" i="1"/>
  <c r="L6327" i="1" s="1"/>
  <c r="J6337" i="1"/>
  <c r="L6337" i="1" s="1"/>
  <c r="J16164" i="1"/>
  <c r="L16164" i="1" s="1"/>
  <c r="J16165" i="1"/>
  <c r="L16165" i="1" s="1"/>
  <c r="J6369" i="1"/>
  <c r="L6369" i="1" s="1"/>
  <c r="J6411" i="1"/>
  <c r="L6411" i="1" s="1"/>
  <c r="J16319" i="1"/>
  <c r="L16319" i="1" s="1"/>
  <c r="J6433" i="1"/>
  <c r="L6433" i="1" s="1"/>
  <c r="J6450" i="1"/>
  <c r="L6450" i="1" s="1"/>
  <c r="J6471" i="1"/>
  <c r="L6471" i="1" s="1"/>
  <c r="J16427" i="1"/>
  <c r="L16427" i="1" s="1"/>
  <c r="J16433" i="1"/>
  <c r="L16433" i="1" s="1"/>
  <c r="J6544" i="1"/>
  <c r="L6544" i="1" s="1"/>
  <c r="J6545" i="1"/>
  <c r="L6545" i="1" s="1"/>
  <c r="J16554" i="1"/>
  <c r="L16554" i="1" s="1"/>
  <c r="J16573" i="1"/>
  <c r="L16573" i="1" s="1"/>
  <c r="J16574" i="1"/>
  <c r="L16574" i="1" s="1"/>
  <c r="J16575" i="1"/>
  <c r="L16575" i="1" s="1"/>
  <c r="J16579" i="1"/>
  <c r="L16579" i="1" s="1"/>
  <c r="J16580" i="1"/>
  <c r="L16580" i="1" s="1"/>
  <c r="J16581" i="1"/>
  <c r="L16581" i="1" s="1"/>
  <c r="J6610" i="1"/>
  <c r="L6610" i="1" s="1"/>
  <c r="J6633" i="1"/>
  <c r="L6633" i="1" s="1"/>
  <c r="J16645" i="1"/>
  <c r="L16645" i="1" s="1"/>
  <c r="J16660" i="1"/>
  <c r="L16660" i="1" s="1"/>
  <c r="J6665" i="1"/>
  <c r="L6665" i="1" s="1"/>
  <c r="J6669" i="1"/>
  <c r="L6669" i="1" s="1"/>
  <c r="J16721" i="1"/>
  <c r="L16721" i="1" s="1"/>
  <c r="J16722" i="1"/>
  <c r="L16722" i="1" s="1"/>
  <c r="J16746" i="1"/>
  <c r="L16746" i="1" s="1"/>
  <c r="J16749" i="1"/>
  <c r="L16749" i="1" s="1"/>
  <c r="J6725" i="1"/>
  <c r="L6725" i="1" s="1"/>
  <c r="J6727" i="1"/>
  <c r="L6727" i="1" s="1"/>
  <c r="J6730" i="1"/>
  <c r="L6730" i="1" s="1"/>
  <c r="J6731" i="1"/>
  <c r="L6731" i="1" s="1"/>
  <c r="J16868" i="1"/>
  <c r="L16868" i="1" s="1"/>
  <c r="J16872" i="1"/>
  <c r="L16872" i="1" s="1"/>
  <c r="J6796" i="1"/>
  <c r="L6796" i="1" s="1"/>
  <c r="J6808" i="1"/>
  <c r="L6808" i="1" s="1"/>
  <c r="J16968" i="1"/>
  <c r="L16968" i="1" s="1"/>
  <c r="J6877" i="1"/>
  <c r="L6877" i="1" s="1"/>
  <c r="J6878" i="1"/>
  <c r="L6878" i="1" s="1"/>
  <c r="J6886" i="1"/>
  <c r="L6886" i="1" s="1"/>
  <c r="J6901" i="1"/>
  <c r="L6901" i="1" s="1"/>
  <c r="J6902" i="1"/>
  <c r="L6902" i="1" s="1"/>
  <c r="J6903" i="1"/>
  <c r="L6903" i="1" s="1"/>
  <c r="J6917" i="1"/>
  <c r="L6917" i="1" s="1"/>
  <c r="J6921" i="1"/>
  <c r="L6921" i="1" s="1"/>
  <c r="J6922" i="1"/>
  <c r="L6922" i="1" s="1"/>
  <c r="J6927" i="1"/>
  <c r="L6927" i="1" s="1"/>
  <c r="J6933" i="1"/>
  <c r="L6933" i="1" s="1"/>
  <c r="J17110" i="1"/>
  <c r="L17110" i="1" s="1"/>
  <c r="J6963" i="1"/>
  <c r="L6963" i="1" s="1"/>
  <c r="J17130" i="1"/>
  <c r="L17130" i="1" s="1"/>
  <c r="J17145" i="1"/>
  <c r="L17145" i="1" s="1"/>
  <c r="J17184" i="1"/>
  <c r="L17184" i="1" s="1"/>
  <c r="J7053" i="1"/>
  <c r="L7053" i="1" s="1"/>
  <c r="J7086" i="1"/>
  <c r="L7086" i="1" s="1"/>
  <c r="J7087" i="1"/>
  <c r="L7087" i="1" s="1"/>
  <c r="J7094" i="1"/>
  <c r="L7094" i="1" s="1"/>
  <c r="J7106" i="1"/>
  <c r="L7106" i="1" s="1"/>
  <c r="J7112" i="1"/>
  <c r="L7112" i="1" s="1"/>
  <c r="J7113" i="1"/>
  <c r="L7113" i="1" s="1"/>
  <c r="J7129" i="1"/>
  <c r="L7129" i="1" s="1"/>
  <c r="J7133" i="1"/>
  <c r="L7133" i="1" s="1"/>
  <c r="J7138" i="1"/>
  <c r="L7138" i="1" s="1"/>
  <c r="J7139" i="1"/>
  <c r="L7139" i="1" s="1"/>
  <c r="J7157" i="1"/>
  <c r="L7157" i="1" s="1"/>
  <c r="J7188" i="1"/>
  <c r="L7188" i="1" s="1"/>
  <c r="J7199" i="1"/>
  <c r="L7199" i="1" s="1"/>
  <c r="J7270" i="1"/>
  <c r="L7270" i="1" s="1"/>
  <c r="J7277" i="1"/>
  <c r="L7277" i="1" s="1"/>
  <c r="J7406" i="1"/>
  <c r="L7406" i="1" s="1"/>
  <c r="J57" i="1"/>
  <c r="L57" i="1" s="1"/>
  <c r="J7441" i="1"/>
  <c r="L7441" i="1" s="1"/>
  <c r="J7442" i="1"/>
  <c r="L7442" i="1" s="1"/>
  <c r="J75" i="1"/>
  <c r="L75" i="1" s="1"/>
  <c r="J7444" i="1"/>
  <c r="L7444" i="1" s="1"/>
  <c r="J93" i="1"/>
  <c r="L93" i="1" s="1"/>
  <c r="J102" i="1"/>
  <c r="L102" i="1" s="1"/>
  <c r="J7597" i="1"/>
  <c r="L7597" i="1" s="1"/>
  <c r="C16" i="2" s="1"/>
  <c r="J133" i="1"/>
  <c r="L133" i="1" s="1"/>
  <c r="J145" i="1"/>
  <c r="L145" i="1" s="1"/>
  <c r="J147" i="1"/>
  <c r="L147" i="1" s="1"/>
  <c r="J7677" i="1"/>
  <c r="L7677" i="1" s="1"/>
  <c r="J7728" i="1"/>
  <c r="L7728" i="1" s="1"/>
  <c r="J179" i="1"/>
  <c r="L179" i="1" s="1"/>
  <c r="J7765" i="1"/>
  <c r="L7765" i="1" s="1"/>
  <c r="J7801" i="1"/>
  <c r="L7801" i="1" s="1"/>
  <c r="J7805" i="1"/>
  <c r="L7805" i="1" s="1"/>
  <c r="J7806" i="1"/>
  <c r="L7806" i="1" s="1"/>
  <c r="J7807" i="1"/>
  <c r="L7807" i="1" s="1"/>
  <c r="J7808" i="1"/>
  <c r="L7808" i="1" s="1"/>
  <c r="J7809" i="1"/>
  <c r="L7809" i="1" s="1"/>
  <c r="J7810" i="1"/>
  <c r="L7810" i="1" s="1"/>
  <c r="J7811" i="1"/>
  <c r="L7811" i="1" s="1"/>
  <c r="J7812" i="1"/>
  <c r="L7812" i="1" s="1"/>
  <c r="J7830" i="1"/>
  <c r="L7830" i="1" s="1"/>
  <c r="J7869" i="1"/>
  <c r="L7869" i="1" s="1"/>
  <c r="J230" i="1"/>
  <c r="L230" i="1" s="1"/>
  <c r="J8037" i="1"/>
  <c r="L8037" i="1" s="1"/>
  <c r="J8056" i="1"/>
  <c r="L8056" i="1" s="1"/>
  <c r="J8143" i="1"/>
  <c r="L8143" i="1" s="1"/>
  <c r="J8154" i="1"/>
  <c r="L8154" i="1" s="1"/>
  <c r="J8160" i="1"/>
  <c r="L8160" i="1" s="1"/>
  <c r="J8161" i="1"/>
  <c r="L8161" i="1" s="1"/>
  <c r="J8174" i="1"/>
  <c r="L8174" i="1" s="1"/>
  <c r="J8186" i="1"/>
  <c r="L8186" i="1" s="1"/>
  <c r="J315" i="1"/>
  <c r="L315" i="1" s="1"/>
  <c r="J328" i="1"/>
  <c r="L328" i="1" s="1"/>
  <c r="J344" i="1"/>
  <c r="L344" i="1" s="1"/>
  <c r="J369" i="1"/>
  <c r="L369" i="1" s="1"/>
  <c r="J388" i="1"/>
  <c r="L388" i="1" s="1"/>
  <c r="J466" i="1"/>
  <c r="L466" i="1" s="1"/>
  <c r="J467" i="1"/>
  <c r="L467" i="1" s="1"/>
  <c r="J468" i="1"/>
  <c r="L468" i="1" s="1"/>
  <c r="J571" i="1"/>
  <c r="L571" i="1" s="1"/>
  <c r="J618" i="1"/>
  <c r="L618" i="1" s="1"/>
  <c r="J630" i="1"/>
  <c r="L630" i="1" s="1"/>
  <c r="J674" i="1"/>
  <c r="L674" i="1" s="1"/>
  <c r="J676" i="1"/>
  <c r="L676" i="1" s="1"/>
  <c r="J8626" i="1"/>
  <c r="L8626" i="1" s="1"/>
  <c r="J8627" i="1"/>
  <c r="L8627" i="1" s="1"/>
  <c r="J8853" i="1"/>
  <c r="L8853" i="1" s="1"/>
  <c r="J8854" i="1"/>
  <c r="L8854" i="1" s="1"/>
  <c r="J8855" i="1"/>
  <c r="L8855" i="1" s="1"/>
  <c r="J8856" i="1"/>
  <c r="L8856" i="1" s="1"/>
  <c r="J8858" i="1"/>
  <c r="L8858" i="1" s="1"/>
  <c r="J8859" i="1"/>
  <c r="L8859" i="1" s="1"/>
  <c r="J8860" i="1"/>
  <c r="L8860" i="1" s="1"/>
  <c r="J8861" i="1"/>
  <c r="L8861" i="1" s="1"/>
  <c r="J8862" i="1"/>
  <c r="L8862" i="1" s="1"/>
  <c r="J8863" i="1"/>
  <c r="L8863" i="1" s="1"/>
  <c r="J8864" i="1"/>
  <c r="L8864" i="1" s="1"/>
  <c r="J8865" i="1"/>
  <c r="L8865" i="1" s="1"/>
  <c r="J8866" i="1"/>
  <c r="L8866" i="1" s="1"/>
  <c r="J905" i="1"/>
  <c r="L905" i="1" s="1"/>
  <c r="J8870" i="1"/>
  <c r="L8870" i="1" s="1"/>
  <c r="J8871" i="1"/>
  <c r="L8871" i="1" s="1"/>
  <c r="J8899" i="1"/>
  <c r="L8899" i="1" s="1"/>
  <c r="J8974" i="1"/>
  <c r="L8974" i="1" s="1"/>
  <c r="J8981" i="1"/>
  <c r="L8981" i="1" s="1"/>
  <c r="J8999" i="1"/>
  <c r="L8999" i="1" s="1"/>
  <c r="J1026" i="1"/>
  <c r="L1026" i="1" s="1"/>
  <c r="J1042" i="1"/>
  <c r="L1042" i="1" s="1"/>
  <c r="J1050" i="1"/>
  <c r="L1050" i="1" s="1"/>
  <c r="J1051" i="1"/>
  <c r="L1051" i="1" s="1"/>
  <c r="J1080" i="1"/>
  <c r="L1080" i="1" s="1"/>
  <c r="J9078" i="1"/>
  <c r="L9078" i="1" s="1"/>
  <c r="J9091" i="1"/>
  <c r="L9091" i="1" s="1"/>
  <c r="J9092" i="1"/>
  <c r="L9092" i="1" s="1"/>
  <c r="J9131" i="1"/>
  <c r="L9131" i="1" s="1"/>
  <c r="J1144" i="1"/>
  <c r="L1144" i="1" s="1"/>
  <c r="J1173" i="1"/>
  <c r="L1173" i="1" s="1"/>
  <c r="J1208" i="1"/>
  <c r="L1208" i="1" s="1"/>
  <c r="J9227" i="1"/>
  <c r="L9227" i="1" s="1"/>
  <c r="J1283" i="1"/>
  <c r="L1283" i="1" s="1"/>
  <c r="J1358" i="1"/>
  <c r="L1358" i="1" s="1"/>
  <c r="J1407" i="1"/>
  <c r="L1407" i="1" s="1"/>
  <c r="J9374" i="1"/>
  <c r="L9374" i="1" s="1"/>
  <c r="J9413" i="1"/>
  <c r="L9413" i="1" s="1"/>
  <c r="J9447" i="1"/>
  <c r="L9447" i="1" s="1"/>
  <c r="J1426" i="1"/>
  <c r="L1426" i="1" s="1"/>
  <c r="J1429" i="1"/>
  <c r="L1429" i="1" s="1"/>
  <c r="J1467" i="1"/>
  <c r="L1467" i="1" s="1"/>
  <c r="J1514" i="1"/>
  <c r="L1514" i="1" s="1"/>
  <c r="J1586" i="1"/>
  <c r="L1586" i="1" s="1"/>
  <c r="J1642" i="1"/>
  <c r="L1642" i="1" s="1"/>
  <c r="J9677" i="1"/>
  <c r="L9677" i="1" s="1"/>
  <c r="J1749" i="1"/>
  <c r="L1749" i="1" s="1"/>
  <c r="J9741" i="1"/>
  <c r="L9741" i="1" s="1"/>
  <c r="J1830" i="1"/>
  <c r="L1830" i="1" s="1"/>
  <c r="J1831" i="1"/>
  <c r="L1831" i="1" s="1"/>
  <c r="J1832" i="1"/>
  <c r="L1832" i="1" s="1"/>
  <c r="J1883" i="1"/>
  <c r="L1883" i="1" s="1"/>
  <c r="J9861" i="1"/>
  <c r="L9861" i="1" s="1"/>
  <c r="J9879" i="1"/>
  <c r="L9879" i="1" s="1"/>
  <c r="J9880" i="1"/>
  <c r="L9880" i="1" s="1"/>
  <c r="J9881" i="1"/>
  <c r="L9881" i="1" s="1"/>
  <c r="J9882" i="1"/>
  <c r="L9882" i="1" s="1"/>
  <c r="J9916" i="1"/>
  <c r="L9916" i="1" s="1"/>
  <c r="J9921" i="1"/>
  <c r="L9921" i="1" s="1"/>
  <c r="J9957" i="1"/>
  <c r="L9957" i="1" s="1"/>
  <c r="J9960" i="1"/>
  <c r="L9960" i="1" s="1"/>
  <c r="J9971" i="1"/>
  <c r="L9971" i="1" s="1"/>
  <c r="J9979" i="1"/>
  <c r="L9979" i="1" s="1"/>
  <c r="J9983" i="1"/>
  <c r="L9983" i="1" s="1"/>
  <c r="J9984" i="1"/>
  <c r="L9984" i="1" s="1"/>
  <c r="J9992" i="1"/>
  <c r="L9992" i="1" s="1"/>
  <c r="J10000" i="1"/>
  <c r="L10000" i="1" s="1"/>
  <c r="J1958" i="1"/>
  <c r="L1958" i="1" s="1"/>
  <c r="J10021" i="1"/>
  <c r="L10021" i="1" s="1"/>
  <c r="J1985" i="1"/>
  <c r="L1985" i="1" s="1"/>
  <c r="J1993" i="1"/>
  <c r="L1993" i="1" s="1"/>
  <c r="J10054" i="1"/>
  <c r="L10054" i="1" s="1"/>
  <c r="J10055" i="1"/>
  <c r="L10055" i="1" s="1"/>
  <c r="J10065" i="1"/>
  <c r="L10065" i="1" s="1"/>
  <c r="J2054" i="1"/>
  <c r="L2054" i="1" s="1"/>
  <c r="J10247" i="1"/>
  <c r="L10247" i="1" s="1"/>
  <c r="J2158" i="1"/>
  <c r="L2158" i="1" s="1"/>
  <c r="J2159" i="1"/>
  <c r="L2159" i="1" s="1"/>
  <c r="J2160" i="1"/>
  <c r="L2160" i="1" s="1"/>
  <c r="J2161" i="1"/>
  <c r="L2161" i="1" s="1"/>
  <c r="J2162" i="1"/>
  <c r="L2162" i="1" s="1"/>
  <c r="J2163" i="1"/>
  <c r="L2163" i="1" s="1"/>
  <c r="J2168" i="1"/>
  <c r="L2168" i="1" s="1"/>
  <c r="J2169" i="1"/>
  <c r="L2169" i="1" s="1"/>
  <c r="J2170" i="1"/>
  <c r="L2170" i="1" s="1"/>
  <c r="J2171" i="1"/>
  <c r="L2171" i="1" s="1"/>
  <c r="J2172" i="1"/>
  <c r="L2172" i="1" s="1"/>
  <c r="J2173" i="1"/>
  <c r="L2173" i="1" s="1"/>
  <c r="J2174" i="1"/>
  <c r="L2174" i="1" s="1"/>
  <c r="J2182" i="1"/>
  <c r="L2182" i="1" s="1"/>
  <c r="J2183" i="1"/>
  <c r="L2183" i="1" s="1"/>
  <c r="J2184" i="1"/>
  <c r="L2184" i="1" s="1"/>
  <c r="J2185" i="1"/>
  <c r="L2185" i="1" s="1"/>
  <c r="J2186" i="1"/>
  <c r="L2186" i="1" s="1"/>
  <c r="J2187" i="1"/>
  <c r="L2187" i="1" s="1"/>
  <c r="J2188" i="1"/>
  <c r="L2188" i="1" s="1"/>
  <c r="J2215" i="1"/>
  <c r="L2215" i="1" s="1"/>
  <c r="J2216" i="1"/>
  <c r="L2216" i="1" s="1"/>
  <c r="J2217" i="1"/>
  <c r="L2217" i="1" s="1"/>
  <c r="J2228" i="1"/>
  <c r="L2228" i="1" s="1"/>
  <c r="J2266" i="1"/>
  <c r="L2266" i="1" s="1"/>
  <c r="J10362" i="1"/>
  <c r="L10362" i="1" s="1"/>
  <c r="J10402" i="1"/>
  <c r="L10402" i="1" s="1"/>
  <c r="J10403" i="1"/>
  <c r="L10403" i="1" s="1"/>
  <c r="J2358" i="1"/>
  <c r="L2358" i="1" s="1"/>
  <c r="J10436" i="1"/>
  <c r="L10436" i="1" s="1"/>
  <c r="J2427" i="1"/>
  <c r="L2427" i="1" s="1"/>
  <c r="J2438" i="1"/>
  <c r="L2438" i="1" s="1"/>
  <c r="J2452" i="1"/>
  <c r="L2452" i="1" s="1"/>
  <c r="J2463" i="1"/>
  <c r="L2463" i="1" s="1"/>
  <c r="J2492" i="1"/>
  <c r="L2492" i="1" s="1"/>
  <c r="J2503" i="1"/>
  <c r="L2503" i="1" s="1"/>
  <c r="J2504" i="1"/>
  <c r="L2504" i="1" s="1"/>
  <c r="J2514" i="1"/>
  <c r="L2514" i="1" s="1"/>
  <c r="J2524" i="1"/>
  <c r="L2524" i="1" s="1"/>
  <c r="J2528" i="1"/>
  <c r="L2528" i="1" s="1"/>
  <c r="J2529" i="1"/>
  <c r="L2529" i="1" s="1"/>
  <c r="J2530" i="1"/>
  <c r="L2530" i="1" s="1"/>
  <c r="J10508" i="1"/>
  <c r="L10508" i="1" s="1"/>
  <c r="J2565" i="1"/>
  <c r="L2565" i="1" s="1"/>
  <c r="J10556" i="1"/>
  <c r="L10556" i="1" s="1"/>
  <c r="J10631" i="1"/>
  <c r="L10631" i="1" s="1"/>
  <c r="J10632" i="1"/>
  <c r="L10632" i="1" s="1"/>
  <c r="J10633" i="1"/>
  <c r="L10633" i="1" s="1"/>
  <c r="J2625" i="1"/>
  <c r="L2625" i="1" s="1"/>
  <c r="J2628" i="1"/>
  <c r="L2628" i="1" s="1"/>
  <c r="J10814" i="1"/>
  <c r="L10814" i="1" s="1"/>
  <c r="J2695" i="1"/>
  <c r="L2695" i="1" s="1"/>
  <c r="J2696" i="1"/>
  <c r="L2696" i="1" s="1"/>
  <c r="J10870" i="1"/>
  <c r="L10870" i="1" s="1"/>
  <c r="J10874" i="1"/>
  <c r="L10874" i="1" s="1"/>
  <c r="J10904" i="1"/>
  <c r="L10904" i="1" s="1"/>
  <c r="J10906" i="1"/>
  <c r="L10906" i="1" s="1"/>
  <c r="J10917" i="1"/>
  <c r="L10917" i="1" s="1"/>
  <c r="J10948" i="1"/>
  <c r="L10948" i="1" s="1"/>
  <c r="J2721" i="1"/>
  <c r="L2721" i="1" s="1"/>
  <c r="J11012" i="1"/>
  <c r="L11012" i="1" s="1"/>
  <c r="J11013" i="1"/>
  <c r="L11013" i="1" s="1"/>
  <c r="J11014" i="1"/>
  <c r="L11014" i="1" s="1"/>
  <c r="J11015" i="1"/>
  <c r="L11015" i="1" s="1"/>
  <c r="J11032" i="1"/>
  <c r="L11032" i="1" s="1"/>
  <c r="J11043" i="1"/>
  <c r="L11043" i="1" s="1"/>
  <c r="J11065" i="1"/>
  <c r="L11065" i="1" s="1"/>
  <c r="J11080" i="1"/>
  <c r="L11080" i="1" s="1"/>
  <c r="J11253" i="1"/>
  <c r="L11253" i="1" s="1"/>
  <c r="J11288" i="1"/>
  <c r="L11288" i="1" s="1"/>
  <c r="J11350" i="1"/>
  <c r="L11350" i="1" s="1"/>
  <c r="J2793" i="1"/>
  <c r="L2793" i="1" s="1"/>
  <c r="J2829" i="1"/>
  <c r="L2829" i="1" s="1"/>
  <c r="J2833" i="1"/>
  <c r="L2833" i="1" s="1"/>
  <c r="J2836" i="1"/>
  <c r="L2836" i="1" s="1"/>
  <c r="J2846" i="1"/>
  <c r="L2846" i="1" s="1"/>
  <c r="J2854" i="1"/>
  <c r="L2854" i="1" s="1"/>
  <c r="J2970" i="1"/>
  <c r="L2970" i="1" s="1"/>
  <c r="J2971" i="1"/>
  <c r="L2971" i="1" s="1"/>
  <c r="J11597" i="1"/>
  <c r="L11597" i="1" s="1"/>
  <c r="J3000" i="1"/>
  <c r="L3000" i="1" s="1"/>
  <c r="J3035" i="1"/>
  <c r="L3035" i="1" s="1"/>
  <c r="J11623" i="1"/>
  <c r="L11623" i="1" s="1"/>
  <c r="J3064" i="1"/>
  <c r="L3064" i="1" s="1"/>
  <c r="J3085" i="1"/>
  <c r="L3085" i="1" s="1"/>
  <c r="J3088" i="1"/>
  <c r="L3088" i="1" s="1"/>
  <c r="J3090" i="1"/>
  <c r="L3090" i="1" s="1"/>
  <c r="J11651" i="1"/>
  <c r="L11651" i="1" s="1"/>
  <c r="J3102" i="1"/>
  <c r="L3102" i="1" s="1"/>
  <c r="J11670" i="1"/>
  <c r="L11670" i="1" s="1"/>
  <c r="J11671" i="1"/>
  <c r="L11671" i="1" s="1"/>
  <c r="J3113" i="1"/>
  <c r="L3113" i="1" s="1"/>
  <c r="J3124" i="1"/>
  <c r="L3124" i="1" s="1"/>
  <c r="J3125" i="1"/>
  <c r="L3125" i="1" s="1"/>
  <c r="J3126" i="1"/>
  <c r="L3126" i="1" s="1"/>
  <c r="J3136" i="1"/>
  <c r="L3136" i="1" s="1"/>
  <c r="J3154" i="1"/>
  <c r="L3154" i="1" s="1"/>
  <c r="J3161" i="1"/>
  <c r="L3161" i="1" s="1"/>
  <c r="J3162" i="1"/>
  <c r="L3162" i="1" s="1"/>
  <c r="J11780" i="1"/>
  <c r="L11780" i="1" s="1"/>
  <c r="J3214" i="1"/>
  <c r="L3214" i="1" s="1"/>
  <c r="J3224" i="1"/>
  <c r="L3224" i="1" s="1"/>
  <c r="J11857" i="1"/>
  <c r="L11857" i="1" s="1"/>
  <c r="J3259" i="1"/>
  <c r="L3259" i="1" s="1"/>
  <c r="J3260" i="1"/>
  <c r="L3260" i="1" s="1"/>
  <c r="J3265" i="1"/>
  <c r="L3265" i="1" s="1"/>
  <c r="J12020" i="1"/>
  <c r="L12020" i="1" s="1"/>
  <c r="J12077" i="1"/>
  <c r="L12077" i="1" s="1"/>
  <c r="J3368" i="1"/>
  <c r="L3368" i="1" s="1"/>
  <c r="J12095" i="1"/>
  <c r="L12095" i="1" s="1"/>
  <c r="J3374" i="1"/>
  <c r="L3374" i="1" s="1"/>
  <c r="J3383" i="1"/>
  <c r="L3383" i="1" s="1"/>
  <c r="J3410" i="1"/>
  <c r="L3410" i="1" s="1"/>
  <c r="J12164" i="1"/>
  <c r="L12164" i="1" s="1"/>
  <c r="J12180" i="1"/>
  <c r="L12180" i="1" s="1"/>
  <c r="J3460" i="1"/>
  <c r="L3460" i="1" s="1"/>
  <c r="J3477" i="1"/>
  <c r="L3477" i="1" s="1"/>
  <c r="J3478" i="1"/>
  <c r="L3478" i="1" s="1"/>
  <c r="J3479" i="1"/>
  <c r="L3479" i="1" s="1"/>
  <c r="J12231" i="1"/>
  <c r="L12231" i="1" s="1"/>
  <c r="J3493" i="1"/>
  <c r="L3493" i="1" s="1"/>
  <c r="J12252" i="1"/>
  <c r="L12252" i="1" s="1"/>
  <c r="J12287" i="1"/>
  <c r="L12287" i="1" s="1"/>
  <c r="J12288" i="1"/>
  <c r="L12288" i="1" s="1"/>
  <c r="J12297" i="1"/>
  <c r="L12297" i="1" s="1"/>
  <c r="J12307" i="1"/>
  <c r="L12307" i="1" s="1"/>
  <c r="J12310" i="1"/>
  <c r="L12310" i="1" s="1"/>
  <c r="J12311" i="1"/>
  <c r="L12311" i="1" s="1"/>
  <c r="J12314" i="1"/>
  <c r="L12314" i="1" s="1"/>
  <c r="J12316" i="1"/>
  <c r="L12316" i="1" s="1"/>
  <c r="J12318" i="1"/>
  <c r="L12318" i="1" s="1"/>
  <c r="J12319" i="1"/>
  <c r="L12319" i="1" s="1"/>
  <c r="J12322" i="1"/>
  <c r="L12322" i="1" s="1"/>
  <c r="J12323" i="1"/>
  <c r="L12323" i="1" s="1"/>
  <c r="J12324" i="1"/>
  <c r="L12324" i="1" s="1"/>
  <c r="J12325" i="1"/>
  <c r="L12325" i="1" s="1"/>
  <c r="J12326" i="1"/>
  <c r="L12326" i="1" s="1"/>
  <c r="J12328" i="1"/>
  <c r="L12328" i="1" s="1"/>
  <c r="J12329" i="1"/>
  <c r="L12329" i="1" s="1"/>
  <c r="J12330" i="1"/>
  <c r="L12330" i="1" s="1"/>
  <c r="J12332" i="1"/>
  <c r="L12332" i="1" s="1"/>
  <c r="J3528" i="1"/>
  <c r="L3528" i="1" s="1"/>
  <c r="J3544" i="1"/>
  <c r="L3544" i="1" s="1"/>
  <c r="J12403" i="1"/>
  <c r="L12403" i="1" s="1"/>
  <c r="J12404" i="1"/>
  <c r="L12404" i="1" s="1"/>
  <c r="J12422" i="1"/>
  <c r="L12422" i="1" s="1"/>
  <c r="J3562" i="1"/>
  <c r="L3562" i="1" s="1"/>
  <c r="J12451" i="1"/>
  <c r="L12451" i="1" s="1"/>
  <c r="J3569" i="1"/>
  <c r="L3569" i="1" s="1"/>
  <c r="J3575" i="1"/>
  <c r="L3575" i="1" s="1"/>
  <c r="J3598" i="1"/>
  <c r="L3598" i="1" s="1"/>
  <c r="J12477" i="1"/>
  <c r="L12477" i="1" s="1"/>
  <c r="J3610" i="1"/>
  <c r="L3610" i="1" s="1"/>
  <c r="J3676" i="1"/>
  <c r="L3676" i="1" s="1"/>
  <c r="J3710" i="1"/>
  <c r="L3710" i="1" s="1"/>
  <c r="J3711" i="1"/>
  <c r="L3711" i="1" s="1"/>
  <c r="J12661" i="1"/>
  <c r="L12661" i="1" s="1"/>
  <c r="J12697" i="1"/>
  <c r="L12697" i="1" s="1"/>
  <c r="J12709" i="1"/>
  <c r="L12709" i="1" s="1"/>
  <c r="J12736" i="1"/>
  <c r="L12736" i="1" s="1"/>
  <c r="J3812" i="1"/>
  <c r="L3812" i="1" s="1"/>
  <c r="J3870" i="1"/>
  <c r="L3870" i="1" s="1"/>
  <c r="J3871" i="1"/>
  <c r="L3871" i="1" s="1"/>
  <c r="J3898" i="1"/>
  <c r="L3898" i="1" s="1"/>
  <c r="J3952" i="1"/>
  <c r="L3952" i="1" s="1"/>
  <c r="J3960" i="1"/>
  <c r="L3960" i="1" s="1"/>
  <c r="J3991" i="1"/>
  <c r="L3991" i="1" s="1"/>
  <c r="J4031" i="1"/>
  <c r="L4031" i="1" s="1"/>
  <c r="J4034" i="1"/>
  <c r="L4034" i="1" s="1"/>
  <c r="J12986" i="1"/>
  <c r="L12986" i="1" s="1"/>
  <c r="J4077" i="1"/>
  <c r="L4077" i="1" s="1"/>
  <c r="J4090" i="1"/>
  <c r="L4090" i="1" s="1"/>
  <c r="J4143" i="1"/>
  <c r="L4143" i="1" s="1"/>
  <c r="J4144" i="1"/>
  <c r="L4144" i="1" s="1"/>
  <c r="J4145" i="1"/>
  <c r="L4145" i="1" s="1"/>
  <c r="J13076" i="1"/>
  <c r="L13076" i="1" s="1"/>
  <c r="J13199" i="1"/>
  <c r="L13199" i="1" s="1"/>
  <c r="J13200" i="1"/>
  <c r="L13200" i="1" s="1"/>
  <c r="J13205" i="1"/>
  <c r="L13205" i="1" s="1"/>
  <c r="J13206" i="1"/>
  <c r="L13206" i="1" s="1"/>
  <c r="J13207" i="1"/>
  <c r="L13207" i="1" s="1"/>
  <c r="J13271" i="1"/>
  <c r="L13271" i="1" s="1"/>
  <c r="J13277" i="1"/>
  <c r="L13277" i="1" s="1"/>
  <c r="J13302" i="1"/>
  <c r="L13302" i="1" s="1"/>
  <c r="J13313" i="1"/>
  <c r="L13313" i="1" s="1"/>
  <c r="J13315" i="1"/>
  <c r="L13315" i="1" s="1"/>
  <c r="J13318" i="1"/>
  <c r="L13318" i="1" s="1"/>
  <c r="J13332" i="1"/>
  <c r="L13332" i="1" s="1"/>
  <c r="J4266" i="1"/>
  <c r="L4266" i="1" s="1"/>
  <c r="J4269" i="1"/>
  <c r="L4269" i="1" s="1"/>
  <c r="J4270" i="1"/>
  <c r="L4270" i="1" s="1"/>
  <c r="J4305" i="1"/>
  <c r="L4305" i="1" s="1"/>
  <c r="J13372" i="1"/>
  <c r="L13372" i="1" s="1"/>
  <c r="J4322" i="1"/>
  <c r="L4322" i="1" s="1"/>
  <c r="J4341" i="1"/>
  <c r="L4341" i="1" s="1"/>
  <c r="J13488" i="1"/>
  <c r="L13488" i="1" s="1"/>
  <c r="J13491" i="1"/>
  <c r="L13491" i="1" s="1"/>
  <c r="J13494" i="1"/>
  <c r="L13494" i="1" s="1"/>
  <c r="J4361" i="1"/>
  <c r="L4361" i="1" s="1"/>
  <c r="J4365" i="1"/>
  <c r="L4365" i="1" s="1"/>
  <c r="J13556" i="1"/>
  <c r="L13556" i="1" s="1"/>
  <c r="J13607" i="1"/>
  <c r="L13607" i="1" s="1"/>
  <c r="J4406" i="1"/>
  <c r="L4406" i="1" s="1"/>
  <c r="J13619" i="1"/>
  <c r="L13619" i="1" s="1"/>
  <c r="J13625" i="1"/>
  <c r="L13625" i="1" s="1"/>
  <c r="J13665" i="1"/>
  <c r="L13665" i="1" s="1"/>
  <c r="J13746" i="1"/>
  <c r="L13746" i="1" s="1"/>
  <c r="J4437" i="1"/>
  <c r="L4437" i="1" s="1"/>
  <c r="J4438" i="1"/>
  <c r="L4438" i="1" s="1"/>
  <c r="J4452" i="1"/>
  <c r="L4452" i="1" s="1"/>
  <c r="J4453" i="1"/>
  <c r="L4453" i="1" s="1"/>
  <c r="J4454" i="1"/>
  <c r="L4454" i="1" s="1"/>
  <c r="J4455" i="1"/>
  <c r="L4455" i="1" s="1"/>
  <c r="J4456" i="1"/>
  <c r="L4456" i="1" s="1"/>
  <c r="J4457" i="1"/>
  <c r="L4457" i="1" s="1"/>
  <c r="J4462" i="1"/>
  <c r="L4462" i="1" s="1"/>
  <c r="J4463" i="1"/>
  <c r="L4463" i="1" s="1"/>
  <c r="J4464" i="1"/>
  <c r="L4464" i="1" s="1"/>
  <c r="J4479" i="1"/>
  <c r="L4479" i="1" s="1"/>
  <c r="J4480" i="1"/>
  <c r="L4480" i="1" s="1"/>
  <c r="J4481" i="1"/>
  <c r="L4481" i="1" s="1"/>
  <c r="J4493" i="1"/>
  <c r="L4493" i="1" s="1"/>
  <c r="J13779" i="1"/>
  <c r="L13779" i="1" s="1"/>
  <c r="J13840" i="1"/>
  <c r="L13840" i="1" s="1"/>
  <c r="J4559" i="1"/>
  <c r="L4559" i="1" s="1"/>
  <c r="J4575" i="1"/>
  <c r="L4575" i="1" s="1"/>
  <c r="J4643" i="1"/>
  <c r="L4643" i="1" s="1"/>
  <c r="J4649" i="1"/>
  <c r="L4649" i="1" s="1"/>
  <c r="J4655" i="1"/>
  <c r="L4655" i="1" s="1"/>
  <c r="J4665" i="1"/>
  <c r="L4665" i="1" s="1"/>
  <c r="J4722" i="1"/>
  <c r="L4722" i="1" s="1"/>
  <c r="J13958" i="1"/>
  <c r="L13958" i="1" s="1"/>
  <c r="J4760" i="1"/>
  <c r="L4760" i="1" s="1"/>
  <c r="J4788" i="1"/>
  <c r="L4788" i="1" s="1"/>
  <c r="J14077" i="1"/>
  <c r="L14077" i="1" s="1"/>
  <c r="J14078" i="1"/>
  <c r="L14078" i="1" s="1"/>
  <c r="J14079" i="1"/>
  <c r="L14079" i="1" s="1"/>
  <c r="J4829" i="1"/>
  <c r="L4829" i="1" s="1"/>
  <c r="J4873" i="1"/>
  <c r="L4873" i="1" s="1"/>
  <c r="J14306" i="1"/>
  <c r="L14306" i="1" s="1"/>
  <c r="J14307" i="1"/>
  <c r="L14307" i="1" s="1"/>
  <c r="J14310" i="1"/>
  <c r="L14310" i="1" s="1"/>
  <c r="J14329" i="1"/>
  <c r="L14329" i="1" s="1"/>
  <c r="J14341" i="1"/>
  <c r="L14341" i="1" s="1"/>
  <c r="J14419" i="1"/>
  <c r="L14419" i="1" s="1"/>
  <c r="J14420" i="1"/>
  <c r="L14420" i="1" s="1"/>
  <c r="J14421" i="1"/>
  <c r="L14421" i="1" s="1"/>
  <c r="J14422" i="1"/>
  <c r="L14422" i="1" s="1"/>
  <c r="J14423" i="1"/>
  <c r="L14423" i="1" s="1"/>
  <c r="J14424" i="1"/>
  <c r="L14424" i="1" s="1"/>
  <c r="J14444" i="1"/>
  <c r="L14444" i="1" s="1"/>
  <c r="J14460" i="1"/>
  <c r="L14460" i="1" s="1"/>
  <c r="J14487" i="1"/>
  <c r="L14487" i="1" s="1"/>
  <c r="J14679" i="1"/>
  <c r="L14679" i="1" s="1"/>
  <c r="J14723" i="1"/>
  <c r="L14723" i="1" s="1"/>
  <c r="J14758" i="1"/>
  <c r="L14758" i="1" s="1"/>
  <c r="J4992" i="1"/>
  <c r="L4992" i="1" s="1"/>
  <c r="J14797" i="1"/>
  <c r="L14797" i="1" s="1"/>
  <c r="J14798" i="1"/>
  <c r="L14798" i="1" s="1"/>
  <c r="J14799" i="1"/>
  <c r="L14799" i="1" s="1"/>
  <c r="J14800" i="1"/>
  <c r="L14800" i="1" s="1"/>
  <c r="J5236" i="1"/>
  <c r="L5236" i="1" s="1"/>
  <c r="J15040" i="1"/>
  <c r="L15040" i="1" s="1"/>
  <c r="J5344" i="1"/>
  <c r="L5344" i="1" s="1"/>
  <c r="J15078" i="1"/>
  <c r="L15078" i="1" s="1"/>
  <c r="J15091" i="1"/>
  <c r="L15091" i="1" s="1"/>
  <c r="J5364" i="1"/>
  <c r="L5364" i="1" s="1"/>
  <c r="J5379" i="1"/>
  <c r="L5379" i="1" s="1"/>
  <c r="J15165" i="1"/>
  <c r="L15165" i="1" s="1"/>
  <c r="J5426" i="1"/>
  <c r="L5426" i="1" s="1"/>
  <c r="J5427" i="1"/>
  <c r="L5427" i="1" s="1"/>
  <c r="J5430" i="1"/>
  <c r="L5430" i="1" s="1"/>
  <c r="J15251" i="1"/>
  <c r="L15251" i="1" s="1"/>
  <c r="J5482" i="1"/>
  <c r="L5482" i="1" s="1"/>
  <c r="J5519" i="1"/>
  <c r="L5519" i="1" s="1"/>
  <c r="J5539" i="1"/>
  <c r="L5539" i="1" s="1"/>
  <c r="J15450" i="1"/>
  <c r="L15450" i="1" s="1"/>
  <c r="J15478" i="1"/>
  <c r="L15478" i="1" s="1"/>
  <c r="J15479" i="1"/>
  <c r="L15479" i="1" s="1"/>
  <c r="J15504" i="1"/>
  <c r="L15504" i="1" s="1"/>
  <c r="J5669" i="1"/>
  <c r="L5669" i="1" s="1"/>
  <c r="J5680" i="1"/>
  <c r="L5680" i="1" s="1"/>
  <c r="J5700" i="1"/>
  <c r="L5700" i="1" s="1"/>
  <c r="J15572" i="1"/>
  <c r="L15572" i="1" s="1"/>
  <c r="J5716" i="1"/>
  <c r="L5716" i="1" s="1"/>
  <c r="J15661" i="1"/>
  <c r="L15661" i="1" s="1"/>
  <c r="J5779" i="1"/>
  <c r="L5779" i="1" s="1"/>
  <c r="J5780" i="1"/>
  <c r="L5780" i="1" s="1"/>
  <c r="J5784" i="1"/>
  <c r="L5784" i="1" s="1"/>
  <c r="J5785" i="1"/>
  <c r="L5785" i="1" s="1"/>
  <c r="J15672" i="1"/>
  <c r="L15672" i="1" s="1"/>
  <c r="J5791" i="1"/>
  <c r="L5791" i="1" s="1"/>
  <c r="J5809" i="1"/>
  <c r="L5809" i="1" s="1"/>
  <c r="J5811" i="1"/>
  <c r="L5811" i="1" s="1"/>
  <c r="J15692" i="1"/>
  <c r="L15692" i="1" s="1"/>
  <c r="J15700" i="1"/>
  <c r="L15700" i="1" s="1"/>
  <c r="J15702" i="1"/>
  <c r="L15702" i="1" s="1"/>
  <c r="J15703" i="1"/>
  <c r="L15703" i="1" s="1"/>
  <c r="J15708" i="1"/>
  <c r="L15708" i="1" s="1"/>
  <c r="J15717" i="1"/>
  <c r="L15717" i="1" s="1"/>
  <c r="J15719" i="1"/>
  <c r="L15719" i="1" s="1"/>
  <c r="J15720" i="1"/>
  <c r="L15720" i="1" s="1"/>
  <c r="J15721" i="1"/>
  <c r="L15721" i="1" s="1"/>
  <c r="J15722" i="1"/>
  <c r="L15722" i="1" s="1"/>
  <c r="J15723" i="1"/>
  <c r="L15723" i="1" s="1"/>
  <c r="J15724" i="1"/>
  <c r="L15724" i="1" s="1"/>
  <c r="J15725" i="1"/>
  <c r="L15725" i="1" s="1"/>
  <c r="J15726" i="1"/>
  <c r="L15726" i="1" s="1"/>
  <c r="J15727" i="1"/>
  <c r="L15727" i="1" s="1"/>
  <c r="J15731" i="1"/>
  <c r="L15731" i="1" s="1"/>
  <c r="J15732" i="1"/>
  <c r="L15732" i="1" s="1"/>
  <c r="J15733" i="1"/>
  <c r="L15733" i="1" s="1"/>
  <c r="J15734" i="1"/>
  <c r="L15734" i="1" s="1"/>
  <c r="J15735" i="1"/>
  <c r="L15735" i="1" s="1"/>
  <c r="J15736" i="1"/>
  <c r="L15736" i="1" s="1"/>
  <c r="J5826" i="1"/>
  <c r="L5826" i="1" s="1"/>
  <c r="J5827" i="1"/>
  <c r="L5827" i="1" s="1"/>
  <c r="J5838" i="1"/>
  <c r="L5838" i="1" s="1"/>
  <c r="J5858" i="1"/>
  <c r="L5858" i="1" s="1"/>
  <c r="J5863" i="1"/>
  <c r="L5863" i="1" s="1"/>
  <c r="J15779" i="1"/>
  <c r="L15779" i="1" s="1"/>
  <c r="J15806" i="1"/>
  <c r="L15806" i="1" s="1"/>
  <c r="J15818" i="1"/>
  <c r="L15818" i="1" s="1"/>
  <c r="J15824" i="1"/>
  <c r="L15824" i="1" s="1"/>
  <c r="J15825" i="1"/>
  <c r="L15825" i="1" s="1"/>
  <c r="J5911" i="1"/>
  <c r="L5911" i="1" s="1"/>
  <c r="J5928" i="1"/>
  <c r="L5928" i="1" s="1"/>
  <c r="J6017" i="1"/>
  <c r="L6017" i="1" s="1"/>
  <c r="J6016" i="1"/>
  <c r="L6016" i="1" s="1"/>
  <c r="J6018" i="1"/>
  <c r="L6018" i="1" s="1"/>
  <c r="J6060" i="1"/>
  <c r="L6060" i="1" s="1"/>
  <c r="J6095" i="1"/>
  <c r="L6095" i="1" s="1"/>
  <c r="C11" i="4" s="1"/>
  <c r="C11" i="6" s="1"/>
  <c r="J15985" i="1"/>
  <c r="L15985" i="1" s="1"/>
  <c r="J16039" i="1"/>
  <c r="L16039" i="1" s="1"/>
  <c r="J16056" i="1"/>
  <c r="L16056" i="1" s="1"/>
  <c r="J16088" i="1"/>
  <c r="L16088" i="1" s="1"/>
  <c r="J6167" i="1"/>
  <c r="L6167" i="1" s="1"/>
  <c r="J6179" i="1"/>
  <c r="L6179" i="1" s="1"/>
  <c r="J6187" i="1"/>
  <c r="L6187" i="1" s="1"/>
  <c r="J6223" i="1"/>
  <c r="L6223" i="1" s="1"/>
  <c r="J6224" i="1"/>
  <c r="L6224" i="1" s="1"/>
  <c r="J6242" i="1"/>
  <c r="L6242" i="1" s="1"/>
  <c r="J6323" i="1"/>
  <c r="L6323" i="1" s="1"/>
  <c r="J16150" i="1"/>
  <c r="L16150" i="1" s="1"/>
  <c r="J16151" i="1"/>
  <c r="L16151" i="1" s="1"/>
  <c r="J16162" i="1"/>
  <c r="L16162" i="1" s="1"/>
  <c r="J6414" i="1"/>
  <c r="L6414" i="1" s="1"/>
  <c r="J6472" i="1"/>
  <c r="L6472" i="1" s="1"/>
  <c r="J16431" i="1"/>
  <c r="L16431" i="1" s="1"/>
  <c r="J16432" i="1"/>
  <c r="L16432" i="1" s="1"/>
  <c r="J16555" i="1"/>
  <c r="L16555" i="1" s="1"/>
  <c r="J16572" i="1"/>
  <c r="L16572" i="1" s="1"/>
  <c r="J16578" i="1"/>
  <c r="L16578" i="1" s="1"/>
  <c r="J6607" i="1"/>
  <c r="L6607" i="1" s="1"/>
  <c r="J6608" i="1"/>
  <c r="L6608" i="1" s="1"/>
  <c r="J6609" i="1"/>
  <c r="L6609" i="1" s="1"/>
  <c r="J16644" i="1"/>
  <c r="L16644" i="1" s="1"/>
  <c r="J16659" i="1"/>
  <c r="L16659" i="1" s="1"/>
  <c r="J16670" i="1"/>
  <c r="L16670" i="1" s="1"/>
  <c r="J16673" i="1"/>
  <c r="L16673" i="1" s="1"/>
  <c r="J16678" i="1"/>
  <c r="L16678" i="1" s="1"/>
  <c r="J16682" i="1"/>
  <c r="L16682" i="1" s="1"/>
  <c r="J6660" i="1"/>
  <c r="L6660" i="1" s="1"/>
  <c r="J6683" i="1"/>
  <c r="L6683" i="1" s="1"/>
  <c r="J16695" i="1"/>
  <c r="L16695" i="1" s="1"/>
  <c r="J6696" i="1"/>
  <c r="L6696" i="1" s="1"/>
  <c r="J16754" i="1"/>
  <c r="L16754" i="1" s="1"/>
  <c r="J6726" i="1"/>
  <c r="L6726" i="1" s="1"/>
  <c r="J6733" i="1"/>
  <c r="L6733" i="1" s="1"/>
  <c r="J16850" i="1"/>
  <c r="L16850" i="1" s="1"/>
  <c r="J16870" i="1"/>
  <c r="L16870" i="1" s="1"/>
  <c r="J6780" i="1"/>
  <c r="L6780" i="1" s="1"/>
  <c r="J6782" i="1"/>
  <c r="L6782" i="1" s="1"/>
  <c r="J6814" i="1"/>
  <c r="L6814" i="1" s="1"/>
  <c r="J16986" i="1"/>
  <c r="L16986" i="1" s="1"/>
  <c r="J17082" i="1"/>
  <c r="L17082" i="1" s="1"/>
  <c r="J6836" i="1"/>
  <c r="L6836" i="1" s="1"/>
  <c r="J6841" i="1"/>
  <c r="L6841" i="1" s="1"/>
  <c r="J6849" i="1"/>
  <c r="L6849" i="1" s="1"/>
  <c r="J6853" i="1"/>
  <c r="L6853" i="1" s="1"/>
  <c r="J6854" i="1"/>
  <c r="L6854" i="1" s="1"/>
  <c r="J6855" i="1"/>
  <c r="L6855" i="1" s="1"/>
  <c r="J6856" i="1"/>
  <c r="L6856" i="1" s="1"/>
  <c r="J6857" i="1"/>
  <c r="L6857" i="1" s="1"/>
  <c r="J6858" i="1"/>
  <c r="L6858" i="1" s="1"/>
  <c r="J6859" i="1"/>
  <c r="L6859" i="1" s="1"/>
  <c r="J6860" i="1"/>
  <c r="L6860" i="1" s="1"/>
  <c r="J6861" i="1"/>
  <c r="L6861" i="1" s="1"/>
  <c r="J6862" i="1"/>
  <c r="L6862" i="1" s="1"/>
  <c r="J6863" i="1"/>
  <c r="L6863" i="1" s="1"/>
  <c r="J6864" i="1"/>
  <c r="L6864" i="1" s="1"/>
  <c r="J6865" i="1"/>
  <c r="L6865" i="1" s="1"/>
  <c r="J6868" i="1"/>
  <c r="L6868" i="1" s="1"/>
  <c r="J6869" i="1"/>
  <c r="L6869" i="1" s="1"/>
  <c r="J6870" i="1"/>
  <c r="L6870" i="1" s="1"/>
  <c r="J6871" i="1"/>
  <c r="L6871" i="1" s="1"/>
  <c r="J6872" i="1"/>
  <c r="L6872" i="1" s="1"/>
  <c r="J6873" i="1"/>
  <c r="L6873" i="1" s="1"/>
  <c r="J6874" i="1"/>
  <c r="L6874" i="1" s="1"/>
  <c r="J6875" i="1"/>
  <c r="L6875" i="1" s="1"/>
  <c r="J6876" i="1"/>
  <c r="L6876" i="1" s="1"/>
  <c r="J6881" i="1"/>
  <c r="L6881" i="1" s="1"/>
  <c r="J6882" i="1"/>
  <c r="L6882" i="1" s="1"/>
  <c r="J6883" i="1"/>
  <c r="L6883" i="1" s="1"/>
  <c r="J6884" i="1"/>
  <c r="L6884" i="1" s="1"/>
  <c r="J6885" i="1"/>
  <c r="L6885" i="1" s="1"/>
  <c r="J6899" i="1"/>
  <c r="L6899" i="1" s="1"/>
  <c r="J6900" i="1"/>
  <c r="L6900" i="1" s="1"/>
  <c r="J6919" i="1"/>
  <c r="L6919" i="1" s="1"/>
  <c r="J6920" i="1"/>
  <c r="L6920" i="1" s="1"/>
  <c r="J6930" i="1"/>
  <c r="L6930" i="1" s="1"/>
  <c r="J6931" i="1"/>
  <c r="L6931" i="1" s="1"/>
  <c r="J6932" i="1"/>
  <c r="L6932" i="1" s="1"/>
  <c r="J6970" i="1"/>
  <c r="L6970" i="1" s="1"/>
  <c r="J6985" i="1"/>
  <c r="L6985" i="1" s="1"/>
  <c r="J7017" i="1"/>
  <c r="L7017" i="1" s="1"/>
  <c r="J7021" i="1"/>
  <c r="L7021" i="1" s="1"/>
  <c r="J7023" i="1"/>
  <c r="L7023" i="1" s="1"/>
  <c r="J7063" i="1"/>
  <c r="L7063" i="1" s="1"/>
  <c r="J7093" i="1"/>
  <c r="L7093" i="1" s="1"/>
  <c r="J7111" i="1"/>
  <c r="L7111" i="1" s="1"/>
  <c r="J7130" i="1"/>
  <c r="L7130" i="1" s="1"/>
  <c r="J7131" i="1"/>
  <c r="L7131" i="1" s="1"/>
  <c r="J7132" i="1"/>
  <c r="L7132" i="1" s="1"/>
  <c r="J7135" i="1"/>
  <c r="L7135" i="1" s="1"/>
  <c r="J7148" i="1"/>
  <c r="L7148" i="1" s="1"/>
  <c r="J7151" i="1"/>
  <c r="L7151" i="1" s="1"/>
  <c r="J7155" i="1"/>
  <c r="L7155" i="1" s="1"/>
  <c r="J7158" i="1"/>
  <c r="L7158" i="1" s="1"/>
  <c r="J7160" i="1"/>
  <c r="L7160" i="1" s="1"/>
  <c r="J7161" i="1"/>
  <c r="L7161" i="1" s="1"/>
  <c r="J7162" i="1"/>
  <c r="L7162" i="1" s="1"/>
  <c r="J7187" i="1"/>
  <c r="L7187" i="1" s="1"/>
  <c r="J7205" i="1"/>
  <c r="L7205" i="1" s="1"/>
  <c r="J7332" i="1"/>
  <c r="L7332" i="1" s="1"/>
  <c r="J46" i="1"/>
  <c r="L46" i="1" s="1"/>
  <c r="J47" i="1"/>
  <c r="L47" i="1" s="1"/>
  <c r="J7401" i="1"/>
  <c r="L7401" i="1" s="1"/>
  <c r="J7402" i="1"/>
  <c r="L7402" i="1" s="1"/>
  <c r="J7440" i="1"/>
  <c r="L7440" i="1" s="1"/>
  <c r="J81" i="1"/>
  <c r="L81" i="1" s="1"/>
  <c r="J122" i="1"/>
  <c r="L122" i="1" s="1"/>
  <c r="J7606" i="1"/>
  <c r="L7606" i="1" s="1"/>
  <c r="J7655" i="1"/>
  <c r="L7655" i="1" s="1"/>
  <c r="J7671" i="1"/>
  <c r="L7671" i="1" s="1"/>
  <c r="J7737" i="1"/>
  <c r="L7737" i="1" s="1"/>
  <c r="J171" i="1"/>
  <c r="L171" i="1" s="1"/>
  <c r="J8096" i="1"/>
  <c r="L8096" i="1" s="1"/>
  <c r="J8098" i="1"/>
  <c r="L8098" i="1" s="1"/>
  <c r="J8102" i="1"/>
  <c r="L8102" i="1" s="1"/>
  <c r="J8116" i="1"/>
  <c r="L8116" i="1" s="1"/>
  <c r="J8125" i="1"/>
  <c r="L8125" i="1" s="1"/>
  <c r="J8133" i="1"/>
  <c r="L8133" i="1" s="1"/>
  <c r="J8134" i="1"/>
  <c r="L8134" i="1" s="1"/>
  <c r="J8141" i="1"/>
  <c r="L8141" i="1" s="1"/>
  <c r="J8142" i="1"/>
  <c r="L8142" i="1" s="1"/>
  <c r="J8158" i="1"/>
  <c r="L8158" i="1" s="1"/>
  <c r="J8159" i="1"/>
  <c r="L8159" i="1" s="1"/>
  <c r="J8185" i="1"/>
  <c r="L8185" i="1" s="1"/>
  <c r="J282" i="1"/>
  <c r="L282" i="1" s="1"/>
  <c r="J283" i="1"/>
  <c r="L283" i="1" s="1"/>
  <c r="J313" i="1"/>
  <c r="L313" i="1" s="1"/>
  <c r="J314" i="1"/>
  <c r="L314" i="1" s="1"/>
  <c r="J336" i="1"/>
  <c r="L336" i="1" s="1"/>
  <c r="J8361" i="1"/>
  <c r="L8361" i="1" s="1"/>
  <c r="J8362" i="1"/>
  <c r="L8362" i="1" s="1"/>
  <c r="J389" i="1"/>
  <c r="L389" i="1" s="1"/>
  <c r="J390" i="1"/>
  <c r="L390" i="1" s="1"/>
  <c r="J408" i="1"/>
  <c r="L408" i="1" s="1"/>
  <c r="J465" i="1"/>
  <c r="L465" i="1" s="1"/>
  <c r="J8384" i="1"/>
  <c r="L8384" i="1" s="1"/>
  <c r="J8385" i="1"/>
  <c r="L8385" i="1" s="1"/>
  <c r="J8388" i="1"/>
  <c r="L8388" i="1" s="1"/>
  <c r="J546" i="1"/>
  <c r="L546" i="1" s="1"/>
  <c r="J593" i="1"/>
  <c r="L593" i="1" s="1"/>
  <c r="J8432" i="1"/>
  <c r="L8432" i="1" s="1"/>
  <c r="J8449" i="1"/>
  <c r="L8449" i="1" s="1"/>
  <c r="J8453" i="1"/>
  <c r="L8453" i="1" s="1"/>
  <c r="J619" i="1"/>
  <c r="L619" i="1" s="1"/>
  <c r="J656" i="1"/>
  <c r="L656" i="1" s="1"/>
  <c r="J8551" i="1"/>
  <c r="L8551" i="1" s="1"/>
  <c r="J670" i="1"/>
  <c r="L670" i="1" s="1"/>
  <c r="J671" i="1"/>
  <c r="L671" i="1" s="1"/>
  <c r="J672" i="1"/>
  <c r="L672" i="1" s="1"/>
  <c r="J673" i="1"/>
  <c r="L673" i="1" s="1"/>
  <c r="J8586" i="1"/>
  <c r="L8586" i="1" s="1"/>
  <c r="J733" i="1"/>
  <c r="L733" i="1" s="1"/>
  <c r="J736" i="1"/>
  <c r="L736" i="1" s="1"/>
  <c r="J744" i="1"/>
  <c r="L744" i="1" s="1"/>
  <c r="J8623" i="1"/>
  <c r="L8623" i="1" s="1"/>
  <c r="J8624" i="1"/>
  <c r="L8624" i="1" s="1"/>
  <c r="J8625" i="1"/>
  <c r="L8625" i="1" s="1"/>
  <c r="J8632" i="1"/>
  <c r="L8632" i="1" s="1"/>
  <c r="J8657" i="1"/>
  <c r="L8657" i="1" s="1"/>
  <c r="J8852" i="1"/>
  <c r="L8852" i="1" s="1"/>
  <c r="J8971" i="1"/>
  <c r="L8971" i="1" s="1"/>
  <c r="J8973" i="1"/>
  <c r="L8973" i="1" s="1"/>
  <c r="J8976" i="1"/>
  <c r="L8976" i="1" s="1"/>
  <c r="J8977" i="1"/>
  <c r="L8977" i="1" s="1"/>
  <c r="J9037" i="1"/>
  <c r="L9037" i="1" s="1"/>
  <c r="J9046" i="1"/>
  <c r="L9046" i="1" s="1"/>
  <c r="J1049" i="1"/>
  <c r="L1049" i="1" s="1"/>
  <c r="J9074" i="1"/>
  <c r="L9074" i="1" s="1"/>
  <c r="J9075" i="1"/>
  <c r="L9075" i="1" s="1"/>
  <c r="J9076" i="1"/>
  <c r="L9076" i="1" s="1"/>
  <c r="J9077" i="1"/>
  <c r="L9077" i="1" s="1"/>
  <c r="J9079" i="1"/>
  <c r="L9079" i="1" s="1"/>
  <c r="J9080" i="1"/>
  <c r="L9080" i="1" s="1"/>
  <c r="J9083" i="1"/>
  <c r="L9083" i="1" s="1"/>
  <c r="J9084" i="1"/>
  <c r="L9084" i="1" s="1"/>
  <c r="J9085" i="1"/>
  <c r="L9085" i="1" s="1"/>
  <c r="J9086" i="1"/>
  <c r="L9086" i="1" s="1"/>
  <c r="J9087" i="1"/>
  <c r="L9087" i="1" s="1"/>
  <c r="J9088" i="1"/>
  <c r="L9088" i="1" s="1"/>
  <c r="J9089" i="1"/>
  <c r="L9089" i="1" s="1"/>
  <c r="J9090" i="1"/>
  <c r="L9090" i="1" s="1"/>
  <c r="J9093" i="1"/>
  <c r="L9093" i="1" s="1"/>
  <c r="J1165" i="1"/>
  <c r="L1165" i="1" s="1"/>
  <c r="J1167" i="1"/>
  <c r="L1167" i="1" s="1"/>
  <c r="J1191" i="1"/>
  <c r="L1191" i="1" s="1"/>
  <c r="J1192" i="1"/>
  <c r="L1192" i="1" s="1"/>
  <c r="J1197" i="1"/>
  <c r="L1197" i="1" s="1"/>
  <c r="J9220" i="1"/>
  <c r="L9220" i="1" s="1"/>
  <c r="J1210" i="1"/>
  <c r="L1210" i="1" s="1"/>
  <c r="J1216" i="1"/>
  <c r="L1216" i="1" s="1"/>
  <c r="J1226" i="1"/>
  <c r="L1226" i="1" s="1"/>
  <c r="J1282" i="1"/>
  <c r="L1282" i="1" s="1"/>
  <c r="J1325" i="1"/>
  <c r="L1325" i="1" s="1"/>
  <c r="J9238" i="1"/>
  <c r="L9238" i="1" s="1"/>
  <c r="J1423" i="1"/>
  <c r="L1423" i="1" s="1"/>
  <c r="J9352" i="1"/>
  <c r="L9352" i="1" s="1"/>
  <c r="J9368" i="1"/>
  <c r="L9368" i="1" s="1"/>
  <c r="J9399" i="1"/>
  <c r="L9399" i="1" s="1"/>
  <c r="J9460" i="1"/>
  <c r="L9460" i="1" s="1"/>
  <c r="J1675" i="1"/>
  <c r="L1675" i="1" s="1"/>
  <c r="J1748" i="1"/>
  <c r="L1748" i="1" s="1"/>
  <c r="J1826" i="1"/>
  <c r="L1826" i="1" s="1"/>
  <c r="J1827" i="1"/>
  <c r="L1827" i="1" s="1"/>
  <c r="J1828" i="1"/>
  <c r="L1828" i="1" s="1"/>
  <c r="J1829" i="1"/>
  <c r="L1829" i="1" s="1"/>
  <c r="J1854" i="1"/>
  <c r="L1854" i="1" s="1"/>
  <c r="J1884" i="1"/>
  <c r="L1884" i="1" s="1"/>
  <c r="J9774" i="1"/>
  <c r="L9774" i="1" s="1"/>
  <c r="J1893" i="1"/>
  <c r="L1893" i="1" s="1"/>
  <c r="J9874" i="1"/>
  <c r="L9874" i="1" s="1"/>
  <c r="J9875" i="1"/>
  <c r="L9875" i="1" s="1"/>
  <c r="J9909" i="1"/>
  <c r="L9909" i="1" s="1"/>
  <c r="J9910" i="1"/>
  <c r="L9910" i="1" s="1"/>
  <c r="J9920" i="1"/>
  <c r="L9920" i="1" s="1"/>
  <c r="J9955" i="1"/>
  <c r="L9955" i="1" s="1"/>
  <c r="J9956" i="1"/>
  <c r="L9956" i="1" s="1"/>
  <c r="J9981" i="1"/>
  <c r="L9981" i="1" s="1"/>
  <c r="J1957" i="1"/>
  <c r="L1957" i="1" s="1"/>
  <c r="J1974" i="1"/>
  <c r="L1974" i="1" s="1"/>
  <c r="J1983" i="1"/>
  <c r="L1983" i="1" s="1"/>
  <c r="J1984" i="1"/>
  <c r="L1984" i="1" s="1"/>
  <c r="J10037" i="1"/>
  <c r="L10037" i="1" s="1"/>
  <c r="J10091" i="1"/>
  <c r="L10091" i="1" s="1"/>
  <c r="J2035" i="1"/>
  <c r="L2035" i="1" s="1"/>
  <c r="J10151" i="1"/>
  <c r="L10151" i="1" s="1"/>
  <c r="J2119" i="1"/>
  <c r="L2119" i="1" s="1"/>
  <c r="J2124" i="1"/>
  <c r="L2124" i="1" s="1"/>
  <c r="J10280" i="1"/>
  <c r="L10280" i="1" s="1"/>
  <c r="J10302" i="1"/>
  <c r="L10302" i="1" s="1"/>
  <c r="J10303" i="1"/>
  <c r="L10303" i="1" s="1"/>
  <c r="J2139" i="1"/>
  <c r="L2139" i="1" s="1"/>
  <c r="J2140" i="1"/>
  <c r="L2140" i="1" s="1"/>
  <c r="J2141" i="1"/>
  <c r="L2141" i="1" s="1"/>
  <c r="J2156" i="1"/>
  <c r="L2156" i="1" s="1"/>
  <c r="J2157" i="1"/>
  <c r="L2157" i="1" s="1"/>
  <c r="J2181" i="1"/>
  <c r="L2181" i="1" s="1"/>
  <c r="J2247" i="1"/>
  <c r="L2247" i="1" s="1"/>
  <c r="J2265" i="1"/>
  <c r="L2265" i="1" s="1"/>
  <c r="J2335" i="1"/>
  <c r="L2335" i="1" s="1"/>
  <c r="J2400" i="1"/>
  <c r="L2400" i="1" s="1"/>
  <c r="J2402" i="1"/>
  <c r="L2402" i="1" s="1"/>
  <c r="J2429" i="1"/>
  <c r="L2429" i="1" s="1"/>
  <c r="J10490" i="1"/>
  <c r="L10490" i="1" s="1"/>
  <c r="J10492" i="1"/>
  <c r="L10492" i="1" s="1"/>
  <c r="J2456" i="1"/>
  <c r="L2456" i="1" s="1"/>
  <c r="J2462" i="1"/>
  <c r="L2462" i="1" s="1"/>
  <c r="J2468" i="1"/>
  <c r="L2468" i="1" s="1"/>
  <c r="J2502" i="1"/>
  <c r="L2502" i="1" s="1"/>
  <c r="J2545" i="1"/>
  <c r="L2545" i="1" s="1"/>
  <c r="J10540" i="1"/>
  <c r="L10540" i="1" s="1"/>
  <c r="J10555" i="1"/>
  <c r="L10555" i="1" s="1"/>
  <c r="J2614" i="1"/>
  <c r="L2614" i="1" s="1"/>
  <c r="J10676" i="1"/>
  <c r="L10676" i="1" s="1"/>
  <c r="J2690" i="1"/>
  <c r="L2690" i="1" s="1"/>
  <c r="J2693" i="1"/>
  <c r="L2693" i="1" s="1"/>
  <c r="J10879" i="1"/>
  <c r="L10879" i="1" s="1"/>
  <c r="J10884" i="1"/>
  <c r="L10884" i="1" s="1"/>
  <c r="J10887" i="1"/>
  <c r="L10887" i="1" s="1"/>
  <c r="J10889" i="1"/>
  <c r="L10889" i="1" s="1"/>
  <c r="J10897" i="1"/>
  <c r="L10897" i="1" s="1"/>
  <c r="J10921" i="1"/>
  <c r="L10921" i="1" s="1"/>
  <c r="J10942" i="1"/>
  <c r="L10942" i="1" s="1"/>
  <c r="J11008" i="1"/>
  <c r="L11008" i="1" s="1"/>
  <c r="J11009" i="1"/>
  <c r="L11009" i="1" s="1"/>
  <c r="J11010" i="1"/>
  <c r="L11010" i="1" s="1"/>
  <c r="J11011" i="1"/>
  <c r="L11011" i="1" s="1"/>
  <c r="J11055" i="1"/>
  <c r="L11055" i="1" s="1"/>
  <c r="J11077" i="1"/>
  <c r="L11077" i="1" s="1"/>
  <c r="J2755" i="1"/>
  <c r="L2755" i="1" s="1"/>
  <c r="J2776" i="1"/>
  <c r="L2776" i="1" s="1"/>
  <c r="J11324" i="1"/>
  <c r="L11324" i="1" s="1"/>
  <c r="J11349" i="1"/>
  <c r="L11349" i="1" s="1"/>
  <c r="J11368" i="1"/>
  <c r="L11368" i="1" s="1"/>
  <c r="J2828" i="1"/>
  <c r="L2828" i="1" s="1"/>
  <c r="J2835" i="1"/>
  <c r="L2835" i="1" s="1"/>
  <c r="J11522" i="1"/>
  <c r="L11522" i="1" s="1"/>
  <c r="J2881" i="1"/>
  <c r="L2881" i="1" s="1"/>
  <c r="J11575" i="1"/>
  <c r="L11575" i="1" s="1"/>
  <c r="J2968" i="1"/>
  <c r="L2968" i="1" s="1"/>
  <c r="J2969" i="1"/>
  <c r="L2969" i="1" s="1"/>
  <c r="J2998" i="1"/>
  <c r="L2998" i="1" s="1"/>
  <c r="J3015" i="1"/>
  <c r="L3015" i="1" s="1"/>
  <c r="J3018" i="1"/>
  <c r="L3018" i="1" s="1"/>
  <c r="J3049" i="1"/>
  <c r="L3049" i="1" s="1"/>
  <c r="J3065" i="1"/>
  <c r="L3065" i="1" s="1"/>
  <c r="J11657" i="1"/>
  <c r="L11657" i="1" s="1"/>
  <c r="J3099" i="1"/>
  <c r="L3099" i="1" s="1"/>
  <c r="J3110" i="1"/>
  <c r="L3110" i="1" s="1"/>
  <c r="J11744" i="1"/>
  <c r="L11744" i="1" s="1"/>
  <c r="J11745" i="1"/>
  <c r="L11745" i="1" s="1"/>
  <c r="J11746" i="1"/>
  <c r="L11746" i="1" s="1"/>
  <c r="J3159" i="1"/>
  <c r="L3159" i="1" s="1"/>
  <c r="J3160" i="1"/>
  <c r="L3160" i="1" s="1"/>
  <c r="J11774" i="1"/>
  <c r="L11774" i="1" s="1"/>
  <c r="J11776" i="1"/>
  <c r="L11776" i="1" s="1"/>
  <c r="J11804" i="1"/>
  <c r="L11804" i="1" s="1"/>
  <c r="J11810" i="1"/>
  <c r="L11810" i="1" s="1"/>
  <c r="J3209" i="1"/>
  <c r="L3209" i="1" s="1"/>
  <c r="J11861" i="1"/>
  <c r="L11861" i="1" s="1"/>
  <c r="J3239" i="1"/>
  <c r="L3239" i="1" s="1"/>
  <c r="J12076" i="1"/>
  <c r="L12076" i="1" s="1"/>
  <c r="J3375" i="1"/>
  <c r="L3375" i="1" s="1"/>
  <c r="J3399" i="1"/>
  <c r="L3399" i="1" s="1"/>
  <c r="J12179" i="1"/>
  <c r="L12179" i="1" s="1"/>
  <c r="J12229" i="1"/>
  <c r="L12229" i="1" s="1"/>
  <c r="J12230" i="1"/>
  <c r="L12230" i="1" s="1"/>
  <c r="J3465" i="1"/>
  <c r="L3465" i="1" s="1"/>
  <c r="J3466" i="1"/>
  <c r="L3466" i="1" s="1"/>
  <c r="J12233" i="1"/>
  <c r="L12233" i="1" s="1"/>
  <c r="J12234" i="1"/>
  <c r="L12234" i="1" s="1"/>
  <c r="J12235" i="1"/>
  <c r="L12235" i="1" s="1"/>
  <c r="J3491" i="1"/>
  <c r="L3491" i="1" s="1"/>
  <c r="J3492" i="1"/>
  <c r="L3492" i="1" s="1"/>
  <c r="J12250" i="1"/>
  <c r="L12250" i="1" s="1"/>
  <c r="J12286" i="1"/>
  <c r="L12286" i="1" s="1"/>
  <c r="J12292" i="1"/>
  <c r="L12292" i="1" s="1"/>
  <c r="J12293" i="1"/>
  <c r="L12293" i="1" s="1"/>
  <c r="J12294" i="1"/>
  <c r="L12294" i="1" s="1"/>
  <c r="J12295" i="1"/>
  <c r="L12295" i="1" s="1"/>
  <c r="J12296" i="1"/>
  <c r="L12296" i="1" s="1"/>
  <c r="J12301" i="1"/>
  <c r="L12301" i="1" s="1"/>
  <c r="J12302" i="1"/>
  <c r="L12302" i="1" s="1"/>
  <c r="J12303" i="1"/>
  <c r="L12303" i="1" s="1"/>
  <c r="J12304" i="1"/>
  <c r="L12304" i="1" s="1"/>
  <c r="J12305" i="1"/>
  <c r="L12305" i="1" s="1"/>
  <c r="J12308" i="1"/>
  <c r="L12308" i="1" s="1"/>
  <c r="J12309" i="1"/>
  <c r="L12309" i="1" s="1"/>
  <c r="J12315" i="1"/>
  <c r="L12315" i="1" s="1"/>
  <c r="J3561" i="1"/>
  <c r="L3561" i="1" s="1"/>
  <c r="J12446" i="1"/>
  <c r="L12446" i="1" s="1"/>
  <c r="J3573" i="1"/>
  <c r="L3573" i="1" s="1"/>
  <c r="J3589" i="1"/>
  <c r="L3589" i="1" s="1"/>
  <c r="J3602" i="1"/>
  <c r="L3602" i="1" s="1"/>
  <c r="J3603" i="1"/>
  <c r="L3603" i="1" s="1"/>
  <c r="J3604" i="1"/>
  <c r="L3604" i="1" s="1"/>
  <c r="J12478" i="1"/>
  <c r="L12478" i="1" s="1"/>
  <c r="J3674" i="1"/>
  <c r="L3674" i="1" s="1"/>
  <c r="J3675" i="1"/>
  <c r="L3675" i="1" s="1"/>
  <c r="J3709" i="1"/>
  <c r="L3709" i="1" s="1"/>
  <c r="J3745" i="1"/>
  <c r="L3745" i="1" s="1"/>
  <c r="J12606" i="1"/>
  <c r="L12606" i="1" s="1"/>
  <c r="J12656" i="1"/>
  <c r="L12656" i="1" s="1"/>
  <c r="J12663" i="1"/>
  <c r="L12663" i="1" s="1"/>
  <c r="J12668" i="1"/>
  <c r="L12668" i="1" s="1"/>
  <c r="J12725" i="1"/>
  <c r="L12725" i="1" s="1"/>
  <c r="J12732" i="1"/>
  <c r="L12732" i="1" s="1"/>
  <c r="J12740" i="1"/>
  <c r="L12740" i="1" s="1"/>
  <c r="J3809" i="1"/>
  <c r="L3809" i="1" s="1"/>
  <c r="J3810" i="1"/>
  <c r="L3810" i="1" s="1"/>
  <c r="J3811" i="1"/>
  <c r="L3811" i="1" s="1"/>
  <c r="J3831" i="1"/>
  <c r="L3831" i="1" s="1"/>
  <c r="J3839" i="1"/>
  <c r="L3839" i="1" s="1"/>
  <c r="J3866" i="1"/>
  <c r="L3866" i="1" s="1"/>
  <c r="J3867" i="1"/>
  <c r="L3867" i="1" s="1"/>
  <c r="J3915" i="1"/>
  <c r="L3915" i="1" s="1"/>
  <c r="J3974" i="1"/>
  <c r="L3974" i="1" s="1"/>
  <c r="J12985" i="1"/>
  <c r="L12985" i="1" s="1"/>
  <c r="J4137" i="1"/>
  <c r="L4137" i="1" s="1"/>
  <c r="J4138" i="1"/>
  <c r="L4138" i="1" s="1"/>
  <c r="J4139" i="1"/>
  <c r="L4139" i="1" s="1"/>
  <c r="J4140" i="1"/>
  <c r="L4140" i="1" s="1"/>
  <c r="J4141" i="1"/>
  <c r="L4141" i="1" s="1"/>
  <c r="J4142" i="1"/>
  <c r="L4142" i="1" s="1"/>
  <c r="J13081" i="1"/>
  <c r="L13081" i="1" s="1"/>
  <c r="J13197" i="1"/>
  <c r="L13197" i="1" s="1"/>
  <c r="J13198" i="1"/>
  <c r="L13198" i="1" s="1"/>
  <c r="J13269" i="1"/>
  <c r="L13269" i="1" s="1"/>
  <c r="J13270" i="1"/>
  <c r="L13270" i="1" s="1"/>
  <c r="J13276" i="1"/>
  <c r="L13276" i="1" s="1"/>
  <c r="J13303" i="1"/>
  <c r="L13303" i="1" s="1"/>
  <c r="J13305" i="1"/>
  <c r="L13305" i="1" s="1"/>
  <c r="J13317" i="1"/>
  <c r="L13317" i="1" s="1"/>
  <c r="J13327" i="1"/>
  <c r="L13327" i="1" s="1"/>
  <c r="J4265" i="1"/>
  <c r="L4265" i="1" s="1"/>
  <c r="J13345" i="1"/>
  <c r="L13345" i="1" s="1"/>
  <c r="J4285" i="1"/>
  <c r="L4285" i="1" s="1"/>
  <c r="J4293" i="1"/>
  <c r="L4293" i="1" s="1"/>
  <c r="J13359" i="1"/>
  <c r="L13359" i="1" s="1"/>
  <c r="J13380" i="1"/>
  <c r="L13380" i="1" s="1"/>
  <c r="J13381" i="1"/>
  <c r="L13381" i="1" s="1"/>
  <c r="J13403" i="1"/>
  <c r="L13403" i="1" s="1"/>
  <c r="J4329" i="1"/>
  <c r="L4329" i="1" s="1"/>
  <c r="J4343" i="1"/>
  <c r="L4343" i="1" s="1"/>
  <c r="J13484" i="1"/>
  <c r="L13484" i="1" s="1"/>
  <c r="J13487" i="1"/>
  <c r="L13487" i="1" s="1"/>
  <c r="J13506" i="1"/>
  <c r="L13506" i="1" s="1"/>
  <c r="J4353" i="1"/>
  <c r="L4353" i="1" s="1"/>
  <c r="J13524" i="1"/>
  <c r="L13524" i="1" s="1"/>
  <c r="J13743" i="1"/>
  <c r="L13743" i="1" s="1"/>
  <c r="J4422" i="1"/>
  <c r="L4422" i="1" s="1"/>
  <c r="J4424" i="1"/>
  <c r="L4424" i="1" s="1"/>
  <c r="J4436" i="1"/>
  <c r="L4436" i="1" s="1"/>
  <c r="J4451" i="1"/>
  <c r="L4451" i="1" s="1"/>
  <c r="J4536" i="1"/>
  <c r="L4536" i="1" s="1"/>
  <c r="J13806" i="1"/>
  <c r="L13806" i="1" s="1"/>
  <c r="J4599" i="1"/>
  <c r="L4599" i="1" s="1"/>
  <c r="J13913" i="1"/>
  <c r="L13913" i="1" s="1"/>
  <c r="J4656" i="1"/>
  <c r="L4656" i="1" s="1"/>
  <c r="J4688" i="1"/>
  <c r="L4688" i="1" s="1"/>
  <c r="J4699" i="1"/>
  <c r="L4699" i="1" s="1"/>
  <c r="J4708" i="1"/>
  <c r="L4708" i="1" s="1"/>
  <c r="J4720" i="1"/>
  <c r="L4720" i="1" s="1"/>
  <c r="J4721" i="1"/>
  <c r="L4721" i="1" s="1"/>
  <c r="J4740" i="1"/>
  <c r="L4740" i="1" s="1"/>
  <c r="J4742" i="1"/>
  <c r="L4742" i="1" s="1"/>
  <c r="J13949" i="1"/>
  <c r="L13949" i="1" s="1"/>
  <c r="J4749" i="1"/>
  <c r="L4749" i="1" s="1"/>
  <c r="J13971" i="1"/>
  <c r="L13971" i="1" s="1"/>
  <c r="J13976" i="1"/>
  <c r="L13976" i="1" s="1"/>
  <c r="J4784" i="1"/>
  <c r="L4784" i="1" s="1"/>
  <c r="J14076" i="1"/>
  <c r="L14076" i="1" s="1"/>
  <c r="J14086" i="1"/>
  <c r="L14086" i="1" s="1"/>
  <c r="J4800" i="1"/>
  <c r="L4800" i="1" s="1"/>
  <c r="J4863" i="1"/>
  <c r="L4863" i="1" s="1"/>
  <c r="J4872" i="1"/>
  <c r="L4872" i="1" s="1"/>
  <c r="J4880" i="1"/>
  <c r="L4880" i="1" s="1"/>
  <c r="J14327" i="1"/>
  <c r="L14327" i="1" s="1"/>
  <c r="J14362" i="1"/>
  <c r="L14362" i="1" s="1"/>
  <c r="J4899" i="1"/>
  <c r="L4899" i="1" s="1"/>
  <c r="J14370" i="1"/>
  <c r="L14370" i="1" s="1"/>
  <c r="J14373" i="1"/>
  <c r="L14373" i="1" s="1"/>
  <c r="J14443" i="1"/>
  <c r="L14443" i="1" s="1"/>
  <c r="J14473" i="1"/>
  <c r="L14473" i="1" s="1"/>
  <c r="J14488" i="1"/>
  <c r="L14488" i="1" s="1"/>
  <c r="J4943" i="1"/>
  <c r="L4943" i="1" s="1"/>
  <c r="J14687" i="1"/>
  <c r="L14687" i="1" s="1"/>
  <c r="J14736" i="1"/>
  <c r="L14736" i="1" s="1"/>
  <c r="J14768" i="1"/>
  <c r="L14768" i="1" s="1"/>
  <c r="J4991" i="1"/>
  <c r="L4991" i="1" s="1"/>
  <c r="J14793" i="1"/>
  <c r="L14793" i="1" s="1"/>
  <c r="J5005" i="1"/>
  <c r="L5005" i="1" s="1"/>
  <c r="J5037" i="1"/>
  <c r="L5037" i="1" s="1"/>
  <c r="J5038" i="1"/>
  <c r="L5038" i="1" s="1"/>
  <c r="J5042" i="1"/>
  <c r="L5042" i="1" s="1"/>
  <c r="J5064" i="1"/>
  <c r="L5064" i="1" s="1"/>
  <c r="J5079" i="1"/>
  <c r="L5079" i="1" s="1"/>
  <c r="J5120" i="1"/>
  <c r="L5120" i="1" s="1"/>
  <c r="J5243" i="1"/>
  <c r="L5243" i="1" s="1"/>
  <c r="J5335" i="1"/>
  <c r="L5335" i="1" s="1"/>
  <c r="J15056" i="1"/>
  <c r="L15056" i="1" s="1"/>
  <c r="J15064" i="1"/>
  <c r="L15064" i="1" s="1"/>
  <c r="J15066" i="1"/>
  <c r="L15066" i="1" s="1"/>
  <c r="J15077" i="1"/>
  <c r="L15077" i="1" s="1"/>
  <c r="J15089" i="1"/>
  <c r="L15089" i="1" s="1"/>
  <c r="J15095" i="1"/>
  <c r="L15095" i="1" s="1"/>
  <c r="J5363" i="1"/>
  <c r="L5363" i="1" s="1"/>
  <c r="J5365" i="1"/>
  <c r="L5365" i="1" s="1"/>
  <c r="J5383" i="1"/>
  <c r="L5383" i="1" s="1"/>
  <c r="J15164" i="1"/>
  <c r="L15164" i="1" s="1"/>
  <c r="J5423" i="1"/>
  <c r="L5423" i="1" s="1"/>
  <c r="J5424" i="1"/>
  <c r="L5424" i="1" s="1"/>
  <c r="J5425" i="1"/>
  <c r="L5425" i="1" s="1"/>
  <c r="J15231" i="1"/>
  <c r="L15231" i="1" s="1"/>
  <c r="J5468" i="1"/>
  <c r="L5468" i="1" s="1"/>
  <c r="J15250" i="1"/>
  <c r="L15250" i="1" s="1"/>
  <c r="J15278" i="1"/>
  <c r="L15278" i="1" s="1"/>
  <c r="J15279" i="1"/>
  <c r="L15279" i="1" s="1"/>
  <c r="J15446" i="1"/>
  <c r="L15446" i="1" s="1"/>
  <c r="J15447" i="1"/>
  <c r="L15447" i="1" s="1"/>
  <c r="J15448" i="1"/>
  <c r="L15448" i="1" s="1"/>
  <c r="J15449" i="1"/>
  <c r="L15449" i="1" s="1"/>
  <c r="J15484" i="1"/>
  <c r="L15484" i="1" s="1"/>
  <c r="J5688" i="1"/>
  <c r="L5688" i="1" s="1"/>
  <c r="J15607" i="1"/>
  <c r="L15607" i="1" s="1"/>
  <c r="J15668" i="1"/>
  <c r="L15668" i="1" s="1"/>
  <c r="J5778" i="1"/>
  <c r="L5778" i="1" s="1"/>
  <c r="J5783" i="1"/>
  <c r="L5783" i="1" s="1"/>
  <c r="J15669" i="1"/>
  <c r="L15669" i="1" s="1"/>
  <c r="J15670" i="1"/>
  <c r="L15670" i="1" s="1"/>
  <c r="J5790" i="1"/>
  <c r="L5790" i="1" s="1"/>
  <c r="J15683" i="1"/>
  <c r="L15683" i="1" s="1"/>
  <c r="J15691" i="1"/>
  <c r="L15691" i="1" s="1"/>
  <c r="J15693" i="1"/>
  <c r="L15693" i="1" s="1"/>
  <c r="J15694" i="1"/>
  <c r="L15694" i="1" s="1"/>
  <c r="J15695" i="1"/>
  <c r="L15695" i="1" s="1"/>
  <c r="J15696" i="1"/>
  <c r="L15696" i="1" s="1"/>
  <c r="J15701" i="1"/>
  <c r="L15701" i="1" s="1"/>
  <c r="J15704" i="1"/>
  <c r="L15704" i="1" s="1"/>
  <c r="J15705" i="1"/>
  <c r="L15705" i="1" s="1"/>
  <c r="J15706" i="1"/>
  <c r="L15706" i="1" s="1"/>
  <c r="J15707" i="1"/>
  <c r="L15707" i="1" s="1"/>
  <c r="J15710" i="1"/>
  <c r="L15710" i="1" s="1"/>
  <c r="J15712" i="1"/>
  <c r="L15712" i="1" s="1"/>
  <c r="J15713" i="1"/>
  <c r="L15713" i="1" s="1"/>
  <c r="J15714" i="1"/>
  <c r="L15714" i="1" s="1"/>
  <c r="J15715" i="1"/>
  <c r="L15715" i="1" s="1"/>
  <c r="J15729" i="1"/>
  <c r="L15729" i="1" s="1"/>
  <c r="J15821" i="1"/>
  <c r="L15821" i="1" s="1"/>
  <c r="J5887" i="1"/>
  <c r="L5887" i="1" s="1"/>
  <c r="J15838" i="1"/>
  <c r="L15838" i="1" s="1"/>
  <c r="J6015" i="1"/>
  <c r="L6015" i="1" s="1"/>
  <c r="J6058" i="1"/>
  <c r="L6058" i="1" s="1"/>
  <c r="J6059" i="1"/>
  <c r="L6059" i="1" s="1"/>
  <c r="J15899" i="1"/>
  <c r="L15899" i="1" s="1"/>
  <c r="J16044" i="1"/>
  <c r="L16044" i="1" s="1"/>
  <c r="J16045" i="1"/>
  <c r="L16045" i="1" s="1"/>
  <c r="J16090" i="1"/>
  <c r="L16090" i="1" s="1"/>
  <c r="J16098" i="1"/>
  <c r="L16098" i="1" s="1"/>
  <c r="J6166" i="1"/>
  <c r="L6166" i="1" s="1"/>
  <c r="J6200" i="1"/>
  <c r="L6200" i="1" s="1"/>
  <c r="J6201" i="1"/>
  <c r="L6201" i="1" s="1"/>
  <c r="J6238" i="1"/>
  <c r="L6238" i="1" s="1"/>
  <c r="J6255" i="1"/>
  <c r="L6255" i="1" s="1"/>
  <c r="J16147" i="1"/>
  <c r="L16147" i="1" s="1"/>
  <c r="J16148" i="1"/>
  <c r="L16148" i="1" s="1"/>
  <c r="J16149" i="1"/>
  <c r="L16149" i="1" s="1"/>
  <c r="J6326" i="1"/>
  <c r="L6326" i="1" s="1"/>
  <c r="J6336" i="1"/>
  <c r="L6336" i="1" s="1"/>
  <c r="J6494" i="1"/>
  <c r="L6494" i="1" s="1"/>
  <c r="J6540" i="1"/>
  <c r="L6540" i="1" s="1"/>
  <c r="J6541" i="1"/>
  <c r="L6541" i="1" s="1"/>
  <c r="J6542" i="1"/>
  <c r="L6542" i="1" s="1"/>
  <c r="J6543" i="1"/>
  <c r="L6543" i="1" s="1"/>
  <c r="J16450" i="1"/>
  <c r="L16450" i="1" s="1"/>
  <c r="J16451" i="1"/>
  <c r="L16451" i="1" s="1"/>
  <c r="J6595" i="1"/>
  <c r="L6595" i="1" s="1"/>
  <c r="J16622" i="1"/>
  <c r="L16622" i="1" s="1"/>
  <c r="J6636" i="1"/>
  <c r="L6636" i="1" s="1"/>
  <c r="J16643" i="1"/>
  <c r="L16643" i="1" s="1"/>
  <c r="J16667" i="1"/>
  <c r="L16667" i="1" s="1"/>
  <c r="J16668" i="1"/>
  <c r="L16668" i="1" s="1"/>
  <c r="J16686" i="1"/>
  <c r="L16686" i="1" s="1"/>
  <c r="J16689" i="1"/>
  <c r="L16689" i="1" s="1"/>
  <c r="J16720" i="1"/>
  <c r="L16720" i="1" s="1"/>
  <c r="J16745" i="1"/>
  <c r="L16745" i="1" s="1"/>
  <c r="J16823" i="1"/>
  <c r="L16823" i="1" s="1"/>
  <c r="J16835" i="1"/>
  <c r="L16835" i="1" s="1"/>
  <c r="J16875" i="1"/>
  <c r="L16875" i="1" s="1"/>
  <c r="J16951" i="1"/>
  <c r="L16951" i="1" s="1"/>
  <c r="J6843" i="1"/>
  <c r="L6843" i="1" s="1"/>
  <c r="J6984" i="1"/>
  <c r="L6984" i="1" s="1"/>
  <c r="J6992" i="1"/>
  <c r="L6992" i="1" s="1"/>
  <c r="J7004" i="1"/>
  <c r="L7004" i="1" s="1"/>
  <c r="J7016" i="1"/>
  <c r="L7016" i="1" s="1"/>
  <c r="J17186" i="1"/>
  <c r="L17186" i="1" s="1"/>
  <c r="J7051" i="1"/>
  <c r="L7051" i="1" s="1"/>
  <c r="J7052" i="1"/>
  <c r="L7052" i="1" s="1"/>
  <c r="J7096" i="1"/>
  <c r="L7096" i="1" s="1"/>
  <c r="J7114" i="1"/>
  <c r="L7114" i="1" s="1"/>
  <c r="J7140" i="1"/>
  <c r="L7140" i="1" s="1"/>
  <c r="J7149" i="1"/>
  <c r="L7149" i="1" s="1"/>
  <c r="J7186" i="1"/>
  <c r="L7186" i="1" s="1"/>
  <c r="J7196" i="1"/>
  <c r="L7196" i="1" s="1"/>
  <c r="J7197" i="1"/>
  <c r="L7197" i="1" s="1"/>
  <c r="J7198" i="1"/>
  <c r="L7198" i="1" s="1"/>
  <c r="J7204" i="1"/>
  <c r="L7204" i="1" s="1"/>
  <c r="J7222" i="1"/>
  <c r="L7222" i="1" s="1"/>
  <c r="J7223" i="1"/>
  <c r="L7223" i="1" s="1"/>
  <c r="J7280" i="1"/>
  <c r="L7280" i="1" s="1"/>
  <c r="J7294" i="1"/>
  <c r="L7294" i="1" s="1"/>
  <c r="J84" i="1"/>
  <c r="L84" i="1" s="1"/>
  <c r="J7611" i="1"/>
  <c r="L7611" i="1" s="1"/>
  <c r="J7694" i="1"/>
  <c r="L7694" i="1" s="1"/>
  <c r="J7736" i="1"/>
  <c r="L7736" i="1" s="1"/>
  <c r="J7829" i="1"/>
  <c r="L7829" i="1" s="1"/>
  <c r="J8028" i="1"/>
  <c r="L8028" i="1" s="1"/>
  <c r="J8066" i="1"/>
  <c r="L8066" i="1" s="1"/>
  <c r="J252" i="1"/>
  <c r="L252" i="1" s="1"/>
  <c r="J8173" i="1"/>
  <c r="L8173" i="1" s="1"/>
  <c r="J337" i="1"/>
  <c r="L337" i="1" s="1"/>
  <c r="J380" i="1"/>
  <c r="L380" i="1" s="1"/>
  <c r="J383" i="1"/>
  <c r="L383" i="1" s="1"/>
  <c r="J384" i="1"/>
  <c r="L384" i="1" s="1"/>
  <c r="J464" i="1"/>
  <c r="L464" i="1" s="1"/>
  <c r="J560" i="1"/>
  <c r="L560" i="1" s="1"/>
  <c r="J567" i="1"/>
  <c r="L567" i="1" s="1"/>
  <c r="J590" i="1"/>
  <c r="L590" i="1" s="1"/>
  <c r="J8410" i="1"/>
  <c r="L8410" i="1" s="1"/>
  <c r="J8412" i="1"/>
  <c r="L8412" i="1" s="1"/>
  <c r="J8424" i="1"/>
  <c r="L8424" i="1" s="1"/>
  <c r="J628" i="1"/>
  <c r="L628" i="1" s="1"/>
  <c r="J8509" i="1"/>
  <c r="L8509" i="1" s="1"/>
  <c r="J8524" i="1"/>
  <c r="L8524" i="1" s="1"/>
  <c r="J698" i="1"/>
  <c r="L698" i="1" s="1"/>
  <c r="J704" i="1"/>
  <c r="L704" i="1" s="1"/>
  <c r="J8578" i="1"/>
  <c r="L8578" i="1" s="1"/>
  <c r="J8621" i="1"/>
  <c r="L8621" i="1" s="1"/>
  <c r="J8622" i="1"/>
  <c r="L8622" i="1" s="1"/>
  <c r="J752" i="1"/>
  <c r="L752" i="1" s="1"/>
  <c r="J808" i="1"/>
  <c r="L808" i="1" s="1"/>
  <c r="J8794" i="1"/>
  <c r="L8794" i="1" s="1"/>
  <c r="J909" i="1"/>
  <c r="L909" i="1" s="1"/>
  <c r="J912" i="1"/>
  <c r="L912" i="1" s="1"/>
  <c r="J9036" i="1"/>
  <c r="L9036" i="1" s="1"/>
  <c r="J1025" i="1"/>
  <c r="L1025" i="1" s="1"/>
  <c r="J1033" i="1"/>
  <c r="L1033" i="1" s="1"/>
  <c r="J9160" i="1"/>
  <c r="L9160" i="1" s="1"/>
  <c r="J1183" i="1"/>
  <c r="L1183" i="1" s="1"/>
  <c r="J1202" i="1"/>
  <c r="L1202" i="1" s="1"/>
  <c r="J1280" i="1"/>
  <c r="L1280" i="1" s="1"/>
  <c r="J1281" i="1"/>
  <c r="L1281" i="1" s="1"/>
  <c r="J1324" i="1"/>
  <c r="L1324" i="1" s="1"/>
  <c r="J9236" i="1"/>
  <c r="L9236" i="1" s="1"/>
  <c r="J9237" i="1"/>
  <c r="L9237" i="1" s="1"/>
  <c r="J9375" i="1"/>
  <c r="L9375" i="1" s="1"/>
  <c r="J9401" i="1"/>
  <c r="L9401" i="1" s="1"/>
  <c r="J9431" i="1"/>
  <c r="L9431" i="1" s="1"/>
  <c r="J9434" i="1"/>
  <c r="L9434" i="1" s="1"/>
  <c r="J9468" i="1"/>
  <c r="L9468" i="1" s="1"/>
  <c r="J1465" i="1"/>
  <c r="L1465" i="1" s="1"/>
  <c r="J1466" i="1"/>
  <c r="L1466" i="1" s="1"/>
  <c r="J1559" i="1"/>
  <c r="L1559" i="1" s="1"/>
  <c r="J9521" i="1"/>
  <c r="L9521" i="1" s="1"/>
  <c r="J1711" i="1"/>
  <c r="L1711" i="1" s="1"/>
  <c r="J1759" i="1"/>
  <c r="L1759" i="1" s="1"/>
  <c r="J1820" i="1"/>
  <c r="L1820" i="1" s="1"/>
  <c r="J1821" i="1"/>
  <c r="L1821" i="1" s="1"/>
  <c r="J1822" i="1"/>
  <c r="L1822" i="1" s="1"/>
  <c r="J1823" i="1"/>
  <c r="L1823" i="1" s="1"/>
  <c r="J1824" i="1"/>
  <c r="L1824" i="1" s="1"/>
  <c r="J1825" i="1"/>
  <c r="L1825" i="1" s="1"/>
  <c r="J1853" i="1"/>
  <c r="L1853" i="1" s="1"/>
  <c r="J1878" i="1"/>
  <c r="L1878" i="1" s="1"/>
  <c r="J1892" i="1"/>
  <c r="L1892" i="1" s="1"/>
  <c r="J9857" i="1"/>
  <c r="L9857" i="1" s="1"/>
  <c r="J9915" i="1"/>
  <c r="L9915" i="1" s="1"/>
  <c r="J9938" i="1"/>
  <c r="L9938" i="1" s="1"/>
  <c r="J9954" i="1"/>
  <c r="L9954" i="1" s="1"/>
  <c r="J9959" i="1"/>
  <c r="L9959" i="1" s="1"/>
  <c r="J9970" i="1"/>
  <c r="L9970" i="1" s="1"/>
  <c r="J9982" i="1"/>
  <c r="L9982" i="1" s="1"/>
  <c r="J1969" i="1"/>
  <c r="L1969" i="1" s="1"/>
  <c r="J1990" i="1"/>
  <c r="L1990" i="1" s="1"/>
  <c r="J10030" i="1"/>
  <c r="L10030" i="1" s="1"/>
  <c r="J10058" i="1"/>
  <c r="L10058" i="1" s="1"/>
  <c r="J10070" i="1"/>
  <c r="L10070" i="1" s="1"/>
  <c r="J10075" i="1"/>
  <c r="L10075" i="1" s="1"/>
  <c r="J10144" i="1"/>
  <c r="L10144" i="1" s="1"/>
  <c r="J2072" i="1"/>
  <c r="L2072" i="1" s="1"/>
  <c r="J2076" i="1"/>
  <c r="L2076" i="1" s="1"/>
  <c r="J2083" i="1"/>
  <c r="L2083" i="1" s="1"/>
  <c r="J10245" i="1"/>
  <c r="L10245" i="1" s="1"/>
  <c r="J10246" i="1"/>
  <c r="L10246" i="1" s="1"/>
  <c r="J2155" i="1"/>
  <c r="L2155" i="1" s="1"/>
  <c r="J2180" i="1"/>
  <c r="L2180" i="1" s="1"/>
  <c r="J2237" i="1"/>
  <c r="L2237" i="1" s="1"/>
  <c r="J10377" i="1"/>
  <c r="L10377" i="1" s="1"/>
  <c r="J10396" i="1"/>
  <c r="L10396" i="1" s="1"/>
  <c r="J2501" i="1"/>
  <c r="L2501" i="1" s="1"/>
  <c r="J2513" i="1"/>
  <c r="L2513" i="1" s="1"/>
  <c r="J2518" i="1"/>
  <c r="L2518" i="1" s="1"/>
  <c r="J10524" i="1"/>
  <c r="L10524" i="1" s="1"/>
  <c r="J10551" i="1"/>
  <c r="L10551" i="1" s="1"/>
  <c r="J2613" i="1"/>
  <c r="L2613" i="1" s="1"/>
  <c r="J2627" i="1"/>
  <c r="L2627" i="1" s="1"/>
  <c r="J2655" i="1"/>
  <c r="L2655" i="1" s="1"/>
  <c r="J2679" i="1"/>
  <c r="L2679" i="1" s="1"/>
  <c r="J10903" i="1"/>
  <c r="L10903" i="1" s="1"/>
  <c r="J10923" i="1"/>
  <c r="L10923" i="1" s="1"/>
  <c r="J10924" i="1"/>
  <c r="L10924" i="1" s="1"/>
  <c r="J11007" i="1"/>
  <c r="L11007" i="1" s="1"/>
  <c r="J11254" i="1"/>
  <c r="L11254" i="1" s="1"/>
  <c r="J11323" i="1"/>
  <c r="L11323" i="1" s="1"/>
  <c r="J11348" i="1"/>
  <c r="L11348" i="1" s="1"/>
  <c r="J11384" i="1"/>
  <c r="L11384" i="1" s="1"/>
  <c r="J11385" i="1"/>
  <c r="L11385" i="1" s="1"/>
  <c r="J2964" i="1"/>
  <c r="L2964" i="1" s="1"/>
  <c r="J2965" i="1"/>
  <c r="L2965" i="1" s="1"/>
  <c r="J2967" i="1"/>
  <c r="L2967" i="1" s="1"/>
  <c r="J2966" i="1"/>
  <c r="L2966" i="1" s="1"/>
  <c r="J3062" i="1"/>
  <c r="L3062" i="1" s="1"/>
  <c r="J3063" i="1"/>
  <c r="L3063" i="1" s="1"/>
  <c r="J3079" i="1"/>
  <c r="L3079" i="1" s="1"/>
  <c r="J3089" i="1"/>
  <c r="L3089" i="1" s="1"/>
  <c r="J11636" i="1"/>
  <c r="L11636" i="1" s="1"/>
  <c r="J3109" i="1"/>
  <c r="L3109" i="1" s="1"/>
  <c r="J3112" i="1"/>
  <c r="L3112" i="1" s="1"/>
  <c r="J11814" i="1"/>
  <c r="L11814" i="1" s="1"/>
  <c r="J11822" i="1"/>
  <c r="L11822" i="1" s="1"/>
  <c r="J11856" i="1"/>
  <c r="L11856" i="1" s="1"/>
  <c r="J3250" i="1"/>
  <c r="L3250" i="1" s="1"/>
  <c r="J11887" i="1"/>
  <c r="L11887" i="1" s="1"/>
  <c r="J11888" i="1"/>
  <c r="L11888" i="1" s="1"/>
  <c r="J12162" i="1"/>
  <c r="L12162" i="1" s="1"/>
  <c r="J3483" i="1"/>
  <c r="L3483" i="1" s="1"/>
  <c r="J3497" i="1"/>
  <c r="L3497" i="1" s="1"/>
  <c r="J12299" i="1"/>
  <c r="L12299" i="1" s="1"/>
  <c r="J12300" i="1"/>
  <c r="L12300" i="1" s="1"/>
  <c r="J12368" i="1"/>
  <c r="L12368" i="1" s="1"/>
  <c r="J3549" i="1"/>
  <c r="L3549" i="1" s="1"/>
  <c r="J12447" i="1"/>
  <c r="L12447" i="1" s="1"/>
  <c r="J12456" i="1"/>
  <c r="L12456" i="1" s="1"/>
  <c r="J3584" i="1"/>
  <c r="L3584" i="1" s="1"/>
  <c r="J3585" i="1"/>
  <c r="L3585" i="1" s="1"/>
  <c r="J3599" i="1"/>
  <c r="L3599" i="1" s="1"/>
  <c r="J3673" i="1"/>
  <c r="L3673" i="1" s="1"/>
  <c r="J3708" i="1"/>
  <c r="L3708" i="1" s="1"/>
  <c r="J3744" i="1"/>
  <c r="L3744" i="1" s="1"/>
  <c r="J12654" i="1"/>
  <c r="L12654" i="1" s="1"/>
  <c r="J12670" i="1"/>
  <c r="L12670" i="1" s="1"/>
  <c r="J12672" i="1"/>
  <c r="L12672" i="1" s="1"/>
  <c r="J12684" i="1"/>
  <c r="L12684" i="1" s="1"/>
  <c r="J12705" i="1"/>
  <c r="L12705" i="1" s="1"/>
  <c r="J12711" i="1"/>
  <c r="L12711" i="1" s="1"/>
  <c r="J12721" i="1"/>
  <c r="L12721" i="1" s="1"/>
  <c r="J3806" i="1"/>
  <c r="L3806" i="1" s="1"/>
  <c r="J3819" i="1"/>
  <c r="L3819" i="1" s="1"/>
  <c r="J3878" i="1"/>
  <c r="L3878" i="1" s="1"/>
  <c r="J3950" i="1"/>
  <c r="L3950" i="1" s="1"/>
  <c r="J12789" i="1"/>
  <c r="L12789" i="1" s="1"/>
  <c r="J4017" i="1"/>
  <c r="L4017" i="1" s="1"/>
  <c r="J4078" i="1"/>
  <c r="L4078" i="1" s="1"/>
  <c r="J4083" i="1"/>
  <c r="L4083" i="1" s="1"/>
  <c r="J4084" i="1"/>
  <c r="L4084" i="1" s="1"/>
  <c r="J4134" i="1"/>
  <c r="L4134" i="1" s="1"/>
  <c r="J4135" i="1"/>
  <c r="L4135" i="1" s="1"/>
  <c r="J4136" i="1"/>
  <c r="L4136" i="1" s="1"/>
  <c r="J13075" i="1"/>
  <c r="L13075" i="1" s="1"/>
  <c r="J13196" i="1"/>
  <c r="L13196" i="1" s="1"/>
  <c r="J13245" i="1"/>
  <c r="L13245" i="1" s="1"/>
  <c r="J13246" i="1"/>
  <c r="L13246" i="1" s="1"/>
  <c r="J13261" i="1"/>
  <c r="L13261" i="1" s="1"/>
  <c r="J13262" i="1"/>
  <c r="L13262" i="1" s="1"/>
  <c r="J13263" i="1"/>
  <c r="L13263" i="1" s="1"/>
  <c r="J13264" i="1"/>
  <c r="L13264" i="1" s="1"/>
  <c r="J13265" i="1"/>
  <c r="L13265" i="1" s="1"/>
  <c r="J13266" i="1"/>
  <c r="L13266" i="1" s="1"/>
  <c r="J13267" i="1"/>
  <c r="L13267" i="1" s="1"/>
  <c r="J13268" i="1"/>
  <c r="L13268" i="1" s="1"/>
  <c r="J13291" i="1"/>
  <c r="L13291" i="1" s="1"/>
  <c r="J13323" i="1"/>
  <c r="L13323" i="1" s="1"/>
  <c r="J4271" i="1"/>
  <c r="L4271" i="1" s="1"/>
  <c r="J4276" i="1"/>
  <c r="L4276" i="1" s="1"/>
  <c r="J13375" i="1"/>
  <c r="L13375" i="1" s="1"/>
  <c r="J13378" i="1"/>
  <c r="L13378" i="1" s="1"/>
  <c r="J13379" i="1"/>
  <c r="L13379" i="1" s="1"/>
  <c r="J13387" i="1"/>
  <c r="L13387" i="1" s="1"/>
  <c r="J13464" i="1"/>
  <c r="L13464" i="1" s="1"/>
  <c r="J13501" i="1"/>
  <c r="L13501" i="1" s="1"/>
  <c r="J13606" i="1"/>
  <c r="L13606" i="1" s="1"/>
  <c r="J4407" i="1"/>
  <c r="L4407" i="1" s="1"/>
  <c r="J13636" i="1"/>
  <c r="L13636" i="1" s="1"/>
  <c r="J13763" i="1"/>
  <c r="L13763" i="1" s="1"/>
  <c r="J4505" i="1"/>
  <c r="L4505" i="1" s="1"/>
  <c r="J4555" i="1"/>
  <c r="L4555" i="1" s="1"/>
  <c r="J4609" i="1"/>
  <c r="L4609" i="1" s="1"/>
  <c r="J4706" i="1"/>
  <c r="L4706" i="1" s="1"/>
  <c r="J4707" i="1"/>
  <c r="L4707" i="1" s="1"/>
  <c r="J4710" i="1"/>
  <c r="L4710" i="1" s="1"/>
  <c r="J13966" i="1"/>
  <c r="L13966" i="1" s="1"/>
  <c r="J4773" i="1"/>
  <c r="L4773" i="1" s="1"/>
  <c r="J4774" i="1"/>
  <c r="L4774" i="1" s="1"/>
  <c r="J4775" i="1"/>
  <c r="L4775" i="1" s="1"/>
  <c r="J4787" i="1"/>
  <c r="L4787" i="1" s="1"/>
  <c r="J4801" i="1"/>
  <c r="L4801" i="1" s="1"/>
  <c r="J4812" i="1"/>
  <c r="L4812" i="1" s="1"/>
  <c r="J4824" i="1"/>
  <c r="L4824" i="1" s="1"/>
  <c r="J4830" i="1"/>
  <c r="L4830" i="1" s="1"/>
  <c r="J14229" i="1"/>
  <c r="L14229" i="1" s="1"/>
  <c r="C16" i="4" s="1"/>
  <c r="J4878" i="1"/>
  <c r="L4878" i="1" s="1"/>
  <c r="J14303" i="1"/>
  <c r="L14303" i="1" s="1"/>
  <c r="J14325" i="1"/>
  <c r="L14325" i="1" s="1"/>
  <c r="J14330" i="1"/>
  <c r="L14330" i="1" s="1"/>
  <c r="J14464" i="1"/>
  <c r="L14464" i="1" s="1"/>
  <c r="J14470" i="1"/>
  <c r="L14470" i="1" s="1"/>
  <c r="J14482" i="1"/>
  <c r="L14482" i="1" s="1"/>
  <c r="J14690" i="1"/>
  <c r="L14690" i="1" s="1"/>
  <c r="J14700" i="1"/>
  <c r="L14700" i="1" s="1"/>
  <c r="J14702" i="1"/>
  <c r="L14702" i="1" s="1"/>
  <c r="J14735" i="1"/>
  <c r="L14735" i="1" s="1"/>
  <c r="J4980" i="1"/>
  <c r="L4980" i="1" s="1"/>
  <c r="J14738" i="1"/>
  <c r="L14738" i="1" s="1"/>
  <c r="J14755" i="1"/>
  <c r="L14755" i="1" s="1"/>
  <c r="J14756" i="1"/>
  <c r="L14756" i="1" s="1"/>
  <c r="J14757" i="1"/>
  <c r="L14757" i="1" s="1"/>
  <c r="J14776" i="1"/>
  <c r="L14776" i="1" s="1"/>
  <c r="J14821" i="1"/>
  <c r="L14821" i="1" s="1"/>
  <c r="J5045" i="1"/>
  <c r="L5045" i="1" s="1"/>
  <c r="J5046" i="1"/>
  <c r="L5046" i="1" s="1"/>
  <c r="J5052" i="1"/>
  <c r="L5052" i="1" s="1"/>
  <c r="J5096" i="1"/>
  <c r="L5096" i="1" s="1"/>
  <c r="J5103" i="1"/>
  <c r="L5103" i="1" s="1"/>
  <c r="J5191" i="1"/>
  <c r="L5191" i="1" s="1"/>
  <c r="J5193" i="1"/>
  <c r="L5193" i="1" s="1"/>
  <c r="J5192" i="1"/>
  <c r="L5192" i="1" s="1"/>
  <c r="J5194" i="1"/>
  <c r="L5194" i="1" s="1"/>
  <c r="J15016" i="1"/>
  <c r="L15016" i="1" s="1"/>
  <c r="J15017" i="1"/>
  <c r="L15017" i="1" s="1"/>
  <c r="J5302" i="1"/>
  <c r="L5302" i="1" s="1"/>
  <c r="J5312" i="1"/>
  <c r="L5312" i="1" s="1"/>
  <c r="J15038" i="1"/>
  <c r="L15038" i="1" s="1"/>
  <c r="J15039" i="1"/>
  <c r="L15039" i="1" s="1"/>
  <c r="J15063" i="1"/>
  <c r="L15063" i="1" s="1"/>
  <c r="J15073" i="1"/>
  <c r="L15073" i="1" s="1"/>
  <c r="J15092" i="1"/>
  <c r="L15092" i="1" s="1"/>
  <c r="J5407" i="1"/>
  <c r="L5407" i="1" s="1"/>
  <c r="J5414" i="1"/>
  <c r="L5414" i="1" s="1"/>
  <c r="J15213" i="1"/>
  <c r="L15213" i="1" s="1"/>
  <c r="J5441" i="1"/>
  <c r="L5441" i="1" s="1"/>
  <c r="J5476" i="1"/>
  <c r="L5476" i="1" s="1"/>
  <c r="J15255" i="1"/>
  <c r="L15255" i="1" s="1"/>
  <c r="J5562" i="1"/>
  <c r="L5562" i="1" s="1"/>
  <c r="J15445" i="1"/>
  <c r="L15445" i="1" s="1"/>
  <c r="J15483" i="1"/>
  <c r="L15483" i="1" s="1"/>
  <c r="J15523" i="1"/>
  <c r="L15523" i="1" s="1"/>
  <c r="J5671" i="1"/>
  <c r="L5671" i="1" s="1"/>
  <c r="J15585" i="1"/>
  <c r="L15585" i="1" s="1"/>
  <c r="J15606" i="1"/>
  <c r="L15606" i="1" s="1"/>
  <c r="J5764" i="1"/>
  <c r="L5764" i="1" s="1"/>
  <c r="J5776" i="1"/>
  <c r="L5776" i="1" s="1"/>
  <c r="J5777" i="1"/>
  <c r="L5777" i="1" s="1"/>
  <c r="J15671" i="1"/>
  <c r="L15671" i="1" s="1"/>
  <c r="J15676" i="1"/>
  <c r="L15676" i="1" s="1"/>
  <c r="J5797" i="1"/>
  <c r="L5797" i="1" s="1"/>
  <c r="J5798" i="1"/>
  <c r="L5798" i="1" s="1"/>
  <c r="J15686" i="1"/>
  <c r="L15686" i="1" s="1"/>
  <c r="J5820" i="1"/>
  <c r="L5820" i="1" s="1"/>
  <c r="J15716" i="1"/>
  <c r="L15716" i="1" s="1"/>
  <c r="J5843" i="1"/>
  <c r="L5843" i="1" s="1"/>
  <c r="J15785" i="1"/>
  <c r="L15785" i="1" s="1"/>
  <c r="J15839" i="1"/>
  <c r="L15839" i="1" s="1"/>
  <c r="J6014" i="1"/>
  <c r="L6014" i="1" s="1"/>
  <c r="J6163" i="1"/>
  <c r="L6163" i="1" s="1"/>
  <c r="J15975" i="1"/>
  <c r="L15975" i="1" s="1"/>
  <c r="J15979" i="1"/>
  <c r="L15979" i="1" s="1"/>
  <c r="J16018" i="1"/>
  <c r="L16018" i="1" s="1"/>
  <c r="J16030" i="1"/>
  <c r="L16030" i="1" s="1"/>
  <c r="J16041" i="1"/>
  <c r="L16041" i="1" s="1"/>
  <c r="J16070" i="1"/>
  <c r="L16070" i="1" s="1"/>
  <c r="J6199" i="1"/>
  <c r="L6199" i="1" s="1"/>
  <c r="J6222" i="1"/>
  <c r="L6222" i="1" s="1"/>
  <c r="J6303" i="1"/>
  <c r="L6303" i="1" s="1"/>
  <c r="J6335" i="1"/>
  <c r="L6335" i="1" s="1"/>
  <c r="J6338" i="1"/>
  <c r="L6338" i="1" s="1"/>
  <c r="J6400" i="1"/>
  <c r="L6400" i="1" s="1"/>
  <c r="J6484" i="1"/>
  <c r="L6484" i="1" s="1"/>
  <c r="J16430" i="1"/>
  <c r="L16430" i="1" s="1"/>
  <c r="J6539" i="1"/>
  <c r="L6539" i="1" s="1"/>
  <c r="J16457" i="1"/>
  <c r="L16457" i="1" s="1"/>
  <c r="J16556" i="1"/>
  <c r="L16556" i="1" s="1"/>
  <c r="J16569" i="1"/>
  <c r="L16569" i="1" s="1"/>
  <c r="J16570" i="1"/>
  <c r="L16570" i="1" s="1"/>
  <c r="J16571" i="1"/>
  <c r="L16571" i="1" s="1"/>
  <c r="J16658" i="1"/>
  <c r="L16658" i="1" s="1"/>
  <c r="J16669" i="1"/>
  <c r="L16669" i="1" s="1"/>
  <c r="J16677" i="1"/>
  <c r="L16677" i="1" s="1"/>
  <c r="J6674" i="1"/>
  <c r="L6674" i="1" s="1"/>
  <c r="J6684" i="1"/>
  <c r="L6684" i="1" s="1"/>
  <c r="J16694" i="1"/>
  <c r="L16694" i="1" s="1"/>
  <c r="J6709" i="1"/>
  <c r="L6709" i="1" s="1"/>
  <c r="J16719" i="1"/>
  <c r="L16719" i="1" s="1"/>
  <c r="J16724" i="1"/>
  <c r="L16724" i="1" s="1"/>
  <c r="J16731" i="1"/>
  <c r="L16731" i="1" s="1"/>
  <c r="J16809" i="1"/>
  <c r="L16809" i="1" s="1"/>
  <c r="J16839" i="1"/>
  <c r="L16839" i="1" s="1"/>
  <c r="J16840" i="1"/>
  <c r="L16840" i="1" s="1"/>
  <c r="J16849" i="1"/>
  <c r="L16849" i="1" s="1"/>
  <c r="J6747" i="1"/>
  <c r="L6747" i="1" s="1"/>
  <c r="J6761" i="1"/>
  <c r="L6761" i="1" s="1"/>
  <c r="J6813" i="1"/>
  <c r="L6813" i="1" s="1"/>
  <c r="J6817" i="1"/>
  <c r="L6817" i="1" s="1"/>
  <c r="J6819" i="1"/>
  <c r="L6819" i="1" s="1"/>
  <c r="J6835" i="1"/>
  <c r="L6835" i="1" s="1"/>
  <c r="J6971" i="1"/>
  <c r="L6971" i="1" s="1"/>
  <c r="J17154" i="1"/>
  <c r="L17154" i="1" s="1"/>
  <c r="J17179" i="1"/>
  <c r="L17179" i="1" s="1"/>
  <c r="J7036" i="1"/>
  <c r="L7036" i="1" s="1"/>
  <c r="J17185" i="1"/>
  <c r="L17185" i="1" s="1"/>
  <c r="J17266" i="1"/>
  <c r="L17266" i="1" s="1"/>
  <c r="J7156" i="1"/>
  <c r="L7156" i="1" s="1"/>
  <c r="J7195" i="1"/>
  <c r="L7195" i="1" s="1"/>
  <c r="J7202" i="1"/>
  <c r="L7202" i="1" s="1"/>
  <c r="J7203" i="1"/>
  <c r="L7203" i="1" s="1"/>
  <c r="J7221" i="1"/>
  <c r="L7221" i="1" s="1"/>
  <c r="J7231" i="1"/>
  <c r="L7231" i="1" s="1"/>
  <c r="J7246" i="1"/>
  <c r="L7246" i="1" s="1"/>
  <c r="J7251" i="1"/>
  <c r="L7251" i="1" s="1"/>
  <c r="J24" i="1"/>
  <c r="L24" i="1" s="1"/>
  <c r="J7439" i="1"/>
  <c r="L7439" i="1" s="1"/>
  <c r="J90" i="1"/>
  <c r="L90" i="1" s="1"/>
  <c r="J7549" i="1"/>
  <c r="L7549" i="1" s="1"/>
  <c r="J124" i="1"/>
  <c r="L124" i="1" s="1"/>
  <c r="J7708" i="1"/>
  <c r="L7708" i="1" s="1"/>
  <c r="J7710" i="1"/>
  <c r="L7710" i="1" s="1"/>
  <c r="J7735" i="1"/>
  <c r="L7735" i="1" s="1"/>
  <c r="J7827" i="1"/>
  <c r="L7827" i="1" s="1"/>
  <c r="J7828" i="1"/>
  <c r="L7828" i="1" s="1"/>
  <c r="J8031" i="1"/>
  <c r="L8031" i="1" s="1"/>
  <c r="J8097" i="1"/>
  <c r="L8097" i="1" s="1"/>
  <c r="J8114" i="1"/>
  <c r="L8114" i="1" s="1"/>
  <c r="J8115" i="1"/>
  <c r="L8115" i="1" s="1"/>
  <c r="J8132" i="1"/>
  <c r="L8132" i="1" s="1"/>
  <c r="J8153" i="1"/>
  <c r="L8153" i="1" s="1"/>
  <c r="J8165" i="1"/>
  <c r="L8165" i="1" s="1"/>
  <c r="J342" i="1"/>
  <c r="L342" i="1" s="1"/>
  <c r="J373" i="1"/>
  <c r="L373" i="1" s="1"/>
  <c r="J374" i="1"/>
  <c r="L374" i="1" s="1"/>
  <c r="J461" i="1"/>
  <c r="L461" i="1" s="1"/>
  <c r="J462" i="1"/>
  <c r="L462" i="1" s="1"/>
  <c r="J463" i="1"/>
  <c r="L463" i="1" s="1"/>
  <c r="J503" i="1"/>
  <c r="L503" i="1" s="1"/>
  <c r="J8395" i="1"/>
  <c r="L8395" i="1" s="1"/>
  <c r="J583" i="1"/>
  <c r="L583" i="1" s="1"/>
  <c r="J587" i="1"/>
  <c r="L587" i="1" s="1"/>
  <c r="J8418" i="1"/>
  <c r="L8418" i="1" s="1"/>
  <c r="J615" i="1"/>
  <c r="L615" i="1" s="1"/>
  <c r="J631" i="1"/>
  <c r="L631" i="1" s="1"/>
  <c r="J663" i="1"/>
  <c r="L663" i="1" s="1"/>
  <c r="J737" i="1"/>
  <c r="L737" i="1" s="1"/>
  <c r="J8631" i="1"/>
  <c r="L8631" i="1" s="1"/>
  <c r="J8633" i="1"/>
  <c r="L8633" i="1" s="1"/>
  <c r="J758" i="1"/>
  <c r="L758" i="1" s="1"/>
  <c r="J8653" i="1"/>
  <c r="L8653" i="1" s="1"/>
  <c r="J8793" i="1"/>
  <c r="L8793" i="1" s="1"/>
  <c r="J8807" i="1"/>
  <c r="L8807" i="1" s="1"/>
  <c r="J8969" i="1"/>
  <c r="L8969" i="1" s="1"/>
  <c r="J8970" i="1"/>
  <c r="L8970" i="1" s="1"/>
  <c r="J8993" i="1"/>
  <c r="L8993" i="1" s="1"/>
  <c r="J964" i="1"/>
  <c r="L964" i="1" s="1"/>
  <c r="J1023" i="1"/>
  <c r="L1023" i="1" s="1"/>
  <c r="J1024" i="1"/>
  <c r="L1024" i="1" s="1"/>
  <c r="J9041" i="1"/>
  <c r="L9041" i="1" s="1"/>
  <c r="J1041" i="1"/>
  <c r="L1041" i="1" s="1"/>
  <c r="J9059" i="1"/>
  <c r="L9059" i="1" s="1"/>
  <c r="J9081" i="1"/>
  <c r="L9081" i="1" s="1"/>
  <c r="J9082" i="1"/>
  <c r="L9082" i="1" s="1"/>
  <c r="J1150" i="1"/>
  <c r="L1150" i="1" s="1"/>
  <c r="J1277" i="1"/>
  <c r="L1277" i="1" s="1"/>
  <c r="J1278" i="1"/>
  <c r="L1278" i="1" s="1"/>
  <c r="J1279" i="1"/>
  <c r="L1279" i="1" s="1"/>
  <c r="J1322" i="1"/>
  <c r="L1322" i="1" s="1"/>
  <c r="J1323" i="1"/>
  <c r="L1323" i="1" s="1"/>
  <c r="J9232" i="1"/>
  <c r="L9232" i="1" s="1"/>
  <c r="J9233" i="1"/>
  <c r="L9233" i="1" s="1"/>
  <c r="J9234" i="1"/>
  <c r="L9234" i="1" s="1"/>
  <c r="J9235" i="1"/>
  <c r="L9235" i="1" s="1"/>
  <c r="J9376" i="1"/>
  <c r="L9376" i="1" s="1"/>
  <c r="J9466" i="1"/>
  <c r="L9466" i="1" s="1"/>
  <c r="J9474" i="1"/>
  <c r="L9474" i="1" s="1"/>
  <c r="J1428" i="1"/>
  <c r="L1428" i="1" s="1"/>
  <c r="J1515" i="1"/>
  <c r="L1515" i="1" s="1"/>
  <c r="J1541" i="1"/>
  <c r="L1541" i="1" s="1"/>
  <c r="J1669" i="1"/>
  <c r="L1669" i="1" s="1"/>
  <c r="J1725" i="1"/>
  <c r="L1725" i="1" s="1"/>
  <c r="J1745" i="1"/>
  <c r="L1745" i="1" s="1"/>
  <c r="J1816" i="1"/>
  <c r="L1816" i="1" s="1"/>
  <c r="J1817" i="1"/>
  <c r="L1817" i="1" s="1"/>
  <c r="J1818" i="1"/>
  <c r="L1818" i="1" s="1"/>
  <c r="J1819" i="1"/>
  <c r="L1819" i="1" s="1"/>
  <c r="J1852" i="1"/>
  <c r="L1852" i="1" s="1"/>
  <c r="J9755" i="1"/>
  <c r="L9755" i="1" s="1"/>
  <c r="J9758" i="1"/>
  <c r="L9758" i="1" s="1"/>
  <c r="J1891" i="1"/>
  <c r="L1891" i="1" s="1"/>
  <c r="J1895" i="1"/>
  <c r="L1895" i="1" s="1"/>
  <c r="J9858" i="1"/>
  <c r="L9858" i="1" s="1"/>
  <c r="J9872" i="1"/>
  <c r="L9872" i="1" s="1"/>
  <c r="J9873" i="1"/>
  <c r="L9873" i="1" s="1"/>
  <c r="J1927" i="1"/>
  <c r="L1927" i="1" s="1"/>
  <c r="J9930" i="1"/>
  <c r="L9930" i="1" s="1"/>
  <c r="J9953" i="1"/>
  <c r="L9953" i="1" s="1"/>
  <c r="J9968" i="1"/>
  <c r="L9968" i="1" s="1"/>
  <c r="J9969" i="1"/>
  <c r="L9969" i="1" s="1"/>
  <c r="J9991" i="1"/>
  <c r="L9991" i="1" s="1"/>
  <c r="J9999" i="1"/>
  <c r="L9999" i="1" s="1"/>
  <c r="J1965" i="1"/>
  <c r="L1965" i="1" s="1"/>
  <c r="J1973" i="1"/>
  <c r="L1973" i="1" s="1"/>
  <c r="J1987" i="1"/>
  <c r="L1987" i="1" s="1"/>
  <c r="J10082" i="1"/>
  <c r="L10082" i="1" s="1"/>
  <c r="J10244" i="1"/>
  <c r="L10244" i="1" s="1"/>
  <c r="J2114" i="1"/>
  <c r="L2114" i="1" s="1"/>
  <c r="J10311" i="1"/>
  <c r="L10311" i="1" s="1"/>
  <c r="J10312" i="1"/>
  <c r="L10312" i="1" s="1"/>
  <c r="J10313" i="1"/>
  <c r="L10313" i="1" s="1"/>
  <c r="J2227" i="1"/>
  <c r="L2227" i="1" s="1"/>
  <c r="J2274" i="1"/>
  <c r="L2274" i="1" s="1"/>
  <c r="J2285" i="1"/>
  <c r="L2285" i="1" s="1"/>
  <c r="J2289" i="1"/>
  <c r="L2289" i="1" s="1"/>
  <c r="J2290" i="1"/>
  <c r="L2290" i="1" s="1"/>
  <c r="J2291" i="1"/>
  <c r="L2291" i="1" s="1"/>
  <c r="J2292" i="1"/>
  <c r="L2292" i="1" s="1"/>
  <c r="J2297" i="1"/>
  <c r="L2297" i="1" s="1"/>
  <c r="J2298" i="1"/>
  <c r="L2298" i="1" s="1"/>
  <c r="J2299" i="1"/>
  <c r="L2299" i="1" s="1"/>
  <c r="J2311" i="1"/>
  <c r="L2311" i="1" s="1"/>
  <c r="J10421" i="1"/>
  <c r="L10421" i="1" s="1"/>
  <c r="J2314" i="1"/>
  <c r="L2314" i="1" s="1"/>
  <c r="J2315" i="1"/>
  <c r="L2315" i="1" s="1"/>
  <c r="J2316" i="1"/>
  <c r="L2316" i="1" s="1"/>
  <c r="J2317" i="1"/>
  <c r="L2317" i="1" s="1"/>
  <c r="J2321" i="1"/>
  <c r="L2321" i="1" s="1"/>
  <c r="J2386" i="1"/>
  <c r="L2386" i="1" s="1"/>
  <c r="J2410" i="1"/>
  <c r="L2410" i="1" s="1"/>
  <c r="J2411" i="1"/>
  <c r="L2411" i="1" s="1"/>
  <c r="J2436" i="1"/>
  <c r="L2436" i="1" s="1"/>
  <c r="J2449" i="1"/>
  <c r="L2449" i="1" s="1"/>
  <c r="J2491" i="1"/>
  <c r="L2491" i="1" s="1"/>
  <c r="J2500" i="1"/>
  <c r="L2500" i="1" s="1"/>
  <c r="J2512" i="1"/>
  <c r="L2512" i="1" s="1"/>
  <c r="J10538" i="1"/>
  <c r="L10538" i="1" s="1"/>
  <c r="J10539" i="1"/>
  <c r="L10539" i="1" s="1"/>
  <c r="J2609" i="1"/>
  <c r="L2609" i="1" s="1"/>
  <c r="J2612" i="1"/>
  <c r="L2612" i="1" s="1"/>
  <c r="J10663" i="1"/>
  <c r="L10663" i="1" s="1"/>
  <c r="J2641" i="1"/>
  <c r="L2641" i="1" s="1"/>
  <c r="J10813" i="1"/>
  <c r="L10813" i="1" s="1"/>
  <c r="J10890" i="1"/>
  <c r="L10890" i="1" s="1"/>
  <c r="J10894" i="1"/>
  <c r="L10894" i="1" s="1"/>
  <c r="J11029" i="1"/>
  <c r="L11029" i="1" s="1"/>
  <c r="J11042" i="1"/>
  <c r="L11042" i="1" s="1"/>
  <c r="J11078" i="1"/>
  <c r="L11078" i="1" s="1"/>
  <c r="J11257" i="1"/>
  <c r="L11257" i="1" s="1"/>
  <c r="J11315" i="1"/>
  <c r="L11315" i="1" s="1"/>
  <c r="J11327" i="1"/>
  <c r="L11327" i="1" s="1"/>
  <c r="J11334" i="1"/>
  <c r="L11334" i="1" s="1"/>
  <c r="J11346" i="1"/>
  <c r="L11346" i="1" s="1"/>
  <c r="J11347" i="1"/>
  <c r="L11347" i="1" s="1"/>
  <c r="J2859" i="1"/>
  <c r="L2859" i="1" s="1"/>
  <c r="J2962" i="1"/>
  <c r="L2962" i="1" s="1"/>
  <c r="J2963" i="1"/>
  <c r="L2963" i="1" s="1"/>
  <c r="J11596" i="1"/>
  <c r="L11596" i="1" s="1"/>
  <c r="J3086" i="1"/>
  <c r="L3086" i="1" s="1"/>
  <c r="J11640" i="1"/>
  <c r="L11640" i="1" s="1"/>
  <c r="J3236" i="1"/>
  <c r="L3236" i="1" s="1"/>
  <c r="J12035" i="1"/>
  <c r="L12035" i="1" s="1"/>
  <c r="J12082" i="1"/>
  <c r="L12082" i="1" s="1"/>
  <c r="J12105" i="1"/>
  <c r="L12105" i="1" s="1"/>
  <c r="J12117" i="1"/>
  <c r="L12117" i="1" s="1"/>
  <c r="J3379" i="1"/>
  <c r="L3379" i="1" s="1"/>
  <c r="J3380" i="1"/>
  <c r="L3380" i="1" s="1"/>
  <c r="J12161" i="1"/>
  <c r="L12161" i="1" s="1"/>
  <c r="J12285" i="1"/>
  <c r="L12285" i="1" s="1"/>
  <c r="J12298" i="1"/>
  <c r="L12298" i="1" s="1"/>
  <c r="J3513" i="1"/>
  <c r="L3513" i="1" s="1"/>
  <c r="J3594" i="1"/>
  <c r="L3594" i="1" s="1"/>
  <c r="J12476" i="1"/>
  <c r="L12476" i="1" s="1"/>
  <c r="J3612" i="1"/>
  <c r="L3612" i="1" s="1"/>
  <c r="J3672" i="1"/>
  <c r="L3672" i="1" s="1"/>
  <c r="J3705" i="1"/>
  <c r="L3705" i="1" s="1"/>
  <c r="J3706" i="1"/>
  <c r="L3706" i="1" s="1"/>
  <c r="J3707" i="1"/>
  <c r="L3707" i="1" s="1"/>
  <c r="J3741" i="1"/>
  <c r="L3741" i="1" s="1"/>
  <c r="J3742" i="1"/>
  <c r="L3742" i="1" s="1"/>
  <c r="J3743" i="1"/>
  <c r="L3743" i="1" s="1"/>
  <c r="J12643" i="1"/>
  <c r="L12643" i="1" s="1"/>
  <c r="J12677" i="1"/>
  <c r="L12677" i="1" s="1"/>
  <c r="J12679" i="1"/>
  <c r="L12679" i="1" s="1"/>
  <c r="J12731" i="1"/>
  <c r="L12731" i="1" s="1"/>
  <c r="J3838" i="1"/>
  <c r="L3838" i="1" s="1"/>
  <c r="J3900" i="1"/>
  <c r="L3900" i="1" s="1"/>
  <c r="J3972" i="1"/>
  <c r="L3972" i="1" s="1"/>
  <c r="J4000" i="1"/>
  <c r="L4000" i="1" s="1"/>
  <c r="J12914" i="1"/>
  <c r="L12914" i="1" s="1"/>
  <c r="J12988" i="1"/>
  <c r="L12988" i="1" s="1"/>
  <c r="J4129" i="1"/>
  <c r="L4129" i="1" s="1"/>
  <c r="J4130" i="1"/>
  <c r="L4130" i="1" s="1"/>
  <c r="J4131" i="1"/>
  <c r="L4131" i="1" s="1"/>
  <c r="J4132" i="1"/>
  <c r="L4132" i="1" s="1"/>
  <c r="J4133" i="1"/>
  <c r="L4133" i="1" s="1"/>
  <c r="J13093" i="1"/>
  <c r="L13093" i="1" s="1"/>
  <c r="J4204" i="1"/>
  <c r="L4204" i="1" s="1"/>
  <c r="J13259" i="1"/>
  <c r="L13259" i="1" s="1"/>
  <c r="J13260" i="1"/>
  <c r="L13260" i="1" s="1"/>
  <c r="J13287" i="1"/>
  <c r="L13287" i="1" s="1"/>
  <c r="J13288" i="1"/>
  <c r="L13288" i="1" s="1"/>
  <c r="J13289" i="1"/>
  <c r="L13289" i="1" s="1"/>
  <c r="J13290" i="1"/>
  <c r="L13290" i="1" s="1"/>
  <c r="J13331" i="1"/>
  <c r="L13331" i="1" s="1"/>
  <c r="J13343" i="1"/>
  <c r="L13343" i="1" s="1"/>
  <c r="J4277" i="1"/>
  <c r="L4277" i="1" s="1"/>
  <c r="J4291" i="1"/>
  <c r="L4291" i="1" s="1"/>
  <c r="J13377" i="1"/>
  <c r="L13377" i="1" s="1"/>
  <c r="J13402" i="1"/>
  <c r="L13402" i="1" s="1"/>
  <c r="J13463" i="1"/>
  <c r="L13463" i="1" s="1"/>
  <c r="J13493" i="1"/>
  <c r="L13493" i="1" s="1"/>
  <c r="J13605" i="1"/>
  <c r="L13605" i="1" s="1"/>
  <c r="J4405" i="1"/>
  <c r="L4405" i="1" s="1"/>
  <c r="J13617" i="1"/>
  <c r="L13617" i="1" s="1"/>
  <c r="J13639" i="1"/>
  <c r="L13639" i="1" s="1"/>
  <c r="J13725" i="1"/>
  <c r="L13725" i="1" s="1"/>
  <c r="J4421" i="1"/>
  <c r="L4421" i="1" s="1"/>
  <c r="J4423" i="1"/>
  <c r="L4423" i="1" s="1"/>
  <c r="J13811" i="1"/>
  <c r="L13811" i="1" s="1"/>
  <c r="J4598" i="1"/>
  <c r="L4598" i="1" s="1"/>
  <c r="J4634" i="1"/>
  <c r="L4634" i="1" s="1"/>
  <c r="J4705" i="1"/>
  <c r="L4705" i="1" s="1"/>
  <c r="J4718" i="1"/>
  <c r="L4718" i="1" s="1"/>
  <c r="J4719" i="1"/>
  <c r="L4719" i="1" s="1"/>
  <c r="J4730" i="1"/>
  <c r="L4730" i="1" s="1"/>
  <c r="J4758" i="1"/>
  <c r="L4758" i="1" s="1"/>
  <c r="J14094" i="1"/>
  <c r="L14094" i="1" s="1"/>
  <c r="J14096" i="1"/>
  <c r="L14096" i="1" s="1"/>
  <c r="J4818" i="1"/>
  <c r="L4818" i="1" s="1"/>
  <c r="J14372" i="1"/>
  <c r="L14372" i="1" s="1"/>
  <c r="J14440" i="1"/>
  <c r="L14440" i="1" s="1"/>
  <c r="J14441" i="1"/>
  <c r="L14441" i="1" s="1"/>
  <c r="J14442" i="1"/>
  <c r="L14442" i="1" s="1"/>
  <c r="J14486" i="1"/>
  <c r="L14486" i="1" s="1"/>
  <c r="J14695" i="1"/>
  <c r="L14695" i="1" s="1"/>
  <c r="J14734" i="1"/>
  <c r="L14734" i="1" s="1"/>
  <c r="J14749" i="1"/>
  <c r="L14749" i="1" s="1"/>
  <c r="J14754" i="1"/>
  <c r="L14754" i="1" s="1"/>
  <c r="J14766" i="1"/>
  <c r="L14766" i="1" s="1"/>
  <c r="J14767" i="1"/>
  <c r="L14767" i="1" s="1"/>
  <c r="J14795" i="1"/>
  <c r="L14795" i="1" s="1"/>
  <c r="J14796" i="1"/>
  <c r="L14796" i="1" s="1"/>
  <c r="J14820" i="1"/>
  <c r="L14820" i="1" s="1"/>
  <c r="J5109" i="1"/>
  <c r="L5109" i="1" s="1"/>
  <c r="J5114" i="1"/>
  <c r="L5114" i="1" s="1"/>
  <c r="J5189" i="1"/>
  <c r="L5189" i="1" s="1"/>
  <c r="J5190" i="1"/>
  <c r="L5190" i="1" s="1"/>
  <c r="J5330" i="1"/>
  <c r="L5330" i="1" s="1"/>
  <c r="J15054" i="1"/>
  <c r="L15054" i="1" s="1"/>
  <c r="J15060" i="1"/>
  <c r="L15060" i="1" s="1"/>
  <c r="J5352" i="1"/>
  <c r="L5352" i="1" s="1"/>
  <c r="J5369" i="1"/>
  <c r="L5369" i="1" s="1"/>
  <c r="J15183" i="1"/>
  <c r="L15183" i="1" s="1"/>
  <c r="J15212" i="1"/>
  <c r="L15212" i="1" s="1"/>
  <c r="J5435" i="1"/>
  <c r="L5435" i="1" s="1"/>
  <c r="J5475" i="1"/>
  <c r="L5475" i="1" s="1"/>
  <c r="J5481" i="1"/>
  <c r="L5481" i="1" s="1"/>
  <c r="J15275" i="1"/>
  <c r="L15275" i="1" s="1"/>
  <c r="J15276" i="1"/>
  <c r="L15276" i="1" s="1"/>
  <c r="J15277" i="1"/>
  <c r="L15277" i="1" s="1"/>
  <c r="J5518" i="1"/>
  <c r="L5518" i="1" s="1"/>
  <c r="J5546" i="1"/>
  <c r="L5546" i="1" s="1"/>
  <c r="J5566" i="1"/>
  <c r="L5566" i="1" s="1"/>
  <c r="J15519" i="1"/>
  <c r="L15519" i="1" s="1"/>
  <c r="J15666" i="1"/>
  <c r="L15666" i="1" s="1"/>
  <c r="J15667" i="1"/>
  <c r="L15667" i="1" s="1"/>
  <c r="J5775" i="1"/>
  <c r="L5775" i="1" s="1"/>
  <c r="J5796" i="1"/>
  <c r="L5796" i="1" s="1"/>
  <c r="J15698" i="1"/>
  <c r="L15698" i="1" s="1"/>
  <c r="J15699" i="1"/>
  <c r="L15699" i="1" s="1"/>
  <c r="J15822" i="1"/>
  <c r="L15822" i="1" s="1"/>
  <c r="J5915" i="1"/>
  <c r="L5915" i="1" s="1"/>
  <c r="J5922" i="1"/>
  <c r="L5922" i="1" s="1"/>
  <c r="J5935" i="1"/>
  <c r="L5935" i="1" s="1"/>
  <c r="J5937" i="1"/>
  <c r="L5937" i="1" s="1"/>
  <c r="J5938" i="1"/>
  <c r="L5938" i="1" s="1"/>
  <c r="J15842" i="1"/>
  <c r="L15842" i="1" s="1"/>
  <c r="J6011" i="1"/>
  <c r="L6011" i="1" s="1"/>
  <c r="J6012" i="1"/>
  <c r="L6012" i="1" s="1"/>
  <c r="J6013" i="1"/>
  <c r="L6013" i="1" s="1"/>
  <c r="J6056" i="1"/>
  <c r="L6056" i="1" s="1"/>
  <c r="J6057" i="1"/>
  <c r="L6057" i="1" s="1"/>
  <c r="J6152" i="1"/>
  <c r="L6152" i="1" s="1"/>
  <c r="J6162" i="1"/>
  <c r="L6162" i="1" s="1"/>
  <c r="C20" i="4" s="1"/>
  <c r="J16006" i="1"/>
  <c r="L16006" i="1" s="1"/>
  <c r="J16013" i="1"/>
  <c r="L16013" i="1" s="1"/>
  <c r="J16015" i="1"/>
  <c r="L16015" i="1" s="1"/>
  <c r="J16036" i="1"/>
  <c r="L16036" i="1" s="1"/>
  <c r="J16058" i="1"/>
  <c r="L16058" i="1" s="1"/>
  <c r="J16096" i="1"/>
  <c r="L16096" i="1" s="1"/>
  <c r="J6237" i="1"/>
  <c r="L6237" i="1" s="1"/>
  <c r="J6319" i="1"/>
  <c r="L6319" i="1" s="1"/>
  <c r="J6320" i="1"/>
  <c r="L6320" i="1" s="1"/>
  <c r="J6321" i="1"/>
  <c r="L6321" i="1" s="1"/>
  <c r="J6341" i="1"/>
  <c r="L6341" i="1" s="1"/>
  <c r="J6373" i="1"/>
  <c r="L6373" i="1" s="1"/>
  <c r="J6420" i="1"/>
  <c r="L6420" i="1" s="1"/>
  <c r="J16351" i="1"/>
  <c r="L16351" i="1" s="1"/>
  <c r="J6476" i="1"/>
  <c r="L6476" i="1" s="1"/>
  <c r="J16417" i="1"/>
  <c r="L16417" i="1" s="1"/>
  <c r="J16418" i="1"/>
  <c r="L16418" i="1" s="1"/>
  <c r="J6530" i="1"/>
  <c r="L6530" i="1" s="1"/>
  <c r="J6531" i="1"/>
  <c r="L6531" i="1" s="1"/>
  <c r="J6532" i="1"/>
  <c r="L6532" i="1" s="1"/>
  <c r="J6533" i="1"/>
  <c r="L6533" i="1" s="1"/>
  <c r="J6534" i="1"/>
  <c r="L6534" i="1" s="1"/>
  <c r="J6535" i="1"/>
  <c r="L6535" i="1" s="1"/>
  <c r="J6536" i="1"/>
  <c r="L6536" i="1" s="1"/>
  <c r="J6537" i="1"/>
  <c r="L6537" i="1" s="1"/>
  <c r="J6538" i="1"/>
  <c r="L6538" i="1" s="1"/>
  <c r="J6556" i="1"/>
  <c r="L6556" i="1" s="1"/>
  <c r="J6557" i="1"/>
  <c r="L6557" i="1" s="1"/>
  <c r="J16465" i="1"/>
  <c r="L16465" i="1" s="1"/>
  <c r="J16566" i="1"/>
  <c r="L16566" i="1" s="1"/>
  <c r="J16567" i="1"/>
  <c r="L16567" i="1" s="1"/>
  <c r="J16568" i="1"/>
  <c r="L16568" i="1" s="1"/>
  <c r="J16641" i="1"/>
  <c r="L16641" i="1" s="1"/>
  <c r="J16642" i="1"/>
  <c r="L16642" i="1" s="1"/>
  <c r="J16650" i="1"/>
  <c r="L16650" i="1" s="1"/>
  <c r="J16657" i="1"/>
  <c r="L16657" i="1" s="1"/>
  <c r="J6668" i="1"/>
  <c r="L6668" i="1" s="1"/>
  <c r="J6679" i="1"/>
  <c r="L6679" i="1" s="1"/>
  <c r="J16701" i="1"/>
  <c r="L16701" i="1" s="1"/>
  <c r="J16703" i="1"/>
  <c r="L16703" i="1" s="1"/>
  <c r="J16718" i="1"/>
  <c r="L16718" i="1" s="1"/>
  <c r="J16751" i="1"/>
  <c r="L16751" i="1" s="1"/>
  <c r="J16753" i="1"/>
  <c r="L16753" i="1" s="1"/>
  <c r="J16833" i="1"/>
  <c r="L16833" i="1" s="1"/>
  <c r="J16834" i="1"/>
  <c r="L16834" i="1" s="1"/>
  <c r="J16950" i="1"/>
  <c r="L16950" i="1" s="1"/>
  <c r="J6937" i="1"/>
  <c r="L6937" i="1" s="1"/>
  <c r="J6939" i="1"/>
  <c r="L6939" i="1" s="1"/>
  <c r="J6969" i="1"/>
  <c r="L6969" i="1" s="1"/>
  <c r="J6977" i="1"/>
  <c r="L6977" i="1" s="1"/>
  <c r="J6988" i="1"/>
  <c r="L6988" i="1" s="1"/>
  <c r="J6989" i="1"/>
  <c r="L6989" i="1" s="1"/>
  <c r="J6993" i="1"/>
  <c r="L6993" i="1" s="1"/>
  <c r="J6999" i="1"/>
  <c r="L6999" i="1" s="1"/>
  <c r="J7002" i="1"/>
  <c r="L7002" i="1" s="1"/>
  <c r="J7003" i="1"/>
  <c r="L7003" i="1" s="1"/>
  <c r="J7018" i="1"/>
  <c r="L7018" i="1" s="1"/>
  <c r="J17254" i="1"/>
  <c r="L17254" i="1" s="1"/>
  <c r="J17265" i="1"/>
  <c r="L17265" i="1" s="1"/>
  <c r="J7128" i="1"/>
  <c r="L7128" i="1" s="1"/>
  <c r="J17270" i="1"/>
  <c r="L17270" i="1" s="1"/>
  <c r="J7194" i="1"/>
  <c r="L7194" i="1" s="1"/>
  <c r="J7201" i="1"/>
  <c r="L7201" i="1" s="1"/>
  <c r="J7208" i="1"/>
  <c r="L7208" i="1" s="1"/>
  <c r="J7209" i="1"/>
  <c r="L7209" i="1" s="1"/>
  <c r="J7219" i="1"/>
  <c r="L7219" i="1" s="1"/>
  <c r="J7220" i="1"/>
  <c r="L7220" i="1" s="1"/>
  <c r="J7250" i="1"/>
  <c r="L7250" i="1" s="1"/>
  <c r="J7279" i="1"/>
  <c r="L7279" i="1" s="1"/>
  <c r="J7298" i="1"/>
  <c r="L7298" i="1" s="1"/>
  <c r="J45" i="1"/>
  <c r="L45" i="1" s="1"/>
  <c r="J54" i="1"/>
  <c r="L54" i="1" s="1"/>
  <c r="J7405" i="1"/>
  <c r="L7405" i="1" s="1"/>
  <c r="J7438" i="1"/>
  <c r="L7438" i="1" s="1"/>
  <c r="J79" i="1"/>
  <c r="L79" i="1" s="1"/>
  <c r="J7445" i="1"/>
  <c r="L7445" i="1" s="1"/>
  <c r="J7612" i="1"/>
  <c r="L7612" i="1" s="1"/>
  <c r="J7660" i="1"/>
  <c r="L7660" i="1" s="1"/>
  <c r="J7668" i="1"/>
  <c r="L7668" i="1" s="1"/>
  <c r="J7672" i="1"/>
  <c r="L7672" i="1" s="1"/>
  <c r="J7734" i="1"/>
  <c r="L7734" i="1" s="1"/>
  <c r="J7740" i="1"/>
  <c r="L7740" i="1" s="1"/>
  <c r="J7824" i="1"/>
  <c r="L7824" i="1" s="1"/>
  <c r="J7825" i="1"/>
  <c r="L7825" i="1" s="1"/>
  <c r="J7826" i="1"/>
  <c r="L7826" i="1" s="1"/>
  <c r="J7843" i="1"/>
  <c r="L7843" i="1" s="1"/>
  <c r="J7905" i="1"/>
  <c r="L7905" i="1" s="1"/>
  <c r="J8046" i="1"/>
  <c r="L8046" i="1" s="1"/>
  <c r="J8112" i="1"/>
  <c r="L8112" i="1" s="1"/>
  <c r="J8113" i="1"/>
  <c r="L8113" i="1" s="1"/>
  <c r="J8124" i="1"/>
  <c r="L8124" i="1" s="1"/>
  <c r="J8130" i="1"/>
  <c r="L8130" i="1" s="1"/>
  <c r="J8131" i="1"/>
  <c r="L8131" i="1" s="1"/>
  <c r="J8157" i="1"/>
  <c r="L8157" i="1" s="1"/>
  <c r="J8164" i="1"/>
  <c r="L8164" i="1" s="1"/>
  <c r="J8172" i="1"/>
  <c r="L8172" i="1" s="1"/>
  <c r="J8196" i="1"/>
  <c r="L8196" i="1" s="1"/>
  <c r="J294" i="1"/>
  <c r="L294" i="1" s="1"/>
  <c r="J352" i="1"/>
  <c r="L352" i="1" s="1"/>
  <c r="J391" i="1"/>
  <c r="L391" i="1" s="1"/>
  <c r="J392" i="1"/>
  <c r="L392" i="1" s="1"/>
  <c r="J459" i="1"/>
  <c r="L459" i="1" s="1"/>
  <c r="J460" i="1"/>
  <c r="L460" i="1" s="1"/>
  <c r="J482" i="1"/>
  <c r="L482" i="1" s="1"/>
  <c r="J592" i="1"/>
  <c r="L592" i="1" s="1"/>
  <c r="J8439" i="1"/>
  <c r="L8439" i="1" s="1"/>
  <c r="J8515" i="1"/>
  <c r="L8515" i="1" s="1"/>
  <c r="J8594" i="1"/>
  <c r="L8594" i="1" s="1"/>
  <c r="J8652" i="1"/>
  <c r="L8652" i="1" s="1"/>
  <c r="J8803" i="1"/>
  <c r="L8803" i="1" s="1"/>
  <c r="J8875" i="1"/>
  <c r="L8875" i="1" s="1"/>
  <c r="J8910" i="1"/>
  <c r="L8910" i="1" s="1"/>
  <c r="J919" i="1"/>
  <c r="L919" i="1" s="1"/>
  <c r="J920" i="1"/>
  <c r="L920" i="1" s="1"/>
  <c r="J8947" i="1"/>
  <c r="L8947" i="1" s="1"/>
  <c r="J942" i="1"/>
  <c r="L942" i="1" s="1"/>
  <c r="J1275" i="1"/>
  <c r="L1275" i="1" s="1"/>
  <c r="J1276" i="1"/>
  <c r="L1276" i="1" s="1"/>
  <c r="J1319" i="1"/>
  <c r="L1319" i="1" s="1"/>
  <c r="J1320" i="1"/>
  <c r="L1320" i="1" s="1"/>
  <c r="J1321" i="1"/>
  <c r="L1321" i="1" s="1"/>
  <c r="J9231" i="1"/>
  <c r="L9231" i="1" s="1"/>
  <c r="J9239" i="1"/>
  <c r="L9239" i="1" s="1"/>
  <c r="J9443" i="1"/>
  <c r="L9443" i="1" s="1"/>
  <c r="J9470" i="1"/>
  <c r="L9470" i="1" s="1"/>
  <c r="J1523" i="1"/>
  <c r="L1523" i="1" s="1"/>
  <c r="J1540" i="1"/>
  <c r="L1540" i="1" s="1"/>
  <c r="J1623" i="1"/>
  <c r="L1623" i="1" s="1"/>
  <c r="J1630" i="1"/>
  <c r="L1630" i="1" s="1"/>
  <c r="J1677" i="1"/>
  <c r="L1677" i="1" s="1"/>
  <c r="J1687" i="1"/>
  <c r="L1687" i="1" s="1"/>
  <c r="J9753" i="1"/>
  <c r="L9753" i="1" s="1"/>
  <c r="J9754" i="1"/>
  <c r="L9754" i="1" s="1"/>
  <c r="J9757" i="1"/>
  <c r="L9757" i="1" s="1"/>
  <c r="J9761" i="1"/>
  <c r="L9761" i="1" s="1"/>
  <c r="J9762" i="1"/>
  <c r="L9762" i="1" s="1"/>
  <c r="J9763" i="1"/>
  <c r="L9763" i="1" s="1"/>
  <c r="J9766" i="1"/>
  <c r="L9766" i="1" s="1"/>
  <c r="J9862" i="1"/>
  <c r="L9862" i="1" s="1"/>
  <c r="J9937" i="1"/>
  <c r="L9937" i="1" s="1"/>
  <c r="J9948" i="1"/>
  <c r="L9948" i="1" s="1"/>
  <c r="J9949" i="1"/>
  <c r="L9949" i="1" s="1"/>
  <c r="J9950" i="1"/>
  <c r="L9950" i="1" s="1"/>
  <c r="J9951" i="1"/>
  <c r="L9951" i="1" s="1"/>
  <c r="J9952" i="1"/>
  <c r="L9952" i="1" s="1"/>
  <c r="J9995" i="1"/>
  <c r="L9995" i="1" s="1"/>
  <c r="J9998" i="1"/>
  <c r="L9998" i="1" s="1"/>
  <c r="J1970" i="1"/>
  <c r="L1970" i="1" s="1"/>
  <c r="J1980" i="1"/>
  <c r="L1980" i="1" s="1"/>
  <c r="J10025" i="1"/>
  <c r="L10025" i="1" s="1"/>
  <c r="J1999" i="1"/>
  <c r="L1999" i="1" s="1"/>
  <c r="J10052" i="1"/>
  <c r="L10052" i="1" s="1"/>
  <c r="J10053" i="1"/>
  <c r="L10053" i="1" s="1"/>
  <c r="J10057" i="1"/>
  <c r="L10057" i="1" s="1"/>
  <c r="J10242" i="1"/>
  <c r="L10242" i="1" s="1"/>
  <c r="J10243" i="1"/>
  <c r="L10243" i="1" s="1"/>
  <c r="J10256" i="1"/>
  <c r="L10256" i="1" s="1"/>
  <c r="J10283" i="1"/>
  <c r="L10283" i="1" s="1"/>
  <c r="J2149" i="1"/>
  <c r="L2149" i="1" s="1"/>
  <c r="J10309" i="1"/>
  <c r="L10309" i="1" s="1"/>
  <c r="J10310" i="1"/>
  <c r="L10310" i="1" s="1"/>
  <c r="J2273" i="1"/>
  <c r="L2273" i="1" s="1"/>
  <c r="J10405" i="1"/>
  <c r="L10405" i="1" s="1"/>
  <c r="J2388" i="1"/>
  <c r="L2388" i="1" s="1"/>
  <c r="J2511" i="1"/>
  <c r="L2511" i="1" s="1"/>
  <c r="J10554" i="1"/>
  <c r="L10554" i="1" s="1"/>
  <c r="J2600" i="1"/>
  <c r="L2600" i="1" s="1"/>
  <c r="J2601" i="1"/>
  <c r="L2601" i="1" s="1"/>
  <c r="J2605" i="1"/>
  <c r="L2605" i="1" s="1"/>
  <c r="J2608" i="1"/>
  <c r="L2608" i="1" s="1"/>
  <c r="J10910" i="1"/>
  <c r="L10910" i="1" s="1"/>
  <c r="J2702" i="1"/>
  <c r="L2702" i="1" s="1"/>
  <c r="J11024" i="1"/>
  <c r="L11024" i="1" s="1"/>
  <c r="J11025" i="1"/>
  <c r="L11025" i="1" s="1"/>
  <c r="J11026" i="1"/>
  <c r="L11026" i="1" s="1"/>
  <c r="J11027" i="1"/>
  <c r="L11027" i="1" s="1"/>
  <c r="J11028" i="1"/>
  <c r="L11028" i="1" s="1"/>
  <c r="J11041" i="1"/>
  <c r="L11041" i="1" s="1"/>
  <c r="J2751" i="1"/>
  <c r="L2751" i="1" s="1"/>
  <c r="J11284" i="1"/>
  <c r="L11284" i="1" s="1"/>
  <c r="J11287" i="1"/>
  <c r="L11287" i="1" s="1"/>
  <c r="J11306" i="1"/>
  <c r="L11306" i="1" s="1"/>
  <c r="J11314" i="1"/>
  <c r="L11314" i="1" s="1"/>
  <c r="J11359" i="1"/>
  <c r="L11359" i="1" s="1"/>
  <c r="J11360" i="1"/>
  <c r="L11360" i="1" s="1"/>
  <c r="J11367" i="1"/>
  <c r="L11367" i="1" s="1"/>
  <c r="J2792" i="1"/>
  <c r="L2792" i="1" s="1"/>
  <c r="J2870" i="1"/>
  <c r="L2870" i="1" s="1"/>
  <c r="J2900" i="1"/>
  <c r="L2900" i="1" s="1"/>
  <c r="J2911" i="1"/>
  <c r="L2911" i="1" s="1"/>
  <c r="J2958" i="1"/>
  <c r="L2958" i="1" s="1"/>
  <c r="J2959" i="1"/>
  <c r="L2959" i="1" s="1"/>
  <c r="J2960" i="1"/>
  <c r="L2960" i="1" s="1"/>
  <c r="J2961" i="1"/>
  <c r="L2961" i="1" s="1"/>
  <c r="J11595" i="1"/>
  <c r="L11595" i="1" s="1"/>
  <c r="J11609" i="1"/>
  <c r="L11609" i="1" s="1"/>
  <c r="J3082" i="1"/>
  <c r="L3082" i="1" s="1"/>
  <c r="J3087" i="1"/>
  <c r="L3087" i="1" s="1"/>
  <c r="J11649" i="1"/>
  <c r="L11649" i="1" s="1"/>
  <c r="J11660" i="1"/>
  <c r="L11660" i="1" s="1"/>
  <c r="J11666" i="1"/>
  <c r="L11666" i="1" s="1"/>
  <c r="J11668" i="1"/>
  <c r="L11668" i="1" s="1"/>
  <c r="J3101" i="1"/>
  <c r="L3101" i="1" s="1"/>
  <c r="J11823" i="1"/>
  <c r="L11823" i="1" s="1"/>
  <c r="J3213" i="1"/>
  <c r="L3213" i="1" s="1"/>
  <c r="J3217" i="1"/>
  <c r="L3217" i="1" s="1"/>
  <c r="J3248" i="1"/>
  <c r="L3248" i="1" s="1"/>
  <c r="J3278" i="1"/>
  <c r="L3278" i="1" s="1"/>
  <c r="J12081" i="1"/>
  <c r="L12081" i="1" s="1"/>
  <c r="J12114" i="1"/>
  <c r="L12114" i="1" s="1"/>
  <c r="J12115" i="1"/>
  <c r="L12115" i="1" s="1"/>
  <c r="J3402" i="1"/>
  <c r="L3402" i="1" s="1"/>
  <c r="J12160" i="1"/>
  <c r="L12160" i="1" s="1"/>
  <c r="J12163" i="1"/>
  <c r="L12163" i="1" s="1"/>
  <c r="J12167" i="1"/>
  <c r="L12167" i="1" s="1"/>
  <c r="J12170" i="1"/>
  <c r="L12170" i="1" s="1"/>
  <c r="J12171" i="1"/>
  <c r="L12171" i="1" s="1"/>
  <c r="J12178" i="1"/>
  <c r="L12178" i="1" s="1"/>
  <c r="J3421" i="1"/>
  <c r="L3421" i="1" s="1"/>
  <c r="J12278" i="1"/>
  <c r="L12278" i="1" s="1"/>
  <c r="J12279" i="1"/>
  <c r="L12279" i="1" s="1"/>
  <c r="J12280" i="1"/>
  <c r="L12280" i="1" s="1"/>
  <c r="J12281" i="1"/>
  <c r="L12281" i="1" s="1"/>
  <c r="J12282" i="1"/>
  <c r="L12282" i="1" s="1"/>
  <c r="J12283" i="1"/>
  <c r="L12283" i="1" s="1"/>
  <c r="J12284" i="1"/>
  <c r="L12284" i="1" s="1"/>
  <c r="J3563" i="1"/>
  <c r="L3563" i="1" s="1"/>
  <c r="J3601" i="1"/>
  <c r="L3601" i="1" s="1"/>
  <c r="J3671" i="1"/>
  <c r="L3671" i="1" s="1"/>
  <c r="J3703" i="1"/>
  <c r="L3703" i="1" s="1"/>
  <c r="J3704" i="1"/>
  <c r="L3704" i="1" s="1"/>
  <c r="J12491" i="1"/>
  <c r="L12491" i="1" s="1"/>
  <c r="J3768" i="1"/>
  <c r="L3768" i="1" s="1"/>
  <c r="J12650" i="1"/>
  <c r="L12650" i="1" s="1"/>
  <c r="J12657" i="1"/>
  <c r="L12657" i="1" s="1"/>
  <c r="J12687" i="1"/>
  <c r="L12687" i="1" s="1"/>
  <c r="J3865" i="1"/>
  <c r="L3865" i="1" s="1"/>
  <c r="J3896" i="1"/>
  <c r="L3896" i="1" s="1"/>
  <c r="J3899" i="1"/>
  <c r="L3899" i="1" s="1"/>
  <c r="J12783" i="1"/>
  <c r="L12783" i="1" s="1"/>
  <c r="J3959" i="1"/>
  <c r="L3959" i="1" s="1"/>
  <c r="J4033" i="1"/>
  <c r="L4033" i="1" s="1"/>
  <c r="J4059" i="1"/>
  <c r="L4059" i="1" s="1"/>
  <c r="J4065" i="1"/>
  <c r="L4065" i="1" s="1"/>
  <c r="J4125" i="1"/>
  <c r="L4125" i="1" s="1"/>
  <c r="J4126" i="1"/>
  <c r="L4126" i="1" s="1"/>
  <c r="J4127" i="1"/>
  <c r="L4127" i="1" s="1"/>
  <c r="J4128" i="1"/>
  <c r="L4128" i="1" s="1"/>
  <c r="J4190" i="1"/>
  <c r="L4190" i="1" s="1"/>
  <c r="J13192" i="1"/>
  <c r="L13192" i="1" s="1"/>
  <c r="J13193" i="1"/>
  <c r="L13193" i="1" s="1"/>
  <c r="J13194" i="1"/>
  <c r="L13194" i="1" s="1"/>
  <c r="J13195" i="1"/>
  <c r="L13195" i="1" s="1"/>
  <c r="J13244" i="1"/>
  <c r="L13244" i="1" s="1"/>
  <c r="J13248" i="1"/>
  <c r="L13248" i="1" s="1"/>
  <c r="J13257" i="1"/>
  <c r="L13257" i="1" s="1"/>
  <c r="J13258" i="1"/>
  <c r="L13258" i="1" s="1"/>
  <c r="J13284" i="1"/>
  <c r="L13284" i="1" s="1"/>
  <c r="J13285" i="1"/>
  <c r="L13285" i="1" s="1"/>
  <c r="J13286" i="1"/>
  <c r="L13286" i="1" s="1"/>
  <c r="J4264" i="1"/>
  <c r="L4264" i="1" s="1"/>
  <c r="J4282" i="1"/>
  <c r="L4282" i="1" s="1"/>
  <c r="J13386" i="1"/>
  <c r="L13386" i="1" s="1"/>
  <c r="J13389" i="1"/>
  <c r="L13389" i="1" s="1"/>
  <c r="J13462" i="1"/>
  <c r="L13462" i="1" s="1"/>
  <c r="J13489" i="1"/>
  <c r="L13489" i="1" s="1"/>
  <c r="J13604" i="1"/>
  <c r="L13604" i="1" s="1"/>
  <c r="J13635" i="1"/>
  <c r="L13635" i="1" s="1"/>
  <c r="J13830" i="1"/>
  <c r="L13830" i="1" s="1"/>
  <c r="J4596" i="1"/>
  <c r="L4596" i="1" s="1"/>
  <c r="J4605" i="1"/>
  <c r="L4605" i="1" s="1"/>
  <c r="J4636" i="1"/>
  <c r="L4636" i="1" s="1"/>
  <c r="J4696" i="1"/>
  <c r="L4696" i="1" s="1"/>
  <c r="J4697" i="1"/>
  <c r="L4697" i="1" s="1"/>
  <c r="J4698" i="1"/>
  <c r="L4698" i="1" s="1"/>
  <c r="J4704" i="1"/>
  <c r="L4704" i="1" s="1"/>
  <c r="J4759" i="1"/>
  <c r="L4759" i="1" s="1"/>
  <c r="J4781" i="1"/>
  <c r="L4781" i="1" s="1"/>
  <c r="J4819" i="1"/>
  <c r="L4819" i="1" s="1"/>
  <c r="J14177" i="1"/>
  <c r="L14177" i="1" s="1"/>
  <c r="J4864" i="1"/>
  <c r="L4864" i="1" s="1"/>
  <c r="J4900" i="1"/>
  <c r="L4900" i="1" s="1"/>
  <c r="J4916" i="1"/>
  <c r="L4916" i="1" s="1"/>
  <c r="J14438" i="1"/>
  <c r="L14438" i="1" s="1"/>
  <c r="J14439" i="1"/>
  <c r="L14439" i="1" s="1"/>
  <c r="J14459" i="1"/>
  <c r="L14459" i="1" s="1"/>
  <c r="J4936" i="1"/>
  <c r="L4936" i="1" s="1"/>
  <c r="J14699" i="1"/>
  <c r="L14699" i="1" s="1"/>
  <c r="J14721" i="1"/>
  <c r="L14721" i="1" s="1"/>
  <c r="J4978" i="1"/>
  <c r="L4978" i="1" s="1"/>
  <c r="J4981" i="1"/>
  <c r="L4981" i="1" s="1"/>
  <c r="J14737" i="1"/>
  <c r="L14737" i="1" s="1"/>
  <c r="J14751" i="1"/>
  <c r="L14751" i="1" s="1"/>
  <c r="J14752" i="1"/>
  <c r="L14752" i="1" s="1"/>
  <c r="J14753" i="1"/>
  <c r="L14753" i="1" s="1"/>
  <c r="J14803" i="1"/>
  <c r="L14803" i="1" s="1"/>
  <c r="J14810" i="1"/>
  <c r="L14810" i="1" s="1"/>
  <c r="J14811" i="1"/>
  <c r="L14811" i="1" s="1"/>
  <c r="J14888" i="1"/>
  <c r="L14888" i="1" s="1"/>
  <c r="J5012" i="1"/>
  <c r="L5012" i="1" s="1"/>
  <c r="J5063" i="1"/>
  <c r="L5063" i="1" s="1"/>
  <c r="J5099" i="1"/>
  <c r="L5099" i="1" s="1"/>
  <c r="J5111" i="1"/>
  <c r="L5111" i="1" s="1"/>
  <c r="J5188" i="1"/>
  <c r="L5188" i="1" s="1"/>
  <c r="J5187" i="1"/>
  <c r="L5187" i="1" s="1"/>
  <c r="J5309" i="1"/>
  <c r="L5309" i="1" s="1"/>
  <c r="J5327" i="1"/>
  <c r="L5327" i="1" s="1"/>
  <c r="J5332" i="1"/>
  <c r="L5332" i="1" s="1"/>
  <c r="J15052" i="1"/>
  <c r="L15052" i="1" s="1"/>
  <c r="J15053" i="1"/>
  <c r="L15053" i="1" s="1"/>
  <c r="J5449" i="1"/>
  <c r="L5449" i="1" s="1"/>
  <c r="J15224" i="1"/>
  <c r="L15224" i="1" s="1"/>
  <c r="J15225" i="1"/>
  <c r="L15225" i="1" s="1"/>
  <c r="J15236" i="1"/>
  <c r="L15236" i="1" s="1"/>
  <c r="J5492" i="1"/>
  <c r="L5492" i="1" s="1"/>
  <c r="J5508" i="1"/>
  <c r="L5508" i="1" s="1"/>
  <c r="J15290" i="1"/>
  <c r="L15290" i="1" s="1"/>
  <c r="J5574" i="1"/>
  <c r="L5574" i="1" s="1"/>
  <c r="J5579" i="1"/>
  <c r="L5579" i="1" s="1"/>
  <c r="J15584" i="1"/>
  <c r="L15584" i="1" s="1"/>
  <c r="J15588" i="1"/>
  <c r="L15588" i="1" s="1"/>
  <c r="J15601" i="1"/>
  <c r="L15601" i="1" s="1"/>
  <c r="J15697" i="1"/>
  <c r="L15697" i="1" s="1"/>
  <c r="J5930" i="1"/>
  <c r="L5930" i="1" s="1"/>
  <c r="J5931" i="1"/>
  <c r="L5931" i="1" s="1"/>
  <c r="J5940" i="1"/>
  <c r="L5940" i="1" s="1"/>
  <c r="J6009" i="1"/>
  <c r="L6009" i="1" s="1"/>
  <c r="J6010" i="1"/>
  <c r="L6010" i="1" s="1"/>
  <c r="J6053" i="1"/>
  <c r="L6053" i="1" s="1"/>
  <c r="J6054" i="1"/>
  <c r="L6054" i="1" s="1"/>
  <c r="J6055" i="1"/>
  <c r="L6055" i="1" s="1"/>
  <c r="J16040" i="1"/>
  <c r="L16040" i="1" s="1"/>
  <c r="J16053" i="1"/>
  <c r="L16053" i="1" s="1"/>
  <c r="J16075" i="1"/>
  <c r="L16075" i="1" s="1"/>
  <c r="J16081" i="1"/>
  <c r="L16081" i="1" s="1"/>
  <c r="J6256" i="1"/>
  <c r="L6256" i="1" s="1"/>
  <c r="J6269" i="1"/>
  <c r="L6269" i="1" s="1"/>
  <c r="J6275" i="1"/>
  <c r="L6275" i="1" s="1"/>
  <c r="J6357" i="1"/>
  <c r="L6357" i="1" s="1"/>
  <c r="J6527" i="1"/>
  <c r="L6527" i="1" s="1"/>
  <c r="J6528" i="1"/>
  <c r="L6528" i="1" s="1"/>
  <c r="J6529" i="1"/>
  <c r="L6529" i="1" s="1"/>
  <c r="J16448" i="1"/>
  <c r="L16448" i="1" s="1"/>
  <c r="J16449" i="1"/>
  <c r="L16449" i="1" s="1"/>
  <c r="J16456" i="1"/>
  <c r="L16456" i="1" s="1"/>
  <c r="J16459" i="1"/>
  <c r="L16459" i="1" s="1"/>
  <c r="J16464" i="1"/>
  <c r="L16464" i="1" s="1"/>
  <c r="J16466" i="1"/>
  <c r="L16466" i="1" s="1"/>
  <c r="J16564" i="1"/>
  <c r="L16564" i="1" s="1"/>
  <c r="J16565" i="1"/>
  <c r="L16565" i="1" s="1"/>
  <c r="J6625" i="1"/>
  <c r="L6625" i="1" s="1"/>
  <c r="J6628" i="1"/>
  <c r="L6628" i="1" s="1"/>
  <c r="J16636" i="1"/>
  <c r="L16636" i="1" s="1"/>
  <c r="J16637" i="1"/>
  <c r="L16637" i="1" s="1"/>
  <c r="J16638" i="1"/>
  <c r="L16638" i="1" s="1"/>
  <c r="J16639" i="1"/>
  <c r="L16639" i="1" s="1"/>
  <c r="J16640" i="1"/>
  <c r="L16640" i="1" s="1"/>
  <c r="J16656" i="1"/>
  <c r="L16656" i="1" s="1"/>
  <c r="J6667" i="1"/>
  <c r="L6667" i="1" s="1"/>
  <c r="J6675" i="1"/>
  <c r="L6675" i="1" s="1"/>
  <c r="J16700" i="1"/>
  <c r="L16700" i="1" s="1"/>
  <c r="J16705" i="1"/>
  <c r="L16705" i="1" s="1"/>
  <c r="J16717" i="1"/>
  <c r="L16717" i="1" s="1"/>
  <c r="J16729" i="1"/>
  <c r="L16729" i="1" s="1"/>
  <c r="J16815" i="1"/>
  <c r="L16815" i="1" s="1"/>
  <c r="J16821" i="1"/>
  <c r="L16821" i="1" s="1"/>
  <c r="J16822" i="1"/>
  <c r="L16822" i="1" s="1"/>
  <c r="J16832" i="1"/>
  <c r="L16832" i="1" s="1"/>
  <c r="J16837" i="1"/>
  <c r="L16837" i="1" s="1"/>
  <c r="J16947" i="1"/>
  <c r="L16947" i="1" s="1"/>
  <c r="J16948" i="1"/>
  <c r="L16948" i="1" s="1"/>
  <c r="J16949" i="1"/>
  <c r="L16949" i="1" s="1"/>
  <c r="J16958" i="1"/>
  <c r="L16958" i="1" s="1"/>
  <c r="J16967" i="1"/>
  <c r="L16967" i="1" s="1"/>
  <c r="J6834" i="1"/>
  <c r="L6834" i="1" s="1"/>
  <c r="J7091" i="1"/>
  <c r="L7091" i="1" s="1"/>
  <c r="J7092" i="1"/>
  <c r="L7092" i="1" s="1"/>
  <c r="J17267" i="1"/>
  <c r="L17267" i="1" s="1"/>
  <c r="J7192" i="1"/>
  <c r="L7192" i="1" s="1"/>
  <c r="J7193" i="1"/>
  <c r="L7193" i="1" s="1"/>
  <c r="J7207" i="1"/>
  <c r="L7207" i="1" s="1"/>
  <c r="J7213" i="1"/>
  <c r="L7213" i="1" s="1"/>
  <c r="J7218" i="1"/>
  <c r="L7218" i="1" s="1"/>
  <c r="J7261" i="1"/>
  <c r="L7261" i="1" s="1"/>
  <c r="J7283" i="1"/>
  <c r="L7283" i="1" s="1"/>
  <c r="J44" i="1"/>
  <c r="L44" i="1" s="1"/>
  <c r="J51" i="1"/>
  <c r="L51" i="1" s="1"/>
  <c r="J92" i="1"/>
  <c r="L92" i="1" s="1"/>
  <c r="J7596" i="1"/>
  <c r="L7596" i="1" s="1"/>
  <c r="J123" i="1"/>
  <c r="L123" i="1" s="1"/>
  <c r="J142" i="1"/>
  <c r="L142" i="1" s="1"/>
  <c r="J143" i="1"/>
  <c r="L143" i="1" s="1"/>
  <c r="J7872" i="1"/>
  <c r="L7872" i="1" s="1"/>
  <c r="J229" i="1"/>
  <c r="L229" i="1" s="1"/>
  <c r="J8027" i="1"/>
  <c r="L8027" i="1" s="1"/>
  <c r="J8047" i="1"/>
  <c r="L8047" i="1" s="1"/>
  <c r="J8110" i="1"/>
  <c r="L8110" i="1" s="1"/>
  <c r="J8111" i="1"/>
  <c r="L8111" i="1" s="1"/>
  <c r="J8155" i="1"/>
  <c r="L8155" i="1" s="1"/>
  <c r="J8156" i="1"/>
  <c r="L8156" i="1" s="1"/>
  <c r="J8184" i="1"/>
  <c r="L8184" i="1" s="1"/>
  <c r="J447" i="1"/>
  <c r="L447" i="1" s="1"/>
  <c r="J448" i="1"/>
  <c r="L448" i="1" s="1"/>
  <c r="J449" i="1"/>
  <c r="L449" i="1" s="1"/>
  <c r="J450" i="1"/>
  <c r="L450" i="1" s="1"/>
  <c r="J451" i="1"/>
  <c r="L451" i="1" s="1"/>
  <c r="J452" i="1"/>
  <c r="L452" i="1" s="1"/>
  <c r="J453" i="1"/>
  <c r="L453" i="1" s="1"/>
  <c r="J454" i="1"/>
  <c r="L454" i="1" s="1"/>
  <c r="J455" i="1"/>
  <c r="L455" i="1" s="1"/>
  <c r="J456" i="1"/>
  <c r="L456" i="1" s="1"/>
  <c r="J457" i="1"/>
  <c r="L457" i="1" s="1"/>
  <c r="J458" i="1"/>
  <c r="L458" i="1" s="1"/>
  <c r="J559" i="1"/>
  <c r="L559" i="1" s="1"/>
  <c r="J566" i="1"/>
  <c r="L566" i="1" s="1"/>
  <c r="J8409" i="1"/>
  <c r="L8409" i="1" s="1"/>
  <c r="J8431" i="1"/>
  <c r="L8431" i="1" s="1"/>
  <c r="J640" i="1"/>
  <c r="L640" i="1" s="1"/>
  <c r="J821" i="1"/>
  <c r="L821" i="1" s="1"/>
  <c r="J8802" i="1"/>
  <c r="L8802" i="1" s="1"/>
  <c r="J8900" i="1"/>
  <c r="L8900" i="1" s="1"/>
  <c r="J8979" i="1"/>
  <c r="L8979" i="1" s="1"/>
  <c r="J8983" i="1"/>
  <c r="L8983" i="1" s="1"/>
  <c r="J9013" i="1"/>
  <c r="L9013" i="1" s="1"/>
  <c r="J9030" i="1"/>
  <c r="L9030" i="1" s="1"/>
  <c r="J1064" i="1"/>
  <c r="L1064" i="1" s="1"/>
  <c r="J9142" i="1"/>
  <c r="L9142" i="1" s="1"/>
  <c r="J1203" i="1"/>
  <c r="L1203" i="1" s="1"/>
  <c r="J1270" i="1"/>
  <c r="L1270" i="1" s="1"/>
  <c r="J1271" i="1"/>
  <c r="L1271" i="1" s="1"/>
  <c r="J1272" i="1"/>
  <c r="L1272" i="1" s="1"/>
  <c r="J1273" i="1"/>
  <c r="L1273" i="1" s="1"/>
  <c r="J1274" i="1"/>
  <c r="L1274" i="1" s="1"/>
  <c r="J1315" i="1"/>
  <c r="L1315" i="1" s="1"/>
  <c r="J1316" i="1"/>
  <c r="L1316" i="1" s="1"/>
  <c r="J1317" i="1"/>
  <c r="L1317" i="1" s="1"/>
  <c r="J1318" i="1"/>
  <c r="L1318" i="1" s="1"/>
  <c r="J9347" i="1"/>
  <c r="L9347" i="1" s="1"/>
  <c r="J9379" i="1"/>
  <c r="L9379" i="1" s="1"/>
  <c r="J9381" i="1"/>
  <c r="L9381" i="1" s="1"/>
  <c r="J9384" i="1"/>
  <c r="L9384" i="1" s="1"/>
  <c r="J9393" i="1"/>
  <c r="L9393" i="1" s="1"/>
  <c r="J9398" i="1"/>
  <c r="L9398" i="1" s="1"/>
  <c r="J9407" i="1"/>
  <c r="L9407" i="1" s="1"/>
  <c r="J9419" i="1"/>
  <c r="L9419" i="1" s="1"/>
  <c r="J9420" i="1"/>
  <c r="L9420" i="1" s="1"/>
  <c r="J9430" i="1"/>
  <c r="L9430" i="1" s="1"/>
  <c r="J9446" i="1"/>
  <c r="L9446" i="1" s="1"/>
  <c r="J1569" i="1"/>
  <c r="L1569" i="1" s="1"/>
  <c r="J1583" i="1"/>
  <c r="L1583" i="1" s="1"/>
  <c r="J1640" i="1"/>
  <c r="L1640" i="1" s="1"/>
  <c r="J1688" i="1"/>
  <c r="L1688" i="1" s="1"/>
  <c r="J9611" i="1"/>
  <c r="L9611" i="1" s="1"/>
  <c r="J1813" i="1"/>
  <c r="L1813" i="1" s="1"/>
  <c r="J1814" i="1"/>
  <c r="L1814" i="1" s="1"/>
  <c r="J1815" i="1"/>
  <c r="L1815" i="1" s="1"/>
  <c r="J1888" i="1"/>
  <c r="L1888" i="1" s="1"/>
  <c r="J9871" i="1"/>
  <c r="L9871" i="1" s="1"/>
  <c r="J1934" i="1"/>
  <c r="L1934" i="1" s="1"/>
  <c r="J9936" i="1"/>
  <c r="L9936" i="1" s="1"/>
  <c r="J9942" i="1"/>
  <c r="L9942" i="1" s="1"/>
  <c r="J9943" i="1"/>
  <c r="L9943" i="1" s="1"/>
  <c r="J9944" i="1"/>
  <c r="L9944" i="1" s="1"/>
  <c r="J9945" i="1"/>
  <c r="L9945" i="1" s="1"/>
  <c r="J9946" i="1"/>
  <c r="L9946" i="1" s="1"/>
  <c r="J9947" i="1"/>
  <c r="L9947" i="1" s="1"/>
  <c r="J1962" i="1"/>
  <c r="L1962" i="1" s="1"/>
  <c r="J1963" i="1"/>
  <c r="L1963" i="1" s="1"/>
  <c r="J1964" i="1"/>
  <c r="L1964" i="1" s="1"/>
  <c r="J10051" i="1"/>
  <c r="L10051" i="1" s="1"/>
  <c r="J10056" i="1"/>
  <c r="L10056" i="1" s="1"/>
  <c r="J10090" i="1"/>
  <c r="L10090" i="1" s="1"/>
  <c r="J2038" i="1"/>
  <c r="L2038" i="1" s="1"/>
  <c r="J10237" i="1"/>
  <c r="L10237" i="1" s="1"/>
  <c r="J10238" i="1"/>
  <c r="L10238" i="1" s="1"/>
  <c r="J10239" i="1"/>
  <c r="L10239" i="1" s="1"/>
  <c r="J10240" i="1"/>
  <c r="L10240" i="1" s="1"/>
  <c r="J10241" i="1"/>
  <c r="L10241" i="1" s="1"/>
  <c r="J2127" i="1"/>
  <c r="L2127" i="1" s="1"/>
  <c r="J10301" i="1"/>
  <c r="L10301" i="1" s="1"/>
  <c r="J2243" i="1"/>
  <c r="L2243" i="1" s="1"/>
  <c r="J2498" i="1"/>
  <c r="L2498" i="1" s="1"/>
  <c r="J2499" i="1"/>
  <c r="L2499" i="1" s="1"/>
  <c r="J10496" i="1"/>
  <c r="L10496" i="1" s="1"/>
  <c r="J10523" i="1"/>
  <c r="L10523" i="1" s="1"/>
  <c r="J2567" i="1"/>
  <c r="L2567" i="1" s="1"/>
  <c r="J10679" i="1"/>
  <c r="L10679" i="1" s="1"/>
  <c r="J2665" i="1"/>
  <c r="L2665" i="1" s="1"/>
  <c r="J10891" i="1"/>
  <c r="L10891" i="1" s="1"/>
  <c r="J2742" i="1"/>
  <c r="L2742" i="1" s="1"/>
  <c r="J11285" i="1"/>
  <c r="L11285" i="1" s="1"/>
  <c r="J11305" i="1"/>
  <c r="L11305" i="1" s="1"/>
  <c r="J11312" i="1"/>
  <c r="L11312" i="1" s="1"/>
  <c r="J11313" i="1"/>
  <c r="L11313" i="1" s="1"/>
  <c r="J11332" i="1"/>
  <c r="L11332" i="1" s="1"/>
  <c r="J11333" i="1"/>
  <c r="L11333" i="1" s="1"/>
  <c r="J11344" i="1"/>
  <c r="L11344" i="1" s="1"/>
  <c r="J11345" i="1"/>
  <c r="L11345" i="1" s="1"/>
  <c r="J11358" i="1"/>
  <c r="L11358" i="1" s="1"/>
  <c r="J11365" i="1"/>
  <c r="L11365" i="1" s="1"/>
  <c r="J11366" i="1"/>
  <c r="L11366" i="1" s="1"/>
  <c r="J2878" i="1"/>
  <c r="L2878" i="1" s="1"/>
  <c r="J2944" i="1"/>
  <c r="L2944" i="1" s="1"/>
  <c r="J2945" i="1"/>
  <c r="L2945" i="1" s="1"/>
  <c r="J2946" i="1"/>
  <c r="L2946" i="1" s="1"/>
  <c r="J2947" i="1"/>
  <c r="L2947" i="1" s="1"/>
  <c r="J2948" i="1"/>
  <c r="L2948" i="1" s="1"/>
  <c r="J2949" i="1"/>
  <c r="L2949" i="1" s="1"/>
  <c r="J2950" i="1"/>
  <c r="L2950" i="1" s="1"/>
  <c r="J2951" i="1"/>
  <c r="L2951" i="1" s="1"/>
  <c r="J2952" i="1"/>
  <c r="L2952" i="1" s="1"/>
  <c r="J2953" i="1"/>
  <c r="L2953" i="1" s="1"/>
  <c r="J2954" i="1"/>
  <c r="L2954" i="1" s="1"/>
  <c r="J2955" i="1"/>
  <c r="L2955" i="1" s="1"/>
  <c r="J2956" i="1"/>
  <c r="L2956" i="1" s="1"/>
  <c r="J2957" i="1"/>
  <c r="L2957" i="1" s="1"/>
  <c r="J11594" i="1"/>
  <c r="L11594" i="1" s="1"/>
  <c r="J3034" i="1"/>
  <c r="L3034" i="1" s="1"/>
  <c r="J3048" i="1"/>
  <c r="L3048" i="1" s="1"/>
  <c r="J11632" i="1"/>
  <c r="L11632" i="1" s="1"/>
  <c r="J11642" i="1"/>
  <c r="L11642" i="1" s="1"/>
  <c r="J3104" i="1"/>
  <c r="L3104" i="1" s="1"/>
  <c r="J3185" i="1"/>
  <c r="L3185" i="1" s="1"/>
  <c r="J11853" i="1"/>
  <c r="L11853" i="1" s="1"/>
  <c r="J11854" i="1"/>
  <c r="L11854" i="1" s="1"/>
  <c r="J11855" i="1"/>
  <c r="L11855" i="1" s="1"/>
  <c r="J3237" i="1"/>
  <c r="L3237" i="1" s="1"/>
  <c r="J11873" i="1"/>
  <c r="L11873" i="1" s="1"/>
  <c r="J3253" i="1"/>
  <c r="L3253" i="1" s="1"/>
  <c r="J11884" i="1"/>
  <c r="L11884" i="1" s="1"/>
  <c r="J12158" i="1"/>
  <c r="L12158" i="1" s="1"/>
  <c r="J12159" i="1"/>
  <c r="L12159" i="1" s="1"/>
  <c r="J12169" i="1"/>
  <c r="L12169" i="1" s="1"/>
  <c r="J12173" i="1"/>
  <c r="L12173" i="1" s="1"/>
  <c r="J12260" i="1"/>
  <c r="L12260" i="1" s="1"/>
  <c r="J12261" i="1"/>
  <c r="L12261" i="1" s="1"/>
  <c r="J12262" i="1"/>
  <c r="L12262" i="1" s="1"/>
  <c r="J12263" i="1"/>
  <c r="L12263" i="1" s="1"/>
  <c r="J12264" i="1"/>
  <c r="L12264" i="1" s="1"/>
  <c r="J12265" i="1"/>
  <c r="L12265" i="1" s="1"/>
  <c r="J12266" i="1"/>
  <c r="L12266" i="1" s="1"/>
  <c r="J12267" i="1"/>
  <c r="L12267" i="1" s="1"/>
  <c r="J12268" i="1"/>
  <c r="L12268" i="1" s="1"/>
  <c r="J12269" i="1"/>
  <c r="L12269" i="1" s="1"/>
  <c r="J12270" i="1"/>
  <c r="L12270" i="1" s="1"/>
  <c r="J12271" i="1"/>
  <c r="L12271" i="1" s="1"/>
  <c r="J12272" i="1"/>
  <c r="L12272" i="1" s="1"/>
  <c r="J12273" i="1"/>
  <c r="L12273" i="1" s="1"/>
  <c r="J12274" i="1"/>
  <c r="L12274" i="1" s="1"/>
  <c r="J12275" i="1"/>
  <c r="L12275" i="1" s="1"/>
  <c r="J12276" i="1"/>
  <c r="L12276" i="1" s="1"/>
  <c r="J12277" i="1"/>
  <c r="L12277" i="1" s="1"/>
  <c r="J3545" i="1"/>
  <c r="L3545" i="1" s="1"/>
  <c r="J3582" i="1"/>
  <c r="L3582" i="1" s="1"/>
  <c r="J12475" i="1"/>
  <c r="L12475" i="1" s="1"/>
  <c r="J3664" i="1"/>
  <c r="L3664" i="1" s="1"/>
  <c r="J3665" i="1"/>
  <c r="L3665" i="1" s="1"/>
  <c r="J3666" i="1"/>
  <c r="L3666" i="1" s="1"/>
  <c r="J3667" i="1"/>
  <c r="L3667" i="1" s="1"/>
  <c r="J3668" i="1"/>
  <c r="L3668" i="1" s="1"/>
  <c r="J3669" i="1"/>
  <c r="L3669" i="1" s="1"/>
  <c r="J3670" i="1"/>
  <c r="L3670" i="1" s="1"/>
  <c r="J3699" i="1"/>
  <c r="L3699" i="1" s="1"/>
  <c r="J3700" i="1"/>
  <c r="L3700" i="1" s="1"/>
  <c r="J3701" i="1"/>
  <c r="L3701" i="1" s="1"/>
  <c r="J3702" i="1"/>
  <c r="L3702" i="1" s="1"/>
  <c r="J3740" i="1"/>
  <c r="L3740" i="1" s="1"/>
  <c r="J12489" i="1"/>
  <c r="L12489" i="1" s="1"/>
  <c r="J12490" i="1"/>
  <c r="L12490" i="1" s="1"/>
  <c r="J3783" i="1"/>
  <c r="L3783" i="1" s="1"/>
  <c r="J3795" i="1"/>
  <c r="L3795" i="1" s="1"/>
  <c r="J12620" i="1"/>
  <c r="L12620" i="1" s="1"/>
  <c r="J12649" i="1"/>
  <c r="L12649" i="1" s="1"/>
  <c r="J12655" i="1"/>
  <c r="L12655" i="1" s="1"/>
  <c r="J12669" i="1"/>
  <c r="L12669" i="1" s="1"/>
  <c r="J12739" i="1"/>
  <c r="L12739" i="1" s="1"/>
  <c r="J3808" i="1"/>
  <c r="L3808" i="1" s="1"/>
  <c r="J4121" i="1"/>
  <c r="L4121" i="1" s="1"/>
  <c r="J4122" i="1"/>
  <c r="L4122" i="1" s="1"/>
  <c r="J4123" i="1"/>
  <c r="L4123" i="1" s="1"/>
  <c r="J4124" i="1"/>
  <c r="L4124" i="1" s="1"/>
  <c r="J4188" i="1"/>
  <c r="L4188" i="1" s="1"/>
  <c r="J4202" i="1"/>
  <c r="L4202" i="1" s="1"/>
  <c r="J13190" i="1"/>
  <c r="L13190" i="1" s="1"/>
  <c r="J13191" i="1"/>
  <c r="L13191" i="1" s="1"/>
  <c r="J13231" i="1"/>
  <c r="L13231" i="1" s="1"/>
  <c r="J13232" i="1"/>
  <c r="L13232" i="1" s="1"/>
  <c r="J13239" i="1"/>
  <c r="L13239" i="1" s="1"/>
  <c r="J4230" i="1"/>
  <c r="L4230" i="1" s="1"/>
  <c r="J4235" i="1"/>
  <c r="L4235" i="1" s="1"/>
  <c r="J13363" i="1"/>
  <c r="L13363" i="1" s="1"/>
  <c r="J13373" i="1"/>
  <c r="L13373" i="1" s="1"/>
  <c r="J13374" i="1"/>
  <c r="L13374" i="1" s="1"/>
  <c r="J13385" i="1"/>
  <c r="L13385" i="1" s="1"/>
  <c r="J13483" i="1"/>
  <c r="L13483" i="1" s="1"/>
  <c r="J13499" i="1"/>
  <c r="L13499" i="1" s="1"/>
  <c r="J13599" i="1"/>
  <c r="L13599" i="1" s="1"/>
  <c r="J13600" i="1"/>
  <c r="L13600" i="1" s="1"/>
  <c r="J13601" i="1"/>
  <c r="L13601" i="1" s="1"/>
  <c r="J13602" i="1"/>
  <c r="L13602" i="1" s="1"/>
  <c r="J13603" i="1"/>
  <c r="L13603" i="1" s="1"/>
  <c r="J13643" i="1"/>
  <c r="L13643" i="1" s="1"/>
  <c r="J13687" i="1"/>
  <c r="L13687" i="1" s="1"/>
  <c r="J13834" i="1"/>
  <c r="L13834" i="1" s="1"/>
  <c r="J4663" i="1"/>
  <c r="L4663" i="1" s="1"/>
  <c r="J4703" i="1"/>
  <c r="L4703" i="1" s="1"/>
  <c r="J13954" i="1"/>
  <c r="L13954" i="1" s="1"/>
  <c r="J4780" i="1"/>
  <c r="L4780" i="1" s="1"/>
  <c r="J14073" i="1"/>
  <c r="L14073" i="1" s="1"/>
  <c r="J4821" i="1"/>
  <c r="L4821" i="1" s="1"/>
  <c r="J4850" i="1"/>
  <c r="L4850" i="1" s="1"/>
  <c r="J4870" i="1"/>
  <c r="L4870" i="1" s="1"/>
  <c r="J14313" i="1"/>
  <c r="L14313" i="1" s="1"/>
  <c r="J14344" i="1"/>
  <c r="L14344" i="1" s="1"/>
  <c r="J14437" i="1"/>
  <c r="L14437" i="1" s="1"/>
  <c r="J14456" i="1"/>
  <c r="L14456" i="1" s="1"/>
  <c r="J14457" i="1"/>
  <c r="L14457" i="1" s="1"/>
  <c r="J14458" i="1"/>
  <c r="L14458" i="1" s="1"/>
  <c r="J4947" i="1"/>
  <c r="L4947" i="1" s="1"/>
  <c r="J4964" i="1"/>
  <c r="L4964" i="1" s="1"/>
  <c r="J4982" i="1"/>
  <c r="L4982" i="1" s="1"/>
  <c r="J14747" i="1"/>
  <c r="L14747" i="1" s="1"/>
  <c r="J14748" i="1"/>
  <c r="L14748" i="1" s="1"/>
  <c r="J14794" i="1"/>
  <c r="L14794" i="1" s="1"/>
  <c r="J14809" i="1"/>
  <c r="L14809" i="1" s="1"/>
  <c r="J5043" i="1"/>
  <c r="L5043" i="1" s="1"/>
  <c r="J5112" i="1"/>
  <c r="L5112" i="1" s="1"/>
  <c r="J5113" i="1"/>
  <c r="L5113" i="1" s="1"/>
  <c r="J5129" i="1"/>
  <c r="L5129" i="1" s="1"/>
  <c r="J5326" i="1"/>
  <c r="L5326" i="1" s="1"/>
  <c r="J5355" i="1"/>
  <c r="L5355" i="1" s="1"/>
  <c r="J5370" i="1"/>
  <c r="L5370" i="1" s="1"/>
  <c r="J15119" i="1"/>
  <c r="L15119" i="1" s="1"/>
  <c r="J15148" i="1"/>
  <c r="L15148" i="1" s="1"/>
  <c r="J15211" i="1"/>
  <c r="L15211" i="1" s="1"/>
  <c r="J5450" i="1"/>
  <c r="L5450" i="1" s="1"/>
  <c r="J15228" i="1"/>
  <c r="L15228" i="1" s="1"/>
  <c r="J5462" i="1"/>
  <c r="L5462" i="1" s="1"/>
  <c r="J5563" i="1"/>
  <c r="L5563" i="1" s="1"/>
  <c r="J5687" i="1"/>
  <c r="L5687" i="1" s="1"/>
  <c r="J15552" i="1"/>
  <c r="L15552" i="1" s="1"/>
  <c r="D26" i="4" s="1"/>
  <c r="J15582" i="1"/>
  <c r="L15582" i="1" s="1"/>
  <c r="J15583" i="1"/>
  <c r="L15583" i="1" s="1"/>
  <c r="J15590" i="1"/>
  <c r="L15590" i="1" s="1"/>
  <c r="J15591" i="1"/>
  <c r="L15591" i="1" s="1"/>
  <c r="J5720" i="1"/>
  <c r="L5720" i="1" s="1"/>
  <c r="J15627" i="1"/>
  <c r="L15627" i="1" s="1"/>
  <c r="J5789" i="1"/>
  <c r="L5789" i="1" s="1"/>
  <c r="J15797" i="1"/>
  <c r="L15797" i="1" s="1"/>
  <c r="J5941" i="1"/>
  <c r="L5941" i="1" s="1"/>
  <c r="J6004" i="1"/>
  <c r="L6004" i="1" s="1"/>
  <c r="J6005" i="1"/>
  <c r="L6005" i="1" s="1"/>
  <c r="J6006" i="1"/>
  <c r="L6006" i="1" s="1"/>
  <c r="J6008" i="1"/>
  <c r="L6008" i="1" s="1"/>
  <c r="J6007" i="1"/>
  <c r="L6007" i="1" s="1"/>
  <c r="J6049" i="1"/>
  <c r="L6049" i="1" s="1"/>
  <c r="J6050" i="1"/>
  <c r="L6050" i="1" s="1"/>
  <c r="J6051" i="1"/>
  <c r="L6051" i="1" s="1"/>
  <c r="J6052" i="1"/>
  <c r="L6052" i="1" s="1"/>
  <c r="J6117" i="1"/>
  <c r="L6117" i="1" s="1"/>
  <c r="J15995" i="1"/>
  <c r="L15995" i="1" s="1"/>
  <c r="J16016" i="1"/>
  <c r="L16016" i="1" s="1"/>
  <c r="J16079" i="1"/>
  <c r="L16079" i="1" s="1"/>
  <c r="J6274" i="1"/>
  <c r="L6274" i="1" s="1"/>
  <c r="J6399" i="1"/>
  <c r="L6399" i="1" s="1"/>
  <c r="J16217" i="1"/>
  <c r="L16217" i="1" s="1"/>
  <c r="J6525" i="1"/>
  <c r="L6525" i="1" s="1"/>
  <c r="J6526" i="1"/>
  <c r="L6526" i="1" s="1"/>
  <c r="J16447" i="1"/>
  <c r="L16447" i="1" s="1"/>
  <c r="J16453" i="1"/>
  <c r="L16453" i="1" s="1"/>
  <c r="J16454" i="1"/>
  <c r="L16454" i="1" s="1"/>
  <c r="J16455" i="1"/>
  <c r="L16455" i="1" s="1"/>
  <c r="J16458" i="1"/>
  <c r="L16458" i="1" s="1"/>
  <c r="J16460" i="1"/>
  <c r="L16460" i="1" s="1"/>
  <c r="J16461" i="1"/>
  <c r="L16461" i="1" s="1"/>
  <c r="J16462" i="1"/>
  <c r="L16462" i="1" s="1"/>
  <c r="J16463" i="1"/>
  <c r="L16463" i="1" s="1"/>
  <c r="J16472" i="1"/>
  <c r="L16472" i="1" s="1"/>
  <c r="J16561" i="1"/>
  <c r="L16561" i="1" s="1"/>
  <c r="J16562" i="1"/>
  <c r="L16562" i="1" s="1"/>
  <c r="J16563" i="1"/>
  <c r="L16563" i="1" s="1"/>
  <c r="J6631" i="1"/>
  <c r="L6631" i="1" s="1"/>
  <c r="J16633" i="1"/>
  <c r="L16633" i="1" s="1"/>
  <c r="J16634" i="1"/>
  <c r="L16634" i="1" s="1"/>
  <c r="J16635" i="1"/>
  <c r="L16635" i="1" s="1"/>
  <c r="J16647" i="1"/>
  <c r="L16647" i="1" s="1"/>
  <c r="J16648" i="1"/>
  <c r="L16648" i="1" s="1"/>
  <c r="J16649" i="1"/>
  <c r="L16649" i="1" s="1"/>
  <c r="J6642" i="1"/>
  <c r="L6642" i="1" s="1"/>
  <c r="J16681" i="1"/>
  <c r="L16681" i="1" s="1"/>
  <c r="J6659" i="1"/>
  <c r="L6659" i="1" s="1"/>
  <c r="J6666" i="1"/>
  <c r="L6666" i="1" s="1"/>
  <c r="J6676" i="1"/>
  <c r="L6676" i="1" s="1"/>
  <c r="J16690" i="1"/>
  <c r="L16690" i="1" s="1"/>
  <c r="J16716" i="1"/>
  <c r="L16716" i="1" s="1"/>
  <c r="J16735" i="1"/>
  <c r="L16735" i="1" s="1"/>
  <c r="J16819" i="1"/>
  <c r="L16819" i="1" s="1"/>
  <c r="J16820" i="1"/>
  <c r="L16820" i="1" s="1"/>
  <c r="J16829" i="1"/>
  <c r="L16829" i="1" s="1"/>
  <c r="J16830" i="1"/>
  <c r="L16830" i="1" s="1"/>
  <c r="J16831" i="1"/>
  <c r="L16831" i="1" s="1"/>
  <c r="J16944" i="1"/>
  <c r="L16944" i="1" s="1"/>
  <c r="J16945" i="1"/>
  <c r="L16945" i="1" s="1"/>
  <c r="J16946" i="1"/>
  <c r="L16946" i="1" s="1"/>
  <c r="J6809" i="1"/>
  <c r="L6809" i="1" s="1"/>
  <c r="J16983" i="1"/>
  <c r="L16983" i="1" s="1"/>
  <c r="J7065" i="1"/>
  <c r="L7065" i="1" s="1"/>
  <c r="J7090" i="1"/>
  <c r="L7090" i="1" s="1"/>
  <c r="J53" i="1"/>
  <c r="L53" i="1" s="1"/>
  <c r="J7682" i="1"/>
  <c r="L7682" i="1" s="1"/>
  <c r="J7684" i="1"/>
  <c r="L7684" i="1" s="1"/>
  <c r="J7695" i="1"/>
  <c r="L7695" i="1" s="1"/>
  <c r="J7763" i="1"/>
  <c r="L7763" i="1" s="1"/>
  <c r="J7842" i="1"/>
  <c r="L7842" i="1" s="1"/>
  <c r="J210" i="1"/>
  <c r="L210" i="1" s="1"/>
  <c r="J7847" i="1"/>
  <c r="L7847" i="1" s="1"/>
  <c r="J7852" i="1"/>
  <c r="L7852" i="1" s="1"/>
  <c r="J7871" i="1"/>
  <c r="L7871" i="1" s="1"/>
  <c r="J8101" i="1"/>
  <c r="L8101" i="1" s="1"/>
  <c r="J8108" i="1"/>
  <c r="L8108" i="1" s="1"/>
  <c r="J8109" i="1"/>
  <c r="L8109" i="1" s="1"/>
  <c r="J8129" i="1"/>
  <c r="L8129" i="1" s="1"/>
  <c r="J274" i="1"/>
  <c r="L274" i="1" s="1"/>
  <c r="J345" i="1"/>
  <c r="L345" i="1" s="1"/>
  <c r="J356" i="1"/>
  <c r="L356" i="1" s="1"/>
  <c r="J361" i="1"/>
  <c r="L361" i="1" s="1"/>
  <c r="J434" i="1"/>
  <c r="L434" i="1" s="1"/>
  <c r="J435" i="1"/>
  <c r="L435" i="1" s="1"/>
  <c r="J436" i="1"/>
  <c r="L436" i="1" s="1"/>
  <c r="J437" i="1"/>
  <c r="L437" i="1" s="1"/>
  <c r="J438" i="1"/>
  <c r="L438" i="1" s="1"/>
  <c r="J439" i="1"/>
  <c r="L439" i="1" s="1"/>
  <c r="J440" i="1"/>
  <c r="L440" i="1" s="1"/>
  <c r="J441" i="1"/>
  <c r="L441" i="1" s="1"/>
  <c r="J442" i="1"/>
  <c r="L442" i="1" s="1"/>
  <c r="J443" i="1"/>
  <c r="L443" i="1" s="1"/>
  <c r="J444" i="1"/>
  <c r="L444" i="1" s="1"/>
  <c r="J445" i="1"/>
  <c r="L445" i="1" s="1"/>
  <c r="J446" i="1"/>
  <c r="L446" i="1" s="1"/>
  <c r="J485" i="1"/>
  <c r="L485" i="1" s="1"/>
  <c r="J486" i="1"/>
  <c r="L486" i="1" s="1"/>
  <c r="J517" i="1"/>
  <c r="L517" i="1" s="1"/>
  <c r="J558" i="1"/>
  <c r="L558" i="1" s="1"/>
  <c r="J8415" i="1"/>
  <c r="L8415" i="1" s="1"/>
  <c r="J8422" i="1"/>
  <c r="L8422" i="1" s="1"/>
  <c r="J8426" i="1"/>
  <c r="L8426" i="1" s="1"/>
  <c r="J8461" i="1"/>
  <c r="L8461" i="1" s="1"/>
  <c r="J626" i="1"/>
  <c r="L626" i="1" s="1"/>
  <c r="J712" i="1"/>
  <c r="L712" i="1" s="1"/>
  <c r="J714" i="1"/>
  <c r="L714" i="1" s="1"/>
  <c r="J778" i="1"/>
  <c r="L778" i="1" s="1"/>
  <c r="J787" i="1"/>
  <c r="L787" i="1" s="1"/>
  <c r="J922" i="1"/>
  <c r="L922" i="1" s="1"/>
  <c r="J928" i="1"/>
  <c r="L928" i="1" s="1"/>
  <c r="J9154" i="1"/>
  <c r="L9154" i="1" s="1"/>
  <c r="J9164" i="1"/>
  <c r="L9164" i="1" s="1"/>
  <c r="J1207" i="1"/>
  <c r="L1207" i="1" s="1"/>
  <c r="J1256" i="1"/>
  <c r="L1256" i="1" s="1"/>
  <c r="J1257" i="1"/>
  <c r="L1257" i="1" s="1"/>
  <c r="J1258" i="1"/>
  <c r="L1258" i="1" s="1"/>
  <c r="J1259" i="1"/>
  <c r="L1259" i="1" s="1"/>
  <c r="J1260" i="1"/>
  <c r="L1260" i="1" s="1"/>
  <c r="J1261" i="1"/>
  <c r="L1261" i="1" s="1"/>
  <c r="J1262" i="1"/>
  <c r="L1262" i="1" s="1"/>
  <c r="J1263" i="1"/>
  <c r="L1263" i="1" s="1"/>
  <c r="J1264" i="1"/>
  <c r="L1264" i="1" s="1"/>
  <c r="J1265" i="1"/>
  <c r="L1265" i="1" s="1"/>
  <c r="J1266" i="1"/>
  <c r="L1266" i="1" s="1"/>
  <c r="J1267" i="1"/>
  <c r="L1267" i="1" s="1"/>
  <c r="J1268" i="1"/>
  <c r="L1268" i="1" s="1"/>
  <c r="J1269" i="1"/>
  <c r="L1269" i="1" s="1"/>
  <c r="J1304" i="1"/>
  <c r="L1304" i="1" s="1"/>
  <c r="J1305" i="1"/>
  <c r="L1305" i="1" s="1"/>
  <c r="J1306" i="1"/>
  <c r="L1306" i="1" s="1"/>
  <c r="J1307" i="1"/>
  <c r="L1307" i="1" s="1"/>
  <c r="J1308" i="1"/>
  <c r="L1308" i="1" s="1"/>
  <c r="J1309" i="1"/>
  <c r="L1309" i="1" s="1"/>
  <c r="J1310" i="1"/>
  <c r="L1310" i="1" s="1"/>
  <c r="J1311" i="1"/>
  <c r="L1311" i="1" s="1"/>
  <c r="J1312" i="1"/>
  <c r="L1312" i="1" s="1"/>
  <c r="J1313" i="1"/>
  <c r="L1313" i="1" s="1"/>
  <c r="J1314" i="1"/>
  <c r="L1314" i="1" s="1"/>
  <c r="J1355" i="1"/>
  <c r="L1355" i="1" s="1"/>
  <c r="J1356" i="1"/>
  <c r="L1356" i="1" s="1"/>
  <c r="J1357" i="1"/>
  <c r="L1357" i="1" s="1"/>
  <c r="J9230" i="1"/>
  <c r="L9230" i="1" s="1"/>
  <c r="J1370" i="1"/>
  <c r="L1370" i="1" s="1"/>
  <c r="J1394" i="1"/>
  <c r="L1394" i="1" s="1"/>
  <c r="J1410" i="1"/>
  <c r="L1410" i="1" s="1"/>
  <c r="J9355" i="1"/>
  <c r="L9355" i="1" s="1"/>
  <c r="J9382" i="1"/>
  <c r="L9382" i="1" s="1"/>
  <c r="J9387" i="1"/>
  <c r="L9387" i="1" s="1"/>
  <c r="J9403" i="1"/>
  <c r="L9403" i="1" s="1"/>
  <c r="J9411" i="1"/>
  <c r="L9411" i="1" s="1"/>
  <c r="J9412" i="1"/>
  <c r="L9412" i="1" s="1"/>
  <c r="J9459" i="1"/>
  <c r="L9459" i="1" s="1"/>
  <c r="J1574" i="1"/>
  <c r="L1574" i="1" s="1"/>
  <c r="J1585" i="1"/>
  <c r="L1585" i="1" s="1"/>
  <c r="J1658" i="1"/>
  <c r="L1658" i="1" s="1"/>
  <c r="J9680" i="1"/>
  <c r="L9680" i="1" s="1"/>
  <c r="J1808" i="1"/>
  <c r="L1808" i="1" s="1"/>
  <c r="J1809" i="1"/>
  <c r="L1809" i="1" s="1"/>
  <c r="J1810" i="1"/>
  <c r="L1810" i="1" s="1"/>
  <c r="J1811" i="1"/>
  <c r="L1811" i="1" s="1"/>
  <c r="J1812" i="1"/>
  <c r="L1812" i="1" s="1"/>
  <c r="J9759" i="1"/>
  <c r="L9759" i="1" s="1"/>
  <c r="J9760" i="1"/>
  <c r="L9760" i="1" s="1"/>
  <c r="J9870" i="1"/>
  <c r="L9870" i="1" s="1"/>
  <c r="J9924" i="1"/>
  <c r="L9924" i="1" s="1"/>
  <c r="J9935" i="1"/>
  <c r="L9935" i="1" s="1"/>
  <c r="J9941" i="1"/>
  <c r="L9941" i="1" s="1"/>
  <c r="J9966" i="1"/>
  <c r="L9966" i="1" s="1"/>
  <c r="J9967" i="1"/>
  <c r="L9967" i="1" s="1"/>
  <c r="J10050" i="1"/>
  <c r="L10050" i="1" s="1"/>
  <c r="J10069" i="1"/>
  <c r="L10069" i="1" s="1"/>
  <c r="J2037" i="1"/>
  <c r="L2037" i="1" s="1"/>
  <c r="J2073" i="1"/>
  <c r="L2073" i="1" s="1"/>
  <c r="J10233" i="1"/>
  <c r="L10233" i="1" s="1"/>
  <c r="J10234" i="1"/>
  <c r="L10234" i="1" s="1"/>
  <c r="J10235" i="1"/>
  <c r="L10235" i="1" s="1"/>
  <c r="J10236" i="1"/>
  <c r="L10236" i="1" s="1"/>
  <c r="J10286" i="1"/>
  <c r="L10286" i="1" s="1"/>
  <c r="J10299" i="1"/>
  <c r="L10299" i="1" s="1"/>
  <c r="J10300" i="1"/>
  <c r="L10300" i="1" s="1"/>
  <c r="J2213" i="1"/>
  <c r="L2213" i="1" s="1"/>
  <c r="J10407" i="1"/>
  <c r="L10407" i="1" s="1"/>
  <c r="J2373" i="1"/>
  <c r="L2373" i="1" s="1"/>
  <c r="J2375" i="1"/>
  <c r="L2375" i="1" s="1"/>
  <c r="J2385" i="1"/>
  <c r="L2385" i="1" s="1"/>
  <c r="J10662" i="1"/>
  <c r="L10662" i="1" s="1"/>
  <c r="J10677" i="1"/>
  <c r="L10677" i="1" s="1"/>
  <c r="J2715" i="1"/>
  <c r="L2715" i="1" s="1"/>
  <c r="J11022" i="1"/>
  <c r="L11022" i="1" s="1"/>
  <c r="J11023" i="1"/>
  <c r="L11023" i="1" s="1"/>
  <c r="J11040" i="1"/>
  <c r="L11040" i="1" s="1"/>
  <c r="J2749" i="1"/>
  <c r="L2749" i="1" s="1"/>
  <c r="J11304" i="1"/>
  <c r="L11304" i="1" s="1"/>
  <c r="J11320" i="1"/>
  <c r="L11320" i="1" s="1"/>
  <c r="J11321" i="1"/>
  <c r="L11321" i="1" s="1"/>
  <c r="J11322" i="1"/>
  <c r="L11322" i="1" s="1"/>
  <c r="J11331" i="1"/>
  <c r="L11331" i="1" s="1"/>
  <c r="J11343" i="1"/>
  <c r="L11343" i="1" s="1"/>
  <c r="J11357" i="1"/>
  <c r="L11357" i="1" s="1"/>
  <c r="J11364" i="1"/>
  <c r="L11364" i="1" s="1"/>
  <c r="J2861" i="1"/>
  <c r="L2861" i="1" s="1"/>
  <c r="J2867" i="1"/>
  <c r="L2867" i="1" s="1"/>
  <c r="J2880" i="1"/>
  <c r="L2880" i="1" s="1"/>
  <c r="J2931" i="1"/>
  <c r="L2931" i="1" s="1"/>
  <c r="J2932" i="1"/>
  <c r="L2932" i="1" s="1"/>
  <c r="J2933" i="1"/>
  <c r="L2933" i="1" s="1"/>
  <c r="J2934" i="1"/>
  <c r="L2934" i="1" s="1"/>
  <c r="J2935" i="1"/>
  <c r="L2935" i="1" s="1"/>
  <c r="J2936" i="1"/>
  <c r="L2936" i="1" s="1"/>
  <c r="J2937" i="1"/>
  <c r="L2937" i="1" s="1"/>
  <c r="J2938" i="1"/>
  <c r="L2938" i="1" s="1"/>
  <c r="J2939" i="1"/>
  <c r="L2939" i="1" s="1"/>
  <c r="J2940" i="1"/>
  <c r="L2940" i="1" s="1"/>
  <c r="J2941" i="1"/>
  <c r="L2941" i="1" s="1"/>
  <c r="J2942" i="1"/>
  <c r="L2942" i="1" s="1"/>
  <c r="J2943" i="1"/>
  <c r="L2943" i="1" s="1"/>
  <c r="J3116" i="1"/>
  <c r="L3116" i="1" s="1"/>
  <c r="J11785" i="1"/>
  <c r="L11785" i="1" s="1"/>
  <c r="J3184" i="1"/>
  <c r="L3184" i="1" s="1"/>
  <c r="J3244" i="1"/>
  <c r="L3244" i="1" s="1"/>
  <c r="J3249" i="1"/>
  <c r="L3249" i="1" s="1"/>
  <c r="J11886" i="1"/>
  <c r="L11886" i="1" s="1"/>
  <c r="J12166" i="1"/>
  <c r="L12166" i="1" s="1"/>
  <c r="J12259" i="1"/>
  <c r="L12259" i="1" s="1"/>
  <c r="J3648" i="1"/>
  <c r="L3648" i="1" s="1"/>
  <c r="J3649" i="1"/>
  <c r="L3649" i="1" s="1"/>
  <c r="J3650" i="1"/>
  <c r="L3650" i="1" s="1"/>
  <c r="J3651" i="1"/>
  <c r="L3651" i="1" s="1"/>
  <c r="J3652" i="1"/>
  <c r="L3652" i="1" s="1"/>
  <c r="J3653" i="1"/>
  <c r="L3653" i="1" s="1"/>
  <c r="J3654" i="1"/>
  <c r="L3654" i="1" s="1"/>
  <c r="J3655" i="1"/>
  <c r="L3655" i="1" s="1"/>
  <c r="J3656" i="1"/>
  <c r="L3656" i="1" s="1"/>
  <c r="J3657" i="1"/>
  <c r="L3657" i="1" s="1"/>
  <c r="J3658" i="1"/>
  <c r="L3658" i="1" s="1"/>
  <c r="J3659" i="1"/>
  <c r="L3659" i="1" s="1"/>
  <c r="J3660" i="1"/>
  <c r="L3660" i="1" s="1"/>
  <c r="J3661" i="1"/>
  <c r="L3661" i="1" s="1"/>
  <c r="J3662" i="1"/>
  <c r="L3662" i="1" s="1"/>
  <c r="J3663" i="1"/>
  <c r="L3663" i="1" s="1"/>
  <c r="J3688" i="1"/>
  <c r="L3688" i="1" s="1"/>
  <c r="J3689" i="1"/>
  <c r="L3689" i="1" s="1"/>
  <c r="J3690" i="1"/>
  <c r="L3690" i="1" s="1"/>
  <c r="J3691" i="1"/>
  <c r="L3691" i="1" s="1"/>
  <c r="J3692" i="1"/>
  <c r="L3692" i="1" s="1"/>
  <c r="J3693" i="1"/>
  <c r="L3693" i="1" s="1"/>
  <c r="J3694" i="1"/>
  <c r="L3694" i="1" s="1"/>
  <c r="J3695" i="1"/>
  <c r="L3695" i="1" s="1"/>
  <c r="J3696" i="1"/>
  <c r="L3696" i="1" s="1"/>
  <c r="J3697" i="1"/>
  <c r="L3697" i="1" s="1"/>
  <c r="J3698" i="1"/>
  <c r="L3698" i="1" s="1"/>
  <c r="J3738" i="1"/>
  <c r="L3738" i="1" s="1"/>
  <c r="J3739" i="1"/>
  <c r="L3739" i="1" s="1"/>
  <c r="J12488" i="1"/>
  <c r="L12488" i="1" s="1"/>
  <c r="J12608" i="1"/>
  <c r="L12608" i="1" s="1"/>
  <c r="J12692" i="1"/>
  <c r="L12692" i="1" s="1"/>
  <c r="J12699" i="1"/>
  <c r="L12699" i="1" s="1"/>
  <c r="J12704" i="1"/>
  <c r="L12704" i="1" s="1"/>
  <c r="J12716" i="1"/>
  <c r="L12716" i="1" s="1"/>
  <c r="J3893" i="1"/>
  <c r="L3893" i="1" s="1"/>
  <c r="J13053" i="1"/>
  <c r="L13053" i="1" s="1"/>
  <c r="J4118" i="1"/>
  <c r="L4118" i="1" s="1"/>
  <c r="J4119" i="1"/>
  <c r="L4119" i="1" s="1"/>
  <c r="J4120" i="1"/>
  <c r="L4120" i="1" s="1"/>
  <c r="J13230" i="1"/>
  <c r="L13230" i="1" s="1"/>
  <c r="J4233" i="1"/>
  <c r="L4233" i="1" s="1"/>
  <c r="J4261" i="1"/>
  <c r="L4261" i="1" s="1"/>
  <c r="J4263" i="1"/>
  <c r="L4263" i="1" s="1"/>
  <c r="J4275" i="1"/>
  <c r="L4275" i="1" s="1"/>
  <c r="J13352" i="1"/>
  <c r="L13352" i="1" s="1"/>
  <c r="J13401" i="1"/>
  <c r="L13401" i="1" s="1"/>
  <c r="J4335" i="1"/>
  <c r="L4335" i="1" s="1"/>
  <c r="J13461" i="1"/>
  <c r="L13461" i="1" s="1"/>
  <c r="J13481" i="1"/>
  <c r="L13481" i="1" s="1"/>
  <c r="J4352" i="1"/>
  <c r="L4352" i="1" s="1"/>
  <c r="J13593" i="1"/>
  <c r="L13593" i="1" s="1"/>
  <c r="J13594" i="1"/>
  <c r="L13594" i="1" s="1"/>
  <c r="J13595" i="1"/>
  <c r="L13595" i="1" s="1"/>
  <c r="J13596" i="1"/>
  <c r="L13596" i="1" s="1"/>
  <c r="J13597" i="1"/>
  <c r="L13597" i="1" s="1"/>
  <c r="J13598" i="1"/>
  <c r="L13598" i="1" s="1"/>
  <c r="J13650" i="1"/>
  <c r="L13650" i="1" s="1"/>
  <c r="J13677" i="1"/>
  <c r="L13677" i="1" s="1"/>
  <c r="J13724" i="1"/>
  <c r="L13724" i="1" s="1"/>
  <c r="J4531" i="1"/>
  <c r="L4531" i="1" s="1"/>
  <c r="J4532" i="1"/>
  <c r="L4532" i="1" s="1"/>
  <c r="J4542" i="1"/>
  <c r="L4542" i="1" s="1"/>
  <c r="J4544" i="1"/>
  <c r="L4544" i="1" s="1"/>
  <c r="J13818" i="1"/>
  <c r="L13818" i="1" s="1"/>
  <c r="J13901" i="1"/>
  <c r="L13901" i="1" s="1"/>
  <c r="J13902" i="1"/>
  <c r="L13902" i="1" s="1"/>
  <c r="J13903" i="1"/>
  <c r="L13903" i="1" s="1"/>
  <c r="J13904" i="1"/>
  <c r="L13904" i="1" s="1"/>
  <c r="J13914" i="1"/>
  <c r="L13914" i="1" s="1"/>
  <c r="J4695" i="1"/>
  <c r="L4695" i="1" s="1"/>
  <c r="J4709" i="1"/>
  <c r="L4709" i="1" s="1"/>
  <c r="J4772" i="1"/>
  <c r="L4772" i="1" s="1"/>
  <c r="J4779" i="1"/>
  <c r="L4779" i="1" s="1"/>
  <c r="J4783" i="1"/>
  <c r="L4783" i="1" s="1"/>
  <c r="J4815" i="1"/>
  <c r="L4815" i="1" s="1"/>
  <c r="J4816" i="1"/>
  <c r="L4816" i="1" s="1"/>
  <c r="J4869" i="1"/>
  <c r="L4869" i="1" s="1"/>
  <c r="J14294" i="1"/>
  <c r="L14294" i="1" s="1"/>
  <c r="J14296" i="1"/>
  <c r="L14296" i="1" s="1"/>
  <c r="J14315" i="1"/>
  <c r="L14315" i="1" s="1"/>
  <c r="J14417" i="1"/>
  <c r="L14417" i="1" s="1"/>
  <c r="J14435" i="1"/>
  <c r="L14435" i="1" s="1"/>
  <c r="J14436" i="1"/>
  <c r="L14436" i="1" s="1"/>
  <c r="J14472" i="1"/>
  <c r="L14472" i="1" s="1"/>
  <c r="J14708" i="1"/>
  <c r="L14708" i="1" s="1"/>
  <c r="J14710" i="1"/>
  <c r="L14710" i="1" s="1"/>
  <c r="J14746" i="1"/>
  <c r="L14746" i="1" s="1"/>
  <c r="J14764" i="1"/>
  <c r="L14764" i="1" s="1"/>
  <c r="J14765" i="1"/>
  <c r="L14765" i="1" s="1"/>
  <c r="J14808" i="1"/>
  <c r="L14808" i="1" s="1"/>
  <c r="J14819" i="1"/>
  <c r="L14819" i="1" s="1"/>
  <c r="J5010" i="1"/>
  <c r="L5010" i="1" s="1"/>
  <c r="J5034" i="1"/>
  <c r="L5034" i="1" s="1"/>
  <c r="J14972" i="1"/>
  <c r="L14972" i="1" s="1"/>
  <c r="J5107" i="1"/>
  <c r="L5107" i="1" s="1"/>
  <c r="J5176" i="1"/>
  <c r="L5176" i="1" s="1"/>
  <c r="J5177" i="1"/>
  <c r="L5177" i="1" s="1"/>
  <c r="J5178" i="1"/>
  <c r="L5178" i="1" s="1"/>
  <c r="J5179" i="1"/>
  <c r="L5179" i="1" s="1"/>
  <c r="J5180" i="1"/>
  <c r="L5180" i="1" s="1"/>
  <c r="J5181" i="1"/>
  <c r="L5181" i="1" s="1"/>
  <c r="J5182" i="1"/>
  <c r="L5182" i="1" s="1"/>
  <c r="J5183" i="1"/>
  <c r="L5183" i="1" s="1"/>
  <c r="J5184" i="1"/>
  <c r="L5184" i="1" s="1"/>
  <c r="J5185" i="1"/>
  <c r="L5185" i="1" s="1"/>
  <c r="J5186" i="1"/>
  <c r="L5186" i="1" s="1"/>
  <c r="J5217" i="1"/>
  <c r="L5217" i="1" s="1"/>
  <c r="J15025" i="1"/>
  <c r="L15025" i="1" s="1"/>
  <c r="J5260" i="1"/>
  <c r="L5260" i="1" s="1"/>
  <c r="J5300" i="1"/>
  <c r="L5300" i="1" s="1"/>
  <c r="J5301" i="1"/>
  <c r="L5301" i="1" s="1"/>
  <c r="J15065" i="1"/>
  <c r="L15065" i="1" s="1"/>
  <c r="J15071" i="1"/>
  <c r="L15071" i="1" s="1"/>
  <c r="J15086" i="1"/>
  <c r="L15086" i="1" s="1"/>
  <c r="J5351" i="1"/>
  <c r="L5351" i="1" s="1"/>
  <c r="J5361" i="1"/>
  <c r="L5361" i="1" s="1"/>
  <c r="J5367" i="1"/>
  <c r="L5367" i="1" s="1"/>
  <c r="J5390" i="1"/>
  <c r="L5390" i="1" s="1"/>
  <c r="J5444" i="1"/>
  <c r="L5444" i="1" s="1"/>
  <c r="J15229" i="1"/>
  <c r="L15229" i="1" s="1"/>
  <c r="J5457" i="1"/>
  <c r="L5457" i="1" s="1"/>
  <c r="J5506" i="1"/>
  <c r="L5506" i="1" s="1"/>
  <c r="J5522" i="1"/>
  <c r="L5522" i="1" s="1"/>
  <c r="J15305" i="1"/>
  <c r="L15305" i="1" s="1"/>
  <c r="J5528" i="1"/>
  <c r="L5528" i="1" s="1"/>
  <c r="J15518" i="1"/>
  <c r="L15518" i="1" s="1"/>
  <c r="J15605" i="1"/>
  <c r="L15605" i="1" s="1"/>
  <c r="J5921" i="1"/>
  <c r="L5921" i="1" s="1"/>
  <c r="J15841" i="1"/>
  <c r="L15841" i="1" s="1"/>
  <c r="J5982" i="1"/>
  <c r="L5982" i="1" s="1"/>
  <c r="J5983" i="1"/>
  <c r="L5983" i="1" s="1"/>
  <c r="J5984" i="1"/>
  <c r="L5984" i="1" s="1"/>
  <c r="J5985" i="1"/>
  <c r="L5985" i="1" s="1"/>
  <c r="J5986" i="1"/>
  <c r="L5986" i="1" s="1"/>
  <c r="J5987" i="1"/>
  <c r="L5987" i="1" s="1"/>
  <c r="J5988" i="1"/>
  <c r="L5988" i="1" s="1"/>
  <c r="J5989" i="1"/>
  <c r="L5989" i="1" s="1"/>
  <c r="J5990" i="1"/>
  <c r="L5990" i="1" s="1"/>
  <c r="J5991" i="1"/>
  <c r="L5991" i="1" s="1"/>
  <c r="J5992" i="1"/>
  <c r="L5992" i="1" s="1"/>
  <c r="J5993" i="1"/>
  <c r="L5993" i="1" s="1"/>
  <c r="J5994" i="1"/>
  <c r="L5994" i="1" s="1"/>
  <c r="J5995" i="1"/>
  <c r="L5995" i="1" s="1"/>
  <c r="J5996" i="1"/>
  <c r="L5996" i="1" s="1"/>
  <c r="J5997" i="1"/>
  <c r="L5997" i="1" s="1"/>
  <c r="J5998" i="1"/>
  <c r="L5998" i="1" s="1"/>
  <c r="J5999" i="1"/>
  <c r="L5999" i="1" s="1"/>
  <c r="J6000" i="1"/>
  <c r="L6000" i="1" s="1"/>
  <c r="J6001" i="1"/>
  <c r="L6001" i="1" s="1"/>
  <c r="J6003" i="1"/>
  <c r="L6003" i="1" s="1"/>
  <c r="J6002" i="1"/>
  <c r="L6002" i="1" s="1"/>
  <c r="J6042" i="1"/>
  <c r="L6042" i="1" s="1"/>
  <c r="J6043" i="1"/>
  <c r="L6043" i="1" s="1"/>
  <c r="J6044" i="1"/>
  <c r="L6044" i="1" s="1"/>
  <c r="J6045" i="1"/>
  <c r="L6045" i="1" s="1"/>
  <c r="J6046" i="1"/>
  <c r="L6046" i="1" s="1"/>
  <c r="J6047" i="1"/>
  <c r="L6047" i="1" s="1"/>
  <c r="J6048" i="1"/>
  <c r="L6048" i="1" s="1"/>
  <c r="J6094" i="1"/>
  <c r="L6094" i="1" s="1"/>
  <c r="J16026" i="1"/>
  <c r="L16026" i="1" s="1"/>
  <c r="J16032" i="1"/>
  <c r="L16032" i="1" s="1"/>
  <c r="J16038" i="1"/>
  <c r="L16038" i="1" s="1"/>
  <c r="J16073" i="1"/>
  <c r="L16073" i="1" s="1"/>
  <c r="J16074" i="1"/>
  <c r="L16074" i="1" s="1"/>
  <c r="J16100" i="1"/>
  <c r="L16100" i="1" s="1"/>
  <c r="J6523" i="1"/>
  <c r="L6523" i="1" s="1"/>
  <c r="J6524" i="1"/>
  <c r="L6524" i="1" s="1"/>
  <c r="J16446" i="1"/>
  <c r="L16446" i="1" s="1"/>
  <c r="J16452" i="1"/>
  <c r="L16452" i="1" s="1"/>
  <c r="J6592" i="1"/>
  <c r="L6592" i="1" s="1"/>
  <c r="J16631" i="1"/>
  <c r="L16631" i="1" s="1"/>
  <c r="J16632" i="1"/>
  <c r="L16632" i="1" s="1"/>
  <c r="J6658" i="1"/>
  <c r="L6658" i="1" s="1"/>
  <c r="J6678" i="1"/>
  <c r="L6678" i="1" s="1"/>
  <c r="J16728" i="1"/>
  <c r="L16728" i="1" s="1"/>
  <c r="J16734" i="1"/>
  <c r="L16734" i="1" s="1"/>
  <c r="J16741" i="1"/>
  <c r="L16741" i="1" s="1"/>
  <c r="J16814" i="1"/>
  <c r="L16814" i="1" s="1"/>
  <c r="J16851" i="1"/>
  <c r="L16851" i="1" s="1"/>
  <c r="J6773" i="1"/>
  <c r="L6773" i="1" s="1"/>
  <c r="J6786" i="1"/>
  <c r="L6786" i="1" s="1"/>
  <c r="J16937" i="1"/>
  <c r="L16937" i="1" s="1"/>
  <c r="J16938" i="1"/>
  <c r="L16938" i="1" s="1"/>
  <c r="J16939" i="1"/>
  <c r="L16939" i="1" s="1"/>
  <c r="J16940" i="1"/>
  <c r="L16940" i="1" s="1"/>
  <c r="J16941" i="1"/>
  <c r="L16941" i="1" s="1"/>
  <c r="J16942" i="1"/>
  <c r="L16942" i="1" s="1"/>
  <c r="J16943" i="1"/>
  <c r="L16943" i="1" s="1"/>
  <c r="J7185" i="1"/>
  <c r="L7185" i="1" s="1"/>
  <c r="J7191" i="1"/>
  <c r="L7191" i="1" s="1"/>
  <c r="J7230" i="1"/>
  <c r="L7230" i="1" s="1"/>
  <c r="J43" i="1"/>
  <c r="L43" i="1" s="1"/>
  <c r="J49" i="1"/>
  <c r="L49" i="1" s="1"/>
  <c r="J50" i="1"/>
  <c r="L50" i="1" s="1"/>
  <c r="J7446" i="1"/>
  <c r="L7446" i="1" s="1"/>
  <c r="J109" i="1"/>
  <c r="L109" i="1" s="1"/>
  <c r="J7762" i="1"/>
  <c r="L7762" i="1" s="1"/>
  <c r="J211" i="1"/>
  <c r="L211" i="1" s="1"/>
  <c r="J226" i="1"/>
  <c r="L226" i="1" s="1"/>
  <c r="J234" i="1"/>
  <c r="L234" i="1" s="1"/>
  <c r="J243" i="1"/>
  <c r="L243" i="1" s="1"/>
  <c r="J8104" i="1"/>
  <c r="L8104" i="1" s="1"/>
  <c r="J8105" i="1"/>
  <c r="L8105" i="1" s="1"/>
  <c r="J8106" i="1"/>
  <c r="L8106" i="1" s="1"/>
  <c r="J8107" i="1"/>
  <c r="L8107" i="1" s="1"/>
  <c r="J8123" i="1"/>
  <c r="L8123" i="1" s="1"/>
  <c r="J8128" i="1"/>
  <c r="L8128" i="1" s="1"/>
  <c r="J8183" i="1"/>
  <c r="L8183" i="1" s="1"/>
  <c r="J8337" i="1"/>
  <c r="L8337" i="1" s="1"/>
  <c r="J409" i="1"/>
  <c r="L409" i="1" s="1"/>
  <c r="J410" i="1"/>
  <c r="L410" i="1" s="1"/>
  <c r="J411" i="1"/>
  <c r="L411" i="1" s="1"/>
  <c r="J412" i="1"/>
  <c r="L412" i="1" s="1"/>
  <c r="J413" i="1"/>
  <c r="L413" i="1" s="1"/>
  <c r="J414" i="1"/>
  <c r="L414" i="1" s="1"/>
  <c r="J415" i="1"/>
  <c r="L415" i="1" s="1"/>
  <c r="J416" i="1"/>
  <c r="L416" i="1" s="1"/>
  <c r="J417" i="1"/>
  <c r="L417" i="1" s="1"/>
  <c r="J418" i="1"/>
  <c r="L418" i="1" s="1"/>
  <c r="J419" i="1"/>
  <c r="L419" i="1" s="1"/>
  <c r="J420" i="1"/>
  <c r="L420" i="1" s="1"/>
  <c r="J421" i="1"/>
  <c r="L421" i="1" s="1"/>
  <c r="J422" i="1"/>
  <c r="L422" i="1" s="1"/>
  <c r="J423" i="1"/>
  <c r="L423" i="1" s="1"/>
  <c r="J424" i="1"/>
  <c r="L424" i="1" s="1"/>
  <c r="J425" i="1"/>
  <c r="L425" i="1" s="1"/>
  <c r="J426" i="1"/>
  <c r="L426" i="1" s="1"/>
  <c r="J427" i="1"/>
  <c r="L427" i="1" s="1"/>
  <c r="J428" i="1"/>
  <c r="L428" i="1" s="1"/>
  <c r="J429" i="1"/>
  <c r="L429" i="1" s="1"/>
  <c r="J430" i="1"/>
  <c r="L430" i="1" s="1"/>
  <c r="J431" i="1"/>
  <c r="L431" i="1" s="1"/>
  <c r="J432" i="1"/>
  <c r="L432" i="1" s="1"/>
  <c r="J433" i="1"/>
  <c r="L433" i="1" s="1"/>
  <c r="J8383" i="1"/>
  <c r="L8383" i="1" s="1"/>
  <c r="J484" i="1"/>
  <c r="L484" i="1" s="1"/>
  <c r="J8389" i="1"/>
  <c r="L8389" i="1" s="1"/>
  <c r="J585" i="1"/>
  <c r="L585" i="1" s="1"/>
  <c r="J591" i="1"/>
  <c r="L591" i="1" s="1"/>
  <c r="J595" i="1"/>
  <c r="L595" i="1" s="1"/>
  <c r="J8414" i="1"/>
  <c r="L8414" i="1" s="1"/>
  <c r="J8441" i="1"/>
  <c r="L8441" i="1" s="1"/>
  <c r="J605" i="1"/>
  <c r="L605" i="1" s="1"/>
  <c r="J621" i="1"/>
  <c r="L621" i="1" s="1"/>
  <c r="J8584" i="1"/>
  <c r="L8584" i="1" s="1"/>
  <c r="J760" i="1"/>
  <c r="L760" i="1" s="1"/>
  <c r="J8656" i="1"/>
  <c r="L8656" i="1" s="1"/>
  <c r="J785" i="1"/>
  <c r="L785" i="1" s="1"/>
  <c r="J810" i="1"/>
  <c r="L810" i="1" s="1"/>
  <c r="J923" i="1"/>
  <c r="L923" i="1" s="1"/>
  <c r="J925" i="1"/>
  <c r="L925" i="1" s="1"/>
  <c r="J929" i="1"/>
  <c r="L929" i="1" s="1"/>
  <c r="J8946" i="1"/>
  <c r="L8946" i="1" s="1"/>
  <c r="D26" i="2" s="1"/>
  <c r="J8959" i="1"/>
  <c r="L8959" i="1" s="1"/>
  <c r="J8968" i="1"/>
  <c r="L8968" i="1" s="1"/>
  <c r="J1125" i="1"/>
  <c r="L1125" i="1" s="1"/>
  <c r="J9127" i="1"/>
  <c r="L9127" i="1" s="1"/>
  <c r="J1199" i="1"/>
  <c r="L1199" i="1" s="1"/>
  <c r="J9222" i="1"/>
  <c r="L9222" i="1" s="1"/>
  <c r="J1227" i="1"/>
  <c r="L1227" i="1" s="1"/>
  <c r="J1228" i="1"/>
  <c r="L1228" i="1" s="1"/>
  <c r="J1229" i="1"/>
  <c r="L1229" i="1" s="1"/>
  <c r="J1230" i="1"/>
  <c r="L1230" i="1" s="1"/>
  <c r="J1231" i="1"/>
  <c r="L1231" i="1" s="1"/>
  <c r="J1232" i="1"/>
  <c r="L1232" i="1" s="1"/>
  <c r="J1233" i="1"/>
  <c r="L1233" i="1" s="1"/>
  <c r="J1234" i="1"/>
  <c r="L1234" i="1" s="1"/>
  <c r="J1235" i="1"/>
  <c r="L1235" i="1" s="1"/>
  <c r="J1236" i="1"/>
  <c r="L1236" i="1" s="1"/>
  <c r="J1237" i="1"/>
  <c r="L1237" i="1" s="1"/>
  <c r="J1238" i="1"/>
  <c r="L1238" i="1" s="1"/>
  <c r="J1239" i="1"/>
  <c r="L1239" i="1" s="1"/>
  <c r="J1240" i="1"/>
  <c r="L1240" i="1" s="1"/>
  <c r="J1241" i="1"/>
  <c r="L1241" i="1" s="1"/>
  <c r="J1242" i="1"/>
  <c r="L1242" i="1" s="1"/>
  <c r="J1243" i="1"/>
  <c r="L1243" i="1" s="1"/>
  <c r="J1244" i="1"/>
  <c r="L1244" i="1" s="1"/>
  <c r="J1245" i="1"/>
  <c r="L1245" i="1" s="1"/>
  <c r="J1246" i="1"/>
  <c r="L1246" i="1" s="1"/>
  <c r="J1247" i="1"/>
  <c r="L1247" i="1" s="1"/>
  <c r="J1248" i="1"/>
  <c r="L1248" i="1" s="1"/>
  <c r="J1249" i="1"/>
  <c r="L1249" i="1" s="1"/>
  <c r="J1250" i="1"/>
  <c r="L1250" i="1" s="1"/>
  <c r="J1251" i="1"/>
  <c r="L1251" i="1" s="1"/>
  <c r="J1252" i="1"/>
  <c r="L1252" i="1" s="1"/>
  <c r="J1253" i="1"/>
  <c r="L1253" i="1" s="1"/>
  <c r="J1254" i="1"/>
  <c r="L1254" i="1" s="1"/>
  <c r="J1255" i="1"/>
  <c r="L1255" i="1" s="1"/>
  <c r="J1290" i="1"/>
  <c r="L1290" i="1" s="1"/>
  <c r="J1291" i="1"/>
  <c r="L1291" i="1" s="1"/>
  <c r="J1292" i="1"/>
  <c r="L1292" i="1" s="1"/>
  <c r="J1293" i="1"/>
  <c r="L1293" i="1" s="1"/>
  <c r="J1294" i="1"/>
  <c r="L1294" i="1" s="1"/>
  <c r="J1295" i="1"/>
  <c r="L1295" i="1" s="1"/>
  <c r="J1296" i="1"/>
  <c r="L1296" i="1" s="1"/>
  <c r="J1297" i="1"/>
  <c r="L1297" i="1" s="1"/>
  <c r="J1298" i="1"/>
  <c r="L1298" i="1" s="1"/>
  <c r="J1299" i="1"/>
  <c r="L1299" i="1" s="1"/>
  <c r="J1300" i="1"/>
  <c r="L1300" i="1" s="1"/>
  <c r="J1301" i="1"/>
  <c r="L1301" i="1" s="1"/>
  <c r="J1302" i="1"/>
  <c r="L1302" i="1" s="1"/>
  <c r="J1303" i="1"/>
  <c r="L1303" i="1" s="1"/>
  <c r="J1351" i="1"/>
  <c r="L1351" i="1" s="1"/>
  <c r="J1352" i="1"/>
  <c r="L1352" i="1" s="1"/>
  <c r="J1353" i="1"/>
  <c r="L1353" i="1" s="1"/>
  <c r="J1354" i="1"/>
  <c r="L1354" i="1" s="1"/>
  <c r="J9363" i="1"/>
  <c r="L9363" i="1" s="1"/>
  <c r="J1549" i="1"/>
  <c r="L1549" i="1" s="1"/>
  <c r="J1572" i="1"/>
  <c r="L1572" i="1" s="1"/>
  <c r="J1575" i="1"/>
  <c r="L1575" i="1" s="1"/>
  <c r="J1580" i="1"/>
  <c r="L1580" i="1" s="1"/>
  <c r="J1668" i="1"/>
  <c r="L1668" i="1" s="1"/>
  <c r="J1806" i="1"/>
  <c r="L1806" i="1" s="1"/>
  <c r="J1807" i="1"/>
  <c r="L1807" i="1" s="1"/>
  <c r="J9752" i="1"/>
  <c r="L9752" i="1" s="1"/>
  <c r="J9764" i="1"/>
  <c r="L9764" i="1" s="1"/>
  <c r="J9765" i="1"/>
  <c r="L9765" i="1" s="1"/>
  <c r="J9866" i="1"/>
  <c r="L9866" i="1" s="1"/>
  <c r="J9867" i="1"/>
  <c r="L9867" i="1" s="1"/>
  <c r="J9868" i="1"/>
  <c r="L9868" i="1" s="1"/>
  <c r="J9869" i="1"/>
  <c r="L9869" i="1" s="1"/>
  <c r="J9908" i="1"/>
  <c r="L9908" i="1" s="1"/>
  <c r="J9965" i="1"/>
  <c r="L9965" i="1" s="1"/>
  <c r="J1961" i="1"/>
  <c r="L1961" i="1" s="1"/>
  <c r="J2004" i="1"/>
  <c r="L2004" i="1" s="1"/>
  <c r="J2008" i="1"/>
  <c r="L2008" i="1" s="1"/>
  <c r="J10223" i="1"/>
  <c r="L10223" i="1" s="1"/>
  <c r="J10224" i="1"/>
  <c r="L10224" i="1" s="1"/>
  <c r="J10225" i="1"/>
  <c r="L10225" i="1" s="1"/>
  <c r="J10226" i="1"/>
  <c r="L10226" i="1" s="1"/>
  <c r="J10227" i="1"/>
  <c r="L10227" i="1" s="1"/>
  <c r="J10228" i="1"/>
  <c r="L10228" i="1" s="1"/>
  <c r="J10229" i="1"/>
  <c r="L10229" i="1" s="1"/>
  <c r="J10230" i="1"/>
  <c r="L10230" i="1" s="1"/>
  <c r="J10231" i="1"/>
  <c r="L10231" i="1" s="1"/>
  <c r="J10232" i="1"/>
  <c r="L10232" i="1" s="1"/>
  <c r="J10423" i="1"/>
  <c r="L10423" i="1" s="1"/>
  <c r="J2527" i="1"/>
  <c r="L2527" i="1" s="1"/>
  <c r="J2607" i="1"/>
  <c r="L2607" i="1" s="1"/>
  <c r="J10635" i="1"/>
  <c r="L10635" i="1" s="1"/>
  <c r="J2662" i="1"/>
  <c r="L2662" i="1" s="1"/>
  <c r="J2670" i="1"/>
  <c r="L2670" i="1" s="1"/>
  <c r="J2675" i="1"/>
  <c r="L2675" i="1" s="1"/>
  <c r="J10913" i="1"/>
  <c r="L10913" i="1" s="1"/>
  <c r="J10920" i="1"/>
  <c r="L10920" i="1" s="1"/>
  <c r="J11004" i="1"/>
  <c r="L11004" i="1" s="1"/>
  <c r="J11021" i="1"/>
  <c r="L11021" i="1" s="1"/>
  <c r="J11039" i="1"/>
  <c r="L11039" i="1" s="1"/>
  <c r="J2743" i="1"/>
  <c r="L2743" i="1" s="1"/>
  <c r="J11083" i="1"/>
  <c r="L11083" i="1" s="1"/>
  <c r="J11302" i="1"/>
  <c r="L11302" i="1" s="1"/>
  <c r="J11303" i="1"/>
  <c r="L11303" i="1" s="1"/>
  <c r="J11309" i="1"/>
  <c r="L11309" i="1" s="1"/>
  <c r="J11310" i="1"/>
  <c r="L11310" i="1" s="1"/>
  <c r="J11311" i="1"/>
  <c r="L11311" i="1" s="1"/>
  <c r="J11342" i="1"/>
  <c r="L11342" i="1" s="1"/>
  <c r="J11355" i="1"/>
  <c r="L11355" i="1" s="1"/>
  <c r="J11356" i="1"/>
  <c r="L11356" i="1" s="1"/>
  <c r="J2807" i="1"/>
  <c r="L2807" i="1" s="1"/>
  <c r="J2815" i="1"/>
  <c r="L2815" i="1" s="1"/>
  <c r="J2912" i="1"/>
  <c r="L2912" i="1" s="1"/>
  <c r="J2913" i="1"/>
  <c r="L2913" i="1" s="1"/>
  <c r="J2914" i="1"/>
  <c r="L2914" i="1" s="1"/>
  <c r="J2915" i="1"/>
  <c r="L2915" i="1" s="1"/>
  <c r="J2916" i="1"/>
  <c r="L2916" i="1" s="1"/>
  <c r="J2917" i="1"/>
  <c r="L2917" i="1" s="1"/>
  <c r="J2918" i="1"/>
  <c r="L2918" i="1" s="1"/>
  <c r="J2919" i="1"/>
  <c r="L2919" i="1" s="1"/>
  <c r="J2920" i="1"/>
  <c r="L2920" i="1" s="1"/>
  <c r="J2921" i="1"/>
  <c r="L2921" i="1" s="1"/>
  <c r="J2922" i="1"/>
  <c r="L2922" i="1" s="1"/>
  <c r="J2923" i="1"/>
  <c r="L2923" i="1" s="1"/>
  <c r="J2924" i="1"/>
  <c r="L2924" i="1" s="1"/>
  <c r="J2925" i="1"/>
  <c r="L2925" i="1" s="1"/>
  <c r="J2926" i="1"/>
  <c r="L2926" i="1" s="1"/>
  <c r="J2927" i="1"/>
  <c r="L2927" i="1" s="1"/>
  <c r="J2928" i="1"/>
  <c r="L2928" i="1" s="1"/>
  <c r="J2929" i="1"/>
  <c r="L2929" i="1" s="1"/>
  <c r="J2930" i="1"/>
  <c r="L2930" i="1" s="1"/>
  <c r="J11631" i="1"/>
  <c r="L11631" i="1" s="1"/>
  <c r="J3080" i="1"/>
  <c r="L3080" i="1" s="1"/>
  <c r="J11652" i="1"/>
  <c r="L11652" i="1" s="1"/>
  <c r="J11679" i="1"/>
  <c r="L11679" i="1" s="1"/>
  <c r="J11811" i="1"/>
  <c r="L11811" i="1" s="1"/>
  <c r="J12019" i="1"/>
  <c r="L12019" i="1" s="1"/>
  <c r="J3390" i="1"/>
  <c r="L3390" i="1" s="1"/>
  <c r="J12251" i="1"/>
  <c r="L12251" i="1" s="1"/>
  <c r="J12389" i="1"/>
  <c r="L12389" i="1" s="1"/>
  <c r="J3611" i="1"/>
  <c r="L3611" i="1" s="1"/>
  <c r="J3614" i="1"/>
  <c r="L3614" i="1" s="1"/>
  <c r="J3615" i="1"/>
  <c r="L3615" i="1" s="1"/>
  <c r="J3616" i="1"/>
  <c r="L3616" i="1" s="1"/>
  <c r="J3617" i="1"/>
  <c r="L3617" i="1" s="1"/>
  <c r="J3618" i="1"/>
  <c r="L3618" i="1" s="1"/>
  <c r="J3619" i="1"/>
  <c r="L3619" i="1" s="1"/>
  <c r="J3620" i="1"/>
  <c r="L3620" i="1" s="1"/>
  <c r="J3621" i="1"/>
  <c r="L3621" i="1" s="1"/>
  <c r="J3622" i="1"/>
  <c r="L3622" i="1" s="1"/>
  <c r="J3623" i="1"/>
  <c r="L3623" i="1" s="1"/>
  <c r="J3624" i="1"/>
  <c r="L3624" i="1" s="1"/>
  <c r="J3625" i="1"/>
  <c r="L3625" i="1" s="1"/>
  <c r="J3626" i="1"/>
  <c r="L3626" i="1" s="1"/>
  <c r="J3627" i="1"/>
  <c r="L3627" i="1" s="1"/>
  <c r="J3628" i="1"/>
  <c r="L3628" i="1" s="1"/>
  <c r="J3629" i="1"/>
  <c r="L3629" i="1" s="1"/>
  <c r="J3630" i="1"/>
  <c r="L3630" i="1" s="1"/>
  <c r="J3631" i="1"/>
  <c r="L3631" i="1" s="1"/>
  <c r="J3632" i="1"/>
  <c r="L3632" i="1" s="1"/>
  <c r="J3633" i="1"/>
  <c r="L3633" i="1" s="1"/>
  <c r="J3634" i="1"/>
  <c r="L3634" i="1" s="1"/>
  <c r="J3635" i="1"/>
  <c r="L3635" i="1" s="1"/>
  <c r="J3636" i="1"/>
  <c r="L3636" i="1" s="1"/>
  <c r="J3637" i="1"/>
  <c r="L3637" i="1" s="1"/>
  <c r="J3638" i="1"/>
  <c r="L3638" i="1" s="1"/>
  <c r="J3639" i="1"/>
  <c r="L3639" i="1" s="1"/>
  <c r="J3640" i="1"/>
  <c r="L3640" i="1" s="1"/>
  <c r="J3641" i="1"/>
  <c r="L3641" i="1" s="1"/>
  <c r="J3642" i="1"/>
  <c r="L3642" i="1" s="1"/>
  <c r="J3643" i="1"/>
  <c r="L3643" i="1" s="1"/>
  <c r="J3644" i="1"/>
  <c r="L3644" i="1" s="1"/>
  <c r="J3645" i="1"/>
  <c r="L3645" i="1" s="1"/>
  <c r="J3646" i="1"/>
  <c r="L3646" i="1" s="1"/>
  <c r="J3647" i="1"/>
  <c r="L3647" i="1" s="1"/>
  <c r="J3680" i="1"/>
  <c r="L3680" i="1" s="1"/>
  <c r="J3681" i="1"/>
  <c r="L3681" i="1" s="1"/>
  <c r="J3682" i="1"/>
  <c r="L3682" i="1" s="1"/>
  <c r="J3683" i="1"/>
  <c r="L3683" i="1" s="1"/>
  <c r="J3684" i="1"/>
  <c r="L3684" i="1" s="1"/>
  <c r="J3685" i="1"/>
  <c r="L3685" i="1" s="1"/>
  <c r="J3686" i="1"/>
  <c r="L3686" i="1" s="1"/>
  <c r="J3687" i="1"/>
  <c r="L3687" i="1" s="1"/>
  <c r="J3734" i="1"/>
  <c r="L3734" i="1" s="1"/>
  <c r="J3735" i="1"/>
  <c r="L3735" i="1" s="1"/>
  <c r="J3736" i="1"/>
  <c r="L3736" i="1" s="1"/>
  <c r="J3737" i="1"/>
  <c r="L3737" i="1" s="1"/>
  <c r="J12487" i="1"/>
  <c r="L12487" i="1" s="1"/>
  <c r="J12537" i="1"/>
  <c r="L12537" i="1" s="1"/>
  <c r="J12618" i="1"/>
  <c r="L12618" i="1" s="1"/>
  <c r="J12619" i="1"/>
  <c r="L12619" i="1" s="1"/>
  <c r="J12671" i="1"/>
  <c r="L12671" i="1" s="1"/>
  <c r="J12674" i="1"/>
  <c r="L12674" i="1" s="1"/>
  <c r="J12713" i="1"/>
  <c r="L12713" i="1" s="1"/>
  <c r="J12733" i="1"/>
  <c r="L12733" i="1" s="1"/>
  <c r="J3886" i="1"/>
  <c r="L3886" i="1" s="1"/>
  <c r="J3932" i="1"/>
  <c r="L3932" i="1" s="1"/>
  <c r="J4113" i="1"/>
  <c r="L4113" i="1" s="1"/>
  <c r="J4114" i="1"/>
  <c r="L4114" i="1" s="1"/>
  <c r="J4115" i="1"/>
  <c r="L4115" i="1" s="1"/>
  <c r="J4116" i="1"/>
  <c r="L4116" i="1" s="1"/>
  <c r="J4117" i="1"/>
  <c r="L4117" i="1" s="1"/>
  <c r="J13229" i="1"/>
  <c r="L13229" i="1" s="1"/>
  <c r="J4257" i="1"/>
  <c r="L4257" i="1" s="1"/>
  <c r="J4286" i="1"/>
  <c r="L4286" i="1" s="1"/>
  <c r="J4294" i="1"/>
  <c r="L4294" i="1" s="1"/>
  <c r="J13394" i="1"/>
  <c r="L13394" i="1" s="1"/>
  <c r="J4362" i="1"/>
  <c r="L4362" i="1" s="1"/>
  <c r="J13583" i="1"/>
  <c r="L13583" i="1" s="1"/>
  <c r="J13584" i="1"/>
  <c r="L13584" i="1" s="1"/>
  <c r="J13585" i="1"/>
  <c r="L13585" i="1" s="1"/>
  <c r="J13586" i="1"/>
  <c r="L13586" i="1" s="1"/>
  <c r="J13587" i="1"/>
  <c r="L13587" i="1" s="1"/>
  <c r="J13588" i="1"/>
  <c r="L13588" i="1" s="1"/>
  <c r="J13589" i="1"/>
  <c r="L13589" i="1" s="1"/>
  <c r="J13590" i="1"/>
  <c r="L13590" i="1" s="1"/>
  <c r="J13591" i="1"/>
  <c r="L13591" i="1" s="1"/>
  <c r="J13592" i="1"/>
  <c r="L13592" i="1" s="1"/>
  <c r="J4396" i="1"/>
  <c r="L4396" i="1" s="1"/>
  <c r="J13648" i="1"/>
  <c r="L13648" i="1" s="1"/>
  <c r="J13736" i="1"/>
  <c r="L13736" i="1" s="1"/>
  <c r="J4521" i="1"/>
  <c r="L4521" i="1" s="1"/>
  <c r="J4529" i="1"/>
  <c r="L4529" i="1" s="1"/>
  <c r="J4694" i="1"/>
  <c r="L4694" i="1" s="1"/>
  <c r="J13946" i="1"/>
  <c r="L13946" i="1" s="1"/>
  <c r="J4778" i="1"/>
  <c r="L4778" i="1" s="1"/>
  <c r="J4817" i="1"/>
  <c r="L4817" i="1" s="1"/>
  <c r="J14318" i="1"/>
  <c r="L14318" i="1" s="1"/>
  <c r="J14378" i="1"/>
  <c r="L14378" i="1" s="1"/>
  <c r="J14434" i="1"/>
  <c r="L14434" i="1" s="1"/>
  <c r="J14469" i="1"/>
  <c r="L14469" i="1" s="1"/>
  <c r="J4934" i="1"/>
  <c r="L4934" i="1" s="1"/>
  <c r="J14689" i="1"/>
  <c r="L14689" i="1" s="1"/>
  <c r="J14745" i="1"/>
  <c r="L14745" i="1" s="1"/>
  <c r="J14761" i="1"/>
  <c r="L14761" i="1" s="1"/>
  <c r="J14762" i="1"/>
  <c r="L14762" i="1" s="1"/>
  <c r="J14763" i="1"/>
  <c r="L14763" i="1" s="1"/>
  <c r="J14806" i="1"/>
  <c r="L14806" i="1" s="1"/>
  <c r="J14807" i="1"/>
  <c r="L14807" i="1" s="1"/>
  <c r="J5027" i="1"/>
  <c r="L5027" i="1" s="1"/>
  <c r="J5028" i="1"/>
  <c r="L5028" i="1" s="1"/>
  <c r="J5100" i="1"/>
  <c r="L5100" i="1" s="1"/>
  <c r="J5133" i="1"/>
  <c r="L5133" i="1" s="1"/>
  <c r="J5134" i="1"/>
  <c r="L5134" i="1" s="1"/>
  <c r="J5135" i="1"/>
  <c r="L5135" i="1" s="1"/>
  <c r="J5136" i="1"/>
  <c r="L5136" i="1" s="1"/>
  <c r="J5137" i="1"/>
  <c r="L5137" i="1" s="1"/>
  <c r="J5138" i="1"/>
  <c r="L5138" i="1" s="1"/>
  <c r="J5139" i="1"/>
  <c r="L5139" i="1" s="1"/>
  <c r="J5140" i="1"/>
  <c r="L5140" i="1" s="1"/>
  <c r="J5141" i="1"/>
  <c r="L5141" i="1" s="1"/>
  <c r="J5142" i="1"/>
  <c r="L5142" i="1" s="1"/>
  <c r="J5143" i="1"/>
  <c r="L5143" i="1" s="1"/>
  <c r="J5144" i="1"/>
  <c r="L5144" i="1" s="1"/>
  <c r="J5145" i="1"/>
  <c r="L5145" i="1" s="1"/>
  <c r="J5146" i="1"/>
  <c r="L5146" i="1" s="1"/>
  <c r="J5147" i="1"/>
  <c r="L5147" i="1" s="1"/>
  <c r="J5148" i="1"/>
  <c r="L5148" i="1" s="1"/>
  <c r="J5149" i="1"/>
  <c r="L5149" i="1" s="1"/>
  <c r="J5150" i="1"/>
  <c r="L5150" i="1" s="1"/>
  <c r="J5151" i="1"/>
  <c r="L5151" i="1" s="1"/>
  <c r="J5152" i="1"/>
  <c r="L5152" i="1" s="1"/>
  <c r="J5153" i="1"/>
  <c r="L5153" i="1" s="1"/>
  <c r="J5154" i="1"/>
  <c r="L5154" i="1" s="1"/>
  <c r="J5155" i="1"/>
  <c r="L5155" i="1" s="1"/>
  <c r="J5156" i="1"/>
  <c r="L5156" i="1" s="1"/>
  <c r="J5157" i="1"/>
  <c r="L5157" i="1" s="1"/>
  <c r="J5158" i="1"/>
  <c r="L5158" i="1" s="1"/>
  <c r="J5159" i="1"/>
  <c r="L5159" i="1" s="1"/>
  <c r="J5160" i="1"/>
  <c r="L5160" i="1" s="1"/>
  <c r="J5161" i="1"/>
  <c r="L5161" i="1" s="1"/>
  <c r="J5162" i="1"/>
  <c r="L5162" i="1" s="1"/>
  <c r="J5163" i="1"/>
  <c r="L5163" i="1" s="1"/>
  <c r="J5164" i="1"/>
  <c r="L5164" i="1" s="1"/>
  <c r="J5165" i="1"/>
  <c r="L5165" i="1" s="1"/>
  <c r="J5166" i="1"/>
  <c r="L5166" i="1" s="1"/>
  <c r="J5167" i="1"/>
  <c r="L5167" i="1" s="1"/>
  <c r="J5168" i="1"/>
  <c r="L5168" i="1" s="1"/>
  <c r="J5169" i="1"/>
  <c r="L5169" i="1" s="1"/>
  <c r="J5170" i="1"/>
  <c r="L5170" i="1" s="1"/>
  <c r="J5171" i="1"/>
  <c r="L5171" i="1" s="1"/>
  <c r="J5172" i="1"/>
  <c r="L5172" i="1" s="1"/>
  <c r="J5173" i="1"/>
  <c r="L5173" i="1" s="1"/>
  <c r="J5174" i="1"/>
  <c r="L5174" i="1" s="1"/>
  <c r="J5175" i="1"/>
  <c r="L5175" i="1" s="1"/>
  <c r="J5299" i="1"/>
  <c r="L5299" i="1" s="1"/>
  <c r="J5329" i="1"/>
  <c r="L5329" i="1" s="1"/>
  <c r="J5331" i="1"/>
  <c r="L5331" i="1" s="1"/>
  <c r="J15051" i="1"/>
  <c r="L15051" i="1" s="1"/>
  <c r="J15083" i="1"/>
  <c r="L15083" i="1" s="1"/>
  <c r="J5354" i="1"/>
  <c r="L5354" i="1" s="1"/>
  <c r="J15230" i="1"/>
  <c r="L15230" i="1" s="1"/>
  <c r="J15300" i="1"/>
  <c r="L15300" i="1" s="1"/>
  <c r="J15501" i="1"/>
  <c r="L15501" i="1" s="1"/>
  <c r="J15521" i="1"/>
  <c r="L15521" i="1" s="1"/>
  <c r="J5949" i="1"/>
  <c r="L5949" i="1" s="1"/>
  <c r="J5950" i="1"/>
  <c r="L5950" i="1" s="1"/>
  <c r="J5951" i="1"/>
  <c r="L5951" i="1" s="1"/>
  <c r="J5952" i="1"/>
  <c r="L5952" i="1" s="1"/>
  <c r="J5953" i="1"/>
  <c r="L5953" i="1" s="1"/>
  <c r="J5954" i="1"/>
  <c r="L5954" i="1" s="1"/>
  <c r="J5955" i="1"/>
  <c r="L5955" i="1" s="1"/>
  <c r="J5956" i="1"/>
  <c r="L5956" i="1" s="1"/>
  <c r="J5957" i="1"/>
  <c r="L5957" i="1" s="1"/>
  <c r="J5958" i="1"/>
  <c r="L5958" i="1" s="1"/>
  <c r="J5959" i="1"/>
  <c r="L5959" i="1" s="1"/>
  <c r="J5960" i="1"/>
  <c r="L5960" i="1" s="1"/>
  <c r="J5961" i="1"/>
  <c r="L5961" i="1" s="1"/>
  <c r="J5962" i="1"/>
  <c r="L5962" i="1" s="1"/>
  <c r="J5963" i="1"/>
  <c r="L5963" i="1" s="1"/>
  <c r="J5964" i="1"/>
  <c r="L5964" i="1" s="1"/>
  <c r="J5965" i="1"/>
  <c r="L5965" i="1" s="1"/>
  <c r="J5966" i="1"/>
  <c r="L5966" i="1" s="1"/>
  <c r="J5967" i="1"/>
  <c r="L5967" i="1" s="1"/>
  <c r="J5968" i="1"/>
  <c r="L5968" i="1" s="1"/>
  <c r="J5969" i="1"/>
  <c r="L5969" i="1" s="1"/>
  <c r="J5970" i="1"/>
  <c r="L5970" i="1" s="1"/>
  <c r="J5971" i="1"/>
  <c r="L5971" i="1" s="1"/>
  <c r="J5972" i="1"/>
  <c r="L5972" i="1" s="1"/>
  <c r="J5973" i="1"/>
  <c r="L5973" i="1" s="1"/>
  <c r="J5974" i="1"/>
  <c r="L5974" i="1" s="1"/>
  <c r="J5975" i="1"/>
  <c r="L5975" i="1" s="1"/>
  <c r="J5976" i="1"/>
  <c r="L5976" i="1" s="1"/>
  <c r="J5977" i="1"/>
  <c r="L5977" i="1" s="1"/>
  <c r="J5978" i="1"/>
  <c r="L5978" i="1" s="1"/>
  <c r="J5979" i="1"/>
  <c r="L5979" i="1" s="1"/>
  <c r="J5980" i="1"/>
  <c r="L5980" i="1" s="1"/>
  <c r="J5981" i="1"/>
  <c r="L5981" i="1" s="1"/>
  <c r="J6022" i="1"/>
  <c r="L6022" i="1" s="1"/>
  <c r="J6023" i="1"/>
  <c r="L6023" i="1" s="1"/>
  <c r="J6024" i="1"/>
  <c r="L6024" i="1" s="1"/>
  <c r="J6025" i="1"/>
  <c r="L6025" i="1" s="1"/>
  <c r="J6026" i="1"/>
  <c r="L6026" i="1" s="1"/>
  <c r="J6027" i="1"/>
  <c r="L6027" i="1" s="1"/>
  <c r="J6028" i="1"/>
  <c r="L6028" i="1" s="1"/>
  <c r="J6029" i="1"/>
  <c r="L6029" i="1" s="1"/>
  <c r="J6030" i="1"/>
  <c r="L6030" i="1" s="1"/>
  <c r="J6031" i="1"/>
  <c r="L6031" i="1" s="1"/>
  <c r="J6032" i="1"/>
  <c r="L6032" i="1" s="1"/>
  <c r="J6033" i="1"/>
  <c r="L6033" i="1" s="1"/>
  <c r="J6034" i="1"/>
  <c r="L6034" i="1" s="1"/>
  <c r="J6035" i="1"/>
  <c r="L6035" i="1" s="1"/>
  <c r="J6036" i="1"/>
  <c r="L6036" i="1" s="1"/>
  <c r="J6037" i="1"/>
  <c r="L6037" i="1" s="1"/>
  <c r="J6038" i="1"/>
  <c r="L6038" i="1" s="1"/>
  <c r="J6039" i="1"/>
  <c r="L6039" i="1" s="1"/>
  <c r="J6040" i="1"/>
  <c r="L6040" i="1" s="1"/>
  <c r="J6041" i="1"/>
  <c r="L6041" i="1" s="1"/>
  <c r="J6093" i="1"/>
  <c r="L6093" i="1" s="1"/>
  <c r="J16029" i="1"/>
  <c r="L16029" i="1" s="1"/>
  <c r="J16033" i="1"/>
  <c r="L16033" i="1" s="1"/>
  <c r="J16046" i="1"/>
  <c r="L16046" i="1" s="1"/>
  <c r="J16072" i="1"/>
  <c r="L16072" i="1" s="1"/>
  <c r="J16080" i="1"/>
  <c r="L16080" i="1" s="1"/>
  <c r="J16087" i="1"/>
  <c r="L16087" i="1" s="1"/>
  <c r="J6356" i="1"/>
  <c r="L6356" i="1" s="1"/>
  <c r="J6397" i="1"/>
  <c r="L6397" i="1" s="1"/>
  <c r="J16349" i="1"/>
  <c r="L16349" i="1" s="1"/>
  <c r="J6465" i="1"/>
  <c r="L6465" i="1" s="1"/>
  <c r="J16438" i="1"/>
  <c r="L16438" i="1" s="1"/>
  <c r="J6511" i="1"/>
  <c r="L6511" i="1" s="1"/>
  <c r="J6512" i="1"/>
  <c r="L6512" i="1" s="1"/>
  <c r="J6513" i="1"/>
  <c r="L6513" i="1" s="1"/>
  <c r="J6514" i="1"/>
  <c r="L6514" i="1" s="1"/>
  <c r="J6515" i="1"/>
  <c r="L6515" i="1" s="1"/>
  <c r="J6516" i="1"/>
  <c r="L6516" i="1" s="1"/>
  <c r="J6517" i="1"/>
  <c r="L6517" i="1" s="1"/>
  <c r="J6518" i="1"/>
  <c r="L6518" i="1" s="1"/>
  <c r="J6519" i="1"/>
  <c r="L6519" i="1" s="1"/>
  <c r="J6520" i="1"/>
  <c r="L6520" i="1" s="1"/>
  <c r="J6521" i="1"/>
  <c r="L6521" i="1" s="1"/>
  <c r="J6522" i="1"/>
  <c r="L6522" i="1" s="1"/>
  <c r="J6555" i="1"/>
  <c r="L6555" i="1" s="1"/>
  <c r="J6630" i="1"/>
  <c r="L6630" i="1" s="1"/>
  <c r="J16655" i="1"/>
  <c r="L16655" i="1" s="1"/>
  <c r="J6657" i="1"/>
  <c r="L6657" i="1" s="1"/>
  <c r="J16738" i="1"/>
  <c r="L16738" i="1" s="1"/>
  <c r="J16740" i="1"/>
  <c r="L16740" i="1" s="1"/>
  <c r="J16813" i="1"/>
  <c r="L16813" i="1" s="1"/>
  <c r="J6753" i="1"/>
  <c r="L6753" i="1" s="1"/>
  <c r="J16922" i="1"/>
  <c r="L16922" i="1" s="1"/>
  <c r="J16923" i="1"/>
  <c r="L16923" i="1" s="1"/>
  <c r="J16924" i="1"/>
  <c r="L16924" i="1" s="1"/>
  <c r="J16925" i="1"/>
  <c r="L16925" i="1" s="1"/>
  <c r="J16926" i="1"/>
  <c r="L16926" i="1" s="1"/>
  <c r="J16927" i="1"/>
  <c r="L16927" i="1" s="1"/>
  <c r="J16928" i="1"/>
  <c r="L16928" i="1" s="1"/>
  <c r="J16929" i="1"/>
  <c r="L16929" i="1" s="1"/>
  <c r="J16930" i="1"/>
  <c r="L16930" i="1" s="1"/>
  <c r="J16931" i="1"/>
  <c r="L16931" i="1" s="1"/>
  <c r="J16932" i="1"/>
  <c r="L16932" i="1" s="1"/>
  <c r="J16933" i="1"/>
  <c r="L16933" i="1" s="1"/>
  <c r="J16934" i="1"/>
  <c r="L16934" i="1" s="1"/>
  <c r="J16935" i="1"/>
  <c r="L16935" i="1" s="1"/>
  <c r="J16936" i="1"/>
  <c r="L16936" i="1" s="1"/>
  <c r="J6807" i="1"/>
  <c r="L6807" i="1" s="1"/>
  <c r="J6845" i="1"/>
  <c r="L6845" i="1" s="1"/>
  <c r="J6945" i="1"/>
  <c r="L6945" i="1" s="1"/>
  <c r="J6966" i="1"/>
  <c r="L6966" i="1" s="1"/>
  <c r="J7184" i="1"/>
  <c r="L7184" i="1" s="1"/>
  <c r="J7190" i="1"/>
  <c r="L7190" i="1" s="1"/>
  <c r="J7295" i="1"/>
  <c r="L7295" i="1" s="1"/>
  <c r="J99" i="1"/>
  <c r="L99" i="1" s="1"/>
  <c r="J7595" i="1"/>
  <c r="L7595" i="1" s="1"/>
  <c r="J129" i="1"/>
  <c r="L129" i="1" s="1"/>
  <c r="J148" i="1"/>
  <c r="L148" i="1" s="1"/>
  <c r="J7685" i="1"/>
  <c r="L7685" i="1" s="1"/>
  <c r="J186" i="1"/>
  <c r="L186" i="1" s="1"/>
  <c r="J7841" i="1"/>
  <c r="L7841" i="1" s="1"/>
  <c r="J8036" i="1"/>
  <c r="L8036" i="1" s="1"/>
  <c r="J8041" i="1"/>
  <c r="L8041" i="1" s="1"/>
  <c r="J8103" i="1"/>
  <c r="L8103" i="1" s="1"/>
  <c r="J8120" i="1"/>
  <c r="L8120" i="1" s="1"/>
  <c r="J8121" i="1"/>
  <c r="L8121" i="1" s="1"/>
  <c r="J8122" i="1"/>
  <c r="L8122" i="1" s="1"/>
  <c r="J264" i="1"/>
  <c r="L264" i="1" s="1"/>
  <c r="J8171" i="1"/>
  <c r="L8171" i="1" s="1"/>
  <c r="J8182" i="1"/>
  <c r="L8182" i="1" s="1"/>
  <c r="J278" i="1"/>
  <c r="L278" i="1" s="1"/>
  <c r="J557" i="1"/>
  <c r="L557" i="1" s="1"/>
  <c r="J589" i="1"/>
  <c r="L589" i="1" s="1"/>
  <c r="J612" i="1"/>
  <c r="L612" i="1" s="1"/>
  <c r="J774" i="1"/>
  <c r="L774" i="1" s="1"/>
  <c r="J8655" i="1"/>
  <c r="L8655" i="1" s="1"/>
  <c r="J8800" i="1"/>
  <c r="L8800" i="1" s="1"/>
  <c r="J8801" i="1"/>
  <c r="L8801" i="1" s="1"/>
  <c r="J937" i="1"/>
  <c r="L937" i="1" s="1"/>
  <c r="J1136" i="1"/>
  <c r="L1136" i="1" s="1"/>
  <c r="J9221" i="1"/>
  <c r="L9221" i="1" s="1"/>
  <c r="J1346" i="1"/>
  <c r="L1346" i="1" s="1"/>
  <c r="J1347" i="1"/>
  <c r="L1347" i="1" s="1"/>
  <c r="J1348" i="1"/>
  <c r="L1348" i="1" s="1"/>
  <c r="J1349" i="1"/>
  <c r="L1349" i="1" s="1"/>
  <c r="J1350" i="1"/>
  <c r="L1350" i="1" s="1"/>
  <c r="J9228" i="1"/>
  <c r="L9228" i="1" s="1"/>
  <c r="J9364" i="1"/>
  <c r="L9364" i="1" s="1"/>
  <c r="J9372" i="1"/>
  <c r="L9372" i="1" s="1"/>
  <c r="J9394" i="1"/>
  <c r="L9394" i="1" s="1"/>
  <c r="J9408" i="1"/>
  <c r="L9408" i="1" s="1"/>
  <c r="J9410" i="1"/>
  <c r="L9410" i="1" s="1"/>
  <c r="J9418" i="1"/>
  <c r="L9418" i="1" s="1"/>
  <c r="J9451" i="1"/>
  <c r="L9451" i="1" s="1"/>
  <c r="J9467" i="1"/>
  <c r="L9467" i="1" s="1"/>
  <c r="J9475" i="1"/>
  <c r="L9475" i="1" s="1"/>
  <c r="J1454" i="1"/>
  <c r="L1454" i="1" s="1"/>
  <c r="J1535" i="1"/>
  <c r="L1535" i="1" s="1"/>
  <c r="J1686" i="1"/>
  <c r="L1686" i="1" s="1"/>
  <c r="J1803" i="1"/>
  <c r="L1803" i="1" s="1"/>
  <c r="J1804" i="1"/>
  <c r="L1804" i="1" s="1"/>
  <c r="J1805" i="1"/>
  <c r="L1805" i="1" s="1"/>
  <c r="J1851" i="1"/>
  <c r="L1851" i="1" s="1"/>
  <c r="J9865" i="1"/>
  <c r="L9865" i="1" s="1"/>
  <c r="J9907" i="1"/>
  <c r="L9907" i="1" s="1"/>
  <c r="J1937" i="1"/>
  <c r="L1937" i="1" s="1"/>
  <c r="J1972" i="1"/>
  <c r="L1972" i="1" s="1"/>
  <c r="J1986" i="1"/>
  <c r="L1986" i="1" s="1"/>
  <c r="J1988" i="1"/>
  <c r="L1988" i="1" s="1"/>
  <c r="J10044" i="1"/>
  <c r="L10044" i="1" s="1"/>
  <c r="J2057" i="1"/>
  <c r="L2057" i="1" s="1"/>
  <c r="J10148" i="1"/>
  <c r="L10148" i="1" s="1"/>
  <c r="J2066" i="1"/>
  <c r="L2066" i="1" s="1"/>
  <c r="J2118" i="1"/>
  <c r="L2118" i="1" s="1"/>
  <c r="J10285" i="1"/>
  <c r="L10285" i="1" s="1"/>
  <c r="J10298" i="1"/>
  <c r="L10298" i="1" s="1"/>
  <c r="J2257" i="1"/>
  <c r="L2257" i="1" s="1"/>
  <c r="J2264" i="1"/>
  <c r="L2264" i="1" s="1"/>
  <c r="J2271" i="1"/>
  <c r="L2271" i="1" s="1"/>
  <c r="J10385" i="1"/>
  <c r="L10385" i="1" s="1"/>
  <c r="J2355" i="1"/>
  <c r="L2355" i="1" s="1"/>
  <c r="D4" i="2" s="1"/>
  <c r="J2372" i="1"/>
  <c r="L2372" i="1" s="1"/>
  <c r="J10525" i="1"/>
  <c r="L10525" i="1" s="1"/>
  <c r="J10553" i="1"/>
  <c r="L10553" i="1" s="1"/>
  <c r="J2580" i="1"/>
  <c r="L2580" i="1" s="1"/>
  <c r="J2604" i="1"/>
  <c r="L2604" i="1" s="1"/>
  <c r="J10668" i="1"/>
  <c r="L10668" i="1" s="1"/>
  <c r="J2624" i="1"/>
  <c r="L2624" i="1" s="1"/>
  <c r="J2637" i="1"/>
  <c r="L2637" i="1" s="1"/>
  <c r="J2688" i="1"/>
  <c r="L2688" i="1" s="1"/>
  <c r="J11020" i="1"/>
  <c r="L11020" i="1" s="1"/>
  <c r="J11054" i="1"/>
  <c r="L11054" i="1" s="1"/>
  <c r="J11082" i="1"/>
  <c r="L11082" i="1" s="1"/>
  <c r="J11118" i="1"/>
  <c r="L11118" i="1" s="1"/>
  <c r="J11252" i="1"/>
  <c r="L11252" i="1" s="1"/>
  <c r="J11297" i="1"/>
  <c r="L11297" i="1" s="1"/>
  <c r="J11298" i="1"/>
  <c r="L11298" i="1" s="1"/>
  <c r="J11299" i="1"/>
  <c r="L11299" i="1" s="1"/>
  <c r="J11300" i="1"/>
  <c r="L11300" i="1" s="1"/>
  <c r="J11301" i="1"/>
  <c r="L11301" i="1" s="1"/>
  <c r="J11317" i="1"/>
  <c r="L11317" i="1" s="1"/>
  <c r="J11318" i="1"/>
  <c r="L11318" i="1" s="1"/>
  <c r="J11319" i="1"/>
  <c r="L11319" i="1" s="1"/>
  <c r="J11353" i="1"/>
  <c r="L11353" i="1" s="1"/>
  <c r="J11354" i="1"/>
  <c r="L11354" i="1" s="1"/>
  <c r="J11363" i="1"/>
  <c r="L11363" i="1" s="1"/>
  <c r="J2806" i="1"/>
  <c r="L2806" i="1" s="1"/>
  <c r="J11441" i="1"/>
  <c r="L11441" i="1" s="1"/>
  <c r="J11442" i="1"/>
  <c r="L11442" i="1" s="1"/>
  <c r="J2823" i="1"/>
  <c r="L2823" i="1" s="1"/>
  <c r="J11521" i="1"/>
  <c r="L11521" i="1" s="1"/>
  <c r="J11604" i="1"/>
  <c r="L11604" i="1" s="1"/>
  <c r="J3033" i="1"/>
  <c r="L3033" i="1" s="1"/>
  <c r="J3084" i="1"/>
  <c r="L3084" i="1" s="1"/>
  <c r="J3106" i="1"/>
  <c r="L3106" i="1" s="1"/>
  <c r="J3111" i="1"/>
  <c r="L3111" i="1" s="1"/>
  <c r="J11765" i="1"/>
  <c r="L11765" i="1" s="1"/>
  <c r="J11773" i="1"/>
  <c r="L11773" i="1" s="1"/>
  <c r="J11775" i="1"/>
  <c r="L11775" i="1" s="1"/>
  <c r="J11779" i="1"/>
  <c r="L11779" i="1" s="1"/>
  <c r="J3197" i="1"/>
  <c r="L3197" i="1" s="1"/>
  <c r="J3264" i="1"/>
  <c r="L3264" i="1" s="1"/>
  <c r="J12194" i="1"/>
  <c r="L12194" i="1" s="1"/>
  <c r="J3613" i="1"/>
  <c r="L3613" i="1" s="1"/>
  <c r="J3727" i="1"/>
  <c r="L3727" i="1" s="1"/>
  <c r="J3728" i="1"/>
  <c r="L3728" i="1" s="1"/>
  <c r="J3729" i="1"/>
  <c r="L3729" i="1" s="1"/>
  <c r="J3730" i="1"/>
  <c r="L3730" i="1" s="1"/>
  <c r="J3731" i="1"/>
  <c r="L3731" i="1" s="1"/>
  <c r="J3732" i="1"/>
  <c r="L3732" i="1" s="1"/>
  <c r="J3733" i="1"/>
  <c r="L3733" i="1" s="1"/>
  <c r="J12485" i="1"/>
  <c r="L12485" i="1" s="1"/>
  <c r="J12486" i="1"/>
  <c r="L12486" i="1" s="1"/>
  <c r="J3767" i="1"/>
  <c r="L3767" i="1" s="1"/>
  <c r="J12631" i="1"/>
  <c r="L12631" i="1" s="1"/>
  <c r="J12710" i="1"/>
  <c r="L12710" i="1" s="1"/>
  <c r="J12734" i="1"/>
  <c r="L12734" i="1" s="1"/>
  <c r="J3897" i="1"/>
  <c r="L3897" i="1" s="1"/>
  <c r="J4072" i="1"/>
  <c r="L4072" i="1" s="1"/>
  <c r="J4097" i="1"/>
  <c r="L4097" i="1" s="1"/>
  <c r="J4111" i="1"/>
  <c r="L4111" i="1" s="1"/>
  <c r="J4112" i="1"/>
  <c r="L4112" i="1" s="1"/>
  <c r="J13181" i="1"/>
  <c r="L13181" i="1" s="1"/>
  <c r="J13228" i="1"/>
  <c r="L13228" i="1" s="1"/>
  <c r="J13247" i="1"/>
  <c r="L13247" i="1" s="1"/>
  <c r="J4262" i="1"/>
  <c r="L4262" i="1" s="1"/>
  <c r="J4279" i="1"/>
  <c r="L4279" i="1" s="1"/>
  <c r="J13369" i="1"/>
  <c r="L13369" i="1" s="1"/>
  <c r="J13370" i="1"/>
  <c r="L13370" i="1" s="1"/>
  <c r="J13371" i="1"/>
  <c r="L13371" i="1" s="1"/>
  <c r="J13393" i="1"/>
  <c r="L13393" i="1" s="1"/>
  <c r="J4404" i="1"/>
  <c r="L4404" i="1" s="1"/>
  <c r="J13634" i="1"/>
  <c r="L13634" i="1" s="1"/>
  <c r="J13695" i="1"/>
  <c r="L13695" i="1" s="1"/>
  <c r="J4782" i="1"/>
  <c r="L4782" i="1" s="1"/>
  <c r="J4822" i="1"/>
  <c r="L4822" i="1" s="1"/>
  <c r="J14228" i="1"/>
  <c r="L14228" i="1" s="1"/>
  <c r="J4835" i="1"/>
  <c r="L4835" i="1" s="1"/>
  <c r="J4883" i="1"/>
  <c r="L4883" i="1" s="1"/>
  <c r="J14433" i="1"/>
  <c r="L14433" i="1" s="1"/>
  <c r="J14454" i="1"/>
  <c r="L14454" i="1" s="1"/>
  <c r="J14455" i="1"/>
  <c r="L14455" i="1" s="1"/>
  <c r="J4946" i="1"/>
  <c r="L4946" i="1" s="1"/>
  <c r="J14742" i="1"/>
  <c r="L14742" i="1" s="1"/>
  <c r="J14743" i="1"/>
  <c r="L14743" i="1" s="1"/>
  <c r="J14744" i="1"/>
  <c r="L14744" i="1" s="1"/>
  <c r="J14750" i="1"/>
  <c r="L14750" i="1" s="1"/>
  <c r="J14760" i="1"/>
  <c r="L14760" i="1" s="1"/>
  <c r="J5130" i="1"/>
  <c r="L5130" i="1" s="1"/>
  <c r="J5131" i="1"/>
  <c r="L5131" i="1" s="1"/>
  <c r="J5132" i="1"/>
  <c r="L5132" i="1" s="1"/>
  <c r="J5239" i="1"/>
  <c r="L5239" i="1" s="1"/>
  <c r="J5311" i="1"/>
  <c r="L5311" i="1" s="1"/>
  <c r="J5360" i="1"/>
  <c r="L5360" i="1" s="1"/>
  <c r="J5442" i="1"/>
  <c r="L5442" i="1" s="1"/>
  <c r="J15304" i="1"/>
  <c r="L15304" i="1" s="1"/>
  <c r="J15581" i="1"/>
  <c r="L15581" i="1" s="1"/>
  <c r="J15587" i="1"/>
  <c r="L15587" i="1" s="1"/>
  <c r="J5718" i="1"/>
  <c r="L5718" i="1" s="1"/>
  <c r="J5948" i="1"/>
  <c r="L5948" i="1" s="1"/>
  <c r="J6087" i="1"/>
  <c r="L6087" i="1" s="1"/>
  <c r="J6088" i="1"/>
  <c r="L6088" i="1" s="1"/>
  <c r="J6089" i="1"/>
  <c r="L6089" i="1" s="1"/>
  <c r="J6090" i="1"/>
  <c r="L6090" i="1" s="1"/>
  <c r="J6091" i="1"/>
  <c r="L6091" i="1" s="1"/>
  <c r="J6092" i="1"/>
  <c r="L6092" i="1" s="1"/>
  <c r="J6155" i="1"/>
  <c r="L6155" i="1" s="1"/>
  <c r="J16061" i="1"/>
  <c r="L16061" i="1" s="1"/>
  <c r="J16099" i="1"/>
  <c r="L16099" i="1" s="1"/>
  <c r="J6393" i="1"/>
  <c r="L6393" i="1" s="1"/>
  <c r="J6394" i="1"/>
  <c r="L6394" i="1" s="1"/>
  <c r="J6455" i="1"/>
  <c r="L6455" i="1" s="1"/>
  <c r="J6462" i="1"/>
  <c r="L6462" i="1" s="1"/>
  <c r="J6508" i="1"/>
  <c r="L6508" i="1" s="1"/>
  <c r="J6509" i="1"/>
  <c r="L6509" i="1" s="1"/>
  <c r="J6510" i="1"/>
  <c r="L6510" i="1" s="1"/>
  <c r="J6554" i="1"/>
  <c r="L6554" i="1" s="1"/>
  <c r="J16552" i="1"/>
  <c r="L16552" i="1" s="1"/>
  <c r="J16621" i="1"/>
  <c r="L16621" i="1" s="1"/>
  <c r="J6627" i="1"/>
  <c r="L6627" i="1" s="1"/>
  <c r="J6643" i="1"/>
  <c r="L6643" i="1" s="1"/>
  <c r="J6644" i="1"/>
  <c r="L6644" i="1" s="1"/>
  <c r="J16692" i="1"/>
  <c r="L16692" i="1" s="1"/>
  <c r="J16727" i="1"/>
  <c r="L16727" i="1" s="1"/>
  <c r="J16737" i="1"/>
  <c r="L16737" i="1" s="1"/>
  <c r="J6745" i="1"/>
  <c r="L6745" i="1" s="1"/>
  <c r="J16865" i="1"/>
  <c r="L16865" i="1" s="1"/>
  <c r="J16873" i="1"/>
  <c r="L16873" i="1" s="1"/>
  <c r="J6762" i="1"/>
  <c r="L6762" i="1" s="1"/>
  <c r="J6768" i="1"/>
  <c r="L6768" i="1" s="1"/>
  <c r="J17086" i="1"/>
  <c r="L17086" i="1" s="1"/>
  <c r="J6846" i="1"/>
  <c r="L6846" i="1" s="1"/>
  <c r="J17147" i="1"/>
  <c r="L17147" i="1" s="1"/>
  <c r="J17170" i="1"/>
  <c r="L17170" i="1" s="1"/>
  <c r="J7020" i="1"/>
  <c r="L7020" i="1" s="1"/>
  <c r="D8" i="4" s="1"/>
  <c r="J7249" i="1"/>
  <c r="L7249" i="1" s="1"/>
  <c r="J71" i="1"/>
  <c r="L71" i="1" s="1"/>
  <c r="J88" i="1"/>
  <c r="L88" i="1" s="1"/>
  <c r="J112" i="1"/>
  <c r="L112" i="1" s="1"/>
  <c r="J127" i="1"/>
  <c r="L127" i="1" s="1"/>
  <c r="J185" i="1"/>
  <c r="L185" i="1" s="1"/>
  <c r="J7823" i="1"/>
  <c r="L7823" i="1" s="1"/>
  <c r="J208" i="1"/>
  <c r="L208" i="1" s="1"/>
  <c r="J8040" i="1"/>
  <c r="L8040" i="1" s="1"/>
  <c r="J8119" i="1"/>
  <c r="L8119" i="1" s="1"/>
  <c r="J8126" i="1"/>
  <c r="L8126" i="1" s="1"/>
  <c r="J8127" i="1"/>
  <c r="L8127" i="1" s="1"/>
  <c r="J8170" i="1"/>
  <c r="L8170" i="1" s="1"/>
  <c r="J300" i="1"/>
  <c r="L300" i="1" s="1"/>
  <c r="J399" i="1"/>
  <c r="L399" i="1" s="1"/>
  <c r="J556" i="1"/>
  <c r="L556" i="1" s="1"/>
  <c r="J584" i="1"/>
  <c r="L584" i="1" s="1"/>
  <c r="J8434" i="1"/>
  <c r="L8434" i="1" s="1"/>
  <c r="J8583" i="1"/>
  <c r="L8583" i="1" s="1"/>
  <c r="J769" i="1"/>
  <c r="L769" i="1" s="1"/>
  <c r="J8651" i="1"/>
  <c r="L8651" i="1" s="1"/>
  <c r="J786" i="1"/>
  <c r="L786" i="1" s="1"/>
  <c r="J9056" i="1"/>
  <c r="L9056" i="1" s="1"/>
  <c r="J1337" i="1"/>
  <c r="L1337" i="1" s="1"/>
  <c r="J1338" i="1"/>
  <c r="L1338" i="1" s="1"/>
  <c r="J1339" i="1"/>
  <c r="L1339" i="1" s="1"/>
  <c r="J1340" i="1"/>
  <c r="L1340" i="1" s="1"/>
  <c r="J1341" i="1"/>
  <c r="L1341" i="1" s="1"/>
  <c r="J1342" i="1"/>
  <c r="L1342" i="1" s="1"/>
  <c r="J1343" i="1"/>
  <c r="L1343" i="1" s="1"/>
  <c r="J1344" i="1"/>
  <c r="L1344" i="1" s="1"/>
  <c r="J1345" i="1"/>
  <c r="L1345" i="1" s="1"/>
  <c r="J1406" i="1"/>
  <c r="L1406" i="1" s="1"/>
  <c r="J9312" i="1"/>
  <c r="L9312" i="1" s="1"/>
  <c r="J9404" i="1"/>
  <c r="L9404" i="1" s="1"/>
  <c r="J9448" i="1"/>
  <c r="L9448" i="1" s="1"/>
  <c r="J1520" i="1"/>
  <c r="L1520" i="1" s="1"/>
  <c r="J1800" i="1"/>
  <c r="L1800" i="1" s="1"/>
  <c r="J1801" i="1"/>
  <c r="L1801" i="1" s="1"/>
  <c r="J1802" i="1"/>
  <c r="L1802" i="1" s="1"/>
  <c r="J9770" i="1"/>
  <c r="L9770" i="1" s="1"/>
  <c r="J1898" i="1"/>
  <c r="L1898" i="1" s="1"/>
  <c r="J9864" i="1"/>
  <c r="L9864" i="1" s="1"/>
  <c r="J9906" i="1"/>
  <c r="L9906" i="1" s="1"/>
  <c r="J1935" i="1"/>
  <c r="L1935" i="1" s="1"/>
  <c r="J1992" i="1"/>
  <c r="L1992" i="1" s="1"/>
  <c r="J10042" i="1"/>
  <c r="L10042" i="1" s="1"/>
  <c r="J10043" i="1"/>
  <c r="L10043" i="1" s="1"/>
  <c r="J10068" i="1"/>
  <c r="L10068" i="1" s="1"/>
  <c r="J10297" i="1"/>
  <c r="L10297" i="1" s="1"/>
  <c r="J2313" i="1"/>
  <c r="L2313" i="1" s="1"/>
  <c r="D8" i="2" s="1"/>
  <c r="J2432" i="1"/>
  <c r="L2432" i="1" s="1"/>
  <c r="J10552" i="1"/>
  <c r="L10552" i="1" s="1"/>
  <c r="J2584" i="1"/>
  <c r="L2584" i="1" s="1"/>
  <c r="J2599" i="1"/>
  <c r="L2599" i="1" s="1"/>
  <c r="J10902" i="1"/>
  <c r="L10902" i="1" s="1"/>
  <c r="J11037" i="1"/>
  <c r="L11037" i="1" s="1"/>
  <c r="J11038" i="1"/>
  <c r="L11038" i="1" s="1"/>
  <c r="J2739" i="1"/>
  <c r="L2739" i="1" s="1"/>
  <c r="J2753" i="1"/>
  <c r="L2753" i="1" s="1"/>
  <c r="J2757" i="1"/>
  <c r="L2757" i="1" s="1"/>
  <c r="J2778" i="1"/>
  <c r="L2778" i="1" s="1"/>
  <c r="J11296" i="1"/>
  <c r="L11296" i="1" s="1"/>
  <c r="J11308" i="1"/>
  <c r="L11308" i="1" s="1"/>
  <c r="J11316" i="1"/>
  <c r="L11316" i="1" s="1"/>
  <c r="J11341" i="1"/>
  <c r="L11341" i="1" s="1"/>
  <c r="J11362" i="1"/>
  <c r="L11362" i="1" s="1"/>
  <c r="J2811" i="1"/>
  <c r="L2811" i="1" s="1"/>
  <c r="J2891" i="1"/>
  <c r="L2891" i="1" s="1"/>
  <c r="J11630" i="1"/>
  <c r="L11630" i="1" s="1"/>
  <c r="J3107" i="1"/>
  <c r="L3107" i="1" s="1"/>
  <c r="J3193" i="1"/>
  <c r="L3193" i="1" s="1"/>
  <c r="J3384" i="1"/>
  <c r="L3384" i="1" s="1"/>
  <c r="J3550" i="1"/>
  <c r="L3550" i="1" s="1"/>
  <c r="J3720" i="1"/>
  <c r="L3720" i="1" s="1"/>
  <c r="J3721" i="1"/>
  <c r="L3721" i="1" s="1"/>
  <c r="J3722" i="1"/>
  <c r="L3722" i="1" s="1"/>
  <c r="J3723" i="1"/>
  <c r="L3723" i="1" s="1"/>
  <c r="J3724" i="1"/>
  <c r="L3724" i="1" s="1"/>
  <c r="J3725" i="1"/>
  <c r="L3725" i="1" s="1"/>
  <c r="J3726" i="1"/>
  <c r="L3726" i="1" s="1"/>
  <c r="J12535" i="1"/>
  <c r="L12535" i="1" s="1"/>
  <c r="J3801" i="1"/>
  <c r="L3801" i="1" s="1"/>
  <c r="J12632" i="1"/>
  <c r="L12632" i="1" s="1"/>
  <c r="J12634" i="1"/>
  <c r="L12634" i="1" s="1"/>
  <c r="J4057" i="1"/>
  <c r="L4057" i="1" s="1"/>
  <c r="J13188" i="1"/>
  <c r="L13188" i="1" s="1"/>
  <c r="J13189" i="1"/>
  <c r="L13189" i="1" s="1"/>
  <c r="J13227" i="1"/>
  <c r="L13227" i="1" s="1"/>
  <c r="J4284" i="1"/>
  <c r="L4284" i="1" s="1"/>
  <c r="J13368" i="1"/>
  <c r="L13368" i="1" s="1"/>
  <c r="J13471" i="1"/>
  <c r="L13471" i="1" s="1"/>
  <c r="J4412" i="1"/>
  <c r="L4412" i="1" s="1"/>
  <c r="J4539" i="1"/>
  <c r="L4539" i="1" s="1"/>
  <c r="J4554" i="1"/>
  <c r="L4554" i="1" s="1"/>
  <c r="J4597" i="1"/>
  <c r="L4597" i="1" s="1"/>
  <c r="J4802" i="1"/>
  <c r="L4802" i="1" s="1"/>
  <c r="J14299" i="1"/>
  <c r="L14299" i="1" s="1"/>
  <c r="J14328" i="1"/>
  <c r="L14328" i="1" s="1"/>
  <c r="J14371" i="1"/>
  <c r="L14371" i="1" s="1"/>
  <c r="J14678" i="1"/>
  <c r="L14678" i="1" s="1"/>
  <c r="J14739" i="1"/>
  <c r="L14739" i="1" s="1"/>
  <c r="J14740" i="1"/>
  <c r="L14740" i="1" s="1"/>
  <c r="J14741" i="1"/>
  <c r="L14741" i="1" s="1"/>
  <c r="J14759" i="1"/>
  <c r="L14759" i="1" s="1"/>
  <c r="J5281" i="1"/>
  <c r="L5281" i="1" s="1"/>
  <c r="J15049" i="1"/>
  <c r="L15049" i="1" s="1"/>
  <c r="J15075" i="1"/>
  <c r="L15075" i="1" s="1"/>
  <c r="J5358" i="1"/>
  <c r="L5358" i="1" s="1"/>
  <c r="J15156" i="1"/>
  <c r="L15156" i="1" s="1"/>
  <c r="J15190" i="1"/>
  <c r="L15190" i="1" s="1"/>
  <c r="J5416" i="1"/>
  <c r="L5416" i="1" s="1"/>
  <c r="J5434" i="1"/>
  <c r="L5434" i="1" s="1"/>
  <c r="J15257" i="1"/>
  <c r="L15257" i="1" s="1"/>
  <c r="J15283" i="1"/>
  <c r="L15283" i="1" s="1"/>
  <c r="J15284" i="1"/>
  <c r="L15284" i="1" s="1"/>
  <c r="J5503" i="1"/>
  <c r="L5503" i="1" s="1"/>
  <c r="J5534" i="1"/>
  <c r="L5534" i="1" s="1"/>
  <c r="J15510" i="1"/>
  <c r="L15510" i="1" s="1"/>
  <c r="J5846" i="1"/>
  <c r="L5846" i="1" s="1"/>
  <c r="J5868" i="1"/>
  <c r="L5868" i="1" s="1"/>
  <c r="J5875" i="1"/>
  <c r="L5875" i="1" s="1"/>
  <c r="J6021" i="1"/>
  <c r="L6021" i="1" s="1"/>
  <c r="J6079" i="1"/>
  <c r="L6079" i="1" s="1"/>
  <c r="J6080" i="1"/>
  <c r="L6080" i="1" s="1"/>
  <c r="J6081" i="1"/>
  <c r="L6081" i="1" s="1"/>
  <c r="J6082" i="1"/>
  <c r="L6082" i="1" s="1"/>
  <c r="J6083" i="1"/>
  <c r="L6083" i="1" s="1"/>
  <c r="J6084" i="1"/>
  <c r="L6084" i="1" s="1"/>
  <c r="J6085" i="1"/>
  <c r="L6085" i="1" s="1"/>
  <c r="J6086" i="1"/>
  <c r="L6086" i="1" s="1"/>
  <c r="J15987" i="1"/>
  <c r="L15987" i="1" s="1"/>
  <c r="J15988" i="1"/>
  <c r="L15988" i="1" s="1"/>
  <c r="J16014" i="1"/>
  <c r="L16014" i="1" s="1"/>
  <c r="J16021" i="1"/>
  <c r="L16021" i="1" s="1"/>
  <c r="J16027" i="1"/>
  <c r="L16027" i="1" s="1"/>
  <c r="J16035" i="1"/>
  <c r="L16035" i="1" s="1"/>
  <c r="J16043" i="1"/>
  <c r="L16043" i="1" s="1"/>
  <c r="J16051" i="1"/>
  <c r="L16051" i="1" s="1"/>
  <c r="J16060" i="1"/>
  <c r="L16060" i="1" s="1"/>
  <c r="J16065" i="1"/>
  <c r="L16065" i="1" s="1"/>
  <c r="J16094" i="1"/>
  <c r="L16094" i="1" s="1"/>
  <c r="J16095" i="1"/>
  <c r="L16095" i="1" s="1"/>
  <c r="J6257" i="1"/>
  <c r="L6257" i="1" s="1"/>
  <c r="J6259" i="1"/>
  <c r="L6259" i="1" s="1"/>
  <c r="J6340" i="1"/>
  <c r="L6340" i="1" s="1"/>
  <c r="J6412" i="1"/>
  <c r="L6412" i="1" s="1"/>
  <c r="J16348" i="1"/>
  <c r="L16348" i="1" s="1"/>
  <c r="J6487" i="1"/>
  <c r="L6487" i="1" s="1"/>
  <c r="J16441" i="1"/>
  <c r="L16441" i="1" s="1"/>
  <c r="J6507" i="1"/>
  <c r="L6507" i="1" s="1"/>
  <c r="J16477" i="1"/>
  <c r="L16477" i="1" s="1"/>
  <c r="J16558" i="1"/>
  <c r="L16558" i="1" s="1"/>
  <c r="J16620" i="1"/>
  <c r="L16620" i="1" s="1"/>
  <c r="J16654" i="1"/>
  <c r="L16654" i="1" s="1"/>
  <c r="J16711" i="1"/>
  <c r="L16711" i="1" s="1"/>
  <c r="J16712" i="1"/>
  <c r="L16712" i="1" s="1"/>
  <c r="J16713" i="1"/>
  <c r="L16713" i="1" s="1"/>
  <c r="J16714" i="1"/>
  <c r="L16714" i="1" s="1"/>
  <c r="J16842" i="1"/>
  <c r="L16842" i="1" s="1"/>
  <c r="J17101" i="1"/>
  <c r="L17101" i="1" s="1"/>
  <c r="J6962" i="1"/>
  <c r="L6962" i="1" s="1"/>
  <c r="J17187" i="1"/>
  <c r="L17187" i="1" s="1"/>
  <c r="J7080" i="1"/>
  <c r="L7080" i="1" s="1"/>
  <c r="J7200" i="1"/>
  <c r="L7200" i="1" s="1"/>
  <c r="J7248" i="1"/>
  <c r="L7248" i="1" s="1"/>
  <c r="J7594" i="1"/>
  <c r="L7594" i="1" s="1"/>
  <c r="J7707" i="1"/>
  <c r="L7707" i="1" s="1"/>
  <c r="J253" i="1"/>
  <c r="L253" i="1" s="1"/>
  <c r="J8117" i="1"/>
  <c r="L8117" i="1" s="1"/>
  <c r="J8118" i="1"/>
  <c r="L8118" i="1" s="1"/>
  <c r="J346" i="1"/>
  <c r="L346" i="1" s="1"/>
  <c r="J545" i="1"/>
  <c r="L545" i="1" s="1"/>
  <c r="J669" i="1"/>
  <c r="L669" i="1" s="1"/>
  <c r="J8577" i="1"/>
  <c r="L8577" i="1" s="1"/>
  <c r="J751" i="1"/>
  <c r="L751" i="1" s="1"/>
  <c r="J792" i="1"/>
  <c r="L792" i="1" s="1"/>
  <c r="J812" i="1"/>
  <c r="L812" i="1" s="1"/>
  <c r="J816" i="1"/>
  <c r="L816" i="1" s="1"/>
  <c r="J938" i="1"/>
  <c r="L938" i="1" s="1"/>
  <c r="J9006" i="1"/>
  <c r="L9006" i="1" s="1"/>
  <c r="J9179" i="1"/>
  <c r="L9179" i="1" s="1"/>
  <c r="J1327" i="1"/>
  <c r="L1327" i="1" s="1"/>
  <c r="J1328" i="1"/>
  <c r="L1328" i="1" s="1"/>
  <c r="J1329" i="1"/>
  <c r="L1329" i="1" s="1"/>
  <c r="J1330" i="1"/>
  <c r="L1330" i="1" s="1"/>
  <c r="J1331" i="1"/>
  <c r="L1331" i="1" s="1"/>
  <c r="J1332" i="1"/>
  <c r="L1332" i="1" s="1"/>
  <c r="J1333" i="1"/>
  <c r="L1333" i="1" s="1"/>
  <c r="J1334" i="1"/>
  <c r="L1334" i="1" s="1"/>
  <c r="J1335" i="1"/>
  <c r="L1335" i="1" s="1"/>
  <c r="J1336" i="1"/>
  <c r="L1336" i="1" s="1"/>
  <c r="J1369" i="1"/>
  <c r="L1369" i="1" s="1"/>
  <c r="J1375" i="1"/>
  <c r="L1375" i="1" s="1"/>
  <c r="J9354" i="1"/>
  <c r="L9354" i="1" s="1"/>
  <c r="J9366" i="1"/>
  <c r="L9366" i="1" s="1"/>
  <c r="J9397" i="1"/>
  <c r="L9397" i="1" s="1"/>
  <c r="J9425" i="1"/>
  <c r="L9425" i="1" s="1"/>
  <c r="J9445" i="1"/>
  <c r="L9445" i="1" s="1"/>
  <c r="J1740" i="1"/>
  <c r="L1740" i="1" s="1"/>
  <c r="J1799" i="1"/>
  <c r="L1799" i="1" s="1"/>
  <c r="J1981" i="1"/>
  <c r="L1981" i="1" s="1"/>
  <c r="J1991" i="1"/>
  <c r="L1991" i="1" s="1"/>
  <c r="J10035" i="1"/>
  <c r="L10035" i="1" s="1"/>
  <c r="J10049" i="1"/>
  <c r="L10049" i="1" s="1"/>
  <c r="J10081" i="1"/>
  <c r="L10081" i="1" s="1"/>
  <c r="J10296" i="1"/>
  <c r="L10296" i="1" s="1"/>
  <c r="J10435" i="1"/>
  <c r="L10435" i="1" s="1"/>
  <c r="J10893" i="1"/>
  <c r="L10893" i="1" s="1"/>
  <c r="J11036" i="1"/>
  <c r="L11036" i="1" s="1"/>
  <c r="J11259" i="1"/>
  <c r="L11259" i="1" s="1"/>
  <c r="J2890" i="1"/>
  <c r="L2890" i="1" s="1"/>
  <c r="J11593" i="1"/>
  <c r="L11593" i="1" s="1"/>
  <c r="J3047" i="1"/>
  <c r="L3047" i="1" s="1"/>
  <c r="J11625" i="1"/>
  <c r="L11625" i="1" s="1"/>
  <c r="J11654" i="1"/>
  <c r="L11654" i="1" s="1"/>
  <c r="J11658" i="1"/>
  <c r="L11658" i="1" s="1"/>
  <c r="J3098" i="1"/>
  <c r="L3098" i="1" s="1"/>
  <c r="J3175" i="1"/>
  <c r="L3175" i="1" s="1"/>
  <c r="J3234" i="1"/>
  <c r="L3234" i="1" s="1"/>
  <c r="J12112" i="1"/>
  <c r="L12112" i="1" s="1"/>
  <c r="J3717" i="1"/>
  <c r="L3717" i="1" s="1"/>
  <c r="J3718" i="1"/>
  <c r="L3718" i="1" s="1"/>
  <c r="J3719" i="1"/>
  <c r="L3719" i="1" s="1"/>
  <c r="J3785" i="1"/>
  <c r="L3785" i="1" s="1"/>
  <c r="J12644" i="1"/>
  <c r="L12644" i="1" s="1"/>
  <c r="J12653" i="1"/>
  <c r="L12653" i="1" s="1"/>
  <c r="J12665" i="1"/>
  <c r="L12665" i="1" s="1"/>
  <c r="J12666" i="1"/>
  <c r="L12666" i="1" s="1"/>
  <c r="J12685" i="1"/>
  <c r="L12685" i="1" s="1"/>
  <c r="J12729" i="1"/>
  <c r="L12729" i="1" s="1"/>
  <c r="J12737" i="1"/>
  <c r="L12737" i="1" s="1"/>
  <c r="J12738" i="1"/>
  <c r="L12738" i="1" s="1"/>
  <c r="J3940" i="1"/>
  <c r="L3940" i="1" s="1"/>
  <c r="J3949" i="1"/>
  <c r="L3949" i="1" s="1"/>
  <c r="J4109" i="1"/>
  <c r="L4109" i="1" s="1"/>
  <c r="J4110" i="1"/>
  <c r="L4110" i="1" s="1"/>
  <c r="J13226" i="1"/>
  <c r="L13226" i="1" s="1"/>
  <c r="J13242" i="1"/>
  <c r="L13242" i="1" s="1"/>
  <c r="J13353" i="1"/>
  <c r="L13353" i="1" s="1"/>
  <c r="J13482" i="1"/>
  <c r="L13482" i="1" s="1"/>
  <c r="J4403" i="1"/>
  <c r="L4403" i="1" s="1"/>
  <c r="J13624" i="1"/>
  <c r="L13624" i="1" s="1"/>
  <c r="J13626" i="1"/>
  <c r="L13626" i="1" s="1"/>
  <c r="J13633" i="1"/>
  <c r="L13633" i="1" s="1"/>
  <c r="J13809" i="1"/>
  <c r="L13809" i="1" s="1"/>
  <c r="J13889" i="1"/>
  <c r="L13889" i="1" s="1"/>
  <c r="J13890" i="1"/>
  <c r="L13890" i="1" s="1"/>
  <c r="J13891" i="1"/>
  <c r="L13891" i="1" s="1"/>
  <c r="J13892" i="1"/>
  <c r="L13892" i="1" s="1"/>
  <c r="J4771" i="1"/>
  <c r="L4771" i="1" s="1"/>
  <c r="J14311" i="1"/>
  <c r="L14311" i="1" s="1"/>
  <c r="J14316" i="1"/>
  <c r="L14316" i="1" s="1"/>
  <c r="J14320" i="1"/>
  <c r="L14320" i="1" s="1"/>
  <c r="J14342" i="1"/>
  <c r="L14342" i="1" s="1"/>
  <c r="J4908" i="1"/>
  <c r="L4908" i="1" s="1"/>
  <c r="J4913" i="1"/>
  <c r="L4913" i="1" s="1"/>
  <c r="J14452" i="1"/>
  <c r="L14452" i="1" s="1"/>
  <c r="J14453" i="1"/>
  <c r="L14453" i="1" s="1"/>
  <c r="J14504" i="1"/>
  <c r="L14504" i="1" s="1"/>
  <c r="J14779" i="1"/>
  <c r="L14779" i="1" s="1"/>
  <c r="J4995" i="1"/>
  <c r="L4995" i="1" s="1"/>
  <c r="J14818" i="1"/>
  <c r="L14818" i="1" s="1"/>
  <c r="J5029" i="1"/>
  <c r="L5029" i="1" s="1"/>
  <c r="J14969" i="1"/>
  <c r="L14969" i="1" s="1"/>
  <c r="J5094" i="1"/>
  <c r="L5094" i="1" s="1"/>
  <c r="J5116" i="1"/>
  <c r="L5116" i="1" s="1"/>
  <c r="J15015" i="1"/>
  <c r="L15015" i="1" s="1"/>
  <c r="J5371" i="1"/>
  <c r="L5371" i="1" s="1"/>
  <c r="J5373" i="1"/>
  <c r="L5373" i="1" s="1"/>
  <c r="J5499" i="1"/>
  <c r="L5499" i="1" s="1"/>
  <c r="J15299" i="1"/>
  <c r="L15299" i="1" s="1"/>
  <c r="J15303" i="1"/>
  <c r="L15303" i="1" s="1"/>
  <c r="J5865" i="1"/>
  <c r="L5865" i="1" s="1"/>
  <c r="J15795" i="1"/>
  <c r="L15795" i="1" s="1"/>
  <c r="J5872" i="1"/>
  <c r="L5872" i="1" s="1"/>
  <c r="J5923" i="1"/>
  <c r="L5923" i="1" s="1"/>
  <c r="J6062" i="1"/>
  <c r="L6062" i="1" s="1"/>
  <c r="J6063" i="1"/>
  <c r="L6063" i="1" s="1"/>
  <c r="J6064" i="1"/>
  <c r="L6064" i="1" s="1"/>
  <c r="J6065" i="1"/>
  <c r="L6065" i="1" s="1"/>
  <c r="J6066" i="1"/>
  <c r="L6066" i="1" s="1"/>
  <c r="J6067" i="1"/>
  <c r="L6067" i="1" s="1"/>
  <c r="J6068" i="1"/>
  <c r="L6068" i="1" s="1"/>
  <c r="J6069" i="1"/>
  <c r="L6069" i="1" s="1"/>
  <c r="J6070" i="1"/>
  <c r="L6070" i="1" s="1"/>
  <c r="J6071" i="1"/>
  <c r="L6071" i="1" s="1"/>
  <c r="J6072" i="1"/>
  <c r="L6072" i="1" s="1"/>
  <c r="J6073" i="1"/>
  <c r="L6073" i="1" s="1"/>
  <c r="J6074" i="1"/>
  <c r="L6074" i="1" s="1"/>
  <c r="J6075" i="1"/>
  <c r="L6075" i="1" s="1"/>
  <c r="J6076" i="1"/>
  <c r="L6076" i="1" s="1"/>
  <c r="J6077" i="1"/>
  <c r="L6077" i="1" s="1"/>
  <c r="J6078" i="1"/>
  <c r="L6078" i="1" s="1"/>
  <c r="J15999" i="1"/>
  <c r="L15999" i="1" s="1"/>
  <c r="J16034" i="1"/>
  <c r="L16034" i="1" s="1"/>
  <c r="J16042" i="1"/>
  <c r="L16042" i="1" s="1"/>
  <c r="J16077" i="1"/>
  <c r="L16077" i="1" s="1"/>
  <c r="J16092" i="1"/>
  <c r="L16092" i="1" s="1"/>
  <c r="J6283" i="1"/>
  <c r="L6283" i="1" s="1"/>
  <c r="J6285" i="1"/>
  <c r="L6285" i="1" s="1"/>
  <c r="J6364" i="1"/>
  <c r="L6364" i="1" s="1"/>
  <c r="J6479" i="1"/>
  <c r="L6479" i="1" s="1"/>
  <c r="J6506" i="1"/>
  <c r="L6506" i="1" s="1"/>
  <c r="J6553" i="1"/>
  <c r="L6553" i="1" s="1"/>
  <c r="J16482" i="1"/>
  <c r="L16482" i="1" s="1"/>
  <c r="J16609" i="1"/>
  <c r="L16609" i="1" s="1"/>
  <c r="J16653" i="1"/>
  <c r="L16653" i="1" s="1"/>
  <c r="J6673" i="1"/>
  <c r="L6673" i="1" s="1"/>
  <c r="J16966" i="1"/>
  <c r="L16966" i="1" s="1"/>
  <c r="J17006" i="1"/>
  <c r="L17006" i="1" s="1"/>
  <c r="J6953" i="1"/>
  <c r="L6953" i="1" s="1"/>
  <c r="J17203" i="1"/>
  <c r="L17203" i="1" s="1"/>
  <c r="J17237" i="1"/>
  <c r="L17237" i="1" s="1"/>
  <c r="J17238" i="1"/>
  <c r="L17238" i="1" s="1"/>
  <c r="J17239" i="1"/>
  <c r="L17239" i="1" s="1"/>
  <c r="J17240" i="1"/>
  <c r="L17240" i="1" s="1"/>
  <c r="J7593" i="1"/>
  <c r="L7593" i="1" s="1"/>
  <c r="J7658" i="1"/>
  <c r="L7658" i="1" s="1"/>
  <c r="J7681" i="1"/>
  <c r="L7681" i="1" s="1"/>
  <c r="J206" i="1"/>
  <c r="L206" i="1" s="1"/>
  <c r="J8050" i="1"/>
  <c r="L8050" i="1" s="1"/>
  <c r="J8334" i="1"/>
  <c r="L8334" i="1" s="1"/>
  <c r="J367" i="1"/>
  <c r="L367" i="1" s="1"/>
  <c r="J516" i="1"/>
  <c r="L516" i="1" s="1"/>
  <c r="J544" i="1"/>
  <c r="L544" i="1" s="1"/>
  <c r="J554" i="1"/>
  <c r="L554" i="1" s="1"/>
  <c r="J555" i="1"/>
  <c r="L555" i="1" s="1"/>
  <c r="J8440" i="1"/>
  <c r="L8440" i="1" s="1"/>
  <c r="J8447" i="1"/>
  <c r="L8447" i="1" s="1"/>
  <c r="J644" i="1"/>
  <c r="L644" i="1" s="1"/>
  <c r="J8505" i="1"/>
  <c r="L8505" i="1" s="1"/>
  <c r="J651" i="1"/>
  <c r="L651" i="1" s="1"/>
  <c r="J655" i="1"/>
  <c r="L655" i="1" s="1"/>
  <c r="J740" i="1"/>
  <c r="L740" i="1" s="1"/>
  <c r="J754" i="1"/>
  <c r="L754" i="1" s="1"/>
  <c r="J952" i="1"/>
  <c r="L952" i="1" s="1"/>
  <c r="J997" i="1"/>
  <c r="L997" i="1" s="1"/>
  <c r="J1128" i="1"/>
  <c r="L1128" i="1" s="1"/>
  <c r="J1176" i="1"/>
  <c r="L1176" i="1" s="1"/>
  <c r="J1412" i="1"/>
  <c r="L1412" i="1" s="1"/>
  <c r="J9391" i="1"/>
  <c r="L9391" i="1" s="1"/>
  <c r="J9433" i="1"/>
  <c r="L9433" i="1" s="1"/>
  <c r="J1672" i="1"/>
  <c r="L1672" i="1" s="1"/>
  <c r="J1678" i="1"/>
  <c r="L1678" i="1" s="1"/>
  <c r="J1794" i="1"/>
  <c r="L1794" i="1" s="1"/>
  <c r="J1795" i="1"/>
  <c r="L1795" i="1" s="1"/>
  <c r="J1796" i="1"/>
  <c r="L1796" i="1" s="1"/>
  <c r="J1797" i="1"/>
  <c r="L1797" i="1" s="1"/>
  <c r="J1798" i="1"/>
  <c r="L1798" i="1" s="1"/>
  <c r="J1850" i="1"/>
  <c r="L1850" i="1" s="1"/>
  <c r="J1877" i="1"/>
  <c r="L1877" i="1" s="1"/>
  <c r="J9905" i="1"/>
  <c r="L9905" i="1" s="1"/>
  <c r="J9923" i="1"/>
  <c r="L9923" i="1" s="1"/>
  <c r="J10048" i="1"/>
  <c r="L10048" i="1" s="1"/>
  <c r="J2117" i="1"/>
  <c r="L2117" i="1" s="1"/>
  <c r="J10279" i="1"/>
  <c r="L10279" i="1" s="1"/>
  <c r="J10282" i="1"/>
  <c r="L10282" i="1" s="1"/>
  <c r="J10388" i="1"/>
  <c r="L10388" i="1" s="1"/>
  <c r="J2598" i="1"/>
  <c r="L2598" i="1" s="1"/>
  <c r="J10812" i="1"/>
  <c r="L10812" i="1" s="1"/>
  <c r="J2653" i="1"/>
  <c r="L2653" i="1" s="1"/>
  <c r="J10895" i="1"/>
  <c r="L10895" i="1" s="1"/>
  <c r="J10971" i="1"/>
  <c r="L10971" i="1" s="1"/>
  <c r="J11035" i="1"/>
  <c r="L11035" i="1" s="1"/>
  <c r="J2760" i="1"/>
  <c r="L2760" i="1" s="1"/>
  <c r="J11307" i="1"/>
  <c r="L11307" i="1" s="1"/>
  <c r="J2873" i="1"/>
  <c r="L2873" i="1" s="1"/>
  <c r="J3115" i="1"/>
  <c r="L3115" i="1" s="1"/>
  <c r="J3406" i="1"/>
  <c r="L3406" i="1" s="1"/>
  <c r="J3716" i="1"/>
  <c r="L3716" i="1" s="1"/>
  <c r="J3799" i="1"/>
  <c r="L3799" i="1" s="1"/>
  <c r="J12667" i="1"/>
  <c r="L12667" i="1" s="1"/>
  <c r="J12678" i="1"/>
  <c r="L12678" i="1" s="1"/>
  <c r="J3924" i="1"/>
  <c r="L3924" i="1" s="1"/>
  <c r="J3958" i="1"/>
  <c r="L3958" i="1" s="1"/>
  <c r="J12895" i="1"/>
  <c r="L12895" i="1" s="1"/>
  <c r="J4061" i="1"/>
  <c r="L4061" i="1" s="1"/>
  <c r="J4067" i="1"/>
  <c r="L4067" i="1" s="1"/>
  <c r="J13092" i="1"/>
  <c r="L13092" i="1" s="1"/>
  <c r="J13510" i="1"/>
  <c r="L13510" i="1" s="1"/>
  <c r="J4399" i="1"/>
  <c r="L4399" i="1" s="1"/>
  <c r="J13658" i="1"/>
  <c r="L13658" i="1" s="1"/>
  <c r="J4419" i="1"/>
  <c r="L4419" i="1" s="1"/>
  <c r="J4716" i="1"/>
  <c r="L4716" i="1" s="1"/>
  <c r="J4761" i="1"/>
  <c r="L4761" i="1" s="1"/>
  <c r="J14293" i="1"/>
  <c r="L14293" i="1" s="1"/>
  <c r="J14451" i="1"/>
  <c r="L14451" i="1" s="1"/>
  <c r="J4928" i="1"/>
  <c r="L4928" i="1" s="1"/>
  <c r="J4956" i="1"/>
  <c r="L4956" i="1" s="1"/>
  <c r="J14705" i="1"/>
  <c r="L14705" i="1" s="1"/>
  <c r="J5004" i="1"/>
  <c r="L5004" i="1" s="1"/>
  <c r="J5086" i="1"/>
  <c r="L5086" i="1" s="1"/>
  <c r="J5280" i="1"/>
  <c r="L5280" i="1" s="1"/>
  <c r="J15036" i="1"/>
  <c r="L15036" i="1" s="1"/>
  <c r="J15059" i="1"/>
  <c r="L15059" i="1" s="1"/>
  <c r="J5359" i="1"/>
  <c r="L5359" i="1" s="1"/>
  <c r="J15206" i="1"/>
  <c r="L15206" i="1" s="1"/>
  <c r="J5525" i="1"/>
  <c r="L5525" i="1" s="1"/>
  <c r="J15438" i="1"/>
  <c r="L15438" i="1" s="1"/>
  <c r="J15798" i="1"/>
  <c r="L15798" i="1" s="1"/>
  <c r="J15813" i="1"/>
  <c r="L15813" i="1" s="1"/>
  <c r="J15829" i="1"/>
  <c r="L15829" i="1" s="1"/>
  <c r="J16008" i="1"/>
  <c r="L16008" i="1" s="1"/>
  <c r="J16064" i="1"/>
  <c r="L16064" i="1" s="1"/>
  <c r="J16097" i="1"/>
  <c r="L16097" i="1" s="1"/>
  <c r="J6258" i="1"/>
  <c r="L6258" i="1" s="1"/>
  <c r="J6281" i="1"/>
  <c r="L6281" i="1" s="1"/>
  <c r="J6282" i="1"/>
  <c r="L6282" i="1" s="1"/>
  <c r="J6307" i="1"/>
  <c r="L6307" i="1" s="1"/>
  <c r="J6366" i="1"/>
  <c r="L6366" i="1" s="1"/>
  <c r="J6406" i="1"/>
  <c r="L6406" i="1" s="1"/>
  <c r="J6583" i="1"/>
  <c r="L6583" i="1" s="1"/>
  <c r="J16481" i="1"/>
  <c r="L16481" i="1" s="1"/>
  <c r="J16553" i="1"/>
  <c r="L16553" i="1" s="1"/>
  <c r="J16605" i="1"/>
  <c r="L16605" i="1" s="1"/>
  <c r="J16606" i="1"/>
  <c r="L16606" i="1" s="1"/>
  <c r="J16607" i="1"/>
  <c r="L16607" i="1" s="1"/>
  <c r="J16608" i="1"/>
  <c r="L16608" i="1" s="1"/>
  <c r="J16614" i="1"/>
  <c r="L16614" i="1" s="1"/>
  <c r="J6681" i="1"/>
  <c r="L6681" i="1" s="1"/>
  <c r="J16845" i="1"/>
  <c r="L16845" i="1" s="1"/>
  <c r="J16846" i="1"/>
  <c r="L16846" i="1" s="1"/>
  <c r="J16982" i="1"/>
  <c r="L16982" i="1" s="1"/>
  <c r="J6837" i="1"/>
  <c r="L6837" i="1" s="1"/>
  <c r="J17102" i="1"/>
  <c r="L17102" i="1" s="1"/>
  <c r="J7061" i="1"/>
  <c r="L7061" i="1" s="1"/>
  <c r="D4" i="4" s="1"/>
  <c r="J83" i="1"/>
  <c r="L83" i="1" s="1"/>
  <c r="J7591" i="1"/>
  <c r="L7591" i="1" s="1"/>
  <c r="J7592" i="1"/>
  <c r="L7592" i="1" s="1"/>
  <c r="J7666" i="1"/>
  <c r="L7666" i="1" s="1"/>
  <c r="J7822" i="1"/>
  <c r="L7822" i="1" s="1"/>
  <c r="J7840" i="1"/>
  <c r="L7840" i="1" s="1"/>
  <c r="J224" i="1"/>
  <c r="L224" i="1" s="1"/>
  <c r="J8064" i="1"/>
  <c r="L8064" i="1" s="1"/>
  <c r="J8095" i="1"/>
  <c r="L8095" i="1" s="1"/>
  <c r="J357" i="1"/>
  <c r="L357" i="1" s="1"/>
  <c r="J368" i="1"/>
  <c r="L368" i="1" s="1"/>
  <c r="J8382" i="1"/>
  <c r="L8382" i="1" s="1"/>
  <c r="J543" i="1"/>
  <c r="L543" i="1" s="1"/>
  <c r="J8433" i="1"/>
  <c r="L8433" i="1" s="1"/>
  <c r="J8437" i="1"/>
  <c r="L8437" i="1" s="1"/>
  <c r="J610" i="1"/>
  <c r="L610" i="1" s="1"/>
  <c r="J684" i="1"/>
  <c r="L684" i="1" s="1"/>
  <c r="J694" i="1"/>
  <c r="L694" i="1" s="1"/>
  <c r="J8593" i="1"/>
  <c r="L8593" i="1" s="1"/>
  <c r="J1685" i="1"/>
  <c r="L1685" i="1" s="1"/>
  <c r="J1736" i="1"/>
  <c r="L1736" i="1" s="1"/>
  <c r="J1792" i="1"/>
  <c r="L1792" i="1" s="1"/>
  <c r="J1793" i="1"/>
  <c r="L1793" i="1" s="1"/>
  <c r="J9904" i="1"/>
  <c r="L9904" i="1" s="1"/>
  <c r="J1949" i="1"/>
  <c r="L1949" i="1" s="1"/>
  <c r="J10275" i="1"/>
  <c r="L10275" i="1" s="1"/>
  <c r="J10276" i="1"/>
  <c r="L10276" i="1" s="1"/>
  <c r="J10277" i="1"/>
  <c r="L10277" i="1" s="1"/>
  <c r="J10278" i="1"/>
  <c r="L10278" i="1" s="1"/>
  <c r="J2136" i="1"/>
  <c r="L2136" i="1" s="1"/>
  <c r="J10470" i="1"/>
  <c r="L10470" i="1" s="1"/>
  <c r="J10471" i="1"/>
  <c r="L10471" i="1" s="1"/>
  <c r="J10472" i="1"/>
  <c r="L10472" i="1" s="1"/>
  <c r="J10473" i="1"/>
  <c r="L10473" i="1" s="1"/>
  <c r="J10478" i="1"/>
  <c r="L10478" i="1" s="1"/>
  <c r="J10479" i="1"/>
  <c r="L10479" i="1" s="1"/>
  <c r="J10480" i="1"/>
  <c r="L10480" i="1" s="1"/>
  <c r="J10481" i="1"/>
  <c r="L10481" i="1" s="1"/>
  <c r="J10811" i="1"/>
  <c r="L10811" i="1" s="1"/>
  <c r="J11058" i="1"/>
  <c r="L11058" i="1" s="1"/>
  <c r="J2746" i="1"/>
  <c r="L2746" i="1" s="1"/>
  <c r="J11247" i="1"/>
  <c r="L11247" i="1" s="1"/>
  <c r="J11283" i="1"/>
  <c r="L11283" i="1" s="1"/>
  <c r="J2858" i="1"/>
  <c r="L2858" i="1" s="1"/>
  <c r="J3027" i="1"/>
  <c r="L3027" i="1" s="1"/>
  <c r="J3046" i="1"/>
  <c r="L3046" i="1" s="1"/>
  <c r="J11656" i="1"/>
  <c r="L11656" i="1" s="1"/>
  <c r="J11821" i="1"/>
  <c r="L11821" i="1" s="1"/>
  <c r="J3232" i="1"/>
  <c r="L3232" i="1" s="1"/>
  <c r="J3261" i="1"/>
  <c r="L3261" i="1" s="1"/>
  <c r="J3267" i="1"/>
  <c r="L3267" i="1" s="1"/>
  <c r="J12200" i="1"/>
  <c r="L12200" i="1" s="1"/>
  <c r="J12224" i="1"/>
  <c r="L12224" i="1" s="1"/>
  <c r="J12258" i="1"/>
  <c r="L12258" i="1" s="1"/>
  <c r="J12629" i="1"/>
  <c r="L12629" i="1" s="1"/>
  <c r="J12638" i="1"/>
  <c r="L12638" i="1" s="1"/>
  <c r="J12723" i="1"/>
  <c r="L12723" i="1" s="1"/>
  <c r="J3946" i="1"/>
  <c r="L3946" i="1" s="1"/>
  <c r="J3983" i="1"/>
  <c r="L3983" i="1" s="1"/>
  <c r="J4021" i="1"/>
  <c r="L4021" i="1" s="1"/>
  <c r="J13088" i="1"/>
  <c r="L13088" i="1" s="1"/>
  <c r="J4192" i="1"/>
  <c r="L4192" i="1" s="1"/>
  <c r="J13091" i="1"/>
  <c r="L13091" i="1" s="1"/>
  <c r="J13225" i="1"/>
  <c r="L13225" i="1" s="1"/>
  <c r="J4232" i="1"/>
  <c r="L4232" i="1" s="1"/>
  <c r="J4325" i="1"/>
  <c r="L4325" i="1" s="1"/>
  <c r="J4369" i="1"/>
  <c r="L4369" i="1" s="1"/>
  <c r="J13796" i="1"/>
  <c r="L13796" i="1" s="1"/>
  <c r="J4798" i="1"/>
  <c r="L4798" i="1" s="1"/>
  <c r="J14095" i="1"/>
  <c r="L14095" i="1" s="1"/>
  <c r="J14226" i="1"/>
  <c r="L14226" i="1" s="1"/>
  <c r="J14227" i="1"/>
  <c r="L14227" i="1" s="1"/>
  <c r="J4838" i="1"/>
  <c r="L4838" i="1" s="1"/>
  <c r="J4852" i="1"/>
  <c r="L4852" i="1" s="1"/>
  <c r="J4879" i="1"/>
  <c r="L4879" i="1" s="1"/>
  <c r="J14322" i="1"/>
  <c r="L14322" i="1" s="1"/>
  <c r="J14333" i="1"/>
  <c r="L14333" i="1" s="1"/>
  <c r="J14450" i="1"/>
  <c r="L14450" i="1" s="1"/>
  <c r="J4953" i="1"/>
  <c r="L4953" i="1" s="1"/>
  <c r="J14510" i="1"/>
  <c r="L14510" i="1" s="1"/>
  <c r="J14817" i="1"/>
  <c r="L14817" i="1" s="1"/>
  <c r="J5021" i="1"/>
  <c r="L5021" i="1" s="1"/>
  <c r="J15014" i="1"/>
  <c r="L15014" i="1" s="1"/>
  <c r="J5298" i="1"/>
  <c r="L5298" i="1" s="1"/>
  <c r="J15058" i="1"/>
  <c r="L15058" i="1" s="1"/>
  <c r="J5418" i="1"/>
  <c r="L5418" i="1" s="1"/>
  <c r="J5459" i="1"/>
  <c r="L5459" i="1" s="1"/>
  <c r="J15249" i="1"/>
  <c r="L15249" i="1" s="1"/>
  <c r="J5471" i="1"/>
  <c r="L5471" i="1" s="1"/>
  <c r="J5484" i="1"/>
  <c r="L5484" i="1" s="1"/>
  <c r="J15509" i="1"/>
  <c r="L15509" i="1" s="1"/>
  <c r="J15525" i="1"/>
  <c r="L15525" i="1" s="1"/>
  <c r="J6139" i="1"/>
  <c r="L6139" i="1" s="1"/>
  <c r="J15977" i="1"/>
  <c r="L15977" i="1" s="1"/>
  <c r="J16001" i="1"/>
  <c r="L16001" i="1" s="1"/>
  <c r="J6415" i="1"/>
  <c r="L6415" i="1" s="1"/>
  <c r="J6505" i="1"/>
  <c r="L6505" i="1" s="1"/>
  <c r="J16471" i="1"/>
  <c r="L16471" i="1" s="1"/>
  <c r="J6598" i="1"/>
  <c r="L6598" i="1" s="1"/>
  <c r="J6815" i="1"/>
  <c r="L6815" i="1" s="1"/>
  <c r="J17071" i="1"/>
  <c r="L17071" i="1" s="1"/>
  <c r="J6961" i="1"/>
  <c r="L6961" i="1" s="1"/>
  <c r="J6967" i="1"/>
  <c r="L6967" i="1" s="1"/>
  <c r="J17148" i="1"/>
  <c r="L17148" i="1" s="1"/>
  <c r="J17249" i="1"/>
  <c r="L17249" i="1" s="1"/>
  <c r="J17252" i="1"/>
  <c r="L17252" i="1" s="1"/>
  <c r="J7590" i="1"/>
  <c r="L7590" i="1" s="1"/>
  <c r="J7689" i="1"/>
  <c r="L7689" i="1" s="1"/>
  <c r="J189" i="1"/>
  <c r="L189" i="1" s="1"/>
  <c r="J7821" i="1"/>
  <c r="L7821" i="1" s="1"/>
  <c r="J7839" i="1"/>
  <c r="L7839" i="1" s="1"/>
  <c r="J217" i="1"/>
  <c r="L217" i="1" s="1"/>
  <c r="J8055" i="1"/>
  <c r="L8055" i="1" s="1"/>
  <c r="J8181" i="1"/>
  <c r="L8181" i="1" s="1"/>
  <c r="J287" i="1"/>
  <c r="L287" i="1" s="1"/>
  <c r="J299" i="1"/>
  <c r="L299" i="1" s="1"/>
  <c r="J489" i="1"/>
  <c r="L489" i="1" s="1"/>
  <c r="J8425" i="1"/>
  <c r="L8425" i="1" s="1"/>
  <c r="J8510" i="1"/>
  <c r="L8510" i="1" s="1"/>
  <c r="J709" i="1"/>
  <c r="L709" i="1" s="1"/>
  <c r="J713" i="1"/>
  <c r="L713" i="1" s="1"/>
  <c r="J8592" i="1"/>
  <c r="L8592" i="1" s="1"/>
  <c r="J745" i="1"/>
  <c r="L745" i="1" s="1"/>
  <c r="J814" i="1"/>
  <c r="L814" i="1" s="1"/>
  <c r="J9095" i="1"/>
  <c r="L9095" i="1" s="1"/>
  <c r="J1111" i="1"/>
  <c r="L1111" i="1" s="1"/>
  <c r="J9147" i="1"/>
  <c r="L9147" i="1" s="1"/>
  <c r="J1141" i="1"/>
  <c r="L1141" i="1" s="1"/>
  <c r="J1419" i="1"/>
  <c r="L1419" i="1" s="1"/>
  <c r="J9400" i="1"/>
  <c r="L9400" i="1" s="1"/>
  <c r="J1525" i="1"/>
  <c r="L1525" i="1" s="1"/>
  <c r="J1551" i="1"/>
  <c r="L1551" i="1" s="1"/>
  <c r="J9679" i="1"/>
  <c r="L9679" i="1" s="1"/>
  <c r="J1791" i="1"/>
  <c r="L1791" i="1" s="1"/>
  <c r="J1900" i="1"/>
  <c r="L1900" i="1" s="1"/>
  <c r="J9914" i="1"/>
  <c r="L9914" i="1" s="1"/>
  <c r="J10147" i="1"/>
  <c r="L10147" i="1" s="1"/>
  <c r="J2069" i="1"/>
  <c r="L2069" i="1" s="1"/>
  <c r="J10873" i="1"/>
  <c r="L10873" i="1" s="1"/>
  <c r="J10964" i="1"/>
  <c r="L10964" i="1" s="1"/>
  <c r="J11326" i="1"/>
  <c r="L11326" i="1" s="1"/>
  <c r="J11330" i="1"/>
  <c r="L11330" i="1" s="1"/>
  <c r="J2805" i="1"/>
  <c r="L2805" i="1" s="1"/>
  <c r="J2865" i="1"/>
  <c r="L2865" i="1" s="1"/>
  <c r="J3014" i="1"/>
  <c r="L3014" i="1" s="1"/>
  <c r="J3076" i="1"/>
  <c r="L3076" i="1" s="1"/>
  <c r="J3147" i="1"/>
  <c r="L3147" i="1" s="1"/>
  <c r="J11777" i="1"/>
  <c r="L11777" i="1" s="1"/>
  <c r="J11791" i="1"/>
  <c r="L11791" i="1" s="1"/>
  <c r="J3243" i="1"/>
  <c r="L3243" i="1" s="1"/>
  <c r="J11883" i="1"/>
  <c r="L11883" i="1" s="1"/>
  <c r="J3276" i="1"/>
  <c r="L3276" i="1" s="1"/>
  <c r="J12257" i="1"/>
  <c r="L12257" i="1" s="1"/>
  <c r="J3792" i="1"/>
  <c r="L3792" i="1" s="1"/>
  <c r="J12658" i="1"/>
  <c r="L12658" i="1" s="1"/>
  <c r="J3909" i="1"/>
  <c r="L3909" i="1" s="1"/>
  <c r="J3936" i="1"/>
  <c r="L3936" i="1" s="1"/>
  <c r="J13087" i="1"/>
  <c r="L13087" i="1" s="1"/>
  <c r="J13238" i="1"/>
  <c r="L13238" i="1" s="1"/>
  <c r="J4324" i="1"/>
  <c r="L4324" i="1" s="1"/>
  <c r="J13485" i="1"/>
  <c r="L13485" i="1" s="1"/>
  <c r="J4349" i="1"/>
  <c r="L4349" i="1" s="1"/>
  <c r="J13632" i="1"/>
  <c r="L13632" i="1" s="1"/>
  <c r="J13808" i="1"/>
  <c r="L13808" i="1" s="1"/>
  <c r="J4576" i="1"/>
  <c r="L4576" i="1" s="1"/>
  <c r="J4853" i="1"/>
  <c r="L4853" i="1" s="1"/>
  <c r="J4876" i="1"/>
  <c r="L4876" i="1" s="1"/>
  <c r="J14468" i="1"/>
  <c r="L14468" i="1" s="1"/>
  <c r="J4932" i="1"/>
  <c r="L4932" i="1" s="1"/>
  <c r="J14481" i="1"/>
  <c r="L14481" i="1" s="1"/>
  <c r="J14816" i="1"/>
  <c r="L14816" i="1" s="1"/>
  <c r="J5033" i="1"/>
  <c r="L5033" i="1" s="1"/>
  <c r="J5067" i="1"/>
  <c r="L5067" i="1" s="1"/>
  <c r="J5087" i="1"/>
  <c r="L5087" i="1" s="1"/>
  <c r="J15013" i="1"/>
  <c r="L15013" i="1" s="1"/>
  <c r="J5219" i="1"/>
  <c r="L5219" i="1" s="1"/>
  <c r="J15080" i="1"/>
  <c r="L15080" i="1" s="1"/>
  <c r="J5419" i="1"/>
  <c r="L5419" i="1" s="1"/>
  <c r="J5455" i="1"/>
  <c r="L5455" i="1" s="1"/>
  <c r="J15569" i="1"/>
  <c r="L15569" i="1" s="1"/>
  <c r="J15586" i="1"/>
  <c r="L15586" i="1" s="1"/>
  <c r="J15846" i="1"/>
  <c r="L15846" i="1" s="1"/>
  <c r="J6136" i="1"/>
  <c r="L6136" i="1" s="1"/>
  <c r="J6141" i="1"/>
  <c r="L6141" i="1" s="1"/>
  <c r="J16024" i="1"/>
  <c r="L16024" i="1" s="1"/>
  <c r="J16470" i="1"/>
  <c r="L16470" i="1" s="1"/>
  <c r="J6596" i="1"/>
  <c r="L6596" i="1" s="1"/>
  <c r="J16602" i="1"/>
  <c r="L16602" i="1" s="1"/>
  <c r="J16603" i="1"/>
  <c r="L16603" i="1" s="1"/>
  <c r="J16604" i="1"/>
  <c r="L16604" i="1" s="1"/>
  <c r="J16613" i="1"/>
  <c r="L16613" i="1" s="1"/>
  <c r="J17125" i="1"/>
  <c r="L17125" i="1" s="1"/>
  <c r="J17183" i="1"/>
  <c r="L17183" i="1" s="1"/>
  <c r="J17250" i="1"/>
  <c r="L17250" i="1" s="1"/>
  <c r="J17251" i="1"/>
  <c r="L17251" i="1" s="1"/>
  <c r="J7589" i="1"/>
  <c r="L7589" i="1" s="1"/>
  <c r="J7657" i="1"/>
  <c r="L7657" i="1" s="1"/>
  <c r="J238" i="1"/>
  <c r="L238" i="1" s="1"/>
  <c r="J239" i="1"/>
  <c r="L239" i="1" s="1"/>
  <c r="J8049" i="1"/>
  <c r="L8049" i="1" s="1"/>
  <c r="J8083" i="1"/>
  <c r="L8083" i="1" s="1"/>
  <c r="J8135" i="1"/>
  <c r="L8135" i="1" s="1"/>
  <c r="J8136" i="1"/>
  <c r="L8136" i="1" s="1"/>
  <c r="J8149" i="1"/>
  <c r="L8149" i="1" s="1"/>
  <c r="J8150" i="1"/>
  <c r="L8150" i="1" s="1"/>
  <c r="J8151" i="1"/>
  <c r="L8151" i="1" s="1"/>
  <c r="J8152" i="1"/>
  <c r="L8152" i="1" s="1"/>
  <c r="J270" i="1"/>
  <c r="L270" i="1" s="1"/>
  <c r="J8408" i="1"/>
  <c r="L8408" i="1" s="1"/>
  <c r="J666" i="1"/>
  <c r="L666" i="1" s="1"/>
  <c r="J780" i="1"/>
  <c r="L780" i="1" s="1"/>
  <c r="J927" i="1"/>
  <c r="L927" i="1" s="1"/>
  <c r="J930" i="1"/>
  <c r="L930" i="1" s="1"/>
  <c r="J1376" i="1"/>
  <c r="L1376" i="1" s="1"/>
  <c r="J9353" i="1"/>
  <c r="L9353" i="1" s="1"/>
  <c r="J9386" i="1"/>
  <c r="L9386" i="1" s="1"/>
  <c r="J9428" i="1"/>
  <c r="L9428" i="1" s="1"/>
  <c r="J9472" i="1"/>
  <c r="L9472" i="1" s="1"/>
  <c r="J1524" i="1"/>
  <c r="L1524" i="1" s="1"/>
  <c r="J1548" i="1"/>
  <c r="L1548" i="1" s="1"/>
  <c r="J1790" i="1"/>
  <c r="L1790" i="1" s="1"/>
  <c r="J1889" i="1"/>
  <c r="L1889" i="1" s="1"/>
  <c r="J9901" i="1"/>
  <c r="L9901" i="1" s="1"/>
  <c r="J9902" i="1"/>
  <c r="L9902" i="1" s="1"/>
  <c r="J9903" i="1"/>
  <c r="L9903" i="1" s="1"/>
  <c r="J9997" i="1"/>
  <c r="L9997" i="1" s="1"/>
  <c r="J10158" i="1"/>
  <c r="L10158" i="1" s="1"/>
  <c r="J10272" i="1"/>
  <c r="L10272" i="1" s="1"/>
  <c r="J10273" i="1"/>
  <c r="L10273" i="1" s="1"/>
  <c r="J10274" i="1"/>
  <c r="L10274" i="1" s="1"/>
  <c r="J10434" i="1"/>
  <c r="L10434" i="1" s="1"/>
  <c r="J10522" i="1"/>
  <c r="L10522" i="1" s="1"/>
  <c r="J10806" i="1"/>
  <c r="L10806" i="1" s="1"/>
  <c r="J10807" i="1"/>
  <c r="L10807" i="1" s="1"/>
  <c r="J10808" i="1"/>
  <c r="L10808" i="1" s="1"/>
  <c r="J10809" i="1"/>
  <c r="L10809" i="1" s="1"/>
  <c r="J10810" i="1"/>
  <c r="L10810" i="1" s="1"/>
  <c r="J10962" i="1"/>
  <c r="L10962" i="1" s="1"/>
  <c r="J10963" i="1"/>
  <c r="L10963" i="1" s="1"/>
  <c r="J11033" i="1"/>
  <c r="L11033" i="1" s="1"/>
  <c r="J11034" i="1"/>
  <c r="L11034" i="1" s="1"/>
  <c r="J2764" i="1"/>
  <c r="L2764" i="1" s="1"/>
  <c r="J2769" i="1"/>
  <c r="L2769" i="1" s="1"/>
  <c r="J11245" i="1"/>
  <c r="L11245" i="1" s="1"/>
  <c r="J11261" i="1"/>
  <c r="L11261" i="1" s="1"/>
  <c r="J11325" i="1"/>
  <c r="L11325" i="1" s="1"/>
  <c r="J11733" i="1"/>
  <c r="L11733" i="1" s="1"/>
  <c r="J11740" i="1"/>
  <c r="L11740" i="1" s="1"/>
  <c r="J11820" i="1"/>
  <c r="L11820" i="1" s="1"/>
  <c r="J3206" i="1"/>
  <c r="L3206" i="1" s="1"/>
  <c r="J3212" i="1"/>
  <c r="L3212" i="1" s="1"/>
  <c r="J11862" i="1"/>
  <c r="L11862" i="1" s="1"/>
  <c r="J12018" i="1"/>
  <c r="L12018" i="1" s="1"/>
  <c r="J3370" i="1"/>
  <c r="L3370" i="1" s="1"/>
  <c r="J12256" i="1"/>
  <c r="L12256" i="1" s="1"/>
  <c r="J12402" i="1"/>
  <c r="L12402" i="1" s="1"/>
  <c r="J3784" i="1"/>
  <c r="L3784" i="1" s="1"/>
  <c r="J3934" i="1"/>
  <c r="L3934" i="1" s="1"/>
  <c r="J13237" i="1"/>
  <c r="L13237" i="1" s="1"/>
  <c r="J13254" i="1"/>
  <c r="L13254" i="1" s="1"/>
  <c r="J13304" i="1"/>
  <c r="L13304" i="1" s="1"/>
  <c r="J4287" i="1"/>
  <c r="L4287" i="1" s="1"/>
  <c r="J4400" i="1"/>
  <c r="L4400" i="1" s="1"/>
  <c r="J13627" i="1"/>
  <c r="L13627" i="1" s="1"/>
  <c r="J13649" i="1"/>
  <c r="L13649" i="1" s="1"/>
  <c r="J13653" i="1"/>
  <c r="L13653" i="1" s="1"/>
  <c r="J13727" i="1"/>
  <c r="L13727" i="1" s="1"/>
  <c r="J14224" i="1"/>
  <c r="L14224" i="1" s="1"/>
  <c r="J14225" i="1"/>
  <c r="L14225" i="1" s="1"/>
  <c r="J4844" i="1"/>
  <c r="L4844" i="1" s="1"/>
  <c r="J14291" i="1"/>
  <c r="L14291" i="1" s="1"/>
  <c r="J14292" i="1"/>
  <c r="L14292" i="1" s="1"/>
  <c r="J14449" i="1"/>
  <c r="L14449" i="1" s="1"/>
  <c r="J14466" i="1"/>
  <c r="L14466" i="1" s="1"/>
  <c r="J14467" i="1"/>
  <c r="L14467" i="1" s="1"/>
  <c r="J14509" i="1"/>
  <c r="L14509" i="1" s="1"/>
  <c r="J14814" i="1"/>
  <c r="L14814" i="1" s="1"/>
  <c r="J14815" i="1"/>
  <c r="L14815" i="1" s="1"/>
  <c r="J5084" i="1"/>
  <c r="L5084" i="1" s="1"/>
  <c r="J5122" i="1"/>
  <c r="L5122" i="1" s="1"/>
  <c r="J5231" i="1"/>
  <c r="L5231" i="1" s="1"/>
  <c r="J15057" i="1"/>
  <c r="L15057" i="1" s="1"/>
  <c r="J15068" i="1"/>
  <c r="L15068" i="1" s="1"/>
  <c r="J15248" i="1"/>
  <c r="L15248" i="1" s="1"/>
  <c r="J5483" i="1"/>
  <c r="L5483" i="1" s="1"/>
  <c r="J5538" i="1"/>
  <c r="L5538" i="1" s="1"/>
  <c r="J5548" i="1"/>
  <c r="L5548" i="1" s="1"/>
  <c r="J5668" i="1"/>
  <c r="L5668" i="1" s="1"/>
  <c r="J15511" i="1"/>
  <c r="L15511" i="1" s="1"/>
  <c r="J15512" i="1"/>
  <c r="L15512" i="1" s="1"/>
  <c r="J15803" i="1"/>
  <c r="L15803" i="1" s="1"/>
  <c r="J16020" i="1"/>
  <c r="L16020" i="1" s="1"/>
  <c r="J16037" i="1"/>
  <c r="L16037" i="1" s="1"/>
  <c r="J6253" i="1"/>
  <c r="L6253" i="1" s="1"/>
  <c r="J6292" i="1"/>
  <c r="L6292" i="1" s="1"/>
  <c r="J16292" i="1"/>
  <c r="L16292" i="1" s="1"/>
  <c r="J16350" i="1"/>
  <c r="L16350" i="1" s="1"/>
  <c r="J16599" i="1"/>
  <c r="L16599" i="1" s="1"/>
  <c r="J16600" i="1"/>
  <c r="L16600" i="1" s="1"/>
  <c r="J16601" i="1"/>
  <c r="L16601" i="1" s="1"/>
  <c r="J16611" i="1"/>
  <c r="L16611" i="1" s="1"/>
  <c r="J16612" i="1"/>
  <c r="L16612" i="1" s="1"/>
  <c r="J6811" i="1"/>
  <c r="L6811" i="1" s="1"/>
  <c r="J16969" i="1"/>
  <c r="L16969" i="1" s="1"/>
  <c r="J16985" i="1"/>
  <c r="L16985" i="1" s="1"/>
  <c r="J17081" i="1"/>
  <c r="L17081" i="1" s="1"/>
  <c r="J17157" i="1"/>
  <c r="L17157" i="1" s="1"/>
  <c r="J7263" i="1"/>
  <c r="L7263" i="1" s="1"/>
  <c r="J7656" i="1"/>
  <c r="L7656" i="1" s="1"/>
  <c r="J170" i="1"/>
  <c r="L170" i="1" s="1"/>
  <c r="J7760" i="1"/>
  <c r="L7760" i="1" s="1"/>
  <c r="J7761" i="1"/>
  <c r="L7761" i="1" s="1"/>
  <c r="J7838" i="1"/>
  <c r="L7838" i="1" s="1"/>
  <c r="J8086" i="1"/>
  <c r="L8086" i="1" s="1"/>
  <c r="J8087" i="1"/>
  <c r="L8087" i="1" s="1"/>
  <c r="J8088" i="1"/>
  <c r="L8088" i="1" s="1"/>
  <c r="J8178" i="1"/>
  <c r="L8178" i="1" s="1"/>
  <c r="J8179" i="1"/>
  <c r="L8179" i="1" s="1"/>
  <c r="J8180" i="1"/>
  <c r="L8180" i="1" s="1"/>
  <c r="J479" i="1"/>
  <c r="L479" i="1" s="1"/>
  <c r="J8565" i="1"/>
  <c r="L8565" i="1" s="1"/>
  <c r="J690" i="1"/>
  <c r="L690" i="1" s="1"/>
  <c r="J924" i="1"/>
  <c r="L924" i="1" s="1"/>
  <c r="J8955" i="1"/>
  <c r="L8955" i="1" s="1"/>
  <c r="J8989" i="1"/>
  <c r="L8989" i="1" s="1"/>
  <c r="J9385" i="1"/>
  <c r="L9385" i="1" s="1"/>
  <c r="J9405" i="1"/>
  <c r="L9405" i="1" s="1"/>
  <c r="J9416" i="1"/>
  <c r="L9416" i="1" s="1"/>
  <c r="J9439" i="1"/>
  <c r="L9439" i="1" s="1"/>
  <c r="J9900" i="1"/>
  <c r="L9900" i="1" s="1"/>
  <c r="J9913" i="1"/>
  <c r="L9913" i="1" s="1"/>
  <c r="J1950" i="1"/>
  <c r="L1950" i="1" s="1"/>
  <c r="J2103" i="1"/>
  <c r="L2103" i="1" s="1"/>
  <c r="J2268" i="1"/>
  <c r="L2268" i="1" s="1"/>
  <c r="J10424" i="1"/>
  <c r="L10424" i="1" s="1"/>
  <c r="J10871" i="1"/>
  <c r="L10871" i="1" s="1"/>
  <c r="J10872" i="1"/>
  <c r="L10872" i="1" s="1"/>
  <c r="J2748" i="1"/>
  <c r="L2748" i="1" s="1"/>
  <c r="J2767" i="1"/>
  <c r="L2767" i="1" s="1"/>
  <c r="J2817" i="1"/>
  <c r="L2817" i="1" s="1"/>
  <c r="J2818" i="1"/>
  <c r="L2818" i="1" s="1"/>
  <c r="J11592" i="1"/>
  <c r="L11592" i="1" s="1"/>
  <c r="J3045" i="1"/>
  <c r="L3045" i="1" s="1"/>
  <c r="J11641" i="1"/>
  <c r="L11641" i="1" s="1"/>
  <c r="J3119" i="1"/>
  <c r="L3119" i="1" s="1"/>
  <c r="J11738" i="1"/>
  <c r="L11738" i="1" s="1"/>
  <c r="J3190" i="1"/>
  <c r="L3190" i="1" s="1"/>
  <c r="J11803" i="1"/>
  <c r="L11803" i="1" s="1"/>
  <c r="J11864" i="1"/>
  <c r="L11864" i="1" s="1"/>
  <c r="J3548" i="1"/>
  <c r="L3548" i="1" s="1"/>
  <c r="J12625" i="1"/>
  <c r="L12625" i="1" s="1"/>
  <c r="J12662" i="1"/>
  <c r="L12662" i="1" s="1"/>
  <c r="J12675" i="1"/>
  <c r="L12675" i="1" s="1"/>
  <c r="J3914" i="1"/>
  <c r="L3914" i="1" s="1"/>
  <c r="J3948" i="1"/>
  <c r="L3948" i="1" s="1"/>
  <c r="J12987" i="1"/>
  <c r="L12987" i="1" s="1"/>
  <c r="J4108" i="1"/>
  <c r="L4108" i="1" s="1"/>
  <c r="J4187" i="1"/>
  <c r="L4187" i="1" s="1"/>
  <c r="J4197" i="1"/>
  <c r="L4197" i="1" s="1"/>
  <c r="J13236" i="1"/>
  <c r="L13236" i="1" s="1"/>
  <c r="J13726" i="1"/>
  <c r="L13726" i="1" s="1"/>
  <c r="J13737" i="1"/>
  <c r="L13737" i="1" s="1"/>
  <c r="J4543" i="1"/>
  <c r="L4543" i="1" s="1"/>
  <c r="J13817" i="1"/>
  <c r="L13817" i="1" s="1"/>
  <c r="J13825" i="1"/>
  <c r="L13825" i="1" s="1"/>
  <c r="J4693" i="1"/>
  <c r="L4693" i="1" s="1"/>
  <c r="J14221" i="1"/>
  <c r="L14221" i="1" s="1"/>
  <c r="J14222" i="1"/>
  <c r="L14222" i="1" s="1"/>
  <c r="J14223" i="1"/>
  <c r="L14223" i="1" s="1"/>
  <c r="J4849" i="1"/>
  <c r="L4849" i="1" s="1"/>
  <c r="J14448" i="1"/>
  <c r="L14448" i="1" s="1"/>
  <c r="J14465" i="1"/>
  <c r="L14465" i="1" s="1"/>
  <c r="J14485" i="1"/>
  <c r="L14485" i="1" s="1"/>
  <c r="J4948" i="1"/>
  <c r="L4948" i="1" s="1"/>
  <c r="J14683" i="1"/>
  <c r="L14683" i="1" s="1"/>
  <c r="J14813" i="1"/>
  <c r="L14813" i="1" s="1"/>
  <c r="J5001" i="1"/>
  <c r="L5001" i="1" s="1"/>
  <c r="J5009" i="1"/>
  <c r="L5009" i="1" s="1"/>
  <c r="J5011" i="1"/>
  <c r="L5011" i="1" s="1"/>
  <c r="J5076" i="1"/>
  <c r="L5076" i="1" s="1"/>
  <c r="J15012" i="1"/>
  <c r="L15012" i="1" s="1"/>
  <c r="J5269" i="1"/>
  <c r="L5269" i="1" s="1"/>
  <c r="J15153" i="1"/>
  <c r="L15153" i="1" s="1"/>
  <c r="J5406" i="1"/>
  <c r="L5406" i="1" s="1"/>
  <c r="J15223" i="1"/>
  <c r="L15223" i="1" s="1"/>
  <c r="J5541" i="1"/>
  <c r="L5541" i="1" s="1"/>
  <c r="J5684" i="1"/>
  <c r="L5684" i="1" s="1"/>
  <c r="J5692" i="1"/>
  <c r="L5692" i="1" s="1"/>
  <c r="E27" i="4" s="1"/>
  <c r="J5695" i="1"/>
  <c r="L5695" i="1" s="1"/>
  <c r="J5750" i="1"/>
  <c r="L5750" i="1" s="1"/>
  <c r="E6" i="4" s="1"/>
  <c r="J16019" i="1"/>
  <c r="L16019" i="1" s="1"/>
  <c r="J16031" i="1"/>
  <c r="L16031" i="1" s="1"/>
  <c r="J6280" i="1"/>
  <c r="L6280" i="1" s="1"/>
  <c r="J16275" i="1"/>
  <c r="L16275" i="1" s="1"/>
  <c r="J6650" i="1"/>
  <c r="L6650" i="1" s="1"/>
  <c r="J7216" i="1"/>
  <c r="L7216" i="1" s="1"/>
  <c r="J7676" i="1"/>
  <c r="L7676" i="1" s="1"/>
  <c r="J7851" i="1"/>
  <c r="L7851" i="1" s="1"/>
  <c r="J8140" i="1"/>
  <c r="L8140" i="1" s="1"/>
  <c r="J8176" i="1"/>
  <c r="L8176" i="1" s="1"/>
  <c r="J8177" i="1"/>
  <c r="L8177" i="1" s="1"/>
  <c r="J279" i="1"/>
  <c r="L279" i="1" s="1"/>
  <c r="J280" i="1"/>
  <c r="L280" i="1" s="1"/>
  <c r="J281" i="1"/>
  <c r="L281" i="1" s="1"/>
  <c r="J8335" i="1"/>
  <c r="L8335" i="1" s="1"/>
  <c r="J8381" i="1"/>
  <c r="L8381" i="1" s="1"/>
  <c r="J483" i="1"/>
  <c r="L483" i="1" s="1"/>
  <c r="J512" i="1"/>
  <c r="L512" i="1" s="1"/>
  <c r="J542" i="1"/>
  <c r="L542" i="1" s="1"/>
  <c r="J581" i="1"/>
  <c r="L581" i="1" s="1"/>
  <c r="J8512" i="1"/>
  <c r="L8512" i="1" s="1"/>
  <c r="J8559" i="1"/>
  <c r="L8559" i="1" s="1"/>
  <c r="J8563" i="1"/>
  <c r="L8563" i="1" s="1"/>
  <c r="J8799" i="1"/>
  <c r="L8799" i="1" s="1"/>
  <c r="J951" i="1"/>
  <c r="L951" i="1" s="1"/>
  <c r="J9129" i="1"/>
  <c r="L9129" i="1" s="1"/>
  <c r="J9471" i="1"/>
  <c r="L9471" i="1" s="1"/>
  <c r="J1534" i="1"/>
  <c r="L1534" i="1" s="1"/>
  <c r="J1554" i="1"/>
  <c r="L1554" i="1" s="1"/>
  <c r="J9630" i="1"/>
  <c r="L9630" i="1" s="1"/>
  <c r="J1885" i="1"/>
  <c r="L1885" i="1" s="1"/>
  <c r="J9911" i="1"/>
  <c r="L9911" i="1" s="1"/>
  <c r="J9912" i="1"/>
  <c r="L9912" i="1" s="1"/>
  <c r="J2065" i="1"/>
  <c r="L2065" i="1" s="1"/>
  <c r="J2085" i="1"/>
  <c r="L2085" i="1" s="1"/>
  <c r="J10271" i="1"/>
  <c r="L10271" i="1" s="1"/>
  <c r="J10433" i="1"/>
  <c r="L10433" i="1" s="1"/>
  <c r="J2526" i="1"/>
  <c r="L2526" i="1" s="1"/>
  <c r="J11279" i="1"/>
  <c r="L11279" i="1" s="1"/>
  <c r="J11381" i="1"/>
  <c r="L11381" i="1" s="1"/>
  <c r="J2813" i="1"/>
  <c r="L2813" i="1" s="1"/>
  <c r="J11608" i="1"/>
  <c r="L11608" i="1" s="1"/>
  <c r="J3044" i="1"/>
  <c r="L3044" i="1" s="1"/>
  <c r="J11704" i="1"/>
  <c r="L11704" i="1" s="1"/>
  <c r="J3218" i="1"/>
  <c r="L3218" i="1" s="1"/>
  <c r="J3245" i="1"/>
  <c r="L3245" i="1" s="1"/>
  <c r="J3941" i="1"/>
  <c r="L3941" i="1" s="1"/>
  <c r="J4231" i="1"/>
  <c r="L4231" i="1" s="1"/>
  <c r="J4258" i="1"/>
  <c r="L4258" i="1" s="1"/>
  <c r="J13465" i="1"/>
  <c r="L13465" i="1" s="1"/>
  <c r="J13498" i="1"/>
  <c r="L13498" i="1" s="1"/>
  <c r="J4351" i="1"/>
  <c r="L4351" i="1" s="1"/>
  <c r="J13657" i="1"/>
  <c r="L13657" i="1" s="1"/>
  <c r="J13672" i="1"/>
  <c r="L13672" i="1" s="1"/>
  <c r="J13694" i="1"/>
  <c r="L13694" i="1" s="1"/>
  <c r="J13815" i="1"/>
  <c r="L13815" i="1" s="1"/>
  <c r="J4848" i="1"/>
  <c r="L4848" i="1" s="1"/>
  <c r="J4857" i="1"/>
  <c r="L4857" i="1" s="1"/>
  <c r="J14545" i="1"/>
  <c r="L14545" i="1" s="1"/>
  <c r="J14704" i="1"/>
  <c r="L14704" i="1" s="1"/>
  <c r="J14790" i="1"/>
  <c r="L14790" i="1" s="1"/>
  <c r="J14791" i="1"/>
  <c r="L14791" i="1" s="1"/>
  <c r="J14792" i="1"/>
  <c r="L14792" i="1" s="1"/>
  <c r="J4994" i="1"/>
  <c r="L4994" i="1" s="1"/>
  <c r="J14812" i="1"/>
  <c r="L14812" i="1" s="1"/>
  <c r="J5068" i="1"/>
  <c r="L5068" i="1" s="1"/>
  <c r="J5252" i="1"/>
  <c r="L5252" i="1" s="1"/>
  <c r="J5297" i="1"/>
  <c r="L5297" i="1" s="1"/>
  <c r="J15079" i="1"/>
  <c r="L15079" i="1" s="1"/>
  <c r="J15081" i="1"/>
  <c r="L15081" i="1" s="1"/>
  <c r="J15222" i="1"/>
  <c r="L15222" i="1" s="1"/>
  <c r="J5463" i="1"/>
  <c r="L5463" i="1" s="1"/>
  <c r="J15792" i="1"/>
  <c r="L15792" i="1" s="1"/>
  <c r="J15827" i="1"/>
  <c r="L15827" i="1" s="1"/>
  <c r="J15986" i="1"/>
  <c r="L15986" i="1" s="1"/>
  <c r="J16054" i="1"/>
  <c r="L16054" i="1" s="1"/>
  <c r="J6268" i="1"/>
  <c r="L6268" i="1" s="1"/>
  <c r="J6273" i="1"/>
  <c r="L6273" i="1" s="1"/>
  <c r="J6288" i="1"/>
  <c r="L6288" i="1" s="1"/>
  <c r="J6478" i="1"/>
  <c r="L6478" i="1" s="1"/>
  <c r="J16598" i="1"/>
  <c r="L16598" i="1" s="1"/>
  <c r="J6653" i="1"/>
  <c r="L6653" i="1" s="1"/>
  <c r="J16855" i="1"/>
  <c r="L16855" i="1" s="1"/>
  <c r="J16984" i="1"/>
  <c r="L16984" i="1" s="1"/>
  <c r="J7081" i="1"/>
  <c r="L7081" i="1" s="1"/>
  <c r="J168" i="1"/>
  <c r="L168" i="1" s="1"/>
  <c r="J8039" i="1"/>
  <c r="L8039" i="1" s="1"/>
  <c r="J8045" i="1"/>
  <c r="L8045" i="1" s="1"/>
  <c r="J254" i="1"/>
  <c r="L254" i="1" s="1"/>
  <c r="J284" i="1"/>
  <c r="L284" i="1" s="1"/>
  <c r="J366" i="1"/>
  <c r="L366" i="1" s="1"/>
  <c r="J8413" i="1"/>
  <c r="L8413" i="1" s="1"/>
  <c r="J8436" i="1"/>
  <c r="L8436" i="1" s="1"/>
  <c r="J680" i="1"/>
  <c r="L680" i="1" s="1"/>
  <c r="J777" i="1"/>
  <c r="L777" i="1" s="1"/>
  <c r="J9377" i="1"/>
  <c r="L9377" i="1" s="1"/>
  <c r="J9380" i="1"/>
  <c r="L9380" i="1" s="1"/>
  <c r="J9768" i="1"/>
  <c r="L9768" i="1" s="1"/>
  <c r="J1929" i="1"/>
  <c r="L1929" i="1" s="1"/>
  <c r="J1982" i="1"/>
  <c r="L1982" i="1" s="1"/>
  <c r="J10085" i="1"/>
  <c r="L10085" i="1" s="1"/>
  <c r="J10146" i="1"/>
  <c r="L10146" i="1" s="1"/>
  <c r="J2135" i="1"/>
  <c r="L2135" i="1" s="1"/>
  <c r="J2525" i="1"/>
  <c r="L2525" i="1" s="1"/>
  <c r="J10675" i="1"/>
  <c r="L10675" i="1" s="1"/>
  <c r="J11057" i="1"/>
  <c r="L11057" i="1" s="1"/>
  <c r="J11278" i="1"/>
  <c r="L11278" i="1" s="1"/>
  <c r="J11340" i="1"/>
  <c r="L11340" i="1" s="1"/>
  <c r="J3391" i="1"/>
  <c r="L3391" i="1" s="1"/>
  <c r="J12412" i="1"/>
  <c r="L12412" i="1" s="1"/>
  <c r="J12417" i="1"/>
  <c r="L12417" i="1" s="1"/>
  <c r="J12532" i="1"/>
  <c r="L12532" i="1" s="1"/>
  <c r="J3787" i="1"/>
  <c r="L3787" i="1" s="1"/>
  <c r="J12682" i="1"/>
  <c r="L12682" i="1" s="1"/>
  <c r="J3927" i="1"/>
  <c r="L3927" i="1" s="1"/>
  <c r="J3939" i="1"/>
  <c r="L3939" i="1" s="1"/>
  <c r="J13090" i="1"/>
  <c r="L13090" i="1" s="1"/>
  <c r="J4196" i="1"/>
  <c r="L4196" i="1" s="1"/>
  <c r="J13235" i="1"/>
  <c r="L13235" i="1" s="1"/>
  <c r="J4239" i="1"/>
  <c r="L4239" i="1" s="1"/>
  <c r="J13457" i="1"/>
  <c r="L13457" i="1" s="1"/>
  <c r="J13470" i="1"/>
  <c r="L13470" i="1" s="1"/>
  <c r="J4355" i="1"/>
  <c r="L4355" i="1" s="1"/>
  <c r="J13642" i="1"/>
  <c r="L13642" i="1" s="1"/>
  <c r="J13676" i="1"/>
  <c r="L13676" i="1" s="1"/>
  <c r="J13723" i="1"/>
  <c r="L13723" i="1" s="1"/>
  <c r="J13742" i="1"/>
  <c r="L13742" i="1" s="1"/>
  <c r="J4538" i="1"/>
  <c r="L4538" i="1" s="1"/>
  <c r="J4717" i="1"/>
  <c r="L4717" i="1" s="1"/>
  <c r="J14231" i="1"/>
  <c r="L14231" i="1" s="1"/>
  <c r="J4983" i="1"/>
  <c r="L4983" i="1" s="1"/>
  <c r="J4984" i="1"/>
  <c r="L4984" i="1" s="1"/>
  <c r="J14787" i="1"/>
  <c r="L14787" i="1" s="1"/>
  <c r="J14788" i="1"/>
  <c r="L14788" i="1" s="1"/>
  <c r="J14789" i="1"/>
  <c r="L14789" i="1" s="1"/>
  <c r="J5080" i="1"/>
  <c r="L5080" i="1" s="1"/>
  <c r="J15513" i="1"/>
  <c r="L15513" i="1" s="1"/>
  <c r="J15744" i="1"/>
  <c r="L15744" i="1" s="1"/>
  <c r="J6160" i="1"/>
  <c r="L6160" i="1" s="1"/>
  <c r="J6161" i="1"/>
  <c r="L6161" i="1" s="1"/>
  <c r="J6486" i="1"/>
  <c r="L6486" i="1" s="1"/>
  <c r="J6582" i="1"/>
  <c r="L6582" i="1" s="1"/>
  <c r="J16666" i="1"/>
  <c r="L16666" i="1" s="1"/>
  <c r="J6685" i="1"/>
  <c r="L6685" i="1" s="1"/>
  <c r="J6686" i="1"/>
  <c r="L6686" i="1" s="1"/>
  <c r="J16854" i="1"/>
  <c r="L16854" i="1" s="1"/>
  <c r="J13" i="1"/>
  <c r="L13" i="1" s="1"/>
  <c r="J184" i="1"/>
  <c r="L184" i="1" s="1"/>
  <c r="J553" i="1"/>
  <c r="L553" i="1" s="1"/>
  <c r="J8407" i="1"/>
  <c r="L8407" i="1" s="1"/>
  <c r="J8557" i="1"/>
  <c r="L8557" i="1" s="1"/>
  <c r="J8561" i="1"/>
  <c r="L8561" i="1" s="1"/>
  <c r="J8636" i="1"/>
  <c r="L8636" i="1" s="1"/>
  <c r="J935" i="1"/>
  <c r="L935" i="1" s="1"/>
  <c r="J1390" i="1"/>
  <c r="L1390" i="1" s="1"/>
  <c r="J1392" i="1"/>
  <c r="L1392" i="1" s="1"/>
  <c r="J9343" i="1"/>
  <c r="L9343" i="1" s="1"/>
  <c r="J1539" i="1"/>
  <c r="L1539" i="1" s="1"/>
  <c r="J1789" i="1"/>
  <c r="L1789" i="1" s="1"/>
  <c r="J10047" i="1"/>
  <c r="L10047" i="1" s="1"/>
  <c r="J2034" i="1"/>
  <c r="L2034" i="1" s="1"/>
  <c r="J2262" i="1"/>
  <c r="L2262" i="1" s="1"/>
  <c r="J10384" i="1"/>
  <c r="L10384" i="1" s="1"/>
  <c r="J10392" i="1"/>
  <c r="L10392" i="1" s="1"/>
  <c r="J2568" i="1"/>
  <c r="L2568" i="1" s="1"/>
  <c r="J2710" i="1"/>
  <c r="L2710" i="1" s="1"/>
  <c r="J11251" i="1"/>
  <c r="L11251" i="1" s="1"/>
  <c r="J2825" i="1"/>
  <c r="L2825" i="1" s="1"/>
  <c r="J11591" i="1"/>
  <c r="L11591" i="1" s="1"/>
  <c r="J3073" i="1"/>
  <c r="L3073" i="1" s="1"/>
  <c r="J11793" i="1"/>
  <c r="L11793" i="1" s="1"/>
  <c r="J3170" i="1"/>
  <c r="L3170" i="1" s="1"/>
  <c r="J3254" i="1"/>
  <c r="L3254" i="1" s="1"/>
  <c r="J12017" i="1"/>
  <c r="L12017" i="1" s="1"/>
  <c r="J3400" i="1"/>
  <c r="L3400" i="1" s="1"/>
  <c r="J3453" i="1"/>
  <c r="L3453" i="1" s="1"/>
  <c r="J3788" i="1"/>
  <c r="L3788" i="1" s="1"/>
  <c r="J12607" i="1"/>
  <c r="L12607" i="1" s="1"/>
  <c r="J12616" i="1"/>
  <c r="L12616" i="1" s="1"/>
  <c r="J3908" i="1"/>
  <c r="L3908" i="1" s="1"/>
  <c r="J3923" i="1"/>
  <c r="L3923" i="1" s="1"/>
  <c r="J4016" i="1"/>
  <c r="L4016" i="1" s="1"/>
  <c r="J4107" i="1"/>
  <c r="L4107" i="1" s="1"/>
  <c r="J13454" i="1"/>
  <c r="L13454" i="1" s="1"/>
  <c r="J13480" i="1"/>
  <c r="L13480" i="1" s="1"/>
  <c r="J13631" i="1"/>
  <c r="L13631" i="1" s="1"/>
  <c r="J13722" i="1"/>
  <c r="L13722" i="1" s="1"/>
  <c r="J4595" i="1"/>
  <c r="L4595" i="1" s="1"/>
  <c r="J13945" i="1"/>
  <c r="L13945" i="1" s="1"/>
  <c r="J14463" i="1"/>
  <c r="L14463" i="1" s="1"/>
  <c r="J5088" i="1"/>
  <c r="L5088" i="1" s="1"/>
  <c r="J5257" i="1"/>
  <c r="L5257" i="1" s="1"/>
  <c r="J5296" i="1"/>
  <c r="L5296" i="1" s="1"/>
  <c r="J5380" i="1"/>
  <c r="L5380" i="1" s="1"/>
  <c r="J15522" i="1"/>
  <c r="L15522" i="1" s="1"/>
  <c r="J5697" i="1"/>
  <c r="L5697" i="1" s="1"/>
  <c r="J15685" i="1"/>
  <c r="L15685" i="1" s="1"/>
  <c r="J6297" i="1"/>
  <c r="L6297" i="1" s="1"/>
  <c r="J6310" i="1"/>
  <c r="L6310" i="1" s="1"/>
  <c r="J6504" i="1"/>
  <c r="L6504" i="1" s="1"/>
  <c r="J6581" i="1"/>
  <c r="L6581" i="1" s="1"/>
  <c r="J16480" i="1"/>
  <c r="L16480" i="1" s="1"/>
  <c r="J6599" i="1"/>
  <c r="L6599" i="1" s="1"/>
  <c r="J16617" i="1"/>
  <c r="L16617" i="1" s="1"/>
  <c r="J6651" i="1"/>
  <c r="L6651" i="1" s="1"/>
  <c r="J16853" i="1"/>
  <c r="L16853" i="1" s="1"/>
  <c r="J16863" i="1"/>
  <c r="L16863" i="1" s="1"/>
  <c r="J6766" i="1"/>
  <c r="L6766" i="1" s="1"/>
  <c r="J17069" i="1"/>
  <c r="L17069" i="1" s="1"/>
  <c r="J7015" i="1"/>
  <c r="L7015" i="1" s="1"/>
  <c r="E8" i="4" s="1"/>
  <c r="E54" i="4" s="1"/>
  <c r="J17201" i="1"/>
  <c r="L17201" i="1" s="1"/>
  <c r="J17202" i="1"/>
  <c r="L17202" i="1" s="1"/>
  <c r="J7082" i="1"/>
  <c r="L7082" i="1" s="1"/>
  <c r="J7217" i="1"/>
  <c r="L7217" i="1" s="1"/>
  <c r="J158" i="1"/>
  <c r="L158" i="1" s="1"/>
  <c r="J7800" i="1"/>
  <c r="L7800" i="1" s="1"/>
  <c r="J8072" i="1"/>
  <c r="L8072" i="1" s="1"/>
  <c r="J293" i="1"/>
  <c r="L293" i="1" s="1"/>
  <c r="J302" i="1"/>
  <c r="L302" i="1" s="1"/>
  <c r="J8416" i="1"/>
  <c r="L8416" i="1" s="1"/>
  <c r="J625" i="1"/>
  <c r="L625" i="1" s="1"/>
  <c r="J8514" i="1"/>
  <c r="L8514" i="1" s="1"/>
  <c r="J8576" i="1"/>
  <c r="L8576" i="1" s="1"/>
  <c r="J9146" i="1"/>
  <c r="L9146" i="1" s="1"/>
  <c r="J9153" i="1"/>
  <c r="L9153" i="1" s="1"/>
  <c r="J1378" i="1"/>
  <c r="L1378" i="1" s="1"/>
  <c r="J1389" i="1"/>
  <c r="L1389" i="1" s="1"/>
  <c r="J9437" i="1"/>
  <c r="L9437" i="1" s="1"/>
  <c r="J9438" i="1"/>
  <c r="L9438" i="1" s="1"/>
  <c r="J2246" i="1"/>
  <c r="L2246" i="1" s="1"/>
  <c r="J2256" i="1"/>
  <c r="L2256" i="1" s="1"/>
  <c r="J10394" i="1"/>
  <c r="L10394" i="1" s="1"/>
  <c r="J11277" i="1"/>
  <c r="L11277" i="1" s="1"/>
  <c r="J11383" i="1"/>
  <c r="L11383" i="1" s="1"/>
  <c r="J2810" i="1"/>
  <c r="L2810" i="1" s="1"/>
  <c r="J2872" i="1"/>
  <c r="L2872" i="1" s="1"/>
  <c r="J2907" i="1"/>
  <c r="L2907" i="1" s="1"/>
  <c r="J11590" i="1"/>
  <c r="L11590" i="1" s="1"/>
  <c r="J11788" i="1"/>
  <c r="L11788" i="1" s="1"/>
  <c r="J12016" i="1"/>
  <c r="L12016" i="1" s="1"/>
  <c r="J12111" i="1"/>
  <c r="L12111" i="1" s="1"/>
  <c r="J12340" i="1"/>
  <c r="L12340" i="1" s="1"/>
  <c r="J3791" i="1"/>
  <c r="L3791" i="1" s="1"/>
  <c r="J3802" i="1"/>
  <c r="L3802" i="1" s="1"/>
  <c r="E20" i="3" s="1"/>
  <c r="J12624" i="1"/>
  <c r="L12624" i="1" s="1"/>
  <c r="J12703" i="1"/>
  <c r="L12703" i="1" s="1"/>
  <c r="J3931" i="1"/>
  <c r="L3931" i="1" s="1"/>
  <c r="J3947" i="1"/>
  <c r="L3947" i="1" s="1"/>
  <c r="J4255" i="1"/>
  <c r="L4255" i="1" s="1"/>
  <c r="J4259" i="1"/>
  <c r="L4259" i="1" s="1"/>
  <c r="J4292" i="1"/>
  <c r="L4292" i="1" s="1"/>
  <c r="J13641" i="1"/>
  <c r="L13641" i="1" s="1"/>
  <c r="J13645" i="1"/>
  <c r="L13645" i="1" s="1"/>
  <c r="J13686" i="1"/>
  <c r="L13686" i="1" s="1"/>
  <c r="J13721" i="1"/>
  <c r="L13721" i="1" s="1"/>
  <c r="J13739" i="1"/>
  <c r="L13739" i="1" s="1"/>
  <c r="J13740" i="1"/>
  <c r="L13740" i="1" s="1"/>
  <c r="J13741" i="1"/>
  <c r="L13741" i="1" s="1"/>
  <c r="J14733" i="1"/>
  <c r="L14733" i="1" s="1"/>
  <c r="J5070" i="1"/>
  <c r="L5070" i="1" s="1"/>
  <c r="J5279" i="1"/>
  <c r="L5279" i="1" s="1"/>
  <c r="J5433" i="1"/>
  <c r="L5433" i="1" s="1"/>
  <c r="J5822" i="1"/>
  <c r="L5822" i="1" s="1"/>
  <c r="J6118" i="1"/>
  <c r="L6118" i="1" s="1"/>
  <c r="J6159" i="1"/>
  <c r="L6159" i="1" s="1"/>
  <c r="J15974" i="1"/>
  <c r="L15974" i="1" s="1"/>
  <c r="J15976" i="1"/>
  <c r="L15976" i="1" s="1"/>
  <c r="J15998" i="1"/>
  <c r="L15998" i="1" s="1"/>
  <c r="J6409" i="1"/>
  <c r="L6409" i="1" s="1"/>
  <c r="J16476" i="1"/>
  <c r="L16476" i="1" s="1"/>
  <c r="J6590" i="1"/>
  <c r="L6590" i="1" s="1"/>
  <c r="J6680" i="1"/>
  <c r="L6680" i="1" s="1"/>
  <c r="J16838" i="1"/>
  <c r="L16838" i="1" s="1"/>
  <c r="J6767" i="1"/>
  <c r="L6767" i="1" s="1"/>
  <c r="J16998" i="1"/>
  <c r="L16998" i="1" s="1"/>
  <c r="J17118" i="1"/>
  <c r="L17118" i="1" s="1"/>
  <c r="J7845" i="1"/>
  <c r="L7845" i="1" s="1"/>
  <c r="J358" i="1"/>
  <c r="L358" i="1" s="1"/>
  <c r="J491" i="1"/>
  <c r="L491" i="1" s="1"/>
  <c r="J552" i="1"/>
  <c r="L552" i="1" s="1"/>
  <c r="J8564" i="1"/>
  <c r="L8564" i="1" s="1"/>
  <c r="J8634" i="1"/>
  <c r="L8634" i="1" s="1"/>
  <c r="J767" i="1"/>
  <c r="L767" i="1" s="1"/>
  <c r="J943" i="1"/>
  <c r="L943" i="1" s="1"/>
  <c r="J950" i="1"/>
  <c r="L950" i="1" s="1"/>
  <c r="J9094" i="1"/>
  <c r="L9094" i="1" s="1"/>
  <c r="J1400" i="1"/>
  <c r="L1400" i="1" s="1"/>
  <c r="J1933" i="1"/>
  <c r="L1933" i="1" s="1"/>
  <c r="J2310" i="1"/>
  <c r="L2310" i="1" s="1"/>
  <c r="E8" i="2" s="1"/>
  <c r="J2692" i="1"/>
  <c r="L2692" i="1" s="1"/>
  <c r="J11006" i="1"/>
  <c r="L11006" i="1" s="1"/>
  <c r="J11053" i="1"/>
  <c r="L11053" i="1" s="1"/>
  <c r="J11244" i="1"/>
  <c r="L11244" i="1" s="1"/>
  <c r="J2797" i="1"/>
  <c r="L2797" i="1" s="1"/>
  <c r="J2987" i="1"/>
  <c r="L2987" i="1" s="1"/>
  <c r="J3043" i="1"/>
  <c r="L3043" i="1" s="1"/>
  <c r="J11732" i="1"/>
  <c r="L11732" i="1" s="1"/>
  <c r="J11764" i="1"/>
  <c r="L11764" i="1" s="1"/>
  <c r="J3157" i="1"/>
  <c r="L3157" i="1" s="1"/>
  <c r="J3168" i="1"/>
  <c r="L3168" i="1" s="1"/>
  <c r="J11794" i="1"/>
  <c r="L11794" i="1" s="1"/>
  <c r="J3386" i="1"/>
  <c r="L3386" i="1" s="1"/>
  <c r="J12648" i="1"/>
  <c r="L12648" i="1" s="1"/>
  <c r="J12712" i="1"/>
  <c r="L12712" i="1" s="1"/>
  <c r="J13670" i="1"/>
  <c r="L13670" i="1" s="1"/>
  <c r="J13719" i="1"/>
  <c r="L13719" i="1" s="1"/>
  <c r="J13720" i="1"/>
  <c r="L13720" i="1" s="1"/>
  <c r="J13735" i="1"/>
  <c r="L13735" i="1" s="1"/>
  <c r="J13800" i="1"/>
  <c r="L13800" i="1" s="1"/>
  <c r="J4833" i="1"/>
  <c r="L4833" i="1" s="1"/>
  <c r="J4834" i="1"/>
  <c r="L4834" i="1" s="1"/>
  <c r="J14775" i="1"/>
  <c r="L14775" i="1" s="1"/>
  <c r="J5081" i="1"/>
  <c r="L5081" i="1" s="1"/>
  <c r="J5294" i="1"/>
  <c r="L5294" i="1" s="1"/>
  <c r="J5295" i="1"/>
  <c r="L5295" i="1" s="1"/>
  <c r="J15159" i="1"/>
  <c r="L15159" i="1" s="1"/>
  <c r="J15198" i="1"/>
  <c r="L15198" i="1" s="1"/>
  <c r="J5467" i="1"/>
  <c r="L5467" i="1" s="1"/>
  <c r="J5685" i="1"/>
  <c r="L5685" i="1" s="1"/>
  <c r="J5947" i="1"/>
  <c r="L5947" i="1" s="1"/>
  <c r="J6132" i="1"/>
  <c r="L6132" i="1" s="1"/>
  <c r="J15997" i="1"/>
  <c r="L15997" i="1" s="1"/>
  <c r="J16017" i="1"/>
  <c r="L16017" i="1" s="1"/>
  <c r="J6318" i="1"/>
  <c r="L6318" i="1" s="1"/>
  <c r="J6473" i="1"/>
  <c r="L6473" i="1" s="1"/>
  <c r="E23" i="4" s="1"/>
  <c r="J16439" i="1"/>
  <c r="L16439" i="1" s="1"/>
  <c r="J16475" i="1"/>
  <c r="L16475" i="1" s="1"/>
  <c r="J17200" i="1"/>
  <c r="L17200" i="1" s="1"/>
  <c r="J159" i="1"/>
  <c r="L159" i="1" s="1"/>
  <c r="J8034" i="1"/>
  <c r="L8034" i="1" s="1"/>
  <c r="J273" i="1"/>
  <c r="L273" i="1" s="1"/>
  <c r="J362" i="1"/>
  <c r="L362" i="1" s="1"/>
  <c r="J579" i="1"/>
  <c r="L579" i="1" s="1"/>
  <c r="J689" i="1"/>
  <c r="L689" i="1" s="1"/>
  <c r="J8566" i="1"/>
  <c r="L8566" i="1" s="1"/>
  <c r="J695" i="1"/>
  <c r="L695" i="1" s="1"/>
  <c r="J749" i="1"/>
  <c r="L749" i="1" s="1"/>
  <c r="J8957" i="1"/>
  <c r="L8957" i="1" s="1"/>
  <c r="J1130" i="1"/>
  <c r="L1130" i="1" s="1"/>
  <c r="J1131" i="1"/>
  <c r="L1131" i="1" s="1"/>
  <c r="J9166" i="1"/>
  <c r="L9166" i="1" s="1"/>
  <c r="J9276" i="1"/>
  <c r="L9276" i="1" s="1"/>
  <c r="J1417" i="1"/>
  <c r="L1417" i="1" s="1"/>
  <c r="J9383" i="1"/>
  <c r="L9383" i="1" s="1"/>
  <c r="J1550" i="1"/>
  <c r="L1550" i="1" s="1"/>
  <c r="J1561" i="1"/>
  <c r="L1561" i="1" s="1"/>
  <c r="J1788" i="1"/>
  <c r="L1788" i="1" s="1"/>
  <c r="J1955" i="1"/>
  <c r="L1955" i="1" s="1"/>
  <c r="J2694" i="1"/>
  <c r="L2694" i="1" s="1"/>
  <c r="J2821" i="1"/>
  <c r="L2821" i="1" s="1"/>
  <c r="J3120" i="1"/>
  <c r="L3120" i="1" s="1"/>
  <c r="J3176" i="1"/>
  <c r="L3176" i="1" s="1"/>
  <c r="J12104" i="1"/>
  <c r="L12104" i="1" s="1"/>
  <c r="J12630" i="1"/>
  <c r="L12630" i="1" s="1"/>
  <c r="J12651" i="1"/>
  <c r="L12651" i="1" s="1"/>
  <c r="J13086" i="1"/>
  <c r="L13086" i="1" s="1"/>
  <c r="J4236" i="1"/>
  <c r="L4236" i="1" s="1"/>
  <c r="J4344" i="1"/>
  <c r="L4344" i="1" s="1"/>
  <c r="J13500" i="1"/>
  <c r="L13500" i="1" s="1"/>
  <c r="J4360" i="1"/>
  <c r="L4360" i="1" s="1"/>
  <c r="J13630" i="1"/>
  <c r="L13630" i="1" s="1"/>
  <c r="J13718" i="1"/>
  <c r="L13718" i="1" s="1"/>
  <c r="J13738" i="1"/>
  <c r="L13738" i="1" s="1"/>
  <c r="J13816" i="1"/>
  <c r="L13816" i="1" s="1"/>
  <c r="J13821" i="1"/>
  <c r="L13821" i="1" s="1"/>
  <c r="J14300" i="1"/>
  <c r="L14300" i="1" s="1"/>
  <c r="J4931" i="1"/>
  <c r="L4931" i="1" s="1"/>
  <c r="J5293" i="1"/>
  <c r="L5293" i="1" s="1"/>
  <c r="J5391" i="1"/>
  <c r="L5391" i="1" s="1"/>
  <c r="J15152" i="1"/>
  <c r="L15152" i="1" s="1"/>
  <c r="J15200" i="1"/>
  <c r="L15200" i="1" s="1"/>
  <c r="J15799" i="1"/>
  <c r="L15799" i="1" s="1"/>
  <c r="J15835" i="1"/>
  <c r="L15835" i="1" s="1"/>
  <c r="J6134" i="1"/>
  <c r="L6134" i="1" s="1"/>
  <c r="J6137" i="1"/>
  <c r="L6137" i="1" s="1"/>
  <c r="J6295" i="1"/>
  <c r="L6295" i="1" s="1"/>
  <c r="J16291" i="1"/>
  <c r="L16291" i="1" s="1"/>
  <c r="J16434" i="1"/>
  <c r="L16434" i="1" s="1"/>
  <c r="J6812" i="1"/>
  <c r="L6812" i="1" s="1"/>
  <c r="J6816" i="1"/>
  <c r="L6816" i="1" s="1"/>
  <c r="J16980" i="1"/>
  <c r="L16980" i="1" s="1"/>
  <c r="J16981" i="1"/>
  <c r="L16981" i="1" s="1"/>
  <c r="J16997" i="1"/>
  <c r="L16997" i="1" s="1"/>
  <c r="J6960" i="1"/>
  <c r="L6960" i="1" s="1"/>
  <c r="J163" i="1"/>
  <c r="L163" i="1" s="1"/>
  <c r="J169" i="1"/>
  <c r="L169" i="1" s="1"/>
  <c r="J295" i="1"/>
  <c r="L295" i="1" s="1"/>
  <c r="J297" i="1"/>
  <c r="L297" i="1" s="1"/>
  <c r="J363" i="1"/>
  <c r="L363" i="1" s="1"/>
  <c r="J582" i="1"/>
  <c r="L582" i="1" s="1"/>
  <c r="J620" i="1"/>
  <c r="L620" i="1" s="1"/>
  <c r="J8956" i="1"/>
  <c r="L8956" i="1" s="1"/>
  <c r="J9155" i="1"/>
  <c r="L9155" i="1" s="1"/>
  <c r="J1547" i="1"/>
  <c r="L1547" i="1" s="1"/>
  <c r="J1552" i="1"/>
  <c r="L1552" i="1" s="1"/>
  <c r="J10295" i="1"/>
  <c r="L10295" i="1" s="1"/>
  <c r="J10401" i="1"/>
  <c r="L10401" i="1" s="1"/>
  <c r="J2354" i="1"/>
  <c r="L2354" i="1" s="1"/>
  <c r="J10881" i="1"/>
  <c r="L10881" i="1" s="1"/>
  <c r="J2808" i="1"/>
  <c r="L2808" i="1" s="1"/>
  <c r="J11603" i="1"/>
  <c r="L11603" i="1" s="1"/>
  <c r="J3042" i="1"/>
  <c r="L3042" i="1" s="1"/>
  <c r="J11792" i="1"/>
  <c r="L11792" i="1" s="1"/>
  <c r="J3169" i="1"/>
  <c r="L3169" i="1" s="1"/>
  <c r="J3223" i="1"/>
  <c r="L3223" i="1" s="1"/>
  <c r="J3752" i="1"/>
  <c r="L3752" i="1" s="1"/>
  <c r="J3907" i="1"/>
  <c r="L3907" i="1" s="1"/>
  <c r="J12784" i="1"/>
  <c r="L12784" i="1" s="1"/>
  <c r="J13234" i="1"/>
  <c r="L13234" i="1" s="1"/>
  <c r="J13716" i="1"/>
  <c r="L13716" i="1" s="1"/>
  <c r="J13717" i="1"/>
  <c r="L13717" i="1" s="1"/>
  <c r="J4413" i="1"/>
  <c r="L4413" i="1" s="1"/>
  <c r="J14302" i="1"/>
  <c r="L14302" i="1" s="1"/>
  <c r="J4933" i="1"/>
  <c r="L4933" i="1" s="1"/>
  <c r="J4949" i="1"/>
  <c r="L4949" i="1" s="1"/>
  <c r="J5292" i="1"/>
  <c r="L5292" i="1" s="1"/>
  <c r="J15158" i="1"/>
  <c r="L15158" i="1" s="1"/>
  <c r="J5409" i="1"/>
  <c r="L5409" i="1" s="1"/>
  <c r="J15194" i="1"/>
  <c r="L15194" i="1" s="1"/>
  <c r="J15207" i="1"/>
  <c r="L15207" i="1" s="1"/>
  <c r="J5710" i="1"/>
  <c r="L5710" i="1" s="1"/>
  <c r="J6279" i="1"/>
  <c r="L6279" i="1" s="1"/>
  <c r="J6309" i="1"/>
  <c r="L6309" i="1" s="1"/>
  <c r="J6452" i="1"/>
  <c r="L6452" i="1" s="1"/>
  <c r="J6458" i="1"/>
  <c r="L6458" i="1" s="1"/>
  <c r="J16436" i="1"/>
  <c r="L16436" i="1" s="1"/>
  <c r="J6654" i="1"/>
  <c r="L6654" i="1" s="1"/>
  <c r="J16858" i="1"/>
  <c r="L16858" i="1" s="1"/>
  <c r="J6755" i="1"/>
  <c r="L6755" i="1" s="1"/>
  <c r="J16979" i="1"/>
  <c r="L16979" i="1" s="1"/>
  <c r="J16991" i="1"/>
  <c r="L16991" i="1" s="1"/>
  <c r="J16992" i="1"/>
  <c r="L16992" i="1" s="1"/>
  <c r="J16996" i="1"/>
  <c r="L16996" i="1" s="1"/>
  <c r="J6825" i="1"/>
  <c r="L6825" i="1" s="1"/>
  <c r="J17068" i="1"/>
  <c r="L17068" i="1" s="1"/>
  <c r="J17070" i="1"/>
  <c r="L17070" i="1" s="1"/>
  <c r="J17080" i="1"/>
  <c r="L17080" i="1" s="1"/>
  <c r="J17137" i="1"/>
  <c r="L17137" i="1" s="1"/>
  <c r="J17174" i="1"/>
  <c r="L17174" i="1" s="1"/>
  <c r="J207" i="1"/>
  <c r="L207" i="1" s="1"/>
  <c r="J8089" i="1"/>
  <c r="L8089" i="1" s="1"/>
  <c r="J290" i="1"/>
  <c r="L290" i="1" s="1"/>
  <c r="J360" i="1"/>
  <c r="L360" i="1" s="1"/>
  <c r="J580" i="1"/>
  <c r="L580" i="1" s="1"/>
  <c r="J8429" i="1"/>
  <c r="L8429" i="1" s="1"/>
  <c r="J8556" i="1"/>
  <c r="L8556" i="1" s="1"/>
  <c r="J8560" i="1"/>
  <c r="L8560" i="1" s="1"/>
  <c r="J765" i="1"/>
  <c r="L765" i="1" s="1"/>
  <c r="J8798" i="1"/>
  <c r="L8798" i="1" s="1"/>
  <c r="J1011" i="1"/>
  <c r="L1011" i="1" s="1"/>
  <c r="J1361" i="1"/>
  <c r="L1361" i="1" s="1"/>
  <c r="J9361" i="1"/>
  <c r="L9361" i="1" s="1"/>
  <c r="J9518" i="1"/>
  <c r="L9518" i="1" s="1"/>
  <c r="J1876" i="1"/>
  <c r="L1876" i="1" s="1"/>
  <c r="J9767" i="1"/>
  <c r="L9767" i="1" s="1"/>
  <c r="J9769" i="1"/>
  <c r="L9769" i="1" s="1"/>
  <c r="J10074" i="1"/>
  <c r="L10074" i="1" s="1"/>
  <c r="J2260" i="1"/>
  <c r="L2260" i="1" s="1"/>
  <c r="J2374" i="1"/>
  <c r="L2374" i="1" s="1"/>
  <c r="J2707" i="1"/>
  <c r="L2707" i="1" s="1"/>
  <c r="J2876" i="1"/>
  <c r="L2876" i="1" s="1"/>
  <c r="J3077" i="1"/>
  <c r="L3077" i="1" s="1"/>
  <c r="J12339" i="1"/>
  <c r="L12339" i="1" s="1"/>
  <c r="J3765" i="1"/>
  <c r="L3765" i="1" s="1"/>
  <c r="J3777" i="1"/>
  <c r="L3777" i="1" s="1"/>
  <c r="J12540" i="1"/>
  <c r="L12540" i="1" s="1"/>
  <c r="J12702" i="1"/>
  <c r="L12702" i="1" s="1"/>
  <c r="J3913" i="1"/>
  <c r="L3913" i="1" s="1"/>
  <c r="J3922" i="1"/>
  <c r="L3922" i="1" s="1"/>
  <c r="J3935" i="1"/>
  <c r="L3935" i="1" s="1"/>
  <c r="J4029" i="1"/>
  <c r="L4029" i="1" s="1"/>
  <c r="J13486" i="1"/>
  <c r="L13486" i="1" s="1"/>
  <c r="J13503" i="1"/>
  <c r="L13503" i="1" s="1"/>
  <c r="J4356" i="1"/>
  <c r="L4356" i="1" s="1"/>
  <c r="J13628" i="1"/>
  <c r="L13628" i="1" s="1"/>
  <c r="J13629" i="1"/>
  <c r="L13629" i="1" s="1"/>
  <c r="J13647" i="1"/>
  <c r="L13647" i="1" s="1"/>
  <c r="J13685" i="1"/>
  <c r="L13685" i="1" s="1"/>
  <c r="J13715" i="1"/>
  <c r="L13715" i="1" s="1"/>
  <c r="J4528" i="1"/>
  <c r="L4528" i="1" s="1"/>
  <c r="J4959" i="1"/>
  <c r="L4959" i="1" s="1"/>
  <c r="J4998" i="1"/>
  <c r="L4998" i="1" s="1"/>
  <c r="J14827" i="1"/>
  <c r="L14827" i="1" s="1"/>
  <c r="J5015" i="1"/>
  <c r="L5015" i="1" s="1"/>
  <c r="J5247" i="1"/>
  <c r="L5247" i="1" s="1"/>
  <c r="J5250" i="1"/>
  <c r="L5250" i="1" s="1"/>
  <c r="J5278" i="1"/>
  <c r="L5278" i="1" s="1"/>
  <c r="J5368" i="1"/>
  <c r="L5368" i="1" s="1"/>
  <c r="J5410" i="1"/>
  <c r="L5410" i="1" s="1"/>
  <c r="J5421" i="1"/>
  <c r="L5421" i="1" s="1"/>
  <c r="J5470" i="1"/>
  <c r="L5470" i="1" s="1"/>
  <c r="J15285" i="1"/>
  <c r="L15285" i="1" s="1"/>
  <c r="J5526" i="1"/>
  <c r="L5526" i="1" s="1"/>
  <c r="J15437" i="1"/>
  <c r="L15437" i="1" s="1"/>
  <c r="J15660" i="1"/>
  <c r="L15660" i="1" s="1"/>
  <c r="J15743" i="1"/>
  <c r="L15743" i="1" s="1"/>
  <c r="J15793" i="1"/>
  <c r="L15793" i="1" s="1"/>
  <c r="J15805" i="1"/>
  <c r="L15805" i="1" s="1"/>
  <c r="J5876" i="1"/>
  <c r="L5876" i="1" s="1"/>
  <c r="J15823" i="1"/>
  <c r="L15823" i="1" s="1"/>
  <c r="J6111" i="1"/>
  <c r="L6111" i="1" s="1"/>
  <c r="J6286" i="1"/>
  <c r="L6286" i="1" s="1"/>
  <c r="J6291" i="1"/>
  <c r="L6291" i="1" s="1"/>
  <c r="J16144" i="1"/>
  <c r="L16144" i="1" s="1"/>
  <c r="J6408" i="1"/>
  <c r="L6408" i="1" s="1"/>
  <c r="J6454" i="1"/>
  <c r="L6454" i="1" s="1"/>
  <c r="J6552" i="1"/>
  <c r="L6552" i="1" s="1"/>
  <c r="J6588" i="1"/>
  <c r="L6588" i="1" s="1"/>
  <c r="J6746" i="1"/>
  <c r="L6746" i="1" s="1"/>
  <c r="E35" i="4" s="1"/>
  <c r="J16805" i="1"/>
  <c r="L16805" i="1" s="1"/>
  <c r="J16977" i="1"/>
  <c r="L16977" i="1" s="1"/>
  <c r="J16978" i="1"/>
  <c r="L16978" i="1" s="1"/>
  <c r="J16995" i="1"/>
  <c r="L16995" i="1" s="1"/>
  <c r="J17002" i="1"/>
  <c r="L17002" i="1" s="1"/>
  <c r="J17124" i="1"/>
  <c r="L17124" i="1" s="1"/>
  <c r="J7215" i="1"/>
  <c r="L7215" i="1" s="1"/>
  <c r="J28" i="1"/>
  <c r="L28" i="1" s="1"/>
  <c r="E27" i="2" s="1"/>
  <c r="J7663" i="1"/>
  <c r="L7663" i="1" s="1"/>
  <c r="J8035" i="1"/>
  <c r="L8035" i="1" s="1"/>
  <c r="J285" i="1"/>
  <c r="L285" i="1" s="1"/>
  <c r="J8380" i="1"/>
  <c r="L8380" i="1" s="1"/>
  <c r="J513" i="1"/>
  <c r="L513" i="1" s="1"/>
  <c r="J541" i="1"/>
  <c r="L541" i="1" s="1"/>
  <c r="J8501" i="1"/>
  <c r="L8501" i="1" s="1"/>
  <c r="J8511" i="1"/>
  <c r="L8511" i="1" s="1"/>
  <c r="J9158" i="1"/>
  <c r="L9158" i="1" s="1"/>
  <c r="J1413" i="1"/>
  <c r="L1413" i="1" s="1"/>
  <c r="J1564" i="1"/>
  <c r="L1564" i="1" s="1"/>
  <c r="J1566" i="1"/>
  <c r="L1566" i="1" s="1"/>
  <c r="J1734" i="1"/>
  <c r="L1734" i="1" s="1"/>
  <c r="J1928" i="1"/>
  <c r="L1928" i="1" s="1"/>
  <c r="J10154" i="1"/>
  <c r="L10154" i="1" s="1"/>
  <c r="J2261" i="1"/>
  <c r="L2261" i="1" s="1"/>
  <c r="J2269" i="1"/>
  <c r="L2269" i="1" s="1"/>
  <c r="J10393" i="1"/>
  <c r="L10393" i="1" s="1"/>
  <c r="J2737" i="1"/>
  <c r="L2737" i="1" s="1"/>
  <c r="J11052" i="1"/>
  <c r="L11052" i="1" s="1"/>
  <c r="J2759" i="1"/>
  <c r="L2759" i="1" s="1"/>
  <c r="J11339" i="1"/>
  <c r="L11339" i="1" s="1"/>
  <c r="J11376" i="1"/>
  <c r="L11376" i="1" s="1"/>
  <c r="J2820" i="1"/>
  <c r="L2820" i="1" s="1"/>
  <c r="J3032" i="1"/>
  <c r="L3032" i="1" s="1"/>
  <c r="J3122" i="1"/>
  <c r="L3122" i="1" s="1"/>
  <c r="J11802" i="1"/>
  <c r="L11802" i="1" s="1"/>
  <c r="J3371" i="1"/>
  <c r="L3371" i="1" s="1"/>
  <c r="J3557" i="1"/>
  <c r="L3557" i="1" s="1"/>
  <c r="J12622" i="1"/>
  <c r="L12622" i="1" s="1"/>
  <c r="J4032" i="1"/>
  <c r="L4032" i="1" s="1"/>
  <c r="J13452" i="1"/>
  <c r="L13452" i="1" s="1"/>
  <c r="J13453" i="1"/>
  <c r="L13453" i="1" s="1"/>
  <c r="J13497" i="1"/>
  <c r="L13497" i="1" s="1"/>
  <c r="J13623" i="1"/>
  <c r="L13623" i="1" s="1"/>
  <c r="J13704" i="1"/>
  <c r="L13704" i="1" s="1"/>
  <c r="J4739" i="1"/>
  <c r="L4739" i="1" s="1"/>
  <c r="J4804" i="1"/>
  <c r="L4804" i="1" s="1"/>
  <c r="J4893" i="1"/>
  <c r="L4893" i="1" s="1"/>
  <c r="J4897" i="1"/>
  <c r="L4897" i="1" s="1"/>
  <c r="J4940" i="1"/>
  <c r="L4940" i="1" s="1"/>
  <c r="J4967" i="1"/>
  <c r="L4967" i="1" s="1"/>
  <c r="J14774" i="1"/>
  <c r="L14774" i="1" s="1"/>
  <c r="J5372" i="1"/>
  <c r="L5372" i="1" s="1"/>
  <c r="J15196" i="1"/>
  <c r="L15196" i="1" s="1"/>
  <c r="J15502" i="1"/>
  <c r="L15502" i="1" s="1"/>
  <c r="J6300" i="1"/>
  <c r="L6300" i="1" s="1"/>
  <c r="J6502" i="1"/>
  <c r="L6502" i="1" s="1"/>
  <c r="J16618" i="1"/>
  <c r="L16618" i="1" s="1"/>
  <c r="J16843" i="1"/>
  <c r="L16843" i="1" s="1"/>
  <c r="J16971" i="1"/>
  <c r="L16971" i="1" s="1"/>
  <c r="J16972" i="1"/>
  <c r="L16972" i="1" s="1"/>
  <c r="J16973" i="1"/>
  <c r="L16973" i="1" s="1"/>
  <c r="J16974" i="1"/>
  <c r="L16974" i="1" s="1"/>
  <c r="J16975" i="1"/>
  <c r="L16975" i="1" s="1"/>
  <c r="J16976" i="1"/>
  <c r="L16976" i="1" s="1"/>
  <c r="J16989" i="1"/>
  <c r="L16989" i="1" s="1"/>
  <c r="J6830" i="1"/>
  <c r="L6830" i="1" s="1"/>
  <c r="J113" i="1"/>
  <c r="L113" i="1" s="1"/>
  <c r="J115" i="1"/>
  <c r="L115" i="1" s="1"/>
  <c r="J256" i="1"/>
  <c r="L256" i="1" s="1"/>
  <c r="J289" i="1"/>
  <c r="L289" i="1" s="1"/>
  <c r="J347" i="1"/>
  <c r="L347" i="1" s="1"/>
  <c r="J481" i="1"/>
  <c r="L481" i="1" s="1"/>
  <c r="J598" i="1"/>
  <c r="L598" i="1" s="1"/>
  <c r="J8421" i="1"/>
  <c r="L8421" i="1" s="1"/>
  <c r="J608" i="1"/>
  <c r="L608" i="1" s="1"/>
  <c r="J8518" i="1"/>
  <c r="L8518" i="1" s="1"/>
  <c r="J8558" i="1"/>
  <c r="L8558" i="1" s="1"/>
  <c r="J8562" i="1"/>
  <c r="L8562" i="1" s="1"/>
  <c r="J688" i="1"/>
  <c r="L688" i="1" s="1"/>
  <c r="J790" i="1"/>
  <c r="L790" i="1" s="1"/>
  <c r="J8792" i="1"/>
  <c r="L8792" i="1" s="1"/>
  <c r="J1377" i="1"/>
  <c r="L1377" i="1" s="1"/>
  <c r="J9395" i="1"/>
  <c r="L9395" i="1" s="1"/>
  <c r="J2058" i="1"/>
  <c r="L2058" i="1" s="1"/>
  <c r="J10141" i="1"/>
  <c r="L10141" i="1" s="1"/>
  <c r="J10142" i="1"/>
  <c r="L10142" i="1" s="1"/>
  <c r="J11051" i="1"/>
  <c r="L11051" i="1" s="1"/>
  <c r="J11295" i="1"/>
  <c r="L11295" i="1" s="1"/>
  <c r="J11734" i="1"/>
  <c r="L11734" i="1" s="1"/>
  <c r="J11783" i="1"/>
  <c r="L11783" i="1" s="1"/>
  <c r="J11784" i="1"/>
  <c r="L11784" i="1" s="1"/>
  <c r="J11786" i="1"/>
  <c r="L11786" i="1" s="1"/>
  <c r="J11789" i="1"/>
  <c r="L11789" i="1" s="1"/>
  <c r="J11790" i="1"/>
  <c r="L11790" i="1" s="1"/>
  <c r="J3196" i="1"/>
  <c r="L3196" i="1" s="1"/>
  <c r="J3392" i="1"/>
  <c r="L3392" i="1" s="1"/>
  <c r="J3906" i="1"/>
  <c r="L3906" i="1" s="1"/>
  <c r="J3912" i="1"/>
  <c r="L3912" i="1" s="1"/>
  <c r="J4195" i="1"/>
  <c r="L4195" i="1" s="1"/>
  <c r="J13456" i="1"/>
  <c r="L13456" i="1" s="1"/>
  <c r="J13646" i="1"/>
  <c r="L13646" i="1" s="1"/>
  <c r="J4966" i="1"/>
  <c r="L4966" i="1" s="1"/>
  <c r="J14726" i="1"/>
  <c r="L14726" i="1" s="1"/>
  <c r="J14831" i="1"/>
  <c r="L14831" i="1" s="1"/>
  <c r="J5030" i="1"/>
  <c r="L5030" i="1" s="1"/>
  <c r="J5073" i="1"/>
  <c r="L5073" i="1" s="1"/>
  <c r="J15154" i="1"/>
  <c r="L15154" i="1" s="1"/>
  <c r="J15202" i="1"/>
  <c r="L15202" i="1" s="1"/>
  <c r="J6153" i="1"/>
  <c r="L6153" i="1" s="1"/>
  <c r="J6290" i="1"/>
  <c r="L6290" i="1" s="1"/>
  <c r="J6298" i="1"/>
  <c r="L6298" i="1" s="1"/>
  <c r="J6398" i="1"/>
  <c r="L6398" i="1" s="1"/>
  <c r="J6620" i="1"/>
  <c r="L6620" i="1" s="1"/>
  <c r="J16806" i="1"/>
  <c r="L16806" i="1" s="1"/>
  <c r="J6751" i="1"/>
  <c r="L6751" i="1" s="1"/>
  <c r="J16970" i="1"/>
  <c r="L16970" i="1" s="1"/>
  <c r="J16987" i="1"/>
  <c r="L16987" i="1" s="1"/>
  <c r="J16988" i="1"/>
  <c r="L16988" i="1" s="1"/>
  <c r="J16993" i="1"/>
  <c r="L16993" i="1" s="1"/>
  <c r="J16994" i="1"/>
  <c r="L16994" i="1" s="1"/>
  <c r="J17022" i="1"/>
  <c r="L17022" i="1" s="1"/>
  <c r="J17055" i="1"/>
  <c r="L17055" i="1" s="1"/>
  <c r="J7766" i="1"/>
  <c r="L7766" i="1" s="1"/>
  <c r="J220" i="1"/>
  <c r="L220" i="1" s="1"/>
  <c r="J8379" i="1"/>
  <c r="L8379" i="1" s="1"/>
  <c r="J540" i="1"/>
  <c r="L540" i="1" s="1"/>
  <c r="J639" i="1"/>
  <c r="L639" i="1" s="1"/>
  <c r="J8516" i="1"/>
  <c r="L8516" i="1" s="1"/>
  <c r="J8575" i="1"/>
  <c r="L8575" i="1" s="1"/>
  <c r="J766" i="1"/>
  <c r="L766" i="1" s="1"/>
  <c r="J949" i="1"/>
  <c r="L949" i="1" s="1"/>
  <c r="J1217" i="1"/>
  <c r="L1217" i="1" s="1"/>
  <c r="J1533" i="1"/>
  <c r="L1533" i="1" s="1"/>
  <c r="J1996" i="1"/>
  <c r="L1996" i="1" s="1"/>
  <c r="J10412" i="1"/>
  <c r="L10412" i="1" s="1"/>
  <c r="J2379" i="1"/>
  <c r="L2379" i="1" s="1"/>
  <c r="J2814" i="1"/>
  <c r="L2814" i="1" s="1"/>
  <c r="J3006" i="1"/>
  <c r="L3006" i="1" s="1"/>
  <c r="J3114" i="1"/>
  <c r="L3114" i="1" s="1"/>
  <c r="J3205" i="1"/>
  <c r="L3205" i="1" s="1"/>
  <c r="J12106" i="1"/>
  <c r="L12106" i="1" s="1"/>
  <c r="J4248" i="1"/>
  <c r="L4248" i="1" s="1"/>
  <c r="J13684" i="1"/>
  <c r="L13684" i="1" s="1"/>
  <c r="J4415" i="1"/>
  <c r="L4415" i="1" s="1"/>
  <c r="J13805" i="1"/>
  <c r="L13805" i="1" s="1"/>
  <c r="J14312" i="1"/>
  <c r="L14312" i="1" s="1"/>
  <c r="J4889" i="1"/>
  <c r="L4889" i="1" s="1"/>
  <c r="J5026" i="1"/>
  <c r="L5026" i="1" s="1"/>
  <c r="J5031" i="1"/>
  <c r="L5031" i="1" s="1"/>
  <c r="J5215" i="1"/>
  <c r="L5215" i="1" s="1"/>
  <c r="J5277" i="1"/>
  <c r="L5277" i="1" s="1"/>
  <c r="J5487" i="1"/>
  <c r="L5487" i="1" s="1"/>
  <c r="J5537" i="1"/>
  <c r="L5537" i="1" s="1"/>
  <c r="J5568" i="1"/>
  <c r="L5568" i="1" s="1"/>
  <c r="J5571" i="1"/>
  <c r="L5571" i="1" s="1"/>
  <c r="J15570" i="1"/>
  <c r="L15570" i="1" s="1"/>
  <c r="J15905" i="1"/>
  <c r="L15905" i="1" s="1"/>
  <c r="J6267" i="1"/>
  <c r="L6267" i="1" s="1"/>
  <c r="J6272" i="1"/>
  <c r="L6272" i="1" s="1"/>
  <c r="J6317" i="1"/>
  <c r="L6317" i="1" s="1"/>
  <c r="J17054" i="1"/>
  <c r="L17054" i="1" s="1"/>
  <c r="J6829" i="1"/>
  <c r="L6829" i="1" s="1"/>
  <c r="J237" i="1"/>
  <c r="L237" i="1" s="1"/>
  <c r="J8038" i="1"/>
  <c r="L8038" i="1" s="1"/>
  <c r="J354" i="1"/>
  <c r="L354" i="1" s="1"/>
  <c r="J385" i="1"/>
  <c r="L385" i="1" s="1"/>
  <c r="J396" i="1"/>
  <c r="L396" i="1" s="1"/>
  <c r="J403" i="1"/>
  <c r="L403" i="1" s="1"/>
  <c r="J539" i="1"/>
  <c r="L539" i="1" s="1"/>
  <c r="J764" i="1"/>
  <c r="L764" i="1" s="1"/>
  <c r="J8898" i="1"/>
  <c r="L8898" i="1" s="1"/>
  <c r="J953" i="1"/>
  <c r="L953" i="1" s="1"/>
  <c r="F3" i="2" s="1"/>
  <c r="J1729" i="1"/>
  <c r="L1729" i="1" s="1"/>
  <c r="J2023" i="1"/>
  <c r="L2023" i="1" s="1"/>
  <c r="J2768" i="1"/>
  <c r="L2768" i="1" s="1"/>
  <c r="J11276" i="1"/>
  <c r="L11276" i="1" s="1"/>
  <c r="F45" i="3" s="1"/>
  <c r="J2782" i="1"/>
  <c r="L2782" i="1" s="1"/>
  <c r="J2997" i="1"/>
  <c r="L2997" i="1" s="1"/>
  <c r="J3074" i="1"/>
  <c r="L3074" i="1" s="1"/>
  <c r="J11728" i="1"/>
  <c r="L11728" i="1" s="1"/>
  <c r="J3377" i="1"/>
  <c r="L3377" i="1" s="1"/>
  <c r="J4193" i="1"/>
  <c r="L4193" i="1" s="1"/>
  <c r="J4253" i="1"/>
  <c r="L4253" i="1" s="1"/>
  <c r="J4289" i="1"/>
  <c r="L4289" i="1" s="1"/>
  <c r="J13819" i="1"/>
  <c r="L13819" i="1" s="1"/>
  <c r="J13911" i="1"/>
  <c r="L13911" i="1" s="1"/>
  <c r="J4886" i="1"/>
  <c r="L4886" i="1" s="1"/>
  <c r="J5253" i="1"/>
  <c r="L5253" i="1" s="1"/>
  <c r="J5291" i="1"/>
  <c r="L5291" i="1" s="1"/>
  <c r="J5511" i="1"/>
  <c r="L5511" i="1" s="1"/>
  <c r="J5523" i="1"/>
  <c r="L5523" i="1" s="1"/>
  <c r="J5683" i="1"/>
  <c r="L5683" i="1" s="1"/>
  <c r="J5870" i="1"/>
  <c r="L5870" i="1" s="1"/>
  <c r="J6714" i="1"/>
  <c r="L6714" i="1" s="1"/>
  <c r="J17156" i="1"/>
  <c r="L17156" i="1" s="1"/>
  <c r="J7062" i="1"/>
  <c r="L7062" i="1" s="1"/>
  <c r="F4" i="4" s="1"/>
  <c r="J227" i="1"/>
  <c r="L227" i="1" s="1"/>
  <c r="J8030" i="1"/>
  <c r="L8030" i="1" s="1"/>
  <c r="J8258" i="1"/>
  <c r="L8258" i="1" s="1"/>
  <c r="J520" i="1"/>
  <c r="L520" i="1" s="1"/>
  <c r="J8508" i="1"/>
  <c r="L8508" i="1" s="1"/>
  <c r="J665" i="1"/>
  <c r="L665" i="1" s="1"/>
  <c r="J9226" i="1"/>
  <c r="L9226" i="1" s="1"/>
  <c r="J1920" i="1"/>
  <c r="L1920" i="1" s="1"/>
  <c r="J10145" i="1"/>
  <c r="L10145" i="1" s="1"/>
  <c r="J2622" i="1"/>
  <c r="L2622" i="1" s="1"/>
  <c r="J10901" i="1"/>
  <c r="L10901" i="1" s="1"/>
  <c r="J10914" i="1"/>
  <c r="L10914" i="1" s="1"/>
  <c r="J2740" i="1"/>
  <c r="L2740" i="1" s="1"/>
  <c r="F32" i="3" s="1"/>
  <c r="J11338" i="1"/>
  <c r="L11338" i="1" s="1"/>
  <c r="J11375" i="1"/>
  <c r="L11375" i="1" s="1"/>
  <c r="J2899" i="1"/>
  <c r="L2899" i="1" s="1"/>
  <c r="J3148" i="1"/>
  <c r="L3148" i="1" s="1"/>
  <c r="J3228" i="1"/>
  <c r="L3228" i="1" s="1"/>
  <c r="J3246" i="1"/>
  <c r="L3246" i="1" s="1"/>
  <c r="F35" i="3" s="1"/>
  <c r="J3277" i="1"/>
  <c r="L3277" i="1" s="1"/>
  <c r="F19" i="3" s="1"/>
  <c r="J3769" i="1"/>
  <c r="L3769" i="1" s="1"/>
  <c r="J3789" i="1"/>
  <c r="L3789" i="1" s="1"/>
  <c r="J3954" i="1"/>
  <c r="L3954" i="1" s="1"/>
  <c r="J4025" i="1"/>
  <c r="L4025" i="1" s="1"/>
  <c r="J4254" i="1"/>
  <c r="L4254" i="1" s="1"/>
  <c r="J13397" i="1"/>
  <c r="L13397" i="1" s="1"/>
  <c r="J4354" i="1"/>
  <c r="L4354" i="1" s="1"/>
  <c r="J13644" i="1"/>
  <c r="L13644" i="1" s="1"/>
  <c r="J13683" i="1"/>
  <c r="L13683" i="1" s="1"/>
  <c r="J4942" i="1"/>
  <c r="L4942" i="1" s="1"/>
  <c r="F33" i="4" s="1"/>
  <c r="J4955" i="1"/>
  <c r="L4955" i="1" s="1"/>
  <c r="J5017" i="1"/>
  <c r="L5017" i="1" s="1"/>
  <c r="J5023" i="1"/>
  <c r="L5023" i="1" s="1"/>
  <c r="J5115" i="1"/>
  <c r="L5115" i="1" s="1"/>
  <c r="J15011" i="1"/>
  <c r="L15011" i="1" s="1"/>
  <c r="J15024" i="1"/>
  <c r="L15024" i="1" s="1"/>
  <c r="J5570" i="1"/>
  <c r="L5570" i="1" s="1"/>
  <c r="J5867" i="1"/>
  <c r="L5867" i="1" s="1"/>
  <c r="J6140" i="1"/>
  <c r="L6140" i="1" s="1"/>
  <c r="J16990" i="1"/>
  <c r="L16990" i="1" s="1"/>
  <c r="J6954" i="1"/>
  <c r="L6954" i="1" s="1"/>
  <c r="J510" i="1"/>
  <c r="L510" i="1" s="1"/>
  <c r="J654" i="1"/>
  <c r="L654" i="1" s="1"/>
  <c r="J1563" i="1"/>
  <c r="L1563" i="1" s="1"/>
  <c r="J1573" i="1"/>
  <c r="L1573" i="1" s="1"/>
  <c r="J9980" i="1"/>
  <c r="L9980" i="1" s="1"/>
  <c r="J10041" i="1"/>
  <c r="L10041" i="1" s="1"/>
  <c r="J2063" i="1"/>
  <c r="L2063" i="1" s="1"/>
  <c r="J10489" i="1"/>
  <c r="L10489" i="1" s="1"/>
  <c r="J2869" i="1"/>
  <c r="L2869" i="1" s="1"/>
  <c r="J2896" i="1"/>
  <c r="L2896" i="1" s="1"/>
  <c r="J2994" i="1"/>
  <c r="L2994" i="1" s="1"/>
  <c r="J3459" i="1"/>
  <c r="L3459" i="1" s="1"/>
  <c r="F8" i="3" s="1"/>
  <c r="J3793" i="1"/>
  <c r="L3793" i="1" s="1"/>
  <c r="J3930" i="1"/>
  <c r="L3930" i="1" s="1"/>
  <c r="J13664" i="1"/>
  <c r="L13664" i="1" s="1"/>
  <c r="J4577" i="1"/>
  <c r="L4577" i="1" s="1"/>
  <c r="F4" i="3" s="1"/>
  <c r="J4757" i="1"/>
  <c r="L4757" i="1" s="1"/>
  <c r="J4837" i="1"/>
  <c r="L4837" i="1" s="1"/>
  <c r="J14326" i="1"/>
  <c r="L14326" i="1" s="1"/>
  <c r="F27" i="4" s="1"/>
  <c r="J4890" i="1"/>
  <c r="L4890" i="1" s="1"/>
  <c r="J15037" i="1"/>
  <c r="L15037" i="1" s="1"/>
  <c r="J15160" i="1"/>
  <c r="L15160" i="1" s="1"/>
  <c r="J5513" i="1"/>
  <c r="L5513" i="1" s="1"/>
  <c r="J5515" i="1"/>
  <c r="L5515" i="1" s="1"/>
  <c r="J5516" i="1"/>
  <c r="L5516" i="1" s="1"/>
  <c r="J6122" i="1"/>
  <c r="L6122" i="1" s="1"/>
  <c r="J16674" i="1"/>
  <c r="L16674" i="1" s="1"/>
  <c r="J17020" i="1"/>
  <c r="L17020" i="1" s="1"/>
  <c r="J8054" i="1"/>
  <c r="L8054" i="1" s="1"/>
  <c r="J538" i="1"/>
  <c r="L538" i="1" s="1"/>
  <c r="J8907" i="1"/>
  <c r="L8907" i="1" s="1"/>
  <c r="J9149" i="1"/>
  <c r="L9149" i="1" s="1"/>
  <c r="J1386" i="1"/>
  <c r="L1386" i="1" s="1"/>
  <c r="J9345" i="1"/>
  <c r="L9345" i="1" s="1"/>
  <c r="J1538" i="1"/>
  <c r="L1538" i="1" s="1"/>
  <c r="J1787" i="1"/>
  <c r="L1787" i="1" s="1"/>
  <c r="F38" i="2" s="1"/>
  <c r="J1905" i="1"/>
  <c r="L1905" i="1" s="1"/>
  <c r="J1922" i="1"/>
  <c r="L1922" i="1" s="1"/>
  <c r="J1953" i="1"/>
  <c r="L1953" i="1" s="1"/>
  <c r="J10080" i="1"/>
  <c r="L10080" i="1" s="1"/>
  <c r="J2062" i="1"/>
  <c r="L2062" i="1" s="1"/>
  <c r="J2134" i="1"/>
  <c r="L2134" i="1" s="1"/>
  <c r="J2137" i="1"/>
  <c r="L2137" i="1" s="1"/>
  <c r="J11374" i="1"/>
  <c r="L11374" i="1" s="1"/>
  <c r="J2888" i="1"/>
  <c r="L2888" i="1" s="1"/>
  <c r="J3041" i="1"/>
  <c r="L3041" i="1" s="1"/>
  <c r="J11872" i="1"/>
  <c r="L11872" i="1" s="1"/>
  <c r="J3412" i="1"/>
  <c r="L3412" i="1" s="1"/>
  <c r="J12492" i="1"/>
  <c r="L12492" i="1" s="1"/>
  <c r="J3921" i="1"/>
  <c r="L3921" i="1" s="1"/>
  <c r="J3956" i="1"/>
  <c r="L3956" i="1" s="1"/>
  <c r="J4026" i="1"/>
  <c r="L4026" i="1" s="1"/>
  <c r="J4750" i="1"/>
  <c r="L4750" i="1" s="1"/>
  <c r="F23" i="4" s="1"/>
  <c r="J14290" i="1"/>
  <c r="L14290" i="1" s="1"/>
  <c r="J4958" i="1"/>
  <c r="L4958" i="1" s="1"/>
  <c r="J5240" i="1"/>
  <c r="L5240" i="1" s="1"/>
  <c r="J5321" i="1"/>
  <c r="L5321" i="1" s="1"/>
  <c r="J5402" i="1"/>
  <c r="L5402" i="1" s="1"/>
  <c r="J5422" i="1"/>
  <c r="L5422" i="1" s="1"/>
  <c r="J15193" i="1"/>
  <c r="L15193" i="1" s="1"/>
  <c r="J15195" i="1"/>
  <c r="L15195" i="1" s="1"/>
  <c r="J5763" i="1"/>
  <c r="L5763" i="1" s="1"/>
  <c r="F7" i="4" s="1"/>
  <c r="J15802" i="1"/>
  <c r="L15802" i="1" s="1"/>
  <c r="J6316" i="1"/>
  <c r="L6316" i="1" s="1"/>
  <c r="J6457" i="1"/>
  <c r="L6457" i="1" s="1"/>
  <c r="J16709" i="1"/>
  <c r="L16709" i="1" s="1"/>
  <c r="J6760" i="1"/>
  <c r="L6760" i="1" s="1"/>
  <c r="J108" i="1"/>
  <c r="L108" i="1" s="1"/>
  <c r="J7703" i="1"/>
  <c r="L7703" i="1" s="1"/>
  <c r="F27" i="2" s="1"/>
  <c r="J8139" i="1"/>
  <c r="L8139" i="1" s="1"/>
  <c r="J292" i="1"/>
  <c r="L292" i="1" s="1"/>
  <c r="J524" i="1"/>
  <c r="L524" i="1" s="1"/>
  <c r="J724" i="1"/>
  <c r="L724" i="1" s="1"/>
  <c r="J748" i="1"/>
  <c r="L748" i="1" s="1"/>
  <c r="J8960" i="1"/>
  <c r="L8960" i="1" s="1"/>
  <c r="J9152" i="1"/>
  <c r="L9152" i="1" s="1"/>
  <c r="J9156" i="1"/>
  <c r="L9156" i="1" s="1"/>
  <c r="J9163" i="1"/>
  <c r="L9163" i="1" s="1"/>
  <c r="J1532" i="1"/>
  <c r="L1532" i="1" s="1"/>
  <c r="J9551" i="1"/>
  <c r="L9551" i="1" s="1"/>
  <c r="J1921" i="1"/>
  <c r="L1921" i="1" s="1"/>
  <c r="J10390" i="1"/>
  <c r="L10390" i="1" s="1"/>
  <c r="J2569" i="1"/>
  <c r="L2569" i="1" s="1"/>
  <c r="J10911" i="1"/>
  <c r="L10911" i="1" s="1"/>
  <c r="J2758" i="1"/>
  <c r="L2758" i="1" s="1"/>
  <c r="J11372" i="1"/>
  <c r="L11372" i="1" s="1"/>
  <c r="J11373" i="1"/>
  <c r="L11373" i="1" s="1"/>
  <c r="J11739" i="1"/>
  <c r="L11739" i="1" s="1"/>
  <c r="J11809" i="1"/>
  <c r="L11809" i="1" s="1"/>
  <c r="J3388" i="1"/>
  <c r="L3388" i="1" s="1"/>
  <c r="J3781" i="1"/>
  <c r="L3781" i="1" s="1"/>
  <c r="J4930" i="1"/>
  <c r="L4930" i="1" s="1"/>
  <c r="J5032" i="1"/>
  <c r="L5032" i="1" s="1"/>
  <c r="J5085" i="1"/>
  <c r="L5085" i="1" s="1"/>
  <c r="J5101" i="1"/>
  <c r="L5101" i="1" s="1"/>
  <c r="J15151" i="1"/>
  <c r="L15151" i="1" s="1"/>
  <c r="J15199" i="1"/>
  <c r="L15199" i="1" s="1"/>
  <c r="J15508" i="1"/>
  <c r="L15508" i="1" s="1"/>
  <c r="J5670" i="1"/>
  <c r="L5670" i="1" s="1"/>
  <c r="J5709" i="1"/>
  <c r="L5709" i="1" s="1"/>
  <c r="J5942" i="1"/>
  <c r="L5942" i="1" s="1"/>
  <c r="J14" i="1"/>
  <c r="L14" i="1" s="1"/>
  <c r="J23" i="1"/>
  <c r="L23" i="1" s="1"/>
  <c r="J178" i="1"/>
  <c r="L178" i="1" s="1"/>
  <c r="J480" i="1"/>
  <c r="L480" i="1" s="1"/>
  <c r="J624" i="1"/>
  <c r="L624" i="1" s="1"/>
  <c r="J962" i="1"/>
  <c r="L962" i="1" s="1"/>
  <c r="F5" i="2" s="1"/>
  <c r="J10040" i="1"/>
  <c r="L10040" i="1" s="1"/>
  <c r="J2024" i="1"/>
  <c r="L2024" i="1" s="1"/>
  <c r="J2116" i="1"/>
  <c r="L2116" i="1" s="1"/>
  <c r="J2250" i="1"/>
  <c r="L2250" i="1" s="1"/>
  <c r="J10361" i="1"/>
  <c r="L10361" i="1" s="1"/>
  <c r="J10366" i="1"/>
  <c r="L10366" i="1" s="1"/>
  <c r="J10769" i="1"/>
  <c r="L10769" i="1" s="1"/>
  <c r="J3771" i="1"/>
  <c r="L3771" i="1" s="1"/>
  <c r="J13367" i="1"/>
  <c r="L13367" i="1" s="1"/>
  <c r="J13655" i="1"/>
  <c r="L13655" i="1" s="1"/>
  <c r="J4425" i="1"/>
  <c r="L4425" i="1" s="1"/>
  <c r="J4530" i="1"/>
  <c r="L4530" i="1" s="1"/>
  <c r="J4537" i="1"/>
  <c r="L4537" i="1" s="1"/>
  <c r="F33" i="3" s="1"/>
  <c r="J5102" i="1"/>
  <c r="L5102" i="1" s="1"/>
  <c r="J5200" i="1"/>
  <c r="L5200" i="1" s="1"/>
  <c r="J5377" i="1"/>
  <c r="L5377" i="1" s="1"/>
  <c r="J15197" i="1"/>
  <c r="L15197" i="1" s="1"/>
  <c r="J5512" i="1"/>
  <c r="L5512" i="1" s="1"/>
  <c r="J5514" i="1"/>
  <c r="L5514" i="1" s="1"/>
  <c r="J6119" i="1"/>
  <c r="L6119" i="1" s="1"/>
  <c r="J6266" i="1"/>
  <c r="L6266" i="1" s="1"/>
  <c r="J6287" i="1"/>
  <c r="L6287" i="1" s="1"/>
  <c r="J6757" i="1"/>
  <c r="L6757" i="1" s="1"/>
  <c r="J17005" i="1"/>
  <c r="L17005" i="1" s="1"/>
  <c r="J6955" i="1"/>
  <c r="L6955" i="1" s="1"/>
  <c r="J8517" i="1"/>
  <c r="L8517" i="1" s="1"/>
  <c r="J775" i="1"/>
  <c r="L775" i="1" s="1"/>
  <c r="J1017" i="1"/>
  <c r="L1017" i="1" s="1"/>
  <c r="F8" i="2" s="1"/>
  <c r="J9277" i="1"/>
  <c r="L9277" i="1" s="1"/>
  <c r="J1567" i="1"/>
  <c r="L1567" i="1" s="1"/>
  <c r="J1582" i="1"/>
  <c r="L1582" i="1" s="1"/>
  <c r="J1674" i="1"/>
  <c r="L1674" i="1" s="1"/>
  <c r="J1786" i="1"/>
  <c r="L1786" i="1" s="1"/>
  <c r="J1954" i="1"/>
  <c r="L1954" i="1" s="1"/>
  <c r="J2263" i="1"/>
  <c r="L2263" i="1" s="1"/>
  <c r="J2708" i="1"/>
  <c r="L2708" i="1" s="1"/>
  <c r="J3012" i="1"/>
  <c r="L3012" i="1" s="1"/>
  <c r="J12374" i="1"/>
  <c r="L12374" i="1" s="1"/>
  <c r="J3933" i="1"/>
  <c r="L3933" i="1" s="1"/>
  <c r="J4038" i="1"/>
  <c r="L4038" i="1" s="1"/>
  <c r="J4715" i="1"/>
  <c r="L4715" i="1" s="1"/>
  <c r="F7" i="3" s="1"/>
  <c r="J13968" i="1"/>
  <c r="L13968" i="1" s="1"/>
  <c r="J4884" i="1"/>
  <c r="L4884" i="1" s="1"/>
  <c r="J5024" i="1"/>
  <c r="L5024" i="1" s="1"/>
  <c r="J5078" i="1"/>
  <c r="L5078" i="1" s="1"/>
  <c r="J5343" i="1"/>
  <c r="L5343" i="1" s="1"/>
  <c r="J5510" i="1"/>
  <c r="L5510" i="1" s="1"/>
  <c r="J5564" i="1"/>
  <c r="L5564" i="1" s="1"/>
  <c r="F19" i="4" s="1"/>
  <c r="J6099" i="1"/>
  <c r="L6099" i="1" s="1"/>
  <c r="J15983" i="1"/>
  <c r="L15983" i="1" s="1"/>
  <c r="J6284" i="1"/>
  <c r="L6284" i="1" s="1"/>
  <c r="J17044" i="1"/>
  <c r="L17044" i="1" s="1"/>
  <c r="J160" i="1"/>
  <c r="L160" i="1" s="1"/>
  <c r="J8500" i="1"/>
  <c r="L8500" i="1" s="1"/>
  <c r="J657" i="1"/>
  <c r="L657" i="1" s="1"/>
  <c r="J9141" i="1"/>
  <c r="L9141" i="1" s="1"/>
  <c r="J2068" i="1"/>
  <c r="L2068" i="1" s="1"/>
  <c r="J2133" i="1"/>
  <c r="L2133" i="1" s="1"/>
  <c r="J11048" i="1"/>
  <c r="L11048" i="1" s="1"/>
  <c r="J2765" i="1"/>
  <c r="L2765" i="1" s="1"/>
  <c r="J11371" i="1"/>
  <c r="L11371" i="1" s="1"/>
  <c r="J3150" i="1"/>
  <c r="L3150" i="1" s="1"/>
  <c r="J3153" i="1"/>
  <c r="L3153" i="1" s="1"/>
  <c r="J3158" i="1"/>
  <c r="L3158" i="1" s="1"/>
  <c r="J3226" i="1"/>
  <c r="L3226" i="1" s="1"/>
  <c r="J12474" i="1"/>
  <c r="L12474" i="1" s="1"/>
  <c r="J3920" i="1"/>
  <c r="L3920" i="1" s="1"/>
  <c r="J4281" i="1"/>
  <c r="L4281" i="1" s="1"/>
  <c r="J14720" i="1"/>
  <c r="L14720" i="1" s="1"/>
  <c r="J5324" i="1"/>
  <c r="L5324" i="1" s="1"/>
  <c r="J5415" i="1"/>
  <c r="L5415" i="1" s="1"/>
  <c r="J5497" i="1"/>
  <c r="L5497" i="1" s="1"/>
  <c r="J15820" i="1"/>
  <c r="L15820" i="1" s="1"/>
  <c r="J15996" i="1"/>
  <c r="L15996" i="1" s="1"/>
  <c r="J6296" i="1"/>
  <c r="L6296" i="1" s="1"/>
  <c r="J6648" i="1"/>
  <c r="L6648" i="1" s="1"/>
  <c r="J17123" i="1"/>
  <c r="L17123" i="1" s="1"/>
  <c r="J7705" i="1"/>
  <c r="L7705" i="1" s="1"/>
  <c r="J162" i="1"/>
  <c r="L162" i="1" s="1"/>
  <c r="J8053" i="1"/>
  <c r="L8053" i="1" s="1"/>
  <c r="J496" i="1"/>
  <c r="L496" i="1" s="1"/>
  <c r="J1397" i="1"/>
  <c r="L1397" i="1" s="1"/>
  <c r="J9356" i="1"/>
  <c r="L9356" i="1" s="1"/>
  <c r="J9436" i="1"/>
  <c r="L9436" i="1" s="1"/>
  <c r="J1553" i="1"/>
  <c r="L1553" i="1" s="1"/>
  <c r="J2254" i="1"/>
  <c r="L2254" i="1" s="1"/>
  <c r="J2651" i="1"/>
  <c r="L2651" i="1" s="1"/>
  <c r="J2652" i="1"/>
  <c r="L2652" i="1" s="1"/>
  <c r="J2664" i="1"/>
  <c r="L2664" i="1" s="1"/>
  <c r="J11337" i="1"/>
  <c r="L11337" i="1" s="1"/>
  <c r="J3413" i="1"/>
  <c r="L3413" i="1" s="1"/>
  <c r="J12609" i="1"/>
  <c r="L12609" i="1" s="1"/>
  <c r="J13316" i="1"/>
  <c r="L13316" i="1" s="1"/>
  <c r="J13396" i="1"/>
  <c r="L13396" i="1" s="1"/>
  <c r="J13502" i="1"/>
  <c r="L13502" i="1" s="1"/>
  <c r="J13663" i="1"/>
  <c r="L13663" i="1" s="1"/>
  <c r="J13846" i="1"/>
  <c r="L13846" i="1" s="1"/>
  <c r="J14301" i="1"/>
  <c r="L14301" i="1" s="1"/>
  <c r="J5376" i="1"/>
  <c r="L5376" i="1" s="1"/>
  <c r="J15143" i="1"/>
  <c r="L15143" i="1" s="1"/>
  <c r="J5420" i="1"/>
  <c r="L5420" i="1" s="1"/>
  <c r="J5496" i="1"/>
  <c r="L5496" i="1" s="1"/>
  <c r="J5701" i="1"/>
  <c r="L5701" i="1" s="1"/>
  <c r="J6138" i="1"/>
  <c r="L6138" i="1" s="1"/>
  <c r="J6289" i="1"/>
  <c r="L6289" i="1" s="1"/>
  <c r="J6715" i="1"/>
  <c r="L6715" i="1" s="1"/>
  <c r="J17043" i="1"/>
  <c r="L17043" i="1" s="1"/>
  <c r="J6944" i="1"/>
  <c r="L6944" i="1" s="1"/>
  <c r="J17143" i="1"/>
  <c r="L17143" i="1" s="1"/>
  <c r="J15" i="1"/>
  <c r="L15" i="1" s="1"/>
  <c r="J7849" i="1"/>
  <c r="L7849" i="1" s="1"/>
  <c r="J8084" i="1"/>
  <c r="L8084" i="1" s="1"/>
  <c r="G45" i="2" s="1"/>
  <c r="J537" i="1"/>
  <c r="L537" i="1" s="1"/>
  <c r="J662" i="1"/>
  <c r="L662" i="1" s="1"/>
  <c r="J9360" i="1"/>
  <c r="L9360" i="1" s="1"/>
  <c r="J9629" i="1"/>
  <c r="L9629" i="1" s="1"/>
  <c r="J10351" i="1"/>
  <c r="L10351" i="1" s="1"/>
  <c r="J11725" i="1"/>
  <c r="L11725" i="1" s="1"/>
  <c r="J3221" i="1"/>
  <c r="L3221" i="1" s="1"/>
  <c r="J3225" i="1"/>
  <c r="L3225" i="1" s="1"/>
  <c r="J12034" i="1"/>
  <c r="L12034" i="1" s="1"/>
  <c r="J12449" i="1"/>
  <c r="L12449" i="1" s="1"/>
  <c r="J3606" i="1"/>
  <c r="L3606" i="1" s="1"/>
  <c r="J4228" i="1"/>
  <c r="L4228" i="1" s="1"/>
  <c r="J13391" i="1"/>
  <c r="L13391" i="1" s="1"/>
  <c r="J4398" i="1"/>
  <c r="L4398" i="1" s="1"/>
  <c r="J13703" i="1"/>
  <c r="L13703" i="1" s="1"/>
  <c r="J4875" i="1"/>
  <c r="L4875" i="1" s="1"/>
  <c r="J6315" i="1"/>
  <c r="L6315" i="1" s="1"/>
  <c r="J6584" i="1"/>
  <c r="L6584" i="1" s="1"/>
  <c r="J16808" i="1"/>
  <c r="L16808" i="1" s="1"/>
  <c r="J17004" i="1"/>
  <c r="L17004" i="1" s="1"/>
  <c r="J120" i="1"/>
  <c r="L120" i="1" s="1"/>
  <c r="J228" i="1"/>
  <c r="L228" i="1" s="1"/>
  <c r="J8197" i="1"/>
  <c r="L8197" i="1" s="1"/>
  <c r="J8336" i="1"/>
  <c r="L8336" i="1" s="1"/>
  <c r="J8396" i="1"/>
  <c r="L8396" i="1" s="1"/>
  <c r="J908" i="1"/>
  <c r="L908" i="1" s="1"/>
  <c r="J8954" i="1"/>
  <c r="L8954" i="1" s="1"/>
  <c r="J8962" i="1"/>
  <c r="L8962" i="1" s="1"/>
  <c r="J1135" i="1"/>
  <c r="L1135" i="1" s="1"/>
  <c r="J1395" i="1"/>
  <c r="L1395" i="1" s="1"/>
  <c r="J1683" i="1"/>
  <c r="L1683" i="1" s="1"/>
  <c r="J2126" i="1"/>
  <c r="L2126" i="1" s="1"/>
  <c r="J2775" i="1"/>
  <c r="L2775" i="1" s="1"/>
  <c r="J2780" i="1"/>
  <c r="L2780" i="1" s="1"/>
  <c r="J11787" i="1"/>
  <c r="L11787" i="1" s="1"/>
  <c r="J3255" i="1"/>
  <c r="L3255" i="1" s="1"/>
  <c r="J3389" i="1"/>
  <c r="L3389" i="1" s="1"/>
  <c r="J12399" i="1"/>
  <c r="L12399" i="1" s="1"/>
  <c r="J12792" i="1"/>
  <c r="L12792" i="1" s="1"/>
  <c r="J4347" i="1"/>
  <c r="L4347" i="1" s="1"/>
  <c r="J5222" i="1"/>
  <c r="L5222" i="1" s="1"/>
  <c r="J5389" i="1"/>
  <c r="L5389" i="1" s="1"/>
  <c r="J5543" i="1"/>
  <c r="L5543" i="1" s="1"/>
  <c r="J5869" i="1"/>
  <c r="L5869" i="1" s="1"/>
  <c r="J15907" i="1"/>
  <c r="L15907" i="1" s="1"/>
  <c r="J6721" i="1"/>
  <c r="L6721" i="1" s="1"/>
  <c r="J6820" i="1"/>
  <c r="L6820" i="1" s="1"/>
  <c r="J7652" i="1"/>
  <c r="L7652" i="1" s="1"/>
  <c r="J514" i="1"/>
  <c r="L514" i="1" s="1"/>
  <c r="J746" i="1"/>
  <c r="L746" i="1" s="1"/>
  <c r="J9162" i="1"/>
  <c r="L9162" i="1" s="1"/>
  <c r="J1404" i="1"/>
  <c r="L1404" i="1" s="1"/>
  <c r="J1665" i="1"/>
  <c r="L1665" i="1" s="1"/>
  <c r="J1667" i="1"/>
  <c r="L1667" i="1" s="1"/>
  <c r="J2766" i="1"/>
  <c r="L2766" i="1" s="1"/>
  <c r="J3031" i="1"/>
  <c r="L3031" i="1" s="1"/>
  <c r="J3229" i="1"/>
  <c r="L3229" i="1" s="1"/>
  <c r="J12103" i="1"/>
  <c r="L12103" i="1" s="1"/>
  <c r="J12398" i="1"/>
  <c r="L12398" i="1" s="1"/>
  <c r="J3764" i="1"/>
  <c r="L3764" i="1" s="1"/>
  <c r="J4019" i="1"/>
  <c r="L4019" i="1" s="1"/>
  <c r="J13675" i="1"/>
  <c r="L13675" i="1" s="1"/>
  <c r="J13820" i="1"/>
  <c r="L13820" i="1" s="1"/>
  <c r="J4891" i="1"/>
  <c r="L4891" i="1" s="1"/>
  <c r="J14483" i="1"/>
  <c r="L14483" i="1" s="1"/>
  <c r="J5082" i="1"/>
  <c r="L5082" i="1" s="1"/>
  <c r="J6621" i="1"/>
  <c r="L6621" i="1" s="1"/>
  <c r="J6652" i="1"/>
  <c r="L6652" i="1" s="1"/>
  <c r="J6832" i="1"/>
  <c r="L6832" i="1" s="1"/>
  <c r="J157" i="1"/>
  <c r="L157" i="1" s="1"/>
  <c r="J536" i="1"/>
  <c r="L536" i="1" s="1"/>
  <c r="J9128" i="1"/>
  <c r="L9128" i="1" s="1"/>
  <c r="J1531" i="1"/>
  <c r="L1531" i="1" s="1"/>
  <c r="J1558" i="1"/>
  <c r="L1558" i="1" s="1"/>
  <c r="J9989" i="1"/>
  <c r="L9989" i="1" s="1"/>
  <c r="J10381" i="1"/>
  <c r="L10381" i="1" s="1"/>
  <c r="J2703" i="1"/>
  <c r="L2703" i="1" s="1"/>
  <c r="J12472" i="1"/>
  <c r="L12472" i="1" s="1"/>
  <c r="J4256" i="1"/>
  <c r="L4256" i="1" s="1"/>
  <c r="J13674" i="1"/>
  <c r="L13674" i="1" s="1"/>
  <c r="J4524" i="1"/>
  <c r="L4524" i="1" s="1"/>
  <c r="J4847" i="1"/>
  <c r="L4847" i="1" s="1"/>
  <c r="J4885" i="1"/>
  <c r="L4885" i="1" s="1"/>
  <c r="J4903" i="1"/>
  <c r="L4903" i="1" s="1"/>
  <c r="J4924" i="1"/>
  <c r="L4924" i="1" s="1"/>
  <c r="J5201" i="1"/>
  <c r="L5201" i="1" s="1"/>
  <c r="J15144" i="1"/>
  <c r="L15144" i="1" s="1"/>
  <c r="J15573" i="1"/>
  <c r="L15573" i="1" s="1"/>
  <c r="J5708" i="1"/>
  <c r="L5708" i="1" s="1"/>
  <c r="G3" i="4" s="1"/>
  <c r="J6151" i="1"/>
  <c r="L6151" i="1" s="1"/>
  <c r="J6810" i="1"/>
  <c r="L6810" i="1" s="1"/>
  <c r="J8073" i="1"/>
  <c r="L8073" i="1" s="1"/>
  <c r="J8791" i="1"/>
  <c r="L8791" i="1" s="1"/>
  <c r="J926" i="1"/>
  <c r="L926" i="1" s="1"/>
  <c r="J1537" i="1"/>
  <c r="L1537" i="1" s="1"/>
  <c r="J1584" i="1"/>
  <c r="L1584" i="1" s="1"/>
  <c r="J1666" i="1"/>
  <c r="L1666" i="1" s="1"/>
  <c r="J2064" i="1"/>
  <c r="L2064" i="1" s="1"/>
  <c r="J2245" i="1"/>
  <c r="L2245" i="1" s="1"/>
  <c r="J2654" i="1"/>
  <c r="L2654" i="1" s="1"/>
  <c r="J12411" i="1"/>
  <c r="L12411" i="1" s="1"/>
  <c r="J12530" i="1"/>
  <c r="L12530" i="1" s="1"/>
  <c r="J12533" i="1"/>
  <c r="L12533" i="1" s="1"/>
  <c r="J3926" i="1"/>
  <c r="L3926" i="1" s="1"/>
  <c r="J4018" i="1"/>
  <c r="L4018" i="1" s="1"/>
  <c r="J4040" i="1"/>
  <c r="L4040" i="1" s="1"/>
  <c r="J4794" i="1"/>
  <c r="L4794" i="1" s="1"/>
  <c r="J15142" i="1"/>
  <c r="L15142" i="1" s="1"/>
  <c r="J15147" i="1"/>
  <c r="L15147" i="1" s="1"/>
  <c r="J5542" i="1"/>
  <c r="L5542" i="1" s="1"/>
  <c r="J6154" i="1"/>
  <c r="L6154" i="1" s="1"/>
  <c r="J16733" i="1"/>
  <c r="L16733" i="1" s="1"/>
  <c r="J17000" i="1"/>
  <c r="L17000" i="1" s="1"/>
  <c r="J17028" i="1"/>
  <c r="L17028" i="1" s="1"/>
  <c r="J6952" i="1"/>
  <c r="L6952" i="1" s="1"/>
  <c r="J17129" i="1"/>
  <c r="L17129" i="1" s="1"/>
  <c r="J17165" i="1"/>
  <c r="L17165" i="1" s="1"/>
  <c r="J7712" i="1"/>
  <c r="L7712" i="1" s="1"/>
  <c r="J1143" i="1"/>
  <c r="L1143" i="1" s="1"/>
  <c r="J1398" i="1"/>
  <c r="L1398" i="1" s="1"/>
  <c r="J1399" i="1"/>
  <c r="L1399" i="1" s="1"/>
  <c r="J1879" i="1"/>
  <c r="L1879" i="1" s="1"/>
  <c r="J10371" i="1"/>
  <c r="L10371" i="1" s="1"/>
  <c r="J10372" i="1"/>
  <c r="L10372" i="1" s="1"/>
  <c r="J10541" i="1"/>
  <c r="L10541" i="1" s="1"/>
  <c r="J11060" i="1"/>
  <c r="L11060" i="1" s="1"/>
  <c r="J3551" i="1"/>
  <c r="L3551" i="1" s="1"/>
  <c r="J12525" i="1"/>
  <c r="L12525" i="1" s="1"/>
  <c r="J4313" i="1"/>
  <c r="L4313" i="1" s="1"/>
  <c r="J13682" i="1"/>
  <c r="L13682" i="1" s="1"/>
  <c r="J4408" i="1"/>
  <c r="L4408" i="1" s="1"/>
  <c r="J13802" i="1"/>
  <c r="L13802" i="1" s="1"/>
  <c r="J13822" i="1"/>
  <c r="L13822" i="1" s="1"/>
  <c r="J4748" i="1"/>
  <c r="L4748" i="1" s="1"/>
  <c r="J4898" i="1"/>
  <c r="L4898" i="1" s="1"/>
  <c r="J4937" i="1"/>
  <c r="L4937" i="1" s="1"/>
  <c r="J4969" i="1"/>
  <c r="L4969" i="1" s="1"/>
  <c r="J6146" i="1"/>
  <c r="L6146" i="1" s="1"/>
  <c r="J16063" i="1"/>
  <c r="L16063" i="1" s="1"/>
  <c r="J6626" i="1"/>
  <c r="L6626" i="1" s="1"/>
  <c r="J6713" i="1"/>
  <c r="L6713" i="1" s="1"/>
  <c r="J12" i="1"/>
  <c r="L12" i="1" s="1"/>
  <c r="J119" i="1"/>
  <c r="L119" i="1" s="1"/>
  <c r="J201" i="1"/>
  <c r="L201" i="1" s="1"/>
  <c r="J7835" i="1"/>
  <c r="L7835" i="1" s="1"/>
  <c r="J248" i="1"/>
  <c r="L248" i="1" s="1"/>
  <c r="J531" i="1"/>
  <c r="L531" i="1" s="1"/>
  <c r="J715" i="1"/>
  <c r="L715" i="1" s="1"/>
  <c r="J1546" i="1"/>
  <c r="L1546" i="1" s="1"/>
  <c r="J1560" i="1"/>
  <c r="L1560" i="1" s="1"/>
  <c r="J2579" i="1"/>
  <c r="L2579" i="1" s="1"/>
  <c r="J2650" i="1"/>
  <c r="L2650" i="1" s="1"/>
  <c r="J2700" i="1"/>
  <c r="L2700" i="1" s="1"/>
  <c r="J11329" i="1"/>
  <c r="L11329" i="1" s="1"/>
  <c r="J11726" i="1"/>
  <c r="L11726" i="1" s="1"/>
  <c r="J3547" i="1"/>
  <c r="L3547" i="1" s="1"/>
  <c r="J3554" i="1"/>
  <c r="L3554" i="1" s="1"/>
  <c r="J3925" i="1"/>
  <c r="L3925" i="1" s="1"/>
  <c r="J3937" i="1"/>
  <c r="L3937" i="1" s="1"/>
  <c r="J13241" i="1"/>
  <c r="L13241" i="1" s="1"/>
  <c r="J4229" i="1"/>
  <c r="L4229" i="1" s="1"/>
  <c r="J4418" i="1"/>
  <c r="L4418" i="1" s="1"/>
  <c r="J13969" i="1"/>
  <c r="L13969" i="1" s="1"/>
  <c r="J4797" i="1"/>
  <c r="L4797" i="1" s="1"/>
  <c r="J5075" i="1"/>
  <c r="L5075" i="1" s="1"/>
  <c r="J5233" i="1"/>
  <c r="L5233" i="1" s="1"/>
  <c r="J6265" i="1"/>
  <c r="L6265" i="1" s="1"/>
  <c r="J6395" i="1"/>
  <c r="L6395" i="1" s="1"/>
  <c r="J16708" i="1"/>
  <c r="L16708" i="1" s="1"/>
  <c r="J16818" i="1"/>
  <c r="L16818" i="1" s="1"/>
  <c r="J17027" i="1"/>
  <c r="L17027" i="1" s="1"/>
  <c r="J55" i="1"/>
  <c r="L55" i="1" s="1"/>
  <c r="J174" i="1"/>
  <c r="L174" i="1" s="1"/>
  <c r="J661" i="1"/>
  <c r="L661" i="1" s="1"/>
  <c r="J8790" i="1"/>
  <c r="L8790" i="1" s="1"/>
  <c r="J9130" i="1"/>
  <c r="L9130" i="1" s="1"/>
  <c r="J1223" i="1"/>
  <c r="L1223" i="1" s="1"/>
  <c r="J1562" i="1"/>
  <c r="L1562" i="1" s="1"/>
  <c r="J1902" i="1"/>
  <c r="L1902" i="1" s="1"/>
  <c r="J2249" i="1"/>
  <c r="L2249" i="1" s="1"/>
  <c r="J2610" i="1"/>
  <c r="L2610" i="1" s="1"/>
  <c r="J11450" i="1"/>
  <c r="L11450" i="1" s="1"/>
  <c r="J3030" i="1"/>
  <c r="L3030" i="1" s="1"/>
  <c r="J3152" i="1"/>
  <c r="L3152" i="1" s="1"/>
  <c r="J12015" i="1"/>
  <c r="L12015" i="1" s="1"/>
  <c r="J3414" i="1"/>
  <c r="L3414" i="1" s="1"/>
  <c r="J5013" i="1"/>
  <c r="L5013" i="1" s="1"/>
  <c r="J5019" i="1"/>
  <c r="L5019" i="1" s="1"/>
  <c r="J15810" i="1"/>
  <c r="L15810" i="1" s="1"/>
  <c r="J6120" i="1"/>
  <c r="L6120" i="1" s="1"/>
  <c r="J15992" i="1"/>
  <c r="L15992" i="1" s="1"/>
  <c r="J6271" i="1"/>
  <c r="L6271" i="1" s="1"/>
  <c r="J6404" i="1"/>
  <c r="L6404" i="1" s="1"/>
  <c r="J6649" i="1"/>
  <c r="L6649" i="1" s="1"/>
  <c r="J17026" i="1"/>
  <c r="L17026" i="1" s="1"/>
  <c r="J17036" i="1"/>
  <c r="L17036" i="1" s="1"/>
  <c r="J7904" i="1"/>
  <c r="L7904" i="1" s="1"/>
  <c r="J8502" i="1"/>
  <c r="L8502" i="1" s="1"/>
  <c r="J8506" i="1"/>
  <c r="L8506" i="1" s="1"/>
  <c r="J911" i="1"/>
  <c r="L911" i="1" s="1"/>
  <c r="J1408" i="1"/>
  <c r="L1408" i="1" s="1"/>
  <c r="J9344" i="1"/>
  <c r="L9344" i="1" s="1"/>
  <c r="J9358" i="1"/>
  <c r="L9358" i="1" s="1"/>
  <c r="J1671" i="1"/>
  <c r="L1671" i="1" s="1"/>
  <c r="J1886" i="1"/>
  <c r="L1886" i="1" s="1"/>
  <c r="J2022" i="1"/>
  <c r="L2022" i="1" s="1"/>
  <c r="J10376" i="1"/>
  <c r="L10376" i="1" s="1"/>
  <c r="J2697" i="1"/>
  <c r="L2697" i="1" s="1"/>
  <c r="J2713" i="1"/>
  <c r="L2713" i="1" s="1"/>
  <c r="J2889" i="1"/>
  <c r="L2889" i="1" s="1"/>
  <c r="J2986" i="1"/>
  <c r="L2986" i="1" s="1"/>
  <c r="J11626" i="1"/>
  <c r="L11626" i="1" s="1"/>
  <c r="J12033" i="1"/>
  <c r="L12033" i="1" s="1"/>
  <c r="J3760" i="1"/>
  <c r="L3760" i="1" s="1"/>
  <c r="J3957" i="1"/>
  <c r="L3957" i="1" s="1"/>
  <c r="J13513" i="1"/>
  <c r="L13513" i="1" s="1"/>
  <c r="J13651" i="1"/>
  <c r="L13651" i="1" s="1"/>
  <c r="J13662" i="1"/>
  <c r="L13662" i="1" s="1"/>
  <c r="J4971" i="1"/>
  <c r="L4971" i="1" s="1"/>
  <c r="J4973" i="1"/>
  <c r="L4973" i="1" s="1"/>
  <c r="J5347" i="1"/>
  <c r="L5347" i="1" s="1"/>
  <c r="J5493" i="1"/>
  <c r="L5493" i="1" s="1"/>
  <c r="J6147" i="1"/>
  <c r="L6147" i="1" s="1"/>
  <c r="J15989" i="1"/>
  <c r="L15989" i="1" s="1"/>
  <c r="J17025" i="1"/>
  <c r="L17025" i="1" s="1"/>
  <c r="J7296" i="1"/>
  <c r="L7296" i="1" s="1"/>
  <c r="J72" i="1"/>
  <c r="L72" i="1" s="1"/>
  <c r="J212" i="1"/>
  <c r="L212" i="1" s="1"/>
  <c r="J649" i="1"/>
  <c r="L649" i="1" s="1"/>
  <c r="J1415" i="1"/>
  <c r="L1415" i="1" s="1"/>
  <c r="J1545" i="1"/>
  <c r="L1545" i="1" s="1"/>
  <c r="J1557" i="1"/>
  <c r="L1557" i="1" s="1"/>
  <c r="J1694" i="1"/>
  <c r="L1694" i="1" s="1"/>
  <c r="J1894" i="1"/>
  <c r="L1894" i="1" s="1"/>
  <c r="J10360" i="1"/>
  <c r="L10360" i="1" s="1"/>
  <c r="J2663" i="1"/>
  <c r="L2663" i="1" s="1"/>
  <c r="J10900" i="1"/>
  <c r="L10900" i="1" s="1"/>
  <c r="G27" i="3" s="1"/>
  <c r="J4013" i="1"/>
  <c r="L4013" i="1" s="1"/>
  <c r="J4252" i="1"/>
  <c r="L4252" i="1" s="1"/>
  <c r="J4957" i="1"/>
  <c r="L4957" i="1" s="1"/>
  <c r="J4972" i="1"/>
  <c r="L4972" i="1" s="1"/>
  <c r="J15942" i="1"/>
  <c r="L15942" i="1" s="1"/>
  <c r="J6396" i="1"/>
  <c r="L6396" i="1" s="1"/>
  <c r="J17013" i="1"/>
  <c r="L17013" i="1" s="1"/>
  <c r="J17014" i="1"/>
  <c r="L17014" i="1" s="1"/>
  <c r="J17261" i="1"/>
  <c r="L17261" i="1" s="1"/>
  <c r="J67" i="1"/>
  <c r="L67" i="1" s="1"/>
  <c r="J7665" i="1"/>
  <c r="L7665" i="1" s="1"/>
  <c r="J247" i="1"/>
  <c r="L247" i="1" s="1"/>
  <c r="J8191" i="1"/>
  <c r="L8191" i="1" s="1"/>
  <c r="J364" i="1"/>
  <c r="L364" i="1" s="1"/>
  <c r="J1129" i="1"/>
  <c r="L1129" i="1" s="1"/>
  <c r="J9280" i="1"/>
  <c r="L9280" i="1" s="1"/>
  <c r="J9370" i="1"/>
  <c r="L9370" i="1" s="1"/>
  <c r="J10077" i="1"/>
  <c r="L10077" i="1" s="1"/>
  <c r="J10365" i="1"/>
  <c r="L10365" i="1" s="1"/>
  <c r="J2772" i="1"/>
  <c r="L2772" i="1" s="1"/>
  <c r="J12014" i="1"/>
  <c r="L12014" i="1" s="1"/>
  <c r="J12391" i="1"/>
  <c r="L12391" i="1" s="1"/>
  <c r="J4014" i="1"/>
  <c r="L4014" i="1" s="1"/>
  <c r="J4357" i="1"/>
  <c r="L4357" i="1" s="1"/>
  <c r="J4417" i="1"/>
  <c r="L4417" i="1" s="1"/>
  <c r="J4523" i="1"/>
  <c r="L4523" i="1" s="1"/>
  <c r="J14484" i="1"/>
  <c r="L14484" i="1" s="1"/>
  <c r="J6302" i="1"/>
  <c r="L6302" i="1" s="1"/>
  <c r="J6304" i="1"/>
  <c r="L6304" i="1" s="1"/>
  <c r="J6585" i="1"/>
  <c r="L6585" i="1" s="1"/>
  <c r="J17012" i="1"/>
  <c r="L17012" i="1" s="1"/>
  <c r="J17035" i="1"/>
  <c r="L17035" i="1" s="1"/>
  <c r="J161" i="1"/>
  <c r="L161" i="1" s="1"/>
  <c r="J246" i="1"/>
  <c r="L246" i="1" s="1"/>
  <c r="J8190" i="1"/>
  <c r="L8190" i="1" s="1"/>
  <c r="J1579" i="1"/>
  <c r="L1579" i="1" s="1"/>
  <c r="J1670" i="1"/>
  <c r="L1670" i="1" s="1"/>
  <c r="J2027" i="1"/>
  <c r="L2027" i="1" s="1"/>
  <c r="J10386" i="1"/>
  <c r="L10386" i="1" s="1"/>
  <c r="J2699" i="1"/>
  <c r="L2699" i="1" s="1"/>
  <c r="J2774" i="1"/>
  <c r="L2774" i="1" s="1"/>
  <c r="J12032" i="1"/>
  <c r="L12032" i="1" s="1"/>
  <c r="J4198" i="1"/>
  <c r="L4198" i="1" s="1"/>
  <c r="J13656" i="1"/>
  <c r="L13656" i="1" s="1"/>
  <c r="J4993" i="1"/>
  <c r="L4993" i="1" s="1"/>
  <c r="J5323" i="1"/>
  <c r="L5323" i="1" s="1"/>
  <c r="J15150" i="1"/>
  <c r="L15150" i="1" s="1"/>
  <c r="J6131" i="1"/>
  <c r="L6131" i="1" s="1"/>
  <c r="J8071" i="1"/>
  <c r="L8071" i="1" s="1"/>
  <c r="J386" i="1"/>
  <c r="L386" i="1" s="1"/>
  <c r="J1362" i="1"/>
  <c r="L1362" i="1" s="1"/>
  <c r="J1529" i="1"/>
  <c r="L1529" i="1" s="1"/>
  <c r="J1530" i="1"/>
  <c r="L1530" i="1" s="1"/>
  <c r="J10375" i="1"/>
  <c r="L10375" i="1" s="1"/>
  <c r="J2698" i="1"/>
  <c r="L2698" i="1" s="1"/>
  <c r="J2741" i="1"/>
  <c r="L2741" i="1" s="1"/>
  <c r="J11731" i="1"/>
  <c r="L11731" i="1" s="1"/>
  <c r="J3258" i="1"/>
  <c r="L3258" i="1" s="1"/>
  <c r="J3790" i="1"/>
  <c r="L3790" i="1" s="1"/>
  <c r="J4015" i="1"/>
  <c r="L4015" i="1" s="1"/>
  <c r="J4632" i="1"/>
  <c r="L4632" i="1" s="1"/>
  <c r="J5276" i="1"/>
  <c r="L5276" i="1" s="1"/>
  <c r="J5460" i="1"/>
  <c r="L5460" i="1" s="1"/>
  <c r="J15904" i="1"/>
  <c r="L15904" i="1" s="1"/>
  <c r="J16743" i="1"/>
  <c r="L16743" i="1" s="1"/>
  <c r="J6758" i="1"/>
  <c r="L6758" i="1" s="1"/>
  <c r="J17011" i="1"/>
  <c r="L17011" i="1" s="1"/>
  <c r="J17034" i="1"/>
  <c r="L17034" i="1" s="1"/>
  <c r="J8257" i="1"/>
  <c r="L8257" i="1" s="1"/>
  <c r="J645" i="1"/>
  <c r="L645" i="1" s="1"/>
  <c r="J8513" i="1"/>
  <c r="L8513" i="1" s="1"/>
  <c r="J659" i="1"/>
  <c r="L659" i="1" s="1"/>
  <c r="J668" i="1"/>
  <c r="L668" i="1" s="1"/>
  <c r="J782" i="1"/>
  <c r="L782" i="1" s="1"/>
  <c r="J1134" i="1"/>
  <c r="L1134" i="1" s="1"/>
  <c r="J1139" i="1"/>
  <c r="L1139" i="1" s="1"/>
  <c r="J1414" i="1"/>
  <c r="L1414" i="1" s="1"/>
  <c r="J9444" i="1"/>
  <c r="L9444" i="1" s="1"/>
  <c r="J1568" i="1"/>
  <c r="L1568" i="1" s="1"/>
  <c r="J1627" i="1"/>
  <c r="L1627" i="1" s="1"/>
  <c r="J3220" i="1"/>
  <c r="L3220" i="1" s="1"/>
  <c r="J3780" i="1"/>
  <c r="L3780" i="1" s="1"/>
  <c r="J4227" i="1"/>
  <c r="L4227" i="1" s="1"/>
  <c r="J4887" i="1"/>
  <c r="L4887" i="1" s="1"/>
  <c r="J4974" i="1"/>
  <c r="L4974" i="1" s="1"/>
  <c r="J5374" i="1"/>
  <c r="L5374" i="1" s="1"/>
  <c r="J15122" i="1"/>
  <c r="L15122" i="1" s="1"/>
  <c r="J15777" i="1"/>
  <c r="L15777" i="1" s="1"/>
  <c r="J15901" i="1"/>
  <c r="L15901" i="1" s="1"/>
  <c r="J16173" i="1"/>
  <c r="L16173" i="1" s="1"/>
  <c r="J6763" i="1"/>
  <c r="L6763" i="1" s="1"/>
  <c r="J17024" i="1"/>
  <c r="L17024" i="1" s="1"/>
  <c r="J17141" i="1"/>
  <c r="L17141" i="1" s="1"/>
  <c r="J17152" i="1"/>
  <c r="L17152" i="1" s="1"/>
  <c r="J17262" i="1"/>
  <c r="L17262" i="1" s="1"/>
  <c r="J245" i="1"/>
  <c r="L245" i="1" s="1"/>
  <c r="J742" i="1"/>
  <c r="L742" i="1" s="1"/>
  <c r="J966" i="1"/>
  <c r="L966" i="1" s="1"/>
  <c r="J973" i="1"/>
  <c r="L973" i="1" s="1"/>
  <c r="J990" i="1"/>
  <c r="L990" i="1" s="1"/>
  <c r="J9917" i="1"/>
  <c r="L9917" i="1" s="1"/>
  <c r="J1947" i="1"/>
  <c r="L1947" i="1" s="1"/>
  <c r="J2253" i="1"/>
  <c r="L2253" i="1" s="1"/>
  <c r="J2701" i="1"/>
  <c r="L2701" i="1" s="1"/>
  <c r="J11267" i="1"/>
  <c r="L11267" i="1" s="1"/>
  <c r="J3137" i="1"/>
  <c r="L3137" i="1" s="1"/>
  <c r="J3775" i="1"/>
  <c r="L3775" i="1" s="1"/>
  <c r="J12539" i="1"/>
  <c r="L12539" i="1" s="1"/>
  <c r="J12541" i="1"/>
  <c r="L12541" i="1" s="1"/>
  <c r="J3943" i="1"/>
  <c r="L3943" i="1" s="1"/>
  <c r="J4965" i="1"/>
  <c r="L4965" i="1" s="1"/>
  <c r="J5290" i="1"/>
  <c r="L5290" i="1" s="1"/>
  <c r="J5489" i="1"/>
  <c r="L5489" i="1" s="1"/>
  <c r="J5864" i="1"/>
  <c r="L5864" i="1" s="1"/>
  <c r="J15778" i="1"/>
  <c r="L15778" i="1" s="1"/>
  <c r="J6130" i="1"/>
  <c r="L6130" i="1" s="1"/>
  <c r="J16003" i="1"/>
  <c r="L16003" i="1" s="1"/>
  <c r="J16817" i="1"/>
  <c r="L16817" i="1" s="1"/>
  <c r="J17032" i="1"/>
  <c r="L17032" i="1" s="1"/>
  <c r="J17033" i="1"/>
  <c r="L17033" i="1" s="1"/>
  <c r="J107" i="1"/>
  <c r="L107" i="1" s="1"/>
  <c r="J476" i="1"/>
  <c r="L476" i="1" s="1"/>
  <c r="J529" i="1"/>
  <c r="L529" i="1" s="1"/>
  <c r="J10877" i="1"/>
  <c r="L10877" i="1" s="1"/>
  <c r="J2736" i="1"/>
  <c r="L2736" i="1" s="1"/>
  <c r="J3002" i="1"/>
  <c r="L3002" i="1" s="1"/>
  <c r="J3280" i="1"/>
  <c r="L3280" i="1" s="1"/>
  <c r="J4846" i="1"/>
  <c r="L4846" i="1" s="1"/>
  <c r="J4927" i="1"/>
  <c r="L4927" i="1" s="1"/>
  <c r="J14826" i="1"/>
  <c r="L14826" i="1" s="1"/>
  <c r="J5275" i="1"/>
  <c r="L5275" i="1" s="1"/>
  <c r="J15568" i="1"/>
  <c r="L15568" i="1" s="1"/>
  <c r="J15575" i="1"/>
  <c r="L15575" i="1" s="1"/>
  <c r="J15903" i="1"/>
  <c r="L15903" i="1" s="1"/>
  <c r="J15991" i="1"/>
  <c r="L15991" i="1" s="1"/>
  <c r="J17010" i="1"/>
  <c r="L17010" i="1" s="1"/>
  <c r="J17031" i="1"/>
  <c r="L17031" i="1" s="1"/>
  <c r="J6827" i="1"/>
  <c r="L6827" i="1" s="1"/>
  <c r="J263" i="1"/>
  <c r="L263" i="1" s="1"/>
  <c r="J664" i="1"/>
  <c r="L664" i="1" s="1"/>
  <c r="J1368" i="1"/>
  <c r="L1368" i="1" s="1"/>
  <c r="J2252" i="1"/>
  <c r="L2252" i="1" s="1"/>
  <c r="J2705" i="1"/>
  <c r="L2705" i="1" s="1"/>
  <c r="J3029" i="1"/>
  <c r="L3029" i="1" s="1"/>
  <c r="J3419" i="1"/>
  <c r="L3419" i="1" s="1"/>
  <c r="G5" i="3" s="1"/>
  <c r="J3759" i="1"/>
  <c r="L3759" i="1" s="1"/>
  <c r="J12542" i="1"/>
  <c r="L12542" i="1" s="1"/>
  <c r="J4535" i="1"/>
  <c r="L4535" i="1" s="1"/>
  <c r="J4963" i="1"/>
  <c r="L4963" i="1" s="1"/>
  <c r="J5458" i="1"/>
  <c r="L5458" i="1" s="1"/>
  <c r="J15804" i="1"/>
  <c r="L15804" i="1" s="1"/>
  <c r="J6294" i="1"/>
  <c r="L6294" i="1" s="1"/>
  <c r="J6828" i="1"/>
  <c r="L6828" i="1" s="1"/>
  <c r="J17150" i="1"/>
  <c r="L17150" i="1" s="1"/>
  <c r="J685" i="1"/>
  <c r="L685" i="1" s="1"/>
  <c r="J904" i="1"/>
  <c r="L904" i="1" s="1"/>
  <c r="J10370" i="1"/>
  <c r="L10370" i="1" s="1"/>
  <c r="J10383" i="1"/>
  <c r="L10383" i="1" s="1"/>
  <c r="J10866" i="1"/>
  <c r="L10866" i="1" s="1"/>
  <c r="J11735" i="1"/>
  <c r="L11735" i="1" s="1"/>
  <c r="J3141" i="1"/>
  <c r="L3141" i="1" s="1"/>
  <c r="J4189" i="1"/>
  <c r="L4189" i="1" s="1"/>
  <c r="J4312" i="1"/>
  <c r="L4312" i="1" s="1"/>
  <c r="J14287" i="1"/>
  <c r="L14287" i="1" s="1"/>
  <c r="J6106" i="1"/>
  <c r="L6106" i="1" s="1"/>
  <c r="J15981" i="1"/>
  <c r="L15981" i="1" s="1"/>
  <c r="J6254" i="1"/>
  <c r="L6254" i="1" s="1"/>
  <c r="J6948" i="1"/>
  <c r="L6948" i="1" s="1"/>
  <c r="J6951" i="1"/>
  <c r="L6951" i="1" s="1"/>
  <c r="J17136" i="1"/>
  <c r="L17136" i="1" s="1"/>
  <c r="J11" i="1"/>
  <c r="L11" i="1" s="1"/>
  <c r="J535" i="1"/>
  <c r="L535" i="1" s="1"/>
  <c r="J1528" i="1"/>
  <c r="L1528" i="1" s="1"/>
  <c r="J2773" i="1"/>
  <c r="L2773" i="1" s="1"/>
  <c r="J11782" i="1"/>
  <c r="L11782" i="1" s="1"/>
  <c r="J12185" i="1"/>
  <c r="L12185" i="1" s="1"/>
  <c r="J12186" i="1"/>
  <c r="L12186" i="1" s="1"/>
  <c r="J12187" i="1"/>
  <c r="L12187" i="1" s="1"/>
  <c r="J12188" i="1"/>
  <c r="L12188" i="1" s="1"/>
  <c r="J12189" i="1"/>
  <c r="L12189" i="1" s="1"/>
  <c r="J3905" i="1"/>
  <c r="L3905" i="1" s="1"/>
  <c r="J4840" i="1"/>
  <c r="L4840" i="1" s="1"/>
  <c r="J5535" i="1"/>
  <c r="L5535" i="1" s="1"/>
  <c r="J15436" i="1"/>
  <c r="L15436" i="1" s="1"/>
  <c r="J5717" i="1"/>
  <c r="L5717" i="1" s="1"/>
  <c r="G5" i="4" s="1"/>
  <c r="J6116" i="1"/>
  <c r="L6116" i="1" s="1"/>
  <c r="J16739" i="1"/>
  <c r="L16739" i="1" s="1"/>
  <c r="J1881" i="1"/>
  <c r="L1881" i="1" s="1"/>
  <c r="J10408" i="1"/>
  <c r="L10408" i="1" s="1"/>
  <c r="G35" i="2" s="1"/>
  <c r="J2733" i="1"/>
  <c r="L2733" i="1" s="1"/>
  <c r="J3070" i="1"/>
  <c r="L3070" i="1" s="1"/>
  <c r="J3798" i="1"/>
  <c r="L3798" i="1" s="1"/>
  <c r="J4249" i="1"/>
  <c r="L4249" i="1" s="1"/>
  <c r="J5524" i="1"/>
  <c r="L5524" i="1" s="1"/>
  <c r="J15611" i="1"/>
  <c r="L15611" i="1" s="1"/>
  <c r="J15612" i="1"/>
  <c r="L15612" i="1" s="1"/>
  <c r="J15613" i="1"/>
  <c r="L15613" i="1" s="1"/>
  <c r="J15617" i="1"/>
  <c r="L15617" i="1" s="1"/>
  <c r="J15621" i="1"/>
  <c r="L15621" i="1" s="1"/>
  <c r="J15622" i="1"/>
  <c r="L15622" i="1" s="1"/>
  <c r="J6158" i="1"/>
  <c r="L6158" i="1" s="1"/>
  <c r="J16174" i="1"/>
  <c r="L16174" i="1" s="1"/>
  <c r="J6826" i="1"/>
  <c r="L6826" i="1" s="1"/>
  <c r="J6950" i="1"/>
  <c r="L6950" i="1" s="1"/>
  <c r="J8148" i="1"/>
  <c r="L8148" i="1" s="1"/>
  <c r="J506" i="1"/>
  <c r="L506" i="1" s="1"/>
  <c r="J646" i="1"/>
  <c r="L646" i="1" s="1"/>
  <c r="J681" i="1"/>
  <c r="L681" i="1" s="1"/>
  <c r="J682" i="1"/>
  <c r="L682" i="1" s="1"/>
  <c r="J686" i="1"/>
  <c r="L686" i="1" s="1"/>
  <c r="J687" i="1"/>
  <c r="L687" i="1" s="1"/>
  <c r="J1364" i="1"/>
  <c r="L1364" i="1" s="1"/>
  <c r="J1382" i="1"/>
  <c r="L1382" i="1" s="1"/>
  <c r="J1696" i="1"/>
  <c r="L1696" i="1" s="1"/>
  <c r="J5412" i="1"/>
  <c r="L5412" i="1" s="1"/>
  <c r="J6419" i="1"/>
  <c r="L6419" i="1" s="1"/>
  <c r="J16828" i="1"/>
  <c r="L16828" i="1" s="1"/>
  <c r="J17144" i="1"/>
  <c r="L17144" i="1" s="1"/>
  <c r="J17146" i="1"/>
  <c r="L17146" i="1" s="1"/>
  <c r="J16" i="1"/>
  <c r="L16" i="1" s="1"/>
  <c r="J231" i="1"/>
  <c r="L231" i="1" s="1"/>
  <c r="J500" i="1"/>
  <c r="L500" i="1" s="1"/>
  <c r="J8480" i="1"/>
  <c r="L8480" i="1" s="1"/>
  <c r="J10084" i="1"/>
  <c r="L10084" i="1" s="1"/>
  <c r="J2656" i="1"/>
  <c r="L2656" i="1" s="1"/>
  <c r="J3024" i="1"/>
  <c r="L3024" i="1" s="1"/>
  <c r="J3251" i="1"/>
  <c r="L3251" i="1" s="1"/>
  <c r="J12031" i="1"/>
  <c r="L12031" i="1" s="1"/>
  <c r="J3366" i="1"/>
  <c r="L3366" i="1" s="1"/>
  <c r="J3770" i="1"/>
  <c r="L3770" i="1" s="1"/>
  <c r="J4316" i="1"/>
  <c r="L4316" i="1" s="1"/>
  <c r="J5270" i="1"/>
  <c r="L5270" i="1" s="1"/>
  <c r="J5400" i="1"/>
  <c r="L5400" i="1" s="1"/>
  <c r="J5530" i="1"/>
  <c r="L5530" i="1" s="1"/>
  <c r="J5667" i="1"/>
  <c r="L5667" i="1" s="1"/>
  <c r="J6102" i="1"/>
  <c r="L6102" i="1" s="1"/>
  <c r="J15884" i="1"/>
  <c r="L15884" i="1" s="1"/>
  <c r="J16812" i="1"/>
  <c r="L16812" i="1" s="1"/>
  <c r="J16827" i="1"/>
  <c r="L16827" i="1" s="1"/>
  <c r="J17273" i="1"/>
  <c r="L17273" i="1" s="1"/>
  <c r="J648" i="1"/>
  <c r="L648" i="1" s="1"/>
  <c r="J779" i="1"/>
  <c r="L779" i="1" s="1"/>
  <c r="J2704" i="1"/>
  <c r="L2704" i="1" s="1"/>
  <c r="J3204" i="1"/>
  <c r="L3204" i="1" s="1"/>
  <c r="J12172" i="1"/>
  <c r="L12172" i="1" s="1"/>
  <c r="G4" i="3" s="1"/>
  <c r="J3773" i="1"/>
  <c r="L3773" i="1" s="1"/>
  <c r="J5227" i="1"/>
  <c r="L5227" i="1" s="1"/>
  <c r="J15807" i="1"/>
  <c r="L15807" i="1" s="1"/>
  <c r="J6145" i="1"/>
  <c r="L6145" i="1" s="1"/>
  <c r="J16852" i="1"/>
  <c r="L16852" i="1" s="1"/>
  <c r="J155" i="1"/>
  <c r="L155" i="1" s="1"/>
  <c r="J499" i="1"/>
  <c r="L499" i="1" s="1"/>
  <c r="J723" i="1"/>
  <c r="L723" i="1" s="1"/>
  <c r="J9279" i="1"/>
  <c r="L9279" i="1" s="1"/>
  <c r="J11061" i="1"/>
  <c r="L11061" i="1" s="1"/>
  <c r="J3022" i="1"/>
  <c r="L3022" i="1" s="1"/>
  <c r="J3078" i="1"/>
  <c r="L3078" i="1" s="1"/>
  <c r="J3092" i="1"/>
  <c r="L3092" i="1" s="1"/>
  <c r="J3140" i="1"/>
  <c r="L3140" i="1" s="1"/>
  <c r="J4892" i="1"/>
  <c r="L4892" i="1" s="1"/>
  <c r="J14778" i="1"/>
  <c r="L14778" i="1" s="1"/>
  <c r="J14968" i="1"/>
  <c r="L14968" i="1" s="1"/>
  <c r="J5469" i="1"/>
  <c r="L5469" i="1" s="1"/>
  <c r="J15898" i="1"/>
  <c r="L15898" i="1" s="1"/>
  <c r="J6142" i="1"/>
  <c r="L6142" i="1" s="1"/>
  <c r="J6354" i="1"/>
  <c r="L6354" i="1" s="1"/>
  <c r="J16736" i="1"/>
  <c r="L16736" i="1" s="1"/>
  <c r="J6958" i="1"/>
  <c r="L6958" i="1" s="1"/>
  <c r="J17155" i="1"/>
  <c r="L17155" i="1" s="1"/>
  <c r="J236" i="1"/>
  <c r="L236" i="1" s="1"/>
  <c r="J267" i="1"/>
  <c r="L267" i="1" s="1"/>
  <c r="J576" i="1"/>
  <c r="L576" i="1" s="1"/>
  <c r="J653" i="1"/>
  <c r="L653" i="1" s="1"/>
  <c r="J9278" i="1"/>
  <c r="L9278" i="1" s="1"/>
  <c r="J1565" i="1"/>
  <c r="L1565" i="1" s="1"/>
  <c r="J10495" i="1"/>
  <c r="L10495" i="1" s="1"/>
  <c r="J2623" i="1"/>
  <c r="L2623" i="1" s="1"/>
  <c r="J2658" i="1"/>
  <c r="L2658" i="1" s="1"/>
  <c r="J11736" i="1"/>
  <c r="L11736" i="1" s="1"/>
  <c r="J3929" i="1"/>
  <c r="L3929" i="1" s="1"/>
  <c r="J13460" i="1"/>
  <c r="L13460" i="1" s="1"/>
  <c r="J13833" i="1"/>
  <c r="L13833" i="1" s="1"/>
  <c r="J5405" i="1"/>
  <c r="L5405" i="1" s="1"/>
  <c r="J5527" i="1"/>
  <c r="L5527" i="1" s="1"/>
  <c r="J17053" i="1"/>
  <c r="L17053" i="1" s="1"/>
  <c r="J8189" i="1"/>
  <c r="L8189" i="1" s="1"/>
  <c r="J716" i="1"/>
  <c r="L716" i="1" s="1"/>
  <c r="J936" i="1"/>
  <c r="L936" i="1" s="1"/>
  <c r="J1363" i="1"/>
  <c r="L1363" i="1" s="1"/>
  <c r="J2132" i="1"/>
  <c r="L2132" i="1" s="1"/>
  <c r="J2248" i="1"/>
  <c r="L2248" i="1" s="1"/>
  <c r="J2259" i="1"/>
  <c r="L2259" i="1" s="1"/>
  <c r="J2761" i="1"/>
  <c r="L2761" i="1" s="1"/>
  <c r="J3151" i="1"/>
  <c r="L3151" i="1" s="1"/>
  <c r="J4359" i="1"/>
  <c r="L4359" i="1" s="1"/>
  <c r="J5396" i="1"/>
  <c r="L5396" i="1" s="1"/>
  <c r="J15155" i="1"/>
  <c r="L15155" i="1" s="1"/>
  <c r="J6391" i="1"/>
  <c r="L6391" i="1" s="1"/>
  <c r="J6587" i="1"/>
  <c r="L6587" i="1" s="1"/>
  <c r="J16744" i="1"/>
  <c r="L16744" i="1" s="1"/>
  <c r="J17122" i="1"/>
  <c r="L17122" i="1" s="1"/>
  <c r="J8147" i="1"/>
  <c r="L8147" i="1" s="1"/>
  <c r="J508" i="1"/>
  <c r="L508" i="1" s="1"/>
  <c r="J9349" i="1"/>
  <c r="L9349" i="1" s="1"/>
  <c r="J10389" i="1"/>
  <c r="L10389" i="1" s="1"/>
  <c r="J2426" i="1"/>
  <c r="L2426" i="1" s="1"/>
  <c r="J3144" i="1"/>
  <c r="L3144" i="1" s="1"/>
  <c r="J3155" i="1"/>
  <c r="L3155" i="1" s="1"/>
  <c r="J5397" i="1"/>
  <c r="L5397" i="1" s="1"/>
  <c r="J5866" i="1"/>
  <c r="L5866" i="1" s="1"/>
  <c r="J6101" i="1"/>
  <c r="L6101" i="1" s="1"/>
  <c r="J6104" i="1"/>
  <c r="L6104" i="1" s="1"/>
  <c r="J15882" i="1"/>
  <c r="L15882" i="1" s="1"/>
  <c r="J6156" i="1"/>
  <c r="L6156" i="1" s="1"/>
  <c r="J6278" i="1"/>
  <c r="L6278" i="1" s="1"/>
  <c r="J6619" i="1"/>
  <c r="L6619" i="1" s="1"/>
  <c r="J6947" i="1"/>
  <c r="L6947" i="1" s="1"/>
  <c r="J17135" i="1"/>
  <c r="L17135" i="1" s="1"/>
  <c r="J8507" i="1"/>
  <c r="L8507" i="1" s="1"/>
  <c r="J1366" i="1"/>
  <c r="L1366" i="1" s="1"/>
  <c r="J1904" i="1"/>
  <c r="L1904" i="1" s="1"/>
  <c r="J11449" i="1"/>
  <c r="L11449" i="1" s="1"/>
  <c r="J3023" i="1"/>
  <c r="L3023" i="1" s="1"/>
  <c r="J3546" i="1"/>
  <c r="L3546" i="1" s="1"/>
  <c r="J12534" i="1"/>
  <c r="L12534" i="1" s="1"/>
  <c r="J12538" i="1"/>
  <c r="L12538" i="1" s="1"/>
  <c r="J4923" i="1"/>
  <c r="L4923" i="1" s="1"/>
  <c r="J5274" i="1"/>
  <c r="L5274" i="1" s="1"/>
  <c r="J5403" i="1"/>
  <c r="L5403" i="1" s="1"/>
  <c r="J5411" i="1"/>
  <c r="L5411" i="1" s="1"/>
  <c r="J16707" i="1"/>
  <c r="L16707" i="1" s="1"/>
  <c r="J6718" i="1"/>
  <c r="L6718" i="1" s="1"/>
  <c r="J6946" i="1"/>
  <c r="L6946" i="1" s="1"/>
  <c r="J1527" i="1"/>
  <c r="L1527" i="1" s="1"/>
  <c r="J2067" i="1"/>
  <c r="L2067" i="1" s="1"/>
  <c r="J3156" i="1"/>
  <c r="L3156" i="1" s="1"/>
  <c r="J3786" i="1"/>
  <c r="L3786" i="1" s="1"/>
  <c r="J3904" i="1"/>
  <c r="L3904" i="1" s="1"/>
  <c r="J4527" i="1"/>
  <c r="L4527" i="1" s="1"/>
  <c r="J13814" i="1"/>
  <c r="L13814" i="1" s="1"/>
  <c r="J13921" i="1"/>
  <c r="L13921" i="1" s="1"/>
  <c r="J14894" i="1"/>
  <c r="L14894" i="1" s="1"/>
  <c r="J14895" i="1"/>
  <c r="L14895" i="1" s="1"/>
  <c r="J5461" i="1"/>
  <c r="L5461" i="1" s="1"/>
  <c r="G19" i="4" s="1"/>
  <c r="J6125" i="1"/>
  <c r="L6125" i="1" s="1"/>
  <c r="J6264" i="1"/>
  <c r="L6264" i="1" s="1"/>
  <c r="J6390" i="1"/>
  <c r="L6390" i="1" s="1"/>
  <c r="J6750" i="1"/>
  <c r="L6750" i="1" s="1"/>
  <c r="J17134" i="1"/>
  <c r="L17134" i="1" s="1"/>
  <c r="J7125" i="1"/>
  <c r="L7125" i="1" s="1"/>
  <c r="J7654" i="1"/>
  <c r="L7654" i="1" s="1"/>
  <c r="J2566" i="1"/>
  <c r="L2566" i="1" s="1"/>
  <c r="J2619" i="1"/>
  <c r="L2619" i="1" s="1"/>
  <c r="J10661" i="1"/>
  <c r="L10661" i="1" s="1"/>
  <c r="J5417" i="1"/>
  <c r="L5417" i="1" s="1"/>
  <c r="J5494" i="1"/>
  <c r="L5494" i="1" s="1"/>
  <c r="J110" i="1"/>
  <c r="L110" i="1" s="1"/>
  <c r="J7653" i="1"/>
  <c r="L7653" i="1" s="1"/>
  <c r="J154" i="1"/>
  <c r="L154" i="1" s="1"/>
  <c r="J658" i="1"/>
  <c r="L658" i="1" s="1"/>
  <c r="J1137" i="1"/>
  <c r="L1137" i="1" s="1"/>
  <c r="J2251" i="1"/>
  <c r="L2251" i="1" s="1"/>
  <c r="J10882" i="1"/>
  <c r="L10882" i="1" s="1"/>
  <c r="J12013" i="1"/>
  <c r="L12013" i="1" s="1"/>
  <c r="J12030" i="1"/>
  <c r="L12030" i="1" s="1"/>
  <c r="J4526" i="1"/>
  <c r="L4526" i="1" s="1"/>
  <c r="J4832" i="1"/>
  <c r="L4832" i="1" s="1"/>
  <c r="J5413" i="1"/>
  <c r="L5413" i="1" s="1"/>
  <c r="J15881" i="1"/>
  <c r="L15881" i="1" s="1"/>
  <c r="J6756" i="1"/>
  <c r="L6756" i="1" s="1"/>
  <c r="J547" i="1"/>
  <c r="L547" i="1" s="1"/>
  <c r="J9151" i="1"/>
  <c r="L9151" i="1" s="1"/>
  <c r="J1380" i="1"/>
  <c r="L1380" i="1" s="1"/>
  <c r="J2620" i="1"/>
  <c r="L2620" i="1" s="1"/>
  <c r="J11724" i="1"/>
  <c r="L11724" i="1" s="1"/>
  <c r="J13366" i="1"/>
  <c r="L13366" i="1" s="1"/>
  <c r="J4929" i="1"/>
  <c r="L4929" i="1" s="1"/>
  <c r="J4990" i="1"/>
  <c r="L4990" i="1" s="1"/>
  <c r="J5319" i="1"/>
  <c r="L5319" i="1" s="1"/>
  <c r="J6299" i="1"/>
  <c r="L6299" i="1" s="1"/>
  <c r="J17133" i="1"/>
  <c r="L17133" i="1" s="1"/>
  <c r="J204" i="1"/>
  <c r="L204" i="1" s="1"/>
  <c r="J652" i="1"/>
  <c r="L652" i="1" s="1"/>
  <c r="J10369" i="1"/>
  <c r="L10369" i="1" s="1"/>
  <c r="J3146" i="1"/>
  <c r="L3146" i="1" s="1"/>
  <c r="J3252" i="1"/>
  <c r="L3252" i="1" s="1"/>
  <c r="J3755" i="1"/>
  <c r="L3755" i="1" s="1"/>
  <c r="J3938" i="1"/>
  <c r="L3938" i="1" s="1"/>
  <c r="J13702" i="1"/>
  <c r="L13702" i="1" s="1"/>
  <c r="J4836" i="1"/>
  <c r="L4836" i="1" s="1"/>
  <c r="J14245" i="1"/>
  <c r="L14245" i="1" s="1"/>
  <c r="J14246" i="1"/>
  <c r="L14246" i="1" s="1"/>
  <c r="J14248" i="1"/>
  <c r="L14248" i="1" s="1"/>
  <c r="J4888" i="1"/>
  <c r="L4888" i="1" s="1"/>
  <c r="J15204" i="1"/>
  <c r="L15204" i="1" s="1"/>
  <c r="J15208" i="1"/>
  <c r="L15208" i="1" s="1"/>
  <c r="J7607" i="1"/>
  <c r="L7607" i="1" s="1"/>
  <c r="J7608" i="1"/>
  <c r="L7608" i="1" s="1"/>
  <c r="J7610" i="1"/>
  <c r="L7610" i="1" s="1"/>
  <c r="J7661" i="1"/>
  <c r="L7661" i="1" s="1"/>
  <c r="J1544" i="1"/>
  <c r="L1544" i="1" s="1"/>
  <c r="J10368" i="1"/>
  <c r="L10368" i="1" s="1"/>
  <c r="J10868" i="1"/>
  <c r="L10868" i="1" s="1"/>
  <c r="J2706" i="1"/>
  <c r="L2706" i="1" s="1"/>
  <c r="J3139" i="1"/>
  <c r="L3139" i="1" s="1"/>
  <c r="J12613" i="1"/>
  <c r="L12613" i="1" s="1"/>
  <c r="J3919" i="1"/>
  <c r="L3919" i="1" s="1"/>
  <c r="J15203" i="1"/>
  <c r="L15203" i="1" s="1"/>
  <c r="J15209" i="1"/>
  <c r="L15209" i="1" s="1"/>
  <c r="J15897" i="1"/>
  <c r="L15897" i="1" s="1"/>
  <c r="J527" i="1"/>
  <c r="L527" i="1" s="1"/>
  <c r="J611" i="1"/>
  <c r="L611" i="1" s="1"/>
  <c r="J1543" i="1"/>
  <c r="L1543" i="1" s="1"/>
  <c r="J10488" i="1"/>
  <c r="L10488" i="1" s="1"/>
  <c r="J10867" i="1"/>
  <c r="L10867" i="1" s="1"/>
  <c r="J3754" i="1"/>
  <c r="L3754" i="1" s="1"/>
  <c r="J14288" i="1"/>
  <c r="L14288" i="1" s="1"/>
  <c r="J14289" i="1"/>
  <c r="L14289" i="1" s="1"/>
  <c r="J4960" i="1"/>
  <c r="L4960" i="1" s="1"/>
  <c r="J14825" i="1"/>
  <c r="L14825" i="1" s="1"/>
  <c r="J15435" i="1"/>
  <c r="L15435" i="1" s="1"/>
  <c r="J6586" i="1"/>
  <c r="L6586" i="1" s="1"/>
  <c r="J6591" i="1"/>
  <c r="L6591" i="1" s="1"/>
  <c r="J9273" i="1"/>
  <c r="L9273" i="1" s="1"/>
  <c r="J3753" i="1"/>
  <c r="L3753" i="1" s="1"/>
  <c r="J4522" i="1"/>
  <c r="L4522" i="1" s="1"/>
  <c r="J13812" i="1"/>
  <c r="L13812" i="1" s="1"/>
  <c r="J5325" i="1"/>
  <c r="L5325" i="1" s="1"/>
  <c r="J15880" i="1"/>
  <c r="L15880" i="1" s="1"/>
  <c r="J6824" i="1"/>
  <c r="L6824" i="1" s="1"/>
  <c r="J2" i="1"/>
  <c r="L2" i="1" s="1"/>
  <c r="J8188" i="1"/>
  <c r="L8188" i="1" s="1"/>
  <c r="J1556" i="1"/>
  <c r="L1556" i="1" s="1"/>
  <c r="J10071" i="1"/>
  <c r="L10071" i="1" s="1"/>
  <c r="J10825" i="1"/>
  <c r="L10825" i="1" s="1"/>
  <c r="J3009" i="1"/>
  <c r="L3009" i="1" s="1"/>
  <c r="J3138" i="1"/>
  <c r="L3138" i="1" s="1"/>
  <c r="J12218" i="1"/>
  <c r="L12218" i="1" s="1"/>
  <c r="J12536" i="1"/>
  <c r="L12536" i="1" s="1"/>
  <c r="J3796" i="1"/>
  <c r="L3796" i="1" s="1"/>
  <c r="J4194" i="1"/>
  <c r="L4194" i="1" s="1"/>
  <c r="J13388" i="1"/>
  <c r="L13388" i="1" s="1"/>
  <c r="J13910" i="1"/>
  <c r="L13910" i="1" s="1"/>
  <c r="J14824" i="1"/>
  <c r="L14824" i="1" s="1"/>
  <c r="J6392" i="1"/>
  <c r="L6392" i="1" s="1"/>
  <c r="J17164" i="1"/>
  <c r="L17164" i="1" s="1"/>
  <c r="J69" i="1"/>
  <c r="L69" i="1" s="1"/>
  <c r="J575" i="1"/>
  <c r="L575" i="1" s="1"/>
  <c r="J1393" i="1"/>
  <c r="L1393" i="1" s="1"/>
  <c r="J9285" i="1"/>
  <c r="L9285" i="1" s="1"/>
  <c r="J10527" i="1"/>
  <c r="L10527" i="1" s="1"/>
  <c r="J10824" i="1"/>
  <c r="L10824" i="1" s="1"/>
  <c r="J10827" i="1"/>
  <c r="L10827" i="1" s="1"/>
  <c r="J12029" i="1"/>
  <c r="L12029" i="1" s="1"/>
  <c r="J3756" i="1"/>
  <c r="L3756" i="1" s="1"/>
  <c r="J16416" i="1"/>
  <c r="L16416" i="1" s="1"/>
  <c r="J16742" i="1"/>
  <c r="L16742" i="1" s="1"/>
  <c r="J6949" i="1"/>
  <c r="L6949" i="1" s="1"/>
  <c r="J156" i="1"/>
  <c r="L156" i="1" s="1"/>
  <c r="J7819" i="1"/>
  <c r="L7819" i="1" s="1"/>
  <c r="J948" i="1"/>
  <c r="L948" i="1" s="1"/>
  <c r="J11181" i="1"/>
  <c r="L11181" i="1" s="1"/>
  <c r="J3903" i="1"/>
  <c r="L3903" i="1" s="1"/>
  <c r="J4525" i="1"/>
  <c r="L4525" i="1" s="1"/>
  <c r="J4534" i="1"/>
  <c r="L4534" i="1" s="1"/>
  <c r="J13813" i="1"/>
  <c r="L13813" i="1" s="1"/>
  <c r="J6143" i="1"/>
  <c r="L6143" i="1" s="1"/>
  <c r="J7755" i="1"/>
  <c r="L7755" i="1" s="1"/>
  <c r="J7818" i="1"/>
  <c r="L7818" i="1" s="1"/>
  <c r="J776" i="1"/>
  <c r="L776" i="1" s="1"/>
  <c r="J10083" i="1"/>
  <c r="L10083" i="1" s="1"/>
  <c r="J3198" i="1"/>
  <c r="L3198" i="1" s="1"/>
  <c r="J3928" i="1"/>
  <c r="L3928" i="1" s="1"/>
  <c r="J5232" i="1"/>
  <c r="L5232" i="1" s="1"/>
  <c r="J15883" i="1"/>
  <c r="L15883" i="1" s="1"/>
  <c r="J15888" i="1"/>
  <c r="L15888" i="1" s="1"/>
  <c r="J6115" i="1"/>
  <c r="L6115" i="1" s="1"/>
  <c r="J6121" i="1"/>
  <c r="L6121" i="1" s="1"/>
  <c r="J203" i="1"/>
  <c r="L203" i="1" s="1"/>
  <c r="J10382" i="1"/>
  <c r="L10382" i="1" s="1"/>
  <c r="J13365" i="1"/>
  <c r="L13365" i="1" s="1"/>
  <c r="J13801" i="1"/>
  <c r="L13801" i="1" s="1"/>
  <c r="J4796" i="1"/>
  <c r="L4796" i="1" s="1"/>
  <c r="J5262" i="1"/>
  <c r="L5262" i="1" s="1"/>
  <c r="J17151" i="1"/>
  <c r="L17151" i="1" s="1"/>
  <c r="J232" i="1"/>
  <c r="L232" i="1" s="1"/>
  <c r="J660" i="1"/>
  <c r="L660" i="1" s="1"/>
  <c r="J10374" i="1"/>
  <c r="L10374" i="1" s="1"/>
  <c r="J3131" i="1"/>
  <c r="L3131" i="1" s="1"/>
  <c r="J3757" i="1"/>
  <c r="L3757" i="1" s="1"/>
  <c r="J5230" i="1"/>
  <c r="L5230" i="1" s="1"/>
  <c r="J5264" i="1"/>
  <c r="L5264" i="1" s="1"/>
  <c r="J5267" i="1"/>
  <c r="L5267" i="1" s="1"/>
  <c r="J1383" i="1"/>
  <c r="L1383" i="1" s="1"/>
  <c r="J2025" i="1"/>
  <c r="L2025" i="1" s="1"/>
  <c r="J3401" i="1"/>
  <c r="L3401" i="1" s="1"/>
  <c r="J12574" i="1"/>
  <c r="L12574" i="1" s="1"/>
  <c r="J4251" i="1"/>
  <c r="L4251" i="1" s="1"/>
  <c r="J5245" i="1"/>
  <c r="L5245" i="1" s="1"/>
  <c r="J5580" i="1"/>
  <c r="L5580" i="1" s="1"/>
  <c r="J15896" i="1"/>
  <c r="L15896" i="1" s="1"/>
  <c r="J8789" i="1"/>
  <c r="L8789" i="1" s="1"/>
  <c r="J9270" i="1"/>
  <c r="L9270" i="1" s="1"/>
  <c r="J9271" i="1"/>
  <c r="L9271" i="1" s="1"/>
  <c r="J9275" i="1"/>
  <c r="L9275" i="1" s="1"/>
  <c r="J2026" i="1"/>
  <c r="L2026" i="1" s="1"/>
  <c r="J2735" i="1"/>
  <c r="L2735" i="1" s="1"/>
  <c r="J3911" i="1"/>
  <c r="L3911" i="1" s="1"/>
  <c r="J5399" i="1"/>
  <c r="L5399" i="1" s="1"/>
  <c r="J6105" i="1"/>
  <c r="L6105" i="1" s="1"/>
  <c r="J523" i="1"/>
  <c r="L523" i="1" s="1"/>
  <c r="J9159" i="1"/>
  <c r="L9159" i="1" s="1"/>
  <c r="J9282" i="1"/>
  <c r="L9282" i="1" s="1"/>
  <c r="J1402" i="1"/>
  <c r="L1402" i="1" s="1"/>
  <c r="J1411" i="1"/>
  <c r="L1411" i="1" s="1"/>
  <c r="J1536" i="1"/>
  <c r="L1536" i="1" s="1"/>
  <c r="J3149" i="1"/>
  <c r="L3149" i="1" s="1"/>
  <c r="J3411" i="1"/>
  <c r="L3411" i="1" s="1"/>
  <c r="J3763" i="1"/>
  <c r="L3763" i="1" s="1"/>
  <c r="J3910" i="1"/>
  <c r="L3910" i="1" s="1"/>
  <c r="J4950" i="1"/>
  <c r="L4950" i="1" s="1"/>
  <c r="J6263" i="1"/>
  <c r="L6263" i="1" s="1"/>
  <c r="J6589" i="1"/>
  <c r="L6589" i="1" s="1"/>
  <c r="J6645" i="1"/>
  <c r="L6645" i="1" s="1"/>
  <c r="J647" i="1"/>
  <c r="L647" i="1" s="1"/>
  <c r="J9274" i="1"/>
  <c r="L9274" i="1" s="1"/>
  <c r="J1882" i="1"/>
  <c r="L1882" i="1" s="1"/>
  <c r="J10387" i="1"/>
  <c r="L10387" i="1" s="1"/>
  <c r="J3040" i="1"/>
  <c r="L3040" i="1" s="1"/>
  <c r="J3145" i="1"/>
  <c r="L3145" i="1" s="1"/>
  <c r="J15635" i="1"/>
  <c r="L15635" i="1" s="1"/>
  <c r="J15879" i="1"/>
  <c r="L15879" i="1" s="1"/>
  <c r="J6133" i="1"/>
  <c r="L6133" i="1" s="1"/>
  <c r="J6467" i="1"/>
  <c r="L6467" i="1" s="1"/>
  <c r="J6640" i="1"/>
  <c r="L6640" i="1" s="1"/>
  <c r="J225" i="1"/>
  <c r="L225" i="1" s="1"/>
  <c r="J534" i="1"/>
  <c r="L534" i="1" s="1"/>
  <c r="J8788" i="1"/>
  <c r="L8788" i="1" s="1"/>
  <c r="J10373" i="1"/>
  <c r="L10373" i="1" s="1"/>
  <c r="J5398" i="1"/>
  <c r="L5398" i="1" s="1"/>
  <c r="J5707" i="1"/>
  <c r="L5707" i="1" s="1"/>
  <c r="J6270" i="1"/>
  <c r="L6270" i="1" s="1"/>
  <c r="J1396" i="1"/>
  <c r="L1396" i="1" s="1"/>
  <c r="J1945" i="1"/>
  <c r="L1945" i="1" s="1"/>
  <c r="J12529" i="1"/>
  <c r="L12529" i="1" s="1"/>
  <c r="J3917" i="1"/>
  <c r="L3917" i="1" s="1"/>
  <c r="J3918" i="1"/>
  <c r="L3918" i="1" s="1"/>
  <c r="J13829" i="1"/>
  <c r="L13829" i="1" s="1"/>
  <c r="J13836" i="1"/>
  <c r="L13836" i="1" s="1"/>
  <c r="J6262" i="1"/>
  <c r="L6262" i="1" s="1"/>
  <c r="J175" i="1"/>
  <c r="L175" i="1" s="1"/>
  <c r="J495" i="1"/>
  <c r="L495" i="1" s="1"/>
  <c r="J1365" i="1"/>
  <c r="L1365" i="1" s="1"/>
  <c r="J2789" i="1"/>
  <c r="L2789" i="1" s="1"/>
  <c r="J4191" i="1"/>
  <c r="L4191" i="1" s="1"/>
  <c r="J4246" i="1"/>
  <c r="L4246" i="1" s="1"/>
  <c r="J5238" i="1"/>
  <c r="L5238" i="1" s="1"/>
  <c r="J5248" i="1"/>
  <c r="L5248" i="1" s="1"/>
  <c r="J15887" i="1"/>
  <c r="L15887" i="1" s="1"/>
  <c r="J494" i="1"/>
  <c r="L494" i="1" s="1"/>
  <c r="J8787" i="1"/>
  <c r="L8787" i="1" s="1"/>
  <c r="J1555" i="1"/>
  <c r="L1555" i="1" s="1"/>
  <c r="J1956" i="1"/>
  <c r="L1956" i="1" s="1"/>
  <c r="J3020" i="1"/>
  <c r="L3020" i="1" s="1"/>
  <c r="J3553" i="1"/>
  <c r="L3553" i="1" s="1"/>
  <c r="J3953" i="1"/>
  <c r="L3953" i="1" s="1"/>
  <c r="J13804" i="1"/>
  <c r="L13804" i="1" s="1"/>
  <c r="J15809" i="1"/>
  <c r="L15809" i="1" s="1"/>
  <c r="J5874" i="1"/>
  <c r="L5874" i="1" s="1"/>
  <c r="J7965" i="1"/>
  <c r="L7965" i="1" s="1"/>
  <c r="J9157" i="1"/>
  <c r="L9157" i="1" s="1"/>
  <c r="J2621" i="1"/>
  <c r="L2621" i="1" s="1"/>
  <c r="J3772" i="1"/>
  <c r="L3772" i="1" s="1"/>
  <c r="J5873" i="1"/>
  <c r="L5873" i="1" s="1"/>
  <c r="J6100" i="1"/>
  <c r="L6100" i="1" s="1"/>
  <c r="J8195" i="1"/>
  <c r="L8195" i="1" s="1"/>
  <c r="J601" i="1"/>
  <c r="L601" i="1" s="1"/>
  <c r="J750" i="1"/>
  <c r="L750" i="1" s="1"/>
  <c r="J1140" i="1"/>
  <c r="L1140" i="1" s="1"/>
  <c r="J1387" i="1"/>
  <c r="L1387" i="1" s="1"/>
  <c r="J13807" i="1"/>
  <c r="L13807" i="1" s="1"/>
  <c r="J15886" i="1"/>
  <c r="L15886" i="1" s="1"/>
  <c r="J6276" i="1"/>
  <c r="L6276" i="1" s="1"/>
  <c r="J6277" i="1"/>
  <c r="L6277" i="1" s="1"/>
  <c r="J6402" i="1"/>
  <c r="L6402" i="1" s="1"/>
  <c r="J106" i="1"/>
  <c r="L106" i="1" s="1"/>
  <c r="J2371" i="1"/>
  <c r="L2371" i="1" s="1"/>
  <c r="J3782" i="1"/>
  <c r="L3782" i="1" s="1"/>
  <c r="J5544" i="1"/>
  <c r="L5544" i="1" s="1"/>
  <c r="J15434" i="1"/>
  <c r="L15434" i="1" s="1"/>
  <c r="J6113" i="1"/>
  <c r="L6113" i="1" s="1"/>
  <c r="J117" i="1"/>
  <c r="L117" i="1" s="1"/>
  <c r="J1138" i="1"/>
  <c r="L1138" i="1" s="1"/>
  <c r="J1908" i="1"/>
  <c r="L1908" i="1" s="1"/>
  <c r="J10875" i="1"/>
  <c r="L10875" i="1" s="1"/>
  <c r="J4212" i="1"/>
  <c r="L4212" i="1" s="1"/>
  <c r="J4926" i="1"/>
  <c r="L4926" i="1" s="1"/>
  <c r="J5289" i="1"/>
  <c r="L5289" i="1" s="1"/>
  <c r="J15889" i="1"/>
  <c r="L15889" i="1" s="1"/>
  <c r="J15890" i="1"/>
  <c r="L15890" i="1" s="1"/>
  <c r="J505" i="1"/>
  <c r="L505" i="1" s="1"/>
  <c r="J9150" i="1"/>
  <c r="L9150" i="1" s="1"/>
  <c r="J10359" i="1"/>
  <c r="L10359" i="1" s="1"/>
  <c r="J5404" i="1"/>
  <c r="L5404" i="1" s="1"/>
  <c r="J15433" i="1"/>
  <c r="L15433" i="1" s="1"/>
  <c r="J6261" i="1"/>
  <c r="L6261" i="1" s="1"/>
  <c r="J551" i="1"/>
  <c r="L551" i="1" s="1"/>
  <c r="J1681" i="1"/>
  <c r="L1681" i="1" s="1"/>
  <c r="J2028" i="1"/>
  <c r="L2028" i="1" s="1"/>
  <c r="J3004" i="1"/>
  <c r="L3004" i="1" s="1"/>
  <c r="J3017" i="1"/>
  <c r="L3017" i="1" s="1"/>
  <c r="J3373" i="1"/>
  <c r="L3373" i="1" s="1"/>
  <c r="J5490" i="1"/>
  <c r="L5490" i="1" s="1"/>
  <c r="J16730" i="1"/>
  <c r="L16730" i="1" s="1"/>
  <c r="J747" i="1"/>
  <c r="L747" i="1" s="1"/>
  <c r="J3105" i="1"/>
  <c r="L3105" i="1" s="1"/>
  <c r="J5221" i="1"/>
  <c r="L5221" i="1" s="1"/>
  <c r="J5235" i="1"/>
  <c r="L5235" i="1" s="1"/>
  <c r="J5266" i="1"/>
  <c r="L5266" i="1" s="1"/>
  <c r="J15892" i="1"/>
  <c r="L15892" i="1" s="1"/>
  <c r="J577" i="1"/>
  <c r="L577" i="1" s="1"/>
  <c r="J2716" i="1"/>
  <c r="L2716" i="1" s="1"/>
  <c r="J2763" i="1"/>
  <c r="L2763" i="1" s="1"/>
  <c r="J5342" i="1"/>
  <c r="L5342" i="1" s="1"/>
  <c r="J5675" i="1"/>
  <c r="L5675" i="1" s="1"/>
  <c r="J6129" i="1"/>
  <c r="L6129" i="1" s="1"/>
  <c r="J1542" i="1"/>
  <c r="L1542" i="1" s="1"/>
  <c r="J2738" i="1"/>
  <c r="L2738" i="1" s="1"/>
  <c r="J15600" i="1"/>
  <c r="L15600" i="1" s="1"/>
  <c r="J6260" i="1"/>
  <c r="L6260" i="1" s="1"/>
  <c r="J6416" i="1"/>
  <c r="L6416" i="1" s="1"/>
  <c r="J6759" i="1"/>
  <c r="L6759" i="1" s="1"/>
  <c r="J205" i="1"/>
  <c r="L205" i="1" s="1"/>
  <c r="J8231" i="1"/>
  <c r="L8231" i="1" s="1"/>
  <c r="J719" i="1"/>
  <c r="L719" i="1" s="1"/>
  <c r="J1526" i="1"/>
  <c r="L1526" i="1" s="1"/>
  <c r="J1581" i="1"/>
  <c r="L1581" i="1" s="1"/>
  <c r="J12028" i="1"/>
  <c r="L12028" i="1" s="1"/>
  <c r="J3902" i="1"/>
  <c r="L3902" i="1" s="1"/>
  <c r="J3916" i="1"/>
  <c r="L3916" i="1" s="1"/>
  <c r="J4214" i="1"/>
  <c r="L4214" i="1" s="1"/>
  <c r="J4553" i="1"/>
  <c r="L4553" i="1" s="1"/>
  <c r="J15432" i="1"/>
  <c r="L15432" i="1" s="1"/>
  <c r="J5696" i="1"/>
  <c r="L5696" i="1" s="1"/>
  <c r="J7268" i="1"/>
  <c r="L7268" i="1" s="1"/>
  <c r="J502" i="1"/>
  <c r="L502" i="1" s="1"/>
  <c r="J522" i="1"/>
  <c r="L522" i="1" s="1"/>
  <c r="J11380" i="1"/>
  <c r="L11380" i="1" s="1"/>
  <c r="J3001" i="1"/>
  <c r="L3001" i="1" s="1"/>
  <c r="J4318" i="1"/>
  <c r="L4318" i="1" s="1"/>
  <c r="J4842" i="1"/>
  <c r="L4842" i="1" s="1"/>
  <c r="J14297" i="1"/>
  <c r="L14297" i="1" s="1"/>
  <c r="J14829" i="1"/>
  <c r="L14829" i="1" s="1"/>
  <c r="H32" i="4" s="1"/>
  <c r="J5341" i="1"/>
  <c r="L5341" i="1" s="1"/>
  <c r="J6144" i="1"/>
  <c r="L6144" i="1" s="1"/>
  <c r="J266" i="1"/>
  <c r="L266" i="1" s="1"/>
  <c r="J526" i="1"/>
  <c r="L526" i="1" s="1"/>
  <c r="J597" i="1"/>
  <c r="L597" i="1" s="1"/>
  <c r="J743" i="1"/>
  <c r="L743" i="1" s="1"/>
  <c r="J8620" i="1"/>
  <c r="L8620" i="1" s="1"/>
  <c r="J3038" i="1"/>
  <c r="L3038" i="1" s="1"/>
  <c r="J3230" i="1"/>
  <c r="L3230" i="1" s="1"/>
  <c r="J3758" i="1"/>
  <c r="L3758" i="1" s="1"/>
  <c r="J14867" i="1"/>
  <c r="L14867" i="1" s="1"/>
  <c r="J5495" i="1"/>
  <c r="L5495" i="1" s="1"/>
  <c r="J6647" i="1"/>
  <c r="L6647" i="1" s="1"/>
  <c r="J6716" i="1"/>
  <c r="L6716" i="1" s="1"/>
  <c r="J8090" i="1"/>
  <c r="L8090" i="1" s="1"/>
  <c r="J638" i="1"/>
  <c r="L638" i="1" s="1"/>
  <c r="J9313" i="1"/>
  <c r="L9313" i="1" s="1"/>
  <c r="J10364" i="1"/>
  <c r="L10364" i="1" s="1"/>
  <c r="J5256" i="1"/>
  <c r="L5256" i="1" s="1"/>
  <c r="J17140" i="1"/>
  <c r="L17140" i="1" s="1"/>
  <c r="J1133" i="1"/>
  <c r="L1133" i="1" s="1"/>
  <c r="J2754" i="1"/>
  <c r="L2754" i="1" s="1"/>
  <c r="H33" i="3" s="1"/>
  <c r="J12199" i="1"/>
  <c r="L12199" i="1" s="1"/>
  <c r="J3901" i="1"/>
  <c r="L3901" i="1" s="1"/>
  <c r="J5273" i="1"/>
  <c r="L5273" i="1" s="1"/>
  <c r="J15274" i="1"/>
  <c r="L15274" i="1" s="1"/>
  <c r="J530" i="1"/>
  <c r="L530" i="1" s="1"/>
  <c r="J12527" i="1"/>
  <c r="L12527" i="1" s="1"/>
  <c r="J6112" i="1"/>
  <c r="L6112" i="1" s="1"/>
  <c r="J16706" i="1"/>
  <c r="L16706" i="1" s="1"/>
  <c r="J6943" i="1"/>
  <c r="L6943" i="1" s="1"/>
  <c r="J6957" i="1"/>
  <c r="L6957" i="1" s="1"/>
  <c r="H33" i="4" s="1"/>
  <c r="J17153" i="1"/>
  <c r="L17153" i="1" s="1"/>
  <c r="J7870" i="1"/>
  <c r="L7870" i="1" s="1"/>
  <c r="J1951" i="1"/>
  <c r="L1951" i="1" s="1"/>
  <c r="J13951" i="1"/>
  <c r="L13951" i="1" s="1"/>
  <c r="J5220" i="1"/>
  <c r="L5220" i="1" s="1"/>
  <c r="J5498" i="1"/>
  <c r="L5498" i="1" s="1"/>
  <c r="J2021" i="1"/>
  <c r="L2021" i="1" s="1"/>
  <c r="J11079" i="1"/>
  <c r="L11079" i="1" s="1"/>
  <c r="J6314" i="1"/>
  <c r="L6314" i="1" s="1"/>
  <c r="J2061" i="1"/>
  <c r="L2061" i="1" s="1"/>
  <c r="J3091" i="1"/>
  <c r="L3091" i="1" s="1"/>
  <c r="J11852" i="1"/>
  <c r="L11852" i="1" s="1"/>
  <c r="J2660" i="1"/>
  <c r="L2660" i="1" s="1"/>
  <c r="J600" i="1"/>
  <c r="L600" i="1" s="1"/>
  <c r="J9272" i="1"/>
  <c r="L9272" i="1" s="1"/>
  <c r="J4311" i="1"/>
  <c r="L4311" i="1" s="1"/>
  <c r="J5263" i="1"/>
  <c r="L5263" i="1" s="1"/>
  <c r="J6603" i="1"/>
  <c r="L6603" i="1" s="1"/>
  <c r="J6720" i="1"/>
  <c r="L6720" i="1" s="1"/>
  <c r="J533" i="1"/>
  <c r="L533" i="1" s="1"/>
  <c r="J10039" i="1"/>
  <c r="L10039" i="1" s="1"/>
  <c r="J2244" i="1"/>
  <c r="L2244" i="1" s="1"/>
  <c r="J4831" i="1"/>
  <c r="L4831" i="1" s="1"/>
  <c r="J6712" i="1"/>
  <c r="L6712" i="1" s="1"/>
  <c r="J11420" i="1"/>
  <c r="L11420" i="1" s="1"/>
  <c r="J15146" i="1"/>
  <c r="L15146" i="1" s="1"/>
  <c r="J6127" i="1"/>
  <c r="L6127" i="1" s="1"/>
  <c r="J3008" i="1"/>
  <c r="L3008" i="1" s="1"/>
  <c r="J1385" i="1"/>
  <c r="L1385" i="1" s="1"/>
  <c r="J2258" i="1"/>
  <c r="L2258" i="1" s="1"/>
  <c r="H33" i="2" s="1"/>
  <c r="J10358" i="1"/>
  <c r="L10358" i="1" s="1"/>
  <c r="J2556" i="1"/>
  <c r="L2556" i="1" s="1"/>
  <c r="J3227" i="1"/>
  <c r="L3227" i="1" s="1"/>
  <c r="J14505" i="1"/>
  <c r="L14505" i="1" s="1"/>
  <c r="J4962" i="1"/>
  <c r="L4962" i="1" s="1"/>
  <c r="J10149" i="1"/>
  <c r="L10149" i="1" s="1"/>
  <c r="J3955" i="1"/>
  <c r="L3955" i="1" s="1"/>
  <c r="J4997" i="1"/>
  <c r="L4997" i="1" s="1"/>
  <c r="J15800" i="1"/>
  <c r="L15800" i="1" s="1"/>
  <c r="J5259" i="1"/>
  <c r="L5259" i="1" s="1"/>
  <c r="J1578" i="1"/>
  <c r="L1578" i="1" s="1"/>
  <c r="J4315" i="1"/>
  <c r="L4315" i="1" s="1"/>
  <c r="J5242" i="1"/>
  <c r="L5242" i="1" s="1"/>
  <c r="J15431" i="1"/>
  <c r="L15431" i="1" s="1"/>
  <c r="J1907" i="1"/>
  <c r="L1907" i="1" s="1"/>
  <c r="J10363" i="1"/>
  <c r="L10363" i="1" s="1"/>
  <c r="J3094" i="1"/>
  <c r="L3094" i="1" s="1"/>
  <c r="J13364" i="1"/>
  <c r="L13364" i="1" s="1"/>
  <c r="J6123" i="1"/>
  <c r="L6123" i="1" s="1"/>
  <c r="J15909" i="1"/>
  <c r="L15909" i="1" s="1"/>
  <c r="J15910" i="1"/>
  <c r="L15910" i="1" s="1"/>
  <c r="J17128" i="1"/>
  <c r="L17128" i="1" s="1"/>
  <c r="J17139" i="1"/>
  <c r="L17139" i="1" s="1"/>
  <c r="J70" i="1"/>
  <c r="L70" i="1" s="1"/>
  <c r="J2649" i="1"/>
  <c r="L2649" i="1" s="1"/>
  <c r="J15430" i="1"/>
  <c r="L15430" i="1" s="1"/>
  <c r="J8786" i="1"/>
  <c r="L8786" i="1" s="1"/>
  <c r="J3069" i="1"/>
  <c r="L3069" i="1" s="1"/>
  <c r="J5929" i="1"/>
  <c r="L5929" i="1" s="1"/>
  <c r="J9012" i="1"/>
  <c r="L9012" i="1" s="1"/>
  <c r="J1198" i="1"/>
  <c r="L1198" i="1" s="1"/>
  <c r="J5258" i="1"/>
  <c r="L5258" i="1" s="1"/>
  <c r="J5272" i="1"/>
  <c r="L5272" i="1" s="1"/>
  <c r="J5346" i="1"/>
  <c r="L5346" i="1" s="1"/>
  <c r="J3555" i="1"/>
  <c r="L3555" i="1" s="1"/>
  <c r="J4795" i="1"/>
  <c r="L4795" i="1" s="1"/>
  <c r="J818" i="1"/>
  <c r="L818" i="1" s="1"/>
  <c r="J1374" i="1"/>
  <c r="L1374" i="1" s="1"/>
  <c r="J11377" i="1"/>
  <c r="L11377" i="1" s="1"/>
  <c r="J11378" i="1"/>
  <c r="L11378" i="1" s="1"/>
  <c r="J12027" i="1"/>
  <c r="L12027" i="1" s="1"/>
  <c r="J5317" i="1"/>
  <c r="L5317" i="1" s="1"/>
  <c r="J5387" i="1"/>
  <c r="L5387" i="1" s="1"/>
  <c r="J6618" i="1"/>
  <c r="L6618" i="1" s="1"/>
  <c r="J3778" i="1"/>
  <c r="L3778" i="1" s="1"/>
  <c r="J15819" i="1"/>
  <c r="L15819" i="1" s="1"/>
  <c r="J2993" i="1"/>
  <c r="L2993" i="1" s="1"/>
  <c r="J4996" i="1"/>
  <c r="L4996" i="1" s="1"/>
  <c r="J5225" i="1"/>
  <c r="L5225" i="1" s="1"/>
  <c r="J6606" i="1"/>
  <c r="L6606" i="1" s="1"/>
  <c r="J498" i="1"/>
  <c r="L498" i="1" s="1"/>
  <c r="J9281" i="1"/>
  <c r="L9281" i="1" s="1"/>
  <c r="J4520" i="1"/>
  <c r="L4520" i="1" s="1"/>
  <c r="J596" i="1"/>
  <c r="L596" i="1" s="1"/>
  <c r="J6103" i="1"/>
  <c r="L6103" i="1" s="1"/>
  <c r="J3143" i="1"/>
  <c r="L3143" i="1" s="1"/>
  <c r="J17121" i="1"/>
  <c r="L17121" i="1" s="1"/>
  <c r="J6128" i="1"/>
  <c r="L6128" i="1" s="1"/>
  <c r="J493" i="1"/>
  <c r="L493" i="1" s="1"/>
  <c r="J8785" i="1"/>
  <c r="L8785" i="1" s="1"/>
  <c r="J1952" i="1"/>
  <c r="L1952" i="1" s="1"/>
  <c r="J8784" i="1"/>
  <c r="L8784" i="1" s="1"/>
  <c r="J9269" i="1"/>
  <c r="L9269" i="1" s="1"/>
  <c r="J12026" i="1"/>
  <c r="L12026" i="1" s="1"/>
  <c r="J5877" i="1"/>
  <c r="L5877" i="1" s="1"/>
  <c r="J6646" i="1"/>
  <c r="L6646" i="1" s="1"/>
  <c r="J4250" i="1"/>
  <c r="L4250" i="1" s="1"/>
  <c r="J15462" i="1"/>
  <c r="L15462" i="1" s="1"/>
  <c r="J17127" i="1"/>
  <c r="L17127" i="1" s="1"/>
  <c r="J5316" i="1"/>
  <c r="L5316" i="1" s="1"/>
  <c r="J6313" i="1"/>
  <c r="L6313" i="1" s="1"/>
  <c r="J6601" i="1"/>
  <c r="L6601" i="1" s="1"/>
  <c r="J2020" i="1"/>
  <c r="L2020" i="1" s="1"/>
  <c r="J10397" i="1"/>
  <c r="L10397" i="1" s="1"/>
  <c r="J4210" i="1"/>
  <c r="L4210" i="1" s="1"/>
  <c r="J14610" i="1"/>
  <c r="L14610" i="1" s="1"/>
  <c r="J492" i="1"/>
  <c r="L492" i="1" s="1"/>
  <c r="J1519" i="1"/>
  <c r="L1519" i="1" s="1"/>
  <c r="J2070" i="1"/>
  <c r="L2070" i="1" s="1"/>
  <c r="H23" i="2" s="1"/>
  <c r="J2991" i="1"/>
  <c r="L2991" i="1" s="1"/>
  <c r="J5204" i="1"/>
  <c r="L5204" i="1" s="1"/>
  <c r="J10038" i="1"/>
  <c r="L10038" i="1" s="1"/>
  <c r="J12484" i="1"/>
  <c r="L12484" i="1" s="1"/>
  <c r="J6749" i="1"/>
  <c r="L6749" i="1" s="1"/>
  <c r="J265" i="1"/>
  <c r="L265" i="1" s="1"/>
  <c r="J8809" i="1"/>
  <c r="L8809" i="1" s="1"/>
  <c r="J1906" i="1"/>
  <c r="L1906" i="1" s="1"/>
  <c r="J12531" i="1"/>
  <c r="L12531" i="1" s="1"/>
  <c r="J6711" i="1"/>
  <c r="L6711" i="1" s="1"/>
  <c r="J3016" i="1"/>
  <c r="L3016" i="1" s="1"/>
  <c r="J8795" i="1"/>
  <c r="L8795" i="1" s="1"/>
  <c r="J12052" i="1"/>
  <c r="L12052" i="1" s="1"/>
  <c r="J5223" i="1"/>
  <c r="L5223" i="1" s="1"/>
  <c r="J5224" i="1"/>
  <c r="L5224" i="1" s="1"/>
  <c r="J5255" i="1"/>
  <c r="L5255" i="1" s="1"/>
  <c r="J519" i="1"/>
  <c r="L519" i="1" s="1"/>
  <c r="J1919" i="1"/>
  <c r="L1919" i="1" s="1"/>
  <c r="J5254" i="1"/>
  <c r="L5254" i="1" s="1"/>
  <c r="J6401" i="1"/>
  <c r="L6401" i="1" s="1"/>
  <c r="J3068" i="1"/>
  <c r="L3068" i="1" s="1"/>
  <c r="J5465" i="1"/>
  <c r="L5465" i="1" s="1"/>
  <c r="J15463" i="1"/>
  <c r="L15463" i="1" s="1"/>
  <c r="J518" i="1"/>
  <c r="L518" i="1" s="1"/>
  <c r="J8783" i="1"/>
  <c r="L8783" i="1" s="1"/>
  <c r="J10550" i="1"/>
  <c r="L10550" i="1" s="1"/>
  <c r="J2992" i="1"/>
  <c r="L2992" i="1" s="1"/>
  <c r="J5345" i="1"/>
  <c r="L5345" i="1" s="1"/>
  <c r="J5572" i="1"/>
  <c r="L5572" i="1" s="1"/>
  <c r="J2990" i="1"/>
  <c r="L2990" i="1" s="1"/>
  <c r="J6719" i="1"/>
  <c r="L6719" i="1" s="1"/>
  <c r="J1367" i="1"/>
  <c r="L1367" i="1" s="1"/>
  <c r="J2791" i="1"/>
  <c r="L2791" i="1" s="1"/>
  <c r="J3284" i="1"/>
  <c r="L3284" i="1" s="1"/>
  <c r="J15464" i="1"/>
  <c r="L15464" i="1" s="1"/>
  <c r="J7079" i="1"/>
  <c r="L7079" i="1" s="1"/>
  <c r="J202" i="1"/>
  <c r="L202" i="1" s="1"/>
  <c r="J1372" i="1"/>
  <c r="L1372" i="1" s="1"/>
  <c r="J1903" i="1"/>
  <c r="L1903" i="1" s="1"/>
  <c r="J5271" i="1"/>
  <c r="L5271" i="1" s="1"/>
  <c r="J5318" i="1"/>
  <c r="L5318" i="1" s="1"/>
  <c r="J2996" i="1"/>
  <c r="L2996" i="1" s="1"/>
  <c r="J643" i="1"/>
  <c r="L643" i="1" s="1"/>
  <c r="J4989" i="1"/>
  <c r="L4989" i="1" s="1"/>
  <c r="J6602" i="1"/>
  <c r="L6602" i="1" s="1"/>
  <c r="J642" i="1"/>
  <c r="L642" i="1" s="1"/>
  <c r="J11768" i="1"/>
  <c r="L11768" i="1" s="1"/>
  <c r="J13824" i="1"/>
  <c r="L13824" i="1" s="1"/>
  <c r="J2999" i="1"/>
  <c r="L2999" i="1" s="1"/>
  <c r="J12025" i="1"/>
  <c r="L12025" i="1" s="1"/>
  <c r="J6605" i="1"/>
  <c r="L6605" i="1" s="1"/>
  <c r="J6604" i="1"/>
  <c r="L6604" i="1" s="1"/>
  <c r="J1384" i="1"/>
  <c r="L1384" i="1" s="1"/>
  <c r="J12053" i="1"/>
  <c r="L12053" i="1" s="1"/>
  <c r="J5287" i="1"/>
  <c r="L5287" i="1" s="1"/>
  <c r="J5871" i="1"/>
  <c r="L5871" i="1" s="1"/>
  <c r="J8550" i="1"/>
  <c r="L8550" i="1" s="1"/>
  <c r="J822" i="1"/>
  <c r="L822" i="1" s="1"/>
  <c r="J10399" i="1"/>
  <c r="L10399" i="1" s="1"/>
  <c r="J5394" i="1"/>
  <c r="L5394" i="1" s="1"/>
  <c r="J3028" i="1"/>
  <c r="L3028" i="1" s="1"/>
  <c r="J5393" i="1"/>
  <c r="L5393" i="1" s="1"/>
  <c r="J17163" i="1"/>
  <c r="L17163" i="1" s="1"/>
  <c r="J260" i="1"/>
  <c r="L260" i="1" s="1"/>
  <c r="J16857" i="1"/>
  <c r="L16857" i="1" s="1"/>
  <c r="J9229" i="1"/>
  <c r="L9229" i="1" s="1"/>
  <c r="J6717" i="1"/>
  <c r="L6717" i="1" s="1"/>
  <c r="J2790" i="1"/>
  <c r="L2790" i="1" s="1"/>
  <c r="J4310" i="1"/>
  <c r="L4310" i="1" s="1"/>
  <c r="J4211" i="1"/>
  <c r="L4211" i="1" s="1"/>
  <c r="J17159" i="1"/>
  <c r="L17159" i="1" s="1"/>
  <c r="J10046" i="1"/>
  <c r="L10046" i="1" s="1"/>
  <c r="J9161" i="1"/>
  <c r="L9161" i="1" s="1"/>
  <c r="J2029" i="1"/>
  <c r="L2029" i="1" s="1"/>
  <c r="J10826" i="1"/>
  <c r="L10826" i="1" s="1"/>
  <c r="J4226" i="1"/>
  <c r="L4226" i="1" s="1"/>
  <c r="J4420" i="1"/>
  <c r="L4420" i="1" s="1"/>
  <c r="J2786" i="1"/>
  <c r="L2786" i="1" s="1"/>
  <c r="J7609" i="1"/>
  <c r="L7609" i="1" s="1"/>
  <c r="H25" i="2" s="1"/>
  <c r="J6325" i="1"/>
  <c r="L6325" i="1" s="1"/>
  <c r="J3142" i="1"/>
  <c r="L3142" i="1" s="1"/>
  <c r="J11005" i="1"/>
  <c r="L11005" i="1" s="1"/>
  <c r="J4988" i="1"/>
  <c r="L4988" i="1" s="1"/>
  <c r="J2785" i="1"/>
  <c r="L2785" i="1" s="1"/>
  <c r="J15429" i="1"/>
  <c r="L15429" i="1" s="1"/>
  <c r="J1142" i="1"/>
  <c r="L1142" i="1" s="1"/>
  <c r="J3019" i="1"/>
  <c r="L3019" i="1" s="1"/>
  <c r="J4213" i="1"/>
  <c r="L4213" i="1" s="1"/>
  <c r="J6641" i="1"/>
  <c r="L6641" i="1" s="1"/>
  <c r="J6710" i="1"/>
  <c r="L6710" i="1" s="1"/>
  <c r="J6831" i="1"/>
  <c r="L6831" i="1" s="1"/>
  <c r="J259" i="1"/>
  <c r="L259" i="1" s="1"/>
  <c r="J5229" i="1"/>
  <c r="L5229" i="1" s="1"/>
  <c r="J2734" i="1"/>
  <c r="L2734" i="1" s="1"/>
  <c r="J823" i="1"/>
  <c r="L823" i="1" s="1"/>
  <c r="J1948" i="1"/>
  <c r="L1948" i="1" s="1"/>
  <c r="J2138" i="1"/>
  <c r="L2138" i="1" s="1"/>
  <c r="J14446" i="1"/>
  <c r="L14446" i="1" s="1"/>
  <c r="J4309" i="1"/>
  <c r="L4309" i="1" s="1"/>
  <c r="J14786" i="1"/>
  <c r="L14786" i="1" s="1"/>
  <c r="J5392" i="1"/>
  <c r="L5392" i="1" s="1"/>
  <c r="J15188" i="1"/>
  <c r="L15188" i="1" s="1"/>
  <c r="J14247" i="1"/>
  <c r="L14247" i="1" s="1"/>
  <c r="J15894" i="1"/>
  <c r="L15894" i="1" s="1"/>
  <c r="J15902" i="1"/>
  <c r="L15902" i="1" s="1"/>
  <c r="J5578" i="1"/>
  <c r="L5578" i="1" s="1"/>
  <c r="J641" i="1"/>
  <c r="L641" i="1" s="1"/>
  <c r="J2019" i="1"/>
  <c r="L2019" i="1" s="1"/>
  <c r="J5202" i="1"/>
  <c r="L5202" i="1" s="1"/>
  <c r="J11766" i="1"/>
  <c r="L11766" i="1" s="1"/>
  <c r="J5577" i="1"/>
  <c r="L5577" i="1" s="1"/>
  <c r="J15893" i="1"/>
  <c r="L15893" i="1" s="1"/>
  <c r="J2995" i="1"/>
  <c r="L2995" i="1" s="1"/>
  <c r="J15428" i="1"/>
  <c r="L15428" i="1" s="1"/>
  <c r="J8548" i="1"/>
  <c r="L8548" i="1" s="1"/>
  <c r="J4925" i="1"/>
  <c r="L4925" i="1" s="1"/>
  <c r="J13967" i="1"/>
  <c r="L13967" i="1" s="1"/>
  <c r="J8782" i="1"/>
  <c r="L8782" i="1" s="1"/>
  <c r="J6823" i="1"/>
  <c r="L6823" i="1" s="1"/>
  <c r="J3282" i="1"/>
  <c r="L3282" i="1" s="1"/>
  <c r="J15427" i="1"/>
  <c r="L15427" i="1" s="1"/>
  <c r="J7804" i="1"/>
  <c r="L7804" i="1" s="1"/>
  <c r="J2976" i="1"/>
  <c r="L2976" i="1" s="1"/>
  <c r="J4247" i="1"/>
  <c r="L4247" i="1" s="1"/>
  <c r="J10391" i="1"/>
  <c r="L10391" i="1" s="1"/>
  <c r="J5576" i="1"/>
  <c r="L5576" i="1" s="1"/>
  <c r="J17162" i="1"/>
  <c r="L17162" i="1" s="1"/>
  <c r="J4987" i="1"/>
  <c r="L4987" i="1" s="1"/>
  <c r="J15187" i="1"/>
  <c r="L15187" i="1" s="1"/>
  <c r="J2784" i="1"/>
  <c r="L2784" i="1" s="1"/>
  <c r="J15186" i="1"/>
  <c r="L15186" i="1" s="1"/>
  <c r="J14418" i="1"/>
  <c r="L14418" i="1" s="1"/>
  <c r="J477" i="1"/>
  <c r="L477" i="1" s="1"/>
  <c r="J12024" i="1"/>
  <c r="L12024" i="1" s="1"/>
  <c r="J4317" i="1"/>
  <c r="L4317" i="1" s="1"/>
  <c r="J15426" i="1"/>
  <c r="L15426" i="1" s="1"/>
  <c r="J3558" i="1"/>
  <c r="L3558" i="1" s="1"/>
  <c r="J3135" i="1"/>
  <c r="L3135" i="1" s="1"/>
  <c r="J8781" i="1"/>
  <c r="L8781" i="1" s="1"/>
  <c r="J15891" i="1"/>
  <c r="L15891" i="1" s="1"/>
  <c r="J490" i="1"/>
  <c r="L490" i="1" s="1"/>
  <c r="J12023" i="1"/>
  <c r="L12023" i="1" s="1"/>
  <c r="J5401" i="1"/>
  <c r="L5401" i="1" s="1"/>
  <c r="J488" i="1"/>
  <c r="L488" i="1" s="1"/>
  <c r="J258" i="1"/>
  <c r="L258" i="1" s="1"/>
  <c r="J497" i="1"/>
  <c r="L497" i="1" s="1"/>
  <c r="J4245" i="1"/>
  <c r="L4245" i="1" s="1"/>
  <c r="J11767" i="1"/>
  <c r="L11767" i="1" s="1"/>
  <c r="J6639" i="1"/>
  <c r="L6639" i="1" s="1"/>
  <c r="J3134" i="1"/>
  <c r="L3134" i="1" s="1"/>
  <c r="J2131" i="1"/>
  <c r="L2131" i="1" s="1"/>
  <c r="J5228" i="1"/>
  <c r="L5228" i="1" s="1"/>
  <c r="J5216" i="1"/>
  <c r="L5216" i="1" s="1"/>
  <c r="J650" i="1"/>
  <c r="L650" i="1" s="1"/>
  <c r="J5203" i="1"/>
  <c r="L5203" i="1" s="1"/>
  <c r="J1946" i="1"/>
  <c r="L1946" i="1" s="1"/>
  <c r="J4411" i="1"/>
  <c r="L4411" i="1" s="1"/>
  <c r="J8549" i="1"/>
  <c r="L8549" i="1" s="1"/>
  <c r="J2989" i="1"/>
  <c r="L2989" i="1" s="1"/>
  <c r="J478" i="1"/>
  <c r="L478" i="1" s="1"/>
  <c r="J2988" i="1"/>
  <c r="L2988" i="1" s="1"/>
  <c r="J4076" i="1"/>
  <c r="L4076" i="1" s="1"/>
  <c r="J3283" i="1"/>
  <c r="L3283" i="1" s="1"/>
  <c r="J5218" i="1"/>
  <c r="L5218" i="1" s="1"/>
  <c r="J2977" i="1"/>
  <c r="L2977" i="1" s="1"/>
  <c r="J15425" i="1"/>
  <c r="L15425" i="1" s="1"/>
  <c r="J8503" i="1"/>
  <c r="L8503" i="1" s="1"/>
  <c r="J11727" i="1"/>
  <c r="L11727" i="1" s="1"/>
  <c r="J2113" i="1"/>
  <c r="L2113" i="1" s="1"/>
  <c r="J4395" i="1"/>
  <c r="L4395" i="1" s="1"/>
  <c r="J15145" i="1"/>
  <c r="L15145" i="1" s="1"/>
  <c r="J6806" i="1"/>
  <c r="L6806" i="1" s="1"/>
  <c r="J7252" i="1"/>
  <c r="L7252" i="1" s="1"/>
  <c r="H16" i="3" l="1"/>
  <c r="H21" i="3"/>
  <c r="F16" i="2"/>
  <c r="F21" i="2"/>
  <c r="E21" i="3"/>
  <c r="E21" i="4"/>
  <c r="D21" i="4"/>
  <c r="C21" i="3"/>
  <c r="H21" i="4"/>
  <c r="G16" i="4"/>
  <c r="G21" i="4"/>
  <c r="G21" i="3"/>
  <c r="E21" i="2"/>
  <c r="D21" i="3"/>
  <c r="C21" i="4"/>
  <c r="B21" i="3"/>
  <c r="B21" i="4"/>
  <c r="B21" i="2"/>
  <c r="H43" i="2"/>
  <c r="H16" i="2"/>
  <c r="H21" i="2"/>
  <c r="F21" i="4"/>
  <c r="D21" i="2"/>
  <c r="C21" i="2"/>
  <c r="G21" i="2"/>
  <c r="F21" i="3"/>
  <c r="C12" i="2"/>
  <c r="H17" i="3"/>
  <c r="H19" i="3"/>
  <c r="H53" i="3" s="1"/>
  <c r="H40" i="4"/>
  <c r="E7" i="4"/>
  <c r="E42" i="2"/>
  <c r="C3" i="4"/>
  <c r="C28" i="4"/>
  <c r="H31" i="2"/>
  <c r="G23" i="3"/>
  <c r="H25" i="4"/>
  <c r="F45" i="4"/>
  <c r="F54" i="4" s="1"/>
  <c r="D3" i="4"/>
  <c r="C6" i="2"/>
  <c r="E41" i="2"/>
  <c r="G25" i="4"/>
  <c r="F41" i="3"/>
  <c r="E35" i="3"/>
  <c r="H43" i="4"/>
  <c r="G6" i="4"/>
  <c r="H32" i="2"/>
  <c r="G33" i="3"/>
  <c r="B32" i="4"/>
  <c r="E44" i="2"/>
  <c r="E25" i="3"/>
  <c r="E24" i="4"/>
  <c r="E23" i="3"/>
  <c r="D40" i="4"/>
  <c r="D42" i="3"/>
  <c r="D31" i="4"/>
  <c r="D27" i="4"/>
  <c r="D42" i="2"/>
  <c r="D6" i="4"/>
  <c r="D23" i="4"/>
  <c r="D27" i="3"/>
  <c r="D44" i="3"/>
  <c r="E32" i="3"/>
  <c r="D32" i="2"/>
  <c r="D34" i="2"/>
  <c r="G42" i="4"/>
  <c r="E34" i="4"/>
  <c r="B44" i="4"/>
  <c r="B8" i="3"/>
  <c r="H19" i="4"/>
  <c r="H53" i="4" s="1"/>
  <c r="G17" i="4"/>
  <c r="H25" i="3"/>
  <c r="H19" i="2"/>
  <c r="H37" i="3"/>
  <c r="H30" i="3"/>
  <c r="H29" i="4"/>
  <c r="H22" i="4"/>
  <c r="H29" i="2"/>
  <c r="H22" i="2"/>
  <c r="H14" i="3"/>
  <c r="H10" i="3"/>
  <c r="H23" i="3"/>
  <c r="H29" i="3"/>
  <c r="H41" i="3"/>
  <c r="H31" i="3"/>
  <c r="H41" i="4"/>
  <c r="H16" i="4"/>
  <c r="H37" i="2"/>
  <c r="H30" i="2"/>
  <c r="H37" i="4"/>
  <c r="H30" i="4"/>
  <c r="H17" i="4"/>
  <c r="H32" i="3"/>
  <c r="H24" i="3"/>
  <c r="G25" i="3"/>
  <c r="G30" i="3"/>
  <c r="G37" i="3"/>
  <c r="G53" i="4"/>
  <c r="G33" i="2"/>
  <c r="G23" i="2"/>
  <c r="G18" i="4"/>
  <c r="G6" i="3"/>
  <c r="G40" i="4"/>
  <c r="G24" i="2"/>
  <c r="G19" i="2"/>
  <c r="G40" i="3"/>
  <c r="G18" i="2"/>
  <c r="G17" i="2"/>
  <c r="G18" i="3"/>
  <c r="G31" i="4"/>
  <c r="F34" i="4"/>
  <c r="F7" i="6"/>
  <c r="F7" i="5"/>
  <c r="F37" i="3"/>
  <c r="F30" i="3"/>
  <c r="F34" i="2"/>
  <c r="F35" i="2"/>
  <c r="F3" i="4"/>
  <c r="F9" i="4"/>
  <c r="F41" i="4"/>
  <c r="F32" i="4"/>
  <c r="F43" i="4"/>
  <c r="F9" i="3"/>
  <c r="F3" i="3"/>
  <c r="F38" i="6"/>
  <c r="F38" i="5"/>
  <c r="F4" i="6"/>
  <c r="F4" i="5"/>
  <c r="F54" i="3"/>
  <c r="F40" i="2"/>
  <c r="F33" i="2"/>
  <c r="F42" i="3"/>
  <c r="F17" i="3"/>
  <c r="F34" i="3"/>
  <c r="F15" i="2"/>
  <c r="F18" i="2"/>
  <c r="F43" i="2"/>
  <c r="F17" i="2"/>
  <c r="E33" i="4"/>
  <c r="E46" i="4"/>
  <c r="E39" i="4"/>
  <c r="E19" i="3"/>
  <c r="E29" i="2"/>
  <c r="E22" i="2"/>
  <c r="E7" i="2"/>
  <c r="E42" i="4"/>
  <c r="E4" i="2"/>
  <c r="E16" i="4"/>
  <c r="E37" i="2"/>
  <c r="E30" i="2"/>
  <c r="E29" i="4"/>
  <c r="E22" i="4"/>
  <c r="E46" i="3"/>
  <c r="E39" i="3"/>
  <c r="E23" i="2"/>
  <c r="E43" i="4"/>
  <c r="E15" i="2"/>
  <c r="D25" i="4"/>
  <c r="D31" i="2"/>
  <c r="D24" i="4"/>
  <c r="D39" i="2"/>
  <c r="D46" i="2"/>
  <c r="D40" i="2"/>
  <c r="D6" i="3"/>
  <c r="D24" i="3"/>
  <c r="D34" i="3"/>
  <c r="D8" i="6"/>
  <c r="D8" i="5"/>
  <c r="D25" i="2"/>
  <c r="D43" i="3"/>
  <c r="D19" i="3"/>
  <c r="D37" i="3"/>
  <c r="D30" i="3"/>
  <c r="D7" i="3"/>
  <c r="D3" i="3"/>
  <c r="D45" i="3"/>
  <c r="D54" i="3" s="1"/>
  <c r="D38" i="4"/>
  <c r="D14" i="4"/>
  <c r="D10" i="4"/>
  <c r="D25" i="3"/>
  <c r="D9" i="3"/>
  <c r="D2" i="3"/>
  <c r="D35" i="2"/>
  <c r="D15" i="2"/>
  <c r="C37" i="4"/>
  <c r="C30" i="4"/>
  <c r="C18" i="4"/>
  <c r="C45" i="2"/>
  <c r="C3" i="3"/>
  <c r="C28" i="3"/>
  <c r="C17" i="3"/>
  <c r="C25" i="2"/>
  <c r="C28" i="2"/>
  <c r="C23" i="3"/>
  <c r="C43" i="3"/>
  <c r="C16" i="3"/>
  <c r="C35" i="2"/>
  <c r="C24" i="4"/>
  <c r="C14" i="3"/>
  <c r="C10" i="3"/>
  <c r="C26" i="4"/>
  <c r="C31" i="4"/>
  <c r="C34" i="4"/>
  <c r="C33" i="4"/>
  <c r="C7" i="2"/>
  <c r="C15" i="4"/>
  <c r="C39" i="4"/>
  <c r="C46" i="4"/>
  <c r="C4" i="4"/>
  <c r="C38" i="4"/>
  <c r="C8" i="3"/>
  <c r="C32" i="3"/>
  <c r="C42" i="3"/>
  <c r="C17" i="4"/>
  <c r="C27" i="4"/>
  <c r="C18" i="3"/>
  <c r="B24" i="3"/>
  <c r="B18" i="4"/>
  <c r="B24" i="4"/>
  <c r="B31" i="4"/>
  <c r="B4" i="3"/>
  <c r="B41" i="4"/>
  <c r="B26" i="3"/>
  <c r="B33" i="4"/>
  <c r="B11" i="3"/>
  <c r="B40" i="3"/>
  <c r="B15" i="3"/>
  <c r="B20" i="4"/>
  <c r="I20" i="4" s="1"/>
  <c r="H49" i="3"/>
  <c r="H46" i="3"/>
  <c r="H39" i="3"/>
  <c r="H15" i="2"/>
  <c r="H15" i="4"/>
  <c r="H33" i="6"/>
  <c r="H33" i="5"/>
  <c r="G22" i="3"/>
  <c r="G29" i="3"/>
  <c r="G29" i="2"/>
  <c r="G22" i="2"/>
  <c r="G34" i="3"/>
  <c r="G41" i="2"/>
  <c r="G43" i="2"/>
  <c r="F8" i="6"/>
  <c r="F8" i="5"/>
  <c r="F54" i="2"/>
  <c r="F3" i="6"/>
  <c r="F3" i="5"/>
  <c r="F31" i="3"/>
  <c r="E27" i="6"/>
  <c r="E27" i="5"/>
  <c r="E18" i="4"/>
  <c r="E9" i="4"/>
  <c r="E3" i="4"/>
  <c r="E24" i="3"/>
  <c r="E34" i="3"/>
  <c r="E43" i="3"/>
  <c r="E8" i="6"/>
  <c r="E8" i="5"/>
  <c r="E9" i="2"/>
  <c r="E3" i="2"/>
  <c r="E18" i="2"/>
  <c r="E41" i="4"/>
  <c r="E37" i="4"/>
  <c r="E30" i="4"/>
  <c r="E40" i="4"/>
  <c r="E31" i="2"/>
  <c r="E17" i="2"/>
  <c r="E25" i="4"/>
  <c r="E45" i="3"/>
  <c r="D37" i="2"/>
  <c r="D30" i="2"/>
  <c r="D40" i="3"/>
  <c r="D18" i="3"/>
  <c r="D41" i="2"/>
  <c r="D6" i="2"/>
  <c r="D42" i="5"/>
  <c r="D17" i="3"/>
  <c r="D31" i="3"/>
  <c r="D33" i="2"/>
  <c r="D16" i="4"/>
  <c r="D45" i="2"/>
  <c r="D54" i="2" s="1"/>
  <c r="D26" i="6"/>
  <c r="D26" i="5"/>
  <c r="D7" i="4"/>
  <c r="D44" i="4"/>
  <c r="D19" i="4"/>
  <c r="D37" i="4"/>
  <c r="D30" i="4"/>
  <c r="D35" i="3"/>
  <c r="D29" i="3"/>
  <c r="D22" i="3"/>
  <c r="D38" i="3"/>
  <c r="D23" i="3"/>
  <c r="D7" i="2"/>
  <c r="D38" i="2"/>
  <c r="D3" i="2"/>
  <c r="D18" i="2"/>
  <c r="C41" i="2"/>
  <c r="C39" i="2"/>
  <c r="C46" i="2"/>
  <c r="C43" i="4"/>
  <c r="C25" i="3"/>
  <c r="C22" i="3"/>
  <c r="C29" i="3"/>
  <c r="C30" i="3"/>
  <c r="C37" i="3"/>
  <c r="C34" i="2"/>
  <c r="C16" i="6"/>
  <c r="C16" i="5"/>
  <c r="C35" i="4"/>
  <c r="C8" i="2"/>
  <c r="C3" i="2"/>
  <c r="C26" i="2"/>
  <c r="C45" i="4"/>
  <c r="C42" i="2"/>
  <c r="C40" i="4"/>
  <c r="C23" i="4"/>
  <c r="C6" i="3"/>
  <c r="C44" i="3"/>
  <c r="C24" i="3"/>
  <c r="C31" i="2"/>
  <c r="C25" i="4"/>
  <c r="C41" i="4"/>
  <c r="C26" i="3"/>
  <c r="C45" i="3"/>
  <c r="C31" i="3"/>
  <c r="C23" i="2"/>
  <c r="I12" i="4"/>
  <c r="K12" i="4" s="1"/>
  <c r="B12" i="6"/>
  <c r="B2" i="2"/>
  <c r="B30" i="4"/>
  <c r="B37" i="4"/>
  <c r="B7" i="4"/>
  <c r="B14" i="4"/>
  <c r="B10" i="4"/>
  <c r="B27" i="4"/>
  <c r="B3" i="3"/>
  <c r="B44" i="3"/>
  <c r="B23" i="4"/>
  <c r="B43" i="4"/>
  <c r="B46" i="4"/>
  <c r="B39" i="4"/>
  <c r="B46" i="3"/>
  <c r="B39" i="3"/>
  <c r="B25" i="4"/>
  <c r="B6" i="3"/>
  <c r="B37" i="3"/>
  <c r="B30" i="3"/>
  <c r="B35" i="4"/>
  <c r="G32" i="2"/>
  <c r="G15" i="3"/>
  <c r="G33" i="4"/>
  <c r="G45" i="6"/>
  <c r="G45" i="5"/>
  <c r="G54" i="2"/>
  <c r="G37" i="4"/>
  <c r="G30" i="4"/>
  <c r="F5" i="6"/>
  <c r="F5" i="5"/>
  <c r="F29" i="3"/>
  <c r="F23" i="3"/>
  <c r="F22" i="4"/>
  <c r="F22" i="6" s="1"/>
  <c r="F29" i="4"/>
  <c r="F19" i="6"/>
  <c r="F19" i="5"/>
  <c r="F45" i="6"/>
  <c r="F45" i="5"/>
  <c r="F25" i="2"/>
  <c r="H14" i="4"/>
  <c r="H10" i="4"/>
  <c r="H17" i="2"/>
  <c r="H31" i="4"/>
  <c r="H23" i="6"/>
  <c r="H23" i="5"/>
  <c r="H34" i="4"/>
  <c r="H52" i="4" s="1"/>
  <c r="H55" i="4" s="1"/>
  <c r="H41" i="2"/>
  <c r="H34" i="2"/>
  <c r="H40" i="2"/>
  <c r="H48" i="2" s="1"/>
  <c r="H18" i="3"/>
  <c r="H50" i="3" s="1"/>
  <c r="H18" i="4"/>
  <c r="H50" i="4" s="1"/>
  <c r="H16" i="6"/>
  <c r="H16" i="5"/>
  <c r="H34" i="3"/>
  <c r="H52" i="3" s="1"/>
  <c r="H55" i="3" s="1"/>
  <c r="G2" i="3"/>
  <c r="G9" i="3"/>
  <c r="G46" i="3"/>
  <c r="G39" i="3"/>
  <c r="G46" i="2"/>
  <c r="G39" i="2"/>
  <c r="G24" i="4"/>
  <c r="G43" i="4"/>
  <c r="G15" i="2"/>
  <c r="G6" i="2"/>
  <c r="G23" i="4"/>
  <c r="G48" i="4" s="1"/>
  <c r="G42" i="2"/>
  <c r="G34" i="2"/>
  <c r="G40" i="2"/>
  <c r="G32" i="3"/>
  <c r="G41" i="3"/>
  <c r="G39" i="4"/>
  <c r="G46" i="4"/>
  <c r="G37" i="2"/>
  <c r="G30" i="2"/>
  <c r="G19" i="3"/>
  <c r="G3" i="3"/>
  <c r="G16" i="3"/>
  <c r="F42" i="4"/>
  <c r="F42" i="2"/>
  <c r="F46" i="4"/>
  <c r="F39" i="4"/>
  <c r="F30" i="4"/>
  <c r="F37" i="4"/>
  <c r="F29" i="2"/>
  <c r="F23" i="2"/>
  <c r="F32" i="2"/>
  <c r="F24" i="3"/>
  <c r="F30" i="2"/>
  <c r="F37" i="2"/>
  <c r="F15" i="4"/>
  <c r="F18" i="4"/>
  <c r="F43" i="3"/>
  <c r="F27" i="3"/>
  <c r="F53" i="3" s="1"/>
  <c r="F24" i="2"/>
  <c r="F16" i="3"/>
  <c r="F16" i="6" s="1"/>
  <c r="F2" i="2"/>
  <c r="F9" i="2"/>
  <c r="E32" i="2"/>
  <c r="E39" i="2"/>
  <c r="E46" i="2"/>
  <c r="E54" i="3"/>
  <c r="E20" i="6"/>
  <c r="E20" i="5"/>
  <c r="E38" i="4"/>
  <c r="E37" i="3"/>
  <c r="E30" i="3"/>
  <c r="E33" i="2"/>
  <c r="E17" i="4"/>
  <c r="E33" i="3"/>
  <c r="E16" i="2"/>
  <c r="E52" i="4"/>
  <c r="E6" i="6"/>
  <c r="E9" i="3"/>
  <c r="E7" i="3"/>
  <c r="E29" i="3"/>
  <c r="E22" i="3"/>
  <c r="E40" i="3"/>
  <c r="E15" i="3"/>
  <c r="E45" i="2"/>
  <c r="D32" i="3"/>
  <c r="D29" i="4"/>
  <c r="D22" i="4"/>
  <c r="D16" i="3"/>
  <c r="D32" i="5"/>
  <c r="D42" i="4"/>
  <c r="D42" i="6" s="1"/>
  <c r="D18" i="4"/>
  <c r="D33" i="4"/>
  <c r="D17" i="2"/>
  <c r="D34" i="5"/>
  <c r="D17" i="4"/>
  <c r="D2" i="2"/>
  <c r="D9" i="2"/>
  <c r="D23" i="2"/>
  <c r="D19" i="2"/>
  <c r="D32" i="4"/>
  <c r="D41" i="4"/>
  <c r="D28" i="4"/>
  <c r="D28" i="6" s="1"/>
  <c r="D4" i="3"/>
  <c r="D46" i="3"/>
  <c r="D39" i="3"/>
  <c r="D15" i="3"/>
  <c r="D14" i="2"/>
  <c r="D10" i="2"/>
  <c r="D16" i="2"/>
  <c r="D24" i="2"/>
  <c r="C48" i="4"/>
  <c r="C19" i="4"/>
  <c r="C17" i="2"/>
  <c r="C30" i="2"/>
  <c r="C37" i="2"/>
  <c r="C4" i="3"/>
  <c r="C18" i="2"/>
  <c r="C33" i="2"/>
  <c r="C5" i="3"/>
  <c r="I5" i="3" s="1"/>
  <c r="K5" i="3" s="1"/>
  <c r="C2" i="2"/>
  <c r="C9" i="2"/>
  <c r="I12" i="2"/>
  <c r="J12" i="2" s="1"/>
  <c r="C12" i="6"/>
  <c r="C12" i="5"/>
  <c r="C43" i="2"/>
  <c r="C19" i="2"/>
  <c r="C5" i="4"/>
  <c r="C27" i="2"/>
  <c r="C20" i="6"/>
  <c r="C20" i="5"/>
  <c r="C2" i="3"/>
  <c r="C9" i="3"/>
  <c r="J12" i="3"/>
  <c r="K12" i="3"/>
  <c r="C32" i="2"/>
  <c r="C36" i="5"/>
  <c r="C40" i="2"/>
  <c r="C24" i="2"/>
  <c r="C44" i="4"/>
  <c r="C6" i="4"/>
  <c r="C52" i="4" s="1"/>
  <c r="C27" i="3"/>
  <c r="C4" i="2"/>
  <c r="C7" i="4"/>
  <c r="I13" i="4"/>
  <c r="K13" i="4" s="1"/>
  <c r="C36" i="4"/>
  <c r="C36" i="6" s="1"/>
  <c r="C38" i="3"/>
  <c r="I13" i="3"/>
  <c r="K13" i="3" s="1"/>
  <c r="C38" i="2"/>
  <c r="I11" i="4"/>
  <c r="K11" i="4" s="1"/>
  <c r="B3" i="4"/>
  <c r="B9" i="4"/>
  <c r="B42" i="4"/>
  <c r="B34" i="3"/>
  <c r="B28" i="3"/>
  <c r="I28" i="3" s="1"/>
  <c r="B38" i="4"/>
  <c r="I38" i="4" s="1"/>
  <c r="B45" i="3"/>
  <c r="B17" i="4"/>
  <c r="B45" i="4"/>
  <c r="B17" i="3"/>
  <c r="B41" i="3"/>
  <c r="B22" i="4"/>
  <c r="B29" i="4"/>
  <c r="B36" i="3"/>
  <c r="B29" i="3"/>
  <c r="B22" i="3"/>
  <c r="I22" i="3" s="1"/>
  <c r="J22" i="3" s="1"/>
  <c r="B25" i="3"/>
  <c r="B15" i="4"/>
  <c r="B6" i="4"/>
  <c r="B38" i="3"/>
  <c r="B42" i="3"/>
  <c r="B42" i="2"/>
  <c r="H14" i="2"/>
  <c r="H10" i="2"/>
  <c r="H43" i="6"/>
  <c r="H43" i="5"/>
  <c r="G41" i="4"/>
  <c r="G43" i="3"/>
  <c r="H39" i="2"/>
  <c r="H46" i="2"/>
  <c r="H15" i="3"/>
  <c r="H46" i="4"/>
  <c r="H39" i="4"/>
  <c r="H25" i="6"/>
  <c r="H25" i="5"/>
  <c r="H32" i="6"/>
  <c r="H32" i="5"/>
  <c r="H4" i="4"/>
  <c r="H9" i="4"/>
  <c r="H9" i="6" s="1"/>
  <c r="H24" i="4"/>
  <c r="H40" i="3"/>
  <c r="H18" i="2"/>
  <c r="G9" i="4"/>
  <c r="G2" i="4"/>
  <c r="G9" i="2"/>
  <c r="G2" i="2"/>
  <c r="G25" i="2"/>
  <c r="G32" i="4"/>
  <c r="G42" i="3"/>
  <c r="G34" i="4"/>
  <c r="G52" i="4" s="1"/>
  <c r="G55" i="4" s="1"/>
  <c r="G4" i="6"/>
  <c r="G4" i="5"/>
  <c r="G24" i="3"/>
  <c r="G35" i="6"/>
  <c r="G35" i="5"/>
  <c r="G50" i="4"/>
  <c r="G5" i="6"/>
  <c r="G5" i="5"/>
  <c r="G16" i="2"/>
  <c r="G31" i="2"/>
  <c r="G17" i="3"/>
  <c r="G49" i="3" s="1"/>
  <c r="G15" i="4"/>
  <c r="G29" i="4"/>
  <c r="G22" i="4"/>
  <c r="G31" i="3"/>
  <c r="G27" i="2"/>
  <c r="F46" i="3"/>
  <c r="F39" i="3"/>
  <c r="F41" i="2"/>
  <c r="F46" i="2"/>
  <c r="F39" i="2"/>
  <c r="F31" i="2"/>
  <c r="F27" i="6"/>
  <c r="F27" i="5"/>
  <c r="F53" i="2"/>
  <c r="F25" i="3"/>
  <c r="F35" i="4"/>
  <c r="F53" i="4" s="1"/>
  <c r="F24" i="4"/>
  <c r="F25" i="4"/>
  <c r="F40" i="4"/>
  <c r="F40" i="3"/>
  <c r="F18" i="3"/>
  <c r="F17" i="4"/>
  <c r="F31" i="4"/>
  <c r="E44" i="3"/>
  <c r="E44" i="6" s="1"/>
  <c r="E32" i="4"/>
  <c r="E19" i="2"/>
  <c r="E42" i="3"/>
  <c r="E42" i="6" s="1"/>
  <c r="E35" i="2"/>
  <c r="E40" i="2"/>
  <c r="E17" i="3"/>
  <c r="E34" i="2"/>
  <c r="E38" i="2"/>
  <c r="E43" i="2"/>
  <c r="E31" i="3"/>
  <c r="E48" i="3" s="1"/>
  <c r="E31" i="4"/>
  <c r="E19" i="4"/>
  <c r="E53" i="4" s="1"/>
  <c r="E15" i="4"/>
  <c r="E47" i="4" s="1"/>
  <c r="E41" i="3"/>
  <c r="E41" i="6" s="1"/>
  <c r="E38" i="3"/>
  <c r="E18" i="3"/>
  <c r="E24" i="2"/>
  <c r="E25" i="2"/>
  <c r="D34" i="4"/>
  <c r="D48" i="4"/>
  <c r="D29" i="2"/>
  <c r="D22" i="2"/>
  <c r="D43" i="2"/>
  <c r="D15" i="4"/>
  <c r="D33" i="3"/>
  <c r="D35" i="4"/>
  <c r="D46" i="4"/>
  <c r="D39" i="4"/>
  <c r="D44" i="2"/>
  <c r="D43" i="4"/>
  <c r="D5" i="4"/>
  <c r="D41" i="3"/>
  <c r="D27" i="2"/>
  <c r="D9" i="4"/>
  <c r="D2" i="4"/>
  <c r="D45" i="4"/>
  <c r="D54" i="4" s="1"/>
  <c r="D14" i="3"/>
  <c r="D10" i="3"/>
  <c r="C9" i="4"/>
  <c r="C2" i="4"/>
  <c r="C42" i="4"/>
  <c r="C41" i="3"/>
  <c r="I16" i="4"/>
  <c r="K16" i="4" s="1"/>
  <c r="C22" i="2"/>
  <c r="C29" i="2"/>
  <c r="C29" i="4"/>
  <c r="C22" i="4"/>
  <c r="C8" i="4"/>
  <c r="C54" i="4" s="1"/>
  <c r="C40" i="3"/>
  <c r="C33" i="3"/>
  <c r="C52" i="2"/>
  <c r="C6" i="6"/>
  <c r="C6" i="5"/>
  <c r="C46" i="3"/>
  <c r="C39" i="3"/>
  <c r="C19" i="3"/>
  <c r="C35" i="3"/>
  <c r="C14" i="4"/>
  <c r="C10" i="4"/>
  <c r="C44" i="2"/>
  <c r="C32" i="4"/>
  <c r="I32" i="4" s="1"/>
  <c r="K32" i="4" s="1"/>
  <c r="C7" i="3"/>
  <c r="C34" i="3"/>
  <c r="C15" i="3"/>
  <c r="C5" i="2"/>
  <c r="C15" i="2"/>
  <c r="C14" i="2"/>
  <c r="C10" i="2"/>
  <c r="C13" i="6"/>
  <c r="I13" i="2"/>
  <c r="J13" i="2" s="1"/>
  <c r="C13" i="5"/>
  <c r="I26" i="4"/>
  <c r="K26" i="4" s="1"/>
  <c r="I44" i="4"/>
  <c r="K44" i="4" s="1"/>
  <c r="B9" i="3"/>
  <c r="B2" i="3"/>
  <c r="B54" i="3"/>
  <c r="I8" i="3"/>
  <c r="K8" i="3" s="1"/>
  <c r="B14" i="3"/>
  <c r="B10" i="3"/>
  <c r="B7" i="3"/>
  <c r="I36" i="4"/>
  <c r="B28" i="4"/>
  <c r="B31" i="3"/>
  <c r="B8" i="4"/>
  <c r="B4" i="4"/>
  <c r="B27" i="3"/>
  <c r="B43" i="3"/>
  <c r="B40" i="4"/>
  <c r="I40" i="4" s="1"/>
  <c r="J40" i="4" s="1"/>
  <c r="B33" i="3"/>
  <c r="B19" i="4"/>
  <c r="B34" i="4"/>
  <c r="B23" i="3"/>
  <c r="B18" i="3"/>
  <c r="I20" i="3"/>
  <c r="K20" i="3" s="1"/>
  <c r="B19" i="3"/>
  <c r="B32" i="3"/>
  <c r="I32" i="3" s="1"/>
  <c r="J32" i="3" s="1"/>
  <c r="B35" i="3"/>
  <c r="H54" i="6"/>
  <c r="H54" i="5"/>
  <c r="G54" i="6"/>
  <c r="G54" i="5"/>
  <c r="K11" i="2"/>
  <c r="J11" i="2"/>
  <c r="I12" i="6"/>
  <c r="K12" i="6" s="1"/>
  <c r="I12" i="5"/>
  <c r="K12" i="5" s="1"/>
  <c r="K12" i="2"/>
  <c r="B20" i="2"/>
  <c r="B26" i="2"/>
  <c r="B28" i="2"/>
  <c r="B44" i="2"/>
  <c r="B36" i="2"/>
  <c r="B40" i="2"/>
  <c r="B30" i="2"/>
  <c r="B43" i="2"/>
  <c r="B31" i="2"/>
  <c r="B19" i="2"/>
  <c r="B18" i="2"/>
  <c r="B24" i="2"/>
  <c r="B35" i="2"/>
  <c r="B5" i="2"/>
  <c r="B15" i="2"/>
  <c r="B7" i="2"/>
  <c r="B3" i="2"/>
  <c r="B34" i="2"/>
  <c r="B45" i="2"/>
  <c r="B38" i="2"/>
  <c r="B4" i="2"/>
  <c r="B9" i="2"/>
  <c r="B22" i="2"/>
  <c r="B29" i="2"/>
  <c r="B17" i="2"/>
  <c r="B23" i="2"/>
  <c r="B8" i="2"/>
  <c r="B39" i="2"/>
  <c r="B27" i="2"/>
  <c r="B33" i="2"/>
  <c r="B6" i="2"/>
  <c r="B32" i="2"/>
  <c r="B37" i="2"/>
  <c r="B46" i="2"/>
  <c r="B41" i="2"/>
  <c r="B25" i="2"/>
  <c r="I21" i="4" l="1"/>
  <c r="K13" i="2"/>
  <c r="I13" i="5"/>
  <c r="K13" i="5" s="1"/>
  <c r="I13" i="6"/>
  <c r="K13" i="6" s="1"/>
  <c r="C53" i="4"/>
  <c r="C55" i="4" s="1"/>
  <c r="J12" i="6"/>
  <c r="J32" i="4"/>
  <c r="D52" i="4"/>
  <c r="D49" i="2"/>
  <c r="D32" i="6"/>
  <c r="F47" i="4"/>
  <c r="E52" i="3"/>
  <c r="H48" i="3"/>
  <c r="H48" i="5" s="1"/>
  <c r="J12" i="5"/>
  <c r="J20" i="3"/>
  <c r="J13" i="6"/>
  <c r="J16" i="4"/>
  <c r="F49" i="4"/>
  <c r="J13" i="3"/>
  <c r="J13" i="4"/>
  <c r="D49" i="4"/>
  <c r="F48" i="2"/>
  <c r="J12" i="4"/>
  <c r="F49" i="3"/>
  <c r="H31" i="6"/>
  <c r="D54" i="6"/>
  <c r="D54" i="5"/>
  <c r="I19" i="3"/>
  <c r="K19" i="3" s="1"/>
  <c r="I23" i="3"/>
  <c r="K23" i="3" s="1"/>
  <c r="I8" i="4"/>
  <c r="K8" i="4" s="1"/>
  <c r="B54" i="4"/>
  <c r="I7" i="3"/>
  <c r="K7" i="3" s="1"/>
  <c r="B53" i="3"/>
  <c r="J8" i="3"/>
  <c r="J44" i="4"/>
  <c r="C15" i="6"/>
  <c r="C15" i="5"/>
  <c r="C44" i="5"/>
  <c r="C44" i="6"/>
  <c r="C22" i="6"/>
  <c r="C22" i="5"/>
  <c r="D27" i="5"/>
  <c r="D27" i="6"/>
  <c r="D44" i="5"/>
  <c r="D44" i="6"/>
  <c r="D43" i="5"/>
  <c r="D43" i="6"/>
  <c r="E38" i="6"/>
  <c r="E38" i="5"/>
  <c r="E35" i="6"/>
  <c r="E35" i="5"/>
  <c r="F41" i="6"/>
  <c r="F41" i="5"/>
  <c r="G2" i="6"/>
  <c r="G2" i="5"/>
  <c r="G47" i="2"/>
  <c r="H18" i="6"/>
  <c r="H18" i="5"/>
  <c r="H50" i="2"/>
  <c r="H49" i="4"/>
  <c r="H4" i="6"/>
  <c r="H14" i="6"/>
  <c r="H14" i="5"/>
  <c r="B52" i="4"/>
  <c r="I6" i="4"/>
  <c r="I22" i="4"/>
  <c r="J22" i="4" s="1"/>
  <c r="I17" i="4"/>
  <c r="K17" i="4" s="1"/>
  <c r="I34" i="3"/>
  <c r="K34" i="3" s="1"/>
  <c r="J11" i="4"/>
  <c r="C43" i="6"/>
  <c r="C43" i="5"/>
  <c r="C33" i="5"/>
  <c r="C33" i="6"/>
  <c r="C30" i="6"/>
  <c r="C30" i="5"/>
  <c r="D24" i="6"/>
  <c r="D24" i="5"/>
  <c r="D49" i="3"/>
  <c r="D19" i="5"/>
  <c r="D19" i="6"/>
  <c r="E33" i="6"/>
  <c r="E33" i="5"/>
  <c r="E46" i="6"/>
  <c r="E46" i="5"/>
  <c r="F2" i="6"/>
  <c r="F2" i="5"/>
  <c r="F47" i="2"/>
  <c r="F32" i="6"/>
  <c r="F32" i="5"/>
  <c r="F42" i="6"/>
  <c r="F42" i="5"/>
  <c r="G53" i="3"/>
  <c r="G34" i="6"/>
  <c r="G34" i="5"/>
  <c r="G15" i="6"/>
  <c r="G15" i="5"/>
  <c r="G39" i="6"/>
  <c r="G39" i="5"/>
  <c r="H40" i="6"/>
  <c r="H40" i="5"/>
  <c r="H47" i="4"/>
  <c r="F25" i="6"/>
  <c r="F25" i="5"/>
  <c r="G32" i="6"/>
  <c r="G32" i="5"/>
  <c r="I37" i="3"/>
  <c r="K37" i="3" s="1"/>
  <c r="I46" i="3"/>
  <c r="K46" i="3" s="1"/>
  <c r="I23" i="4"/>
  <c r="K23" i="4" s="1"/>
  <c r="B47" i="4"/>
  <c r="I10" i="4"/>
  <c r="K10" i="4" s="1"/>
  <c r="J5" i="3"/>
  <c r="C52" i="3"/>
  <c r="C34" i="6"/>
  <c r="C34" i="5"/>
  <c r="C39" i="6"/>
  <c r="C39" i="5"/>
  <c r="D38" i="6"/>
  <c r="D38" i="5"/>
  <c r="E18" i="6"/>
  <c r="E18" i="5"/>
  <c r="E50" i="2"/>
  <c r="E9" i="6"/>
  <c r="E9" i="5"/>
  <c r="G43" i="6"/>
  <c r="G43" i="5"/>
  <c r="G29" i="6"/>
  <c r="G29" i="5"/>
  <c r="K22" i="3"/>
  <c r="I15" i="3"/>
  <c r="J15" i="3" s="1"/>
  <c r="I33" i="4"/>
  <c r="J33" i="4" s="1"/>
  <c r="I31" i="4"/>
  <c r="K31" i="4" s="1"/>
  <c r="C53" i="2"/>
  <c r="C7" i="6"/>
  <c r="C7" i="5"/>
  <c r="C35" i="5"/>
  <c r="C35" i="6"/>
  <c r="C28" i="6"/>
  <c r="C28" i="5"/>
  <c r="C48" i="3"/>
  <c r="D47" i="3"/>
  <c r="D53" i="3"/>
  <c r="D40" i="6"/>
  <c r="D40" i="5"/>
  <c r="E21" i="6"/>
  <c r="E21" i="5"/>
  <c r="E37" i="6"/>
  <c r="E37" i="5"/>
  <c r="E7" i="6"/>
  <c r="E7" i="5"/>
  <c r="E53" i="2"/>
  <c r="F43" i="6"/>
  <c r="F43" i="5"/>
  <c r="F52" i="3"/>
  <c r="F55" i="3" s="1"/>
  <c r="F40" i="6"/>
  <c r="F40" i="5"/>
  <c r="F35" i="6"/>
  <c r="F35" i="5"/>
  <c r="H24" i="6"/>
  <c r="H24" i="5"/>
  <c r="H22" i="6"/>
  <c r="H22" i="5"/>
  <c r="G49" i="4"/>
  <c r="I34" i="4"/>
  <c r="K34" i="4" s="1"/>
  <c r="I43" i="3"/>
  <c r="J43" i="3" s="1"/>
  <c r="I31" i="3"/>
  <c r="K31" i="3" s="1"/>
  <c r="I10" i="3"/>
  <c r="J10" i="3" s="1"/>
  <c r="B10" i="6"/>
  <c r="B10" i="5"/>
  <c r="C21" i="6"/>
  <c r="C21" i="5"/>
  <c r="C47" i="4"/>
  <c r="I2" i="4"/>
  <c r="J2" i="4" s="1"/>
  <c r="D22" i="6"/>
  <c r="D22" i="5"/>
  <c r="E25" i="6"/>
  <c r="E25" i="5"/>
  <c r="E34" i="6"/>
  <c r="E34" i="5"/>
  <c r="E52" i="2"/>
  <c r="F31" i="6"/>
  <c r="F31" i="5"/>
  <c r="G9" i="6"/>
  <c r="G9" i="5"/>
  <c r="H46" i="6"/>
  <c r="H46" i="5"/>
  <c r="I42" i="2"/>
  <c r="B42" i="6"/>
  <c r="B42" i="5"/>
  <c r="J21" i="4"/>
  <c r="I29" i="3"/>
  <c r="K29" i="3" s="1"/>
  <c r="I41" i="3"/>
  <c r="J41" i="3" s="1"/>
  <c r="I45" i="3"/>
  <c r="K45" i="3" s="1"/>
  <c r="I42" i="4"/>
  <c r="K42" i="4" s="1"/>
  <c r="C27" i="5"/>
  <c r="C27" i="6"/>
  <c r="C9" i="5"/>
  <c r="C9" i="6"/>
  <c r="C18" i="6"/>
  <c r="C18" i="5"/>
  <c r="C17" i="5"/>
  <c r="C17" i="6"/>
  <c r="D16" i="6"/>
  <c r="D16" i="5"/>
  <c r="D23" i="6"/>
  <c r="D23" i="5"/>
  <c r="E45" i="6"/>
  <c r="E45" i="5"/>
  <c r="E42" i="5"/>
  <c r="E39" i="6"/>
  <c r="E39" i="5"/>
  <c r="F37" i="6"/>
  <c r="F37" i="5"/>
  <c r="G30" i="6"/>
  <c r="G30" i="5"/>
  <c r="G42" i="6"/>
  <c r="G42" i="5"/>
  <c r="G21" i="6"/>
  <c r="G21" i="5"/>
  <c r="G46" i="6"/>
  <c r="G46" i="5"/>
  <c r="G47" i="3"/>
  <c r="H34" i="6"/>
  <c r="H34" i="5"/>
  <c r="H52" i="2"/>
  <c r="F50" i="2"/>
  <c r="B52" i="3"/>
  <c r="I6" i="3"/>
  <c r="J6" i="3" s="1"/>
  <c r="I39" i="4"/>
  <c r="K39" i="4" s="1"/>
  <c r="I44" i="3"/>
  <c r="I14" i="4"/>
  <c r="J14" i="4" s="1"/>
  <c r="B50" i="4"/>
  <c r="C31" i="6"/>
  <c r="C31" i="5"/>
  <c r="C26" i="6"/>
  <c r="C26" i="5"/>
  <c r="C41" i="5"/>
  <c r="C41" i="6"/>
  <c r="D53" i="2"/>
  <c r="D7" i="6"/>
  <c r="D7" i="5"/>
  <c r="D4" i="5"/>
  <c r="D52" i="2"/>
  <c r="D6" i="6"/>
  <c r="D6" i="5"/>
  <c r="D30" i="6"/>
  <c r="D30" i="5"/>
  <c r="E17" i="6"/>
  <c r="E17" i="5"/>
  <c r="E44" i="5"/>
  <c r="E54" i="2"/>
  <c r="E50" i="4"/>
  <c r="F54" i="6"/>
  <c r="F54" i="5"/>
  <c r="G41" i="6"/>
  <c r="G41" i="5"/>
  <c r="I21" i="3"/>
  <c r="K21" i="3" s="1"/>
  <c r="I26" i="3"/>
  <c r="I24" i="4"/>
  <c r="J24" i="4" s="1"/>
  <c r="C54" i="3"/>
  <c r="I54" i="3" s="1"/>
  <c r="I16" i="3"/>
  <c r="J16" i="3" s="1"/>
  <c r="C25" i="5"/>
  <c r="C25" i="6"/>
  <c r="C45" i="6"/>
  <c r="C45" i="5"/>
  <c r="D15" i="6"/>
  <c r="D15" i="5"/>
  <c r="D25" i="6"/>
  <c r="D25" i="5"/>
  <c r="D46" i="6"/>
  <c r="D46" i="5"/>
  <c r="D31" i="6"/>
  <c r="D31" i="5"/>
  <c r="E22" i="6"/>
  <c r="E22" i="5"/>
  <c r="F18" i="6"/>
  <c r="F18" i="5"/>
  <c r="F34" i="6"/>
  <c r="F34" i="5"/>
  <c r="F52" i="2"/>
  <c r="G18" i="6"/>
  <c r="G18" i="5"/>
  <c r="G50" i="2"/>
  <c r="G24" i="6"/>
  <c r="G24" i="5"/>
  <c r="G23" i="6"/>
  <c r="G23" i="5"/>
  <c r="H30" i="6"/>
  <c r="H30" i="5"/>
  <c r="H29" i="6"/>
  <c r="H29" i="5"/>
  <c r="I35" i="3"/>
  <c r="K35" i="3" s="1"/>
  <c r="I19" i="4"/>
  <c r="K19" i="4" s="1"/>
  <c r="I27" i="3"/>
  <c r="K27" i="3" s="1"/>
  <c r="I28" i="4"/>
  <c r="K28" i="4" s="1"/>
  <c r="I14" i="3"/>
  <c r="K14" i="3" s="1"/>
  <c r="B14" i="6"/>
  <c r="B14" i="5"/>
  <c r="I2" i="3"/>
  <c r="J2" i="3" s="1"/>
  <c r="B47" i="3"/>
  <c r="J26" i="4"/>
  <c r="C10" i="6"/>
  <c r="C10" i="5"/>
  <c r="I10" i="2"/>
  <c r="C5" i="6"/>
  <c r="C50" i="2"/>
  <c r="C5" i="5"/>
  <c r="C53" i="3"/>
  <c r="D47" i="4"/>
  <c r="D50" i="4"/>
  <c r="D5" i="6"/>
  <c r="D29" i="5"/>
  <c r="D29" i="6"/>
  <c r="E24" i="6"/>
  <c r="E24" i="5"/>
  <c r="E49" i="3"/>
  <c r="E19" i="6"/>
  <c r="E19" i="5"/>
  <c r="F53" i="6"/>
  <c r="F53" i="5"/>
  <c r="F39" i="6"/>
  <c r="F39" i="5"/>
  <c r="G31" i="6"/>
  <c r="G31" i="5"/>
  <c r="G47" i="4"/>
  <c r="H39" i="6"/>
  <c r="H39" i="5"/>
  <c r="I42" i="3"/>
  <c r="J42" i="3" s="1"/>
  <c r="I15" i="4"/>
  <c r="K15" i="4" s="1"/>
  <c r="I36" i="3"/>
  <c r="K36" i="3" s="1"/>
  <c r="I17" i="3"/>
  <c r="K17" i="3" s="1"/>
  <c r="J38" i="4"/>
  <c r="K38" i="4"/>
  <c r="I9" i="4"/>
  <c r="J9" i="4" s="1"/>
  <c r="C38" i="6"/>
  <c r="C38" i="5"/>
  <c r="C4" i="6"/>
  <c r="C49" i="2"/>
  <c r="C4" i="5"/>
  <c r="C24" i="6"/>
  <c r="C24" i="5"/>
  <c r="C32" i="6"/>
  <c r="C32" i="5"/>
  <c r="C47" i="3"/>
  <c r="C50" i="4"/>
  <c r="C2" i="6"/>
  <c r="C2" i="5"/>
  <c r="C47" i="2"/>
  <c r="C49" i="3"/>
  <c r="D10" i="6"/>
  <c r="D10" i="5"/>
  <c r="D9" i="6"/>
  <c r="D9" i="5"/>
  <c r="D34" i="6"/>
  <c r="E47" i="3"/>
  <c r="E55" i="4"/>
  <c r="E32" i="6"/>
  <c r="E32" i="5"/>
  <c r="F50" i="4"/>
  <c r="F30" i="6"/>
  <c r="F30" i="5"/>
  <c r="F23" i="6"/>
  <c r="F23" i="5"/>
  <c r="G37" i="6"/>
  <c r="G37" i="5"/>
  <c r="K32" i="3"/>
  <c r="H41" i="6"/>
  <c r="H41" i="5"/>
  <c r="E41" i="5"/>
  <c r="I35" i="4"/>
  <c r="K35" i="4" s="1"/>
  <c r="I25" i="4"/>
  <c r="K25" i="4" s="1"/>
  <c r="I46" i="4"/>
  <c r="J46" i="4" s="1"/>
  <c r="I3" i="3"/>
  <c r="J3" i="3" s="1"/>
  <c r="B48" i="3"/>
  <c r="I7" i="4"/>
  <c r="K7" i="4" s="1"/>
  <c r="B53" i="4"/>
  <c r="I37" i="4"/>
  <c r="K37" i="4" s="1"/>
  <c r="I5" i="4"/>
  <c r="K5" i="4" s="1"/>
  <c r="C3" i="5"/>
  <c r="C48" i="2"/>
  <c r="C3" i="6"/>
  <c r="I16" i="2"/>
  <c r="D18" i="6"/>
  <c r="D18" i="5"/>
  <c r="D50" i="2"/>
  <c r="D45" i="5"/>
  <c r="D45" i="6"/>
  <c r="D41" i="6"/>
  <c r="D41" i="5"/>
  <c r="D37" i="5"/>
  <c r="D37" i="6"/>
  <c r="E31" i="6"/>
  <c r="E31" i="5"/>
  <c r="H15" i="6"/>
  <c r="H15" i="5"/>
  <c r="I40" i="3"/>
  <c r="J40" i="3" s="1"/>
  <c r="I41" i="4"/>
  <c r="K41" i="4" s="1"/>
  <c r="I18" i="4"/>
  <c r="K18" i="4" s="1"/>
  <c r="D21" i="5"/>
  <c r="D21" i="6"/>
  <c r="D39" i="6"/>
  <c r="D39" i="5"/>
  <c r="E23" i="6"/>
  <c r="E23" i="5"/>
  <c r="E4" i="6"/>
  <c r="E4" i="5"/>
  <c r="E49" i="2"/>
  <c r="E29" i="6"/>
  <c r="E29" i="5"/>
  <c r="F15" i="6"/>
  <c r="F15" i="5"/>
  <c r="F16" i="5"/>
  <c r="F47" i="3"/>
  <c r="G17" i="6"/>
  <c r="G17" i="5"/>
  <c r="G49" i="2"/>
  <c r="K40" i="4"/>
  <c r="G33" i="6"/>
  <c r="G33" i="5"/>
  <c r="H37" i="6"/>
  <c r="H37" i="5"/>
  <c r="H47" i="3"/>
  <c r="H19" i="6"/>
  <c r="H19" i="5"/>
  <c r="H53" i="2"/>
  <c r="H31" i="5"/>
  <c r="I18" i="3"/>
  <c r="K18" i="3" s="1"/>
  <c r="I33" i="3"/>
  <c r="K33" i="3" s="1"/>
  <c r="I4" i="4"/>
  <c r="K4" i="4" s="1"/>
  <c r="B49" i="4"/>
  <c r="J36" i="4"/>
  <c r="K36" i="4"/>
  <c r="I9" i="3"/>
  <c r="K9" i="3" s="1"/>
  <c r="C14" i="6"/>
  <c r="I14" i="2"/>
  <c r="C14" i="5"/>
  <c r="C29" i="6"/>
  <c r="C29" i="5"/>
  <c r="E50" i="3"/>
  <c r="E43" i="6"/>
  <c r="E43" i="5"/>
  <c r="E40" i="6"/>
  <c r="E40" i="5"/>
  <c r="F50" i="3"/>
  <c r="F46" i="6"/>
  <c r="F46" i="5"/>
  <c r="G27" i="6"/>
  <c r="G27" i="5"/>
  <c r="G16" i="6"/>
  <c r="G16" i="5"/>
  <c r="G48" i="2"/>
  <c r="G50" i="3"/>
  <c r="G25" i="6"/>
  <c r="G25" i="5"/>
  <c r="H10" i="6"/>
  <c r="H10" i="5"/>
  <c r="H47" i="2"/>
  <c r="I38" i="3"/>
  <c r="I25" i="3"/>
  <c r="J25" i="3" s="1"/>
  <c r="I29" i="4"/>
  <c r="K29" i="4" s="1"/>
  <c r="I45" i="4"/>
  <c r="K45" i="4" s="1"/>
  <c r="J28" i="3"/>
  <c r="K28" i="3"/>
  <c r="I3" i="4"/>
  <c r="K3" i="4" s="1"/>
  <c r="B48" i="4"/>
  <c r="C40" i="6"/>
  <c r="C40" i="5"/>
  <c r="C19" i="5"/>
  <c r="C19" i="6"/>
  <c r="C50" i="3"/>
  <c r="C37" i="6"/>
  <c r="C37" i="5"/>
  <c r="D14" i="6"/>
  <c r="D14" i="5"/>
  <c r="D2" i="6"/>
  <c r="D2" i="5"/>
  <c r="D47" i="2"/>
  <c r="D17" i="6"/>
  <c r="D17" i="5"/>
  <c r="E53" i="3"/>
  <c r="E16" i="6"/>
  <c r="E16" i="5"/>
  <c r="E49" i="4"/>
  <c r="F9" i="6"/>
  <c r="F9" i="5"/>
  <c r="F24" i="6"/>
  <c r="F24" i="5"/>
  <c r="F29" i="6"/>
  <c r="F29" i="5"/>
  <c r="G48" i="3"/>
  <c r="G3" i="6"/>
  <c r="G3" i="5"/>
  <c r="G40" i="6"/>
  <c r="G40" i="5"/>
  <c r="G6" i="6"/>
  <c r="G6" i="5"/>
  <c r="G52" i="2"/>
  <c r="H17" i="6"/>
  <c r="H17" i="5"/>
  <c r="H49" i="2"/>
  <c r="I30" i="3"/>
  <c r="K30" i="3" s="1"/>
  <c r="I39" i="3"/>
  <c r="J39" i="3" s="1"/>
  <c r="I43" i="4"/>
  <c r="K43" i="4" s="1"/>
  <c r="I27" i="4"/>
  <c r="K27" i="4" s="1"/>
  <c r="B50" i="3"/>
  <c r="I30" i="4"/>
  <c r="J30" i="4" s="1"/>
  <c r="I2" i="2"/>
  <c r="B2" i="6"/>
  <c r="B2" i="5"/>
  <c r="C23" i="6"/>
  <c r="C23" i="5"/>
  <c r="C42" i="6"/>
  <c r="C42" i="5"/>
  <c r="C8" i="6"/>
  <c r="C8" i="5"/>
  <c r="C54" i="2"/>
  <c r="C46" i="6"/>
  <c r="C46" i="5"/>
  <c r="D48" i="2"/>
  <c r="D3" i="6"/>
  <c r="D3" i="5"/>
  <c r="D53" i="4"/>
  <c r="D4" i="6"/>
  <c r="D33" i="6"/>
  <c r="D33" i="5"/>
  <c r="D50" i="3"/>
  <c r="E3" i="6"/>
  <c r="E3" i="5"/>
  <c r="E48" i="2"/>
  <c r="E48" i="4"/>
  <c r="G22" i="6"/>
  <c r="G22" i="5"/>
  <c r="H21" i="6"/>
  <c r="H21" i="5"/>
  <c r="J20" i="4"/>
  <c r="K20" i="4"/>
  <c r="I11" i="3"/>
  <c r="J11" i="3" s="1"/>
  <c r="B11" i="5"/>
  <c r="B11" i="6"/>
  <c r="B49" i="3"/>
  <c r="I4" i="3"/>
  <c r="K4" i="3" s="1"/>
  <c r="I24" i="3"/>
  <c r="J24" i="3" s="1"/>
  <c r="C49" i="4"/>
  <c r="D35" i="5"/>
  <c r="D35" i="6"/>
  <c r="D48" i="3"/>
  <c r="D52" i="3"/>
  <c r="E15" i="6"/>
  <c r="E15" i="5"/>
  <c r="E47" i="2"/>
  <c r="E30" i="6"/>
  <c r="E30" i="5"/>
  <c r="F17" i="6"/>
  <c r="F17" i="5"/>
  <c r="F49" i="2"/>
  <c r="F21" i="6"/>
  <c r="F21" i="5"/>
  <c r="F33" i="6"/>
  <c r="F33" i="5"/>
  <c r="F48" i="3"/>
  <c r="F48" i="4"/>
  <c r="F52" i="4"/>
  <c r="F55" i="4" s="1"/>
  <c r="G19" i="6"/>
  <c r="G19" i="5"/>
  <c r="G53" i="2"/>
  <c r="G52" i="3"/>
  <c r="H48" i="4"/>
  <c r="B37" i="6"/>
  <c r="B37" i="5"/>
  <c r="I37" i="2"/>
  <c r="B27" i="6"/>
  <c r="B27" i="5"/>
  <c r="I27" i="2"/>
  <c r="J27" i="2" s="1"/>
  <c r="B17" i="6"/>
  <c r="B17" i="5"/>
  <c r="I17" i="2"/>
  <c r="B9" i="6"/>
  <c r="B9" i="5"/>
  <c r="I9" i="2"/>
  <c r="B34" i="6"/>
  <c r="B34" i="5"/>
  <c r="I34" i="2"/>
  <c r="J34" i="2" s="1"/>
  <c r="B5" i="6"/>
  <c r="B5" i="5"/>
  <c r="I5" i="2"/>
  <c r="B19" i="6"/>
  <c r="B19" i="5"/>
  <c r="I19" i="2"/>
  <c r="J19" i="2" s="1"/>
  <c r="B40" i="6"/>
  <c r="B40" i="5"/>
  <c r="I40" i="2"/>
  <c r="B26" i="6"/>
  <c r="B26" i="5"/>
  <c r="I26" i="2"/>
  <c r="J26" i="2" s="1"/>
  <c r="B25" i="6"/>
  <c r="B25" i="5"/>
  <c r="I25" i="2"/>
  <c r="J25" i="2" s="1"/>
  <c r="B32" i="6"/>
  <c r="B32" i="5"/>
  <c r="I32" i="2"/>
  <c r="J32" i="2" s="1"/>
  <c r="B39" i="6"/>
  <c r="B39" i="5"/>
  <c r="I39" i="2"/>
  <c r="J39" i="2" s="1"/>
  <c r="B21" i="6"/>
  <c r="B21" i="5"/>
  <c r="I21" i="2"/>
  <c r="J21" i="2" s="1"/>
  <c r="B4" i="6"/>
  <c r="B4" i="5"/>
  <c r="I4" i="2"/>
  <c r="J4" i="2" s="1"/>
  <c r="B3" i="6"/>
  <c r="B3" i="5"/>
  <c r="I3" i="2"/>
  <c r="J3" i="2" s="1"/>
  <c r="B35" i="6"/>
  <c r="B35" i="5"/>
  <c r="I35" i="2"/>
  <c r="J35" i="2" s="1"/>
  <c r="B31" i="6"/>
  <c r="B31" i="5"/>
  <c r="I31" i="2"/>
  <c r="J31" i="2" s="1"/>
  <c r="B36" i="6"/>
  <c r="B36" i="5"/>
  <c r="I36" i="2"/>
  <c r="J36" i="2" s="1"/>
  <c r="B20" i="6"/>
  <c r="B20" i="5"/>
  <c r="I20" i="2"/>
  <c r="J20" i="2" s="1"/>
  <c r="B41" i="6"/>
  <c r="B41" i="5"/>
  <c r="I41" i="2"/>
  <c r="B52" i="2"/>
  <c r="B6" i="6"/>
  <c r="B6" i="5"/>
  <c r="I6" i="2"/>
  <c r="B54" i="2"/>
  <c r="B8" i="6"/>
  <c r="B8" i="5"/>
  <c r="I8" i="2"/>
  <c r="J8" i="2" s="1"/>
  <c r="B29" i="6"/>
  <c r="B29" i="5"/>
  <c r="I29" i="2"/>
  <c r="J29" i="2" s="1"/>
  <c r="B38" i="6"/>
  <c r="B38" i="5"/>
  <c r="I38" i="2"/>
  <c r="J38" i="2" s="1"/>
  <c r="B7" i="6"/>
  <c r="B7" i="5"/>
  <c r="I7" i="2"/>
  <c r="J7" i="2" s="1"/>
  <c r="B24" i="6"/>
  <c r="B24" i="5"/>
  <c r="I24" i="2"/>
  <c r="J24" i="2" s="1"/>
  <c r="B43" i="6"/>
  <c r="B43" i="5"/>
  <c r="I43" i="2"/>
  <c r="J43" i="2" s="1"/>
  <c r="B44" i="6"/>
  <c r="B44" i="5"/>
  <c r="I44" i="2"/>
  <c r="J44" i="2" s="1"/>
  <c r="B46" i="6"/>
  <c r="B46" i="5"/>
  <c r="I46" i="2"/>
  <c r="J46" i="2" s="1"/>
  <c r="B33" i="6"/>
  <c r="B33" i="5"/>
  <c r="I33" i="2"/>
  <c r="J33" i="2" s="1"/>
  <c r="B23" i="6"/>
  <c r="B23" i="5"/>
  <c r="I23" i="2"/>
  <c r="J23" i="2" s="1"/>
  <c r="B22" i="6"/>
  <c r="B22" i="5"/>
  <c r="I22" i="2"/>
  <c r="J22" i="2" s="1"/>
  <c r="B45" i="6"/>
  <c r="B45" i="5"/>
  <c r="I45" i="2"/>
  <c r="J45" i="2" s="1"/>
  <c r="B15" i="6"/>
  <c r="B15" i="5"/>
  <c r="I15" i="2"/>
  <c r="J15" i="2" s="1"/>
  <c r="B18" i="6"/>
  <c r="B18" i="5"/>
  <c r="I18" i="2"/>
  <c r="J18" i="2" s="1"/>
  <c r="B30" i="6"/>
  <c r="B30" i="5"/>
  <c r="I30" i="2"/>
  <c r="J30" i="2" s="1"/>
  <c r="B28" i="6"/>
  <c r="B28" i="5"/>
  <c r="I28" i="2"/>
  <c r="J28" i="2" s="1"/>
  <c r="B49" i="2"/>
  <c r="B48" i="2"/>
  <c r="B47" i="2"/>
  <c r="B53" i="2"/>
  <c r="B50" i="2"/>
  <c r="K46" i="4" l="1"/>
  <c r="K16" i="3"/>
  <c r="F48" i="5"/>
  <c r="J13" i="5"/>
  <c r="K22" i="4"/>
  <c r="K25" i="3"/>
  <c r="K33" i="4"/>
  <c r="K3" i="3"/>
  <c r="K9" i="4"/>
  <c r="K24" i="4"/>
  <c r="J29" i="4"/>
  <c r="J4" i="4"/>
  <c r="K43" i="3"/>
  <c r="K41" i="3"/>
  <c r="I49" i="3"/>
  <c r="J49" i="3" s="1"/>
  <c r="J27" i="4"/>
  <c r="K21" i="4"/>
  <c r="J9" i="3"/>
  <c r="J36" i="3"/>
  <c r="J39" i="4"/>
  <c r="J23" i="4"/>
  <c r="D49" i="5"/>
  <c r="J17" i="4"/>
  <c r="E51" i="4"/>
  <c r="E56" i="4" s="1"/>
  <c r="K39" i="3"/>
  <c r="G51" i="4"/>
  <c r="G56" i="4" s="1"/>
  <c r="J42" i="4"/>
  <c r="J5" i="4"/>
  <c r="J21" i="3"/>
  <c r="J37" i="3"/>
  <c r="J23" i="3"/>
  <c r="K6" i="3"/>
  <c r="D55" i="3"/>
  <c r="K15" i="3"/>
  <c r="H51" i="3"/>
  <c r="H56" i="3" s="1"/>
  <c r="H48" i="6"/>
  <c r="F51" i="4"/>
  <c r="F56" i="4" s="1"/>
  <c r="D55" i="4"/>
  <c r="J43" i="4"/>
  <c r="J30" i="3"/>
  <c r="K40" i="3"/>
  <c r="J37" i="4"/>
  <c r="D51" i="4"/>
  <c r="J45" i="3"/>
  <c r="J29" i="3"/>
  <c r="J46" i="3"/>
  <c r="J34" i="3"/>
  <c r="J19" i="3"/>
  <c r="E55" i="3"/>
  <c r="J3" i="4"/>
  <c r="J45" i="4"/>
  <c r="J17" i="3"/>
  <c r="J15" i="4"/>
  <c r="J8" i="4"/>
  <c r="K54" i="3"/>
  <c r="J54" i="3"/>
  <c r="G55" i="3"/>
  <c r="E54" i="5"/>
  <c r="E54" i="6"/>
  <c r="D53" i="6"/>
  <c r="D53" i="5"/>
  <c r="G53" i="6"/>
  <c r="G53" i="5"/>
  <c r="J4" i="3"/>
  <c r="D48" i="5"/>
  <c r="D48" i="6"/>
  <c r="K2" i="2"/>
  <c r="I2" i="6"/>
  <c r="K2" i="6" s="1"/>
  <c r="J2" i="2"/>
  <c r="I2" i="5"/>
  <c r="K2" i="5" s="1"/>
  <c r="H49" i="6"/>
  <c r="H49" i="5"/>
  <c r="D47" i="5"/>
  <c r="D47" i="6"/>
  <c r="D51" i="2"/>
  <c r="I48" i="4"/>
  <c r="K48" i="4" s="1"/>
  <c r="H47" i="6"/>
  <c r="H47" i="5"/>
  <c r="H51" i="2"/>
  <c r="G48" i="5"/>
  <c r="G48" i="6"/>
  <c r="I49" i="4"/>
  <c r="K49" i="4" s="1"/>
  <c r="J18" i="3"/>
  <c r="J18" i="4"/>
  <c r="C48" i="5"/>
  <c r="C48" i="6"/>
  <c r="I48" i="3"/>
  <c r="K48" i="3" s="1"/>
  <c r="J25" i="4"/>
  <c r="E51" i="3"/>
  <c r="C50" i="6"/>
  <c r="C50" i="5"/>
  <c r="J14" i="3"/>
  <c r="J28" i="4"/>
  <c r="J19" i="4"/>
  <c r="F52" i="6"/>
  <c r="F55" i="2"/>
  <c r="F52" i="5"/>
  <c r="J44" i="3"/>
  <c r="K44" i="3"/>
  <c r="F50" i="6"/>
  <c r="F50" i="5"/>
  <c r="K42" i="3"/>
  <c r="E52" i="6"/>
  <c r="E52" i="5"/>
  <c r="E55" i="2"/>
  <c r="C51" i="4"/>
  <c r="C56" i="4" s="1"/>
  <c r="J31" i="3"/>
  <c r="J34" i="4"/>
  <c r="C55" i="3"/>
  <c r="C52" i="6"/>
  <c r="C52" i="5"/>
  <c r="I47" i="4"/>
  <c r="K47" i="4" s="1"/>
  <c r="B51" i="4"/>
  <c r="H51" i="4"/>
  <c r="H56" i="4" s="1"/>
  <c r="G47" i="6"/>
  <c r="G47" i="5"/>
  <c r="G51" i="2"/>
  <c r="C47" i="5"/>
  <c r="C51" i="2"/>
  <c r="C47" i="6"/>
  <c r="K14" i="2"/>
  <c r="J14" i="2"/>
  <c r="I14" i="6"/>
  <c r="I14" i="5"/>
  <c r="F51" i="3"/>
  <c r="F56" i="3" s="1"/>
  <c r="I53" i="4"/>
  <c r="K53" i="4" s="1"/>
  <c r="C49" i="6"/>
  <c r="C49" i="5"/>
  <c r="G50" i="6"/>
  <c r="G50" i="5"/>
  <c r="I52" i="3"/>
  <c r="K52" i="3" s="1"/>
  <c r="B55" i="3"/>
  <c r="K14" i="4"/>
  <c r="K2" i="3"/>
  <c r="D51" i="3"/>
  <c r="C53" i="6"/>
  <c r="C55" i="2"/>
  <c r="C53" i="5"/>
  <c r="K30" i="4"/>
  <c r="F51" i="2"/>
  <c r="F47" i="6"/>
  <c r="F47" i="5"/>
  <c r="H50" i="6"/>
  <c r="H50" i="5"/>
  <c r="I53" i="3"/>
  <c r="K53" i="3" s="1"/>
  <c r="I54" i="4"/>
  <c r="K54" i="4" s="1"/>
  <c r="D49" i="6"/>
  <c r="C54" i="6"/>
  <c r="C54" i="5"/>
  <c r="J38" i="3"/>
  <c r="K38" i="3"/>
  <c r="D50" i="6"/>
  <c r="D50" i="5"/>
  <c r="C51" i="3"/>
  <c r="F49" i="5"/>
  <c r="F49" i="6"/>
  <c r="K11" i="3"/>
  <c r="I11" i="6"/>
  <c r="K11" i="6" s="1"/>
  <c r="I11" i="5"/>
  <c r="K11" i="5" s="1"/>
  <c r="E48" i="6"/>
  <c r="E48" i="5"/>
  <c r="I50" i="3"/>
  <c r="K50" i="3" s="1"/>
  <c r="G52" i="5"/>
  <c r="G55" i="2"/>
  <c r="G52" i="6"/>
  <c r="J33" i="3"/>
  <c r="K10" i="3"/>
  <c r="G49" i="5"/>
  <c r="G49" i="6"/>
  <c r="J41" i="4"/>
  <c r="J16" i="2"/>
  <c r="I16" i="6"/>
  <c r="I16" i="5"/>
  <c r="K16" i="2"/>
  <c r="J7" i="4"/>
  <c r="J35" i="4"/>
  <c r="K2" i="4"/>
  <c r="I10" i="6"/>
  <c r="J10" i="2"/>
  <c r="I10" i="5"/>
  <c r="K10" i="5" s="1"/>
  <c r="K10" i="2"/>
  <c r="I47" i="3"/>
  <c r="K47" i="3" s="1"/>
  <c r="B51" i="3"/>
  <c r="J27" i="3"/>
  <c r="J35" i="3"/>
  <c r="J26" i="3"/>
  <c r="K26" i="3"/>
  <c r="I50" i="4"/>
  <c r="K50" i="4" s="1"/>
  <c r="H52" i="6"/>
  <c r="H52" i="5"/>
  <c r="H55" i="2"/>
  <c r="G51" i="3"/>
  <c r="J31" i="4"/>
  <c r="J10" i="4"/>
  <c r="J6" i="4"/>
  <c r="K6" i="4"/>
  <c r="J7" i="3"/>
  <c r="F48" i="6"/>
  <c r="E47" i="6"/>
  <c r="E47" i="5"/>
  <c r="E51" i="2"/>
  <c r="H53" i="5"/>
  <c r="H53" i="6"/>
  <c r="E49" i="6"/>
  <c r="E49" i="5"/>
  <c r="D55" i="2"/>
  <c r="D52" i="6"/>
  <c r="D52" i="5"/>
  <c r="K42" i="2"/>
  <c r="I42" i="6"/>
  <c r="K42" i="6" s="1"/>
  <c r="J42" i="2"/>
  <c r="I42" i="5"/>
  <c r="E53" i="6"/>
  <c r="E53" i="5"/>
  <c r="E50" i="6"/>
  <c r="E50" i="5"/>
  <c r="I52" i="4"/>
  <c r="K52" i="4" s="1"/>
  <c r="B55" i="4"/>
  <c r="K24" i="3"/>
  <c r="I41" i="6"/>
  <c r="K41" i="6" s="1"/>
  <c r="I41" i="5"/>
  <c r="K41" i="5" s="1"/>
  <c r="K41" i="2"/>
  <c r="I40" i="6"/>
  <c r="K40" i="6" s="1"/>
  <c r="I40" i="5"/>
  <c r="K40" i="5" s="1"/>
  <c r="K40" i="2"/>
  <c r="I5" i="6"/>
  <c r="K5" i="6" s="1"/>
  <c r="I5" i="5"/>
  <c r="K5" i="5" s="1"/>
  <c r="K5" i="2"/>
  <c r="I9" i="6"/>
  <c r="K9" i="6" s="1"/>
  <c r="I9" i="5"/>
  <c r="K9" i="5" s="1"/>
  <c r="K9" i="2"/>
  <c r="I17" i="6"/>
  <c r="K17" i="6" s="1"/>
  <c r="I17" i="5"/>
  <c r="K17" i="5" s="1"/>
  <c r="K17" i="2"/>
  <c r="I37" i="6"/>
  <c r="K37" i="6" s="1"/>
  <c r="I37" i="5"/>
  <c r="K37" i="5" s="1"/>
  <c r="K37" i="2"/>
  <c r="B55" i="2"/>
  <c r="B53" i="6"/>
  <c r="B53" i="5"/>
  <c r="I53" i="2"/>
  <c r="J53" i="2" s="1"/>
  <c r="B47" i="6"/>
  <c r="B47" i="5"/>
  <c r="I47" i="2"/>
  <c r="J47" i="2" s="1"/>
  <c r="I30" i="6"/>
  <c r="K30" i="6" s="1"/>
  <c r="I30" i="5"/>
  <c r="K30" i="5" s="1"/>
  <c r="K30" i="2"/>
  <c r="I18" i="6"/>
  <c r="K18" i="6" s="1"/>
  <c r="I18" i="5"/>
  <c r="K18" i="5" s="1"/>
  <c r="K18" i="2"/>
  <c r="I15" i="6"/>
  <c r="K15" i="6" s="1"/>
  <c r="I15" i="5"/>
  <c r="K15" i="5" s="1"/>
  <c r="K15" i="2"/>
  <c r="I22" i="6"/>
  <c r="K22" i="6" s="1"/>
  <c r="I22" i="5"/>
  <c r="K22" i="5" s="1"/>
  <c r="K22" i="2"/>
  <c r="I23" i="6"/>
  <c r="K23" i="6" s="1"/>
  <c r="I23" i="5"/>
  <c r="K23" i="5" s="1"/>
  <c r="K23" i="2"/>
  <c r="I46" i="6"/>
  <c r="K46" i="6" s="1"/>
  <c r="I46" i="5"/>
  <c r="K46" i="5" s="1"/>
  <c r="K46" i="2"/>
  <c r="I43" i="6"/>
  <c r="K43" i="6" s="1"/>
  <c r="I43" i="5"/>
  <c r="K43" i="5" s="1"/>
  <c r="K43" i="2"/>
  <c r="I7" i="6"/>
  <c r="K7" i="6" s="1"/>
  <c r="I7" i="5"/>
  <c r="K7" i="5" s="1"/>
  <c r="K7" i="2"/>
  <c r="I38" i="6"/>
  <c r="K38" i="6" s="1"/>
  <c r="I38" i="5"/>
  <c r="K38" i="5" s="1"/>
  <c r="K38" i="2"/>
  <c r="B54" i="6"/>
  <c r="B54" i="5"/>
  <c r="I54" i="2"/>
  <c r="I31" i="6"/>
  <c r="K31" i="6" s="1"/>
  <c r="I31" i="5"/>
  <c r="K31" i="5" s="1"/>
  <c r="K31" i="2"/>
  <c r="I35" i="6"/>
  <c r="K35" i="6" s="1"/>
  <c r="I35" i="5"/>
  <c r="K35" i="5" s="1"/>
  <c r="K35" i="2"/>
  <c r="I3" i="6"/>
  <c r="K3" i="6" s="1"/>
  <c r="I3" i="5"/>
  <c r="K3" i="5" s="1"/>
  <c r="K3" i="2"/>
  <c r="I39" i="6"/>
  <c r="K39" i="6" s="1"/>
  <c r="I39" i="5"/>
  <c r="K39" i="5" s="1"/>
  <c r="K39" i="2"/>
  <c r="I28" i="6"/>
  <c r="K28" i="6" s="1"/>
  <c r="I28" i="5"/>
  <c r="K28" i="5" s="1"/>
  <c r="K28" i="2"/>
  <c r="I45" i="6"/>
  <c r="K45" i="6" s="1"/>
  <c r="I45" i="5"/>
  <c r="K45" i="5" s="1"/>
  <c r="K45" i="2"/>
  <c r="I33" i="6"/>
  <c r="K33" i="6" s="1"/>
  <c r="I33" i="5"/>
  <c r="K33" i="5" s="1"/>
  <c r="K33" i="2"/>
  <c r="I44" i="6"/>
  <c r="K44" i="6" s="1"/>
  <c r="I44" i="5"/>
  <c r="K44" i="5" s="1"/>
  <c r="K44" i="2"/>
  <c r="I24" i="6"/>
  <c r="K24" i="6" s="1"/>
  <c r="I24" i="5"/>
  <c r="K24" i="5" s="1"/>
  <c r="K24" i="2"/>
  <c r="I29" i="6"/>
  <c r="K29" i="6" s="1"/>
  <c r="I29" i="5"/>
  <c r="K29" i="5" s="1"/>
  <c r="K29" i="2"/>
  <c r="I8" i="6"/>
  <c r="K8" i="6" s="1"/>
  <c r="I8" i="5"/>
  <c r="K8" i="5" s="1"/>
  <c r="K8" i="2"/>
  <c r="I6" i="6"/>
  <c r="K6" i="6" s="1"/>
  <c r="I6" i="5"/>
  <c r="K6" i="5" s="1"/>
  <c r="K6" i="2"/>
  <c r="B52" i="6"/>
  <c r="B52" i="5"/>
  <c r="I52" i="2"/>
  <c r="J52" i="2" s="1"/>
  <c r="I20" i="6"/>
  <c r="K20" i="6" s="1"/>
  <c r="I20" i="5"/>
  <c r="K20" i="5" s="1"/>
  <c r="K20" i="2"/>
  <c r="I36" i="6"/>
  <c r="K36" i="6" s="1"/>
  <c r="I36" i="5"/>
  <c r="K36" i="5" s="1"/>
  <c r="K36" i="2"/>
  <c r="I4" i="6"/>
  <c r="K4" i="6" s="1"/>
  <c r="I4" i="5"/>
  <c r="K4" i="5" s="1"/>
  <c r="K4" i="2"/>
  <c r="I21" i="6"/>
  <c r="K21" i="6" s="1"/>
  <c r="I21" i="5"/>
  <c r="K21" i="5" s="1"/>
  <c r="K21" i="2"/>
  <c r="I32" i="6"/>
  <c r="K32" i="6" s="1"/>
  <c r="I32" i="5"/>
  <c r="K32" i="5" s="1"/>
  <c r="K32" i="2"/>
  <c r="I25" i="6"/>
  <c r="K25" i="6" s="1"/>
  <c r="I25" i="5"/>
  <c r="K25" i="5" s="1"/>
  <c r="K25" i="2"/>
  <c r="B48" i="6"/>
  <c r="B48" i="5"/>
  <c r="I48" i="2"/>
  <c r="J48" i="2" s="1"/>
  <c r="B50" i="6"/>
  <c r="B50" i="5"/>
  <c r="I50" i="2"/>
  <c r="B49" i="6"/>
  <c r="B49" i="5"/>
  <c r="I49" i="2"/>
  <c r="J49" i="2" s="1"/>
  <c r="J6" i="2"/>
  <c r="J41" i="2"/>
  <c r="I26" i="6"/>
  <c r="K26" i="6" s="1"/>
  <c r="I26" i="5"/>
  <c r="K26" i="5" s="1"/>
  <c r="K26" i="2"/>
  <c r="J40" i="2"/>
  <c r="I19" i="6"/>
  <c r="K19" i="6" s="1"/>
  <c r="I19" i="5"/>
  <c r="K19" i="5" s="1"/>
  <c r="K19" i="2"/>
  <c r="J5" i="2"/>
  <c r="I34" i="6"/>
  <c r="K34" i="6" s="1"/>
  <c r="I34" i="5"/>
  <c r="K34" i="5" s="1"/>
  <c r="K34" i="2"/>
  <c r="J9" i="2"/>
  <c r="J17" i="2"/>
  <c r="I27" i="6"/>
  <c r="K27" i="6" s="1"/>
  <c r="I27" i="5"/>
  <c r="K27" i="5" s="1"/>
  <c r="K27" i="2"/>
  <c r="J37" i="2"/>
  <c r="B51" i="2"/>
  <c r="J39" i="5" l="1"/>
  <c r="D56" i="4"/>
  <c r="J25" i="5"/>
  <c r="J15" i="5"/>
  <c r="J41" i="6"/>
  <c r="J37" i="5"/>
  <c r="K49" i="3"/>
  <c r="J43" i="5"/>
  <c r="J40" i="5"/>
  <c r="J7" i="5"/>
  <c r="J3" i="5"/>
  <c r="J32" i="5"/>
  <c r="J49" i="4"/>
  <c r="J23" i="5"/>
  <c r="J5" i="6"/>
  <c r="J20" i="5"/>
  <c r="J24" i="5"/>
  <c r="J28" i="5"/>
  <c r="J4" i="5"/>
  <c r="J33" i="5"/>
  <c r="J21" i="5"/>
  <c r="J2" i="5"/>
  <c r="C56" i="3"/>
  <c r="J44" i="5"/>
  <c r="J30" i="5"/>
  <c r="J37" i="6"/>
  <c r="J48" i="4"/>
  <c r="J36" i="5"/>
  <c r="J8" i="5"/>
  <c r="J22" i="5"/>
  <c r="J40" i="6"/>
  <c r="J9" i="5"/>
  <c r="D56" i="3"/>
  <c r="J38" i="5"/>
  <c r="J5" i="5"/>
  <c r="J9" i="6"/>
  <c r="J29" i="5"/>
  <c r="J31" i="5"/>
  <c r="J46" i="5"/>
  <c r="J45" i="5"/>
  <c r="J17" i="6"/>
  <c r="J47" i="3"/>
  <c r="J53" i="4"/>
  <c r="J18" i="5"/>
  <c r="J35" i="5"/>
  <c r="J17" i="5"/>
  <c r="J41" i="5"/>
  <c r="E56" i="3"/>
  <c r="D55" i="5"/>
  <c r="D55" i="6"/>
  <c r="K16" i="6"/>
  <c r="J16" i="6"/>
  <c r="G55" i="5"/>
  <c r="G55" i="6"/>
  <c r="J54" i="4"/>
  <c r="F56" i="2"/>
  <c r="F51" i="6"/>
  <c r="F51" i="5"/>
  <c r="I55" i="3"/>
  <c r="K55" i="3" s="1"/>
  <c r="K14" i="6"/>
  <c r="J14" i="6"/>
  <c r="C51" i="6"/>
  <c r="C51" i="5"/>
  <c r="C56" i="2"/>
  <c r="G56" i="2"/>
  <c r="G51" i="6"/>
  <c r="G51" i="5"/>
  <c r="I51" i="4"/>
  <c r="K51" i="4" s="1"/>
  <c r="B56" i="4"/>
  <c r="E56" i="2"/>
  <c r="E51" i="5"/>
  <c r="E51" i="6"/>
  <c r="I51" i="3"/>
  <c r="J51" i="3" s="1"/>
  <c r="B56" i="3"/>
  <c r="E55" i="6"/>
  <c r="E55" i="5"/>
  <c r="H56" i="2"/>
  <c r="H51" i="6"/>
  <c r="H51" i="5"/>
  <c r="J11" i="5"/>
  <c r="J2" i="6"/>
  <c r="J52" i="4"/>
  <c r="K42" i="5"/>
  <c r="J42" i="5"/>
  <c r="G56" i="3"/>
  <c r="K10" i="6"/>
  <c r="J10" i="6"/>
  <c r="J50" i="3"/>
  <c r="J53" i="3"/>
  <c r="J52" i="3"/>
  <c r="J11" i="6"/>
  <c r="J47" i="4"/>
  <c r="F55" i="6"/>
  <c r="F55" i="5"/>
  <c r="D56" i="2"/>
  <c r="D51" i="6"/>
  <c r="D51" i="5"/>
  <c r="J10" i="5"/>
  <c r="I55" i="4"/>
  <c r="K55" i="4" s="1"/>
  <c r="H55" i="5"/>
  <c r="H55" i="6"/>
  <c r="J50" i="4"/>
  <c r="K16" i="5"/>
  <c r="J16" i="5"/>
  <c r="C55" i="6"/>
  <c r="C55" i="5"/>
  <c r="K14" i="5"/>
  <c r="J14" i="5"/>
  <c r="J48" i="3"/>
  <c r="J42" i="6"/>
  <c r="B56" i="2"/>
  <c r="B51" i="6"/>
  <c r="B51" i="5"/>
  <c r="I51" i="2"/>
  <c r="J51" i="2" s="1"/>
  <c r="I50" i="6"/>
  <c r="K50" i="6" s="1"/>
  <c r="I50" i="5"/>
  <c r="K50" i="5" s="1"/>
  <c r="K50" i="2"/>
  <c r="J27" i="5"/>
  <c r="I53" i="6"/>
  <c r="K53" i="6" s="1"/>
  <c r="I53" i="5"/>
  <c r="K53" i="5" s="1"/>
  <c r="K53" i="2"/>
  <c r="J32" i="6"/>
  <c r="J3" i="6"/>
  <c r="J20" i="6"/>
  <c r="J6" i="5"/>
  <c r="J7" i="6"/>
  <c r="J46" i="6"/>
  <c r="J45" i="6"/>
  <c r="J28" i="6"/>
  <c r="I49" i="6"/>
  <c r="K49" i="6" s="1"/>
  <c r="I49" i="5"/>
  <c r="K49" i="5" s="1"/>
  <c r="K49" i="2"/>
  <c r="J50" i="2"/>
  <c r="J34" i="6"/>
  <c r="J26" i="6"/>
  <c r="J19" i="5"/>
  <c r="J6" i="6"/>
  <c r="J39" i="6"/>
  <c r="J35" i="6"/>
  <c r="J8" i="6"/>
  <c r="J24" i="6"/>
  <c r="J33" i="6"/>
  <c r="J15" i="6"/>
  <c r="J50" i="5"/>
  <c r="I48" i="6"/>
  <c r="K48" i="6" s="1"/>
  <c r="I48" i="5"/>
  <c r="K48" i="5" s="1"/>
  <c r="K48" i="2"/>
  <c r="J27" i="6"/>
  <c r="I52" i="6"/>
  <c r="K52" i="6" s="1"/>
  <c r="I52" i="5"/>
  <c r="K52" i="5" s="1"/>
  <c r="K52" i="2"/>
  <c r="I54" i="6"/>
  <c r="K54" i="6" s="1"/>
  <c r="I54" i="5"/>
  <c r="K54" i="5" s="1"/>
  <c r="K54" i="2"/>
  <c r="J53" i="6"/>
  <c r="J21" i="6"/>
  <c r="J31" i="6"/>
  <c r="J29" i="6"/>
  <c r="J43" i="6"/>
  <c r="J23" i="6"/>
  <c r="J18" i="6"/>
  <c r="J49" i="6"/>
  <c r="J50" i="6"/>
  <c r="J19" i="6"/>
  <c r="J34" i="5"/>
  <c r="J26" i="5"/>
  <c r="J54" i="2"/>
  <c r="I47" i="6"/>
  <c r="K47" i="6" s="1"/>
  <c r="I47" i="5"/>
  <c r="K47" i="5" s="1"/>
  <c r="K47" i="2"/>
  <c r="B55" i="6"/>
  <c r="B55" i="5"/>
  <c r="I55" i="2"/>
  <c r="J55" i="2" s="1"/>
  <c r="J25" i="6"/>
  <c r="J4" i="6"/>
  <c r="J36" i="6"/>
  <c r="J38" i="6"/>
  <c r="J44" i="6"/>
  <c r="J22" i="6"/>
  <c r="J30" i="6"/>
  <c r="I56" i="4" l="1"/>
  <c r="K56" i="4" s="1"/>
  <c r="J52" i="5"/>
  <c r="K51" i="3"/>
  <c r="J48" i="5"/>
  <c r="J55" i="3"/>
  <c r="J53" i="5"/>
  <c r="J51" i="4"/>
  <c r="J49" i="5"/>
  <c r="J55" i="4"/>
  <c r="H56" i="6"/>
  <c r="H56" i="5"/>
  <c r="E56" i="5"/>
  <c r="E56" i="6"/>
  <c r="F56" i="6"/>
  <c r="F56" i="5"/>
  <c r="D56" i="5"/>
  <c r="D56" i="6"/>
  <c r="G56" i="6"/>
  <c r="G56" i="5"/>
  <c r="I56" i="3"/>
  <c r="K56" i="3" s="1"/>
  <c r="C56" i="6"/>
  <c r="C56" i="5"/>
  <c r="J54" i="6"/>
  <c r="J54" i="5"/>
  <c r="I55" i="6"/>
  <c r="K55" i="6" s="1"/>
  <c r="I55" i="5"/>
  <c r="K55" i="5" s="1"/>
  <c r="K55" i="2"/>
  <c r="J52" i="6"/>
  <c r="J47" i="6"/>
  <c r="J47" i="5"/>
  <c r="J48" i="6"/>
  <c r="I51" i="6"/>
  <c r="K51" i="6" s="1"/>
  <c r="I51" i="5"/>
  <c r="K51" i="5" s="1"/>
  <c r="K51" i="2"/>
  <c r="B56" i="6"/>
  <c r="B56" i="5"/>
  <c r="I56" i="2"/>
  <c r="J56" i="2" s="1"/>
  <c r="J56" i="4" l="1"/>
  <c r="J55" i="5"/>
  <c r="J56" i="3"/>
  <c r="J51" i="5"/>
  <c r="I56" i="6"/>
  <c r="K56" i="6" s="1"/>
  <c r="I56" i="5"/>
  <c r="K56" i="5" s="1"/>
  <c r="K56" i="2"/>
  <c r="J51" i="6"/>
  <c r="J55" i="6"/>
  <c r="J56" i="6" l="1"/>
  <c r="J56" i="5"/>
</calcChain>
</file>

<file path=xl/sharedStrings.xml><?xml version="1.0" encoding="utf-8"?>
<sst xmlns="http://purl.oclc.org/ooxml/spreadsheetml/main" count="62263" uniqueCount="2162">
  <si>
    <t>ACLS</t>
  </si>
  <si>
    <t>Barnard</t>
  </si>
  <si>
    <t>X</t>
  </si>
  <si>
    <t>Priority to Athena Scholars - manual registration</t>
  </si>
  <si>
    <t>Senior Athena Scholars only</t>
  </si>
  <si>
    <t>AFAS</t>
  </si>
  <si>
    <t>SocSci</t>
  </si>
  <si>
    <t>C</t>
  </si>
  <si>
    <t>Instructor Juontel White jw2886@columbia.edu</t>
  </si>
  <si>
    <t>W</t>
  </si>
  <si>
    <t>AFAM Majors/Concentrators ONLY</t>
  </si>
  <si>
    <t>G</t>
  </si>
  <si>
    <t>Dept MA Required Course</t>
  </si>
  <si>
    <t>AFCV</t>
  </si>
  <si>
    <t>AFEN</t>
  </si>
  <si>
    <t>AFRS</t>
  </si>
  <si>
    <t>AHIS</t>
  </si>
  <si>
    <t>Humanities</t>
  </si>
  <si>
    <t>Students must sign up for discussion section AHIS-BC1011</t>
  </si>
  <si>
    <t>STUDENTS MUST REGISTER FOR DISCUSSION SECTION AHIS UN1008</t>
  </si>
  <si>
    <t>Instr. perm. req. - Attend first class. 16 students ONLY</t>
  </si>
  <si>
    <t>V</t>
  </si>
  <si>
    <t>STUDENTS MUST REGISTER FOR DISCUSSION SECTION AHIS UN2428</t>
  </si>
  <si>
    <t>APPLICATION REQUIRED; SEE DEPT WEBSITE</t>
  </si>
  <si>
    <t>APPLY HERE BY APRIL 11: https://forms.gle/JS94JxPcgrcZMk75A</t>
  </si>
  <si>
    <t>APPLY HERE BY APRIL 11: https://forms.gle/hKBYxRFwtdEAvdR86</t>
  </si>
  <si>
    <t>APPLY HERE BY APRIL 11: https://forms.gle/TZocUobsVeCLQb9W8</t>
  </si>
  <si>
    <t>PLEASE BRING SEMINAR APPLICATION TO FIRST CLASS SESSION</t>
  </si>
  <si>
    <t>SENIORS ONLY Instr. perm required - Attend first class.</t>
  </si>
  <si>
    <t>MUST SIGN UP FOR DISCUSSION SECTION AHIS BC3173</t>
  </si>
  <si>
    <t>Applic due 4/11--see BC Art Hist web site</t>
  </si>
  <si>
    <t>Applic due 4/11/19--see BC Art Hist web site</t>
  </si>
  <si>
    <t>Limited to 15 w/ Inst. Perm.</t>
  </si>
  <si>
    <t>O</t>
  </si>
  <si>
    <t>Q</t>
  </si>
  <si>
    <t>REQUIRED COURSE; FIRST-YEAR AHAR MODA STUDENTS ONLY</t>
  </si>
  <si>
    <t>REQUIRED COURSE; FIRST-YEAR AHAR MA STUDENTS ONLY</t>
  </si>
  <si>
    <t>3-POINT LECTURE VERSION - SAME COURSE AS [AHIS GR8642]</t>
  </si>
  <si>
    <t>REQUIRED COURSE; FIRST-YEAR AHAR PHD STUDENTS ONLY</t>
  </si>
  <si>
    <t>4-POINT SEMINAR VERSION - SAME COURSE AS [AHIS GR6610]</t>
  </si>
  <si>
    <t>AHMM</t>
  </si>
  <si>
    <t>Note</t>
  </si>
  <si>
    <t>AHUM</t>
  </si>
  <si>
    <t>STUDENTS MUST REGISTER FOR DISCUSSION SECTION AHUM UN2902</t>
  </si>
  <si>
    <t>AMST</t>
  </si>
  <si>
    <t>Perm given at 1st class;priority to BC AmerST majors</t>
  </si>
  <si>
    <t>REQUIRED FOR STUDENTS DOING SENIOR RES PROJECTS</t>
  </si>
  <si>
    <t>No preregistration. Join waitlist and attend 1st class</t>
  </si>
  <si>
    <t>No preregistration. Join waitlist and attend 1st class.</t>
  </si>
  <si>
    <t>Application required due May 1 Email bmc2163@columbia.edu</t>
  </si>
  <si>
    <t>ANCS</t>
  </si>
  <si>
    <t>ANHS</t>
  </si>
  <si>
    <t>ANME</t>
  </si>
  <si>
    <t>Instructor's permission required</t>
  </si>
  <si>
    <t>ANTH</t>
  </si>
  <si>
    <t>Priorities:  ANTH Majors. Others by instructor's permission</t>
  </si>
  <si>
    <t>Permission required.  email vaj2116@columbia.edu</t>
  </si>
  <si>
    <t>By Permission of Instructor</t>
  </si>
  <si>
    <t>Instructor's permission is required</t>
  </si>
  <si>
    <t>R01</t>
  </si>
  <si>
    <t>R02</t>
  </si>
  <si>
    <t>H</t>
  </si>
  <si>
    <t>for MAs IN ANTH. OTHERS E-MAIL EM8</t>
  </si>
  <si>
    <t>Permission needed for undergrads &amp;amp; students not in MUSA pro</t>
  </si>
  <si>
    <t>Grad students only &amp;amp; instructor   s approval  is REQUIRED</t>
  </si>
  <si>
    <t>Open to MUSA students. Others must get instructor's permissi</t>
  </si>
  <si>
    <t>PRIMARILY GRADUATES. A FEW SENIOR UNDERGRADS MAY APPLY FOR</t>
  </si>
  <si>
    <t>Registration ONLY for:  First-Year PhDs in ANTH</t>
  </si>
  <si>
    <t>Instructor's permission: email vaj2116@columbia.edu.</t>
  </si>
  <si>
    <t>Only Anth PhDs in residence required to register</t>
  </si>
  <si>
    <t>APAM</t>
  </si>
  <si>
    <t>Engineering</t>
  </si>
  <si>
    <t>E</t>
  </si>
  <si>
    <t>APBM</t>
  </si>
  <si>
    <t>MUST USE WAIT LIST</t>
  </si>
  <si>
    <t>APMA</t>
  </si>
  <si>
    <t>RECITATION REQUIRED MUST ALSO REGISTER FOR APMA E2001</t>
  </si>
  <si>
    <t>R03</t>
  </si>
  <si>
    <t>R04</t>
  </si>
  <si>
    <t>R05</t>
  </si>
  <si>
    <t>R06</t>
  </si>
  <si>
    <t>R07</t>
  </si>
  <si>
    <t>R08</t>
  </si>
  <si>
    <t>R09</t>
  </si>
  <si>
    <t>V01</t>
  </si>
  <si>
    <t>VIDEO NETWORK STUDENTS ONLY</t>
  </si>
  <si>
    <t>APPH</t>
  </si>
  <si>
    <t>D01</t>
  </si>
  <si>
    <t>$50 COURSE FEE</t>
  </si>
  <si>
    <t>PREREQ APPH E6335.</t>
  </si>
  <si>
    <t>PREREQ APPH E6330</t>
  </si>
  <si>
    <t>PREREQ APPH E6319</t>
  </si>
  <si>
    <t>PRE/COREQ APPH E4500/4501</t>
  </si>
  <si>
    <t>ARCH</t>
  </si>
  <si>
    <t>Must attend 1st class to apply. Priority to 1st yrs.</t>
  </si>
  <si>
    <t>Attend 1st class to apply. Priority to 1st yrs.</t>
  </si>
  <si>
    <t>Must attend 1st class to apply for course. Capped at 16.</t>
  </si>
  <si>
    <t>Application required; Prereqs = ARCH-UN3102 &amp;amp; ARCH-UN3103</t>
  </si>
  <si>
    <t>App required; students admitted by 8/18; Prereq=ARCH UN3201</t>
  </si>
  <si>
    <t>Must attend 1st class to apply for course;  Capped at 30.</t>
  </si>
  <si>
    <t>Must attend 1st class to apply for course; Capped at 16.</t>
  </si>
  <si>
    <t>Follow Arch Dept procedures for application and approval.</t>
  </si>
  <si>
    <t>A</t>
  </si>
  <si>
    <t>OPEN TO -GSAPP MARCHI ONLY (REQUIRED)</t>
  </si>
  <si>
    <t>OPEN TO MSCCCP STUDENTS ONLY - Required CCCPII</t>
  </si>
  <si>
    <t>With Approval Only Via Application - Open to HP II</t>
  </si>
  <si>
    <t>TECH REQUIRED; MARCH II</t>
  </si>
  <si>
    <t>HIST/THEORY REQUIRED -MARCH I ONLY</t>
  </si>
  <si>
    <t>HIST/THEORY REQUIRED- MARCH I ONLY</t>
  </si>
  <si>
    <t>HIST/THEORY-URBAN</t>
  </si>
  <si>
    <t>REQUIRED HP I ONLY</t>
  </si>
  <si>
    <t>OPEN TO GSAPP ONLY</t>
  </si>
  <si>
    <t>MARCH ONLY</t>
  </si>
  <si>
    <t>HISTORY-MODERN; POST-1800; N/W</t>
  </si>
  <si>
    <t>TECH ELECTIVE</t>
  </si>
  <si>
    <t>VISUAL STUDIES or TECH ELECTIVE . GSAPP ONLY</t>
  </si>
  <si>
    <t>TECH ELECTIVE; ELECTIVE (DESIGN SEMINAR)</t>
  </si>
  <si>
    <t>OPEN TO GSAPP_INTERDISCIPLINARY_VISUAL STUDIES</t>
  </si>
  <si>
    <t>VISUAL STUDIES; GSAPP ONLY</t>
  </si>
  <si>
    <t>HP ELECTIVE. SESSION A (9/3-10/18)</t>
  </si>
  <si>
    <t>HP ELECTIVE. SESSION B</t>
  </si>
  <si>
    <t>ELECTIVE</t>
  </si>
  <si>
    <t>HP I REQUIRED</t>
  </si>
  <si>
    <t>GSAPP- VISUAL STUDIES</t>
  </si>
  <si>
    <t>REQUIRED HP I</t>
  </si>
  <si>
    <t>REQUIRED HP II</t>
  </si>
  <si>
    <t>SEMINAR UD</t>
  </si>
  <si>
    <t>MSAUD ONLY</t>
  </si>
  <si>
    <t>COURSE MEETS BY APPOINTMENT ONLY</t>
  </si>
  <si>
    <t>ASCE</t>
  </si>
  <si>
    <t>ASCM</t>
  </si>
  <si>
    <t>ASST</t>
  </si>
  <si>
    <t>ASTR</t>
  </si>
  <si>
    <t>NatSci</t>
  </si>
  <si>
    <t>BCHM</t>
  </si>
  <si>
    <t>Join waitlist to register. Required recitation BIOL UN3511</t>
  </si>
  <si>
    <t>VEC 701A</t>
  </si>
  <si>
    <t>Intended for students interested in biophysical research</t>
  </si>
  <si>
    <t>BCRS</t>
  </si>
  <si>
    <t>BENG</t>
  </si>
  <si>
    <t>BINF</t>
  </si>
  <si>
    <t>ENROLLMENT RESTRICTED TO BINF STUDENTS but may sit in</t>
  </si>
  <si>
    <t>BIOL</t>
  </si>
  <si>
    <t>BIOL BC1012 lab is a required co-requisite.</t>
  </si>
  <si>
    <t>Must also be enrolled in BIOL BC1002.</t>
  </si>
  <si>
    <t>This is a co-/pre-requisite for BIOL BC1501 &amp;amp; BIOL BC1511.</t>
  </si>
  <si>
    <t>Enrollment in BIOL BC1511 required; must attend first lab.</t>
  </si>
  <si>
    <t>This recitation is a co-requisite for BIOL BC1501 lab.</t>
  </si>
  <si>
    <t>Limited to students in Science Pathways Scholars Program.</t>
  </si>
  <si>
    <t>Join waitlist to register</t>
  </si>
  <si>
    <t>STUDENTS MUST REGISTER FOR RECITATION SECTION: BIOL UN2015</t>
  </si>
  <si>
    <t>This is a recitation for BIOL UN2005 (Intro Bio I).</t>
  </si>
  <si>
    <t>Must attend 1st lab; pre-req: BIOL BC2280 Animal Behavior</t>
  </si>
  <si>
    <t>F</t>
  </si>
  <si>
    <t>TWO HOUR RECITATION TO BE ARRANGED</t>
  </si>
  <si>
    <t>Must attend 1st lab; pre-/co-req: BIOL BC2100 M&amp;M; Genetics</t>
  </si>
  <si>
    <t>Grad students should sign up for 4022</t>
  </si>
  <si>
    <t>Join Waitlist to register</t>
  </si>
  <si>
    <t>Must attend 1st lab; pre-/co-req: BIOL BC3310 Cell Biology.</t>
  </si>
  <si>
    <t>Must attend 1st lab; Pre-/co-req: BIOL BC3362 M&amp;C; Neurosci</t>
  </si>
  <si>
    <t>STUDENTS MUST REGISTER FOR RECITATION SECTION: BIOL UN3510</t>
  </si>
  <si>
    <t>Recitation meets Thursdays after lecture 4:10   6:00P</t>
  </si>
  <si>
    <t>Fall 2019 Topic: Data Intensive Approaches in Biology</t>
  </si>
  <si>
    <t>Full-year course: Must enroll in BIOL BC3592 in the spring.</t>
  </si>
  <si>
    <t>Full-year course: Must enroll in BIOL BC3594 in the spring.</t>
  </si>
  <si>
    <t>Instructor approval &amp;amp; Project Approval Form required.</t>
  </si>
  <si>
    <t>Only open to Ph.D. candidates and advanced undergraduates.</t>
  </si>
  <si>
    <t>Undergrads must register for UN3022</t>
  </si>
  <si>
    <t>Please join waitlist - priority: MA biotech students</t>
  </si>
  <si>
    <t>GR5073 for grad students. UG students register for UN3073</t>
  </si>
  <si>
    <t>Priority will be given to Biological Sciences PhD students</t>
  </si>
  <si>
    <t>BIOT</t>
  </si>
  <si>
    <t>Priority given to MA Biotechnology students</t>
  </si>
  <si>
    <t>BMEB</t>
  </si>
  <si>
    <t>BMEN</t>
  </si>
  <si>
    <t>UG: non-engineering technical elective</t>
  </si>
  <si>
    <t>UG Seniors (Eng. Tech Elective) &amp;amp; Grad students only</t>
  </si>
  <si>
    <t>MS &amp;amp; Ph.D. students only; Priority given to BME students</t>
  </si>
  <si>
    <t>MS students; applications &amp;amp; instructor permission required</t>
  </si>
  <si>
    <t>UG students may register with instructor permission.</t>
  </si>
  <si>
    <t>BURM</t>
  </si>
  <si>
    <t>Shared Course Initiative class. See lrc.columbia.edu/sci</t>
  </si>
  <si>
    <t>BUSI</t>
  </si>
  <si>
    <t>K</t>
  </si>
  <si>
    <t>MEETS ONLINE</t>
  </si>
  <si>
    <t>D02</t>
  </si>
  <si>
    <t>NOT OPEN TO ERM STUDENTS</t>
  </si>
  <si>
    <t>MEETS ONLINE.</t>
  </si>
  <si>
    <t>OPEN TO BUSINESS PLUS STUDENTS ONLY</t>
  </si>
  <si>
    <t>CEU ONLY</t>
  </si>
  <si>
    <t>OPEN TO ALL SPS STUDENTS</t>
  </si>
  <si>
    <t>OPEN TO CEU ONLY</t>
  </si>
  <si>
    <t>OPEN TO CEU STUDENTS ONLY</t>
  </si>
  <si>
    <t>B</t>
  </si>
  <si>
    <t>CATL</t>
  </si>
  <si>
    <t>CEOR</t>
  </si>
  <si>
    <t>CGTH</t>
  </si>
  <si>
    <t>OPEN TO GLOBAL THOUGHT MA STUDENTS ONLY.</t>
  </si>
  <si>
    <t>Course is only open to MA in Global Thought students.</t>
  </si>
  <si>
    <t>This course is open to MA in Global Thought students only.</t>
  </si>
  <si>
    <t>CHAP</t>
  </si>
  <si>
    <t>CHEE</t>
  </si>
  <si>
    <t>CHEM</t>
  </si>
  <si>
    <t>YOU MUST REG FOR LAB UN1500 AND LAB LEC UN1501</t>
  </si>
  <si>
    <t>.</t>
  </si>
  <si>
    <t>REC REQ: TO BE ARRANGED WITH TA</t>
  </si>
  <si>
    <t>YOU MUST BE ENROLLED FOR LAB SEC 2493 001 OR 002 OR 003</t>
  </si>
  <si>
    <t>YOU MUST BE ENROLLED FOR LAB SEC 2493 004 OR 005 OR 006</t>
  </si>
  <si>
    <t>YOU MUST BE ENROLLED FOR LAB SEC 2493 007 OR 008 OR 009</t>
  </si>
  <si>
    <t>YOU MUST BE ENROLLED FOR LAB SEC 2493 010 OR 011 OR 012</t>
  </si>
  <si>
    <t>CHEN</t>
  </si>
  <si>
    <t>x</t>
  </si>
  <si>
    <t>Do not register for this course</t>
  </si>
  <si>
    <t>Please don't register for the Recitation course.</t>
  </si>
  <si>
    <t>R00</t>
  </si>
  <si>
    <t>Do not register for the recitation</t>
  </si>
  <si>
    <t>CHNS</t>
  </si>
  <si>
    <t>CIEE</t>
  </si>
  <si>
    <t>CIEN</t>
  </si>
  <si>
    <t>Section 001 is restricted to Engineering students.</t>
  </si>
  <si>
    <t>Section 002 is restricted to Professional Studies students.</t>
  </si>
  <si>
    <t>1-1.5</t>
  </si>
  <si>
    <t>CLASS MEETS BY CONFERENCE</t>
  </si>
  <si>
    <t>CLCV</t>
  </si>
  <si>
    <t>With a required Discussion Section on Fridays.</t>
  </si>
  <si>
    <t>CLCZ</t>
  </si>
  <si>
    <t>CLEN</t>
  </si>
  <si>
    <t>INSTRUCTOR PERMISSION REQUIRED. SEE DEPT WEBSITE FOR DETAIL</t>
  </si>
  <si>
    <t>Discussion section for Engl GU4822 19TH Century European</t>
  </si>
  <si>
    <t>CLFR</t>
  </si>
  <si>
    <t>CLGR</t>
  </si>
  <si>
    <t>In English</t>
  </si>
  <si>
    <t>CLLT</t>
  </si>
  <si>
    <t>CLME</t>
  </si>
  <si>
    <t>CLPH</t>
  </si>
  <si>
    <t>CLPS</t>
  </si>
  <si>
    <t>CLRS</t>
  </si>
  <si>
    <t>CLSL</t>
  </si>
  <si>
    <t>CLYD</t>
  </si>
  <si>
    <t>CMPM</t>
  </si>
  <si>
    <t>COCI</t>
  </si>
  <si>
    <t>Core</t>
  </si>
  <si>
    <t>COMS</t>
  </si>
  <si>
    <t>9/4/2019 - 10/16/2019</t>
  </si>
  <si>
    <t>9/5/2019 - 10/17/2019</t>
  </si>
  <si>
    <t>10/17/2019 - 12/5/2019</t>
  </si>
  <si>
    <t>10/21/2019 - 12/9/2019</t>
  </si>
  <si>
    <t>9/6/2019 - 10/18/2019</t>
  </si>
  <si>
    <t>10/25/2019 - 12/6/2019</t>
  </si>
  <si>
    <t>H02</t>
  </si>
  <si>
    <t>V02</t>
  </si>
  <si>
    <t>H01</t>
  </si>
  <si>
    <t>Priority registration for DSI students.</t>
  </si>
  <si>
    <t>V10</t>
  </si>
  <si>
    <t>V07</t>
  </si>
  <si>
    <t>CPLS</t>
  </si>
  <si>
    <t>Instructor permission required for this course.</t>
  </si>
  <si>
    <t>APPLICATION REQUIRED: https://forms.gle/3Ha7kKc4opy5aYaj9</t>
  </si>
  <si>
    <t>CPLT</t>
  </si>
  <si>
    <t>Prerequisite: Satisfaction of Barnard language requirement</t>
  </si>
  <si>
    <t>Instructor permission</t>
  </si>
  <si>
    <t>CSEE</t>
  </si>
  <si>
    <t>CSER</t>
  </si>
  <si>
    <t>Open enrollment for CSER student priority</t>
  </si>
  <si>
    <t>CSER Students Major Requirement</t>
  </si>
  <si>
    <t>CSOR</t>
  </si>
  <si>
    <t>Priority for DSI students.</t>
  </si>
  <si>
    <t>CZCH</t>
  </si>
  <si>
    <t>DNCE</t>
  </si>
  <si>
    <t>Attend first two classes.</t>
  </si>
  <si>
    <t>Attend first two classes</t>
  </si>
  <si>
    <t>Dance/composition exper preferred;permission of instructor</t>
  </si>
  <si>
    <t>DTCH</t>
  </si>
  <si>
    <t>EAAS</t>
  </si>
  <si>
    <t>Film screening held Thursday 7-9 p.m.</t>
  </si>
  <si>
    <t>INSTRUCTOR'S PERMISSION REQUIRED. Meets in Kress Room.</t>
  </si>
  <si>
    <t>EAEE</t>
  </si>
  <si>
    <t>EARL</t>
  </si>
  <si>
    <t>EARS</t>
  </si>
  <si>
    <t>ECBM</t>
  </si>
  <si>
    <t>Required Recitation</t>
  </si>
  <si>
    <t>ECHS</t>
  </si>
  <si>
    <t>ECON</t>
  </si>
  <si>
    <t>Students must also register for UN1155</t>
  </si>
  <si>
    <t>Preq Intro Eco. Signup https://forms.gle/Pig861cC35SguWmX7</t>
  </si>
  <si>
    <t>-</t>
  </si>
  <si>
    <t>Prereq: Interm Macro or Micro</t>
  </si>
  <si>
    <t>Prereq: Interm Micro or Macro&amp;amp; BC2411 or equivalent</t>
  </si>
  <si>
    <t>Prereq: Intermed Micro</t>
  </si>
  <si>
    <t>Prereq: Imtermed Macro or Micro</t>
  </si>
  <si>
    <t>Prereq: Intermed Micro. Also Recom. Econ BC3018 or equiv</t>
  </si>
  <si>
    <t>Prereq: Intermediate Macro</t>
  </si>
  <si>
    <t>Prereq:  Intro Economics</t>
  </si>
  <si>
    <t>Submit Senior Req Pref form starting April 3</t>
  </si>
  <si>
    <t>Instructor Permission Required</t>
  </si>
  <si>
    <t>Students must also register for UN3212</t>
  </si>
  <si>
    <t>Students must also register for UN3214</t>
  </si>
  <si>
    <t>Students must also register for UN3413</t>
  </si>
  <si>
    <t>Students must also register for GU4212</t>
  </si>
  <si>
    <t>ECPS</t>
  </si>
  <si>
    <t>EDUC</t>
  </si>
  <si>
    <t>Student teaching sophomores and juniors only</t>
  </si>
  <si>
    <t>Preference given to Ed. Studies and Urban Studies students</t>
  </si>
  <si>
    <t>Education Studies juniors and seniors only</t>
  </si>
  <si>
    <t>Please complete: https://goo.gl/forms/QueZso6qSDuVgiQh1</t>
  </si>
  <si>
    <t>Students must attend first class.</t>
  </si>
  <si>
    <t>Elementary student teaching seniors only</t>
  </si>
  <si>
    <t>Elementary and Secondary student teachers only</t>
  </si>
  <si>
    <t>Secondary student teaching seniors only</t>
  </si>
  <si>
    <t>EEBM</t>
  </si>
  <si>
    <t>EECS</t>
  </si>
  <si>
    <t>THIS IS A HYBRID SECTION FOR EECSE6690</t>
  </si>
  <si>
    <t>THIS COURSE IS ONLY OPEN TO PH.D. STUDENTS</t>
  </si>
  <si>
    <t>EEEB</t>
  </si>
  <si>
    <t>Prerequisite: Intro Statistics UN3005 or similar</t>
  </si>
  <si>
    <t>EEEB students given priority at the first class session</t>
  </si>
  <si>
    <t>Labs in Sep and Oct are field trips that can go until 6:00</t>
  </si>
  <si>
    <t>EEME</t>
  </si>
  <si>
    <t>EESC</t>
  </si>
  <si>
    <t>Lab required - Monday 4:10 - 7:00pm</t>
  </si>
  <si>
    <t>Also sign up for lab: EESC BC1011</t>
  </si>
  <si>
    <t>Lab class is required for EECBC1001 Lecture class.</t>
  </si>
  <si>
    <t>Lab is required for EESC BC1001 Lecture</t>
  </si>
  <si>
    <t>Lab is required for EECB BC1001 Lecture</t>
  </si>
  <si>
    <t>Lecture Only</t>
  </si>
  <si>
    <t>Discussion Session required - Time/location TBD</t>
  </si>
  <si>
    <t>Lab  Required - Tuesday 4:10 - 7:00pm</t>
  </si>
  <si>
    <t>Pref to majors;inst will choose students 1st clas</t>
  </si>
  <si>
    <t>All students must go to 530 Altschul Hall first class day.</t>
  </si>
  <si>
    <t>also numbered BC3800 - Meet in 530 Altschul Hall (Barnard)</t>
  </si>
  <si>
    <t>Lab required - Friday 9:00am - 10:45am</t>
  </si>
  <si>
    <t>Lab required - Tuesday 4:10pm - 6:40pm</t>
  </si>
  <si>
    <t>Lab required - Monday 4:10pm - 7:00pm</t>
  </si>
  <si>
    <t>Meets at LDEO</t>
  </si>
  <si>
    <t>Meets at LDEO - Comer Kennedy Room</t>
  </si>
  <si>
    <t>Meets at LDEO - Seismology Seminar Room</t>
  </si>
  <si>
    <t>Storke Trip to Peru</t>
  </si>
  <si>
    <t>Open to undergraduates with instructor permission</t>
  </si>
  <si>
    <t>Meets at LDEO - Seismology 1st Floor Conference Room</t>
  </si>
  <si>
    <t>Meets at LDEO - Seismology Conference Room</t>
  </si>
  <si>
    <t>Meets at LDEO - Seismology Room 201</t>
  </si>
  <si>
    <t>Meets at LDEO - Seismology Library</t>
  </si>
  <si>
    <t>Meets at LDEO in Oceanography 303</t>
  </si>
  <si>
    <t>EHPS</t>
  </si>
  <si>
    <t>ELEN</t>
  </si>
  <si>
    <t>ENGI</t>
  </si>
  <si>
    <t>Restricted to DSI MS students.</t>
  </si>
  <si>
    <t>Meets 10/15 to 11/26</t>
  </si>
  <si>
    <t>Meets 9/9 to 10/16</t>
  </si>
  <si>
    <t>ENGL</t>
  </si>
  <si>
    <t>Z</t>
  </si>
  <si>
    <t>EMAIL ALP@COLUMBIA.EDU FOR REGISTRATION DETAILS.</t>
  </si>
  <si>
    <t>REGISTER FOR COURSE IN 504 LEWISOHN HALL</t>
  </si>
  <si>
    <t>OPEN TO GSAS PHD ONLY. Classes begin the week of Sep 9</t>
  </si>
  <si>
    <t>OPEN TO GSAS PHD ONLY Classes begin the week of Sep 9.</t>
  </si>
  <si>
    <t>RTR</t>
  </si>
  <si>
    <t>Open only to students w/ ALP 10 exam or who passed ALP 9.</t>
  </si>
  <si>
    <t>APPLICATION &amp;amp; INSTR PERMISSION REQUIRED; BC ONLY</t>
  </si>
  <si>
    <t>ADMISSION BY NOMINATION &amp;amp; INSTR PERM; BC ONLY</t>
  </si>
  <si>
    <t>MUST ATTEND FIRST CLASS TO RETAIN PLACE IN IT</t>
  </si>
  <si>
    <t>SUBMIT APPLICATION BY AUG 13; SEE DEPT WEBSITE</t>
  </si>
  <si>
    <t>BC FIRST-YEARS ONLY; APPLY BY 8/13; SEE DEPT WEBSITE</t>
  </si>
  <si>
    <t>PERMISSION REQUIRED; INST 2 DETRMINE ENRLMT @ 1ST CLASS</t>
  </si>
  <si>
    <t>REQUIRES APPLICATION AND INTERVIEW</t>
  </si>
  <si>
    <t>Application required; see department website</t>
  </si>
  <si>
    <t>APPLICATION REQUIRED https://goo.gl/forms/ooLPXWnAYb7xetL72</t>
  </si>
  <si>
    <t>BC ENGLISH MAJORS ONLY OR DEPT PERMISSION</t>
  </si>
  <si>
    <t>BC ONLY; PRIORITY TO BC ENGLISH MAJORS</t>
  </si>
  <si>
    <t>APPLICATION DUE SEPT 3: https://forms.gle/3or1JwVrEaLE5hwy9</t>
  </si>
  <si>
    <t>APPLICATION REQUIRED https://goo.gl/forms/7HU2jZNfpxP0zV1k2</t>
  </si>
  <si>
    <t>INSTRUCTOR PERMISSION REQUIRED</t>
  </si>
  <si>
    <t>Ruth Diamond</t>
  </si>
  <si>
    <t>BC SENIOR ENGLISH MAJORS ONLY OR INSTRUCTOR PERMISSION</t>
  </si>
  <si>
    <t>BC SENIOR ENGLISH MAJORS ONLY</t>
  </si>
  <si>
    <t>Laila Alqaddumi</t>
  </si>
  <si>
    <t>ENME</t>
  </si>
  <si>
    <t>Lab meets on Mondays from 1:00 PM to 4:00 PM.</t>
  </si>
  <si>
    <t>ENTA</t>
  </si>
  <si>
    <t>See department website for application instructions.</t>
  </si>
  <si>
    <t>ENTH</t>
  </si>
  <si>
    <t>ENVP</t>
  </si>
  <si>
    <t>Sipa</t>
  </si>
  <si>
    <t>U</t>
  </si>
  <si>
    <t>Open to MPA-ESP Students Only</t>
  </si>
  <si>
    <t>Recitation</t>
  </si>
  <si>
    <t>FILM</t>
  </si>
  <si>
    <t>Arts</t>
  </si>
  <si>
    <t>corequisite FILM UN 1001</t>
  </si>
  <si>
    <t>Discussion section starts the 2nd week of the semester.</t>
  </si>
  <si>
    <t>Class begins the 2nd week of the semester.</t>
  </si>
  <si>
    <t>corequisite FILM UN 1011</t>
  </si>
  <si>
    <t>Discussion section will start the 2nd week of the semester.</t>
  </si>
  <si>
    <t>Discussion section will begin the 2nd week of the semester.</t>
  </si>
  <si>
    <t>Discussion section begins the 2nd week of the semester</t>
  </si>
  <si>
    <t>corequisite FILM UN 2021</t>
  </si>
  <si>
    <t>corequisite FILM UN 2031</t>
  </si>
  <si>
    <t>Discussion sessions will begin the 2nd week of the semester</t>
  </si>
  <si>
    <t>Class will begin the 2nd week of the semester.</t>
  </si>
  <si>
    <t>Meets Global Core requirement.</t>
  </si>
  <si>
    <t>Dept permission req/Film Studies majors</t>
  </si>
  <si>
    <t>Priority Senior Film Majors</t>
  </si>
  <si>
    <t>Attend 1st class for instructor perm</t>
  </si>
  <si>
    <t>Film Studies Majors only</t>
  </si>
  <si>
    <t>Prerequisite: Lab in Fiction OR  Nonfiction Filmmaking</t>
  </si>
  <si>
    <t>Undergraduates must register for FILM GU4001</t>
  </si>
  <si>
    <t>Instructor permission required to register</t>
  </si>
  <si>
    <t>Grad section</t>
  </si>
  <si>
    <t>R</t>
  </si>
  <si>
    <t>For 2nd year MFA Directing/Screenwriting students only</t>
  </si>
  <si>
    <t>Schedule specifics will be given in class.</t>
  </si>
  <si>
    <t>Film MFA 2nd year Creative Producers only</t>
  </si>
  <si>
    <t>For 2nd yr Creative Producers only</t>
  </si>
  <si>
    <t>For 2nd year Creative Producers only</t>
  </si>
  <si>
    <t>instr Permission req - see Courseworks</t>
  </si>
  <si>
    <t>MUST HAVE COMPLETED AS LEAST 60 POINTS</t>
  </si>
  <si>
    <t>MUST HAVE COMPLETE 60 POINTS</t>
  </si>
  <si>
    <t>FINN</t>
  </si>
  <si>
    <t>FREN</t>
  </si>
  <si>
    <t>THIS SECTION FOR SIPA STUDENTS ONLY</t>
  </si>
  <si>
    <t>Texts in the Social Sciences</t>
  </si>
  <si>
    <t>FRST</t>
  </si>
  <si>
    <t>FYSB</t>
  </si>
  <si>
    <t>Barnard 1st Year Students only</t>
  </si>
  <si>
    <t>GEND</t>
  </si>
  <si>
    <t>GERM</t>
  </si>
  <si>
    <t>Professional German</t>
  </si>
  <si>
    <t>GREK</t>
  </si>
  <si>
    <t>Democracy and its Discontents in Late Fifth-century Athens</t>
  </si>
  <si>
    <t>TOPIC: EURIPIDES AND MEUANDER</t>
  </si>
  <si>
    <t>GRKM</t>
  </si>
  <si>
    <t>HILI</t>
  </si>
  <si>
    <t>HIST</t>
  </si>
  <si>
    <t>Students must also sign up for REQUIRED DISCUSSION SECTION.</t>
  </si>
  <si>
    <t>Discussion Section.  STUDENT MUST REGISTER FOR MAIN COURSE.</t>
  </si>
  <si>
    <t>Student must also sign up for REQUIRED DISCUSSION SECTION</t>
  </si>
  <si>
    <t>MUST ALSO REGISTER FOR DISCUSSION SECTION- HIST BC1162</t>
  </si>
  <si>
    <t>MUST ALSO REGISTER FOR DISCUSSION SECTION- HIST BC1112</t>
  </si>
  <si>
    <t>MUST ALSO REG FOR LECTURE- HIST BC110 Meet in MLC402</t>
  </si>
  <si>
    <t>MUST ALSO REGISTER FOR LECTURE- HIST BC1101</t>
  </si>
  <si>
    <t>MUST REG FOR LECTURE- HIST BC1101</t>
  </si>
  <si>
    <t>MUST ALSO REGISTER FOR LECTURE- HIST BC1062</t>
  </si>
  <si>
    <t>MUST ALSO REGISTER FOR DISCUSSION SECTION- HIST BC1412</t>
  </si>
  <si>
    <t>MUST ALSO REGISTER FOR LECTURE- HIST BC1401</t>
  </si>
  <si>
    <t>Discussion Section.  STUDENT MUST REGISTER FOR MAIN COURSE</t>
  </si>
  <si>
    <t>REQUIRED DISCUSSION SECTION TO BE ADDED SOON.</t>
  </si>
  <si>
    <t>Discussion Section. STUDENT MUST REGISTER FOR MAIN COURSE</t>
  </si>
  <si>
    <t>REQUIRED FOR AMERICAN STUDIES MAJORS/CONCENTRATORS</t>
  </si>
  <si>
    <t>Must also register for DISC section (to be added in June)</t>
  </si>
  <si>
    <t>Discussion Section. STUDENT MUST REGISTER FOR MAIN COURSE.</t>
  </si>
  <si>
    <t>INSTRUCTOR PERMISSION REQUIRED.  EMAIL INSTRUCTOR.</t>
  </si>
  <si>
    <t>Instructor Permission Required. Enrollment limited to 20.</t>
  </si>
  <si>
    <t>Instructer Permission Required. Enrollment limited to 20.</t>
  </si>
  <si>
    <t>ENROLLMENT FOR BARNARD SENIOR HISTORY MAJORS ONLY!</t>
  </si>
  <si>
    <t>Instructor Permission Required. Enrollment limited to 15.</t>
  </si>
  <si>
    <t>Instr Perm Req. Enroll limited to 15.  Meets in MLC 103.</t>
  </si>
  <si>
    <t>STUDENTS MUST AWAIT DEPARTMENTAL INSTRUCTION</t>
  </si>
  <si>
    <t>STUDENTS MUST AWAIT DEPARTMENTAL APPROVAL</t>
  </si>
  <si>
    <t>INSTRUCTOR PERMISSION REQUIRED. EMAIL INSTRUCTOR.</t>
  </si>
  <si>
    <t>For Dual Masters Degree Program ONLY</t>
  </si>
  <si>
    <t>GRAD STUD ONLY_PERM REQ_INSTR MUST ADD U 2 CANVAS</t>
  </si>
  <si>
    <t>MEETS IN SCHAPIRO STUDIO ON MONDAYS &amp;amp; TUESDAYS</t>
  </si>
  <si>
    <t>INSTRUCTORS' PERMISSION REQUIRED.  EMAIL INSTRUCTORS.</t>
  </si>
  <si>
    <t>Class will meet in Milstein 912</t>
  </si>
  <si>
    <t>HNGR</t>
  </si>
  <si>
    <t>HROH</t>
  </si>
  <si>
    <t>HRTS</t>
  </si>
  <si>
    <t>JOIN SSOL WAITLIST. PRIORITY 3&amp;amp;4YR CC/GS HUMR STUDS</t>
  </si>
  <si>
    <t>JOIN SSOL WAITLIST. RESTRICTED TO CC/GS HUMR STUDS</t>
  </si>
  <si>
    <t>JOIN SSOL WAITLIST &amp;amp; EMAIL INSTRUCTOR</t>
  </si>
  <si>
    <t>JOIN SSOL WAITLIST. RESTRICTED TO HRSMA STUDENTS</t>
  </si>
  <si>
    <t>HSEA</t>
  </si>
  <si>
    <t>Instructor permission required</t>
  </si>
  <si>
    <t>HSJR</t>
  </si>
  <si>
    <t>HSME</t>
  </si>
  <si>
    <t>HSPP</t>
  </si>
  <si>
    <t>Incoming freshmen only: application thru dean's office req.</t>
  </si>
  <si>
    <t>HSPS</t>
  </si>
  <si>
    <t>HUMA</t>
  </si>
  <si>
    <t>REQUIRED OF ALL FIRST-TIME ART HUMANITIES INSTRUCTORS</t>
  </si>
  <si>
    <t>IAIA</t>
  </si>
  <si>
    <t>Open to MIA Students Only</t>
  </si>
  <si>
    <t>Open to MIA Students Only; Instructor Permission Required</t>
  </si>
  <si>
    <t>IEME</t>
  </si>
  <si>
    <t>IEOR</t>
  </si>
  <si>
    <t>Not Approved for MS IEOR Students.</t>
  </si>
  <si>
    <t>MSBA only</t>
  </si>
  <si>
    <t>MSE only</t>
  </si>
  <si>
    <t>Second Half of IEOR E4101; Waiver Exam Required (MSBA only)</t>
  </si>
  <si>
    <t>Second Half of IEOR E4101; Waiver Exam Required (MSE only)</t>
  </si>
  <si>
    <t>XMT</t>
  </si>
  <si>
    <t>Overlap: cannot count both IEOR 4578 &amp;amp; IEOR 4403 for degree</t>
  </si>
  <si>
    <t>MSBA Only</t>
  </si>
  <si>
    <t>First Half Term Course</t>
  </si>
  <si>
    <t>Fall 2019 Course is 3 Credits.</t>
  </si>
  <si>
    <t>Class Meets: 9/19-11/21</t>
  </si>
  <si>
    <t>Same as Summer2019 IEOR E4722 Alternative Investments</t>
  </si>
  <si>
    <t>MSFE Only</t>
  </si>
  <si>
    <t>https://ieor.columbia.edu/professional-development</t>
  </si>
  <si>
    <t>INAF</t>
  </si>
  <si>
    <t>Course meets alternate weeks</t>
  </si>
  <si>
    <t>IFEP Students Receive Registration Priority</t>
  </si>
  <si>
    <t>Open to IFEP Students Only</t>
  </si>
  <si>
    <t>Attendance in 1st class session is mandatory to enroll</t>
  </si>
  <si>
    <t>Open to MPA-DP Students Only</t>
  </si>
  <si>
    <t>Fall 2019 Course Dates: Sept 9 - Oct 21</t>
  </si>
  <si>
    <t>Fall 2019 Course Dates: Sept 4 - Oct 16</t>
  </si>
  <si>
    <t>Fall 2019 Course Dates: Sept. 5 - Sept. 26</t>
  </si>
  <si>
    <t>Fall 2019 Course Dates: Oct. 11-13</t>
  </si>
  <si>
    <t>Open to EPD Students Only</t>
  </si>
  <si>
    <t>Fall 2019 Course Dates: Sept. 5 - Oct. 17</t>
  </si>
  <si>
    <t>Registration restricted to International Fellows Program</t>
  </si>
  <si>
    <t>Fall 2019 Course Dates: Oct. 17 - Dec. 5</t>
  </si>
  <si>
    <t>Open to ICR Specialization Students Only</t>
  </si>
  <si>
    <t>Fall 2019 Course Dates: Sept. 6 - Oct. 18</t>
  </si>
  <si>
    <t>Instructor managed registration. Join waitlist in SSOL</t>
  </si>
  <si>
    <t>Fall 2019 Course Dates: Oct. 15 - Dec. 3</t>
  </si>
  <si>
    <t>Fall 2019 Course Dates: Oct. 16 - Dec. 4</t>
  </si>
  <si>
    <t>Fall 2019 Course Dates: Sept. 3 - Oct. 15</t>
  </si>
  <si>
    <t>Fall 2019 Course Dates: Sept. 5 - Oct. 10</t>
  </si>
  <si>
    <t>IFEP Students Receive Priority</t>
  </si>
  <si>
    <t>Fall 2019 Course Dates: Sept. 4 - Oct. 16</t>
  </si>
  <si>
    <t>Fall 2019 Course Dates: Nov. 8 &amp;amp; 9</t>
  </si>
  <si>
    <t>INDO</t>
  </si>
  <si>
    <t>INSM</t>
  </si>
  <si>
    <t>ISCS</t>
  </si>
  <si>
    <t>ITAL</t>
  </si>
  <si>
    <t>New or transfer students must take a placement test.</t>
  </si>
  <si>
    <t>New or transfer students must take a placement test</t>
  </si>
  <si>
    <t>All materials are in English.</t>
  </si>
  <si>
    <t>For grad. students for proficiency req. Open to undergrads.</t>
  </si>
  <si>
    <t>Enrollment limited to advanced graduate students in Italian</t>
  </si>
  <si>
    <t>JPNS</t>
  </si>
  <si>
    <t>Instructor's permission required. Meets in Kress room.</t>
  </si>
  <si>
    <t>JWST</t>
  </si>
  <si>
    <t>KORN</t>
  </si>
  <si>
    <t>For students with no Korean background</t>
  </si>
  <si>
    <t>For students with Korean background</t>
  </si>
  <si>
    <t>LACV</t>
  </si>
  <si>
    <t>LATN</t>
  </si>
  <si>
    <t>Biography</t>
  </si>
  <si>
    <t>Undergrads may enroll with Instructor permission</t>
  </si>
  <si>
    <t>LCRS</t>
  </si>
  <si>
    <t>This class will meet by appointment only</t>
  </si>
  <si>
    <t>This class is restricted to MA students in LCRS program</t>
  </si>
  <si>
    <t>LING</t>
  </si>
  <si>
    <t>MATH</t>
  </si>
  <si>
    <t>CONSULT BULLETIN REGARDING REGISTRATION</t>
  </si>
  <si>
    <t>MAFN students only. Open to the University 9/9</t>
  </si>
  <si>
    <t>MAFN students only. Open to the University 9/10</t>
  </si>
  <si>
    <t>MAFN ONLY. LETTER GRADE ONLY. NO PASS/FAIL. NO AUDITING</t>
  </si>
  <si>
    <t>Open only to MAFN students</t>
  </si>
  <si>
    <t>MATS</t>
  </si>
  <si>
    <t>MDES</t>
  </si>
  <si>
    <t>On October 17 this class will meet in 403 Knox Hall.</t>
  </si>
  <si>
    <t>Open to graduate and advanced undergraduate students</t>
  </si>
  <si>
    <t>MEBM</t>
  </si>
  <si>
    <t>MECE</t>
  </si>
  <si>
    <t>COURSE DATES: 09/14 - 10/19. MECE STUDENTS ONLY</t>
  </si>
  <si>
    <t>COURSE DATES: 10/26 - 11/30. MECE STUDENTS ONLY</t>
  </si>
  <si>
    <t>MECH</t>
  </si>
  <si>
    <t>MECS</t>
  </si>
  <si>
    <t>MEDR</t>
  </si>
  <si>
    <t>MPP_</t>
  </si>
  <si>
    <t>Audition Req &amp;amp; Offered in Fall ONLY; $300 LESSON FE</t>
  </si>
  <si>
    <t>Audition Req &amp;amp; Offered in Fall ONLY; $300 LESSON FEE</t>
  </si>
  <si>
    <t>Signup 109/110 Dodge Sept4&amp;amp;5; ALL LEVELS; $300 LESSONFEE</t>
  </si>
  <si>
    <t>No Fee for this Course; disregard course description.</t>
  </si>
  <si>
    <t>Audition Req &amp;amp; Offered in Fall ONLY</t>
  </si>
  <si>
    <t>MRST</t>
  </si>
  <si>
    <t>MSAE</t>
  </si>
  <si>
    <t>MUSI</t>
  </si>
  <si>
    <t>Course is not open to auditors.</t>
  </si>
  <si>
    <t>Everyone must audition before each semester.</t>
  </si>
  <si>
    <t>Auditions in September and January.</t>
  </si>
  <si>
    <t>Auditions in September and in January.</t>
  </si>
  <si>
    <t>Entrance exam required; see Department website for details.</t>
  </si>
  <si>
    <t>NSBV</t>
  </si>
  <si>
    <t>Senior NSBV majors only</t>
  </si>
  <si>
    <t>ORCA</t>
  </si>
  <si>
    <t>Not Approved for MS IEOR Students</t>
  </si>
  <si>
    <t>PHED</t>
  </si>
  <si>
    <t>PhysEd</t>
  </si>
  <si>
    <t>STARTS WK OF 9/9. CHECK physed.columbia.edu FOR INFO</t>
  </si>
  <si>
    <t>Classes Begin Week of 9/9. See perec.columbia.edu more info</t>
  </si>
  <si>
    <t>classes start 9/10. Meet in Levien Lobby at start of class.</t>
  </si>
  <si>
    <t>MUST BE MEMBR OF VARSITY ATH TEAM TO ENROLL</t>
  </si>
  <si>
    <t>Classes start week of 9/9/19. Must attend first class.</t>
  </si>
  <si>
    <t>PHIL</t>
  </si>
  <si>
    <t>Meets in MLC 126</t>
  </si>
  <si>
    <t>PHYS</t>
  </si>
  <si>
    <t>STUDENTS MUST REG FOR PHYS UN1203 REC WITH SAME INSTRUCTOR</t>
  </si>
  <si>
    <t>CLASSES BEGIN 2ND OR 3RD WEEK OF SEMESTER</t>
  </si>
  <si>
    <t>STUDENTS MUST REG FOR PHYS UN1404 REC WITH SAME INSTRUCTOR</t>
  </si>
  <si>
    <t>REQ LECT T 03:00P-03:55P</t>
  </si>
  <si>
    <t>STUDENTS MUST REG FOR PHYS UN1603 RECITATION</t>
  </si>
  <si>
    <t>MEETING TIME FOR 3-HOUR  LAB TBA</t>
  </si>
  <si>
    <t>MEETING DAYS/TIMES FOR 3-HOUR LAB TBA</t>
  </si>
  <si>
    <t>STUDENTS SHOULD REG FOR ONE SECTION OF PHYS UN2603 REC</t>
  </si>
  <si>
    <t>STUDENTS SHOULD ATTEND PHYS UN2803 REC</t>
  </si>
  <si>
    <t>FINAL ENROLL TBD BY INSTR: PREF TO SENIORS/PHYS MAJORS</t>
  </si>
  <si>
    <t>POLI</t>
  </si>
  <si>
    <t>POLS</t>
  </si>
  <si>
    <t>Students must register for discussion section POLS UN1111</t>
  </si>
  <si>
    <t>NO PRE-REGISTRATION; THOSE INTERESTED SHOULD JOIN WAITLIST</t>
  </si>
  <si>
    <t>MUST ALSO REGISTER FOR A DISC SECTION-POLS1211</t>
  </si>
  <si>
    <t>STUDENTS MUST REGISTER FOR A DISCUSSION SECTION-POLS UN1511</t>
  </si>
  <si>
    <t>Discussion section POLS UN1611 is mandatory.</t>
  </si>
  <si>
    <t>Appl due 4/1:http://polisci.barnard.edu/colloquia</t>
  </si>
  <si>
    <t>STUDENTS MUST REGISTER FOR DISCUSSION SECTION POLS UN3411</t>
  </si>
  <si>
    <t>SECTIONS WILL OPEN FOR REGISTRATION 1ST WK OF CLASS.</t>
  </si>
  <si>
    <t>First Year students may not take this class</t>
  </si>
  <si>
    <t>STUDENTS MUST REGISTER FOR A DISCUSSION SECTION-POLS UN3632</t>
  </si>
  <si>
    <t>STUDENTS MUST REGISTER FOR A DISCUSSION SECTION-POLS UN3649</t>
  </si>
  <si>
    <t>Students must register for a discussion section POLS UN3722</t>
  </si>
  <si>
    <t>NO PRE-REGISTRATION; THOSE INTERESTED SHOULD JOIN WAIT LIST</t>
  </si>
  <si>
    <t>NO PRE-REGISTRATION; THOSE INTERESTED SHOULD EMAIL MKZ1@COLU</t>
  </si>
  <si>
    <t>BY APPLICATION ONLY</t>
  </si>
  <si>
    <t>THIS COURSE WILL BE TAUGHT IN CHINESE</t>
  </si>
  <si>
    <t>Students must register for discussion section POLS GU4711</t>
  </si>
  <si>
    <t>STUDENTS MUST REGISTER FOR A DISCUSSION SECTION-POLS GU4733</t>
  </si>
  <si>
    <t>STUDENTS MUST REGISTER FOR A DISCUSSION SECTION-POLS GU4896</t>
  </si>
  <si>
    <t>PORT</t>
  </si>
  <si>
    <t>VERY IMPORTANT; SEE COURSE DESCRIPTION BEFORE REGISTERING</t>
  </si>
  <si>
    <t>PSYC</t>
  </si>
  <si>
    <t>BLOCKED CLASS. EVERYONE MUST JOIN WAITLIST TO BE ADMITTED</t>
  </si>
  <si>
    <t>Attend first class to keep seat</t>
  </si>
  <si>
    <t>Instructor will confirm enrollment at first class</t>
  </si>
  <si>
    <t>Mon lecture; Friday discussion section</t>
  </si>
  <si>
    <t>Enroll with permission of instructor of PSYC BC1088</t>
  </si>
  <si>
    <t>Lecture/Recitation; All students to waitlist</t>
  </si>
  <si>
    <t>THIS SECTION WILL NOT OPEN UNTIL OTHERS ARE FULL.</t>
  </si>
  <si>
    <t>MAJORS HAVE PRIORITY. MUST REGISTER FOR A SECTION OF UN1611</t>
  </si>
  <si>
    <t>All students to waitlist; will admit 100</t>
  </si>
  <si>
    <t>All students to waitlist; will admit 24; take with BC2129</t>
  </si>
  <si>
    <t>Must be present first day of class to keep seat</t>
  </si>
  <si>
    <t>REQUEST INSTRUCTOR PERMISSION AND JOIN WAITLIST. COURSE HOUR</t>
  </si>
  <si>
    <t>Enrollment confirmed by instructor at first class meeting</t>
  </si>
  <si>
    <t>REQUEST INSTRUCTOR PERMISSION AND JOIN WAITLIST</t>
  </si>
  <si>
    <t>Advance permission from instructor required</t>
  </si>
  <si>
    <t>Senior PSYC Majors only; must consult with Chair</t>
  </si>
  <si>
    <t>REQUEST INSTRUCTOR PERMISSION &amp;amp; JOIN WAIT LIST</t>
  </si>
  <si>
    <t>PUNJ</t>
  </si>
  <si>
    <t>QMSS</t>
  </si>
  <si>
    <t>Open to QMSS MA students ONLY</t>
  </si>
  <si>
    <t>Priority enrollment for QMSS MA students</t>
  </si>
  <si>
    <t>Open to QMSS MA students ONLY; non-QMSS will be REMOVED</t>
  </si>
  <si>
    <t>RELI</t>
  </si>
  <si>
    <t>for senior Religion majors only</t>
  </si>
  <si>
    <t>RMAN</t>
  </si>
  <si>
    <t>RUSS</t>
  </si>
  <si>
    <t>PREREQUISITE:  Not for Heritage Speakers</t>
  </si>
  <si>
    <t>PREREQUISITE:  Completion of UN 1102 or placement test</t>
  </si>
  <si>
    <t>PREREQUISITE:  Completion of UN 2102 or placement test</t>
  </si>
  <si>
    <t>PREREQUISITE: Instructors permission or placement test</t>
  </si>
  <si>
    <t>Mark Lipovetsky (Leiderman)</t>
  </si>
  <si>
    <t>Completion of RUSS 3101 and 3102 or placement test.</t>
  </si>
  <si>
    <t>3 years of Russian (RUSS 3101-3102) or placement test.</t>
  </si>
  <si>
    <t>SASS</t>
  </si>
  <si>
    <t>Enrollment Priority: Students in South Asian MA Program</t>
  </si>
  <si>
    <t>SCNC</t>
  </si>
  <si>
    <t>SCPP</t>
  </si>
  <si>
    <t>SDEV</t>
  </si>
  <si>
    <t>All students must register via waitlist. Priority to SDEV</t>
  </si>
  <si>
    <t>All students must register via waitlist. Priority to SDEV.</t>
  </si>
  <si>
    <t>Register via waitlist. Disc. required</t>
  </si>
  <si>
    <t>Application required. Contact cshimkus@ei.columbia.edu</t>
  </si>
  <si>
    <t>SINH</t>
  </si>
  <si>
    <t>SLCL</t>
  </si>
  <si>
    <t>SLLT</t>
  </si>
  <si>
    <t>SOAR</t>
  </si>
  <si>
    <t>MFA Sound Art students only</t>
  </si>
  <si>
    <t>FOR SOUND ART STUDENTS ONLY</t>
  </si>
  <si>
    <t>SOCI</t>
  </si>
  <si>
    <t>Students MUST register for a section: UN3011</t>
  </si>
  <si>
    <t>If enrolled in UN3010 you MUST register for a section</t>
  </si>
  <si>
    <t>SATISFIES GLOBAL CORE. YOU MUST REGISTER FOR A DISC SEC-TBA.</t>
  </si>
  <si>
    <t>Instructor permission only</t>
  </si>
  <si>
    <t>SOCIOLOGY MA STUDENTS ONLY</t>
  </si>
  <si>
    <t>OPEN TO SOCIOLOGY MA STUDENTS ONLY</t>
  </si>
  <si>
    <t>OPEN TO SOCIOLOGY GRAD STUDENTS ONLY</t>
  </si>
  <si>
    <t>SOCIOLOGY GRAD STUDENTS ONLY</t>
  </si>
  <si>
    <t>SOCIOLOGY STUDENTS ONLY</t>
  </si>
  <si>
    <t>ONLY Sociology MPhil Students</t>
  </si>
  <si>
    <t>SODB</t>
  </si>
  <si>
    <t>BARBARA S. HOROWITZ '55 SCHOLARS OF DISTINCTION ONLY</t>
  </si>
  <si>
    <t>SPAN</t>
  </si>
  <si>
    <t>Important: See course description before registering.</t>
  </si>
  <si>
    <t>UN1102/1120 or placement test/SAT score.If blocked cont ins</t>
  </si>
  <si>
    <t>UN2101 or placement test/SAT score.If blocked cont instruct</t>
  </si>
  <si>
    <t>UN2101 or placement test/SAT score. If blocked cont instruc</t>
  </si>
  <si>
    <t>Spanish UN2102 or placement test/AP 4 or 5 or SAT score</t>
  </si>
  <si>
    <t>W1202 or Placement test/AP or SAT score</t>
  </si>
  <si>
    <t>Reading knowledge of Spanish required.</t>
  </si>
  <si>
    <t>Reserved for Seniors (LAIC major or concentrator status)</t>
  </si>
  <si>
    <t>Undergrad. students may register with instructor permission</t>
  </si>
  <si>
    <t>LAIC PhD or MA Students only</t>
  </si>
  <si>
    <t>LAIC PhD or MA students only</t>
  </si>
  <si>
    <t>SPJS</t>
  </si>
  <si>
    <t>STAT</t>
  </si>
  <si>
    <t>By Permission only</t>
  </si>
  <si>
    <t>Undergraduate students only</t>
  </si>
  <si>
    <t>Acturial Sci MS students only.  Meets 9/3-10/19</t>
  </si>
  <si>
    <t>Acturial Sci MS students only</t>
  </si>
  <si>
    <t>Acturial Sci MS students only. Meets 10/20-12/9</t>
  </si>
  <si>
    <t>STAT MA students only.  Meets 9/3-10/19</t>
  </si>
  <si>
    <t>STAT MA students only</t>
  </si>
  <si>
    <t>STAT MA In-class students only.  Meets 9/3 - 10/20</t>
  </si>
  <si>
    <t>D04</t>
  </si>
  <si>
    <t>STAT MA Online students only.  Meets 9/3-10/19</t>
  </si>
  <si>
    <t>STAT MA students only. Meets 10/20 - 12/9</t>
  </si>
  <si>
    <t>STAT MA students only.  Meets 10/20 - 12/9</t>
  </si>
  <si>
    <t>D05</t>
  </si>
  <si>
    <t>STAT MA Online students only</t>
  </si>
  <si>
    <t>STAT MA 1st year students only</t>
  </si>
  <si>
    <t>STAT MA 2nd year students only</t>
  </si>
  <si>
    <t>STAT MA &amp;amp; Math Finance students only</t>
  </si>
  <si>
    <t>Math Finance &amp;amp; Stat MA 2nd year students only</t>
  </si>
  <si>
    <t>DSI and STAT 2nd year MA students only</t>
  </si>
  <si>
    <t>MA Stat First Year students ONLY; 1/2 semester course</t>
  </si>
  <si>
    <t>MA Stat First year students ONLY; half semester course</t>
  </si>
  <si>
    <t>Statistics MA Program students only</t>
  </si>
  <si>
    <t>STAT MA Students only; Program Permission Required</t>
  </si>
  <si>
    <t>Open to DSI students only</t>
  </si>
  <si>
    <t>DSI MA  only; others Dept. approval</t>
  </si>
  <si>
    <t>DSI MA students only</t>
  </si>
  <si>
    <t>STAT PhD students only</t>
  </si>
  <si>
    <t>PhD students only</t>
  </si>
  <si>
    <t>STAT PhD students only. Meets 10/15 - 12/5</t>
  </si>
  <si>
    <t>SWED</t>
  </si>
  <si>
    <t>SWHL</t>
  </si>
  <si>
    <t>THEA</t>
  </si>
  <si>
    <t>Dramaturgy students receive priority for this section.</t>
  </si>
  <si>
    <t>MFA Theatre students receive priority for enrollment.</t>
  </si>
  <si>
    <t>Runs from Sept 20-Dec 20; MFA THEA students get preference</t>
  </si>
  <si>
    <t>FOR TM&amp;P; STUDENTS ONLY.</t>
  </si>
  <si>
    <t>CLASS MEETS FROM 10/23 TO 12/11</t>
  </si>
  <si>
    <t>THIS CLASS IS FOR MFA ACTORS ONLY.</t>
  </si>
  <si>
    <t>THIS CLASS IS FOR MFA DIRECTORS ONLY.</t>
  </si>
  <si>
    <t>CLASS MEETS FROM 9/4 TO 10/16</t>
  </si>
  <si>
    <t>THTR</t>
  </si>
  <si>
    <t>New FY only;auditions 9/4-5;see dept web site</t>
  </si>
  <si>
    <t>Auditions Sept 4-5; see dept web site; cast members only</t>
  </si>
  <si>
    <t>Permission only. Email mbanta@barnard.edu before registering</t>
  </si>
  <si>
    <t>Auditions Sept 4-5; see dept web site</t>
  </si>
  <si>
    <t>Instructor will determine enroll at first class.</t>
  </si>
  <si>
    <t>Instructor will determine enrollment at 1st class.</t>
  </si>
  <si>
    <t>Secure permission directly from instructor</t>
  </si>
  <si>
    <t>TIBT</t>
  </si>
  <si>
    <t>TWI_</t>
  </si>
  <si>
    <t>UKRN</t>
  </si>
  <si>
    <t>URBS</t>
  </si>
  <si>
    <t>This course has a required discussion section.  Must attend</t>
  </si>
  <si>
    <t>Must also register for URBS-UN1515</t>
  </si>
  <si>
    <t>Majors only.  Must attend first class.</t>
  </si>
  <si>
    <t>Preference given to majors.</t>
  </si>
  <si>
    <t>Must attend first class.</t>
  </si>
  <si>
    <t>For majors; non-majors by permission at 1st class</t>
  </si>
  <si>
    <t>Majors only.</t>
  </si>
  <si>
    <t>Majors only</t>
  </si>
  <si>
    <t>VIAR</t>
  </si>
  <si>
    <t>FIRST CLASS WILL MEET IN 101 PRENTIS HALL.</t>
  </si>
  <si>
    <t>DEPARTMENT APPROVAL REQUIRED</t>
  </si>
  <si>
    <t>VISUAL ARTS MFA STUDENTS ONLY</t>
  </si>
  <si>
    <t>VIS ARTS STUDENTS ONLY DEPT APPROVAL REQ 2ND YR PRIORITY</t>
  </si>
  <si>
    <t>VIET</t>
  </si>
  <si>
    <t>WLOF</t>
  </si>
  <si>
    <t>Please conrtact sms2168@columbia.edu for more information.</t>
  </si>
  <si>
    <t>WMST</t>
  </si>
  <si>
    <t>Barnard Students only.</t>
  </si>
  <si>
    <t>WRIT</t>
  </si>
  <si>
    <t>0.5-6</t>
  </si>
  <si>
    <t>YIDD</t>
  </si>
  <si>
    <t>YORU</t>
  </si>
  <si>
    <t>Shared Course Initiatve class. See lrc.columbia.edu/sci</t>
  </si>
  <si>
    <t>ZULU</t>
  </si>
  <si>
    <t>Instructor: Jountel White</t>
  </si>
  <si>
    <t>Instructor: Fernanda Dias</t>
  </si>
  <si>
    <t>Instructor: Michelle Brown-Grant</t>
  </si>
  <si>
    <t>Instructor: Rhonesha Blanche</t>
  </si>
  <si>
    <t>Instructor: Charles Dawson</t>
  </si>
  <si>
    <t>Writing Black Womens Lives:  The Art &amp;amp; Method of Biograp</t>
  </si>
  <si>
    <t>Contemporary Black Girl Coming of Age in the US</t>
  </si>
  <si>
    <t>Black Politics in Transition</t>
  </si>
  <si>
    <t>AFAM MA Students ONLY. Required Course.</t>
  </si>
  <si>
    <t>Students must sign up for a TA sections to be arranged.</t>
  </si>
  <si>
    <t>STUDENTS MUST ENROLL IN DISCUSSION SECTION AHIS UN1008</t>
  </si>
  <si>
    <t>YEAR-LONG COURSE; DEPT MAJORS ONLY; SEE DEPT WEBSITE</t>
  </si>
  <si>
    <t>Course limited to 18 AH Majors with Inst. Permission</t>
  </si>
  <si>
    <t>APPLY BY FRI. APRIL 17: https://forms.gle/isqQmRNX9LCs53Jk6</t>
  </si>
  <si>
    <t>APPLY BY FRI. APRIL 17: https://forms.gle/iFBGAYvgD5eu1feH8</t>
  </si>
  <si>
    <t>APPLY BY FRI. APRIL 17: https://forms.gle/C195gRaewKQMkvk8A</t>
  </si>
  <si>
    <t>APPLY BY FRI. APRIL 17: https://forms.gle/9t83q29vkdaCvLqQA</t>
  </si>
  <si>
    <t>Students must sign up for TA sections to be arranged.</t>
  </si>
  <si>
    <t>Discussion Leader: TA John Beeson</t>
  </si>
  <si>
    <t>Discussion Leader - TA John Beeson</t>
  </si>
  <si>
    <t>Discussion Leader: TA Alex Zivkovic</t>
  </si>
  <si>
    <t>Discussion Leader: TA Yann Petit</t>
  </si>
  <si>
    <t>Discussion Leader: TA Sehyun Oh</t>
  </si>
  <si>
    <t>NOTE: 2:30pm-3:30pm add. Break Out Sessions</t>
  </si>
  <si>
    <t>APPLY BY FRI. APRIL 17: https://forms.gle/r5EzTKYvEQYZSbiZ6</t>
  </si>
  <si>
    <t>Additional breakout session required - T 4-5pm</t>
  </si>
  <si>
    <t>Ltd to 15 w/inst approval / app due 7/31 / Jr Sr Grad only</t>
  </si>
  <si>
    <t>Ltd to 15 w/inst approval/app due by 7/31 see AH website</t>
  </si>
  <si>
    <t>Undergraduates must sign up for TA section. To be arranged.</t>
  </si>
  <si>
    <t>APPLY BY MON. AUGUST 3: https://forms.gle/aL9FnZUL5LWEaVvP8</t>
  </si>
  <si>
    <t>APPLY BY MON. AUGUST 3: https://forms.gle/3UkMYPuoZT8rFVtc7</t>
  </si>
  <si>
    <t>APPLY BY MON. AUGUST 3: https://forms.gle/62P4YiU1MzneMfkj8</t>
  </si>
  <si>
    <t>REQUIRED COURSE FOR FIRST-YEAR AHAR PHD STUDENTS</t>
  </si>
  <si>
    <t>INSTRUCTOR ACCEPTS ENROLLMENT REQUESTS THROUGH SEPT 16TH</t>
  </si>
  <si>
    <t>APPLY BY MON. AUGUST 3: https://forms.gle/zBxjgbXvrDREAaNbA</t>
  </si>
  <si>
    <t>APPLY BY MON. AUGUST 3: https://forms.gle/2uek74sVrFE7RwkY6</t>
  </si>
  <si>
    <t>APPLY BY MON. AUGUST 3: https://forms.gle/1c4evHGp27x7ByJp8</t>
  </si>
  <si>
    <t>APPLY BY MON. AUGUST 3: https://forms.gle/okamqgUE1sXYSvfi6</t>
  </si>
  <si>
    <t>APPLY BY MON. AUGUST 3: https://forms.gle/YYMJqZfYWrw5qcLg6</t>
  </si>
  <si>
    <t>APPLY BY MON. AUGUST 3: https://forms.gle/h6Jg8CCzzUZKfj4HA</t>
  </si>
  <si>
    <t>APPLY BY MON. AUGUST 3: https://forms.gle/KbrBEVShKQmjv6qf7</t>
  </si>
  <si>
    <t>APPLY BY MON. AUGUST 3: https://forms.gle/LxHRUQbVFsx9YhTq8</t>
  </si>
  <si>
    <t>STUDENTS MUST ENROLL IN DISCUSSION SECTION AHUM UN2902</t>
  </si>
  <si>
    <t>Open to Barnard seniors majoring in American Studies.</t>
  </si>
  <si>
    <t>Open to AMST majors intending to do Sen. Proj Join waitlist</t>
  </si>
  <si>
    <t>No preregistration. Join waitlist.</t>
  </si>
  <si>
    <t>OO2</t>
  </si>
  <si>
    <t>Day/Time/Location:  TBA</t>
  </si>
  <si>
    <t>Will Require TAs and TA Section Slots</t>
  </si>
  <si>
    <t>**Will Require TAs and TA Section Slots**</t>
  </si>
  <si>
    <t>Chazelle Rhoden (TA)</t>
  </si>
  <si>
    <t>Rishav Kumar Thakur (TA)</t>
  </si>
  <si>
    <t>Saphe Shamoun (TA)</t>
  </si>
  <si>
    <t>Antara Chakrabarti (TA)</t>
  </si>
  <si>
    <t>Required of Barnard Anthrop majors;Others Req.Instr. Permi.</t>
  </si>
  <si>
    <t>Enrollment priorities: Anth majors Pre-req: one anth crs</t>
  </si>
  <si>
    <t>Open to ANTHRO Majors:--*(NON-ANTH Majors Need Permission)*</t>
  </si>
  <si>
    <t>Open to(Anthro/Archaeolog Majors);Others Req instruct Perm</t>
  </si>
  <si>
    <t>Majors preferred</t>
  </si>
  <si>
    <t>**Open ONLY to Senior Barnard Anthropology Majors**</t>
  </si>
  <si>
    <t>Instructors permission is required</t>
  </si>
  <si>
    <t>**Instructors permission required**</t>
  </si>
  <si>
    <t>The instructors permission is required</t>
  </si>
  <si>
    <t>The instructors approval is required</t>
  </si>
  <si>
    <t>For students actively engaged in writing projects.</t>
  </si>
  <si>
    <t>Grad &amp;amp; Advanced Undergrad (3rd &amp;amp; 4th Years) students only</t>
  </si>
  <si>
    <t>Open to MAs IN ANTH. OTHERS MUST E-MAIL EM8</t>
  </si>
  <si>
    <t>Students not enrolled in MUSA program need inst permission</t>
  </si>
  <si>
    <t>Anth &amp;amp; MESAAS grad students have priority. Contact pc281</t>
  </si>
  <si>
    <t>Permission required</t>
  </si>
  <si>
    <t>Priority for ANTH PhDs. Others apply w/ short explanation</t>
  </si>
  <si>
    <t>MUSA Students only; others require instructors permission</t>
  </si>
  <si>
    <t>Registration is only OPEN to PhD students in Anthropology</t>
  </si>
  <si>
    <t>OO1</t>
  </si>
  <si>
    <t>Instructors permission required</t>
  </si>
  <si>
    <t>Instructors approval is required</t>
  </si>
  <si>
    <t>The instructor;s permission is required</t>
  </si>
  <si>
    <t>Museum Anth Students only/class meets off campus</t>
  </si>
  <si>
    <t>Open only to Museum Anth students</t>
  </si>
  <si>
    <t>APCH</t>
  </si>
  <si>
    <t>See arch website for app. 1st yrs will get priority.</t>
  </si>
  <si>
    <t>See arch website for application; app due by 7/24/20.</t>
  </si>
  <si>
    <t>This course does not require an application.</t>
  </si>
  <si>
    <t>Application required in Spring 2020.</t>
  </si>
  <si>
    <t>TECH REQUIRED; MARCH III</t>
  </si>
  <si>
    <t>ELECTIVE DESIGN SEMINAR</t>
  </si>
  <si>
    <t>AAD REQUIRED</t>
  </si>
  <si>
    <t>DESIGN SEMINAR</t>
  </si>
  <si>
    <t>VISUAL STUDIES</t>
  </si>
  <si>
    <t>MARCH ONLY; REQUIRED MARCH III</t>
  </si>
  <si>
    <t>VISUAL STUDIES OR TECH ELECTIVE- GSAPP ONLY</t>
  </si>
  <si>
    <t>VISUAL STUDIES + TECH ELECTIVE</t>
  </si>
  <si>
    <t>HIST/THEORY- MODERN OR NON-WESTERN</t>
  </si>
  <si>
    <t>MSAAD REQUIRED</t>
  </si>
  <si>
    <t>HP ELECTIVE; SESSION B</t>
  </si>
  <si>
    <t>REQUIRED UD</t>
  </si>
  <si>
    <t>UD REQUIRED</t>
  </si>
  <si>
    <t>CSR; VISUAL STUDIES</t>
  </si>
  <si>
    <t>BY APPOINTMENT</t>
  </si>
  <si>
    <t>HP ELECTIVE</t>
  </si>
  <si>
    <t>Students must register for a section of ASCM UN 2113.</t>
  </si>
  <si>
    <t>Students must register for a discussion section.</t>
  </si>
  <si>
    <t>ASPH</t>
  </si>
  <si>
    <t>Recitation for BIOC GU4501</t>
  </si>
  <si>
    <t>SCI Course: contact ck2831columbia.edu for info</t>
  </si>
  <si>
    <t>ENROLLMENT RESTRICTED TO BINF STUDENTS; VEC 1402 &amp;amp; 1403</t>
  </si>
  <si>
    <t>ROOM: VEC 1402 &amp;amp; 1403</t>
  </si>
  <si>
    <t>This course may count as a co-req for BIOL BC1501 lab.</t>
  </si>
  <si>
    <t>All students will sign up for discussion sections in Sept.</t>
  </si>
  <si>
    <t>BIOL BC1008/1500 (co/pre req); must attend first lab.</t>
  </si>
  <si>
    <t>REQUIRED to enroll in BIOL BC1500</t>
  </si>
  <si>
    <t>Meets T 12:10-1:00PM; REQUIRED to enroll in BIOL BC1500</t>
  </si>
  <si>
    <t>Limited to first years in Science Pathways Scholars Program</t>
  </si>
  <si>
    <t>JOIN THE WAITLIST!</t>
  </si>
  <si>
    <t>Recitation for BIOL UN2005 (Intro Bio I)</t>
  </si>
  <si>
    <t>Recitation for Intro Bio I (UN2005)</t>
  </si>
  <si>
    <t>Recitation for BIOL UN2005</t>
  </si>
  <si>
    <t>Must attend 1st lab; pre-req: BIOL BC2280 Animal Behavior.</t>
  </si>
  <si>
    <t>Two hour recitation to be arranged</t>
  </si>
  <si>
    <t>Pre-req: BIOL BC1500 &amp;amp; BC1502; MATH UN1101</t>
  </si>
  <si>
    <t>Online required recitation will be organized.</t>
  </si>
  <si>
    <t>Grad students register for GU4022</t>
  </si>
  <si>
    <t>Mondays - Online only; Wednesdays - In-person/Online</t>
  </si>
  <si>
    <t>Must attend 1st lab; pre-req: BIOL BC3320 Microbiology</t>
  </si>
  <si>
    <t>Students may work in laboratories with sponsor approval.</t>
  </si>
  <si>
    <t>Recitations will be held online.</t>
  </si>
  <si>
    <t>Fall 2020 Topic: Regenerative Biology</t>
  </si>
  <si>
    <t>UGs register for 3022; Grad students join waitlist</t>
  </si>
  <si>
    <t>UGs may take the course if they have taken 4 UG Bio courses</t>
  </si>
  <si>
    <t>1st-year Biological Sci PhD students only</t>
  </si>
  <si>
    <t>1 hr rec W 11:30-12:30 (could be moved). Basic stats needed</t>
  </si>
  <si>
    <t>Biological Sciences 1st year PhD students only</t>
  </si>
  <si>
    <t>MA Biotech students only. Register for 3 OR 6 points.</t>
  </si>
  <si>
    <t>BMEE</t>
  </si>
  <si>
    <t>Deep Learning in Biomedical Signal Processing</t>
  </si>
  <si>
    <t>MS only; applications required; 1 of 2 sequence course</t>
  </si>
  <si>
    <t>Open to UG students</t>
  </si>
  <si>
    <t>OPEN ONLY TO COLUMBIA COLLEGE &amp;amp; GENERAL STUDIES</t>
  </si>
  <si>
    <t>ONLINE. NOT OPEN TO ERM STUDENTS</t>
  </si>
  <si>
    <t>MEETS ONLINE. NOT OPEN TO ERM STUDENTS</t>
  </si>
  <si>
    <t>ONLINE</t>
  </si>
  <si>
    <t>0-1.5</t>
  </si>
  <si>
    <t>CANT</t>
  </si>
  <si>
    <t>NYU COURSE. CONTACT RT2655@COLUMBIA.EDU FOR INFO.</t>
  </si>
  <si>
    <t>NYU COURSE. CONTACT RT2655@COLUMBIA.EDU FOR INFO</t>
  </si>
  <si>
    <t>CBMF</t>
  </si>
  <si>
    <t>CCIS</t>
  </si>
  <si>
    <t>Course will meet once a week for six weeks. 9/11-10/15</t>
  </si>
  <si>
    <t>PRIORITY REGISTRATION FOR MA IN GLOBAL THOUGHT STUDENTS</t>
  </si>
  <si>
    <t>Class online ONLY</t>
  </si>
  <si>
    <t>SEE COURSE DESCRIPTION FOR MORE INFO ON RECITATION</t>
  </si>
  <si>
    <t>Attendance is REQUIRED at Lab Lecture WED 4:10PM-5:25PM</t>
  </si>
  <si>
    <t>Monday REC 1-2PM &amp;amp; 6-7PM (NO SEP REG REQ)</t>
  </si>
  <si>
    <t>Permission of Instructor Required</t>
  </si>
  <si>
    <t>only for S2E students</t>
  </si>
  <si>
    <t>Only for S2Es who completed CHEN 4001 and 4002</t>
  </si>
  <si>
    <t>Course is only for 1st year MS Chem E students</t>
  </si>
  <si>
    <t>CLGM</t>
  </si>
  <si>
    <t>CLIA</t>
  </si>
  <si>
    <t>Mini-seminar Sept 8 - Oct 1</t>
  </si>
  <si>
    <t>CLST</t>
  </si>
  <si>
    <t>Students should also enroll in one section of COMS 1012</t>
  </si>
  <si>
    <t>Recitation for students in COMS 1002</t>
  </si>
  <si>
    <t>Co-requisite with COMS BC 1017.</t>
  </si>
  <si>
    <t>Co-requisite with COMS BC 1016.</t>
  </si>
  <si>
    <t>Recitation section for COMS 3261 001</t>
  </si>
  <si>
    <t>Recitation section for COMS 3261 002</t>
  </si>
  <si>
    <t>Prerequisite: COMS W3157: Advanced Programming</t>
  </si>
  <si>
    <t>Meeting times flexible; to be confirmed in the first week.</t>
  </si>
  <si>
    <t>Recitation Section for COMS 4111 002</t>
  </si>
  <si>
    <t>V03</t>
  </si>
  <si>
    <t>Recitation section for COMS 4118 001</t>
  </si>
  <si>
    <t>Recitation section for COMS 4771 002</t>
  </si>
  <si>
    <t>V09</t>
  </si>
  <si>
    <t>Recitation for COMS 6113. Contact instructor for location</t>
  </si>
  <si>
    <t>Recitation section for COMS 6998 009 (Cloud Computing)</t>
  </si>
  <si>
    <t>V04</t>
  </si>
  <si>
    <t>V08</t>
  </si>
  <si>
    <t>V12</t>
  </si>
  <si>
    <t>V13</t>
  </si>
  <si>
    <t>Application Form Required: http://tiny.cc/65ntpz</t>
  </si>
  <si>
    <t>Contact ICLS with the name and uni of your advisor</t>
  </si>
  <si>
    <t>Must have instructors permission to enroll.</t>
  </si>
  <si>
    <t>Application required: https://forms.gle/759iQmUpV6NQzEcw6</t>
  </si>
  <si>
    <t>ABOLITION 13/13. Apply ccctlaw.columbia.edu</t>
  </si>
  <si>
    <t>Instructor: Diana Matar</t>
  </si>
  <si>
    <t>complit.barnard.edu/at-a-glance_AY2021</t>
  </si>
  <si>
    <t>Priority to CSER Students</t>
  </si>
  <si>
    <t>Priority for CSER Students</t>
  </si>
  <si>
    <t>Priority to CSER &amp;amp; Anthropology students</t>
  </si>
  <si>
    <t>Registration Priority to CSER students</t>
  </si>
  <si>
    <t>CSPH</t>
  </si>
  <si>
    <t>Godels Incompleteness Results</t>
  </si>
  <si>
    <t>Hip Hop Dance and Culture I (Intro/Beginner)</t>
  </si>
  <si>
    <t>Hip Hop Dance and Culture II (Intermediate/Advanced)</t>
  </si>
  <si>
    <t>Open to intermediate dancers with interest in collaboration</t>
  </si>
  <si>
    <t>Open to Dance Majors</t>
  </si>
  <si>
    <t>Students must sign up for a discussion section EAAS UN3845</t>
  </si>
  <si>
    <t>Open to East Asian Studies (EALAC/Barnard AMEC) majors ONLY</t>
  </si>
  <si>
    <t>Permission from Instructor required</t>
  </si>
  <si>
    <t>Submit Senior Req Pref form starting 3/22/21</t>
  </si>
  <si>
    <t>Open to Econ MA students only</t>
  </si>
  <si>
    <t>Open to Econ PhD students; any others require DGS approval</t>
  </si>
  <si>
    <t>Open to Econ PhD students; others require faculty approval</t>
  </si>
  <si>
    <t>Preference to Urban Teaching sophomores and juniors.</t>
  </si>
  <si>
    <t>Instructor will e-mail application; attend first class.</t>
  </si>
  <si>
    <t>Ed. Studies &amp;amp; Urban Studies w/ Educ. Concen. Students only</t>
  </si>
  <si>
    <t>Fulfills CC/GS/Barnard Sci Req</t>
  </si>
  <si>
    <t>Registration for discussion sec mandatory/attendance is not</t>
  </si>
  <si>
    <t>Meeting times may change.</t>
  </si>
  <si>
    <t>co-taught by Chad Seewagen</t>
  </si>
  <si>
    <t>LAB WILL TAKE PLACE TUESDAYS 11:30AM-2:30PM</t>
  </si>
  <si>
    <t>EEOR</t>
  </si>
  <si>
    <t>EESC BC1011 must be taken concurrently with EESC BC1001.</t>
  </si>
  <si>
    <t>Discussion Section required - Time TBA</t>
  </si>
  <si>
    <t>Lab Required - Tuesdays 4:10pm - 7:00pm</t>
  </si>
  <si>
    <t>*Instructor permission required</t>
  </si>
  <si>
    <t>Preference given to Environ majors &amp;amp; perspective Majors</t>
  </si>
  <si>
    <t>meets with EESC BC 3800 &amp;amp; EEEB 3991</t>
  </si>
  <si>
    <t>Students must file Independent Study Approval Request Form.</t>
  </si>
  <si>
    <t>Lab-Fri 9:00-10:45am *Software required for participation</t>
  </si>
  <si>
    <t>*Remote participation available</t>
  </si>
  <si>
    <t>Discussion Session required - Time TBA</t>
  </si>
  <si>
    <t>Students Registered for 1 Credit</t>
  </si>
  <si>
    <t>Students Registered for 2 Credits</t>
  </si>
  <si>
    <t>Build a Li-ion battery</t>
  </si>
  <si>
    <t>Build an AI Algorithm for Individual Cell Segmentation</t>
  </si>
  <si>
    <t>Oxidation of Carbohydrates with Endogenous Microorganisms</t>
  </si>
  <si>
    <t>Civil Engineering: Construction Management</t>
  </si>
  <si>
    <t>Simulating a Processor</t>
  </si>
  <si>
    <t>Solutions for Climate Change</t>
  </si>
  <si>
    <t>Laser Pointer Audio</t>
  </si>
  <si>
    <t>Visual Introduction to Optimization</t>
  </si>
  <si>
    <t>R10</t>
  </si>
  <si>
    <t>Civil Engineering: Structural Engineering</t>
  </si>
  <si>
    <t>Attendance required only when registered for a PDL session</t>
  </si>
  <si>
    <t>Class will meet the first week of the semester Day/time TBA</t>
  </si>
  <si>
    <t>Synchronous online 8-module course (8/3-8/29)</t>
  </si>
  <si>
    <t>8-module course (9/15-10/8)</t>
  </si>
  <si>
    <t>8-module course (10/27-11/19)</t>
  </si>
  <si>
    <t>8-module course (9/16-10/10)</t>
  </si>
  <si>
    <t>8 Module Course</t>
  </si>
  <si>
    <t>Independent studies</t>
  </si>
  <si>
    <t>EMAIL ALPCOLUMBIA.EDU FOR REGISTRATION DETAILS</t>
  </si>
  <si>
    <t>OPEN TO GSAS PHD ONLY. Classes begin the week of Sep 14</t>
  </si>
  <si>
    <t>OPEN TO GSAS PHD ONLY Classes begin the week of Sep 14</t>
  </si>
  <si>
    <t>Open only to students w/ ALP 10 exam or who passed ALP 9</t>
  </si>
  <si>
    <t>APP REQ; SEP 8-OCT 24: TR 2:10-4/OCT 25-DEC 14: T 2:40-3:55</t>
  </si>
  <si>
    <t>SUBMIT APPLICATION BY AUG 28; SEE DEPT WEBSITE</t>
  </si>
  <si>
    <t>PRIORITY TO BC FIRST-YEARS; APPLY BY 8/28; SEE DEPT WEBSITE</t>
  </si>
  <si>
    <t>PERMISSION REQUIRED; INST WILL DETRMINE ENRLMT AT 1ST CLASS</t>
  </si>
  <si>
    <t>SEATS FOR JUNIOR BC TRANSFERS-CONTACT DEPT FOR PERMISSION</t>
  </si>
  <si>
    <t>SEATS HELD FOR BC TRANSFERS-CONTACT DEPT FOR PERMISSION</t>
  </si>
  <si>
    <t>APPLICATION REQUIRED https://forms.gle/yorn41rsW65GRRxj9</t>
  </si>
  <si>
    <t>: NO LIFE-LONG LEARNERS AND NO AUDITORS. NO EXCEPTIONS.</t>
  </si>
  <si>
    <t>Corequisite is Film UN2293</t>
  </si>
  <si>
    <t>Class will begin the 2nd week of the semester</t>
  </si>
  <si>
    <t>PREREQ: FILM BC3201 OR EQUIVALENT.</t>
  </si>
  <si>
    <t>FILM MAJORS HAVE PRIORITY.</t>
  </si>
  <si>
    <t>PREREQ: FILM BC3201 OR EQUIVALENT</t>
  </si>
  <si>
    <t>With permission from the instructor.</t>
  </si>
  <si>
    <t>Film and Media Studies Majors only</t>
  </si>
  <si>
    <t>For 1st year MFA Film students only.</t>
  </si>
  <si>
    <t>For 1st year MFA Film students Only.</t>
  </si>
  <si>
    <t>For MFA Film 1st year students only</t>
  </si>
  <si>
    <t>Schedule specifics will be given in class. MFA Film only</t>
  </si>
  <si>
    <t>BU/Law students if interested please email id3columbia.edu</t>
  </si>
  <si>
    <t>This is the "Episodic" section.</t>
  </si>
  <si>
    <t>MUST HAVE COMPLETED AT LEAST 60 POINTS</t>
  </si>
  <si>
    <t>MUST HAVE COMPLETED AT LEAST 24 POINTS</t>
  </si>
  <si>
    <t>For accepted Research Arts CP students only.</t>
  </si>
  <si>
    <t>Instructor: Elsa Stephan</t>
  </si>
  <si>
    <t>Permission of instructor is given on first day of class</t>
  </si>
  <si>
    <t>Barnard 1st Year Students only - Takes place on Sunday</t>
  </si>
  <si>
    <t>Barnard 1st Year Students only - Takes place on Saturday</t>
  </si>
  <si>
    <t>Barnard 1st Year Students Only</t>
  </si>
  <si>
    <t>BC 1st Yr St Only - Athens 403 BCE and Chi 1968 or Fr 1791</t>
  </si>
  <si>
    <t>Barnard 1st year students only</t>
  </si>
  <si>
    <t>FYWB</t>
  </si>
  <si>
    <t>BY INSTR. PERMISSION; PRIORITY TO TIME ZONES 9-15 HRS +ET</t>
  </si>
  <si>
    <t>Will begin w/detailed rev segment of last semester material</t>
  </si>
  <si>
    <t>This course will meet in-person.</t>
  </si>
  <si>
    <t>2nd Sophistic</t>
  </si>
  <si>
    <t>Undergraduates may enroll with instructor approval.</t>
  </si>
  <si>
    <t>Discussion sec. (HIST-1007UN) required. Days/times TBA</t>
  </si>
  <si>
    <t>Section times TBA prior to June add/drop date</t>
  </si>
  <si>
    <t>Discussion sec. (HIST-1011UN) required. Days/times TBA</t>
  </si>
  <si>
    <t>MUST ALSO REG FOR LECTURE- HIST BC1101</t>
  </si>
  <si>
    <t>Discussion sec. (HIST-1769UN) required. Days/times TBA</t>
  </si>
  <si>
    <t>Section days/times &amp;amp; modality TBA</t>
  </si>
  <si>
    <t>Discussion sec. (HIST-2073UN) required. Days/times TBA</t>
  </si>
  <si>
    <t>Discussion sec. (HIST-2113UN) required. Days/times TBA</t>
  </si>
  <si>
    <t>Wednesdays 1:10 - 2:00pm</t>
  </si>
  <si>
    <t>Discussion sec. (HIST-2214UN) required. Days/times TBA</t>
  </si>
  <si>
    <t>Discussion sec. (HIST-2361UN) required. Days/times TBA</t>
  </si>
  <si>
    <t>PLEASE NOTE: Will meet MONDAYS from 10:10 - 11:00am</t>
  </si>
  <si>
    <t>Discussion sec. required. Days/times TBA</t>
  </si>
  <si>
    <t>Discussion course to Pol Hist of Cont Africa (2438)</t>
  </si>
  <si>
    <t>Discussion sec. (HIST-2479UN) required. Days/times TBA</t>
  </si>
  <si>
    <t>Discussion sec. (HIST-2524UN) required. Days/times TBA</t>
  </si>
  <si>
    <t>Discussion sec. (HIST-2534UN) required. Days/times TBA</t>
  </si>
  <si>
    <t>Discussion sec. (HIST-2612UN) required. Days/times TBA</t>
  </si>
  <si>
    <t>Discussion sec. (HIST-2690UN) required. Days/times TBA</t>
  </si>
  <si>
    <t>Wednesdays 2:00 - 2:50pm</t>
  </si>
  <si>
    <t>Wednesdays 3:00 - 3:50pm</t>
  </si>
  <si>
    <t>Thursdays 4:00 - 4:50pm</t>
  </si>
  <si>
    <t>Thursdays 5:00 - 5:50pm</t>
  </si>
  <si>
    <t>Discussion sec. (HIST-2720UN) required. Days/times TBA</t>
  </si>
  <si>
    <t>PLEASE NOTE (Aug 26): New MTG time - Tuesdays 4:10 - 5:00pm</t>
  </si>
  <si>
    <t>PLEASE NOTE (Aug 26): New MTG time - Tuesdays 5:10 - 6:00pm</t>
  </si>
  <si>
    <t>Tuesdays 11:10am - 12:00pm</t>
  </si>
  <si>
    <t>Tuesdays 12:10 - 1:00pm</t>
  </si>
  <si>
    <t>Wednesdays 5:10 - 6:00pm</t>
  </si>
  <si>
    <t>Wednesdays 6:10-7:00pm</t>
  </si>
  <si>
    <t>Wednesdays 3:10 - 4:00pm</t>
  </si>
  <si>
    <t>Wednesdays 4:10 - 5:00pm</t>
  </si>
  <si>
    <t>INSTRUCTOR PERMISSION REQUIRED - EMAIL INSTRUCTOR</t>
  </si>
  <si>
    <t>QUESTIONNAIRE REQUIRED  https://tinyurl.com/y4ye7p5o</t>
  </si>
  <si>
    <t>Instructor Permission Required. Enrollment Limited.</t>
  </si>
  <si>
    <t>Instructer Permission Required. Enrollment Limited.</t>
  </si>
  <si>
    <t>APPLICATION REQUIRED https://tinyurl.com/y3lt8z3u</t>
  </si>
  <si>
    <t>Formal application is required to register (History Dept)</t>
  </si>
  <si>
    <t>For Dual Masters Degree Program ONLY.  1-3 points variable</t>
  </si>
  <si>
    <t>The location will be that of UN2611.</t>
  </si>
  <si>
    <t>JOIN SSOL WAITLIST. PRTY 3&amp;amp;4YR CC/GS HUMR STUDS. EMAIL DEPT</t>
  </si>
  <si>
    <t>Students in HSME UN2915 must register for HSME UN2916.</t>
  </si>
  <si>
    <t>S</t>
  </si>
  <si>
    <t>BS Only</t>
  </si>
  <si>
    <t>XMT Section = a record of your successful IEOR4150 waiver</t>
  </si>
  <si>
    <t>Not approved for MSFE.</t>
  </si>
  <si>
    <t>May not take together with IEOR E4403 or IEOR E4003</t>
  </si>
  <si>
    <t>IEOR E4501 is rescheduled as a Fall A course; Online only</t>
  </si>
  <si>
    <t>MSBA Core Course</t>
  </si>
  <si>
    <t>Course Meets 9/11-9/13; Online</t>
  </si>
  <si>
    <t>Second Half Term Course: 10/24-12/14</t>
  </si>
  <si>
    <t>Bootcamp</t>
  </si>
  <si>
    <t>VIDEO NETWORKS STUDENTS ONLY</t>
  </si>
  <si>
    <t>5 seminars in the semester; Please stay tuned for schedule</t>
  </si>
  <si>
    <t>Pre-req: SIPA U6401; IFEP Students Receive Priority</t>
  </si>
  <si>
    <t>Fall 2020 Course Dates: Sept 10 - Oct 22</t>
  </si>
  <si>
    <t>Fall 2020 Course Dates: Sept 14 - Oct 26</t>
  </si>
  <si>
    <t>Pre-req: Quant I and Accounting</t>
  </si>
  <si>
    <t>Pre-req: Microeconomics</t>
  </si>
  <si>
    <t>Fall 2020 Course Dates: Oct 22 - Dec 9</t>
  </si>
  <si>
    <t>Fall 2020 Course Dates: Sept 9 - Oct 21</t>
  </si>
  <si>
    <t>Fall 2020 Course Dates: Sept 8 - Oct 20</t>
  </si>
  <si>
    <t>ICR Students Receive Priority</t>
  </si>
  <si>
    <t>Fall 2020 Course Dates: Oct 21 - Dec 9</t>
  </si>
  <si>
    <t>EPD Students Receive Priority</t>
  </si>
  <si>
    <t>Instructor Permission Required. Join Waitlist in SSOL</t>
  </si>
  <si>
    <t>Pre-req: Quant II</t>
  </si>
  <si>
    <t>Fall 2020 Course Dates: Oct 22 - Dec 10</t>
  </si>
  <si>
    <t>Fall 2020 Course Dates: Oct 20 - Dec 8</t>
  </si>
  <si>
    <t>IO/UNS Students Receive Priority</t>
  </si>
  <si>
    <t>IRSH</t>
  </si>
  <si>
    <t>Requirement for Italian majors to be considered for honors.</t>
  </si>
  <si>
    <t>Texts in English.</t>
  </si>
  <si>
    <t>Grad students and majors should register for this section.</t>
  </si>
  <si>
    <t>English section - no Italian majors or grad students.</t>
  </si>
  <si>
    <t>Scholarly Reading in Japanese (Instructor Permission Only)</t>
  </si>
  <si>
    <t>Third Year Japanese Level (Conducted entirely in Japanese)</t>
  </si>
  <si>
    <t>Second Year Korean I</t>
  </si>
  <si>
    <t>Epigram/occasional poetry.</t>
  </si>
  <si>
    <t>MAFN Students ONLY. Open to STATS 9/8. Open to Univ. 9/14</t>
  </si>
  <si>
    <t>MAFN students ONLY. Letter Grade Only. No Pass/Fail. No Aud</t>
  </si>
  <si>
    <t>Instructor approval required for non-GSAS students</t>
  </si>
  <si>
    <t>Open to juniors/seniors; others need instructor permission</t>
  </si>
  <si>
    <t>Non-MESAAS students require permission of instructor.</t>
  </si>
  <si>
    <t>Proficient knowledge of classical &amp;amp; technical Arabic reqd.</t>
  </si>
  <si>
    <t>Must have at least junior standing; Instructors permission</t>
  </si>
  <si>
    <t>MEUS</t>
  </si>
  <si>
    <t>MMUF</t>
  </si>
  <si>
    <t>BC Mellon Mays Fellows only</t>
  </si>
  <si>
    <t>BC Mellon Mays Fellows only.</t>
  </si>
  <si>
    <t>Signup 109/110 Dodge Sept 8&amp;amp;9; 10:00-2:00 All Levels$300FEE</t>
  </si>
  <si>
    <t>MedRen Students fulfilling Language Requirements Only</t>
  </si>
  <si>
    <t>Meet with adviser before registering</t>
  </si>
  <si>
    <t>auditors and high school students welcome</t>
  </si>
  <si>
    <t>Topic:  Julius Eastman</t>
  </si>
  <si>
    <t>Prerequisites: NSBV1001 and BIOL 1502-1503</t>
  </si>
  <si>
    <t>Prerequisites: BC2119 or equivalent</t>
  </si>
  <si>
    <t>PEPM</t>
  </si>
  <si>
    <t>Open to MPA-EPM Students Only</t>
  </si>
  <si>
    <t>STARTS WK OF 9/14. CHECK physed.columbia.edu FOR INFO</t>
  </si>
  <si>
    <t>STARTS WK OF 10/26. CHECK physed.columbia.edu FOR INFO</t>
  </si>
  <si>
    <t>Starts week of 10/26. See perec.columbia.edu for info.</t>
  </si>
  <si>
    <t>Classes start week of 9/14. See perec.columbia.edu for info</t>
  </si>
  <si>
    <t>Starts week of Jan 11.See physed.columbia.edu for more info</t>
  </si>
  <si>
    <t>Classes begin week of 9/14. see perec.columbia.edu</t>
  </si>
  <si>
    <t>Classes begin week of 9/14</t>
  </si>
  <si>
    <t>MUST BE MEMBER OF VARSITY ATH TEAM TO ENROLL</t>
  </si>
  <si>
    <t>Classes start week of Sept. 8. Must attend first class.</t>
  </si>
  <si>
    <t>Classes start week of Oct. 26. Must attend first class.</t>
  </si>
  <si>
    <t>Classes start week of Sept. 8.  Must attend first class.</t>
  </si>
  <si>
    <t>Priority to Barnard students</t>
  </si>
  <si>
    <t>Moral Responsibility</t>
  </si>
  <si>
    <t>Death &amp;amp; The Meaning of Life</t>
  </si>
  <si>
    <t>Noncognitivism</t>
  </si>
  <si>
    <t>Metaethics: The Value of Truth</t>
  </si>
  <si>
    <t>Metaphysics: Nothingness/ Co-Taught w/ Graham Priest (CUNY)</t>
  </si>
  <si>
    <t>Mind Body Problem</t>
  </si>
  <si>
    <t>The notion of work in modern political philosophy</t>
  </si>
  <si>
    <t>LABS BEGIN THE WEEK OF OCT. 5TH.</t>
  </si>
  <si>
    <t>REQ LECT T 03:00P-03:55P. LAB PORTION BEGINS TUES 9/29.</t>
  </si>
  <si>
    <t>Lab will meet Wednesdays 4-8 PM</t>
  </si>
  <si>
    <t>STUDENTS MUST REGISTER FOR DISCUSSION SECTION-POLS UN1511</t>
  </si>
  <si>
    <t>App by 4/10; http://polisci.barnard.edu/colloquia</t>
  </si>
  <si>
    <t>Appl due 4/10:http://polisci.barnard.edu/colloquia</t>
  </si>
  <si>
    <t>STUDENTS MUST REGISTER FOR A DISCUSSION-POLS UN3632</t>
  </si>
  <si>
    <t>STUDENTS MUST REGISTER FOR A DISCUSSION-POLS UN3649</t>
  </si>
  <si>
    <t>STUDENTS MUST REGISTER FOR A DISCUSSION SECTION-POLS UN3722</t>
  </si>
  <si>
    <t>STUDENTS MUST REGISTER FOR A DISCUSSION SECTION-POLS UN3769</t>
  </si>
  <si>
    <t>NO PRE-REGISTRATION; THOSE INTERESTED SHOULD JOIN. WAIT LIS</t>
  </si>
  <si>
    <t>NO-PRE-REGISTRATION; THOSE INTERESTED SHOULD JOIN WAIT LIST</t>
  </si>
  <si>
    <t>STUDENTS MUST REGISTER FOR A DISCUSSION-POLS GU4135</t>
  </si>
  <si>
    <t>STUDENTS MUST REGISTER FOR A DISCUSSION SECTION--POLSGU4466</t>
  </si>
  <si>
    <t>STUDENTS MUST REGISTER FOR A DISCUSSION SECTION-POLS GU4701</t>
  </si>
  <si>
    <t>STUDENTS MUST REGISTER FOR A DISCUSSION SECTION-POLS GU4721</t>
  </si>
  <si>
    <t>STUDENTS MUST REGISTER FOR A DISCUSSION-POLS GU4733</t>
  </si>
  <si>
    <t>Every Wed. 7:00-8:00 and some Wed. 6:10-7:00</t>
  </si>
  <si>
    <t>Interested students should join the waitlist.</t>
  </si>
  <si>
    <t>VERY IMPORTANT: SEE COURSE DESCRIPTION BEFORE REGISTERING</t>
  </si>
  <si>
    <t>UN2102 OR UN2120 / PLACEMENT TEST/AP 4 OR 5 OR SAT SCORE</t>
  </si>
  <si>
    <t>PORT UN3601 fulfills the Global Core requirement</t>
  </si>
  <si>
    <t>This course is taught in English.</t>
  </si>
  <si>
    <t>Term A; Lecture/Recitation; All students to waitlist first</t>
  </si>
  <si>
    <t>*</t>
  </si>
  <si>
    <t>Must also enroll in PSYC BC2110</t>
  </si>
  <si>
    <t>Term A; Enrollment confirmed at first class meeting</t>
  </si>
  <si>
    <t>Term A; Course will be taught remotely</t>
  </si>
  <si>
    <t>REQUEST INSTRUCTOR PERMISSION AND JOIN WAITLIST.</t>
  </si>
  <si>
    <t>PUAF</t>
  </si>
  <si>
    <t>Open to MPA Students Only</t>
  </si>
  <si>
    <t>MIA/MPA Urban Social Policy Students Receive Priority</t>
  </si>
  <si>
    <t>MPA-DP Students Receive Priority</t>
  </si>
  <si>
    <t>Open to All SIPA. MPA-DP: Contact MPA-DP program for Reg</t>
  </si>
  <si>
    <t>Pre-req: Macroeconomic Analysis</t>
  </si>
  <si>
    <t>QMSS Data Science Concentration ONLY</t>
  </si>
  <si>
    <t>QMSS MA students ONLY; does not meet</t>
  </si>
  <si>
    <t>HYBRID; QMSS MA students ONLY</t>
  </si>
  <si>
    <t>ONLINE-ONLY; QMSS MA students ONLY</t>
  </si>
  <si>
    <t>ONLINE-ONLY; Priority given to QMSS MA students</t>
  </si>
  <si>
    <t>HYBRID B-TERM; QMSS MA students ONLY</t>
  </si>
  <si>
    <t>ONLINE-ONLY B-TERM; Priority given to QMSS MA students</t>
  </si>
  <si>
    <t>HYBRID; QMSS MA Students ONLY; Combined with GR5022 001</t>
  </si>
  <si>
    <t>ONLINE ONLY; QMSS Students ONLY; Combined with GR5022 002</t>
  </si>
  <si>
    <t>HYBRID; QMSS Students ONLY; Combined with GR5021 001</t>
  </si>
  <si>
    <t>ONLINE-ONLY; QMSS Students ONLY; Combined with GR5021 002</t>
  </si>
  <si>
    <t>QMSS MA students ONLY; class does not meet</t>
  </si>
  <si>
    <t>ONLINE ONLY; QMSS MA students priority; combined w/ GR5053</t>
  </si>
  <si>
    <t>ONLINE-ONLY; Priority QMSS MA students; combined w/ GR5052</t>
  </si>
  <si>
    <t>ONLINE-ONLY; Priority enrollment for QMSS MA students</t>
  </si>
  <si>
    <t>ONLINE-ONLY; Priority for QMSS MA Students</t>
  </si>
  <si>
    <t>ONLINE-ONLY; Priority for QMSS MA students</t>
  </si>
  <si>
    <t>ONLINE ONLY; Priority for QMSS MA students</t>
  </si>
  <si>
    <t>ONLINE-ONLY; CLASS MEETS DURING B-TERM; SELECT 2 POINTS</t>
  </si>
  <si>
    <t>REGN</t>
  </si>
  <si>
    <t>A strong grasp of macroeconomics is required</t>
  </si>
  <si>
    <t>Course format: lecture and discussion</t>
  </si>
  <si>
    <t>Not For Heritage Speakers</t>
  </si>
  <si>
    <t>Completion of UN1102 or Placement Test</t>
  </si>
  <si>
    <t>Completion of UN2102 or Placement Test</t>
  </si>
  <si>
    <t>Instructors Permission or Placement Test</t>
  </si>
  <si>
    <t>Mark Lipovetsky</t>
  </si>
  <si>
    <t>Can not take for credit if Frontiers of Sci was completed</t>
  </si>
  <si>
    <t>Register via waitlist-priority to 1st &amp;amp; 2nd years &amp;amp; SDEV</t>
  </si>
  <si>
    <t>Discusion (Wed/Thurs) required. Register via waitlist.</t>
  </si>
  <si>
    <t>SIPA</t>
  </si>
  <si>
    <t>Fall 2020 Course Dates: September 12 &amp;amp; 13</t>
  </si>
  <si>
    <t>Fall 2020 Course Dates: Sept. 19 &amp;amp; 20</t>
  </si>
  <si>
    <t>Fall 2020 Course Dates: Sept. 21 - Oct. 26</t>
  </si>
  <si>
    <t>Fall 2020 Course Date: Oct. 3</t>
  </si>
  <si>
    <t>Fall 2020 Course Date: 9/22/20</t>
  </si>
  <si>
    <t>Fall 2020 Course Date: 9/23/20</t>
  </si>
  <si>
    <t>Fall 2020 Course Date: 9/24/20</t>
  </si>
  <si>
    <t>Fall 2020 course Date: 9/29/20</t>
  </si>
  <si>
    <t>Fall 2020 Course Date: 9/30/20</t>
  </si>
  <si>
    <t>Fall 2020 Course Date: 10/1/20</t>
  </si>
  <si>
    <t>Fall 2020 Course Date: 10/21/20</t>
  </si>
  <si>
    <t>Fall 2020 Course Date: 10/22/20</t>
  </si>
  <si>
    <t>Fall 2020 Course Date: 10/29/20</t>
  </si>
  <si>
    <t>Fall 2020 Course Date: 9/29/20</t>
  </si>
  <si>
    <t>Fall 2020 Course Date: 10/28/20</t>
  </si>
  <si>
    <t>Fall 2020 Course Date: 10/20/20</t>
  </si>
  <si>
    <t>Fall 2020 Course Date: 10/27/20</t>
  </si>
  <si>
    <t>Application required</t>
  </si>
  <si>
    <t>3-points</t>
  </si>
  <si>
    <t>0-points</t>
  </si>
  <si>
    <t>Visual Art and Sound Art MFA students only</t>
  </si>
  <si>
    <t>MFA SOUND ART STUDENTS ONLY</t>
  </si>
  <si>
    <t>Sound Art MFA students only</t>
  </si>
  <si>
    <t>Students MUST register for Discussion Section (SOCI 3121)</t>
  </si>
  <si>
    <t>Advanced permission from instructor to enroll</t>
  </si>
  <si>
    <t>OPEN TO SOCIOLOGY PHD STUDENTS ONLY</t>
  </si>
  <si>
    <t>OPEN TO SOCIOLOGY FIRST-YEAR PHD STUDENTS ONLY</t>
  </si>
  <si>
    <t>Must be enrolled in Scholars of Distinction Program.</t>
  </si>
  <si>
    <t>IMPORTANT: SEE COURSE DESCRIPTION BEFORE REGISTERING.</t>
  </si>
  <si>
    <t>Canary Islands: Race and Identity</t>
  </si>
  <si>
    <t>Graphic Narratives of the Southern Cone</t>
  </si>
  <si>
    <t>Mapping Nation-States</t>
  </si>
  <si>
    <t>LGBT Identities in Spain</t>
  </si>
  <si>
    <t>Perspectives of Colonial Art</t>
  </si>
  <si>
    <t>Approaches to Modern and Contemporary Latin American Art</t>
  </si>
  <si>
    <t>LAIC or Barnard seniors only (major or concentrator status)</t>
  </si>
  <si>
    <t>Instruction &amp;amp; materials in English; some reading in Spanish</t>
  </si>
  <si>
    <t>LAIC PhD students only; required of 2nd-year PhD students</t>
  </si>
  <si>
    <t>Priority will be given to LAIC MA &amp;amp; PhD Students</t>
  </si>
  <si>
    <t>LAIC PhD students only; required of 1st-year PhD students</t>
  </si>
  <si>
    <t>STAT MA students only. Meets 2nd half semester only</t>
  </si>
  <si>
    <t>MA Stat 2nd year ONLY; Must be in GR5242</t>
  </si>
  <si>
    <t>MA Stat 2nd Yr ONLY; Must be in GR5242</t>
  </si>
  <si>
    <t>Statistics MA 2nd year ONLY; Must also be in GR5242</t>
  </si>
  <si>
    <t>STAT MA &amp;amp; Math Fin ONLY</t>
  </si>
  <si>
    <t>Open to MA Stat + DSI ONLY</t>
  </si>
  <si>
    <t>Priority for MA Stat students; Math Finance as appropriate</t>
  </si>
  <si>
    <t>MA Stat 2nd year ONLY</t>
  </si>
  <si>
    <t>MA Stats 1st Yr Only.  Meets Fall A.</t>
  </si>
  <si>
    <t>MA Stats 1st Yr Only.  Meets Fall B.</t>
  </si>
  <si>
    <t>Only selected MA Stat stdts can regsiter - must apply</t>
  </si>
  <si>
    <t>Open to DSI Students Only</t>
  </si>
  <si>
    <t>VIDEO NETWORK STUDENTS</t>
  </si>
  <si>
    <t>DSI Priority; MA Stat 2nd Years only</t>
  </si>
  <si>
    <t>STAT PhD Students only</t>
  </si>
  <si>
    <t>Audition required.  See website https://theatre.barnard.edu</t>
  </si>
  <si>
    <t>See website: https://theatre.barnard.edu/fall2020-auditions</t>
  </si>
  <si>
    <t>CLASS TOPIC: STAGE MANAGEMENT</t>
  </si>
  <si>
    <t>Please email professor explaining interest in the course.</t>
  </si>
  <si>
    <t>VISUAL ARTS and SOUND ART MFA STUDENTS ONLY</t>
  </si>
  <si>
    <t>MFA VISUAL ARTS STUDENTS ONLY</t>
  </si>
  <si>
    <t>VISUAL ARTS &amp;amp; SOUND ART MFA STUDENTS ONLY</t>
  </si>
  <si>
    <t>OPEN TO PRINCETON STUDENTS ONLY.</t>
  </si>
  <si>
    <t>MUST HAVE COMPLTED AT LEAST 60 POINTS</t>
  </si>
  <si>
    <t>Contact ck2831 at columbia.edu for more info</t>
  </si>
  <si>
    <t>TA: Abdul Qadir Islam</t>
  </si>
  <si>
    <t>TA: Fernanda Dias</t>
  </si>
  <si>
    <t>Course: Afrcan Spirituality in the Americas</t>
  </si>
  <si>
    <t>AFAM Majors and Concentrators ONLY</t>
  </si>
  <si>
    <t>Course: "Blackness and Affect"</t>
  </si>
  <si>
    <t>Course: John Coltrane and the Jazz/Blues Aesthetic</t>
  </si>
  <si>
    <t>Course: "Black Religion and the Digital Humanities"</t>
  </si>
  <si>
    <t>***OPEN TO M.A. AFAM MAJORS ONLY***</t>
  </si>
  <si>
    <t>Application form here: https://tinyurl.com/BLKShaxColl</t>
  </si>
  <si>
    <t>Students Must Register - TA Discussion Section AHIS BC1011</t>
  </si>
  <si>
    <t>Appl Req. Due 4/6 Link: https://forms.gle/L3Jrio3EFTourDcXA</t>
  </si>
  <si>
    <t>OPEN TO JUNIORS AND SENIORS ONLY</t>
  </si>
  <si>
    <t>DEPT MAJORS. SIGN UP: https://forms.gle/uNMjTyqRDHuQJw73A</t>
  </si>
  <si>
    <t>APPLY BY FRI APRIL 9: https://forms.gle/58HmRz7b3RBgdYye7</t>
  </si>
  <si>
    <t>TA Jeiran Jahani Tuesday 6:10PM-7PM Diana Center 308</t>
  </si>
  <si>
    <t>TA Hannah Pivo Tuesday 6:10PM-7PM Diana Center 502</t>
  </si>
  <si>
    <t>TA Jeiran Jahani Tuesday 7:10PM-8PM Diana Center 308</t>
  </si>
  <si>
    <t>TA Rebecca Yuste-Golob Weds 6:10PM-7PM Diana Center 501</t>
  </si>
  <si>
    <t>TA Rebecca Yuste-Golob Wed. 7:10PM-8PM Diana Center 501</t>
  </si>
  <si>
    <t>TA Hannah Pivo Tuesday 7:10-8PM Diana Center 502</t>
  </si>
  <si>
    <t>Rachel Himes Thursday 7:10PM-8PM Diana Center 502</t>
  </si>
  <si>
    <t>APPLY BY FRI APRIL 9: https://forms.gle/issdCWrMVE6yCtA67</t>
  </si>
  <si>
    <t>APPLY BY FRI APRIL 9: https://forms.gle/z7FsmVtW8LNssUEP7</t>
  </si>
  <si>
    <t>Students Must Register - TA Discussion Section AHIS BC3167</t>
  </si>
  <si>
    <t>Students Must Register - TA Discussion Section AHIS BC3173</t>
  </si>
  <si>
    <t>APPLY BY MON. AUGUST 9 https://forms.gle/Hw5ekkeMJKa9wRTa9</t>
  </si>
  <si>
    <t>Apply by 4/6 https://forms.gle/zumbmUWPBYJ6PZL56</t>
  </si>
  <si>
    <t>APPLY BY MON. AUGUST 9: https://forms.gle/P1E4cFLLRu8Vv2ZZ9</t>
  </si>
  <si>
    <t>APPLY BY MON. AUGUST 9: https://forms.gle/5PphXwZJEHWhMZnf7</t>
  </si>
  <si>
    <t>APPLY BY MON. AUGUST 9: https://forms.gle/GLNt965BkmW926HD6</t>
  </si>
  <si>
    <t>APPLY BY MON. AUGUST 9: https://forms.gle/vQwuqgUz79cbguua8</t>
  </si>
  <si>
    <t>APPLY BY MON. AUGUST 9: https://forms.gle/6pP6a71HhCozTdiR6</t>
  </si>
  <si>
    <t>APPLY BY MON. AUGUST 9: https://forms.gle/DpefC2yEKfgDLVRS6</t>
  </si>
  <si>
    <t>APPLY BY MON. AUGUST 9: https://forms.gle/DdeFTCjbtLTZzTg68</t>
  </si>
  <si>
    <t>APPLY BY MON. AUGUST 9: https://forms.gle/YUQJS6E9QknKbCN7A</t>
  </si>
  <si>
    <t>APPLICATION ONLY; INTERESTED STUDENTS EMAIL INSTRUCTOR</t>
  </si>
  <si>
    <t>AMHS</t>
  </si>
  <si>
    <t>Open to Amer Stud students who intend to write senior essay</t>
  </si>
  <si>
    <t>JOIN WAITLIST AND ATTEND FIRST CLASS</t>
  </si>
  <si>
    <t>APP REQ DUE 12PM 4/2 SEE AMER STUD WEBSITE FOR DETAILS</t>
  </si>
  <si>
    <t>Join Waitlist and Attend First Class</t>
  </si>
  <si>
    <t>AU1</t>
  </si>
  <si>
    <t>Day and Time:  Thursdays 10:10am-12:00pm</t>
  </si>
  <si>
    <t>**Will Require TAs and TA Section Slots(5)**</t>
  </si>
  <si>
    <t>Disc.for Course ANTH(UN1007)O.H.S- Room(Scherm Ext 951)</t>
  </si>
  <si>
    <t>Disc for ANTH UN1007. O.H.S-Room(Scherm EXT 963)</t>
  </si>
  <si>
    <t>Disc for ANTH UN1007. O.H.S-Room (Scherm Ext 951)</t>
  </si>
  <si>
    <t>Disc for ANTH UN1007. O.H.S.-Room (Scherm Ext 951)</t>
  </si>
  <si>
    <t>Time: Twice/week</t>
  </si>
  <si>
    <t>Open to Anthropology Majors "ONLY"</t>
  </si>
  <si>
    <t>Priority given to ANTH Majors</t>
  </si>
  <si>
    <t>Preference given to Anthropology and American Studies Major</t>
  </si>
  <si>
    <t>Time: Once/week</t>
  </si>
  <si>
    <t>BARNARD Anthropology Senior Majors ONLY!</t>
  </si>
  <si>
    <t>MUST email the instructor for permission at mji4</t>
  </si>
  <si>
    <t>The permission of the Instructor is required</t>
  </si>
  <si>
    <t>ANTH CC &amp; GS Majors by instructors permission only</t>
  </si>
  <si>
    <t>The permission of the instructor is required to enroll</t>
  </si>
  <si>
    <t>Instructor permission is required</t>
  </si>
  <si>
    <t>Grad students have priority. Others need permission</t>
  </si>
  <si>
    <t>Open to MAs IN ANTH. OTHERS MUST E-MAIL em8columbia.edu</t>
  </si>
  <si>
    <t>Students not enrolled in MUSA program need permission</t>
  </si>
  <si>
    <t>Intended for MAs in ANTH &amp; Grad students in other Depts.</t>
  </si>
  <si>
    <t>Permission required.  Open to graduate students only</t>
  </si>
  <si>
    <t>The permission of the instructor is required</t>
  </si>
  <si>
    <t>Non-MUSA students need instructor permission.</t>
  </si>
  <si>
    <t>Instructors permission is required to take this course</t>
  </si>
  <si>
    <t>Advanced undergraduates may apply. Must email vaj2116</t>
  </si>
  <si>
    <t>The permission of the instructor is required.</t>
  </si>
  <si>
    <t>All ANTH Grad students are required to register</t>
  </si>
  <si>
    <t>Ends at 5:25 on some Fridays; app req; apply on our website</t>
  </si>
  <si>
    <t>App required: https://architecture.barnard.edu/</t>
  </si>
  <si>
    <t>App required: https://architecture.barnard.edu</t>
  </si>
  <si>
    <t>No application required.</t>
  </si>
  <si>
    <t>Discussion section required</t>
  </si>
  <si>
    <t>App req: https://architecture.barnard.edu/independent-study</t>
  </si>
  <si>
    <t>MARCH VIA STUDIO LOTTERY</t>
  </si>
  <si>
    <t>TECH REQUIRED</t>
  </si>
  <si>
    <t>Application required: https://architecture.barnard.edu</t>
  </si>
  <si>
    <t>Corequisite course: ARCH A4407 Methods in Spatial Research</t>
  </si>
  <si>
    <t>VISUAL STUDIES or TECH ELECTIVE. GSAPP ONLY</t>
  </si>
  <si>
    <t>GSAPP ONLY- VISUAL STUDIES</t>
  </si>
  <si>
    <t>UD SEMINAR</t>
  </si>
  <si>
    <t>HIST-Post-1800 N/W</t>
  </si>
  <si>
    <t>VISUAL STUDIES OR TECH ELECTIVE</t>
  </si>
  <si>
    <t>ALL GSAPP</t>
  </si>
  <si>
    <t>Students in ASCM UN2003 must register for ASCM UN2113.</t>
  </si>
  <si>
    <t>No prerequisites.</t>
  </si>
  <si>
    <t>No knowledge of Arabic required.</t>
  </si>
  <si>
    <t>Students must register for coreq GU4501</t>
  </si>
  <si>
    <t>PChem for research-oriented undergrads and grad students</t>
  </si>
  <si>
    <t>ENROLLMENT RESTRICTED TO BINF STUDENTS</t>
  </si>
  <si>
    <t>BIOC</t>
  </si>
  <si>
    <t>Join waitlist and UN3511 or GU4505 recitation</t>
  </si>
  <si>
    <t>Must enroll in a BIOL BC1510 Discussion Section in Sept.</t>
  </si>
  <si>
    <t>BIOL BC1511 Recitation is a co-req to enroll in this course</t>
  </si>
  <si>
    <t>Recitation will meet asynchronously; req for BIOL BC1501</t>
  </si>
  <si>
    <t>Limited to students in the Science Pathways Scholars Progra</t>
  </si>
  <si>
    <t>Exams held TR4:10-5:25pm 3x/semester. Plan accordingly</t>
  </si>
  <si>
    <t>STUDENTS MUST REGISTER FOR RECITATION SECTION (UN2015)</t>
  </si>
  <si>
    <t>This is a recitation for BIOL UN2005 (Intro Bio I)</t>
  </si>
  <si>
    <t>Pre-req: BIOL BC1500 &amp; BC1502; MATH UN1101</t>
  </si>
  <si>
    <t>Recitation for BIOL UN3004</t>
  </si>
  <si>
    <t>Recitation for UN3004</t>
  </si>
  <si>
    <t>Graduate students should register for BIOL GR5022</t>
  </si>
  <si>
    <t>Biology or Biochemistry required</t>
  </si>
  <si>
    <t>Pre-requisite: BIOL BC2100; must attend first lab.</t>
  </si>
  <si>
    <t>Pre-req: BIOL BC2100; full-year; must enroll in BIOL BC3306</t>
  </si>
  <si>
    <t>Taken after or concurrently with BIOL UN3004</t>
  </si>
  <si>
    <t>Pre-req:BIOL BC1502-1503 + BIOL BC1500-1501 OR NSBV BC1001</t>
  </si>
  <si>
    <t>Prereqs: Intro Bio I and II or equivalent</t>
  </si>
  <si>
    <t>Coregister for UN3510</t>
  </si>
  <si>
    <t>Fall 2021 Topic: Bacteria by Design</t>
  </si>
  <si>
    <t>Full-year: must enroll in BIOL BC3592 in the spring</t>
  </si>
  <si>
    <t>Full-year: must enroll in BIOL BC3594 in the spring</t>
  </si>
  <si>
    <t>Instructor approval &amp; Project Approval Form required.</t>
  </si>
  <si>
    <t>Priority Biological Sciences. Other students check w instr</t>
  </si>
  <si>
    <t>Grad students. Undergrad please register for BIOL UN3560</t>
  </si>
  <si>
    <t>UGs need 4 bio courses or instructor permission</t>
  </si>
  <si>
    <t>Undergrads should register for UN3022</t>
  </si>
  <si>
    <t>GR5041 for MA students only. Undergrads register for UN3041</t>
  </si>
  <si>
    <t>Priority given to 1st year Phd students in Bio Sci</t>
  </si>
  <si>
    <t>Prereqs: at least 4 college-level bio or biotech courses</t>
  </si>
  <si>
    <t>Students must email instructor for permission.</t>
  </si>
  <si>
    <t>MS Biotech students are given registration priority.</t>
  </si>
  <si>
    <t>Student MUST attend E4740 Lab on Friday</t>
  </si>
  <si>
    <t>The Mendelson Center controls enrollment for this course</t>
  </si>
  <si>
    <t>IN-PERSON. NOT OPEN TO ERM STUDENTS</t>
  </si>
  <si>
    <t>AU2</t>
  </si>
  <si>
    <t>NOT OPEN TO ERM STUDENTS. MEETS ONLINE</t>
  </si>
  <si>
    <t>IN-PERSON</t>
  </si>
  <si>
    <t>AU3</t>
  </si>
  <si>
    <t>MEETS ONLINE. NOT OPEN TO ERM STUDENTS.</t>
  </si>
  <si>
    <t>HYFLEX</t>
  </si>
  <si>
    <t>INT</t>
  </si>
  <si>
    <t>1.5-3</t>
  </si>
  <si>
    <t>First day of class  9/24</t>
  </si>
  <si>
    <t>Join waitlist to be added by instructor.</t>
  </si>
  <si>
    <t>Open only to MA in Global Thought students</t>
  </si>
  <si>
    <t>Course fee effective Fall 2021 $150</t>
  </si>
  <si>
    <t>Students must also register for a lab section (CHEM BC2012)</t>
  </si>
  <si>
    <t>Monday REC 9-10AM &amp; 6-7PM (NO SEP REG REQ)</t>
  </si>
  <si>
    <t>Monday REC 1-2PM &amp; 6-7PM (NO SEP REG REQ)</t>
  </si>
  <si>
    <t>Monday REC 12-1PM &amp; 4-5PM (NO SEP REG REQ)</t>
  </si>
  <si>
    <t>Instructor approval required prior to registering.</t>
  </si>
  <si>
    <t>Priority given to Italian majors and Graduate Students</t>
  </si>
  <si>
    <t>Priority given to Italian majors and Graduate Students.</t>
  </si>
  <si>
    <t>The Ancient City and Us: Archaeology of a Relationship</t>
  </si>
  <si>
    <t>Course topic: American Jewish Literature: A Survey</t>
  </si>
  <si>
    <t>COGS</t>
  </si>
  <si>
    <t>ONLINE ONLY</t>
  </si>
  <si>
    <t>Register for specific section with faculty member approval</t>
  </si>
  <si>
    <t>MS Data Science students have priority registration</t>
  </si>
  <si>
    <t>H03</t>
  </si>
  <si>
    <t>V11</t>
  </si>
  <si>
    <t>H09</t>
  </si>
  <si>
    <t>APPLICATION REQD Email peg1columbia.edu to apply</t>
  </si>
  <si>
    <t>TO APPLY email interest statement cccct(at)law.columbia.edu</t>
  </si>
  <si>
    <t>Only open to CLS and MedHum majors</t>
  </si>
  <si>
    <t>Consult ICLS DUS to confirm your thesis advisor and topic</t>
  </si>
  <si>
    <t>Email peg1columbia.edu to apply</t>
  </si>
  <si>
    <t>SECTIONS for UN1010 students ONLY</t>
  </si>
  <si>
    <t>CSER Majors Priority</t>
  </si>
  <si>
    <t>Priority to CSER students</t>
  </si>
  <si>
    <t>Graduate Students</t>
  </si>
  <si>
    <t>CSGM</t>
  </si>
  <si>
    <t>MS Data Science students have priority registration.</t>
  </si>
  <si>
    <t>Hip Hop I (Intro/Beg)</t>
  </si>
  <si>
    <t>Bar 110 is found ground level in the Barnard Annex</t>
  </si>
  <si>
    <t>Hip Hop 2 (Intermediate/Advanced)</t>
  </si>
  <si>
    <t>Bar 11 is in the basement level of Barnard Hall</t>
  </si>
  <si>
    <t>Audition Required</t>
  </si>
  <si>
    <t>Full Course Description: https://bit.ly/2SNvnmm</t>
  </si>
  <si>
    <t>ECIA</t>
  </si>
  <si>
    <t>Class meets in The James Room Barnard Hall 418</t>
  </si>
  <si>
    <t>Must sign up for Recitation section</t>
  </si>
  <si>
    <t>Prereq: Interm Micro or Macro &amp; BC2411 or equivalent</t>
  </si>
  <si>
    <t>Submit SR Req Preferences form starting 3/22/21</t>
  </si>
  <si>
    <t>Must sign up for EDUC 1511 (Sec. 001 and 003 only).</t>
  </si>
  <si>
    <t>Must sign up for EDUC 1511 (Sec. 002 and 004 only).</t>
  </si>
  <si>
    <t>Preference given to Ed. Studies and Urban Studies students.</t>
  </si>
  <si>
    <t>Must sign up for a fieldwork lab (EDUC BC 3150).</t>
  </si>
  <si>
    <t>Ed. Studies Minor/Special Concentration seniors only.</t>
  </si>
  <si>
    <t>Must have one full school day free for fieldwork (8AM-3PM).</t>
  </si>
  <si>
    <t>Must sign up for a fieldwork lab (EDUC BC 3155).</t>
  </si>
  <si>
    <t>Urban Teaching seniors only.</t>
  </si>
  <si>
    <t>Educational Studies majors only.</t>
  </si>
  <si>
    <t>For EDUC 3050 students completing virtual fieldwork only.</t>
  </si>
  <si>
    <t>For EDUC 3050 students completing in-person fieldwork only.</t>
  </si>
  <si>
    <t>For EDUC 3055 students completing virtual fieldwork only.</t>
  </si>
  <si>
    <t>There is a $25 course fee.</t>
  </si>
  <si>
    <t>Lab</t>
  </si>
  <si>
    <t>Labs in Sep/Oct are full day field trips going beyond 1pm</t>
  </si>
  <si>
    <t>Taught by Rob DeSalle and Sara Oppenheim</t>
  </si>
  <si>
    <t>Students must enroll in both BC1001 and BC1011 LAB.</t>
  </si>
  <si>
    <t>Co-meets with BC3800 and EEEB3991.</t>
  </si>
  <si>
    <t>Lecture Meets in The Forum (Manhattanville)</t>
  </si>
  <si>
    <t>Lab Meets in SCH 555 and SCH 558</t>
  </si>
  <si>
    <t>Meets at LDEO - Monell Auditorium</t>
  </si>
  <si>
    <t>Meets at LDEO on Wednesdays - Marine Polar 58</t>
  </si>
  <si>
    <t>Meets at LDEO - Seismology Room 201 (Conference Room)</t>
  </si>
  <si>
    <t>Restricted to students in the GET elective specialization.</t>
  </si>
  <si>
    <t>8-module course (8/3-8/30)</t>
  </si>
  <si>
    <t>8-module course</t>
  </si>
  <si>
    <t>D03</t>
  </si>
  <si>
    <t>MW 1:10-2:25</t>
  </si>
  <si>
    <t>Natalie Adler T R 5:40-6:55</t>
  </si>
  <si>
    <t>APPLICATION &amp; INSTR PERMISSION REQUIRED; BC ONLY</t>
  </si>
  <si>
    <t>ADMISSION BY NOMINATION &amp; INSTR PERM; BC ONLY</t>
  </si>
  <si>
    <t>SUBMIT APPLICATION BY AUGUST 23; SEE DEPT WEBSITE</t>
  </si>
  <si>
    <t>REQUIRES APPLICATION AND INTERVIEW; BC ONLY</t>
  </si>
  <si>
    <t>BC ENGLISH MAJRS ONLY OR TRANSFR STUDNTS W/ DEPT PERMISSION</t>
  </si>
  <si>
    <t>APPLY BY AUGUST 1: https://forms.gle/GVPYWdCxQjrsv1Ex6</t>
  </si>
  <si>
    <t>No Life Long Learners or Auditors permitted.</t>
  </si>
  <si>
    <t>No auditors permitted</t>
  </si>
  <si>
    <t>FOR SENIOR PROJECTS WRITTEN IN ENGL BC3105.01 FIC&amp;PER NAR</t>
  </si>
  <si>
    <t>FOR SENIOR PROJECTS WRITTEN IN ENGL BC3105.02 FIC&amp;PER NAR</t>
  </si>
  <si>
    <t>FOR SENIOR PROJECTS WRITTEN IN ENGL BC3107 INTRO FICT WRIT</t>
  </si>
  <si>
    <t>FOR SR PROJECTS WRITTEN IN ENGL BC3110 INTRO POETRY WRITING</t>
  </si>
  <si>
    <t>FOR SENIOR PROJECTS WRITTEN IN ENGL BC3113 PLAYWRITING I</t>
  </si>
  <si>
    <t>FOR SENIOR PROJECTS WRITTEN IN ENGL BC3115 STORY WRITING I</t>
  </si>
  <si>
    <t>FOR SENIOR PROJECTS WRITTEN IN ENGL BC3117 FICTION WRITING</t>
  </si>
  <si>
    <t>FOR SENIOR PROJECTS WRITTEN IN ENGL BC3118 ADV POETRY WRIT</t>
  </si>
  <si>
    <t>FOR SR PROJECTS WRITTEN IN ENGL BC3134 CREATIVE NON-FICTION</t>
  </si>
  <si>
    <t>FOR SR PROJCTS WRITTEN IN ENGL BC3208 CREATV WRIT ON TRAUMA</t>
  </si>
  <si>
    <t>FOR SR PROJECTS WRITTEN IN ENGL BC3223 NY IN TEN OBJECTS</t>
  </si>
  <si>
    <t>Lectures held on Tuesday/Thursday; Labs held on Wednesday.</t>
  </si>
  <si>
    <t>ENRE</t>
  </si>
  <si>
    <t>MPA-ESP Students Only</t>
  </si>
  <si>
    <t>Class starts the 2nd week of the semester.</t>
  </si>
  <si>
    <t>Corequisite is Film UN2191</t>
  </si>
  <si>
    <t>Discussion sections will begin the 2nd week of the semester</t>
  </si>
  <si>
    <t>Discussion sections begin meeting 2nd week of semester</t>
  </si>
  <si>
    <t>Priority to declared Film &amp; Media Studies majors</t>
  </si>
  <si>
    <t>With instructor permission</t>
  </si>
  <si>
    <t>Will start the 2nd week of the semester. 413 DODGE HALL</t>
  </si>
  <si>
    <t>Undergrad students register for a 50 minute discussion sec</t>
  </si>
  <si>
    <t>Required for undergrads in GU4020 Brazilian Cinema lecture</t>
  </si>
  <si>
    <t>Instructor permission required. Please see CourseWorks.</t>
  </si>
  <si>
    <t>Class will be in Dodge Hall 409.</t>
  </si>
  <si>
    <t>Req lab of Fund. of Directing. Meets Fall A 9/13- 10/18</t>
  </si>
  <si>
    <t>For 2nd yr MFA Screenwriting/Directing Film Students only</t>
  </si>
  <si>
    <t>For 2nd yr Screenwriting/Directing Film MFA students only</t>
  </si>
  <si>
    <t>Class meets in the Nash Production Center room 210</t>
  </si>
  <si>
    <t>Class meets in Nash Production Center room 210</t>
  </si>
  <si>
    <t>Meets in the Nash Production Center - Room 210</t>
  </si>
  <si>
    <t>Meets in the Production Center</t>
  </si>
  <si>
    <t>Required/restricted to 1st year MFA Film</t>
  </si>
  <si>
    <t>For 2nd yr MFA Film Creative Producers only</t>
  </si>
  <si>
    <t>Content is China and US</t>
  </si>
  <si>
    <t>This is the Episodic writing section.</t>
  </si>
  <si>
    <t>Class starts in Fall B.</t>
  </si>
  <si>
    <t>For students seeking credit for FILM AF9315 IMMERSIVE PROD</t>
  </si>
  <si>
    <t>Supervised graduate study in undergraduate class</t>
  </si>
  <si>
    <t>RA1</t>
  </si>
  <si>
    <t>Meets alternate weeks in Dodge 514B</t>
  </si>
  <si>
    <t>Meets alternate weeks - check schedule with instructor</t>
  </si>
  <si>
    <t>Application required.</t>
  </si>
  <si>
    <t>Restricted to Scr/TV writing concentrates</t>
  </si>
  <si>
    <t>Class meets alt weeks - check schedule with instructor</t>
  </si>
  <si>
    <t>Research Arts Screenwriting/Directing only.</t>
  </si>
  <si>
    <t>instr Permission req - see Courseworks - Class in DOD 501</t>
  </si>
  <si>
    <t>Research Arts CP students approved by instructor</t>
  </si>
  <si>
    <t>TC1</t>
  </si>
  <si>
    <t>Permission of instructor will be given on first day</t>
  </si>
  <si>
    <t>FSPH</t>
  </si>
  <si>
    <t>What is German? Historical Contexts</t>
  </si>
  <si>
    <t>Class will meet in Milstein 402</t>
  </si>
  <si>
    <t>Xen. Anab. 3</t>
  </si>
  <si>
    <t>Instructor approval required.</t>
  </si>
  <si>
    <t>HIST 1021 DISCUSSION SECTION REQUIRED</t>
  </si>
  <si>
    <t>REQUIRED DISCUSSION SECTION FOR HIST 1020</t>
  </si>
  <si>
    <t>REQUIRED DISCUSSION SECTION FOR HIST 2003</t>
  </si>
  <si>
    <t>TA: Lelia Stadler (Location: Knox 116)</t>
  </si>
  <si>
    <t>TA: Karolina Paryga (Location: Philiosophy 507)</t>
  </si>
  <si>
    <t>TA: Karolina Partyga (Location: Hamilton 316)</t>
  </si>
  <si>
    <t>TA: Charis Marantzidou (Location: Claremont 201)</t>
  </si>
  <si>
    <t>TA: Lelia Stadler (Location: Hamilton 511)</t>
  </si>
  <si>
    <t>TA: Charis Marantzidou (Location: LEW 505)</t>
  </si>
  <si>
    <t>HIST 2002 DISCUSSION SECTION REQUIRED</t>
  </si>
  <si>
    <t>HIST 2089 DISCUSSION SECTION REQUIRED</t>
  </si>
  <si>
    <t>REQUIRED DISCUSSION SECTION FOR HIST 2088</t>
  </si>
  <si>
    <t>COURSE CANCELED FOR FALL 2021</t>
  </si>
  <si>
    <t>HIST 2113 DISCUSSION SECTION REQUIRED</t>
  </si>
  <si>
    <t>REQUIRED DISCUSSION SECTION FOR HIST 2112</t>
  </si>
  <si>
    <t>HIST 2433 DISCUSSION SECTION REQUIRED</t>
  </si>
  <si>
    <t>REQUIRED DISCUSSION SECTION FOR HIST 2432</t>
  </si>
  <si>
    <t>HIST 2502 DISCUSSION SECTION REQUIRED</t>
  </si>
  <si>
    <t>REQUIRED DISCUSSION FOR HIST 2501</t>
  </si>
  <si>
    <t>HIST 2534 DISCUSSION SECTION REQUIRED</t>
  </si>
  <si>
    <t>REQUIRED DISCUSSION FOR HIST UN2533</t>
  </si>
  <si>
    <t>HIST UN2536 DISCUSSION SECTION REQUIRED</t>
  </si>
  <si>
    <t>REQUIRED DISCUSSION SECTION FOR HIST UN2535</t>
  </si>
  <si>
    <t>HIST 2581 DISCUSSION SECTION REQUIRED</t>
  </si>
  <si>
    <t>REQUIRED DISCUSSION SECTION FOR HIST 2580</t>
  </si>
  <si>
    <t>HIST 2619 DISCUSSION SECTION REQUIRED</t>
  </si>
  <si>
    <t>DISCUSSION SECTION FOR HIST 2618 LECTURE</t>
  </si>
  <si>
    <t>HIST 2629 DISCUSSION SECTION REQUIRED</t>
  </si>
  <si>
    <t>REQUIRED DISCUSSION SECTION FOR HIST 2628</t>
  </si>
  <si>
    <t>HIST 2690 DISCUSSION SECTION REQUIRED</t>
  </si>
  <si>
    <t>REQUIRED DISCUSSION SECTION FOR HIST 2689</t>
  </si>
  <si>
    <t>TA: Jay Pan (Location: MLC111)</t>
  </si>
  <si>
    <t>TA: Jay Pan (Location: MLC 113)</t>
  </si>
  <si>
    <t>TA: Caitlin Liss (Location: MLC 113)</t>
  </si>
  <si>
    <t>TA: Caitlin Liss (Location: MLC LL017)</t>
  </si>
  <si>
    <t>HIST 2720 DISCUSSION SECTION REQUIRED</t>
  </si>
  <si>
    <t>REQUIRED DISCUSSION SECTION FOR HIST 2719</t>
  </si>
  <si>
    <t>THIS COURSE WILL BE 4-POINTS</t>
  </si>
  <si>
    <t>Instructor Permission Required. Enrollment limited.</t>
  </si>
  <si>
    <t>Year-long senior thesis seminar course</t>
  </si>
  <si>
    <t>Year-long senior thesis seminar course.</t>
  </si>
  <si>
    <t>THIS WILL BE A 4-POINT COURSE</t>
  </si>
  <si>
    <t>COURSE WILL BE 4-POINTS</t>
  </si>
  <si>
    <t>LOCATION: 513 FAY;  THIS COURSE WILL BE 4-POINTS</t>
  </si>
  <si>
    <t>MAO students only</t>
  </si>
  <si>
    <t>Graduate section for HIST UN2719</t>
  </si>
  <si>
    <t>Graduate section for HIST UN2580</t>
  </si>
  <si>
    <t>MA Grad section for HIST UN2533; INSTRUCTOR PERM. REQUIRED</t>
  </si>
  <si>
    <t>GRAD SECTION FOR HIST UN3164 (NOVELS OF EMPIRE)</t>
  </si>
  <si>
    <t>Grad section for HIST UN3753</t>
  </si>
  <si>
    <t>Registration priority: HRSMA studs &amp; Oral History MA studs</t>
  </si>
  <si>
    <t>JOIN SSOL WAITLIST. PRTY 3&amp;4YR CC/GS HUMR STUDS. EMAIL DEPT</t>
  </si>
  <si>
    <t>Students must have internship to register for this course</t>
  </si>
  <si>
    <t>Interested students should contact Professor Salyer</t>
  </si>
  <si>
    <t>JOIN SSOL WAITLIST &amp; EMAIL INSTRUCTOR</t>
  </si>
  <si>
    <t>The Chinese family in historical and contemporary settings</t>
  </si>
  <si>
    <t>HSWM</t>
  </si>
  <si>
    <t>HSMW 2762 DISCUSSION SECTION REQUIRED</t>
  </si>
  <si>
    <t>REQUIRED DISCUSSION SECTION FOR HSMW 2761</t>
  </si>
  <si>
    <t>MSOR &amp; MSIE Students Only</t>
  </si>
  <si>
    <t>MSBA Students Only</t>
  </si>
  <si>
    <t>MS&amp;E Students Only</t>
  </si>
  <si>
    <t>In-Person Only</t>
  </si>
  <si>
    <t>Attendance required for first class 9/13 is required.</t>
  </si>
  <si>
    <t>IEOR E4511 can only be taken once.</t>
  </si>
  <si>
    <t>Data Science Institute course.</t>
  </si>
  <si>
    <t>Meets 9/24-9/26 in Davis Auditorium; in-person engagement</t>
  </si>
  <si>
    <t>Last day of class is Oct 26th</t>
  </si>
  <si>
    <t>Refer to Department emails for Schedule and First class.</t>
  </si>
  <si>
    <t>https://www.ieor.columbia.edu/masters-fieldwork</t>
  </si>
  <si>
    <t>Fall 2021 Course Dates: December 3 - 5</t>
  </si>
  <si>
    <t>Fall 2021 Course Dates: September 16 - October 28</t>
  </si>
  <si>
    <t>Fall 2021 Course Dates: Sept 13 - Oct 25</t>
  </si>
  <si>
    <t>Pre-req: INAFU6827 or PUAFU6254 or development practice exp</t>
  </si>
  <si>
    <t>Instructor managed registration; join waitlist in SSOL</t>
  </si>
  <si>
    <t>Fall 2021 Course Dates: Oct 21 - Dec 9</t>
  </si>
  <si>
    <t>Fall 2021 Course Dates: Oct. 9 - 17</t>
  </si>
  <si>
    <t>EPD Students Receive Registration Priority</t>
  </si>
  <si>
    <t>Fall 2021 Course Dates: Sept 9 - Oct 21</t>
  </si>
  <si>
    <t>Fall 2021 Course Dates: Sept 15 - Oct 27</t>
  </si>
  <si>
    <t>ICR Students Receive Registration Priority</t>
  </si>
  <si>
    <t>Fall 2021 Course Dates: Oct 25 - Dec 13</t>
  </si>
  <si>
    <t>Pre-req: SIPA U6501</t>
  </si>
  <si>
    <t>Fall 2021 Course Dates: Oct 19 - Dec 7</t>
  </si>
  <si>
    <t>Fall 2021 Course Dates: Oct 20 - Dec 7</t>
  </si>
  <si>
    <t>Fall 2021 Course Dates: Sept 14 - Oct 26</t>
  </si>
  <si>
    <t>Pre-req: SIPA U6401; IFEP Students Receive Reg Priority</t>
  </si>
  <si>
    <t>Instructor Approval Required</t>
  </si>
  <si>
    <t>For students with NO Korean background</t>
  </si>
  <si>
    <t>For students with KOREAN background</t>
  </si>
  <si>
    <t>FIFTH YEAR KOREAN I</t>
  </si>
  <si>
    <t>Epic after Virgil</t>
  </si>
  <si>
    <t>Roman Slavery</t>
  </si>
  <si>
    <t>Instruction permission required.</t>
  </si>
  <si>
    <t>MAFN Students ONLY. Open to STATS 9/7. Open to Univ. 9/13</t>
  </si>
  <si>
    <t>Students in MDES UN1030 must register for MDES UN1031.</t>
  </si>
  <si>
    <t>Students in MDESUN1030 must register for MDESUN1031.</t>
  </si>
  <si>
    <t>Students in MDES UN1030 must take MDES UN1031.</t>
  </si>
  <si>
    <t>Students in MDES UN2004 must register for MDES UN2005.</t>
  </si>
  <si>
    <t>Students in MDES UN2004must register for MDES UN2005.</t>
  </si>
  <si>
    <t>Students must register for a discussion section MDESUN3005.</t>
  </si>
  <si>
    <t>Students in MDESUN3000 must register for MDESUN3005.</t>
  </si>
  <si>
    <t>Open to MESAAS students only.</t>
  </si>
  <si>
    <t>Non-MESAAS students need permission of instructor to enroll</t>
  </si>
  <si>
    <t>Course Questionnaire must be completed to be considered.</t>
  </si>
  <si>
    <t>Audition Req &amp; Offered in Fall ONLY; $300 LESSON FE</t>
  </si>
  <si>
    <t>Audition Req &amp; Offered in Fall ONLY</t>
  </si>
  <si>
    <t>Students must audition first week of term for voice faculty</t>
  </si>
  <si>
    <t>Auditions first week of term.</t>
  </si>
  <si>
    <t>Prerequisites: NSBV1001 &amp; BIOL1502/BIOL1503</t>
  </si>
  <si>
    <t>Classes start week of 9/13. See perec.columbia.edu for info</t>
  </si>
  <si>
    <t>Starts week of 9/13. See perec.columbia.edu for info</t>
  </si>
  <si>
    <t>starts of week 9/13. perec.columbia.edu for info</t>
  </si>
  <si>
    <t>Class meets week of 9/13. See perec.columbia.edu for info</t>
  </si>
  <si>
    <t>Class Starts week of 9/13. See perec.columbia.edu for info.</t>
  </si>
  <si>
    <t>Classes begin week of 9/13. see perec.columbia.edu</t>
  </si>
  <si>
    <t>class begins 9/13. see perec.columbia.edu for info</t>
  </si>
  <si>
    <t>Classes begin Sept 13. See perec.columbia.edu for info</t>
  </si>
  <si>
    <t>Begins week of Sept 13. See perec.columbia.edu for info</t>
  </si>
  <si>
    <t>Classes meet week of 9/13. See perec.columbia.edu for info</t>
  </si>
  <si>
    <t>Classes start Mon 9/13.  Must attend first class.</t>
  </si>
  <si>
    <t>Classes start Tue 9/14.  Must attend first class.</t>
  </si>
  <si>
    <t>Classes start Thu 9/09.  Must attend first class.</t>
  </si>
  <si>
    <t>Pre-test required.  Contact instructor.</t>
  </si>
  <si>
    <t>Pre-test required. Contact instructor.</t>
  </si>
  <si>
    <t>Seminar: Philosophy and Tragedy</t>
  </si>
  <si>
    <t>Seminar: Language</t>
  </si>
  <si>
    <t>Kant</t>
  </si>
  <si>
    <t>Lab fee $75; labs begin 2nd or 3rd week of semester.</t>
  </si>
  <si>
    <t>REQ LECT T 03:00P-03:55P; LAB FEE $75; LABS BEGIN 2-3RD WK.</t>
  </si>
  <si>
    <t>STUDENTS MUST REGISTER FOR A DISCUSSION SECTION-POLS UN1211</t>
  </si>
  <si>
    <t>Not open to any whove taken/are currently taking POLS3410</t>
  </si>
  <si>
    <t>App by 4/1; http://polisci.barnard.edu/colloquia</t>
  </si>
  <si>
    <t>Not open to any whove taken/are currently taking POLS3002</t>
  </si>
  <si>
    <t>NO PRE-REGISTRATIONl THOSE INTERSTED SHOULD JOIN WAIT LIST</t>
  </si>
  <si>
    <t>STUDENTS MUST REGISTER FOR A DISCUSSION SECTION-POLS GU4135</t>
  </si>
  <si>
    <t>STUDENTS MUST REGISTER FOR A DISCUSSION SECTION-POLS GU4711</t>
  </si>
  <si>
    <t>STUDENTS MUST REGISTER FOR A DISCUSSION SECTION-POLS GU4725</t>
  </si>
  <si>
    <t>STUDENTS MUST REGISTER FOR A DISCUSSION SECTION-POLS GU4866</t>
  </si>
  <si>
    <t>NO PRE-REGISRATION; THOSE INTERESTED SHOULD JOIN WAIT LIST</t>
  </si>
  <si>
    <t>PORT 1102/PLCMT TEST/SAT SCORE Exchange prog. might be rqd.</t>
  </si>
  <si>
    <t>PORT 2101 /PLCMT TEST/SAT SCORE. Exchange prog might be rqd</t>
  </si>
  <si>
    <t>SEE COURSE DSCR BEF. REGISTER. Exchange prog. might be rqd.</t>
  </si>
  <si>
    <t>Course in English 2102 / 2120 / PLCMT TEST/AP 4-5/SAT SCORE</t>
  </si>
  <si>
    <t>COURSE IN ENGLISH</t>
  </si>
  <si>
    <t>BLOCKED CLASS. EVERYONE MUST JOIN WAITLIST TO BE ADMITTED.</t>
  </si>
  <si>
    <t>Lecture+Recitation; All students to waitlist first</t>
  </si>
  <si>
    <t>Lecture + Recitation. All students to waitlist first</t>
  </si>
  <si>
    <t>Lecture +Recitation; All students to waitlist first</t>
  </si>
  <si>
    <t>MUST REGISTER FOR A SECTION OF UN1491 WILL OPEN OVER SUMMER</t>
  </si>
  <si>
    <t>MUST ALSO REGISTER FOR UN1611 (WILL OPEN OVER SUMMER)</t>
  </si>
  <si>
    <t>All students to waitlist; will admit 24; take with BC2110</t>
  </si>
  <si>
    <t>Senior psych majors have priority. All students to waitlist</t>
  </si>
  <si>
    <t>Advance permission from instructor is required</t>
  </si>
  <si>
    <t>REQUEST INSTRUCTORS PERMISSION AND JOIN WAITLIST</t>
  </si>
  <si>
    <t>Only open to psych phd students</t>
  </si>
  <si>
    <t>Instructor managed registration. Join waitlist in SSOL.</t>
  </si>
  <si>
    <t>QMSS MA students ONLY</t>
  </si>
  <si>
    <t>Priority QMSS MA students</t>
  </si>
  <si>
    <t>QMSS Students ONLY; Combined w/ GR5022 001</t>
  </si>
  <si>
    <t>QMSS Students ONLY; Combined w/ GR5021 001</t>
  </si>
  <si>
    <t>QMSS Students ONLY; does not meet</t>
  </si>
  <si>
    <t>Priority QMSS Students; Combined w/ GR5053</t>
  </si>
  <si>
    <t>Priority QMSS Students; Combined w/ GR5052</t>
  </si>
  <si>
    <t>Priority QMSS Students; Combined w/ GR5056</t>
  </si>
  <si>
    <t>Priority QMSS Students; Combined w/ GR5055</t>
  </si>
  <si>
    <t>Priority for QMSS MA students</t>
  </si>
  <si>
    <t>QMSS MA students ONLY; Class does not meet regularly</t>
  </si>
  <si>
    <t>Meeting time includes discussion section.</t>
  </si>
  <si>
    <t>Registration will open once a meeting pattern is assigned</t>
  </si>
  <si>
    <t>Class will meet in MILSTEIN 402</t>
  </si>
  <si>
    <t>RERS</t>
  </si>
  <si>
    <t>Not for Heritage Speakers</t>
  </si>
  <si>
    <t>Completion of 2102 or Placement Test</t>
  </si>
  <si>
    <t>Instructor Permission or Placement Test</t>
  </si>
  <si>
    <t>Pre-requisite:COMPLETION OF UN3101-UN3102 orPLACEMENT TESTS</t>
  </si>
  <si>
    <t>Register via waitlist-priority to 1st &amp; 2nd years &amp; SDEV</t>
  </si>
  <si>
    <t>Discusion required. Register via waitlist.</t>
  </si>
  <si>
    <t>Application required. Contact cshimkusei.columbia.edu</t>
  </si>
  <si>
    <t>PhD Students Only</t>
  </si>
  <si>
    <t>Fall 2021 Course Dates: Sept. 18 &amp; 19</t>
  </si>
  <si>
    <t>Fall 2021 Course Dates: Sept. 25 &amp; 26</t>
  </si>
  <si>
    <t>Fall 2021 Course Dates: Sept. 27 - Nov. 8</t>
  </si>
  <si>
    <t>Fall 2021 Course Date: Oct. 16</t>
  </si>
  <si>
    <t>Fall 2021 Course Date: Sept. 23</t>
  </si>
  <si>
    <t>Fall 2021 Course Date: Sept. 27</t>
  </si>
  <si>
    <t>Fall 2021 Course Date: Sept. 28</t>
  </si>
  <si>
    <t>Fall 2021 Course Date: Sept. 29</t>
  </si>
  <si>
    <t>Fall 2021 Course Date: Sept. 30</t>
  </si>
  <si>
    <t>Fall 2021 Course Date: Oct. 4</t>
  </si>
  <si>
    <t>Fall 2021 Course Date: Oct. 5</t>
  </si>
  <si>
    <t>Fall 2021 Course Date: Oct. 25</t>
  </si>
  <si>
    <t>Fall 2021 Course Date: Oct. 28</t>
  </si>
  <si>
    <t>Fall 2021 Course Date: Nov. 3</t>
  </si>
  <si>
    <t>Fall 2021 Course Date: Oct. 6</t>
  </si>
  <si>
    <t>Fall 2021 Course Date: Oct. 27</t>
  </si>
  <si>
    <t>Fall 2021 Course Date: Oct.4</t>
  </si>
  <si>
    <t>Reg priority given to IFEP-Econ Pol and DAQA students</t>
  </si>
  <si>
    <t>Senior sociology majors have priority</t>
  </si>
  <si>
    <t>Must be Enrolled on Scholars of Distinction Program.</t>
  </si>
  <si>
    <t>SPAN UN 1101 OR PLACEMENT TEST OR SAT SPANISH SUBJCT SCORES</t>
  </si>
  <si>
    <t>IMPORTANT: SEE COURSE DESCRIPTION BEFORE REGISTERING</t>
  </si>
  <si>
    <t>SPAN UN 1102 / 1120 OR PLCMNT TEST/SAT SPANISH SUBJCT SCORE</t>
  </si>
  <si>
    <t>SPAN UN 2101 OR PLACEMENT TEST/SAT SPANISH SUBJECT SCORES</t>
  </si>
  <si>
    <t>SPAN UN 2102 OR PLCMNT / AP SPAN 4 OR 5 / SAT SPAN SCORES</t>
  </si>
  <si>
    <t>Feminist Artivisms in Spain; UN2102 OR PLCMNT EXM / AP 4or5</t>
  </si>
  <si>
    <t>Decolonizations: Real and Possible Worlds 2102 / AP 4 or 5</t>
  </si>
  <si>
    <t>Art Practices in the Public Space 2102 OR PLCMNT o AP 4-5Ex</t>
  </si>
  <si>
    <t>OO6</t>
  </si>
  <si>
    <t>Undergraduate and MA students welcome</t>
  </si>
  <si>
    <t>Literature + Theory= Revolution: Uses of Theory in Lat Amer</t>
  </si>
  <si>
    <t>SAT MA students only. Meets 9/9 to 10/16</t>
  </si>
  <si>
    <t>STAT MA students only.  Meets 9/9 to 10/16</t>
  </si>
  <si>
    <t>STAT MA students only. Meets 9/9 to 10/16</t>
  </si>
  <si>
    <t>STAT MA students only.  Meets 9/9-10/16</t>
  </si>
  <si>
    <t>MA students orginally in Hybrid Program.  Meets 9/9-10/16</t>
  </si>
  <si>
    <t>STAT MA students only. Meets 10/17 to 12/04</t>
  </si>
  <si>
    <t>STAT MA students only. Meets 10/17-12/4</t>
  </si>
  <si>
    <t>MA studnets originally in Hybrid Program.  Meets 10/17-12/4</t>
  </si>
  <si>
    <t>MA students who originally applied to the Hybrid Program</t>
  </si>
  <si>
    <t>STAT MA 1st year students only.</t>
  </si>
  <si>
    <t>MA students who orginally applied to the Hybrid Program.</t>
  </si>
  <si>
    <t>STAT MA 2nd year students only; Must be in GR5242</t>
  </si>
  <si>
    <t>STAT MA &amp; Math Finance students only</t>
  </si>
  <si>
    <t>Math Finance &amp; Stat MA 2nd year students only</t>
  </si>
  <si>
    <t>STAT MA &amp; Math Finance students ONLY</t>
  </si>
  <si>
    <t>MA Stats 1st year students only.</t>
  </si>
  <si>
    <t>STAT MA students only.  By Permission ONLY</t>
  </si>
  <si>
    <t>Data-Driven Solution Design Studio</t>
  </si>
  <si>
    <t>Reinforcement Learning in Finance - By permission only.</t>
  </si>
  <si>
    <t>STAT MA students only.  By permission ONLY.</t>
  </si>
  <si>
    <t>DSI Priority; STAT MA 2nd year students only</t>
  </si>
  <si>
    <t>DSI Priority; STAT MA 2nd year students only.</t>
  </si>
  <si>
    <t>DSI students only</t>
  </si>
  <si>
    <t>THIS SECTION IS REQUIRED FOR 1ST YR DRAMATURGS</t>
  </si>
  <si>
    <t>LAST CLASS WILL BE OCT. 26</t>
  </si>
  <si>
    <t>FIRST CLASS IS NOV. 9TH. LAST CLASS IS DEC. 21ST</t>
  </si>
  <si>
    <t>RT1</t>
  </si>
  <si>
    <t>RI1</t>
  </si>
  <si>
    <t>Auditon required. See website: https://theatre.barnard.edu.</t>
  </si>
  <si>
    <t>Registration in discussion section URBS1516 is required.</t>
  </si>
  <si>
    <t>Topic: Community Planning Confronts Neighborhood Change</t>
  </si>
  <si>
    <t>FOR VISUAL ARTS &amp; SOUND ART MFAS ONLY</t>
  </si>
  <si>
    <t>VISUAL ARTS &amp; SOUND ART MFA STUDENTS ONLY</t>
  </si>
  <si>
    <t>Additional 1-credit meeting for Elementary Zulu</t>
  </si>
  <si>
    <t>1–4</t>
  </si>
  <si>
    <t>3–4</t>
  </si>
  <si>
    <t>2–6</t>
  </si>
  <si>
    <t>3–9</t>
  </si>
  <si>
    <t>1–3</t>
  </si>
  <si>
    <t>1–6</t>
  </si>
  <si>
    <t>0–15</t>
  </si>
  <si>
    <t>0–4</t>
  </si>
  <si>
    <t>0–1</t>
  </si>
  <si>
    <t>2–4</t>
  </si>
  <si>
    <t>2–3</t>
  </si>
  <si>
    <t>1–12</t>
  </si>
  <si>
    <t>3–6</t>
  </si>
  <si>
    <t>0–6</t>
  </si>
  <si>
    <t>1–2</t>
  </si>
  <si>
    <t>3–12</t>
  </si>
  <si>
    <t>1–15</t>
  </si>
  <si>
    <t>0–3</t>
  </si>
  <si>
    <t>0–12</t>
  </si>
  <si>
    <t>1–9</t>
  </si>
  <si>
    <t>1–11</t>
  </si>
  <si>
    <t>1–5</t>
  </si>
  <si>
    <t>Ron Brown Instructor, RJB2197@columbia.edu</t>
  </si>
  <si>
    <t>SIGN-UP APRIL 3, 10AM: https://forms.gle/2hMbZAqjtQntXwUk9</t>
  </si>
  <si>
    <t>Open to Juniors, Seniors and Graduate Students</t>
  </si>
  <si>
    <t>APPLY BY AUG. 1, 2019: https://forms.gle/x8qezmc1yA1D6hyq5</t>
  </si>
  <si>
    <t>APPLY BY AUG. 1, 2019: https://forms.gle/qgxPfJ7zPMp77fiu9</t>
  </si>
  <si>
    <t>APPLY BY AUG. 1, 2019: https://forms.gle/WbtA8aWZLWTtqsKD6</t>
  </si>
  <si>
    <t>APPLY BY AUG. 1, 2019: https://forms.gle/dF6zAMpupC8VwmWL9</t>
  </si>
  <si>
    <t>APPLY BY AUG. 1, 2019: https://forms.gle/eqXXujYFBjXDE2mp9</t>
  </si>
  <si>
    <t>APPLY BY AUG. 1, 2019: https://forms.gle/jmzVfjDi8786jzji7</t>
  </si>
  <si>
    <t>APPLY BY AUG. 1, 2019: https://forms.gle/56aqkWSDSKnroTrv9</t>
  </si>
  <si>
    <t>APPLY BY AUG. 1, 2019: https://forms.gle/JqxFxhkJFfMCxLB6A</t>
  </si>
  <si>
    <t>APPLY BY AUG. 1, 2019: https://forms.gle/LUXtvm9TNfLJfYYE8</t>
  </si>
  <si>
    <t>APPLY BY AUG. 1, 2019: https://forms.gle/17DPK5m2Govoandf9</t>
  </si>
  <si>
    <t>APPLY BY AUG. 1, 2019: https://forms.gle/VkxESPyjpM5f2n3UA</t>
  </si>
  <si>
    <t>APPLY BY AUG. 1, 2019: https://forms.gle/xo1jBm3iFGM3Y42c7</t>
  </si>
  <si>
    <t>APPLY BY AUG. 1, 2019: https://forms.gle/aRjtdRJac53ZrEhr5</t>
  </si>
  <si>
    <t>APPLY BY AUG. 1, 2019: https://forms.gle/39B5knwaLEcv2Xas5</t>
  </si>
  <si>
    <t>No preregistration. Join waitlist, attend 1st class</t>
  </si>
  <si>
    <t>Makeup session Friday, September 20, 2019 10:00am-12:00pm</t>
  </si>
  <si>
    <t>OPEN TO - GSAPP, NY/PARIS STUDENTS ONLY</t>
  </si>
  <si>
    <t>OPEN TO - GSAPP, VIA STUDIO LOTTERY</t>
  </si>
  <si>
    <t>OPEN TO MArch II,III &amp;amp; CCCPII ONLY VIA APPLICATION</t>
  </si>
  <si>
    <t>ONLY GSAPP, HPI REQUIRED; HIST- AMERICAN; PRE-1800, N/W</t>
  </si>
  <si>
    <t>HIST/THEORY-MODERN; POST-1800, N/W</t>
  </si>
  <si>
    <t>HISTORY-MODERN; POST-1800, N/W</t>
  </si>
  <si>
    <t>VISUAL STUDIES, GSAPP ONLY</t>
  </si>
  <si>
    <t>HISTORY- MODERN; POST-1800, N/W</t>
  </si>
  <si>
    <t>HIST/THEORY-NON WESTERN or PRE-1750; PRE-1800, S/E</t>
  </si>
  <si>
    <t>SESSION A, VISUAL STUDIES, GSAPP ONLY</t>
  </si>
  <si>
    <t>TECH ELECTIVE, GSAPP ONLY</t>
  </si>
  <si>
    <t>VISUAL STUDIES, GSAPP ONLY, SESSION B</t>
  </si>
  <si>
    <t>ONLY HP STUDENTS, STUDIO ELECTIVE</t>
  </si>
  <si>
    <t>HP STUDIO, ELECTIVE</t>
  </si>
  <si>
    <t>HIST- PRE-1750; Pre-1800, N/W</t>
  </si>
  <si>
    <t>HIST/THEORY- PRE 1750; PRE-1800, N/W</t>
  </si>
  <si>
    <t>HP ELECTIVE WORKSHOP, TECH ELECTIVE, SES A</t>
  </si>
  <si>
    <t>HIST/THEORY- URBAN OR AMERICAN; POST-1800, N/W</t>
  </si>
  <si>
    <t>GSAPP_INTERDISCP, MARCH- VISUAL STUDIES</t>
  </si>
  <si>
    <t>GSAPP_INTERDISCP, HIST/THEORY -URBAN</t>
  </si>
  <si>
    <t>HP ELECTIVE WORKSHOP, MARCH TECH ELECT; SES B</t>
  </si>
  <si>
    <t>HIST/THEORY, NON-WESTERN; POST-1800, S/E</t>
  </si>
  <si>
    <t>UD SEMINAR, HIST/THEORY-URBAN; POST-1800, N/W</t>
  </si>
  <si>
    <t>HISTORY/MODERN; POST-1800, N/W</t>
  </si>
  <si>
    <t>HISTORY - PRE 1750; PRE-1800, N/W</t>
  </si>
  <si>
    <t>HIST/MODERN; POST-1800, N/W</t>
  </si>
  <si>
    <t>REQUIRED, HP1</t>
  </si>
  <si>
    <t>Students must register for DISC. section, ASCM UN2113</t>
  </si>
  <si>
    <t>Prereq: 1 yr Intro Bio and G. Chem, 1 sem O. Chem</t>
  </si>
  <si>
    <t>Intelligent Decision Support: History, Paradigms, Applicati</t>
  </si>
  <si>
    <t>PREREQ: STAT W3107, COMS W3137, BIOC W3300 OR THE EQUIVALEN</t>
  </si>
  <si>
    <t>Pre-req: BIOL BC1500, BC1501, BC1502, BC1503 or equivalent.</t>
  </si>
  <si>
    <t>Requirements: UN2005 and UN 2006, or instructor permission.</t>
  </si>
  <si>
    <t>Pre-req: BIOL BC1500, BC1501, BC1502, BC1503, &amp;amp; BC2100.</t>
  </si>
  <si>
    <t>Pre-req: BIOL BC1500, BC1501, BC1502, BC1503 &amp;amp; CHEM BC3230.</t>
  </si>
  <si>
    <t>TO BE ENROLLED IN UN1403 SEC 1, YOU MUST REG FOR UN1405 REC</t>
  </si>
  <si>
    <t>TO BE ENROLLED IN UN1403 SEC 2, YOU MUST REG FOR UN1407 REC</t>
  </si>
  <si>
    <t>TO BE ENROLLED IN UN1403 SEC 3, YOU MUST REG FOR UN1409 REC</t>
  </si>
  <si>
    <t>TO BE ENROLLED IN UN1500, YOU MUST REG FOR UN1501 LAB LEC</t>
  </si>
  <si>
    <t>TO BE ENROLLED IN UN1604, YOU MUST REG FOR UN1606 REC</t>
  </si>
  <si>
    <t>TO BE ENROLLED IN UN2443 SEC 1, YOU MUST REG FOR UN2445 REC</t>
  </si>
  <si>
    <t>TO BE ENROLLED IN UN2443 SEC 2, YOU MUST REG FOR UN2447 REC</t>
  </si>
  <si>
    <t>TO BE ENROLLED IN UN2443 SEC 3, YOU MUST REG FOR UN2449 REC</t>
  </si>
  <si>
    <t>TO ENROL IN 2493 SEC 1, YOU MUST REG FOR LAB LEC 2495 SEC 1</t>
  </si>
  <si>
    <t>TO ENROL IN 2493 SEC 2, YOU MUST REG FOR LAB LEC 2495 SEC 1</t>
  </si>
  <si>
    <t>TO ENROL IN 2493 SEC 3, YOU MUST REG FOR LAB LEC 2495 SEC 1</t>
  </si>
  <si>
    <t>TO ENROL IN 2493 SEC 4, YOU MUST REG FOR LAB LEC 2495 SEC 2</t>
  </si>
  <si>
    <t>TO ENROL IN 2493 SEC 5, YOU MUST REG FOR LAB LEC 2495 SEC 2</t>
  </si>
  <si>
    <t>TO ENROL IN 2493 SEC 6, YOU MUST REG FOR LAB LEC 2495 SEC 2</t>
  </si>
  <si>
    <t>TO ENROL IN 2493 SEC 7, YOU MUST REG FOR LAB LEC 2495 SEC 3</t>
  </si>
  <si>
    <t>TO ENROL IN 2493 SEC 8, YOU MUST REG FOR LAB LEC 2495 SEC 3</t>
  </si>
  <si>
    <t>TO ENROL IN 2493 SEC 9, YOU MUST REG FOR LAB LEC 2495 SEC 3</t>
  </si>
  <si>
    <t>TO ENROL IN 2493 SEC 10, YOU MUST REG FOR LB LEC 2495 SEC 4</t>
  </si>
  <si>
    <t>TO ENROL IN 2493 SEC 11, YOU MUST REG FOR LB LEC 2495 SEC 4</t>
  </si>
  <si>
    <t>TO ENROL IN 2493 SEC 12, YOU MUST REG FOR LB LEC 2495 SEC 4</t>
  </si>
  <si>
    <t>APPLY BY AUG. 1, 2019: https://forms.gle/HQcrbfm9RTYdXgfS9</t>
  </si>
  <si>
    <t>Prereq: CPLS BC3160, or instructor permission</t>
  </si>
  <si>
    <t>Contact Kelly Lemons kkl2116 to register, ICLSgrad only</t>
  </si>
  <si>
    <t>Prereqs: Intermed Micro, and Econ BC2411  or instruc perm</t>
  </si>
  <si>
    <t>Prereq Intro Econ,albegra,analytic geom,</t>
  </si>
  <si>
    <t>Prereq Intro Econ, 1 sem Calc or ECON BC1007</t>
  </si>
  <si>
    <t>Prereqs: Intro Econ, 1 sem Calc or Econ BC1007</t>
  </si>
  <si>
    <t>Submit SR Req Preferences form starting April 3, 2019</t>
  </si>
  <si>
    <t>Must also sign up for EDUC 1511, Sec. 001 or 002</t>
  </si>
  <si>
    <t>Must also sign up for EDUC 1511, Sec. 003 or 004</t>
  </si>
  <si>
    <t>Must also register for EDUC 1510, Sec. 001</t>
  </si>
  <si>
    <t>Must also register for EDUC 1510, Sec. 002</t>
  </si>
  <si>
    <t>ONLY OPEN TO STUDENTS ENROLLED IN EDUC BC 1510, SECTION 001</t>
  </si>
  <si>
    <t>Required: Bio, Ecology</t>
  </si>
  <si>
    <t>Physical, paper applications must be submitted to my box in</t>
  </si>
  <si>
    <t>Fall 2019 Course Dates: 10/23, 10/30, 11/6</t>
  </si>
  <si>
    <t>JOIN SSOL WAITLIST. PRTY HRSMA, 3&amp;amp;4YR CC/GS HUMR STUDS</t>
  </si>
  <si>
    <t>9/6 (1PM-6:30PM), 9/7 (9AM-6:30PM), 9/8 (9AM-6PM)</t>
  </si>
  <si>
    <t>Fall 2019 Course Dates: October 4, 5, 6 &amp;amp; 18</t>
  </si>
  <si>
    <t>Fall 2019 Course Dates: Sept. 28, Oct. 19, &amp;amp; Oct. 16</t>
  </si>
  <si>
    <t>Fall 2019 Course Dates Sept. 13, Oct. 11, &amp;amp; Nov. 8</t>
  </si>
  <si>
    <t>Fall 2019 Course Dates: Oct. 18, 19, &amp;amp; 26</t>
  </si>
  <si>
    <t>Fall 2019 Course Dates: Nov. 9, 10, 16 &amp;amp; 17</t>
  </si>
  <si>
    <t>Can be used for Senior Thesis credit, with permission.</t>
  </si>
  <si>
    <t>Priority to MAFN students, then STAT students.</t>
  </si>
  <si>
    <t>Students must register for disc. section, MDES UN3005</t>
  </si>
  <si>
    <t>MEETS TUES 10-2:30PM, WED 1:30-4:30PM</t>
  </si>
  <si>
    <t>All students to waitlist, will admit 18</t>
  </si>
  <si>
    <t>class begins 9/9, meets in Levien Lobby. Fee based ($30)</t>
  </si>
  <si>
    <t>STUDENTS MUST REGISTER FOR A DISCUSSION SECTION, POLS W4138</t>
  </si>
  <si>
    <t>PLACEMENT TEST/SAT SCORE; IF BLOCKED, CONTACT INSTRUCTOR</t>
  </si>
  <si>
    <t>UN1101 OR PLACEMENT TEST/SCORE;IF BLOCKED, CONTACT INST</t>
  </si>
  <si>
    <t>UN1320, 1102 OR PLCMT TEST/SAT SCORE; IF BLOCKED CONT INST</t>
  </si>
  <si>
    <t>UN2101 OR PLCMT TEST/SAT SCORE; IF BLOCKED, CONTACT INSTR</t>
  </si>
  <si>
    <t>Enrollment confirmed at first class, must be present</t>
  </si>
  <si>
    <t>All students to waitlist, will admit 24</t>
  </si>
  <si>
    <t>All students to waitlist, will admit 24; take with BC2107</t>
  </si>
  <si>
    <t>All students to wiatlist, will admit 24; take with BC2110</t>
  </si>
  <si>
    <t>All students to waitlist, will admit 24; take with BC2110</t>
  </si>
  <si>
    <t>All students to waitlist, will admit 55</t>
  </si>
  <si>
    <t>All students to waitlist, will admit 24; take with BC2125</t>
  </si>
  <si>
    <t>All students to waitlist, will admit 100</t>
  </si>
  <si>
    <t>All students to waitlist, will admit 24; take with BC2138</t>
  </si>
  <si>
    <t>Pereq: RUSS UN2102, Instructor permission, placement test</t>
  </si>
  <si>
    <t>If enrolled in UN3010, you MUST register for a section</t>
  </si>
  <si>
    <t>Sociology majors only, instructor permission required</t>
  </si>
  <si>
    <t>Sr soc majors only, Barnard 1st priority, instr permission</t>
  </si>
  <si>
    <t>Placement test/SAT score. If blocked, contact instructor.</t>
  </si>
  <si>
    <t>UN1101 or placement test/SAT score.If blocked, contact inst</t>
  </si>
  <si>
    <t>UN1102/1120 or placement test/SAT score,if blocked cont ins</t>
  </si>
  <si>
    <t>UN2101 OR PLACEMENT TEST/SAT SCORE,IF BLOCKED CONT INSTRUCT</t>
  </si>
  <si>
    <t>STAT MA students only, Meets 9/3 - 10/19</t>
  </si>
  <si>
    <t>STAT MA students only, Meets 10/20 - 12/9</t>
  </si>
  <si>
    <t>STAT MA students, In-class.</t>
  </si>
  <si>
    <t>HIST- Post-1800, N/W</t>
  </si>
  <si>
    <t>ONLY GSAPP, HPI REQUIRED</t>
  </si>
  <si>
    <t>HIST-MODERN, Post-1800, N/W</t>
  </si>
  <si>
    <t>UD SEMINAR, HIST/THEORY-URBAN</t>
  </si>
  <si>
    <t>HIST- NON WESTERN; POST-1800, S/E</t>
  </si>
  <si>
    <t>HIST-MODERN; POST-1800, N/W</t>
  </si>
  <si>
    <t>HIST- MODERN , Post-1800, N/W</t>
  </si>
  <si>
    <t>1 semester OChem required, 2 semesters OChem recommended</t>
  </si>
  <si>
    <t>This lab will be online, days and times TBD</t>
  </si>
  <si>
    <t>MABiotech Students and G03, 04 get priority for registratio</t>
  </si>
  <si>
    <t>Open to first years. If interested, email cvizcarrbarnard.</t>
  </si>
  <si>
    <t>Sept 8-Oct 23, 6:10-7:25 PM; Oct 27-Dec 10, 1:10-5:30 PM</t>
  </si>
  <si>
    <t>Students must attend, but do not register for it.</t>
  </si>
  <si>
    <t>Upper division, Junior, Senior, and Graduate Students only</t>
  </si>
  <si>
    <t>For CLS majors, MLS majors and CLS concentrators only</t>
  </si>
  <si>
    <t>Only open to ICLS Certificate students, email kkl2116</t>
  </si>
  <si>
    <t>Reg for BC3135.Prereq Intro Econ, 1 sem Calc or Econ BC1007</t>
  </si>
  <si>
    <t>Submit SR Req Preferences form starting April 9, 2020</t>
  </si>
  <si>
    <t>Prereq:ECON BC3033 or W3213, and BC3035 or W3211</t>
  </si>
  <si>
    <t>EESC BC1001 must be taken concurrently w/ Lab, EESC BC1011.</t>
  </si>
  <si>
    <t>Preference to BC Majors, Prospective Majors, Concentrators</t>
  </si>
  <si>
    <t>Preference to BC Majors, Concentrators, Prospective Majors</t>
  </si>
  <si>
    <t>Preference to BC Majors, Concentrators, Perspective Majors</t>
  </si>
  <si>
    <t>BC enroll in EESC BC3800, DEES UN3901, E3B in EEEB UN39912</t>
  </si>
  <si>
    <t>Rocket Design, Construction, and Launch</t>
  </si>
  <si>
    <t>First class is Friday, 9/25</t>
  </si>
  <si>
    <t>BC 1st Yr St Only - Athens 403 BCE, India Independence 1945</t>
  </si>
  <si>
    <t>BC 1st Yr St Only - Athens 403 BCE, Greenwich Village 1913</t>
  </si>
  <si>
    <t>Class times flexible, please contact the instructor.</t>
  </si>
  <si>
    <t>Class time flexible, please contact the instructor.</t>
  </si>
  <si>
    <t>Students must register for a Discussion Section, HSME 2916</t>
  </si>
  <si>
    <t>MS Only, Not open to MSFE</t>
  </si>
  <si>
    <t>Fall 2020 Course Dates: October 2, 9, &amp;amp; 16</t>
  </si>
  <si>
    <t>Fall 2020 Course Dates: Oct 10, Oct 11, Oct 17 &amp;amp; Oct 24</t>
  </si>
  <si>
    <t>Priority to MAFN students, then STAT students</t>
  </si>
  <si>
    <t>MedRen Students Only, contact program administrator</t>
  </si>
  <si>
    <t>Rawls, Theory of Justice</t>
  </si>
  <si>
    <t>UN1101 OR PLACEMENT TEST/SAT SCORE;IF BLOCKED, CONTACT INST</t>
  </si>
  <si>
    <t>UN1102 OR PLACEMENT TEST/SAT SCORE, IF BLOCKED CONT INSTRUC</t>
  </si>
  <si>
    <t>Term A course; All students to waitlist, will admit 120</t>
  </si>
  <si>
    <t>Meets Fridays, 9:10-10:00 am</t>
  </si>
  <si>
    <t>UN3101 and UN3102, or placement test</t>
  </si>
  <si>
    <t>Open to MIA, MPA, &amp;amp; MPA-DP Students Only</t>
  </si>
  <si>
    <t>This class meets every other week on Mondays, 9:10-11am.</t>
  </si>
  <si>
    <t>PLACEMENT TEST/SAT SCORE. IF BLOCKED, CONTACT INSTRUCTOR.</t>
  </si>
  <si>
    <t>PLACEMENT TEST/SAT SCORE. IF BLOCKED, CONTACT INSTRUCTOR</t>
  </si>
  <si>
    <t>UN 1101 OR PLACEMENT TEST/SAT SCORE;IF BLOCKED, CONTACT INS</t>
  </si>
  <si>
    <t>UN1102/1120 OR PLACEMENT TEST/SAT SCORE,IF BLOCKED CONT INS</t>
  </si>
  <si>
    <t>Rhythm, Love, and Revolution</t>
  </si>
  <si>
    <t>Water, Land and Resistance</t>
  </si>
  <si>
    <t>STAT MA students only, Meets first half semester only</t>
  </si>
  <si>
    <t>STAT MA students only, Meets 2nd half of semester</t>
  </si>
  <si>
    <t>STAT MA students, 1st Year Only</t>
  </si>
  <si>
    <t>Open to Grad Engineering, MD and GSAS Pol Science</t>
  </si>
  <si>
    <t>No Instructor Permission Required. If prompted, click yes.</t>
  </si>
  <si>
    <t>Religion, Political Economy and the Black Community.</t>
  </si>
  <si>
    <t>**AFAM MAJORS ONLY, Grad &amp; Undergrad**</t>
  </si>
  <si>
    <t>Location: Sr. Visual Arts Studio - 600 W 116th, 8th Floor</t>
  </si>
  <si>
    <t>Course limited to Juniors, Seniors and Grad Students.</t>
  </si>
  <si>
    <t>Open to Anthropology Majors, Non-Majors Need Permission</t>
  </si>
  <si>
    <t>2nd years &amp; above, Non-majors need Permission of Instructor</t>
  </si>
  <si>
    <t>App required, due June 1: https://architecture.barnard.edu</t>
  </si>
  <si>
    <t>OPEN TO MArch II,III &amp; CCCPII ONLY VIA APPLICATION</t>
  </si>
  <si>
    <t>ONLY GSAPP, HPI REQUIRED; MARCH - HIST-  PRE-1800 NW</t>
  </si>
  <si>
    <t>INTERDISCP, VISUAL STUDIES; SES A</t>
  </si>
  <si>
    <t>HIST-Post-1800, N/W</t>
  </si>
  <si>
    <t>HIST- Pre-1800, S/E</t>
  </si>
  <si>
    <t>HIST-Pre-1800, N/W</t>
  </si>
  <si>
    <t>HIST- Post-1800, S/E</t>
  </si>
  <si>
    <t>HIST-Post-1800, S/E</t>
  </si>
  <si>
    <t>Students must register for a discussion section, ASCMUN2113</t>
  </si>
  <si>
    <t>Prereq: Intro to Bio, G Chem, 1 sem. O Chem</t>
  </si>
  <si>
    <t>Online only, Students must register for coreq GU4501</t>
  </si>
  <si>
    <t>1 year of biology (UN2005 + UN2006, or equivalent) required</t>
  </si>
  <si>
    <t>Pre-req: BIOL BC1500, BC1501, BC1502, BC1503, &amp; BC2100.</t>
  </si>
  <si>
    <t>Section 001 for 3 points, Section 002 for 6 points.</t>
  </si>
  <si>
    <t>MS only; app. req,email kd2339 resume&amp;statement of interest</t>
  </si>
  <si>
    <t>S2E Students must attend, but do not register for it</t>
  </si>
  <si>
    <t>Desire, Embodiment, Backward Glances</t>
  </si>
  <si>
    <t>APPLICATION NEEDED, EMAIL SSG93colum... to apply.</t>
  </si>
  <si>
    <t>Priority to CSER students, other students contact professor</t>
  </si>
  <si>
    <t>Aer Room 3, Dodge Fitness Center</t>
  </si>
  <si>
    <t>Reg for BC3135.Prereq Intro Econ, 1 sem Calc or ECON BC1007</t>
  </si>
  <si>
    <t>Prereqs: ECON BC3033 or UN3213, and BC3035 or UN3211</t>
  </si>
  <si>
    <t>For EDUC 1510, Sec. 001 students only.</t>
  </si>
  <si>
    <t>For EDUC 1510, Sec. 002 students only.</t>
  </si>
  <si>
    <t>Labs at AMNH, Wednesdays 5-8pm</t>
  </si>
  <si>
    <t>There will be 4 full day field trips, timing TBD</t>
  </si>
  <si>
    <t>EESC BC1011 LAB must be taken with EESC BC1001, Lecture.</t>
  </si>
  <si>
    <t>Preference to BC Majors, Prospective Majors, Concentrators.</t>
  </si>
  <si>
    <t>Natalie Adler, T R 4:10-5:25</t>
  </si>
  <si>
    <t>Craig Moreau, MW 2:40-3:55</t>
  </si>
  <si>
    <t>Class begins the 2nd week of the semester, in HAM 306.</t>
  </si>
  <si>
    <t>Class begins the 2nd week of the semester, in HAM 309.</t>
  </si>
  <si>
    <t>Class meets at Dodge, Room 603</t>
  </si>
  <si>
    <t>This course will take place at Reid Hall (Paris, France)</t>
  </si>
  <si>
    <t>JOIN SSOL WAITLIST. PRTY HRSMA, 3&amp;4YR CC/GS HUMR STUDS</t>
  </si>
  <si>
    <t>Course meets Sept 10,11,12.</t>
  </si>
  <si>
    <t>Course meets October 22, 23, and 24th</t>
  </si>
  <si>
    <t>Fall 2021 Course Dates: December 3, 4, &amp; 5</t>
  </si>
  <si>
    <t>Class meets in the Milstein Center, Room 125</t>
  </si>
  <si>
    <t>MAFN students ONLY. Letter Grade Only, No P/F. No Auditing.</t>
  </si>
  <si>
    <t>Sign-up in Dodge 9/9 &amp; 9/10, from 10:00am- 2:00pm</t>
  </si>
  <si>
    <t>Pre-requisites: Intro course in Neurosc, Psychol or Biol</t>
  </si>
  <si>
    <t>Dissent, Protest, Disobedience</t>
  </si>
  <si>
    <t>Enrollment is confirmed at first class, must be present</t>
  </si>
  <si>
    <t>UN3101 and UN3102, or Placement Test</t>
  </si>
  <si>
    <t>Open to MIA, MPA, &amp; MPA-DP Students Only</t>
  </si>
  <si>
    <t>PLACEMENT TEST/SAT SPAN SCORE; IF BLOCKED, CONTACT INSTRUCT</t>
  </si>
  <si>
    <t>PhD students only, Others by permission</t>
  </si>
  <si>
    <t>Subject</t>
  </si>
  <si>
    <t>Division</t>
  </si>
  <si>
    <t>Prefix</t>
  </si>
  <si>
    <t>Course#</t>
  </si>
  <si>
    <t>Year</t>
  </si>
  <si>
    <t>Section#</t>
  </si>
  <si>
    <t>Call#</t>
  </si>
  <si>
    <t>Points</t>
  </si>
  <si>
    <t>Enrollment</t>
  </si>
  <si>
    <t>Notes</t>
  </si>
  <si>
    <t>Automatic</t>
  </si>
  <si>
    <t>Manual</t>
  </si>
  <si>
    <t>Overall</t>
  </si>
  <si>
    <t>ClassSize</t>
  </si>
  <si>
    <t>Arts1000</t>
  </si>
  <si>
    <t>Arts2000</t>
  </si>
  <si>
    <t>Arts3000</t>
  </si>
  <si>
    <t>Arts4000</t>
  </si>
  <si>
    <t>Arts5000</t>
  </si>
  <si>
    <t>Arts6000</t>
  </si>
  <si>
    <t>Arts8000</t>
  </si>
  <si>
    <t>ArtsTotal</t>
  </si>
  <si>
    <t>Core1000</t>
  </si>
  <si>
    <t>Core2000</t>
  </si>
  <si>
    <t>Core6000</t>
  </si>
  <si>
    <t>Core8000</t>
  </si>
  <si>
    <t>CoreTotal</t>
  </si>
  <si>
    <t>Engin1000</t>
  </si>
  <si>
    <t>Engin2000</t>
  </si>
  <si>
    <t>Engin3000</t>
  </si>
  <si>
    <t>Engin4000</t>
  </si>
  <si>
    <t>Engin6000</t>
  </si>
  <si>
    <t>Engin8000</t>
  </si>
  <si>
    <t>EnginTotal</t>
  </si>
  <si>
    <t>Hum1000</t>
  </si>
  <si>
    <t>Hum2000</t>
  </si>
  <si>
    <t>Hum3000</t>
  </si>
  <si>
    <t>Hum4000</t>
  </si>
  <si>
    <t>Hum5000</t>
  </si>
  <si>
    <t>Hum6000</t>
  </si>
  <si>
    <t>Hum8000</t>
  </si>
  <si>
    <t>HumTotal</t>
  </si>
  <si>
    <t>NatSci1000</t>
  </si>
  <si>
    <t>NatSci2000</t>
  </si>
  <si>
    <t>NatSci3000</t>
  </si>
  <si>
    <t>NatSci4000</t>
  </si>
  <si>
    <t>NatSci5000</t>
  </si>
  <si>
    <t>NatSci6000</t>
  </si>
  <si>
    <t>NatSci8000</t>
  </si>
  <si>
    <t>NatSciTotal</t>
  </si>
  <si>
    <t>PhysEd1000</t>
  </si>
  <si>
    <t>SocSci1000</t>
  </si>
  <si>
    <t>SocSci2000</t>
  </si>
  <si>
    <t>SocSci3000</t>
  </si>
  <si>
    <t>SocSci4000</t>
  </si>
  <si>
    <t>SocSci5000</t>
  </si>
  <si>
    <t>SocSci6000</t>
  </si>
  <si>
    <t>SocSci8000</t>
  </si>
  <si>
    <t>SocSciTotal</t>
  </si>
  <si>
    <t>Total1000</t>
  </si>
  <si>
    <t>Total2000</t>
  </si>
  <si>
    <t>Total3000</t>
  </si>
  <si>
    <t>Total4000</t>
  </si>
  <si>
    <t>TotalUgrad</t>
  </si>
  <si>
    <t>Total5000</t>
  </si>
  <si>
    <t>Total6000</t>
  </si>
  <si>
    <t>Total8000</t>
  </si>
  <si>
    <t>TotalGrad</t>
  </si>
  <si>
    <t>GrandTotal</t>
  </si>
  <si>
    <t>2–9</t>
  </si>
  <si>
    <t>10–19</t>
  </si>
  <si>
    <t>20–29</t>
  </si>
  <si>
    <t>30–39</t>
  </si>
  <si>
    <t>40–49</t>
  </si>
  <si>
    <t>50–99</t>
  </si>
  <si>
    <t>100+</t>
  </si>
  <si>
    <t>Total</t>
  </si>
  <si>
    <t>%&lt;20</t>
  </si>
  <si>
    <t>%&gt;=50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</si>
</sst>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16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styles" Target="styles.xml"/><Relationship Id="rId3" Type="http://purl.oclc.org/ooxml/officeDocument/relationships/worksheet" Target="worksheets/sheet3.xml"/><Relationship Id="rId7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5" Type="http://purl.oclc.org/ooxml/officeDocument/relationships/worksheet" Target="worksheets/sheet5.xml"/><Relationship Id="rId10" Type="http://purl.oclc.org/ooxml/officeDocument/relationships/calcChain" Target="calcChain.xml"/><Relationship Id="rId4" Type="http://purl.oclc.org/ooxml/officeDocument/relationships/worksheet" Target="worksheets/sheet4.xml"/><Relationship Id="rId9" Type="http://purl.oclc.org/ooxml/officeDocument/relationships/sharedStrings" Target="sharedString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284"/>
  <sheetViews>
    <sheetView tabSelected="1" zoomScaleNormal="100" workbookViewId="0">
      <pane ySplit="1" topLeftCell="A2" activePane="bottomLeft" state="frozen"/>
      <selection pane="bottomLeft" activeCell="D17" sqref="D17"/>
    </sheetView>
  </sheetViews>
  <sheetFormatPr baseColWidth="10" defaultRowHeight="16" x14ac:dyDescent="0.2"/>
  <cols>
    <col min="8" max="8" width="10.83203125" style="1"/>
  </cols>
  <sheetData>
    <row r="1" spans="1:13" x14ac:dyDescent="0.2">
      <c r="A1" t="s">
        <v>2083</v>
      </c>
      <c r="B1" t="s">
        <v>2084</v>
      </c>
      <c r="C1" t="s">
        <v>2085</v>
      </c>
      <c r="D1" t="s">
        <v>2086</v>
      </c>
      <c r="E1" t="s">
        <v>2087</v>
      </c>
      <c r="F1" t="s">
        <v>2088</v>
      </c>
      <c r="G1" t="s">
        <v>2089</v>
      </c>
      <c r="H1" s="1" t="s">
        <v>2090</v>
      </c>
      <c r="I1" t="s">
        <v>2091</v>
      </c>
      <c r="J1" t="s">
        <v>2093</v>
      </c>
      <c r="K1" t="s">
        <v>2094</v>
      </c>
      <c r="L1" t="s">
        <v>2095</v>
      </c>
      <c r="M1" t="s">
        <v>2092</v>
      </c>
    </row>
    <row r="2" spans="1:13" x14ac:dyDescent="0.2">
      <c r="A2" t="s">
        <v>5</v>
      </c>
      <c r="B2" t="s">
        <v>6</v>
      </c>
      <c r="C2" t="s">
        <v>7</v>
      </c>
      <c r="D2">
        <v>1001</v>
      </c>
      <c r="E2">
        <v>2019</v>
      </c>
      <c r="F2">
        <v>1</v>
      </c>
      <c r="G2">
        <v>10574</v>
      </c>
      <c r="H2" s="1">
        <v>4</v>
      </c>
      <c r="I2">
        <v>87</v>
      </c>
      <c r="J2">
        <f>IF($H2=0,1,IF($I2&lt;=1,2,0))</f>
        <v>0</v>
      </c>
      <c r="K2">
        <v>0</v>
      </c>
      <c r="L2">
        <f>IF(AND($J2=0,$K2=0),0,1)</f>
        <v>0</v>
      </c>
    </row>
    <row r="3" spans="1:13" x14ac:dyDescent="0.2">
      <c r="A3" t="s">
        <v>5</v>
      </c>
      <c r="B3" t="s">
        <v>6</v>
      </c>
      <c r="C3" t="s">
        <v>9</v>
      </c>
      <c r="D3">
        <v>3030</v>
      </c>
      <c r="E3">
        <v>2019</v>
      </c>
      <c r="F3">
        <v>1</v>
      </c>
      <c r="G3">
        <v>10527</v>
      </c>
      <c r="H3" s="1">
        <v>3</v>
      </c>
      <c r="I3">
        <v>13</v>
      </c>
      <c r="J3">
        <f>IF($H3=0,1,IF($I3&lt;=1,2,0))</f>
        <v>0</v>
      </c>
      <c r="K3">
        <v>0</v>
      </c>
      <c r="L3">
        <f>IF(AND($J3=0,$K3=0),0,1)</f>
        <v>0</v>
      </c>
    </row>
    <row r="4" spans="1:13" x14ac:dyDescent="0.2">
      <c r="A4" t="s">
        <v>5</v>
      </c>
      <c r="B4" t="s">
        <v>6</v>
      </c>
      <c r="C4" t="s">
        <v>7</v>
      </c>
      <c r="D4">
        <v>3930</v>
      </c>
      <c r="E4">
        <v>2019</v>
      </c>
      <c r="F4">
        <v>1</v>
      </c>
      <c r="G4">
        <v>10662</v>
      </c>
      <c r="H4" s="1">
        <v>4</v>
      </c>
      <c r="I4">
        <v>12</v>
      </c>
      <c r="J4">
        <f>IF($H4=0,1,IF($I4&lt;=1,2,0))</f>
        <v>0</v>
      </c>
      <c r="K4">
        <v>0</v>
      </c>
      <c r="L4">
        <f>IF(AND($J4=0,$K4=0),0,1)</f>
        <v>0</v>
      </c>
    </row>
    <row r="5" spans="1:13" x14ac:dyDescent="0.2">
      <c r="A5" t="s">
        <v>5</v>
      </c>
      <c r="B5" t="s">
        <v>6</v>
      </c>
      <c r="C5" t="s">
        <v>7</v>
      </c>
      <c r="D5">
        <v>3930</v>
      </c>
      <c r="E5">
        <v>2019</v>
      </c>
      <c r="F5">
        <v>2</v>
      </c>
      <c r="G5">
        <v>10663</v>
      </c>
      <c r="H5" s="1">
        <v>4</v>
      </c>
      <c r="I5">
        <v>4</v>
      </c>
      <c r="J5">
        <f>IF($H5=0,1,IF($I5&lt;=1,2,0))</f>
        <v>0</v>
      </c>
      <c r="K5">
        <v>0</v>
      </c>
      <c r="L5">
        <f>IF(AND($J5=0,$K5=0),0,1)</f>
        <v>0</v>
      </c>
    </row>
    <row r="6" spans="1:13" x14ac:dyDescent="0.2">
      <c r="A6" t="s">
        <v>5</v>
      </c>
      <c r="B6" t="s">
        <v>6</v>
      </c>
      <c r="C6" t="s">
        <v>9</v>
      </c>
      <c r="D6">
        <v>3943</v>
      </c>
      <c r="E6">
        <v>2019</v>
      </c>
      <c r="F6">
        <v>1</v>
      </c>
      <c r="G6">
        <v>17880</v>
      </c>
      <c r="H6" s="1">
        <v>4</v>
      </c>
      <c r="I6">
        <v>4</v>
      </c>
      <c r="J6">
        <f>IF($H6=0,1,IF($I6&lt;=1,2,0))</f>
        <v>0</v>
      </c>
      <c r="K6">
        <v>0</v>
      </c>
      <c r="L6">
        <f>IF(AND($J6=0,$K6=0),0,1)</f>
        <v>0</v>
      </c>
      <c r="M6" t="s">
        <v>10</v>
      </c>
    </row>
    <row r="7" spans="1:13" x14ac:dyDescent="0.2">
      <c r="A7" t="s">
        <v>5</v>
      </c>
      <c r="B7" t="s">
        <v>6</v>
      </c>
      <c r="C7" t="s">
        <v>11</v>
      </c>
      <c r="D7">
        <v>4080</v>
      </c>
      <c r="E7">
        <v>2019</v>
      </c>
      <c r="F7">
        <v>1</v>
      </c>
      <c r="G7">
        <v>10575</v>
      </c>
      <c r="H7" s="1">
        <v>4</v>
      </c>
      <c r="I7">
        <v>6</v>
      </c>
      <c r="J7">
        <f>IF($H7=0,1,IF($I7&lt;=1,2,0))</f>
        <v>0</v>
      </c>
      <c r="K7">
        <v>0</v>
      </c>
      <c r="L7">
        <f>IF(AND($J7=0,$K7=0),0,1)</f>
        <v>0</v>
      </c>
    </row>
    <row r="8" spans="1:13" x14ac:dyDescent="0.2">
      <c r="A8" t="s">
        <v>5</v>
      </c>
      <c r="B8" t="s">
        <v>6</v>
      </c>
      <c r="C8" t="s">
        <v>11</v>
      </c>
      <c r="D8">
        <v>4080</v>
      </c>
      <c r="E8">
        <v>2019</v>
      </c>
      <c r="F8">
        <v>3</v>
      </c>
      <c r="G8">
        <v>14058</v>
      </c>
      <c r="H8" s="1">
        <v>4</v>
      </c>
      <c r="I8">
        <v>6</v>
      </c>
      <c r="J8">
        <f>IF($H8=0,1,IF($I8&lt;=1,2,0))</f>
        <v>0</v>
      </c>
      <c r="K8">
        <v>0</v>
      </c>
      <c r="L8">
        <f>IF(AND($J8=0,$K8=0),0,1)</f>
        <v>0</v>
      </c>
    </row>
    <row r="9" spans="1:13" x14ac:dyDescent="0.2">
      <c r="A9" t="s">
        <v>5</v>
      </c>
      <c r="B9" t="s">
        <v>6</v>
      </c>
      <c r="C9" t="s">
        <v>11</v>
      </c>
      <c r="D9">
        <v>6100</v>
      </c>
      <c r="E9">
        <v>2019</v>
      </c>
      <c r="F9">
        <v>1</v>
      </c>
      <c r="G9">
        <v>10513</v>
      </c>
      <c r="H9" s="1">
        <v>4</v>
      </c>
      <c r="I9">
        <v>6</v>
      </c>
      <c r="J9">
        <f>IF($H9=0,1,IF($I9&lt;=1,2,0))</f>
        <v>0</v>
      </c>
      <c r="K9">
        <v>0</v>
      </c>
      <c r="L9">
        <f>IF(AND($J9=0,$K9=0),0,1)</f>
        <v>0</v>
      </c>
      <c r="M9" t="s">
        <v>12</v>
      </c>
    </row>
    <row r="10" spans="1:13" x14ac:dyDescent="0.2">
      <c r="A10" t="s">
        <v>13</v>
      </c>
      <c r="B10" t="s">
        <v>6</v>
      </c>
      <c r="C10" t="s">
        <v>7</v>
      </c>
      <c r="D10">
        <v>1020</v>
      </c>
      <c r="E10">
        <v>2019</v>
      </c>
      <c r="F10">
        <v>1</v>
      </c>
      <c r="G10">
        <v>13534</v>
      </c>
      <c r="H10" s="1">
        <v>4</v>
      </c>
      <c r="I10">
        <v>5</v>
      </c>
      <c r="J10">
        <f>IF($H10=0,1,IF($I10&lt;=1,2,0))</f>
        <v>0</v>
      </c>
      <c r="K10">
        <v>0</v>
      </c>
      <c r="L10">
        <f>IF(AND($J10=0,$K10=0),0,1)</f>
        <v>0</v>
      </c>
    </row>
    <row r="11" spans="1:13" x14ac:dyDescent="0.2">
      <c r="A11" t="s">
        <v>16</v>
      </c>
      <c r="B11" t="s">
        <v>17</v>
      </c>
      <c r="C11" t="s">
        <v>7</v>
      </c>
      <c r="D11">
        <v>1007</v>
      </c>
      <c r="E11">
        <v>2019</v>
      </c>
      <c r="F11">
        <v>1</v>
      </c>
      <c r="G11">
        <v>41646</v>
      </c>
      <c r="H11" s="1">
        <v>4</v>
      </c>
      <c r="I11">
        <v>69</v>
      </c>
      <c r="J11">
        <f>IF($H11=0,1,IF($I11&lt;=1,2,0))</f>
        <v>0</v>
      </c>
      <c r="K11">
        <v>0</v>
      </c>
      <c r="L11">
        <f>IF(AND($J11=0,$K11=0),0,1)</f>
        <v>0</v>
      </c>
      <c r="M11" t="s">
        <v>19</v>
      </c>
    </row>
    <row r="12" spans="1:13" x14ac:dyDescent="0.2">
      <c r="A12" t="s">
        <v>16</v>
      </c>
      <c r="B12" t="s">
        <v>17</v>
      </c>
      <c r="C12" t="s">
        <v>9</v>
      </c>
      <c r="D12">
        <v>2105</v>
      </c>
      <c r="E12">
        <v>2019</v>
      </c>
      <c r="F12">
        <v>1</v>
      </c>
      <c r="G12">
        <v>41655</v>
      </c>
      <c r="H12" s="1">
        <v>3</v>
      </c>
      <c r="I12">
        <v>57</v>
      </c>
      <c r="J12">
        <f>IF($H12=0,1,IF($I12&lt;=1,2,0))</f>
        <v>0</v>
      </c>
      <c r="K12">
        <v>0</v>
      </c>
      <c r="L12">
        <f>IF(AND($J12=0,$K12=0),0,1)</f>
        <v>0</v>
      </c>
    </row>
    <row r="13" spans="1:13" x14ac:dyDescent="0.2">
      <c r="A13" t="s">
        <v>16</v>
      </c>
      <c r="B13" t="s">
        <v>17</v>
      </c>
      <c r="C13" t="s">
        <v>9</v>
      </c>
      <c r="D13">
        <v>2311</v>
      </c>
      <c r="E13">
        <v>2019</v>
      </c>
      <c r="F13">
        <v>1</v>
      </c>
      <c r="G13">
        <v>41647</v>
      </c>
      <c r="H13" s="1">
        <v>3</v>
      </c>
      <c r="I13">
        <v>33</v>
      </c>
      <c r="J13">
        <f>IF($H13=0,1,IF($I13&lt;=1,2,0))</f>
        <v>0</v>
      </c>
      <c r="K13">
        <v>0</v>
      </c>
      <c r="L13">
        <f>IF(AND($J13=0,$K13=0),0,1)</f>
        <v>0</v>
      </c>
    </row>
    <row r="14" spans="1:13" x14ac:dyDescent="0.2">
      <c r="A14" t="s">
        <v>16</v>
      </c>
      <c r="B14" t="s">
        <v>17</v>
      </c>
      <c r="C14" t="s">
        <v>21</v>
      </c>
      <c r="D14">
        <v>2412</v>
      </c>
      <c r="E14">
        <v>2019</v>
      </c>
      <c r="F14">
        <v>1</v>
      </c>
      <c r="G14">
        <v>13396</v>
      </c>
      <c r="H14" s="1">
        <v>3</v>
      </c>
      <c r="I14">
        <v>47</v>
      </c>
      <c r="J14">
        <f>IF($H14=0,1,IF($I14&lt;=1,2,0))</f>
        <v>0</v>
      </c>
      <c r="K14">
        <v>0</v>
      </c>
      <c r="L14">
        <f>IF(AND($J14=0,$K14=0),0,1)</f>
        <v>0</v>
      </c>
    </row>
    <row r="15" spans="1:13" x14ac:dyDescent="0.2">
      <c r="A15" t="s">
        <v>16</v>
      </c>
      <c r="B15" t="s">
        <v>17</v>
      </c>
      <c r="C15" t="s">
        <v>9</v>
      </c>
      <c r="D15">
        <v>2427</v>
      </c>
      <c r="E15">
        <v>2019</v>
      </c>
      <c r="F15">
        <v>1</v>
      </c>
      <c r="G15">
        <v>41656</v>
      </c>
      <c r="H15" s="1">
        <v>4</v>
      </c>
      <c r="I15">
        <v>51</v>
      </c>
      <c r="J15">
        <f>IF($H15=0,1,IF($I15&lt;=1,2,0))</f>
        <v>0</v>
      </c>
      <c r="K15">
        <v>0</v>
      </c>
      <c r="L15">
        <f>IF(AND($J15=0,$K15=0),0,1)</f>
        <v>0</v>
      </c>
      <c r="M15" t="s">
        <v>22</v>
      </c>
    </row>
    <row r="16" spans="1:13" x14ac:dyDescent="0.2">
      <c r="A16" t="s">
        <v>16</v>
      </c>
      <c r="B16" t="s">
        <v>17</v>
      </c>
      <c r="C16" t="s">
        <v>9</v>
      </c>
      <c r="D16">
        <v>2601</v>
      </c>
      <c r="E16">
        <v>2019</v>
      </c>
      <c r="F16">
        <v>1</v>
      </c>
      <c r="G16">
        <v>7028</v>
      </c>
      <c r="H16" s="1">
        <v>3</v>
      </c>
      <c r="I16">
        <v>72</v>
      </c>
      <c r="J16">
        <f>IF($H16=0,1,IF($I16&lt;=1,2,0))</f>
        <v>0</v>
      </c>
      <c r="K16">
        <v>0</v>
      </c>
      <c r="L16">
        <f>IF(AND($J16=0,$K16=0),0,1)</f>
        <v>0</v>
      </c>
    </row>
    <row r="17" spans="1:13" x14ac:dyDescent="0.2">
      <c r="A17" t="s">
        <v>16</v>
      </c>
      <c r="B17" t="s">
        <v>17</v>
      </c>
      <c r="C17" t="s">
        <v>9</v>
      </c>
      <c r="D17">
        <v>3000</v>
      </c>
      <c r="E17">
        <v>2019</v>
      </c>
      <c r="F17">
        <v>1</v>
      </c>
      <c r="G17">
        <v>99099</v>
      </c>
      <c r="H17" s="1">
        <v>4</v>
      </c>
      <c r="I17">
        <v>12</v>
      </c>
      <c r="J17">
        <f>IF($H17=0,1,IF($I17&lt;=1,2,0))</f>
        <v>0</v>
      </c>
      <c r="K17">
        <v>0</v>
      </c>
      <c r="L17">
        <f>IF(AND($J17=0,$K17=0),0,1)</f>
        <v>0</v>
      </c>
      <c r="M17" t="s">
        <v>1846</v>
      </c>
    </row>
    <row r="18" spans="1:13" x14ac:dyDescent="0.2">
      <c r="A18" t="s">
        <v>16</v>
      </c>
      <c r="B18" t="s">
        <v>17</v>
      </c>
      <c r="C18" t="s">
        <v>7</v>
      </c>
      <c r="D18">
        <v>3002</v>
      </c>
      <c r="E18">
        <v>2019</v>
      </c>
      <c r="F18">
        <v>1</v>
      </c>
      <c r="G18">
        <v>99190</v>
      </c>
      <c r="H18" s="1">
        <v>3</v>
      </c>
      <c r="I18">
        <v>8</v>
      </c>
      <c r="J18">
        <f>IF($H18=0,1,IF($I18&lt;=1,2,0))</f>
        <v>0</v>
      </c>
      <c r="K18">
        <v>0</v>
      </c>
      <c r="L18">
        <f>IF(AND($J18=0,$K18=0),0,1)</f>
        <v>0</v>
      </c>
      <c r="M18" t="s">
        <v>23</v>
      </c>
    </row>
    <row r="19" spans="1:13" x14ac:dyDescent="0.2">
      <c r="A19" t="s">
        <v>16</v>
      </c>
      <c r="B19" t="s">
        <v>17</v>
      </c>
      <c r="C19" t="s">
        <v>9</v>
      </c>
      <c r="D19">
        <v>3100</v>
      </c>
      <c r="E19">
        <v>2019</v>
      </c>
      <c r="F19">
        <v>1</v>
      </c>
      <c r="G19">
        <v>41657</v>
      </c>
      <c r="H19" s="1">
        <v>4</v>
      </c>
      <c r="I19">
        <v>14</v>
      </c>
      <c r="J19">
        <f>IF($H19=0,1,IF($I19&lt;=1,2,0))</f>
        <v>0</v>
      </c>
      <c r="K19">
        <v>0</v>
      </c>
      <c r="L19">
        <f>IF(AND($J19=0,$K19=0),0,1)</f>
        <v>0</v>
      </c>
      <c r="M19" t="s">
        <v>24</v>
      </c>
    </row>
    <row r="20" spans="1:13" x14ac:dyDescent="0.2">
      <c r="A20" t="s">
        <v>16</v>
      </c>
      <c r="B20" t="s">
        <v>17</v>
      </c>
      <c r="C20" t="s">
        <v>9</v>
      </c>
      <c r="D20">
        <v>3314</v>
      </c>
      <c r="E20">
        <v>2019</v>
      </c>
      <c r="F20">
        <v>1</v>
      </c>
      <c r="G20">
        <v>41658</v>
      </c>
      <c r="H20" s="1">
        <v>4</v>
      </c>
      <c r="I20">
        <v>7</v>
      </c>
      <c r="J20">
        <f>IF($H20=0,1,IF($I20&lt;=1,2,0))</f>
        <v>0</v>
      </c>
      <c r="K20">
        <v>0</v>
      </c>
      <c r="L20">
        <f>IF(AND($J20=0,$K20=0),0,1)</f>
        <v>0</v>
      </c>
      <c r="M20" t="s">
        <v>25</v>
      </c>
    </row>
    <row r="21" spans="1:13" x14ac:dyDescent="0.2">
      <c r="A21" t="s">
        <v>16</v>
      </c>
      <c r="B21" t="s">
        <v>17</v>
      </c>
      <c r="C21" t="s">
        <v>9</v>
      </c>
      <c r="D21">
        <v>3450</v>
      </c>
      <c r="E21">
        <v>2019</v>
      </c>
      <c r="F21">
        <v>1</v>
      </c>
      <c r="G21">
        <v>41659</v>
      </c>
      <c r="H21" s="1">
        <v>4</v>
      </c>
      <c r="I21">
        <v>9</v>
      </c>
      <c r="J21">
        <f>IF($H21=0,1,IF($I21&lt;=1,2,0))</f>
        <v>0</v>
      </c>
      <c r="K21">
        <v>0</v>
      </c>
      <c r="L21">
        <f>IF(AND($J21=0,$K21=0),0,1)</f>
        <v>0</v>
      </c>
      <c r="M21" t="s">
        <v>26</v>
      </c>
    </row>
    <row r="22" spans="1:13" x14ac:dyDescent="0.2">
      <c r="A22" t="s">
        <v>16</v>
      </c>
      <c r="B22" t="s">
        <v>17</v>
      </c>
      <c r="C22" t="s">
        <v>9</v>
      </c>
      <c r="D22">
        <v>3451</v>
      </c>
      <c r="E22">
        <v>2019</v>
      </c>
      <c r="F22">
        <v>1</v>
      </c>
      <c r="G22">
        <v>18181</v>
      </c>
      <c r="H22" s="1">
        <v>4</v>
      </c>
      <c r="I22">
        <v>11</v>
      </c>
      <c r="J22">
        <f>IF($H22=0,1,IF($I22&lt;=1,2,0))</f>
        <v>0</v>
      </c>
      <c r="K22">
        <v>0</v>
      </c>
      <c r="L22">
        <f>IF(AND($J22=0,$K22=0),0,1)</f>
        <v>0</v>
      </c>
      <c r="M22" t="s">
        <v>27</v>
      </c>
    </row>
    <row r="23" spans="1:13" x14ac:dyDescent="0.2">
      <c r="A23" t="s">
        <v>16</v>
      </c>
      <c r="B23" t="s">
        <v>17</v>
      </c>
      <c r="C23" t="s">
        <v>9</v>
      </c>
      <c r="D23">
        <v>4044</v>
      </c>
      <c r="E23">
        <v>2019</v>
      </c>
      <c r="F23">
        <v>1</v>
      </c>
      <c r="G23">
        <v>10366</v>
      </c>
      <c r="H23" s="1">
        <v>3</v>
      </c>
      <c r="I23">
        <v>47</v>
      </c>
      <c r="J23">
        <f>IF($H23=0,1,IF($I23&lt;=1,2,0))</f>
        <v>0</v>
      </c>
      <c r="K23">
        <v>0</v>
      </c>
      <c r="L23">
        <f>IF(AND($J23=0,$K23=0),0,1)</f>
        <v>0</v>
      </c>
    </row>
    <row r="24" spans="1:13" x14ac:dyDescent="0.2">
      <c r="A24" t="s">
        <v>16</v>
      </c>
      <c r="B24" t="s">
        <v>17</v>
      </c>
      <c r="C24" t="s">
        <v>9</v>
      </c>
      <c r="D24">
        <v>4150</v>
      </c>
      <c r="E24">
        <v>2019</v>
      </c>
      <c r="F24">
        <v>1</v>
      </c>
      <c r="G24">
        <v>124</v>
      </c>
      <c r="H24" s="1">
        <v>3</v>
      </c>
      <c r="I24">
        <v>18</v>
      </c>
      <c r="J24">
        <f>IF($H24=0,1,IF($I24&lt;=1,2,0))</f>
        <v>0</v>
      </c>
      <c r="K24">
        <v>0</v>
      </c>
      <c r="L24">
        <f>IF(AND($J24=0,$K24=0),0,1)</f>
        <v>0</v>
      </c>
    </row>
    <row r="25" spans="1:13" x14ac:dyDescent="0.2">
      <c r="A25" t="s">
        <v>16</v>
      </c>
      <c r="B25" t="s">
        <v>17</v>
      </c>
      <c r="C25" t="s">
        <v>9</v>
      </c>
      <c r="D25">
        <v>4546</v>
      </c>
      <c r="E25">
        <v>2019</v>
      </c>
      <c r="F25">
        <v>1</v>
      </c>
      <c r="G25">
        <v>41652</v>
      </c>
      <c r="H25" s="1">
        <v>4</v>
      </c>
      <c r="I25">
        <v>14</v>
      </c>
      <c r="J25">
        <f>IF($H25=0,1,IF($I25&lt;=1,2,0))</f>
        <v>0</v>
      </c>
      <c r="K25">
        <v>0</v>
      </c>
      <c r="L25">
        <f>IF(AND($J25=0,$K25=0),0,1)</f>
        <v>0</v>
      </c>
      <c r="M25" t="s">
        <v>1848</v>
      </c>
    </row>
    <row r="26" spans="1:13" x14ac:dyDescent="0.2">
      <c r="A26" t="s">
        <v>16</v>
      </c>
      <c r="B26" t="s">
        <v>17</v>
      </c>
      <c r="C26" t="s">
        <v>9</v>
      </c>
      <c r="D26">
        <v>4749</v>
      </c>
      <c r="E26">
        <v>2019</v>
      </c>
      <c r="F26">
        <v>1</v>
      </c>
      <c r="G26">
        <v>14046</v>
      </c>
      <c r="H26" s="1">
        <v>4</v>
      </c>
      <c r="I26">
        <v>14</v>
      </c>
      <c r="J26">
        <f>IF($H26=0,1,IF($I26&lt;=1,2,0))</f>
        <v>0</v>
      </c>
      <c r="K26">
        <v>0</v>
      </c>
      <c r="L26">
        <f>IF(AND($J26=0,$K26=0),0,1)</f>
        <v>0</v>
      </c>
      <c r="M26" t="s">
        <v>1849</v>
      </c>
    </row>
    <row r="27" spans="1:13" x14ac:dyDescent="0.2">
      <c r="A27" t="s">
        <v>16</v>
      </c>
      <c r="B27" t="s">
        <v>17</v>
      </c>
      <c r="C27" t="s">
        <v>11</v>
      </c>
      <c r="D27">
        <v>5004</v>
      </c>
      <c r="E27">
        <v>2019</v>
      </c>
      <c r="F27">
        <v>2</v>
      </c>
      <c r="G27">
        <v>18786</v>
      </c>
      <c r="H27" s="1">
        <v>3</v>
      </c>
      <c r="I27">
        <v>6</v>
      </c>
      <c r="J27">
        <f>IF($H27=0,1,IF($I27&lt;=1,2,0))</f>
        <v>0</v>
      </c>
      <c r="K27">
        <v>0</v>
      </c>
      <c r="L27">
        <f>IF(AND($J27=0,$K27=0),0,1)</f>
        <v>0</v>
      </c>
    </row>
    <row r="28" spans="1:13" x14ac:dyDescent="0.2">
      <c r="A28" t="s">
        <v>16</v>
      </c>
      <c r="B28" t="s">
        <v>17</v>
      </c>
      <c r="C28" t="s">
        <v>11</v>
      </c>
      <c r="D28">
        <v>6501</v>
      </c>
      <c r="E28">
        <v>2019</v>
      </c>
      <c r="F28">
        <v>1</v>
      </c>
      <c r="G28">
        <v>14149</v>
      </c>
      <c r="H28" s="1">
        <v>3</v>
      </c>
      <c r="I28">
        <v>39</v>
      </c>
      <c r="J28">
        <f>IF($H28=0,1,IF($I28&lt;=1,2,0))</f>
        <v>0</v>
      </c>
      <c r="K28">
        <v>0</v>
      </c>
      <c r="L28">
        <f>IF(AND($J28=0,$K28=0),0,1)</f>
        <v>0</v>
      </c>
    </row>
    <row r="29" spans="1:13" x14ac:dyDescent="0.2">
      <c r="A29" t="s">
        <v>16</v>
      </c>
      <c r="B29" t="s">
        <v>17</v>
      </c>
      <c r="C29" t="s">
        <v>11</v>
      </c>
      <c r="D29">
        <v>6610</v>
      </c>
      <c r="E29">
        <v>2019</v>
      </c>
      <c r="F29">
        <v>1</v>
      </c>
      <c r="G29">
        <v>17314</v>
      </c>
      <c r="H29" s="1">
        <v>3</v>
      </c>
      <c r="I29">
        <v>7</v>
      </c>
      <c r="J29">
        <f>IF($H29=0,1,IF($I29&lt;=1,2,0))</f>
        <v>0</v>
      </c>
      <c r="K29">
        <v>0</v>
      </c>
      <c r="L29">
        <f>IF(AND($J29=0,$K29=0),0,1)</f>
        <v>0</v>
      </c>
      <c r="M29" t="s">
        <v>37</v>
      </c>
    </row>
    <row r="30" spans="1:13" x14ac:dyDescent="0.2">
      <c r="A30" t="s">
        <v>16</v>
      </c>
      <c r="B30" t="s">
        <v>17</v>
      </c>
      <c r="C30" t="s">
        <v>11</v>
      </c>
      <c r="D30">
        <v>8146</v>
      </c>
      <c r="E30">
        <v>2019</v>
      </c>
      <c r="F30">
        <v>1</v>
      </c>
      <c r="G30">
        <v>14021</v>
      </c>
      <c r="H30" s="1">
        <v>4</v>
      </c>
      <c r="I30">
        <v>6</v>
      </c>
      <c r="J30">
        <f>IF($H30=0,1,IF($I30&lt;=1,2,0))</f>
        <v>0</v>
      </c>
      <c r="K30">
        <v>0</v>
      </c>
      <c r="L30">
        <f>IF(AND($J30=0,$K30=0),0,1)</f>
        <v>0</v>
      </c>
      <c r="M30" t="s">
        <v>1850</v>
      </c>
    </row>
    <row r="31" spans="1:13" x14ac:dyDescent="0.2">
      <c r="A31" t="s">
        <v>16</v>
      </c>
      <c r="B31" t="s">
        <v>17</v>
      </c>
      <c r="C31" t="s">
        <v>11</v>
      </c>
      <c r="D31">
        <v>8206</v>
      </c>
      <c r="E31">
        <v>2019</v>
      </c>
      <c r="F31">
        <v>1</v>
      </c>
      <c r="G31">
        <v>16471</v>
      </c>
      <c r="H31" s="1">
        <v>4</v>
      </c>
      <c r="I31">
        <v>14</v>
      </c>
      <c r="J31">
        <f>IF($H31=0,1,IF($I31&lt;=1,2,0))</f>
        <v>0</v>
      </c>
      <c r="K31">
        <v>0</v>
      </c>
      <c r="L31">
        <f>IF(AND($J31=0,$K31=0),0,1)</f>
        <v>0</v>
      </c>
      <c r="M31" t="s">
        <v>1851</v>
      </c>
    </row>
    <row r="32" spans="1:13" x14ac:dyDescent="0.2">
      <c r="A32" t="s">
        <v>16</v>
      </c>
      <c r="B32" t="s">
        <v>17</v>
      </c>
      <c r="C32" t="s">
        <v>11</v>
      </c>
      <c r="D32">
        <v>8334</v>
      </c>
      <c r="E32">
        <v>2019</v>
      </c>
      <c r="F32">
        <v>1</v>
      </c>
      <c r="G32">
        <v>15484</v>
      </c>
      <c r="H32" s="1">
        <v>4</v>
      </c>
      <c r="I32">
        <v>8</v>
      </c>
      <c r="J32">
        <f>IF($H32=0,1,IF($I32&lt;=1,2,0))</f>
        <v>0</v>
      </c>
      <c r="K32">
        <v>0</v>
      </c>
      <c r="L32">
        <f>IF(AND($J32=0,$K32=0),0,1)</f>
        <v>0</v>
      </c>
      <c r="M32" t="s">
        <v>1852</v>
      </c>
    </row>
    <row r="33" spans="1:13" x14ac:dyDescent="0.2">
      <c r="A33" t="s">
        <v>16</v>
      </c>
      <c r="B33" t="s">
        <v>17</v>
      </c>
      <c r="C33" t="s">
        <v>11</v>
      </c>
      <c r="D33">
        <v>8349</v>
      </c>
      <c r="E33">
        <v>2019</v>
      </c>
      <c r="F33">
        <v>1</v>
      </c>
      <c r="G33">
        <v>10632</v>
      </c>
      <c r="H33" s="1">
        <v>4</v>
      </c>
      <c r="I33">
        <v>9</v>
      </c>
      <c r="J33">
        <f>IF($H33=0,1,IF($I33&lt;=1,2,0))</f>
        <v>0</v>
      </c>
      <c r="K33">
        <v>0</v>
      </c>
      <c r="L33">
        <f>IF(AND($J33=0,$K33=0),0,1)</f>
        <v>0</v>
      </c>
      <c r="M33" t="s">
        <v>1853</v>
      </c>
    </row>
    <row r="34" spans="1:13" x14ac:dyDescent="0.2">
      <c r="A34" t="s">
        <v>16</v>
      </c>
      <c r="B34" t="s">
        <v>17</v>
      </c>
      <c r="C34" t="s">
        <v>11</v>
      </c>
      <c r="D34">
        <v>8351</v>
      </c>
      <c r="E34">
        <v>2019</v>
      </c>
      <c r="F34">
        <v>1</v>
      </c>
      <c r="G34">
        <v>10630</v>
      </c>
      <c r="H34" s="1">
        <v>4</v>
      </c>
      <c r="I34">
        <v>9</v>
      </c>
      <c r="J34">
        <f>IF($H34=0,1,IF($I34&lt;=1,2,0))</f>
        <v>0</v>
      </c>
      <c r="K34">
        <v>0</v>
      </c>
      <c r="L34">
        <f>IF(AND($J34=0,$K34=0),0,1)</f>
        <v>0</v>
      </c>
      <c r="M34" t="s">
        <v>1854</v>
      </c>
    </row>
    <row r="35" spans="1:13" x14ac:dyDescent="0.2">
      <c r="A35" t="s">
        <v>16</v>
      </c>
      <c r="B35" t="s">
        <v>17</v>
      </c>
      <c r="C35" t="s">
        <v>34</v>
      </c>
      <c r="D35">
        <v>8421</v>
      </c>
      <c r="E35">
        <v>2019</v>
      </c>
      <c r="F35">
        <v>1</v>
      </c>
      <c r="G35">
        <v>41654</v>
      </c>
      <c r="H35" s="1">
        <v>4</v>
      </c>
      <c r="I35">
        <v>7</v>
      </c>
      <c r="J35">
        <f>IF($H35=0,1,IF($I35&lt;=1,2,0))</f>
        <v>0</v>
      </c>
      <c r="K35">
        <v>0</v>
      </c>
      <c r="L35">
        <f>IF(AND($J35=0,$K35=0),0,1)</f>
        <v>0</v>
      </c>
      <c r="M35" t="s">
        <v>1855</v>
      </c>
    </row>
    <row r="36" spans="1:13" x14ac:dyDescent="0.2">
      <c r="A36" t="s">
        <v>16</v>
      </c>
      <c r="B36" t="s">
        <v>17</v>
      </c>
      <c r="C36" t="s">
        <v>11</v>
      </c>
      <c r="D36">
        <v>8491</v>
      </c>
      <c r="E36">
        <v>2019</v>
      </c>
      <c r="F36">
        <v>1</v>
      </c>
      <c r="G36">
        <v>10631</v>
      </c>
      <c r="H36" s="1">
        <v>4</v>
      </c>
      <c r="I36">
        <v>3</v>
      </c>
      <c r="J36">
        <f>IF($H36=0,1,IF($I36&lt;=1,2,0))</f>
        <v>0</v>
      </c>
      <c r="K36">
        <v>0</v>
      </c>
      <c r="L36">
        <f>IF(AND($J36=0,$K36=0),0,1)</f>
        <v>0</v>
      </c>
      <c r="M36" t="s">
        <v>1856</v>
      </c>
    </row>
    <row r="37" spans="1:13" x14ac:dyDescent="0.2">
      <c r="A37" t="s">
        <v>16</v>
      </c>
      <c r="B37" t="s">
        <v>17</v>
      </c>
      <c r="C37" t="s">
        <v>11</v>
      </c>
      <c r="D37">
        <v>8492</v>
      </c>
      <c r="E37">
        <v>2019</v>
      </c>
      <c r="F37">
        <v>1</v>
      </c>
      <c r="G37">
        <v>16212</v>
      </c>
      <c r="H37" s="1">
        <v>4</v>
      </c>
      <c r="I37">
        <v>13</v>
      </c>
      <c r="J37">
        <f>IF($H37=0,1,IF($I37&lt;=1,2,0))</f>
        <v>0</v>
      </c>
      <c r="K37">
        <v>0</v>
      </c>
      <c r="L37">
        <f>IF(AND($J37=0,$K37=0),0,1)</f>
        <v>0</v>
      </c>
      <c r="M37" t="s">
        <v>1857</v>
      </c>
    </row>
    <row r="38" spans="1:13" x14ac:dyDescent="0.2">
      <c r="A38" t="s">
        <v>16</v>
      </c>
      <c r="B38" t="s">
        <v>17</v>
      </c>
      <c r="C38" t="s">
        <v>11</v>
      </c>
      <c r="D38">
        <v>8493</v>
      </c>
      <c r="E38">
        <v>2019</v>
      </c>
      <c r="F38">
        <v>1</v>
      </c>
      <c r="G38">
        <v>14048</v>
      </c>
      <c r="H38" s="1">
        <v>4</v>
      </c>
      <c r="I38">
        <v>11</v>
      </c>
      <c r="J38">
        <f>IF($H38=0,1,IF($I38&lt;=1,2,0))</f>
        <v>0</v>
      </c>
      <c r="K38">
        <v>0</v>
      </c>
      <c r="L38">
        <f>IF(AND($J38=0,$K38=0),0,1)</f>
        <v>0</v>
      </c>
      <c r="M38" t="s">
        <v>1858</v>
      </c>
    </row>
    <row r="39" spans="1:13" x14ac:dyDescent="0.2">
      <c r="A39" t="s">
        <v>16</v>
      </c>
      <c r="B39" t="s">
        <v>17</v>
      </c>
      <c r="C39" t="s">
        <v>11</v>
      </c>
      <c r="D39">
        <v>8639</v>
      </c>
      <c r="E39">
        <v>2019</v>
      </c>
      <c r="F39">
        <v>1</v>
      </c>
      <c r="G39">
        <v>15485</v>
      </c>
      <c r="H39" s="1">
        <v>4</v>
      </c>
      <c r="I39">
        <v>7</v>
      </c>
      <c r="J39">
        <f>IF($H39=0,1,IF($I39&lt;=1,2,0))</f>
        <v>0</v>
      </c>
      <c r="K39">
        <v>0</v>
      </c>
      <c r="L39">
        <f>IF(AND($J39=0,$K39=0),0,1)</f>
        <v>0</v>
      </c>
      <c r="M39" t="s">
        <v>1859</v>
      </c>
    </row>
    <row r="40" spans="1:13" x14ac:dyDescent="0.2">
      <c r="A40" t="s">
        <v>16</v>
      </c>
      <c r="B40" t="s">
        <v>17</v>
      </c>
      <c r="C40" t="s">
        <v>11</v>
      </c>
      <c r="D40">
        <v>8642</v>
      </c>
      <c r="E40">
        <v>2019</v>
      </c>
      <c r="F40">
        <v>1</v>
      </c>
      <c r="G40">
        <v>17315</v>
      </c>
      <c r="H40" s="1">
        <v>4</v>
      </c>
      <c r="I40">
        <v>4</v>
      </c>
      <c r="J40">
        <f>IF($H40=0,1,IF($I40&lt;=1,2,0))</f>
        <v>0</v>
      </c>
      <c r="K40">
        <v>0</v>
      </c>
      <c r="L40">
        <f>IF(AND($J40=0,$K40=0),0,1)</f>
        <v>0</v>
      </c>
      <c r="M40" t="s">
        <v>39</v>
      </c>
    </row>
    <row r="41" spans="1:13" x14ac:dyDescent="0.2">
      <c r="A41" t="s">
        <v>16</v>
      </c>
      <c r="B41" t="s">
        <v>17</v>
      </c>
      <c r="C41" t="s">
        <v>11</v>
      </c>
      <c r="D41">
        <v>8802</v>
      </c>
      <c r="E41">
        <v>2019</v>
      </c>
      <c r="F41">
        <v>1</v>
      </c>
      <c r="G41">
        <v>14047</v>
      </c>
      <c r="H41" s="1">
        <v>4</v>
      </c>
      <c r="I41">
        <v>7</v>
      </c>
      <c r="J41">
        <f>IF($H41=0,1,IF($I41&lt;=1,2,0))</f>
        <v>0</v>
      </c>
      <c r="K41">
        <v>0</v>
      </c>
      <c r="L41">
        <f>IF(AND($J41=0,$K41=0),0,1)</f>
        <v>0</v>
      </c>
      <c r="M41" t="s">
        <v>1860</v>
      </c>
    </row>
    <row r="42" spans="1:13" x14ac:dyDescent="0.2">
      <c r="A42" t="s">
        <v>16</v>
      </c>
      <c r="B42" t="s">
        <v>17</v>
      </c>
      <c r="C42" t="s">
        <v>11</v>
      </c>
      <c r="D42">
        <v>8903</v>
      </c>
      <c r="E42">
        <v>2019</v>
      </c>
      <c r="F42">
        <v>1</v>
      </c>
      <c r="G42">
        <v>41653</v>
      </c>
      <c r="H42" s="1">
        <v>4</v>
      </c>
      <c r="I42">
        <v>10</v>
      </c>
      <c r="J42">
        <f>IF($H42=0,1,IF($I42&lt;=1,2,0))</f>
        <v>0</v>
      </c>
      <c r="K42">
        <v>0</v>
      </c>
      <c r="L42">
        <f>IF(AND($J42=0,$K42=0),0,1)</f>
        <v>0</v>
      </c>
      <c r="M42" t="s">
        <v>1861</v>
      </c>
    </row>
    <row r="43" spans="1:13" x14ac:dyDescent="0.2">
      <c r="A43" t="s">
        <v>40</v>
      </c>
      <c r="B43" t="s">
        <v>17</v>
      </c>
      <c r="C43" t="s">
        <v>21</v>
      </c>
      <c r="D43">
        <v>3321</v>
      </c>
      <c r="E43">
        <v>2019</v>
      </c>
      <c r="F43">
        <v>3</v>
      </c>
      <c r="G43">
        <v>99506</v>
      </c>
      <c r="H43" s="1">
        <v>3</v>
      </c>
      <c r="I43">
        <v>22</v>
      </c>
      <c r="J43">
        <f>IF($H43=0,1,IF($I43&lt;=1,2,0))</f>
        <v>0</v>
      </c>
      <c r="K43">
        <v>0</v>
      </c>
      <c r="L43">
        <f>IF(AND($J43=0,$K43=0),0,1)</f>
        <v>0</v>
      </c>
    </row>
    <row r="44" spans="1:13" x14ac:dyDescent="0.2">
      <c r="A44" t="s">
        <v>40</v>
      </c>
      <c r="B44" t="s">
        <v>17</v>
      </c>
      <c r="C44" t="s">
        <v>21</v>
      </c>
      <c r="D44">
        <v>3321</v>
      </c>
      <c r="E44">
        <v>2019</v>
      </c>
      <c r="F44">
        <v>1</v>
      </c>
      <c r="G44">
        <v>99508</v>
      </c>
      <c r="H44" s="1">
        <v>3</v>
      </c>
      <c r="I44">
        <v>20</v>
      </c>
      <c r="J44">
        <f>IF($H44=0,1,IF($I44&lt;=1,2,0))</f>
        <v>0</v>
      </c>
      <c r="K44">
        <v>0</v>
      </c>
      <c r="L44">
        <f>IF(AND($J44=0,$K44=0),0,1)</f>
        <v>0</v>
      </c>
      <c r="M44" t="s">
        <v>41</v>
      </c>
    </row>
    <row r="45" spans="1:13" x14ac:dyDescent="0.2">
      <c r="A45" t="s">
        <v>40</v>
      </c>
      <c r="B45" t="s">
        <v>17</v>
      </c>
      <c r="C45" t="s">
        <v>21</v>
      </c>
      <c r="D45">
        <v>3321</v>
      </c>
      <c r="E45">
        <v>2019</v>
      </c>
      <c r="F45">
        <v>2</v>
      </c>
      <c r="G45">
        <v>99507</v>
      </c>
      <c r="H45" s="1">
        <v>3</v>
      </c>
      <c r="I45">
        <v>19</v>
      </c>
      <c r="J45">
        <f>IF($H45=0,1,IF($I45&lt;=1,2,0))</f>
        <v>0</v>
      </c>
      <c r="K45">
        <v>0</v>
      </c>
      <c r="L45">
        <f>IF(AND($J45=0,$K45=0),0,1)</f>
        <v>0</v>
      </c>
    </row>
    <row r="46" spans="1:13" x14ac:dyDescent="0.2">
      <c r="A46" t="s">
        <v>42</v>
      </c>
      <c r="B46" t="s">
        <v>17</v>
      </c>
      <c r="C46" t="s">
        <v>21</v>
      </c>
      <c r="D46">
        <v>1399</v>
      </c>
      <c r="E46">
        <v>2019</v>
      </c>
      <c r="F46">
        <v>1</v>
      </c>
      <c r="G46">
        <v>41146</v>
      </c>
      <c r="H46" s="1">
        <v>4</v>
      </c>
      <c r="I46">
        <v>16</v>
      </c>
      <c r="J46">
        <f>IF($H46=0,1,IF($I46&lt;=1,2,0))</f>
        <v>0</v>
      </c>
      <c r="K46">
        <v>0</v>
      </c>
      <c r="L46">
        <f>IF(AND($J46=0,$K46=0),0,1)</f>
        <v>0</v>
      </c>
    </row>
    <row r="47" spans="1:13" x14ac:dyDescent="0.2">
      <c r="A47" t="s">
        <v>42</v>
      </c>
      <c r="B47" t="s">
        <v>17</v>
      </c>
      <c r="C47" t="s">
        <v>21</v>
      </c>
      <c r="D47">
        <v>1399</v>
      </c>
      <c r="E47">
        <v>2019</v>
      </c>
      <c r="F47">
        <v>3</v>
      </c>
      <c r="G47">
        <v>109</v>
      </c>
      <c r="H47" s="1">
        <v>4</v>
      </c>
      <c r="I47">
        <v>16</v>
      </c>
      <c r="J47">
        <f>IF($H47=0,1,IF($I47&lt;=1,2,0))</f>
        <v>0</v>
      </c>
      <c r="K47">
        <v>0</v>
      </c>
      <c r="L47">
        <f>IF(AND($J47=0,$K47=0),0,1)</f>
        <v>0</v>
      </c>
    </row>
    <row r="48" spans="1:13" x14ac:dyDescent="0.2">
      <c r="A48" t="s">
        <v>42</v>
      </c>
      <c r="B48" t="s">
        <v>17</v>
      </c>
      <c r="C48" t="s">
        <v>21</v>
      </c>
      <c r="D48">
        <v>1399</v>
      </c>
      <c r="E48">
        <v>2019</v>
      </c>
      <c r="F48">
        <v>2</v>
      </c>
      <c r="G48">
        <v>108</v>
      </c>
      <c r="H48" s="1">
        <v>4</v>
      </c>
      <c r="I48">
        <v>12</v>
      </c>
      <c r="J48">
        <f>IF($H48=0,1,IF($I48&lt;=1,2,0))</f>
        <v>0</v>
      </c>
      <c r="K48">
        <v>0</v>
      </c>
      <c r="L48">
        <f>IF(AND($J48=0,$K48=0),0,1)</f>
        <v>0</v>
      </c>
    </row>
    <row r="49" spans="1:13" x14ac:dyDescent="0.2">
      <c r="A49" t="s">
        <v>42</v>
      </c>
      <c r="B49" t="s">
        <v>17</v>
      </c>
      <c r="C49" t="s">
        <v>21</v>
      </c>
      <c r="D49">
        <v>1400</v>
      </c>
      <c r="E49">
        <v>2019</v>
      </c>
      <c r="F49">
        <v>3</v>
      </c>
      <c r="G49">
        <v>44433</v>
      </c>
      <c r="H49" s="1">
        <v>4</v>
      </c>
      <c r="I49">
        <v>22</v>
      </c>
      <c r="J49">
        <f>IF($H49=0,1,IF($I49&lt;=1,2,0))</f>
        <v>0</v>
      </c>
      <c r="K49">
        <v>0</v>
      </c>
      <c r="L49">
        <f>IF(AND($J49=0,$K49=0),0,1)</f>
        <v>0</v>
      </c>
    </row>
    <row r="50" spans="1:13" x14ac:dyDescent="0.2">
      <c r="A50" t="s">
        <v>42</v>
      </c>
      <c r="B50" t="s">
        <v>17</v>
      </c>
      <c r="C50" t="s">
        <v>21</v>
      </c>
      <c r="D50">
        <v>1400</v>
      </c>
      <c r="E50">
        <v>2019</v>
      </c>
      <c r="F50">
        <v>4</v>
      </c>
      <c r="G50">
        <v>10216</v>
      </c>
      <c r="H50" s="1">
        <v>4</v>
      </c>
      <c r="I50">
        <v>22</v>
      </c>
      <c r="J50">
        <f>IF($H50=0,1,IF($I50&lt;=1,2,0))</f>
        <v>0</v>
      </c>
      <c r="K50">
        <v>0</v>
      </c>
      <c r="L50">
        <f>IF(AND($J50=0,$K50=0),0,1)</f>
        <v>0</v>
      </c>
    </row>
    <row r="51" spans="1:13" x14ac:dyDescent="0.2">
      <c r="A51" t="s">
        <v>42</v>
      </c>
      <c r="B51" t="s">
        <v>17</v>
      </c>
      <c r="C51" t="s">
        <v>21</v>
      </c>
      <c r="D51">
        <v>1400</v>
      </c>
      <c r="E51">
        <v>2019</v>
      </c>
      <c r="F51">
        <v>1</v>
      </c>
      <c r="G51">
        <v>44432</v>
      </c>
      <c r="H51" s="1">
        <v>4</v>
      </c>
      <c r="I51">
        <v>20</v>
      </c>
      <c r="J51">
        <f>IF($H51=0,1,IF($I51&lt;=1,2,0))</f>
        <v>0</v>
      </c>
      <c r="K51">
        <v>0</v>
      </c>
      <c r="L51">
        <f>IF(AND($J51=0,$K51=0),0,1)</f>
        <v>0</v>
      </c>
    </row>
    <row r="52" spans="1:13" x14ac:dyDescent="0.2">
      <c r="A52" t="s">
        <v>42</v>
      </c>
      <c r="B52" t="s">
        <v>17</v>
      </c>
      <c r="C52" t="s">
        <v>21</v>
      </c>
      <c r="D52">
        <v>1400</v>
      </c>
      <c r="E52">
        <v>2019</v>
      </c>
      <c r="F52">
        <v>2</v>
      </c>
      <c r="G52">
        <v>7112</v>
      </c>
      <c r="H52" s="1">
        <v>4</v>
      </c>
      <c r="I52">
        <v>14</v>
      </c>
      <c r="J52">
        <f>IF($H52=0,1,IF($I52&lt;=1,2,0))</f>
        <v>0</v>
      </c>
      <c r="K52">
        <v>0</v>
      </c>
      <c r="L52">
        <f>IF(AND($J52=0,$K52=0),0,1)</f>
        <v>0</v>
      </c>
    </row>
    <row r="53" spans="1:13" x14ac:dyDescent="0.2">
      <c r="A53" t="s">
        <v>42</v>
      </c>
      <c r="B53" t="s">
        <v>17</v>
      </c>
      <c r="C53" t="s">
        <v>21</v>
      </c>
      <c r="D53">
        <v>2604</v>
      </c>
      <c r="E53">
        <v>2019</v>
      </c>
      <c r="F53">
        <v>2</v>
      </c>
      <c r="G53">
        <v>99178</v>
      </c>
      <c r="H53" s="1">
        <v>3</v>
      </c>
      <c r="I53">
        <v>21</v>
      </c>
      <c r="J53">
        <f>IF($H53=0,1,IF($I53&lt;=1,2,0))</f>
        <v>0</v>
      </c>
      <c r="K53">
        <v>0</v>
      </c>
      <c r="L53">
        <f>IF(AND($J53=0,$K53=0),0,1)</f>
        <v>0</v>
      </c>
    </row>
    <row r="54" spans="1:13" x14ac:dyDescent="0.2">
      <c r="A54" t="s">
        <v>42</v>
      </c>
      <c r="B54" t="s">
        <v>17</v>
      </c>
      <c r="C54" t="s">
        <v>21</v>
      </c>
      <c r="D54">
        <v>2604</v>
      </c>
      <c r="E54">
        <v>2019</v>
      </c>
      <c r="F54">
        <v>3</v>
      </c>
      <c r="G54">
        <v>16183</v>
      </c>
      <c r="H54" s="1">
        <v>3</v>
      </c>
      <c r="I54">
        <v>19</v>
      </c>
      <c r="J54">
        <f>IF($H54=0,1,IF($I54&lt;=1,2,0))</f>
        <v>0</v>
      </c>
      <c r="K54">
        <v>0</v>
      </c>
      <c r="L54">
        <f>IF(AND($J54=0,$K54=0),0,1)</f>
        <v>0</v>
      </c>
    </row>
    <row r="55" spans="1:13" x14ac:dyDescent="0.2">
      <c r="A55" t="s">
        <v>42</v>
      </c>
      <c r="B55" t="s">
        <v>17</v>
      </c>
      <c r="C55" t="s">
        <v>21</v>
      </c>
      <c r="D55">
        <v>2901</v>
      </c>
      <c r="E55">
        <v>2019</v>
      </c>
      <c r="F55">
        <v>1</v>
      </c>
      <c r="G55">
        <v>99094</v>
      </c>
      <c r="H55" s="1">
        <v>4</v>
      </c>
      <c r="I55">
        <v>58</v>
      </c>
      <c r="J55">
        <f>IF($H55=0,1,IF($I55&lt;=1,2,0))</f>
        <v>0</v>
      </c>
      <c r="K55">
        <v>0</v>
      </c>
      <c r="L55">
        <f>IF(AND($J55=0,$K55=0),0,1)</f>
        <v>0</v>
      </c>
      <c r="M55" t="s">
        <v>43</v>
      </c>
    </row>
    <row r="56" spans="1:13" x14ac:dyDescent="0.2">
      <c r="A56" t="s">
        <v>44</v>
      </c>
      <c r="B56" t="s">
        <v>6</v>
      </c>
      <c r="C56" t="s">
        <v>9</v>
      </c>
      <c r="D56">
        <v>3920</v>
      </c>
      <c r="E56">
        <v>2019</v>
      </c>
      <c r="F56">
        <v>1</v>
      </c>
      <c r="G56">
        <v>10312</v>
      </c>
      <c r="H56" s="1">
        <v>1</v>
      </c>
      <c r="I56">
        <v>8</v>
      </c>
      <c r="J56">
        <f>IF($H56=0,1,IF($I56&lt;=1,2,0))</f>
        <v>0</v>
      </c>
      <c r="K56">
        <v>0</v>
      </c>
      <c r="L56">
        <f>IF(AND($J56=0,$K56=0),0,1)</f>
        <v>0</v>
      </c>
      <c r="M56" t="s">
        <v>46</v>
      </c>
    </row>
    <row r="57" spans="1:13" x14ac:dyDescent="0.2">
      <c r="A57" t="s">
        <v>44</v>
      </c>
      <c r="B57" t="s">
        <v>6</v>
      </c>
      <c r="C57" t="s">
        <v>9</v>
      </c>
      <c r="D57">
        <v>3930</v>
      </c>
      <c r="E57">
        <v>2019</v>
      </c>
      <c r="F57">
        <v>2</v>
      </c>
      <c r="G57">
        <v>62736</v>
      </c>
      <c r="H57" s="1">
        <v>4</v>
      </c>
      <c r="I57">
        <v>15</v>
      </c>
      <c r="J57">
        <f>IF($H57=0,1,IF($I57&lt;=1,2,0))</f>
        <v>0</v>
      </c>
      <c r="K57">
        <v>0</v>
      </c>
      <c r="L57">
        <f>IF(AND($J57=0,$K57=0),0,1)</f>
        <v>0</v>
      </c>
      <c r="M57" t="s">
        <v>48</v>
      </c>
    </row>
    <row r="58" spans="1:13" x14ac:dyDescent="0.2">
      <c r="A58" t="s">
        <v>44</v>
      </c>
      <c r="B58" t="s">
        <v>6</v>
      </c>
      <c r="C58" t="s">
        <v>9</v>
      </c>
      <c r="D58">
        <v>3930</v>
      </c>
      <c r="E58">
        <v>2019</v>
      </c>
      <c r="F58">
        <v>4</v>
      </c>
      <c r="G58">
        <v>62737</v>
      </c>
      <c r="H58" s="1">
        <v>4</v>
      </c>
      <c r="I58">
        <v>13</v>
      </c>
      <c r="J58">
        <f>IF($H58=0,1,IF($I58&lt;=1,2,0))</f>
        <v>0</v>
      </c>
      <c r="K58">
        <v>0</v>
      </c>
      <c r="L58">
        <f>IF(AND($J58=0,$K58=0),0,1)</f>
        <v>0</v>
      </c>
      <c r="M58" t="s">
        <v>1862</v>
      </c>
    </row>
    <row r="59" spans="1:13" x14ac:dyDescent="0.2">
      <c r="A59" t="s">
        <v>44</v>
      </c>
      <c r="B59" t="s">
        <v>6</v>
      </c>
      <c r="C59" t="s">
        <v>9</v>
      </c>
      <c r="D59">
        <v>3930</v>
      </c>
      <c r="E59">
        <v>2019</v>
      </c>
      <c r="F59">
        <v>5</v>
      </c>
      <c r="G59">
        <v>62738</v>
      </c>
      <c r="H59" s="1">
        <v>4</v>
      </c>
      <c r="I59">
        <v>13</v>
      </c>
      <c r="J59">
        <f>IF($H59=0,1,IF($I59&lt;=1,2,0))</f>
        <v>0</v>
      </c>
      <c r="K59">
        <v>0</v>
      </c>
      <c r="L59">
        <f>IF(AND($J59=0,$K59=0),0,1)</f>
        <v>0</v>
      </c>
      <c r="M59" t="s">
        <v>47</v>
      </c>
    </row>
    <row r="60" spans="1:13" x14ac:dyDescent="0.2">
      <c r="A60" t="s">
        <v>44</v>
      </c>
      <c r="B60" t="s">
        <v>6</v>
      </c>
      <c r="C60" t="s">
        <v>9</v>
      </c>
      <c r="D60">
        <v>3930</v>
      </c>
      <c r="E60">
        <v>2019</v>
      </c>
      <c r="F60">
        <v>8</v>
      </c>
      <c r="G60">
        <v>10176</v>
      </c>
      <c r="H60" s="1">
        <v>4</v>
      </c>
      <c r="I60">
        <v>11</v>
      </c>
      <c r="J60">
        <f>IF($H60=0,1,IF($I60&lt;=1,2,0))</f>
        <v>0</v>
      </c>
      <c r="K60">
        <v>0</v>
      </c>
      <c r="L60">
        <f>IF(AND($J60=0,$K60=0),0,1)</f>
        <v>0</v>
      </c>
      <c r="M60" t="s">
        <v>49</v>
      </c>
    </row>
    <row r="61" spans="1:13" x14ac:dyDescent="0.2">
      <c r="A61" t="s">
        <v>44</v>
      </c>
      <c r="B61" t="s">
        <v>6</v>
      </c>
      <c r="C61" t="s">
        <v>9</v>
      </c>
      <c r="D61">
        <v>3930</v>
      </c>
      <c r="E61">
        <v>2019</v>
      </c>
      <c r="F61">
        <v>1</v>
      </c>
      <c r="G61">
        <v>62741</v>
      </c>
      <c r="H61" s="1">
        <v>4</v>
      </c>
      <c r="I61">
        <v>10</v>
      </c>
      <c r="J61">
        <f>IF($H61=0,1,IF($I61&lt;=1,2,0))</f>
        <v>0</v>
      </c>
      <c r="K61">
        <v>0</v>
      </c>
      <c r="L61">
        <f>IF(AND($J61=0,$K61=0),0,1)</f>
        <v>0</v>
      </c>
      <c r="M61" t="s">
        <v>47</v>
      </c>
    </row>
    <row r="62" spans="1:13" x14ac:dyDescent="0.2">
      <c r="A62" t="s">
        <v>44</v>
      </c>
      <c r="B62" t="s">
        <v>6</v>
      </c>
      <c r="C62" t="s">
        <v>9</v>
      </c>
      <c r="D62">
        <v>3930</v>
      </c>
      <c r="E62">
        <v>2019</v>
      </c>
      <c r="F62">
        <v>7</v>
      </c>
      <c r="G62">
        <v>10469</v>
      </c>
      <c r="H62" s="1">
        <v>4</v>
      </c>
      <c r="I62">
        <v>10</v>
      </c>
      <c r="J62">
        <f>IF($H62=0,1,IF($I62&lt;=1,2,0))</f>
        <v>0</v>
      </c>
      <c r="K62">
        <v>0</v>
      </c>
      <c r="L62">
        <f>IF(AND($J62=0,$K62=0),0,1)</f>
        <v>0</v>
      </c>
      <c r="M62" t="s">
        <v>47</v>
      </c>
    </row>
    <row r="63" spans="1:13" x14ac:dyDescent="0.2">
      <c r="A63" t="s">
        <v>44</v>
      </c>
      <c r="B63" t="s">
        <v>6</v>
      </c>
      <c r="C63" t="s">
        <v>9</v>
      </c>
      <c r="D63">
        <v>3930</v>
      </c>
      <c r="E63">
        <v>2019</v>
      </c>
      <c r="F63">
        <v>9</v>
      </c>
      <c r="G63">
        <v>10582</v>
      </c>
      <c r="H63" s="1">
        <v>4</v>
      </c>
      <c r="I63">
        <v>8</v>
      </c>
      <c r="J63">
        <f>IF($H63=0,1,IF($I63&lt;=1,2,0))</f>
        <v>0</v>
      </c>
      <c r="K63">
        <v>0</v>
      </c>
      <c r="L63">
        <f>IF(AND($J63=0,$K63=0),0,1)</f>
        <v>0</v>
      </c>
      <c r="M63" t="s">
        <v>48</v>
      </c>
    </row>
    <row r="64" spans="1:13" x14ac:dyDescent="0.2">
      <c r="A64" t="s">
        <v>44</v>
      </c>
      <c r="B64" t="s">
        <v>6</v>
      </c>
      <c r="C64" t="s">
        <v>9</v>
      </c>
      <c r="D64">
        <v>3930</v>
      </c>
      <c r="E64">
        <v>2019</v>
      </c>
      <c r="F64">
        <v>3</v>
      </c>
      <c r="G64">
        <v>62739</v>
      </c>
      <c r="H64" s="1">
        <v>4</v>
      </c>
      <c r="I64">
        <v>7</v>
      </c>
      <c r="J64">
        <f>IF($H64=0,1,IF($I64&lt;=1,2,0))</f>
        <v>0</v>
      </c>
      <c r="K64">
        <v>0</v>
      </c>
      <c r="L64">
        <f>IF(AND($J64=0,$K64=0),0,1)</f>
        <v>0</v>
      </c>
      <c r="M64" t="s">
        <v>48</v>
      </c>
    </row>
    <row r="65" spans="1:13" x14ac:dyDescent="0.2">
      <c r="A65" t="s">
        <v>44</v>
      </c>
      <c r="B65" t="s">
        <v>6</v>
      </c>
      <c r="C65" t="s">
        <v>9</v>
      </c>
      <c r="D65">
        <v>3930</v>
      </c>
      <c r="E65">
        <v>2019</v>
      </c>
      <c r="F65">
        <v>6</v>
      </c>
      <c r="G65">
        <v>62740</v>
      </c>
      <c r="H65" s="1">
        <v>4</v>
      </c>
      <c r="I65">
        <v>7</v>
      </c>
      <c r="J65">
        <f>IF($H65=0,1,IF($I65&lt;=1,2,0))</f>
        <v>0</v>
      </c>
      <c r="K65">
        <v>0</v>
      </c>
      <c r="L65">
        <f>IF(AND($J65=0,$K65=0),0,1)</f>
        <v>0</v>
      </c>
      <c r="M65" t="s">
        <v>47</v>
      </c>
    </row>
    <row r="66" spans="1:13" x14ac:dyDescent="0.2">
      <c r="A66" t="s">
        <v>50</v>
      </c>
      <c r="B66" t="s">
        <v>6</v>
      </c>
      <c r="C66" t="s">
        <v>21</v>
      </c>
      <c r="D66">
        <v>3996</v>
      </c>
      <c r="E66">
        <v>2019</v>
      </c>
      <c r="F66">
        <v>1</v>
      </c>
      <c r="G66">
        <v>48716</v>
      </c>
      <c r="H66" s="1">
        <v>3</v>
      </c>
      <c r="I66">
        <v>5</v>
      </c>
      <c r="J66">
        <f>IF($H66=0,1,IF($I66&lt;=1,2,0))</f>
        <v>0</v>
      </c>
      <c r="K66">
        <v>0</v>
      </c>
      <c r="L66">
        <f>IF(AND($J66=0,$K66=0),0,1)</f>
        <v>0</v>
      </c>
    </row>
    <row r="67" spans="1:13" x14ac:dyDescent="0.2">
      <c r="A67" t="s">
        <v>51</v>
      </c>
      <c r="B67" t="s">
        <v>6</v>
      </c>
      <c r="C67" t="s">
        <v>9</v>
      </c>
      <c r="D67">
        <v>4001</v>
      </c>
      <c r="E67">
        <v>2019</v>
      </c>
      <c r="F67">
        <v>1</v>
      </c>
      <c r="G67">
        <v>45273</v>
      </c>
      <c r="H67" s="1">
        <v>3</v>
      </c>
      <c r="I67">
        <v>61</v>
      </c>
      <c r="J67">
        <f>IF($H67=0,1,IF($I67&lt;=1,2,0))</f>
        <v>0</v>
      </c>
      <c r="K67">
        <v>0</v>
      </c>
      <c r="L67">
        <f>IF(AND($J67=0,$K67=0),0,1)</f>
        <v>0</v>
      </c>
    </row>
    <row r="68" spans="1:13" x14ac:dyDescent="0.2">
      <c r="A68" t="s">
        <v>52</v>
      </c>
      <c r="B68" t="s">
        <v>6</v>
      </c>
      <c r="C68" t="s">
        <v>11</v>
      </c>
      <c r="D68">
        <v>6406</v>
      </c>
      <c r="E68">
        <v>2019</v>
      </c>
      <c r="F68">
        <v>1</v>
      </c>
      <c r="G68">
        <v>45159</v>
      </c>
      <c r="H68" s="1">
        <v>3</v>
      </c>
      <c r="I68">
        <v>7</v>
      </c>
      <c r="J68">
        <f>IF($H68=0,1,IF($I68&lt;=1,2,0))</f>
        <v>0</v>
      </c>
      <c r="K68">
        <v>0</v>
      </c>
      <c r="L68">
        <f>IF(AND($J68=0,$K68=0),0,1)</f>
        <v>0</v>
      </c>
      <c r="M68" t="s">
        <v>53</v>
      </c>
    </row>
    <row r="69" spans="1:13" x14ac:dyDescent="0.2">
      <c r="A69" t="s">
        <v>54</v>
      </c>
      <c r="B69" t="s">
        <v>6</v>
      </c>
      <c r="C69" t="s">
        <v>21</v>
      </c>
      <c r="D69">
        <v>1002</v>
      </c>
      <c r="E69">
        <v>2019</v>
      </c>
      <c r="F69">
        <v>1</v>
      </c>
      <c r="G69">
        <v>45160</v>
      </c>
      <c r="H69" s="1">
        <v>3</v>
      </c>
      <c r="I69">
        <v>88</v>
      </c>
      <c r="J69">
        <f>IF($H69=0,1,IF($I69&lt;=1,2,0))</f>
        <v>0</v>
      </c>
      <c r="K69">
        <v>0</v>
      </c>
      <c r="L69">
        <f>IF(AND($J69=0,$K69=0),0,1)</f>
        <v>0</v>
      </c>
    </row>
    <row r="70" spans="1:13" x14ac:dyDescent="0.2">
      <c r="A70" t="s">
        <v>54</v>
      </c>
      <c r="B70" t="s">
        <v>6</v>
      </c>
      <c r="C70" t="s">
        <v>21</v>
      </c>
      <c r="D70">
        <v>1007</v>
      </c>
      <c r="E70">
        <v>2019</v>
      </c>
      <c r="F70">
        <v>1</v>
      </c>
      <c r="G70">
        <v>6909</v>
      </c>
      <c r="H70" s="1">
        <v>3</v>
      </c>
      <c r="I70">
        <v>130</v>
      </c>
      <c r="J70">
        <f>IF($H70=0,1,IF($I70&lt;=1,2,0))</f>
        <v>0</v>
      </c>
      <c r="K70">
        <v>0</v>
      </c>
      <c r="L70">
        <f>IF(AND($J70=0,$K70=0),0,1)</f>
        <v>0</v>
      </c>
    </row>
    <row r="71" spans="1:13" x14ac:dyDescent="0.2">
      <c r="A71" t="s">
        <v>54</v>
      </c>
      <c r="B71" t="s">
        <v>6</v>
      </c>
      <c r="C71" t="s">
        <v>9</v>
      </c>
      <c r="D71">
        <v>1009</v>
      </c>
      <c r="E71">
        <v>2019</v>
      </c>
      <c r="F71">
        <v>2</v>
      </c>
      <c r="G71">
        <v>6910</v>
      </c>
      <c r="H71" s="1">
        <v>3</v>
      </c>
      <c r="I71">
        <v>24</v>
      </c>
      <c r="J71">
        <f>IF($H71=0,1,IF($I71&lt;=1,2,0))</f>
        <v>0</v>
      </c>
      <c r="K71">
        <v>0</v>
      </c>
      <c r="L71">
        <f>IF(AND($J71=0,$K71=0),0,1)</f>
        <v>0</v>
      </c>
    </row>
    <row r="72" spans="1:13" x14ac:dyDescent="0.2">
      <c r="A72" t="s">
        <v>54</v>
      </c>
      <c r="B72" t="s">
        <v>6</v>
      </c>
      <c r="C72" t="s">
        <v>21</v>
      </c>
      <c r="D72">
        <v>2004</v>
      </c>
      <c r="E72">
        <v>2019</v>
      </c>
      <c r="F72">
        <v>1</v>
      </c>
      <c r="G72">
        <v>45118</v>
      </c>
      <c r="H72" s="1">
        <v>3</v>
      </c>
      <c r="I72">
        <v>60</v>
      </c>
      <c r="J72">
        <f>IF($H72=0,1,IF($I72&lt;=1,2,0))</f>
        <v>0</v>
      </c>
      <c r="K72">
        <v>0</v>
      </c>
      <c r="L72">
        <f>IF(AND($J72=0,$K72=0),0,1)</f>
        <v>0</v>
      </c>
    </row>
    <row r="73" spans="1:13" x14ac:dyDescent="0.2">
      <c r="A73" t="s">
        <v>54</v>
      </c>
      <c r="B73" t="s">
        <v>6</v>
      </c>
      <c r="C73" t="s">
        <v>9</v>
      </c>
      <c r="D73">
        <v>2026</v>
      </c>
      <c r="E73">
        <v>2019</v>
      </c>
      <c r="F73">
        <v>1</v>
      </c>
      <c r="G73">
        <v>45171</v>
      </c>
      <c r="H73" s="1">
        <v>3</v>
      </c>
      <c r="I73">
        <v>12</v>
      </c>
      <c r="J73">
        <f>IF($H73=0,1,IF($I73&lt;=1,2,0))</f>
        <v>0</v>
      </c>
      <c r="K73">
        <v>0</v>
      </c>
      <c r="L73">
        <f>IF(AND($J73=0,$K73=0),0,1)</f>
        <v>0</v>
      </c>
    </row>
    <row r="74" spans="1:13" x14ac:dyDescent="0.2">
      <c r="A74" t="s">
        <v>54</v>
      </c>
      <c r="B74" t="s">
        <v>6</v>
      </c>
      <c r="C74" t="s">
        <v>21</v>
      </c>
      <c r="D74">
        <v>3035</v>
      </c>
      <c r="E74">
        <v>2019</v>
      </c>
      <c r="F74">
        <v>1</v>
      </c>
      <c r="G74">
        <v>45265</v>
      </c>
      <c r="H74" s="1">
        <v>3</v>
      </c>
      <c r="I74">
        <v>10</v>
      </c>
      <c r="J74">
        <f>IF($H74=0,1,IF($I74&lt;=1,2,0))</f>
        <v>0</v>
      </c>
      <c r="K74">
        <v>0</v>
      </c>
      <c r="L74">
        <f>IF(AND($J74=0,$K74=0),0,1)</f>
        <v>0</v>
      </c>
    </row>
    <row r="75" spans="1:13" x14ac:dyDescent="0.2">
      <c r="A75" t="s">
        <v>54</v>
      </c>
      <c r="B75" t="s">
        <v>6</v>
      </c>
      <c r="C75" t="s">
        <v>9</v>
      </c>
      <c r="D75">
        <v>3040</v>
      </c>
      <c r="E75">
        <v>2019</v>
      </c>
      <c r="F75">
        <v>1</v>
      </c>
      <c r="G75">
        <v>6911</v>
      </c>
      <c r="H75" s="1">
        <v>4</v>
      </c>
      <c r="I75">
        <v>15</v>
      </c>
      <c r="J75">
        <f>IF($H75=0,1,IF($I75&lt;=1,2,0))</f>
        <v>0</v>
      </c>
      <c r="K75">
        <v>0</v>
      </c>
      <c r="L75">
        <f>IF(AND($J75=0,$K75=0),0,1)</f>
        <v>0</v>
      </c>
      <c r="M75" t="s">
        <v>1863</v>
      </c>
    </row>
    <row r="76" spans="1:13" x14ac:dyDescent="0.2">
      <c r="A76" t="s">
        <v>54</v>
      </c>
      <c r="B76" t="s">
        <v>6</v>
      </c>
      <c r="C76" t="s">
        <v>9</v>
      </c>
      <c r="D76">
        <v>3662</v>
      </c>
      <c r="E76">
        <v>2019</v>
      </c>
      <c r="F76">
        <v>1</v>
      </c>
      <c r="G76">
        <v>10354</v>
      </c>
      <c r="H76" s="1">
        <v>4</v>
      </c>
      <c r="I76">
        <v>8</v>
      </c>
      <c r="J76">
        <f>IF($H76=0,1,IF($I76&lt;=1,2,0))</f>
        <v>0</v>
      </c>
      <c r="K76">
        <v>0</v>
      </c>
      <c r="L76">
        <f>IF(AND($J76=0,$K76=0),0,1)</f>
        <v>0</v>
      </c>
    </row>
    <row r="77" spans="1:13" x14ac:dyDescent="0.2">
      <c r="A77" t="s">
        <v>54</v>
      </c>
      <c r="B77" t="s">
        <v>6</v>
      </c>
      <c r="C77" t="s">
        <v>9</v>
      </c>
      <c r="D77">
        <v>3663</v>
      </c>
      <c r="E77">
        <v>2019</v>
      </c>
      <c r="F77">
        <v>1</v>
      </c>
      <c r="G77">
        <v>14880</v>
      </c>
      <c r="H77" s="1">
        <v>4</v>
      </c>
      <c r="I77">
        <v>14</v>
      </c>
      <c r="J77">
        <f>IF($H77=0,1,IF($I77&lt;=1,2,0))</f>
        <v>0</v>
      </c>
      <c r="K77">
        <v>0</v>
      </c>
      <c r="L77">
        <f>IF(AND($J77=0,$K77=0),0,1)</f>
        <v>0</v>
      </c>
    </row>
    <row r="78" spans="1:13" x14ac:dyDescent="0.2">
      <c r="A78" t="s">
        <v>54</v>
      </c>
      <c r="B78" t="s">
        <v>6</v>
      </c>
      <c r="C78" t="s">
        <v>9</v>
      </c>
      <c r="D78">
        <v>3763</v>
      </c>
      <c r="E78">
        <v>2019</v>
      </c>
      <c r="F78">
        <v>1</v>
      </c>
      <c r="G78">
        <v>10341</v>
      </c>
      <c r="H78" s="1">
        <v>4</v>
      </c>
      <c r="I78">
        <v>12</v>
      </c>
      <c r="J78">
        <f>IF($H78=0,1,IF($I78&lt;=1,2,0))</f>
        <v>0</v>
      </c>
      <c r="K78">
        <v>0</v>
      </c>
      <c r="L78">
        <f>IF(AND($J78=0,$K78=0),0,1)</f>
        <v>0</v>
      </c>
      <c r="M78" t="s">
        <v>55</v>
      </c>
    </row>
    <row r="79" spans="1:13" x14ac:dyDescent="0.2">
      <c r="A79" t="s">
        <v>54</v>
      </c>
      <c r="B79" t="s">
        <v>6</v>
      </c>
      <c r="C79" t="s">
        <v>21</v>
      </c>
      <c r="D79">
        <v>3811</v>
      </c>
      <c r="E79">
        <v>2019</v>
      </c>
      <c r="F79">
        <v>1</v>
      </c>
      <c r="G79">
        <v>45266</v>
      </c>
      <c r="H79" s="1">
        <v>4</v>
      </c>
      <c r="I79">
        <v>19</v>
      </c>
      <c r="J79">
        <f>IF($H79=0,1,IF($I79&lt;=1,2,0))</f>
        <v>0</v>
      </c>
      <c r="K79">
        <v>0</v>
      </c>
      <c r="L79">
        <f>IF(AND($J79=0,$K79=0),0,1)</f>
        <v>0</v>
      </c>
      <c r="M79" t="s">
        <v>56</v>
      </c>
    </row>
    <row r="80" spans="1:13" x14ac:dyDescent="0.2">
      <c r="A80" t="s">
        <v>54</v>
      </c>
      <c r="B80" t="s">
        <v>6</v>
      </c>
      <c r="C80" t="s">
        <v>9</v>
      </c>
      <c r="D80">
        <v>3823</v>
      </c>
      <c r="E80">
        <v>2019</v>
      </c>
      <c r="F80">
        <v>1</v>
      </c>
      <c r="G80">
        <v>45251</v>
      </c>
      <c r="H80" s="1">
        <v>4</v>
      </c>
      <c r="I80">
        <v>14</v>
      </c>
      <c r="J80">
        <f>IF($H80=0,1,IF($I80&lt;=1,2,0))</f>
        <v>0</v>
      </c>
      <c r="K80">
        <v>0</v>
      </c>
      <c r="L80">
        <f>IF(AND($J80=0,$K80=0),0,1)</f>
        <v>0</v>
      </c>
    </row>
    <row r="81" spans="1:13" x14ac:dyDescent="0.2">
      <c r="A81" t="s">
        <v>54</v>
      </c>
      <c r="B81" t="s">
        <v>6</v>
      </c>
      <c r="C81" t="s">
        <v>21</v>
      </c>
      <c r="D81">
        <v>3861</v>
      </c>
      <c r="E81">
        <v>2019</v>
      </c>
      <c r="F81">
        <v>1</v>
      </c>
      <c r="G81">
        <v>85</v>
      </c>
      <c r="H81" s="1">
        <v>4</v>
      </c>
      <c r="I81">
        <v>16</v>
      </c>
      <c r="J81">
        <f>IF($H81=0,1,IF($I81&lt;=1,2,0))</f>
        <v>0</v>
      </c>
      <c r="K81">
        <v>0</v>
      </c>
      <c r="L81">
        <f>IF(AND($J81=0,$K81=0),0,1)</f>
        <v>0</v>
      </c>
      <c r="M81" t="s">
        <v>57</v>
      </c>
    </row>
    <row r="82" spans="1:13" x14ac:dyDescent="0.2">
      <c r="A82" t="s">
        <v>54</v>
      </c>
      <c r="B82" t="s">
        <v>6</v>
      </c>
      <c r="C82" t="s">
        <v>21</v>
      </c>
      <c r="D82">
        <v>3888</v>
      </c>
      <c r="E82">
        <v>2019</v>
      </c>
      <c r="F82">
        <v>1</v>
      </c>
      <c r="G82">
        <v>45267</v>
      </c>
      <c r="H82" s="1">
        <v>4</v>
      </c>
      <c r="I82">
        <v>13</v>
      </c>
      <c r="J82">
        <f>IF($H82=0,1,IF($I82&lt;=1,2,0))</f>
        <v>0</v>
      </c>
      <c r="K82">
        <v>0</v>
      </c>
      <c r="L82">
        <f>IF(AND($J82=0,$K82=0),0,1)</f>
        <v>0</v>
      </c>
      <c r="M82" t="s">
        <v>58</v>
      </c>
    </row>
    <row r="83" spans="1:13" x14ac:dyDescent="0.2">
      <c r="A83" t="s">
        <v>54</v>
      </c>
      <c r="B83" t="s">
        <v>6</v>
      </c>
      <c r="C83" t="s">
        <v>21</v>
      </c>
      <c r="D83">
        <v>3952</v>
      </c>
      <c r="E83">
        <v>2019</v>
      </c>
      <c r="F83">
        <v>1</v>
      </c>
      <c r="G83">
        <v>45268</v>
      </c>
      <c r="H83" s="1">
        <v>4</v>
      </c>
      <c r="I83">
        <v>27</v>
      </c>
      <c r="J83">
        <f>IF($H83=0,1,IF($I83&lt;=1,2,0))</f>
        <v>0</v>
      </c>
      <c r="K83">
        <v>0</v>
      </c>
      <c r="L83">
        <f>IF(AND($J83=0,$K83=0),0,1)</f>
        <v>0</v>
      </c>
    </row>
    <row r="84" spans="1:13" x14ac:dyDescent="0.2">
      <c r="A84" t="s">
        <v>54</v>
      </c>
      <c r="B84" t="s">
        <v>6</v>
      </c>
      <c r="C84" t="s">
        <v>21</v>
      </c>
      <c r="D84">
        <v>3957</v>
      </c>
      <c r="E84">
        <v>2019</v>
      </c>
      <c r="F84">
        <v>1</v>
      </c>
      <c r="G84">
        <v>45269</v>
      </c>
      <c r="H84" s="1">
        <v>4</v>
      </c>
      <c r="I84">
        <v>17</v>
      </c>
      <c r="J84">
        <f>IF($H84=0,1,IF($I84&lt;=1,2,0))</f>
        <v>0</v>
      </c>
      <c r="K84">
        <v>0</v>
      </c>
      <c r="L84">
        <f>IF(AND($J84=0,$K84=0),0,1)</f>
        <v>0</v>
      </c>
    </row>
    <row r="85" spans="1:13" x14ac:dyDescent="0.2">
      <c r="A85" t="s">
        <v>54</v>
      </c>
      <c r="B85" t="s">
        <v>6</v>
      </c>
      <c r="C85" t="s">
        <v>21</v>
      </c>
      <c r="D85">
        <v>3989</v>
      </c>
      <c r="E85">
        <v>2019</v>
      </c>
      <c r="F85">
        <v>1</v>
      </c>
      <c r="G85">
        <v>45270</v>
      </c>
      <c r="H85" s="1">
        <v>4</v>
      </c>
      <c r="I85">
        <v>12</v>
      </c>
      <c r="J85">
        <f>IF($H85=0,1,IF($I85&lt;=1,2,0))</f>
        <v>0</v>
      </c>
      <c r="K85">
        <v>0</v>
      </c>
      <c r="L85">
        <f>IF(AND($J85=0,$K85=0),0,1)</f>
        <v>0</v>
      </c>
    </row>
    <row r="86" spans="1:13" x14ac:dyDescent="0.2">
      <c r="A86" t="s">
        <v>54</v>
      </c>
      <c r="B86" t="s">
        <v>6</v>
      </c>
      <c r="C86" t="s">
        <v>21</v>
      </c>
      <c r="D86">
        <v>3999</v>
      </c>
      <c r="E86">
        <v>2019</v>
      </c>
      <c r="F86">
        <v>1</v>
      </c>
      <c r="G86">
        <v>45124</v>
      </c>
      <c r="H86" s="1">
        <v>4</v>
      </c>
      <c r="I86">
        <v>9</v>
      </c>
      <c r="J86">
        <f>IF($H86=0,1,IF($I86&lt;=1,2,0))</f>
        <v>0</v>
      </c>
      <c r="K86">
        <v>0</v>
      </c>
      <c r="L86">
        <f>IF(AND($J86=0,$K86=0),0,1)</f>
        <v>0</v>
      </c>
    </row>
    <row r="87" spans="1:13" x14ac:dyDescent="0.2">
      <c r="A87" t="s">
        <v>54</v>
      </c>
      <c r="B87" t="s">
        <v>6</v>
      </c>
      <c r="C87" t="s">
        <v>11</v>
      </c>
      <c r="D87">
        <v>4118</v>
      </c>
      <c r="E87">
        <v>2019</v>
      </c>
      <c r="F87">
        <v>1</v>
      </c>
      <c r="G87">
        <v>45271</v>
      </c>
      <c r="H87" s="1">
        <v>3</v>
      </c>
      <c r="I87">
        <v>10</v>
      </c>
      <c r="J87">
        <f>IF($H87=0,1,IF($I87&lt;=1,2,0))</f>
        <v>0</v>
      </c>
      <c r="K87">
        <v>0</v>
      </c>
      <c r="L87">
        <f>IF(AND($J87=0,$K87=0),0,1)</f>
        <v>0</v>
      </c>
    </row>
    <row r="88" spans="1:13" x14ac:dyDescent="0.2">
      <c r="A88" t="s">
        <v>54</v>
      </c>
      <c r="B88" t="s">
        <v>6</v>
      </c>
      <c r="C88" t="s">
        <v>9</v>
      </c>
      <c r="D88">
        <v>4142</v>
      </c>
      <c r="E88">
        <v>2019</v>
      </c>
      <c r="F88">
        <v>1</v>
      </c>
      <c r="G88">
        <v>10340</v>
      </c>
      <c r="H88" s="1">
        <v>3</v>
      </c>
      <c r="I88">
        <v>24</v>
      </c>
      <c r="J88">
        <f>IF($H88=0,1,IF($I88&lt;=1,2,0))</f>
        <v>0</v>
      </c>
      <c r="K88">
        <v>0</v>
      </c>
      <c r="L88">
        <f>IF(AND($J88=0,$K88=0),0,1)</f>
        <v>0</v>
      </c>
    </row>
    <row r="89" spans="1:13" x14ac:dyDescent="0.2">
      <c r="A89" t="s">
        <v>54</v>
      </c>
      <c r="B89" t="s">
        <v>6</v>
      </c>
      <c r="C89" t="s">
        <v>9</v>
      </c>
      <c r="D89">
        <v>4346</v>
      </c>
      <c r="E89">
        <v>2019</v>
      </c>
      <c r="F89">
        <v>1</v>
      </c>
      <c r="G89">
        <v>13471</v>
      </c>
      <c r="H89" s="1">
        <v>3</v>
      </c>
      <c r="I89">
        <v>6</v>
      </c>
      <c r="J89">
        <f>IF($H89=0,1,IF($I89&lt;=1,2,0))</f>
        <v>0</v>
      </c>
      <c r="K89">
        <v>0</v>
      </c>
      <c r="L89">
        <f>IF(AND($J89=0,$K89=0),0,1)</f>
        <v>0</v>
      </c>
    </row>
    <row r="90" spans="1:13" x14ac:dyDescent="0.2">
      <c r="A90" t="s">
        <v>54</v>
      </c>
      <c r="B90" t="s">
        <v>6</v>
      </c>
      <c r="C90" t="s">
        <v>11</v>
      </c>
      <c r="D90">
        <v>5201</v>
      </c>
      <c r="E90">
        <v>2019</v>
      </c>
      <c r="F90">
        <v>1</v>
      </c>
      <c r="G90">
        <v>45253</v>
      </c>
      <c r="H90" s="1">
        <v>3</v>
      </c>
      <c r="I90">
        <v>18</v>
      </c>
      <c r="J90">
        <f>IF($H90=0,1,IF($I90&lt;=1,2,0))</f>
        <v>0</v>
      </c>
      <c r="K90">
        <v>0</v>
      </c>
      <c r="L90">
        <f>IF(AND($J90=0,$K90=0),0,1)</f>
        <v>0</v>
      </c>
      <c r="M90" t="s">
        <v>62</v>
      </c>
    </row>
    <row r="91" spans="1:13" x14ac:dyDescent="0.2">
      <c r="A91" t="s">
        <v>54</v>
      </c>
      <c r="B91" t="s">
        <v>6</v>
      </c>
      <c r="C91" t="s">
        <v>11</v>
      </c>
      <c r="D91">
        <v>5361</v>
      </c>
      <c r="E91">
        <v>2019</v>
      </c>
      <c r="F91">
        <v>1</v>
      </c>
      <c r="G91">
        <v>45126</v>
      </c>
      <c r="H91" s="1">
        <v>3</v>
      </c>
      <c r="I91">
        <v>10</v>
      </c>
      <c r="J91">
        <f>IF($H91=0,1,IF($I91&lt;=1,2,0))</f>
        <v>0</v>
      </c>
      <c r="K91">
        <v>0</v>
      </c>
      <c r="L91">
        <f>IF(AND($J91=0,$K91=0),0,1)</f>
        <v>0</v>
      </c>
      <c r="M91" t="s">
        <v>63</v>
      </c>
    </row>
    <row r="92" spans="1:13" x14ac:dyDescent="0.2">
      <c r="A92" t="s">
        <v>54</v>
      </c>
      <c r="B92" t="s">
        <v>6</v>
      </c>
      <c r="C92" t="s">
        <v>11</v>
      </c>
      <c r="D92">
        <v>6070</v>
      </c>
      <c r="E92">
        <v>2019</v>
      </c>
      <c r="F92">
        <v>1</v>
      </c>
      <c r="G92">
        <v>45244</v>
      </c>
      <c r="H92" s="1">
        <v>3</v>
      </c>
      <c r="I92">
        <v>20</v>
      </c>
      <c r="J92">
        <f>IF($H92=0,1,IF($I92&lt;=1,2,0))</f>
        <v>0</v>
      </c>
      <c r="K92">
        <v>0</v>
      </c>
      <c r="L92">
        <f>IF(AND($J92=0,$K92=0),0,1)</f>
        <v>0</v>
      </c>
    </row>
    <row r="93" spans="1:13" x14ac:dyDescent="0.2">
      <c r="A93" t="s">
        <v>54</v>
      </c>
      <c r="B93" t="s">
        <v>6</v>
      </c>
      <c r="C93" t="s">
        <v>11</v>
      </c>
      <c r="D93">
        <v>6170</v>
      </c>
      <c r="E93">
        <v>2019</v>
      </c>
      <c r="F93">
        <v>1</v>
      </c>
      <c r="G93">
        <v>45275</v>
      </c>
      <c r="H93" s="1">
        <v>3</v>
      </c>
      <c r="I93">
        <v>15</v>
      </c>
      <c r="J93">
        <f>IF($H93=0,1,IF($I93&lt;=1,2,0))</f>
        <v>0</v>
      </c>
      <c r="K93">
        <v>0</v>
      </c>
      <c r="L93">
        <f>IF(AND($J93=0,$K93=0),0,1)</f>
        <v>0</v>
      </c>
    </row>
    <row r="94" spans="1:13" x14ac:dyDescent="0.2">
      <c r="A94" t="s">
        <v>54</v>
      </c>
      <c r="B94" t="s">
        <v>6</v>
      </c>
      <c r="C94" t="s">
        <v>11</v>
      </c>
      <c r="D94">
        <v>6245</v>
      </c>
      <c r="E94">
        <v>2019</v>
      </c>
      <c r="F94">
        <v>1</v>
      </c>
      <c r="G94">
        <v>45210</v>
      </c>
      <c r="H94" s="1">
        <v>3</v>
      </c>
      <c r="I94">
        <v>12</v>
      </c>
      <c r="J94">
        <f>IF($H94=0,1,IF($I94&lt;=1,2,0))</f>
        <v>0</v>
      </c>
      <c r="K94">
        <v>0</v>
      </c>
      <c r="L94">
        <f>IF(AND($J94=0,$K94=0),0,1)</f>
        <v>0</v>
      </c>
    </row>
    <row r="95" spans="1:13" x14ac:dyDescent="0.2">
      <c r="A95" t="s">
        <v>54</v>
      </c>
      <c r="B95" t="s">
        <v>6</v>
      </c>
      <c r="C95" t="s">
        <v>11</v>
      </c>
      <c r="D95">
        <v>6248</v>
      </c>
      <c r="E95">
        <v>2019</v>
      </c>
      <c r="F95">
        <v>1</v>
      </c>
      <c r="G95">
        <v>45276</v>
      </c>
      <c r="H95" s="1">
        <v>3</v>
      </c>
      <c r="I95">
        <v>13</v>
      </c>
      <c r="J95">
        <f>IF($H95=0,1,IF($I95&lt;=1,2,0))</f>
        <v>0</v>
      </c>
      <c r="K95">
        <v>0</v>
      </c>
      <c r="L95">
        <f>IF(AND($J95=0,$K95=0),0,1)</f>
        <v>0</v>
      </c>
    </row>
    <row r="96" spans="1:13" x14ac:dyDescent="0.2">
      <c r="A96" t="s">
        <v>54</v>
      </c>
      <c r="B96" t="s">
        <v>6</v>
      </c>
      <c r="C96" t="s">
        <v>11</v>
      </c>
      <c r="D96">
        <v>6294</v>
      </c>
      <c r="E96">
        <v>2019</v>
      </c>
      <c r="F96">
        <v>1</v>
      </c>
      <c r="G96">
        <v>13398</v>
      </c>
      <c r="H96" s="1">
        <v>4</v>
      </c>
      <c r="I96">
        <v>13</v>
      </c>
      <c r="J96">
        <f>IF($H96=0,1,IF($I96&lt;=1,2,0))</f>
        <v>0</v>
      </c>
      <c r="K96">
        <v>0</v>
      </c>
      <c r="L96">
        <f>IF(AND($J96=0,$K96=0),0,1)</f>
        <v>0</v>
      </c>
    </row>
    <row r="97" spans="1:13" x14ac:dyDescent="0.2">
      <c r="A97" t="s">
        <v>54</v>
      </c>
      <c r="B97" t="s">
        <v>6</v>
      </c>
      <c r="C97" t="s">
        <v>11</v>
      </c>
      <c r="D97">
        <v>6305</v>
      </c>
      <c r="E97">
        <v>2019</v>
      </c>
      <c r="F97">
        <v>1</v>
      </c>
      <c r="G97">
        <v>45274</v>
      </c>
      <c r="H97" s="1">
        <v>3</v>
      </c>
      <c r="I97">
        <v>12</v>
      </c>
      <c r="J97">
        <f>IF($H97=0,1,IF($I97&lt;=1,2,0))</f>
        <v>0</v>
      </c>
      <c r="K97">
        <v>0</v>
      </c>
      <c r="L97">
        <f>IF(AND($J97=0,$K97=0),0,1)</f>
        <v>0</v>
      </c>
    </row>
    <row r="98" spans="1:13" x14ac:dyDescent="0.2">
      <c r="A98" t="s">
        <v>54</v>
      </c>
      <c r="B98" t="s">
        <v>6</v>
      </c>
      <c r="C98" t="s">
        <v>11</v>
      </c>
      <c r="D98">
        <v>6352</v>
      </c>
      <c r="E98">
        <v>2019</v>
      </c>
      <c r="F98">
        <v>1</v>
      </c>
      <c r="G98">
        <v>45211</v>
      </c>
      <c r="H98" s="1">
        <v>3</v>
      </c>
      <c r="I98">
        <v>9</v>
      </c>
      <c r="J98">
        <f>IF($H98=0,1,IF($I98&lt;=1,2,0))</f>
        <v>0</v>
      </c>
      <c r="K98">
        <v>0</v>
      </c>
      <c r="L98">
        <f>IF(AND($J98=0,$K98=0),0,1)</f>
        <v>0</v>
      </c>
      <c r="M98" t="s">
        <v>65</v>
      </c>
    </row>
    <row r="99" spans="1:13" x14ac:dyDescent="0.2">
      <c r="A99" t="s">
        <v>54</v>
      </c>
      <c r="B99" t="s">
        <v>6</v>
      </c>
      <c r="C99" t="s">
        <v>11</v>
      </c>
      <c r="D99">
        <v>6355</v>
      </c>
      <c r="E99">
        <v>2019</v>
      </c>
      <c r="F99">
        <v>1</v>
      </c>
      <c r="G99">
        <v>10353</v>
      </c>
      <c r="H99" s="1">
        <v>3</v>
      </c>
      <c r="I99">
        <v>23</v>
      </c>
      <c r="J99">
        <f>IF($H99=0,1,IF($I99&lt;=1,2,0))</f>
        <v>0</v>
      </c>
      <c r="K99">
        <v>0</v>
      </c>
      <c r="L99">
        <f>IF(AND($J99=0,$K99=0),0,1)</f>
        <v>0</v>
      </c>
      <c r="M99" t="s">
        <v>66</v>
      </c>
    </row>
    <row r="100" spans="1:13" x14ac:dyDescent="0.2">
      <c r="A100" t="s">
        <v>54</v>
      </c>
      <c r="B100" t="s">
        <v>6</v>
      </c>
      <c r="C100" t="s">
        <v>11</v>
      </c>
      <c r="D100">
        <v>6500</v>
      </c>
      <c r="E100">
        <v>2019</v>
      </c>
      <c r="F100">
        <v>1</v>
      </c>
      <c r="G100">
        <v>45272</v>
      </c>
      <c r="H100" s="1">
        <v>3</v>
      </c>
      <c r="I100">
        <v>9</v>
      </c>
      <c r="J100">
        <f>IF($H100=0,1,IF($I100&lt;=1,2,0))</f>
        <v>0</v>
      </c>
      <c r="K100">
        <v>0</v>
      </c>
      <c r="L100">
        <f>IF(AND($J100=0,$K100=0),0,1)</f>
        <v>0</v>
      </c>
    </row>
    <row r="101" spans="1:13" x14ac:dyDescent="0.2">
      <c r="A101" t="s">
        <v>54</v>
      </c>
      <c r="B101" t="s">
        <v>6</v>
      </c>
      <c r="C101" t="s">
        <v>11</v>
      </c>
      <c r="D101">
        <v>6652</v>
      </c>
      <c r="E101">
        <v>2019</v>
      </c>
      <c r="F101">
        <v>1</v>
      </c>
      <c r="G101">
        <v>45129</v>
      </c>
      <c r="H101" s="1">
        <v>3</v>
      </c>
      <c r="I101">
        <v>7</v>
      </c>
      <c r="J101">
        <f>IF($H101=0,1,IF($I101&lt;=1,2,0))</f>
        <v>0</v>
      </c>
      <c r="K101">
        <v>0</v>
      </c>
      <c r="L101">
        <f>IF(AND($J101=0,$K101=0),0,1)</f>
        <v>0</v>
      </c>
    </row>
    <row r="102" spans="1:13" x14ac:dyDescent="0.2">
      <c r="A102" t="s">
        <v>54</v>
      </c>
      <c r="B102" t="s">
        <v>6</v>
      </c>
      <c r="C102" t="s">
        <v>11</v>
      </c>
      <c r="D102">
        <v>6653</v>
      </c>
      <c r="E102">
        <v>2019</v>
      </c>
      <c r="F102">
        <v>1</v>
      </c>
      <c r="G102">
        <v>10789</v>
      </c>
      <c r="H102" s="1">
        <v>3</v>
      </c>
      <c r="I102">
        <v>15</v>
      </c>
      <c r="J102">
        <f>IF($H102=0,1,IF($I102&lt;=1,2,0))</f>
        <v>0</v>
      </c>
      <c r="K102">
        <v>0</v>
      </c>
      <c r="L102">
        <f>IF(AND($J102=0,$K102=0),0,1)</f>
        <v>0</v>
      </c>
      <c r="M102" t="s">
        <v>68</v>
      </c>
    </row>
    <row r="103" spans="1:13" x14ac:dyDescent="0.2">
      <c r="A103" t="s">
        <v>54</v>
      </c>
      <c r="B103" t="s">
        <v>6</v>
      </c>
      <c r="C103" t="s">
        <v>11</v>
      </c>
      <c r="D103">
        <v>8498</v>
      </c>
      <c r="E103">
        <v>2019</v>
      </c>
      <c r="F103">
        <v>1</v>
      </c>
      <c r="G103">
        <v>45277</v>
      </c>
      <c r="H103" s="1">
        <v>3</v>
      </c>
      <c r="I103">
        <v>14</v>
      </c>
      <c r="J103">
        <f>IF($H103=0,1,IF($I103&lt;=1,2,0))</f>
        <v>0</v>
      </c>
      <c r="K103">
        <v>0</v>
      </c>
      <c r="L103">
        <f>IF(AND($J103=0,$K103=0),0,1)</f>
        <v>0</v>
      </c>
    </row>
    <row r="104" spans="1:13" x14ac:dyDescent="0.2">
      <c r="A104" t="s">
        <v>70</v>
      </c>
      <c r="B104" t="s">
        <v>71</v>
      </c>
      <c r="C104" t="s">
        <v>72</v>
      </c>
      <c r="D104">
        <v>6650</v>
      </c>
      <c r="E104">
        <v>2019</v>
      </c>
      <c r="F104">
        <v>18</v>
      </c>
      <c r="G104">
        <v>99876</v>
      </c>
      <c r="H104" s="1" t="s">
        <v>1828</v>
      </c>
      <c r="I104">
        <v>2</v>
      </c>
      <c r="J104">
        <f>IF($H104=0,1,IF($I104&lt;=1,2,0))</f>
        <v>0</v>
      </c>
      <c r="K104">
        <v>0</v>
      </c>
      <c r="L104">
        <f>IF(AND($J104=0,$K104=0),0,1)</f>
        <v>0</v>
      </c>
    </row>
    <row r="105" spans="1:13" x14ac:dyDescent="0.2">
      <c r="A105" t="s">
        <v>73</v>
      </c>
      <c r="B105" t="s">
        <v>71</v>
      </c>
      <c r="C105" t="s">
        <v>72</v>
      </c>
      <c r="D105">
        <v>4650</v>
      </c>
      <c r="E105">
        <v>2019</v>
      </c>
      <c r="F105">
        <v>1</v>
      </c>
      <c r="G105">
        <v>99855</v>
      </c>
      <c r="H105" s="1">
        <v>3</v>
      </c>
      <c r="I105">
        <v>8</v>
      </c>
      <c r="J105">
        <f>IF($H105=0,1,IF($I105&lt;=1,2,0))</f>
        <v>0</v>
      </c>
      <c r="K105">
        <v>0</v>
      </c>
      <c r="L105">
        <f>IF(AND($J105=0,$K105=0),0,1)</f>
        <v>0</v>
      </c>
      <c r="M105" t="s">
        <v>74</v>
      </c>
    </row>
    <row r="106" spans="1:13" x14ac:dyDescent="0.2">
      <c r="A106" t="s">
        <v>75</v>
      </c>
      <c r="B106" t="s">
        <v>71</v>
      </c>
      <c r="C106" t="s">
        <v>72</v>
      </c>
      <c r="D106">
        <v>2000</v>
      </c>
      <c r="E106">
        <v>2019</v>
      </c>
      <c r="F106">
        <v>2</v>
      </c>
      <c r="G106">
        <v>99979</v>
      </c>
      <c r="H106" s="1">
        <v>4</v>
      </c>
      <c r="I106">
        <v>103</v>
      </c>
      <c r="J106">
        <f>IF($H106=0,1,IF($I106&lt;=1,2,0))</f>
        <v>0</v>
      </c>
      <c r="K106">
        <v>0</v>
      </c>
      <c r="L106">
        <f>IF(AND($J106=0,$K106=0),0,1)</f>
        <v>0</v>
      </c>
      <c r="M106" t="s">
        <v>76</v>
      </c>
    </row>
    <row r="107" spans="1:13" x14ac:dyDescent="0.2">
      <c r="A107" t="s">
        <v>75</v>
      </c>
      <c r="B107" t="s">
        <v>71</v>
      </c>
      <c r="C107" t="s">
        <v>72</v>
      </c>
      <c r="D107">
        <v>2000</v>
      </c>
      <c r="E107">
        <v>2019</v>
      </c>
      <c r="F107">
        <v>1</v>
      </c>
      <c r="G107">
        <v>99980</v>
      </c>
      <c r="H107" s="1">
        <v>4</v>
      </c>
      <c r="I107">
        <v>66</v>
      </c>
      <c r="J107">
        <f>IF($H107=0,1,IF($I107&lt;=1,2,0))</f>
        <v>0</v>
      </c>
      <c r="K107">
        <v>0</v>
      </c>
      <c r="L107">
        <f>IF(AND($J107=0,$K107=0),0,1)</f>
        <v>0</v>
      </c>
      <c r="M107" t="s">
        <v>76</v>
      </c>
    </row>
    <row r="108" spans="1:13" x14ac:dyDescent="0.2">
      <c r="A108" t="s">
        <v>75</v>
      </c>
      <c r="B108" t="s">
        <v>71</v>
      </c>
      <c r="C108" t="s">
        <v>72</v>
      </c>
      <c r="D108">
        <v>2000</v>
      </c>
      <c r="E108">
        <v>2019</v>
      </c>
      <c r="F108">
        <v>3</v>
      </c>
      <c r="G108">
        <v>99978</v>
      </c>
      <c r="H108" s="1">
        <v>4</v>
      </c>
      <c r="I108">
        <v>46</v>
      </c>
      <c r="J108">
        <f>IF($H108=0,1,IF($I108&lt;=1,2,0))</f>
        <v>0</v>
      </c>
      <c r="K108">
        <v>0</v>
      </c>
      <c r="L108">
        <f>IF(AND($J108=0,$K108=0),0,1)</f>
        <v>0</v>
      </c>
      <c r="M108" t="s">
        <v>76</v>
      </c>
    </row>
    <row r="109" spans="1:13" x14ac:dyDescent="0.2">
      <c r="A109" t="s">
        <v>75</v>
      </c>
      <c r="B109" t="s">
        <v>71</v>
      </c>
      <c r="C109" t="s">
        <v>72</v>
      </c>
      <c r="D109">
        <v>3101</v>
      </c>
      <c r="E109">
        <v>2019</v>
      </c>
      <c r="F109">
        <v>1</v>
      </c>
      <c r="G109">
        <v>99854</v>
      </c>
      <c r="H109" s="1">
        <v>3</v>
      </c>
      <c r="I109">
        <v>22</v>
      </c>
      <c r="J109">
        <f>IF($H109=0,1,IF($I109&lt;=1,2,0))</f>
        <v>0</v>
      </c>
      <c r="K109">
        <v>0</v>
      </c>
      <c r="L109">
        <f>IF(AND($J109=0,$K109=0),0,1)</f>
        <v>0</v>
      </c>
    </row>
    <row r="110" spans="1:13" x14ac:dyDescent="0.2">
      <c r="A110" t="s">
        <v>75</v>
      </c>
      <c r="B110" t="s">
        <v>71</v>
      </c>
      <c r="C110" t="s">
        <v>72</v>
      </c>
      <c r="D110">
        <v>4101</v>
      </c>
      <c r="E110">
        <v>2019</v>
      </c>
      <c r="F110">
        <v>1</v>
      </c>
      <c r="G110">
        <v>99964</v>
      </c>
      <c r="H110" s="1">
        <v>3</v>
      </c>
      <c r="I110">
        <v>81</v>
      </c>
      <c r="J110">
        <f>IF($H110=0,1,IF($I110&lt;=1,2,0))</f>
        <v>0</v>
      </c>
      <c r="K110">
        <v>0</v>
      </c>
      <c r="L110">
        <f>IF(AND($J110=0,$K110=0),0,1)</f>
        <v>0</v>
      </c>
    </row>
    <row r="111" spans="1:13" x14ac:dyDescent="0.2">
      <c r="A111" t="s">
        <v>75</v>
      </c>
      <c r="B111" t="s">
        <v>71</v>
      </c>
      <c r="C111" t="s">
        <v>72</v>
      </c>
      <c r="D111">
        <v>4101</v>
      </c>
      <c r="E111">
        <v>2019</v>
      </c>
      <c r="F111" t="s">
        <v>84</v>
      </c>
      <c r="G111">
        <v>18212</v>
      </c>
      <c r="H111" s="1">
        <v>3</v>
      </c>
      <c r="I111">
        <v>3</v>
      </c>
      <c r="J111">
        <f>IF($H111=0,1,IF($I111&lt;=1,2,0))</f>
        <v>0</v>
      </c>
      <c r="K111">
        <v>0</v>
      </c>
      <c r="L111">
        <f>IF(AND($J111=0,$K111=0),0,1)</f>
        <v>0</v>
      </c>
    </row>
    <row r="112" spans="1:13" x14ac:dyDescent="0.2">
      <c r="A112" t="s">
        <v>75</v>
      </c>
      <c r="B112" t="s">
        <v>71</v>
      </c>
      <c r="C112" t="s">
        <v>72</v>
      </c>
      <c r="D112">
        <v>4150</v>
      </c>
      <c r="E112">
        <v>2019</v>
      </c>
      <c r="F112">
        <v>1</v>
      </c>
      <c r="G112">
        <v>20078</v>
      </c>
      <c r="H112" s="1">
        <v>3</v>
      </c>
      <c r="I112">
        <v>24</v>
      </c>
      <c r="J112">
        <f>IF($H112=0,1,IF($I112&lt;=1,2,0))</f>
        <v>0</v>
      </c>
      <c r="K112">
        <v>0</v>
      </c>
      <c r="L112">
        <f>IF(AND($J112=0,$K112=0),0,1)</f>
        <v>0</v>
      </c>
    </row>
    <row r="113" spans="1:13" x14ac:dyDescent="0.2">
      <c r="A113" t="s">
        <v>75</v>
      </c>
      <c r="B113" t="s">
        <v>71</v>
      </c>
      <c r="C113" t="s">
        <v>72</v>
      </c>
      <c r="D113">
        <v>4200</v>
      </c>
      <c r="E113">
        <v>2019</v>
      </c>
      <c r="F113">
        <v>1</v>
      </c>
      <c r="G113">
        <v>99938</v>
      </c>
      <c r="H113" s="1">
        <v>3</v>
      </c>
      <c r="I113">
        <v>40</v>
      </c>
      <c r="J113">
        <f>IF($H113=0,1,IF($I113&lt;=1,2,0))</f>
        <v>0</v>
      </c>
      <c r="K113">
        <v>0</v>
      </c>
      <c r="L113">
        <f>IF(AND($J113=0,$K113=0),0,1)</f>
        <v>0</v>
      </c>
    </row>
    <row r="114" spans="1:13" x14ac:dyDescent="0.2">
      <c r="A114" t="s">
        <v>75</v>
      </c>
      <c r="B114" t="s">
        <v>71</v>
      </c>
      <c r="C114" t="s">
        <v>72</v>
      </c>
      <c r="D114">
        <v>4200</v>
      </c>
      <c r="E114">
        <v>2019</v>
      </c>
      <c r="F114" t="s">
        <v>84</v>
      </c>
      <c r="G114">
        <v>17316</v>
      </c>
      <c r="H114" s="1">
        <v>3</v>
      </c>
      <c r="I114">
        <v>9</v>
      </c>
      <c r="J114">
        <f>IF($H114=0,1,IF($I114&lt;=1,2,0))</f>
        <v>0</v>
      </c>
      <c r="K114">
        <v>0</v>
      </c>
      <c r="L114">
        <f>IF(AND($J114=0,$K114=0),0,1)</f>
        <v>0</v>
      </c>
      <c r="M114" t="s">
        <v>85</v>
      </c>
    </row>
    <row r="115" spans="1:13" x14ac:dyDescent="0.2">
      <c r="A115" t="s">
        <v>75</v>
      </c>
      <c r="B115" t="s">
        <v>71</v>
      </c>
      <c r="C115" t="s">
        <v>72</v>
      </c>
      <c r="D115">
        <v>4204</v>
      </c>
      <c r="E115">
        <v>2019</v>
      </c>
      <c r="F115">
        <v>1</v>
      </c>
      <c r="G115">
        <v>99963</v>
      </c>
      <c r="H115" s="1">
        <v>3</v>
      </c>
      <c r="I115">
        <v>40</v>
      </c>
      <c r="J115">
        <f>IF($H115=0,1,IF($I115&lt;=1,2,0))</f>
        <v>0</v>
      </c>
      <c r="K115">
        <v>0</v>
      </c>
      <c r="L115">
        <f>IF(AND($J115=0,$K115=0),0,1)</f>
        <v>0</v>
      </c>
    </row>
    <row r="116" spans="1:13" x14ac:dyDescent="0.2">
      <c r="A116" t="s">
        <v>75</v>
      </c>
      <c r="B116" t="s">
        <v>71</v>
      </c>
      <c r="C116" t="s">
        <v>72</v>
      </c>
      <c r="D116">
        <v>4204</v>
      </c>
      <c r="E116">
        <v>2019</v>
      </c>
      <c r="F116" t="s">
        <v>84</v>
      </c>
      <c r="G116">
        <v>14412</v>
      </c>
      <c r="H116" s="1">
        <v>3</v>
      </c>
      <c r="I116">
        <v>5</v>
      </c>
      <c r="J116">
        <f>IF($H116=0,1,IF($I116&lt;=1,2,0))</f>
        <v>0</v>
      </c>
      <c r="K116">
        <v>0</v>
      </c>
      <c r="L116">
        <f>IF(AND($J116=0,$K116=0),0,1)</f>
        <v>0</v>
      </c>
      <c r="M116" t="s">
        <v>85</v>
      </c>
    </row>
    <row r="117" spans="1:13" x14ac:dyDescent="0.2">
      <c r="A117" t="s">
        <v>75</v>
      </c>
      <c r="B117" t="s">
        <v>71</v>
      </c>
      <c r="C117" t="s">
        <v>72</v>
      </c>
      <c r="D117">
        <v>4300</v>
      </c>
      <c r="E117">
        <v>2019</v>
      </c>
      <c r="F117">
        <v>1</v>
      </c>
      <c r="G117">
        <v>99962</v>
      </c>
      <c r="H117" s="1">
        <v>3</v>
      </c>
      <c r="I117">
        <v>104</v>
      </c>
      <c r="J117">
        <f>IF($H117=0,1,IF($I117&lt;=1,2,0))</f>
        <v>0</v>
      </c>
      <c r="K117">
        <v>0</v>
      </c>
      <c r="L117">
        <f>IF(AND($J117=0,$K117=0),0,1)</f>
        <v>0</v>
      </c>
      <c r="M117" t="s">
        <v>74</v>
      </c>
    </row>
    <row r="118" spans="1:13" x14ac:dyDescent="0.2">
      <c r="A118" t="s">
        <v>75</v>
      </c>
      <c r="B118" t="s">
        <v>71</v>
      </c>
      <c r="C118" t="s">
        <v>72</v>
      </c>
      <c r="D118">
        <v>4300</v>
      </c>
      <c r="E118">
        <v>2019</v>
      </c>
      <c r="F118" t="s">
        <v>84</v>
      </c>
      <c r="G118">
        <v>14413</v>
      </c>
      <c r="H118" s="1">
        <v>3</v>
      </c>
      <c r="I118">
        <v>13</v>
      </c>
      <c r="J118">
        <f>IF($H118=0,1,IF($I118&lt;=1,2,0))</f>
        <v>0</v>
      </c>
      <c r="K118">
        <v>0</v>
      </c>
      <c r="L118">
        <f>IF(AND($J118=0,$K118=0),0,1)</f>
        <v>0</v>
      </c>
      <c r="M118" t="s">
        <v>85</v>
      </c>
    </row>
    <row r="119" spans="1:13" x14ac:dyDescent="0.2">
      <c r="A119" t="s">
        <v>75</v>
      </c>
      <c r="B119" t="s">
        <v>71</v>
      </c>
      <c r="C119" t="s">
        <v>72</v>
      </c>
      <c r="D119">
        <v>4901</v>
      </c>
      <c r="E119">
        <v>2019</v>
      </c>
      <c r="F119">
        <v>1</v>
      </c>
      <c r="G119">
        <v>20077</v>
      </c>
      <c r="H119" s="1" t="s">
        <v>1831</v>
      </c>
      <c r="I119">
        <v>57</v>
      </c>
      <c r="J119">
        <f>IF($H119=0,1,IF($I119&lt;=1,2,0))</f>
        <v>0</v>
      </c>
      <c r="K119">
        <v>0</v>
      </c>
      <c r="L119">
        <f>IF(AND($J119=0,$K119=0),0,1)</f>
        <v>0</v>
      </c>
    </row>
    <row r="120" spans="1:13" x14ac:dyDescent="0.2">
      <c r="A120" t="s">
        <v>75</v>
      </c>
      <c r="B120" t="s">
        <v>71</v>
      </c>
      <c r="C120" t="s">
        <v>72</v>
      </c>
      <c r="D120">
        <v>4903</v>
      </c>
      <c r="E120">
        <v>2019</v>
      </c>
      <c r="F120">
        <v>1</v>
      </c>
      <c r="G120">
        <v>99853</v>
      </c>
      <c r="H120" s="1" t="s">
        <v>1824</v>
      </c>
      <c r="I120">
        <v>52</v>
      </c>
      <c r="J120">
        <f>IF($H120=0,1,IF($I120&lt;=1,2,0))</f>
        <v>0</v>
      </c>
      <c r="K120">
        <v>0</v>
      </c>
      <c r="L120">
        <f>IF(AND($J120=0,$K120=0),0,1)</f>
        <v>0</v>
      </c>
    </row>
    <row r="121" spans="1:13" x14ac:dyDescent="0.2">
      <c r="A121" t="s">
        <v>75</v>
      </c>
      <c r="B121" t="s">
        <v>71</v>
      </c>
      <c r="C121" t="s">
        <v>72</v>
      </c>
      <c r="D121">
        <v>6901</v>
      </c>
      <c r="E121">
        <v>2019</v>
      </c>
      <c r="F121">
        <v>1</v>
      </c>
      <c r="G121">
        <v>15486</v>
      </c>
      <c r="H121" s="1">
        <v>3</v>
      </c>
      <c r="I121">
        <v>11</v>
      </c>
      <c r="J121">
        <f>IF($H121=0,1,IF($I121&lt;=1,2,0))</f>
        <v>0</v>
      </c>
      <c r="K121">
        <v>0</v>
      </c>
      <c r="L121">
        <f>IF(AND($J121=0,$K121=0),0,1)</f>
        <v>0</v>
      </c>
    </row>
    <row r="122" spans="1:13" x14ac:dyDescent="0.2">
      <c r="A122" t="s">
        <v>86</v>
      </c>
      <c r="B122" t="s">
        <v>71</v>
      </c>
      <c r="C122" t="s">
        <v>72</v>
      </c>
      <c r="D122">
        <v>3200</v>
      </c>
      <c r="E122">
        <v>2019</v>
      </c>
      <c r="F122">
        <v>1</v>
      </c>
      <c r="G122">
        <v>20075</v>
      </c>
      <c r="H122" s="1">
        <v>3</v>
      </c>
      <c r="I122">
        <v>16</v>
      </c>
      <c r="J122">
        <f>IF($H122=0,1,IF($I122&lt;=1,2,0))</f>
        <v>0</v>
      </c>
      <c r="K122">
        <v>0</v>
      </c>
      <c r="L122">
        <f>IF(AND($J122=0,$K122=0),0,1)</f>
        <v>0</v>
      </c>
    </row>
    <row r="123" spans="1:13" x14ac:dyDescent="0.2">
      <c r="A123" t="s">
        <v>86</v>
      </c>
      <c r="B123" t="s">
        <v>71</v>
      </c>
      <c r="C123" t="s">
        <v>72</v>
      </c>
      <c r="D123">
        <v>4010</v>
      </c>
      <c r="E123">
        <v>2019</v>
      </c>
      <c r="F123">
        <v>1</v>
      </c>
      <c r="G123">
        <v>99951</v>
      </c>
      <c r="H123" s="1">
        <v>3</v>
      </c>
      <c r="I123">
        <v>20</v>
      </c>
      <c r="J123">
        <f>IF($H123=0,1,IF($I123&lt;=1,2,0))</f>
        <v>0</v>
      </c>
      <c r="K123">
        <v>0</v>
      </c>
      <c r="L123">
        <f>IF(AND($J123=0,$K123=0),0,1)</f>
        <v>0</v>
      </c>
    </row>
    <row r="124" spans="1:13" x14ac:dyDescent="0.2">
      <c r="A124" t="s">
        <v>86</v>
      </c>
      <c r="B124" t="s">
        <v>71</v>
      </c>
      <c r="C124" t="s">
        <v>72</v>
      </c>
      <c r="D124">
        <v>4100</v>
      </c>
      <c r="E124">
        <v>2019</v>
      </c>
      <c r="F124">
        <v>1</v>
      </c>
      <c r="G124">
        <v>99950</v>
      </c>
      <c r="H124" s="1">
        <v>3</v>
      </c>
      <c r="I124">
        <v>18</v>
      </c>
      <c r="J124">
        <f>IF($H124=0,1,IF($I124&lt;=1,2,0))</f>
        <v>0</v>
      </c>
      <c r="K124">
        <v>0</v>
      </c>
      <c r="L124">
        <f>IF(AND($J124=0,$K124=0),0,1)</f>
        <v>0</v>
      </c>
    </row>
    <row r="125" spans="1:13" x14ac:dyDescent="0.2">
      <c r="A125" t="s">
        <v>86</v>
      </c>
      <c r="B125" t="s">
        <v>71</v>
      </c>
      <c r="C125" t="s">
        <v>72</v>
      </c>
      <c r="D125">
        <v>4100</v>
      </c>
      <c r="E125">
        <v>2019</v>
      </c>
      <c r="F125" t="s">
        <v>84</v>
      </c>
      <c r="G125">
        <v>17765</v>
      </c>
      <c r="H125" s="1">
        <v>3</v>
      </c>
      <c r="I125">
        <v>2</v>
      </c>
      <c r="J125">
        <f>IF($H125=0,1,IF($I125&lt;=1,2,0))</f>
        <v>0</v>
      </c>
      <c r="K125">
        <v>0</v>
      </c>
      <c r="L125">
        <f>IF(AND($J125=0,$K125=0),0,1)</f>
        <v>0</v>
      </c>
      <c r="M125" t="s">
        <v>85</v>
      </c>
    </row>
    <row r="126" spans="1:13" x14ac:dyDescent="0.2">
      <c r="A126" t="s">
        <v>86</v>
      </c>
      <c r="B126" t="s">
        <v>71</v>
      </c>
      <c r="C126" t="s">
        <v>72</v>
      </c>
      <c r="D126">
        <v>4112</v>
      </c>
      <c r="E126">
        <v>2019</v>
      </c>
      <c r="F126">
        <v>1</v>
      </c>
      <c r="G126">
        <v>99852</v>
      </c>
      <c r="H126" s="1">
        <v>3</v>
      </c>
      <c r="I126">
        <v>8</v>
      </c>
      <c r="J126">
        <f>IF($H126=0,1,IF($I126&lt;=1,2,0))</f>
        <v>0</v>
      </c>
      <c r="K126">
        <v>0</v>
      </c>
      <c r="L126">
        <f>IF(AND($J126=0,$K126=0),0,1)</f>
        <v>0</v>
      </c>
    </row>
    <row r="127" spans="1:13" x14ac:dyDescent="0.2">
      <c r="A127" t="s">
        <v>86</v>
      </c>
      <c r="B127" t="s">
        <v>71</v>
      </c>
      <c r="C127" t="s">
        <v>72</v>
      </c>
      <c r="D127">
        <v>4130</v>
      </c>
      <c r="E127">
        <v>2019</v>
      </c>
      <c r="F127">
        <v>1</v>
      </c>
      <c r="G127">
        <v>99949</v>
      </c>
      <c r="H127" s="1">
        <v>3</v>
      </c>
      <c r="I127">
        <v>24</v>
      </c>
      <c r="J127">
        <f>IF($H127=0,1,IF($I127&lt;=1,2,0))</f>
        <v>0</v>
      </c>
      <c r="K127">
        <v>0</v>
      </c>
      <c r="L127">
        <f>IF(AND($J127=0,$K127=0),0,1)</f>
        <v>0</v>
      </c>
    </row>
    <row r="128" spans="1:13" x14ac:dyDescent="0.2">
      <c r="A128" t="s">
        <v>86</v>
      </c>
      <c r="B128" t="s">
        <v>71</v>
      </c>
      <c r="C128" t="s">
        <v>72</v>
      </c>
      <c r="D128">
        <v>4200</v>
      </c>
      <c r="E128">
        <v>2019</v>
      </c>
      <c r="F128" t="s">
        <v>87</v>
      </c>
      <c r="G128">
        <v>16322</v>
      </c>
      <c r="H128" s="1">
        <v>3</v>
      </c>
      <c r="I128">
        <v>4</v>
      </c>
      <c r="J128">
        <f>IF($H128=0,1,IF($I128&lt;=1,2,0))</f>
        <v>0</v>
      </c>
      <c r="K128">
        <v>0</v>
      </c>
      <c r="L128">
        <f>IF(AND($J128=0,$K128=0),0,1)</f>
        <v>0</v>
      </c>
      <c r="M128" t="s">
        <v>85</v>
      </c>
    </row>
    <row r="129" spans="1:13" x14ac:dyDescent="0.2">
      <c r="A129" t="s">
        <v>86</v>
      </c>
      <c r="B129" t="s">
        <v>71</v>
      </c>
      <c r="C129" t="s">
        <v>72</v>
      </c>
      <c r="D129">
        <v>4300</v>
      </c>
      <c r="E129">
        <v>2019</v>
      </c>
      <c r="F129">
        <v>1</v>
      </c>
      <c r="G129">
        <v>99948</v>
      </c>
      <c r="H129" s="1">
        <v>3</v>
      </c>
      <c r="I129">
        <v>23</v>
      </c>
      <c r="J129">
        <f>IF($H129=0,1,IF($I129&lt;=1,2,0))</f>
        <v>0</v>
      </c>
      <c r="K129">
        <v>0</v>
      </c>
      <c r="L129">
        <f>IF(AND($J129=0,$K129=0),0,1)</f>
        <v>0</v>
      </c>
    </row>
    <row r="130" spans="1:13" x14ac:dyDescent="0.2">
      <c r="A130" t="s">
        <v>86</v>
      </c>
      <c r="B130" t="s">
        <v>71</v>
      </c>
      <c r="C130" t="s">
        <v>72</v>
      </c>
      <c r="D130">
        <v>4500</v>
      </c>
      <c r="E130">
        <v>2019</v>
      </c>
      <c r="F130">
        <v>1</v>
      </c>
      <c r="G130">
        <v>99947</v>
      </c>
      <c r="H130" s="1">
        <v>3</v>
      </c>
      <c r="I130">
        <v>13</v>
      </c>
      <c r="J130">
        <f>IF($H130=0,1,IF($I130&lt;=1,2,0))</f>
        <v>0</v>
      </c>
      <c r="K130">
        <v>0</v>
      </c>
      <c r="L130">
        <f>IF(AND($J130=0,$K130=0),0,1)</f>
        <v>0</v>
      </c>
    </row>
    <row r="131" spans="1:13" x14ac:dyDescent="0.2">
      <c r="A131" t="s">
        <v>86</v>
      </c>
      <c r="B131" t="s">
        <v>71</v>
      </c>
      <c r="C131" t="s">
        <v>72</v>
      </c>
      <c r="D131">
        <v>4600</v>
      </c>
      <c r="E131">
        <v>2019</v>
      </c>
      <c r="F131">
        <v>1</v>
      </c>
      <c r="G131">
        <v>99946</v>
      </c>
      <c r="H131" s="1">
        <v>3</v>
      </c>
      <c r="I131">
        <v>11</v>
      </c>
      <c r="J131">
        <f>IF($H131=0,1,IF($I131&lt;=1,2,0))</f>
        <v>0</v>
      </c>
      <c r="K131">
        <v>0</v>
      </c>
      <c r="L131">
        <f>IF(AND($J131=0,$K131=0),0,1)</f>
        <v>0</v>
      </c>
    </row>
    <row r="132" spans="1:13" x14ac:dyDescent="0.2">
      <c r="A132" t="s">
        <v>86</v>
      </c>
      <c r="B132" t="s">
        <v>71</v>
      </c>
      <c r="C132" t="s">
        <v>72</v>
      </c>
      <c r="D132">
        <v>4710</v>
      </c>
      <c r="E132">
        <v>2019</v>
      </c>
      <c r="F132">
        <v>1</v>
      </c>
      <c r="G132">
        <v>20058</v>
      </c>
      <c r="H132" s="1">
        <v>3</v>
      </c>
      <c r="I132">
        <v>7</v>
      </c>
      <c r="J132">
        <f>IF($H132=0,1,IF($I132&lt;=1,2,0))</f>
        <v>0</v>
      </c>
      <c r="K132">
        <v>0</v>
      </c>
      <c r="L132">
        <f>IF(AND($J132=0,$K132=0),0,1)</f>
        <v>0</v>
      </c>
      <c r="M132" t="s">
        <v>88</v>
      </c>
    </row>
    <row r="133" spans="1:13" x14ac:dyDescent="0.2">
      <c r="A133" t="s">
        <v>86</v>
      </c>
      <c r="B133" t="s">
        <v>71</v>
      </c>
      <c r="C133" t="s">
        <v>72</v>
      </c>
      <c r="D133">
        <v>4901</v>
      </c>
      <c r="E133">
        <v>2019</v>
      </c>
      <c r="F133">
        <v>1</v>
      </c>
      <c r="G133">
        <v>99945</v>
      </c>
      <c r="H133" s="1">
        <v>1</v>
      </c>
      <c r="I133">
        <v>15</v>
      </c>
      <c r="J133">
        <f>IF($H133=0,1,IF($I133&lt;=1,2,0))</f>
        <v>0</v>
      </c>
      <c r="K133">
        <v>0</v>
      </c>
      <c r="L133">
        <f>IF(AND($J133=0,$K133=0),0,1)</f>
        <v>0</v>
      </c>
    </row>
    <row r="134" spans="1:13" x14ac:dyDescent="0.2">
      <c r="A134" t="s">
        <v>86</v>
      </c>
      <c r="B134" t="s">
        <v>71</v>
      </c>
      <c r="C134" t="s">
        <v>72</v>
      </c>
      <c r="D134">
        <v>4903</v>
      </c>
      <c r="E134">
        <v>2019</v>
      </c>
      <c r="F134">
        <v>1</v>
      </c>
      <c r="G134">
        <v>20057</v>
      </c>
      <c r="H134" s="1">
        <v>2</v>
      </c>
      <c r="I134">
        <v>9</v>
      </c>
      <c r="J134">
        <f>IF($H134=0,1,IF($I134&lt;=1,2,0))</f>
        <v>0</v>
      </c>
      <c r="K134">
        <v>0</v>
      </c>
      <c r="L134">
        <f>IF(AND($J134=0,$K134=0),0,1)</f>
        <v>0</v>
      </c>
    </row>
    <row r="135" spans="1:13" x14ac:dyDescent="0.2">
      <c r="A135" t="s">
        <v>86</v>
      </c>
      <c r="B135" t="s">
        <v>71</v>
      </c>
      <c r="C135" t="s">
        <v>72</v>
      </c>
      <c r="D135">
        <v>6081</v>
      </c>
      <c r="E135">
        <v>2019</v>
      </c>
      <c r="F135">
        <v>0</v>
      </c>
      <c r="G135">
        <v>10465</v>
      </c>
      <c r="H135" s="1">
        <v>3</v>
      </c>
      <c r="I135">
        <v>4</v>
      </c>
      <c r="J135">
        <f>IF($H135=0,1,IF($I135&lt;=1,2,0))</f>
        <v>0</v>
      </c>
      <c r="K135">
        <v>0</v>
      </c>
      <c r="L135">
        <f>IF(AND($J135=0,$K135=0),0,1)</f>
        <v>0</v>
      </c>
    </row>
    <row r="136" spans="1:13" x14ac:dyDescent="0.2">
      <c r="A136" t="s">
        <v>86</v>
      </c>
      <c r="B136" t="s">
        <v>71</v>
      </c>
      <c r="C136" t="s">
        <v>72</v>
      </c>
      <c r="D136">
        <v>6101</v>
      </c>
      <c r="E136">
        <v>2019</v>
      </c>
      <c r="F136">
        <v>1</v>
      </c>
      <c r="G136">
        <v>99944</v>
      </c>
      <c r="H136" s="1">
        <v>3</v>
      </c>
      <c r="I136">
        <v>5</v>
      </c>
      <c r="J136">
        <f>IF($H136=0,1,IF($I136&lt;=1,2,0))</f>
        <v>0</v>
      </c>
      <c r="K136">
        <v>0</v>
      </c>
      <c r="L136">
        <f>IF(AND($J136=0,$K136=0),0,1)</f>
        <v>0</v>
      </c>
    </row>
    <row r="137" spans="1:13" x14ac:dyDescent="0.2">
      <c r="A137" t="s">
        <v>86</v>
      </c>
      <c r="B137" t="s">
        <v>71</v>
      </c>
      <c r="C137" t="s">
        <v>72</v>
      </c>
      <c r="D137">
        <v>6333</v>
      </c>
      <c r="E137">
        <v>2019</v>
      </c>
      <c r="F137">
        <v>1</v>
      </c>
      <c r="G137">
        <v>20056</v>
      </c>
      <c r="H137" s="1">
        <v>3</v>
      </c>
      <c r="I137">
        <v>8</v>
      </c>
      <c r="J137">
        <f>IF($H137=0,1,IF($I137&lt;=1,2,0))</f>
        <v>0</v>
      </c>
      <c r="K137">
        <v>0</v>
      </c>
      <c r="L137">
        <f>IF(AND($J137=0,$K137=0),0,1)</f>
        <v>0</v>
      </c>
      <c r="M137" t="s">
        <v>89</v>
      </c>
    </row>
    <row r="138" spans="1:13" x14ac:dyDescent="0.2">
      <c r="A138" t="s">
        <v>86</v>
      </c>
      <c r="B138" t="s">
        <v>71</v>
      </c>
      <c r="C138" t="s">
        <v>72</v>
      </c>
      <c r="D138">
        <v>6336</v>
      </c>
      <c r="E138">
        <v>2019</v>
      </c>
      <c r="F138">
        <v>1</v>
      </c>
      <c r="G138">
        <v>99943</v>
      </c>
      <c r="H138" s="1">
        <v>3</v>
      </c>
      <c r="I138">
        <v>6</v>
      </c>
      <c r="J138">
        <f>IF($H138=0,1,IF($I138&lt;=1,2,0))</f>
        <v>0</v>
      </c>
      <c r="K138">
        <v>0</v>
      </c>
      <c r="L138">
        <f>IF(AND($J138=0,$K138=0),0,1)</f>
        <v>0</v>
      </c>
    </row>
    <row r="139" spans="1:13" x14ac:dyDescent="0.2">
      <c r="A139" t="s">
        <v>86</v>
      </c>
      <c r="B139" t="s">
        <v>71</v>
      </c>
      <c r="C139" t="s">
        <v>72</v>
      </c>
      <c r="D139">
        <v>6340</v>
      </c>
      <c r="E139">
        <v>2019</v>
      </c>
      <c r="F139">
        <v>1</v>
      </c>
      <c r="G139">
        <v>20055</v>
      </c>
      <c r="H139" s="1">
        <v>3</v>
      </c>
      <c r="I139">
        <v>7</v>
      </c>
      <c r="J139">
        <f>IF($H139=0,1,IF($I139&lt;=1,2,0))</f>
        <v>0</v>
      </c>
      <c r="K139">
        <v>0</v>
      </c>
      <c r="L139">
        <f>IF(AND($J139=0,$K139=0),0,1)</f>
        <v>0</v>
      </c>
      <c r="M139" t="s">
        <v>90</v>
      </c>
    </row>
    <row r="140" spans="1:13" x14ac:dyDescent="0.2">
      <c r="A140" t="s">
        <v>86</v>
      </c>
      <c r="B140" t="s">
        <v>71</v>
      </c>
      <c r="C140" t="s">
        <v>72</v>
      </c>
      <c r="D140">
        <v>6365</v>
      </c>
      <c r="E140">
        <v>2019</v>
      </c>
      <c r="F140">
        <v>1</v>
      </c>
      <c r="G140">
        <v>99942</v>
      </c>
      <c r="H140" s="1">
        <v>3</v>
      </c>
      <c r="I140">
        <v>2</v>
      </c>
      <c r="J140">
        <f>IF($H140=0,1,IF($I140&lt;=1,2,0))</f>
        <v>0</v>
      </c>
      <c r="K140">
        <v>0</v>
      </c>
      <c r="L140">
        <f>IF(AND($J140=0,$K140=0),0,1)</f>
        <v>0</v>
      </c>
      <c r="M140" t="s">
        <v>91</v>
      </c>
    </row>
    <row r="141" spans="1:13" x14ac:dyDescent="0.2">
      <c r="A141" t="s">
        <v>86</v>
      </c>
      <c r="B141" t="s">
        <v>71</v>
      </c>
      <c r="C141" t="s">
        <v>72</v>
      </c>
      <c r="D141">
        <v>6380</v>
      </c>
      <c r="E141">
        <v>2019</v>
      </c>
      <c r="F141">
        <v>1</v>
      </c>
      <c r="G141">
        <v>99851</v>
      </c>
      <c r="H141" s="1">
        <v>3</v>
      </c>
      <c r="I141">
        <v>3</v>
      </c>
      <c r="J141">
        <f>IF($H141=0,1,IF($I141&lt;=1,2,0))</f>
        <v>0</v>
      </c>
      <c r="K141">
        <v>0</v>
      </c>
      <c r="L141">
        <f>IF(AND($J141=0,$K141=0),0,1)</f>
        <v>0</v>
      </c>
      <c r="M141" t="s">
        <v>92</v>
      </c>
    </row>
    <row r="142" spans="1:13" x14ac:dyDescent="0.2">
      <c r="A142" t="s">
        <v>93</v>
      </c>
      <c r="B142" t="s">
        <v>17</v>
      </c>
      <c r="C142" t="s">
        <v>21</v>
      </c>
      <c r="D142">
        <v>1010</v>
      </c>
      <c r="E142">
        <v>2019</v>
      </c>
      <c r="F142">
        <v>1</v>
      </c>
      <c r="G142">
        <v>6940</v>
      </c>
      <c r="H142" s="1">
        <v>3</v>
      </c>
      <c r="I142">
        <v>20</v>
      </c>
      <c r="J142">
        <f>IF($H142=0,1,IF($I142&lt;=1,2,0))</f>
        <v>0</v>
      </c>
      <c r="K142">
        <v>0</v>
      </c>
      <c r="L142">
        <f>IF(AND($J142=0,$K142=0),0,1)</f>
        <v>0</v>
      </c>
      <c r="M142" t="s">
        <v>94</v>
      </c>
    </row>
    <row r="143" spans="1:13" x14ac:dyDescent="0.2">
      <c r="A143" t="s">
        <v>93</v>
      </c>
      <c r="B143" t="s">
        <v>17</v>
      </c>
      <c r="C143" t="s">
        <v>21</v>
      </c>
      <c r="D143">
        <v>1010</v>
      </c>
      <c r="E143">
        <v>2019</v>
      </c>
      <c r="F143">
        <v>2</v>
      </c>
      <c r="G143">
        <v>161</v>
      </c>
      <c r="H143" s="1">
        <v>3</v>
      </c>
      <c r="I143">
        <v>20</v>
      </c>
      <c r="J143">
        <f>IF($H143=0,1,IF($I143&lt;=1,2,0))</f>
        <v>0</v>
      </c>
      <c r="K143">
        <v>0</v>
      </c>
      <c r="L143">
        <f>IF(AND($J143=0,$K143=0),0,1)</f>
        <v>0</v>
      </c>
      <c r="M143" t="s">
        <v>95</v>
      </c>
    </row>
    <row r="144" spans="1:13" x14ac:dyDescent="0.2">
      <c r="A144" t="s">
        <v>93</v>
      </c>
      <c r="B144" t="s">
        <v>17</v>
      </c>
      <c r="C144" t="s">
        <v>21</v>
      </c>
      <c r="D144">
        <v>1020</v>
      </c>
      <c r="E144">
        <v>2019</v>
      </c>
      <c r="F144">
        <v>1</v>
      </c>
      <c r="G144">
        <v>6953</v>
      </c>
      <c r="H144" s="1">
        <v>3</v>
      </c>
      <c r="I144">
        <v>13</v>
      </c>
      <c r="J144">
        <f>IF($H144=0,1,IF($I144&lt;=1,2,0))</f>
        <v>0</v>
      </c>
      <c r="K144">
        <v>0</v>
      </c>
      <c r="L144">
        <f>IF(AND($J144=0,$K144=0),0,1)</f>
        <v>0</v>
      </c>
      <c r="M144" t="s">
        <v>96</v>
      </c>
    </row>
    <row r="145" spans="1:13" x14ac:dyDescent="0.2">
      <c r="A145" t="s">
        <v>93</v>
      </c>
      <c r="B145" t="s">
        <v>17</v>
      </c>
      <c r="C145" t="s">
        <v>21</v>
      </c>
      <c r="D145">
        <v>3101</v>
      </c>
      <c r="E145">
        <v>2019</v>
      </c>
      <c r="F145">
        <v>1</v>
      </c>
      <c r="G145">
        <v>6943</v>
      </c>
      <c r="H145" s="1">
        <v>4</v>
      </c>
      <c r="I145">
        <v>15</v>
      </c>
      <c r="J145">
        <f>IF($H145=0,1,IF($I145&lt;=1,2,0))</f>
        <v>0</v>
      </c>
      <c r="K145">
        <v>0</v>
      </c>
      <c r="L145">
        <f>IF(AND($J145=0,$K145=0),0,1)</f>
        <v>0</v>
      </c>
      <c r="M145" t="s">
        <v>96</v>
      </c>
    </row>
    <row r="146" spans="1:13" x14ac:dyDescent="0.2">
      <c r="A146" t="s">
        <v>93</v>
      </c>
      <c r="B146" t="s">
        <v>17</v>
      </c>
      <c r="C146" t="s">
        <v>21</v>
      </c>
      <c r="D146">
        <v>3101</v>
      </c>
      <c r="E146">
        <v>2019</v>
      </c>
      <c r="F146">
        <v>2</v>
      </c>
      <c r="G146">
        <v>6944</v>
      </c>
      <c r="H146" s="1">
        <v>4</v>
      </c>
      <c r="I146">
        <v>10</v>
      </c>
      <c r="J146">
        <f>IF($H146=0,1,IF($I146&lt;=1,2,0))</f>
        <v>0</v>
      </c>
      <c r="K146">
        <v>0</v>
      </c>
      <c r="L146">
        <f>IF(AND($J146=0,$K146=0),0,1)</f>
        <v>0</v>
      </c>
      <c r="M146" t="s">
        <v>96</v>
      </c>
    </row>
    <row r="147" spans="1:13" x14ac:dyDescent="0.2">
      <c r="A147" t="s">
        <v>93</v>
      </c>
      <c r="B147" t="s">
        <v>17</v>
      </c>
      <c r="C147" t="s">
        <v>21</v>
      </c>
      <c r="D147">
        <v>3103</v>
      </c>
      <c r="E147">
        <v>2019</v>
      </c>
      <c r="F147">
        <v>1</v>
      </c>
      <c r="G147">
        <v>6945</v>
      </c>
      <c r="H147" s="1">
        <v>4</v>
      </c>
      <c r="I147">
        <v>15</v>
      </c>
      <c r="J147">
        <f>IF($H147=0,1,IF($I147&lt;=1,2,0))</f>
        <v>0</v>
      </c>
      <c r="K147">
        <v>0</v>
      </c>
      <c r="L147">
        <f>IF(AND($J147=0,$K147=0),0,1)</f>
        <v>0</v>
      </c>
      <c r="M147" t="s">
        <v>96</v>
      </c>
    </row>
    <row r="148" spans="1:13" x14ac:dyDescent="0.2">
      <c r="A148" t="s">
        <v>93</v>
      </c>
      <c r="B148" t="s">
        <v>17</v>
      </c>
      <c r="C148" t="s">
        <v>21</v>
      </c>
      <c r="D148">
        <v>3201</v>
      </c>
      <c r="E148">
        <v>2019</v>
      </c>
      <c r="F148">
        <v>1</v>
      </c>
      <c r="G148">
        <v>6952</v>
      </c>
      <c r="H148" s="1">
        <v>4.5</v>
      </c>
      <c r="I148">
        <v>23</v>
      </c>
      <c r="J148">
        <f>IF($H148=0,1,IF($I148&lt;=1,2,0))</f>
        <v>0</v>
      </c>
      <c r="K148">
        <v>0</v>
      </c>
      <c r="L148">
        <f>IF(AND($J148=0,$K148=0),0,1)</f>
        <v>0</v>
      </c>
      <c r="M148" t="s">
        <v>97</v>
      </c>
    </row>
    <row r="149" spans="1:13" x14ac:dyDescent="0.2">
      <c r="A149" t="s">
        <v>93</v>
      </c>
      <c r="B149" t="s">
        <v>17</v>
      </c>
      <c r="C149" t="s">
        <v>21</v>
      </c>
      <c r="D149">
        <v>3211</v>
      </c>
      <c r="E149">
        <v>2019</v>
      </c>
      <c r="F149">
        <v>1</v>
      </c>
      <c r="G149">
        <v>6941</v>
      </c>
      <c r="H149" s="1">
        <v>4.5</v>
      </c>
      <c r="I149">
        <v>10</v>
      </c>
      <c r="J149">
        <f>IF($H149=0,1,IF($I149&lt;=1,2,0))</f>
        <v>0</v>
      </c>
      <c r="K149">
        <v>0</v>
      </c>
      <c r="L149">
        <f>IF(AND($J149=0,$K149=0),0,1)</f>
        <v>0</v>
      </c>
      <c r="M149" t="s">
        <v>98</v>
      </c>
    </row>
    <row r="150" spans="1:13" x14ac:dyDescent="0.2">
      <c r="A150" t="s">
        <v>93</v>
      </c>
      <c r="B150" t="s">
        <v>17</v>
      </c>
      <c r="C150" t="s">
        <v>21</v>
      </c>
      <c r="D150">
        <v>3312</v>
      </c>
      <c r="E150">
        <v>2019</v>
      </c>
      <c r="F150">
        <v>2</v>
      </c>
      <c r="G150">
        <v>6956</v>
      </c>
      <c r="H150" s="1">
        <v>3</v>
      </c>
      <c r="I150">
        <v>9</v>
      </c>
      <c r="J150">
        <f>IF($H150=0,1,IF($I150&lt;=1,2,0))</f>
        <v>0</v>
      </c>
      <c r="K150">
        <v>0</v>
      </c>
      <c r="L150">
        <f>IF(AND($J150=0,$K150=0),0,1)</f>
        <v>0</v>
      </c>
      <c r="M150" t="s">
        <v>96</v>
      </c>
    </row>
    <row r="151" spans="1:13" x14ac:dyDescent="0.2">
      <c r="A151" t="s">
        <v>93</v>
      </c>
      <c r="B151" t="s">
        <v>17</v>
      </c>
      <c r="C151" t="s">
        <v>21</v>
      </c>
      <c r="D151">
        <v>3312</v>
      </c>
      <c r="E151">
        <v>2019</v>
      </c>
      <c r="F151">
        <v>1</v>
      </c>
      <c r="G151">
        <v>6957</v>
      </c>
      <c r="H151" s="1">
        <v>3</v>
      </c>
      <c r="I151">
        <v>6</v>
      </c>
      <c r="J151">
        <f>IF($H151=0,1,IF($I151&lt;=1,2,0))</f>
        <v>0</v>
      </c>
      <c r="K151">
        <v>0</v>
      </c>
      <c r="L151">
        <f>IF(AND($J151=0,$K151=0),0,1)</f>
        <v>0</v>
      </c>
      <c r="M151" t="s">
        <v>96</v>
      </c>
    </row>
    <row r="152" spans="1:13" x14ac:dyDescent="0.2">
      <c r="A152" t="s">
        <v>93</v>
      </c>
      <c r="B152" t="s">
        <v>17</v>
      </c>
      <c r="C152" t="s">
        <v>9</v>
      </c>
      <c r="D152">
        <v>3501</v>
      </c>
      <c r="E152">
        <v>2019</v>
      </c>
      <c r="F152">
        <v>1</v>
      </c>
      <c r="G152">
        <v>6958</v>
      </c>
      <c r="H152" s="1">
        <v>3</v>
      </c>
      <c r="I152">
        <v>13</v>
      </c>
      <c r="J152">
        <f>IF($H152=0,1,IF($I152&lt;=1,2,0))</f>
        <v>0</v>
      </c>
      <c r="K152">
        <v>0</v>
      </c>
      <c r="L152">
        <f>IF(AND($J152=0,$K152=0),0,1)</f>
        <v>0</v>
      </c>
      <c r="M152" t="s">
        <v>99</v>
      </c>
    </row>
    <row r="153" spans="1:13" x14ac:dyDescent="0.2">
      <c r="A153" t="s">
        <v>93</v>
      </c>
      <c r="B153" t="s">
        <v>17</v>
      </c>
      <c r="C153" t="s">
        <v>21</v>
      </c>
      <c r="D153">
        <v>3901</v>
      </c>
      <c r="E153">
        <v>2019</v>
      </c>
      <c r="F153">
        <v>1</v>
      </c>
      <c r="G153">
        <v>6955</v>
      </c>
      <c r="H153" s="1">
        <v>4</v>
      </c>
      <c r="I153">
        <v>10</v>
      </c>
      <c r="J153">
        <f>IF($H153=0,1,IF($I153&lt;=1,2,0))</f>
        <v>0</v>
      </c>
      <c r="K153">
        <v>0</v>
      </c>
      <c r="L153">
        <f>IF(AND($J153=0,$K153=0),0,1)</f>
        <v>0</v>
      </c>
      <c r="M153" t="s">
        <v>100</v>
      </c>
    </row>
    <row r="154" spans="1:13" x14ac:dyDescent="0.2">
      <c r="A154" t="s">
        <v>129</v>
      </c>
      <c r="B154" t="s">
        <v>6</v>
      </c>
      <c r="C154" t="s">
        <v>21</v>
      </c>
      <c r="D154">
        <v>1359</v>
      </c>
      <c r="E154">
        <v>2019</v>
      </c>
      <c r="F154">
        <v>1</v>
      </c>
      <c r="G154">
        <v>44383</v>
      </c>
      <c r="H154" s="1">
        <v>4</v>
      </c>
      <c r="I154">
        <v>81</v>
      </c>
      <c r="J154">
        <f>IF($H154=0,1,IF($I154&lt;=1,2,0))</f>
        <v>0</v>
      </c>
      <c r="K154">
        <v>0</v>
      </c>
      <c r="L154">
        <f>IF(AND($J154=0,$K154=0),0,1)</f>
        <v>0</v>
      </c>
    </row>
    <row r="155" spans="1:13" x14ac:dyDescent="0.2">
      <c r="A155" t="s">
        <v>129</v>
      </c>
      <c r="B155" t="s">
        <v>6</v>
      </c>
      <c r="C155" t="s">
        <v>21</v>
      </c>
      <c r="D155">
        <v>1361</v>
      </c>
      <c r="E155">
        <v>2019</v>
      </c>
      <c r="F155">
        <v>1</v>
      </c>
      <c r="G155">
        <v>44438</v>
      </c>
      <c r="H155" s="1">
        <v>4</v>
      </c>
      <c r="I155">
        <v>74</v>
      </c>
      <c r="J155">
        <f>IF($H155=0,1,IF($I155&lt;=1,2,0))</f>
        <v>0</v>
      </c>
      <c r="K155">
        <v>0</v>
      </c>
      <c r="L155">
        <f>IF(AND($J155=0,$K155=0),0,1)</f>
        <v>0</v>
      </c>
    </row>
    <row r="156" spans="1:13" x14ac:dyDescent="0.2">
      <c r="A156" t="s">
        <v>129</v>
      </c>
      <c r="B156" t="s">
        <v>6</v>
      </c>
      <c r="C156" t="s">
        <v>21</v>
      </c>
      <c r="D156">
        <v>1365</v>
      </c>
      <c r="E156">
        <v>2019</v>
      </c>
      <c r="F156">
        <v>1</v>
      </c>
      <c r="G156">
        <v>44512</v>
      </c>
      <c r="H156" s="1">
        <v>4</v>
      </c>
      <c r="I156">
        <v>89</v>
      </c>
      <c r="J156">
        <f>IF($H156=0,1,IF($I156&lt;=1,2,0))</f>
        <v>0</v>
      </c>
      <c r="K156">
        <v>0</v>
      </c>
      <c r="L156">
        <f>IF(AND($J156=0,$K156=0),0,1)</f>
        <v>0</v>
      </c>
    </row>
    <row r="157" spans="1:13" x14ac:dyDescent="0.2">
      <c r="A157" t="s">
        <v>129</v>
      </c>
      <c r="B157" t="s">
        <v>6</v>
      </c>
      <c r="C157" t="s">
        <v>9</v>
      </c>
      <c r="D157">
        <v>1367</v>
      </c>
      <c r="E157">
        <v>2019</v>
      </c>
      <c r="F157">
        <v>1</v>
      </c>
      <c r="G157">
        <v>44384</v>
      </c>
      <c r="H157" s="1">
        <v>4</v>
      </c>
      <c r="I157">
        <v>54</v>
      </c>
      <c r="J157">
        <f>IF($H157=0,1,IF($I157&lt;=1,2,0))</f>
        <v>0</v>
      </c>
      <c r="K157">
        <v>0</v>
      </c>
      <c r="L157">
        <f>IF(AND($J157=0,$K157=0),0,1)</f>
        <v>0</v>
      </c>
    </row>
    <row r="158" spans="1:13" x14ac:dyDescent="0.2">
      <c r="A158" t="s">
        <v>130</v>
      </c>
      <c r="B158" t="s">
        <v>6</v>
      </c>
      <c r="C158" t="s">
        <v>21</v>
      </c>
      <c r="D158">
        <v>2003</v>
      </c>
      <c r="E158">
        <v>2019</v>
      </c>
      <c r="F158">
        <v>1</v>
      </c>
      <c r="G158">
        <v>41147</v>
      </c>
      <c r="H158" s="1">
        <v>4</v>
      </c>
      <c r="I158">
        <v>34</v>
      </c>
      <c r="J158">
        <f>IF($H158=0,1,IF($I158&lt;=1,2,0))</f>
        <v>0</v>
      </c>
      <c r="K158">
        <v>0</v>
      </c>
      <c r="L158">
        <f>IF(AND($J158=0,$K158=0),0,1)</f>
        <v>0</v>
      </c>
      <c r="M158" t="s">
        <v>1891</v>
      </c>
    </row>
    <row r="159" spans="1:13" x14ac:dyDescent="0.2">
      <c r="A159" t="s">
        <v>130</v>
      </c>
      <c r="B159" t="s">
        <v>6</v>
      </c>
      <c r="C159" t="s">
        <v>21</v>
      </c>
      <c r="D159">
        <v>2357</v>
      </c>
      <c r="E159">
        <v>2019</v>
      </c>
      <c r="F159">
        <v>1</v>
      </c>
      <c r="G159">
        <v>7120</v>
      </c>
      <c r="H159" s="1">
        <v>4</v>
      </c>
      <c r="I159">
        <v>36</v>
      </c>
      <c r="J159">
        <f>IF($H159=0,1,IF($I159&lt;=1,2,0))</f>
        <v>0</v>
      </c>
      <c r="K159">
        <v>0</v>
      </c>
      <c r="L159">
        <f>IF(AND($J159=0,$K159=0),0,1)</f>
        <v>0</v>
      </c>
    </row>
    <row r="160" spans="1:13" x14ac:dyDescent="0.2">
      <c r="A160" t="s">
        <v>132</v>
      </c>
      <c r="B160" t="s">
        <v>133</v>
      </c>
      <c r="C160" t="s">
        <v>9</v>
      </c>
      <c r="D160">
        <v>1403</v>
      </c>
      <c r="E160">
        <v>2019</v>
      </c>
      <c r="F160">
        <v>1</v>
      </c>
      <c r="G160">
        <v>60262</v>
      </c>
      <c r="H160" s="1">
        <v>3</v>
      </c>
      <c r="I160">
        <v>49</v>
      </c>
      <c r="J160">
        <f>IF($H160=0,1,IF($I160&lt;=1,2,0))</f>
        <v>0</v>
      </c>
      <c r="K160">
        <v>0</v>
      </c>
      <c r="L160">
        <f>IF(AND($J160=0,$K160=0),0,1)</f>
        <v>0</v>
      </c>
    </row>
    <row r="161" spans="1:13" x14ac:dyDescent="0.2">
      <c r="A161" t="s">
        <v>132</v>
      </c>
      <c r="B161" t="s">
        <v>133</v>
      </c>
      <c r="C161" t="s">
        <v>9</v>
      </c>
      <c r="D161">
        <v>1404</v>
      </c>
      <c r="E161">
        <v>2019</v>
      </c>
      <c r="F161">
        <v>1</v>
      </c>
      <c r="G161">
        <v>60256</v>
      </c>
      <c r="H161" s="1">
        <v>3</v>
      </c>
      <c r="I161">
        <v>62</v>
      </c>
      <c r="J161">
        <f>IF($H161=0,1,IF($I161&lt;=1,2,0))</f>
        <v>0</v>
      </c>
      <c r="K161">
        <v>0</v>
      </c>
      <c r="L161">
        <f>IF(AND($J161=0,$K161=0),0,1)</f>
        <v>0</v>
      </c>
    </row>
    <row r="162" spans="1:13" x14ac:dyDescent="0.2">
      <c r="A162" t="s">
        <v>132</v>
      </c>
      <c r="B162" t="s">
        <v>133</v>
      </c>
      <c r="C162" t="s">
        <v>9</v>
      </c>
      <c r="D162">
        <v>1420</v>
      </c>
      <c r="E162">
        <v>2019</v>
      </c>
      <c r="F162">
        <v>1</v>
      </c>
      <c r="G162">
        <v>60274</v>
      </c>
      <c r="H162" s="1">
        <v>3</v>
      </c>
      <c r="I162">
        <v>50</v>
      </c>
      <c r="J162">
        <f>IF($H162=0,1,IF($I162&lt;=1,2,0))</f>
        <v>0</v>
      </c>
      <c r="K162">
        <v>0</v>
      </c>
      <c r="L162">
        <f>IF(AND($J162=0,$K162=0),0,1)</f>
        <v>0</v>
      </c>
    </row>
    <row r="163" spans="1:13" x14ac:dyDescent="0.2">
      <c r="A163" t="s">
        <v>132</v>
      </c>
      <c r="B163" t="s">
        <v>133</v>
      </c>
      <c r="C163" t="s">
        <v>9</v>
      </c>
      <c r="D163">
        <v>1836</v>
      </c>
      <c r="E163">
        <v>2019</v>
      </c>
      <c r="F163">
        <v>1</v>
      </c>
      <c r="G163">
        <v>60271</v>
      </c>
      <c r="H163" s="1">
        <v>3</v>
      </c>
      <c r="I163">
        <v>37</v>
      </c>
      <c r="J163">
        <f>IF($H163=0,1,IF($I163&lt;=1,2,0))</f>
        <v>0</v>
      </c>
      <c r="K163">
        <v>0</v>
      </c>
      <c r="L163">
        <f>IF(AND($J163=0,$K163=0),0,1)</f>
        <v>0</v>
      </c>
    </row>
    <row r="164" spans="1:13" x14ac:dyDescent="0.2">
      <c r="A164" t="s">
        <v>132</v>
      </c>
      <c r="B164" t="s">
        <v>133</v>
      </c>
      <c r="C164" t="s">
        <v>9</v>
      </c>
      <c r="D164">
        <v>1903</v>
      </c>
      <c r="E164">
        <v>2019</v>
      </c>
      <c r="F164">
        <v>2</v>
      </c>
      <c r="G164">
        <v>9067</v>
      </c>
      <c r="H164" s="1">
        <v>1</v>
      </c>
      <c r="I164">
        <v>12</v>
      </c>
      <c r="J164">
        <f>IF($H164=0,1,IF($I164&lt;=1,2,0))</f>
        <v>0</v>
      </c>
      <c r="K164">
        <v>0</v>
      </c>
      <c r="L164">
        <f>IF(AND($J164=0,$K164=0),0,1)</f>
        <v>0</v>
      </c>
    </row>
    <row r="165" spans="1:13" x14ac:dyDescent="0.2">
      <c r="A165" t="s">
        <v>132</v>
      </c>
      <c r="B165" t="s">
        <v>133</v>
      </c>
      <c r="C165" t="s">
        <v>9</v>
      </c>
      <c r="D165">
        <v>1903</v>
      </c>
      <c r="E165">
        <v>2019</v>
      </c>
      <c r="F165">
        <v>1</v>
      </c>
      <c r="G165">
        <v>9066</v>
      </c>
      <c r="H165" s="1">
        <v>1</v>
      </c>
      <c r="I165">
        <v>7</v>
      </c>
      <c r="J165">
        <f>IF($H165=0,1,IF($I165&lt;=1,2,0))</f>
        <v>0</v>
      </c>
      <c r="K165">
        <v>0</v>
      </c>
      <c r="L165">
        <f>IF(AND($J165=0,$K165=0),0,1)</f>
        <v>0</v>
      </c>
    </row>
    <row r="166" spans="1:13" x14ac:dyDescent="0.2">
      <c r="A166" t="s">
        <v>132</v>
      </c>
      <c r="B166" t="s">
        <v>133</v>
      </c>
      <c r="C166" t="s">
        <v>9</v>
      </c>
      <c r="D166">
        <v>1903</v>
      </c>
      <c r="E166">
        <v>2019</v>
      </c>
      <c r="F166">
        <v>3</v>
      </c>
      <c r="G166">
        <v>9068</v>
      </c>
      <c r="H166" s="1">
        <v>1</v>
      </c>
      <c r="I166">
        <v>7</v>
      </c>
      <c r="J166">
        <f>IF($H166=0,1,IF($I166&lt;=1,2,0))</f>
        <v>0</v>
      </c>
      <c r="K166">
        <v>0</v>
      </c>
      <c r="L166">
        <f>IF(AND($J166=0,$K166=0),0,1)</f>
        <v>0</v>
      </c>
    </row>
    <row r="167" spans="1:13" x14ac:dyDescent="0.2">
      <c r="A167" t="s">
        <v>132</v>
      </c>
      <c r="B167" t="s">
        <v>133</v>
      </c>
      <c r="C167" t="s">
        <v>9</v>
      </c>
      <c r="D167">
        <v>1904</v>
      </c>
      <c r="E167">
        <v>2019</v>
      </c>
      <c r="F167">
        <v>1</v>
      </c>
      <c r="G167">
        <v>9064</v>
      </c>
      <c r="H167" s="1">
        <v>1</v>
      </c>
      <c r="I167">
        <v>10</v>
      </c>
      <c r="J167">
        <f>IF($H167=0,1,IF($I167&lt;=1,2,0))</f>
        <v>0</v>
      </c>
      <c r="K167">
        <v>0</v>
      </c>
      <c r="L167">
        <f>IF(AND($J167=0,$K167=0),0,1)</f>
        <v>0</v>
      </c>
    </row>
    <row r="168" spans="1:13" x14ac:dyDescent="0.2">
      <c r="A168" t="s">
        <v>132</v>
      </c>
      <c r="B168" t="s">
        <v>133</v>
      </c>
      <c r="C168" t="s">
        <v>9</v>
      </c>
      <c r="D168">
        <v>2001</v>
      </c>
      <c r="E168">
        <v>2019</v>
      </c>
      <c r="F168">
        <v>1</v>
      </c>
      <c r="G168">
        <v>60259</v>
      </c>
      <c r="H168" s="1">
        <v>3</v>
      </c>
      <c r="I168">
        <v>32</v>
      </c>
      <c r="J168">
        <f>IF($H168=0,1,IF($I168&lt;=1,2,0))</f>
        <v>0</v>
      </c>
      <c r="K168">
        <v>0</v>
      </c>
      <c r="L168">
        <f>IF(AND($J168=0,$K168=0),0,1)</f>
        <v>0</v>
      </c>
    </row>
    <row r="169" spans="1:13" x14ac:dyDescent="0.2">
      <c r="A169" t="s">
        <v>132</v>
      </c>
      <c r="B169" t="s">
        <v>133</v>
      </c>
      <c r="C169" t="s">
        <v>9</v>
      </c>
      <c r="D169">
        <v>2900</v>
      </c>
      <c r="E169">
        <v>2019</v>
      </c>
      <c r="F169">
        <v>1</v>
      </c>
      <c r="G169">
        <v>60260</v>
      </c>
      <c r="H169" s="1">
        <v>1</v>
      </c>
      <c r="I169">
        <v>37</v>
      </c>
      <c r="J169">
        <f>IF($H169=0,1,IF($I169&lt;=1,2,0))</f>
        <v>0</v>
      </c>
      <c r="K169">
        <v>0</v>
      </c>
      <c r="L169">
        <f>IF(AND($J169=0,$K169=0),0,1)</f>
        <v>0</v>
      </c>
    </row>
    <row r="170" spans="1:13" x14ac:dyDescent="0.2">
      <c r="A170" t="s">
        <v>132</v>
      </c>
      <c r="B170" t="s">
        <v>133</v>
      </c>
      <c r="C170" t="s">
        <v>9</v>
      </c>
      <c r="D170">
        <v>3106</v>
      </c>
      <c r="E170">
        <v>2019</v>
      </c>
      <c r="F170">
        <v>1</v>
      </c>
      <c r="G170">
        <v>60276</v>
      </c>
      <c r="H170" s="1">
        <v>3</v>
      </c>
      <c r="I170">
        <v>30</v>
      </c>
      <c r="J170">
        <f>IF($H170=0,1,IF($I170&lt;=1,2,0))</f>
        <v>0</v>
      </c>
      <c r="K170">
        <v>0</v>
      </c>
      <c r="L170">
        <f>IF(AND($J170=0,$K170=0),0,1)</f>
        <v>0</v>
      </c>
    </row>
    <row r="171" spans="1:13" x14ac:dyDescent="0.2">
      <c r="A171" t="s">
        <v>132</v>
      </c>
      <c r="B171" t="s">
        <v>133</v>
      </c>
      <c r="C171" t="s">
        <v>9</v>
      </c>
      <c r="D171">
        <v>4303</v>
      </c>
      <c r="E171">
        <v>2019</v>
      </c>
      <c r="F171">
        <v>1</v>
      </c>
      <c r="G171">
        <v>10467</v>
      </c>
      <c r="H171" s="1">
        <v>3</v>
      </c>
      <c r="I171">
        <v>16</v>
      </c>
      <c r="J171">
        <f>IF($H171=0,1,IF($I171&lt;=1,2,0))</f>
        <v>0</v>
      </c>
      <c r="K171">
        <v>0</v>
      </c>
      <c r="L171">
        <f>IF(AND($J171=0,$K171=0),0,1)</f>
        <v>0</v>
      </c>
    </row>
    <row r="172" spans="1:13" x14ac:dyDescent="0.2">
      <c r="A172" t="s">
        <v>132</v>
      </c>
      <c r="B172" t="s">
        <v>133</v>
      </c>
      <c r="C172" t="s">
        <v>11</v>
      </c>
      <c r="D172">
        <v>6001</v>
      </c>
      <c r="E172">
        <v>2019</v>
      </c>
      <c r="F172">
        <v>1</v>
      </c>
      <c r="G172">
        <v>60275</v>
      </c>
      <c r="H172" s="1">
        <v>3</v>
      </c>
      <c r="I172">
        <v>8</v>
      </c>
      <c r="J172">
        <f>IF($H172=0,1,IF($I172&lt;=1,2,0))</f>
        <v>0</v>
      </c>
      <c r="K172">
        <v>0</v>
      </c>
      <c r="L172">
        <f>IF(AND($J172=0,$K172=0),0,1)</f>
        <v>0</v>
      </c>
    </row>
    <row r="173" spans="1:13" x14ac:dyDescent="0.2">
      <c r="A173" t="s">
        <v>132</v>
      </c>
      <c r="B173" t="s">
        <v>133</v>
      </c>
      <c r="C173" t="s">
        <v>11</v>
      </c>
      <c r="D173">
        <v>8003</v>
      </c>
      <c r="E173">
        <v>2019</v>
      </c>
      <c r="F173">
        <v>1</v>
      </c>
      <c r="G173">
        <v>60278</v>
      </c>
      <c r="H173" s="1">
        <v>3</v>
      </c>
      <c r="I173">
        <v>5</v>
      </c>
      <c r="J173">
        <f>IF($H173=0,1,IF($I173&lt;=1,2,0))</f>
        <v>0</v>
      </c>
      <c r="K173">
        <v>0</v>
      </c>
      <c r="L173">
        <f>IF(AND($J173=0,$K173=0),0,1)</f>
        <v>0</v>
      </c>
    </row>
    <row r="174" spans="1:13" x14ac:dyDescent="0.2">
      <c r="A174" t="s">
        <v>134</v>
      </c>
      <c r="B174" t="s">
        <v>133</v>
      </c>
      <c r="C174" t="s">
        <v>9</v>
      </c>
      <c r="D174">
        <v>3300</v>
      </c>
      <c r="E174">
        <v>2019</v>
      </c>
      <c r="F174">
        <v>1</v>
      </c>
      <c r="G174">
        <v>52847</v>
      </c>
      <c r="H174" s="1">
        <v>3</v>
      </c>
      <c r="I174">
        <v>58</v>
      </c>
      <c r="J174">
        <f>IF($H174=0,1,IF($I174&lt;=1,2,0))</f>
        <v>0</v>
      </c>
      <c r="K174">
        <v>0</v>
      </c>
      <c r="L174">
        <f>IF(AND($J174=0,$K174=0),0,1)</f>
        <v>0</v>
      </c>
      <c r="M174" t="s">
        <v>1892</v>
      </c>
    </row>
    <row r="175" spans="1:13" x14ac:dyDescent="0.2">
      <c r="A175" t="s">
        <v>134</v>
      </c>
      <c r="B175" t="s">
        <v>133</v>
      </c>
      <c r="C175" t="s">
        <v>7</v>
      </c>
      <c r="D175">
        <v>3501</v>
      </c>
      <c r="E175">
        <v>2019</v>
      </c>
      <c r="F175">
        <v>1</v>
      </c>
      <c r="G175">
        <v>52816</v>
      </c>
      <c r="H175" s="1">
        <v>4</v>
      </c>
      <c r="I175">
        <v>99</v>
      </c>
      <c r="J175">
        <f>IF($H175=0,1,IF($I175&lt;=1,2,0))</f>
        <v>0</v>
      </c>
      <c r="K175">
        <v>0</v>
      </c>
      <c r="L175">
        <f>IF(AND($J175=0,$K175=0),0,1)</f>
        <v>0</v>
      </c>
      <c r="M175" t="s">
        <v>135</v>
      </c>
    </row>
    <row r="176" spans="1:13" x14ac:dyDescent="0.2">
      <c r="A176" t="s">
        <v>134</v>
      </c>
      <c r="B176" t="s">
        <v>133</v>
      </c>
      <c r="C176" t="s">
        <v>9</v>
      </c>
      <c r="D176">
        <v>4323</v>
      </c>
      <c r="E176">
        <v>2019</v>
      </c>
      <c r="F176">
        <v>1</v>
      </c>
      <c r="G176">
        <v>52800</v>
      </c>
      <c r="H176" s="1">
        <v>4</v>
      </c>
      <c r="I176">
        <v>8</v>
      </c>
      <c r="J176">
        <f>IF($H176=0,1,IF($I176&lt;=1,2,0))</f>
        <v>0</v>
      </c>
      <c r="K176">
        <v>0</v>
      </c>
      <c r="L176">
        <f>IF(AND($J176=0,$K176=0),0,1)</f>
        <v>0</v>
      </c>
      <c r="M176" t="s">
        <v>137</v>
      </c>
    </row>
    <row r="177" spans="1:13" x14ac:dyDescent="0.2">
      <c r="A177" t="s">
        <v>134</v>
      </c>
      <c r="B177" t="s">
        <v>133</v>
      </c>
      <c r="C177" t="s">
        <v>9</v>
      </c>
      <c r="D177">
        <v>4501</v>
      </c>
      <c r="E177">
        <v>2019</v>
      </c>
      <c r="F177">
        <v>1</v>
      </c>
      <c r="G177">
        <v>52801</v>
      </c>
      <c r="H177" s="1">
        <v>4</v>
      </c>
      <c r="I177">
        <v>4</v>
      </c>
      <c r="J177">
        <f>IF($H177=0,1,IF($I177&lt;=1,2,0))</f>
        <v>0</v>
      </c>
      <c r="K177">
        <v>0</v>
      </c>
      <c r="L177">
        <f>IF(AND($J177=0,$K177=0),0,1)</f>
        <v>0</v>
      </c>
      <c r="M177" t="s">
        <v>135</v>
      </c>
    </row>
    <row r="178" spans="1:13" x14ac:dyDescent="0.2">
      <c r="A178" t="s">
        <v>134</v>
      </c>
      <c r="B178" t="s">
        <v>133</v>
      </c>
      <c r="C178" t="s">
        <v>11</v>
      </c>
      <c r="D178">
        <v>6300</v>
      </c>
      <c r="E178">
        <v>2019</v>
      </c>
      <c r="F178">
        <v>1</v>
      </c>
      <c r="G178">
        <v>14225</v>
      </c>
      <c r="H178" s="1">
        <v>4.5</v>
      </c>
      <c r="I178">
        <v>47</v>
      </c>
      <c r="J178">
        <f>IF($H178=0,1,IF($I178&lt;=1,2,0))</f>
        <v>0</v>
      </c>
      <c r="K178">
        <v>0</v>
      </c>
      <c r="L178">
        <f>IF(AND($J178=0,$K178=0),0,1)</f>
        <v>0</v>
      </c>
    </row>
    <row r="179" spans="1:13" x14ac:dyDescent="0.2">
      <c r="A179" t="s">
        <v>138</v>
      </c>
      <c r="B179" t="s">
        <v>17</v>
      </c>
      <c r="C179" t="s">
        <v>9</v>
      </c>
      <c r="D179">
        <v>1101</v>
      </c>
      <c r="E179">
        <v>2019</v>
      </c>
      <c r="F179">
        <v>1</v>
      </c>
      <c r="G179">
        <v>53908</v>
      </c>
      <c r="H179" s="1">
        <v>4</v>
      </c>
      <c r="I179">
        <v>15</v>
      </c>
      <c r="J179">
        <f>IF($H179=0,1,IF($I179&lt;=1,2,0))</f>
        <v>0</v>
      </c>
      <c r="K179">
        <v>0</v>
      </c>
      <c r="L179">
        <f>IF(AND($J179=0,$K179=0),0,1)</f>
        <v>0</v>
      </c>
    </row>
    <row r="180" spans="1:13" x14ac:dyDescent="0.2">
      <c r="A180" t="s">
        <v>138</v>
      </c>
      <c r="B180" t="s">
        <v>17</v>
      </c>
      <c r="C180" t="s">
        <v>9</v>
      </c>
      <c r="D180">
        <v>2101</v>
      </c>
      <c r="E180">
        <v>2019</v>
      </c>
      <c r="F180">
        <v>1</v>
      </c>
      <c r="G180">
        <v>53909</v>
      </c>
      <c r="H180" s="1">
        <v>4</v>
      </c>
      <c r="I180">
        <v>2</v>
      </c>
      <c r="J180">
        <f>IF($H180=0,1,IF($I180&lt;=1,2,0))</f>
        <v>0</v>
      </c>
      <c r="K180">
        <v>0</v>
      </c>
      <c r="L180">
        <f>IF(AND($J180=0,$K180=0),0,1)</f>
        <v>0</v>
      </c>
    </row>
    <row r="181" spans="1:13" x14ac:dyDescent="0.2">
      <c r="A181" t="s">
        <v>138</v>
      </c>
      <c r="B181" t="s">
        <v>17</v>
      </c>
      <c r="C181" t="s">
        <v>9</v>
      </c>
      <c r="D181">
        <v>4331</v>
      </c>
      <c r="E181">
        <v>2019</v>
      </c>
      <c r="F181">
        <v>1</v>
      </c>
      <c r="G181">
        <v>53910</v>
      </c>
      <c r="H181" s="1">
        <v>3</v>
      </c>
      <c r="I181">
        <v>3</v>
      </c>
      <c r="J181">
        <f>IF($H181=0,1,IF($I181&lt;=1,2,0))</f>
        <v>0</v>
      </c>
      <c r="K181">
        <v>0</v>
      </c>
      <c r="L181">
        <f>IF(AND($J181=0,$K181=0),0,1)</f>
        <v>0</v>
      </c>
    </row>
    <row r="182" spans="1:13" x14ac:dyDescent="0.2">
      <c r="A182" t="s">
        <v>139</v>
      </c>
      <c r="B182" t="s">
        <v>17</v>
      </c>
      <c r="C182" t="s">
        <v>9</v>
      </c>
      <c r="D182">
        <v>1101</v>
      </c>
      <c r="E182">
        <v>2019</v>
      </c>
      <c r="F182">
        <v>1</v>
      </c>
      <c r="G182">
        <v>55365</v>
      </c>
      <c r="H182" s="1">
        <v>4</v>
      </c>
      <c r="I182">
        <v>14</v>
      </c>
      <c r="J182">
        <f>IF($H182=0,1,IF($I182&lt;=1,2,0))</f>
        <v>0</v>
      </c>
      <c r="K182">
        <v>0</v>
      </c>
      <c r="L182">
        <f>IF(AND($J182=0,$K182=0),0,1)</f>
        <v>0</v>
      </c>
    </row>
    <row r="183" spans="1:13" x14ac:dyDescent="0.2">
      <c r="A183" t="s">
        <v>139</v>
      </c>
      <c r="B183" t="s">
        <v>17</v>
      </c>
      <c r="C183" t="s">
        <v>9</v>
      </c>
      <c r="D183">
        <v>2101</v>
      </c>
      <c r="E183">
        <v>2019</v>
      </c>
      <c r="F183">
        <v>1</v>
      </c>
      <c r="G183">
        <v>55400</v>
      </c>
      <c r="H183" s="1">
        <v>4</v>
      </c>
      <c r="I183">
        <v>5</v>
      </c>
      <c r="J183">
        <f>IF($H183=0,1,IF($I183&lt;=1,2,0))</f>
        <v>0</v>
      </c>
      <c r="K183">
        <v>0</v>
      </c>
      <c r="L183">
        <f>IF(AND($J183=0,$K183=0),0,1)</f>
        <v>0</v>
      </c>
    </row>
    <row r="184" spans="1:13" x14ac:dyDescent="0.2">
      <c r="A184" t="s">
        <v>140</v>
      </c>
      <c r="B184" t="s">
        <v>133</v>
      </c>
      <c r="C184" t="s">
        <v>11</v>
      </c>
      <c r="D184">
        <v>4001</v>
      </c>
      <c r="E184">
        <v>2019</v>
      </c>
      <c r="F184">
        <v>1</v>
      </c>
      <c r="G184">
        <v>53588</v>
      </c>
      <c r="H184" s="1">
        <v>3</v>
      </c>
      <c r="I184">
        <v>33</v>
      </c>
      <c r="J184">
        <f>IF($H184=0,1,IF($I184&lt;=1,2,0))</f>
        <v>0</v>
      </c>
      <c r="K184">
        <v>0</v>
      </c>
      <c r="L184">
        <f>IF(AND($J184=0,$K184=0),0,1)</f>
        <v>0</v>
      </c>
    </row>
    <row r="185" spans="1:13" x14ac:dyDescent="0.2">
      <c r="A185" t="s">
        <v>140</v>
      </c>
      <c r="B185" t="s">
        <v>133</v>
      </c>
      <c r="C185" t="s">
        <v>11</v>
      </c>
      <c r="D185">
        <v>4003</v>
      </c>
      <c r="E185">
        <v>2019</v>
      </c>
      <c r="F185">
        <v>1</v>
      </c>
      <c r="G185">
        <v>53586</v>
      </c>
      <c r="H185" s="1">
        <v>3</v>
      </c>
      <c r="I185">
        <v>24</v>
      </c>
      <c r="J185">
        <f>IF($H185=0,1,IF($I185&lt;=1,2,0))</f>
        <v>0</v>
      </c>
      <c r="K185">
        <v>0</v>
      </c>
      <c r="L185">
        <f>IF(AND($J185=0,$K185=0),0,1)</f>
        <v>0</v>
      </c>
    </row>
    <row r="186" spans="1:13" x14ac:dyDescent="0.2">
      <c r="A186" t="s">
        <v>140</v>
      </c>
      <c r="B186" t="s">
        <v>133</v>
      </c>
      <c r="C186" t="s">
        <v>11</v>
      </c>
      <c r="D186">
        <v>4006</v>
      </c>
      <c r="E186">
        <v>2019</v>
      </c>
      <c r="F186">
        <v>1</v>
      </c>
      <c r="G186">
        <v>53604</v>
      </c>
      <c r="H186" s="1">
        <v>3</v>
      </c>
      <c r="I186">
        <v>23</v>
      </c>
      <c r="J186">
        <f>IF($H186=0,1,IF($I186&lt;=1,2,0))</f>
        <v>0</v>
      </c>
      <c r="K186">
        <v>0</v>
      </c>
      <c r="L186">
        <f>IF(AND($J186=0,$K186=0),0,1)</f>
        <v>0</v>
      </c>
    </row>
    <row r="187" spans="1:13" x14ac:dyDescent="0.2">
      <c r="A187" t="s">
        <v>140</v>
      </c>
      <c r="B187" t="s">
        <v>133</v>
      </c>
      <c r="C187" t="s">
        <v>9</v>
      </c>
      <c r="D187">
        <v>4008</v>
      </c>
      <c r="E187">
        <v>2019</v>
      </c>
      <c r="F187">
        <v>1</v>
      </c>
      <c r="G187">
        <v>16350</v>
      </c>
      <c r="H187" s="1">
        <v>3</v>
      </c>
      <c r="I187">
        <v>7</v>
      </c>
      <c r="J187">
        <f>IF($H187=0,1,IF($I187&lt;=1,2,0))</f>
        <v>0</v>
      </c>
      <c r="K187">
        <v>0</v>
      </c>
      <c r="L187">
        <f>IF(AND($J187=0,$K187=0),0,1)</f>
        <v>0</v>
      </c>
      <c r="M187" t="s">
        <v>1893</v>
      </c>
    </row>
    <row r="188" spans="1:13" x14ac:dyDescent="0.2">
      <c r="A188" t="s">
        <v>140</v>
      </c>
      <c r="B188" t="s">
        <v>133</v>
      </c>
      <c r="C188" t="s">
        <v>11</v>
      </c>
      <c r="D188">
        <v>4011</v>
      </c>
      <c r="E188">
        <v>2019</v>
      </c>
      <c r="F188">
        <v>1</v>
      </c>
      <c r="G188">
        <v>53630</v>
      </c>
      <c r="H188" s="1">
        <v>3</v>
      </c>
      <c r="I188">
        <v>7</v>
      </c>
      <c r="J188">
        <f>IF($H188=0,1,IF($I188&lt;=1,2,0))</f>
        <v>0</v>
      </c>
      <c r="K188">
        <v>0</v>
      </c>
      <c r="L188">
        <f>IF(AND($J188=0,$K188=0),0,1)</f>
        <v>0</v>
      </c>
    </row>
    <row r="189" spans="1:13" x14ac:dyDescent="0.2">
      <c r="A189" t="s">
        <v>140</v>
      </c>
      <c r="B189" t="s">
        <v>133</v>
      </c>
      <c r="C189" t="s">
        <v>11</v>
      </c>
      <c r="D189">
        <v>4017</v>
      </c>
      <c r="E189">
        <v>2019</v>
      </c>
      <c r="F189">
        <v>1</v>
      </c>
      <c r="G189">
        <v>53583</v>
      </c>
      <c r="H189" s="1">
        <v>3</v>
      </c>
      <c r="I189">
        <v>28</v>
      </c>
      <c r="J189">
        <f>IF($H189=0,1,IF($I189&lt;=1,2,0))</f>
        <v>0</v>
      </c>
      <c r="K189">
        <v>0</v>
      </c>
      <c r="L189">
        <f>IF(AND($J189=0,$K189=0),0,1)</f>
        <v>0</v>
      </c>
      <c r="M189" t="s">
        <v>1894</v>
      </c>
    </row>
    <row r="190" spans="1:13" x14ac:dyDescent="0.2">
      <c r="A190" t="s">
        <v>140</v>
      </c>
      <c r="B190" t="s">
        <v>133</v>
      </c>
      <c r="C190" t="s">
        <v>11</v>
      </c>
      <c r="D190">
        <v>6001</v>
      </c>
      <c r="E190">
        <v>2019</v>
      </c>
      <c r="F190">
        <v>2</v>
      </c>
      <c r="G190">
        <v>53606</v>
      </c>
      <c r="H190" s="1" t="s">
        <v>1834</v>
      </c>
      <c r="I190">
        <v>5</v>
      </c>
      <c r="J190">
        <f>IF($H190=0,1,IF($I190&lt;=1,2,0))</f>
        <v>0</v>
      </c>
      <c r="K190">
        <v>0</v>
      </c>
      <c r="L190">
        <f>IF(AND($J190=0,$K190=0),0,1)</f>
        <v>0</v>
      </c>
    </row>
    <row r="191" spans="1:13" x14ac:dyDescent="0.2">
      <c r="A191" t="s">
        <v>140</v>
      </c>
      <c r="B191" t="s">
        <v>133</v>
      </c>
      <c r="C191" t="s">
        <v>11</v>
      </c>
      <c r="D191">
        <v>6001</v>
      </c>
      <c r="E191">
        <v>2019</v>
      </c>
      <c r="F191">
        <v>9</v>
      </c>
      <c r="G191">
        <v>53613</v>
      </c>
      <c r="H191" s="1" t="s">
        <v>1834</v>
      </c>
      <c r="I191">
        <v>3</v>
      </c>
      <c r="J191">
        <f>IF($H191=0,1,IF($I191&lt;=1,2,0))</f>
        <v>0</v>
      </c>
      <c r="K191">
        <v>0</v>
      </c>
      <c r="L191">
        <f>IF(AND($J191=0,$K191=0),0,1)</f>
        <v>0</v>
      </c>
    </row>
    <row r="192" spans="1:13" x14ac:dyDescent="0.2">
      <c r="A192" t="s">
        <v>140</v>
      </c>
      <c r="B192" t="s">
        <v>133</v>
      </c>
      <c r="C192" t="s">
        <v>11</v>
      </c>
      <c r="D192">
        <v>6001</v>
      </c>
      <c r="E192">
        <v>2019</v>
      </c>
      <c r="F192">
        <v>13</v>
      </c>
      <c r="G192">
        <v>53617</v>
      </c>
      <c r="H192" s="1" t="s">
        <v>1834</v>
      </c>
      <c r="I192">
        <v>3</v>
      </c>
      <c r="J192">
        <f>IF($H192=0,1,IF($I192&lt;=1,2,0))</f>
        <v>0</v>
      </c>
      <c r="K192">
        <v>0</v>
      </c>
      <c r="L192">
        <f>IF(AND($J192=0,$K192=0),0,1)</f>
        <v>0</v>
      </c>
    </row>
    <row r="193" spans="1:13" x14ac:dyDescent="0.2">
      <c r="A193" t="s">
        <v>140</v>
      </c>
      <c r="B193" t="s">
        <v>133</v>
      </c>
      <c r="C193" t="s">
        <v>11</v>
      </c>
      <c r="D193">
        <v>6001</v>
      </c>
      <c r="E193">
        <v>2019</v>
      </c>
      <c r="F193">
        <v>3</v>
      </c>
      <c r="G193">
        <v>53607</v>
      </c>
      <c r="H193" s="1" t="s">
        <v>1834</v>
      </c>
      <c r="I193">
        <v>2</v>
      </c>
      <c r="J193">
        <f>IF($H193=0,1,IF($I193&lt;=1,2,0))</f>
        <v>0</v>
      </c>
      <c r="K193">
        <v>0</v>
      </c>
      <c r="L193">
        <f>IF(AND($J193=0,$K193=0),0,1)</f>
        <v>0</v>
      </c>
    </row>
    <row r="194" spans="1:13" x14ac:dyDescent="0.2">
      <c r="A194" t="s">
        <v>140</v>
      </c>
      <c r="B194" t="s">
        <v>133</v>
      </c>
      <c r="C194" t="s">
        <v>11</v>
      </c>
      <c r="D194">
        <v>6001</v>
      </c>
      <c r="E194">
        <v>2019</v>
      </c>
      <c r="F194">
        <v>6</v>
      </c>
      <c r="G194">
        <v>53610</v>
      </c>
      <c r="H194" s="1" t="s">
        <v>1834</v>
      </c>
      <c r="I194">
        <v>2</v>
      </c>
      <c r="J194">
        <f>IF($H194=0,1,IF($I194&lt;=1,2,0))</f>
        <v>0</v>
      </c>
      <c r="K194">
        <v>0</v>
      </c>
      <c r="L194">
        <f>IF(AND($J194=0,$K194=0),0,1)</f>
        <v>0</v>
      </c>
    </row>
    <row r="195" spans="1:13" x14ac:dyDescent="0.2">
      <c r="A195" t="s">
        <v>140</v>
      </c>
      <c r="B195" t="s">
        <v>133</v>
      </c>
      <c r="C195" t="s">
        <v>11</v>
      </c>
      <c r="D195">
        <v>6001</v>
      </c>
      <c r="E195">
        <v>2019</v>
      </c>
      <c r="F195">
        <v>15</v>
      </c>
      <c r="G195">
        <v>53619</v>
      </c>
      <c r="H195" s="1" t="s">
        <v>1834</v>
      </c>
      <c r="I195">
        <v>2</v>
      </c>
      <c r="J195">
        <f>IF($H195=0,1,IF($I195&lt;=1,2,0))</f>
        <v>0</v>
      </c>
      <c r="K195">
        <v>0</v>
      </c>
      <c r="L195">
        <f>IF(AND($J195=0,$K195=0),0,1)</f>
        <v>0</v>
      </c>
    </row>
    <row r="196" spans="1:13" x14ac:dyDescent="0.2">
      <c r="A196" t="s">
        <v>140</v>
      </c>
      <c r="B196" t="s">
        <v>133</v>
      </c>
      <c r="C196" t="s">
        <v>11</v>
      </c>
      <c r="D196">
        <v>6001</v>
      </c>
      <c r="E196">
        <v>2019</v>
      </c>
      <c r="F196">
        <v>16</v>
      </c>
      <c r="G196">
        <v>53620</v>
      </c>
      <c r="H196" s="1" t="s">
        <v>1834</v>
      </c>
      <c r="I196">
        <v>2</v>
      </c>
      <c r="J196">
        <f>IF($H196=0,1,IF($I196&lt;=1,2,0))</f>
        <v>0</v>
      </c>
      <c r="K196">
        <v>0</v>
      </c>
      <c r="L196">
        <f>IF(AND($J196=0,$K196=0),0,1)</f>
        <v>0</v>
      </c>
    </row>
    <row r="197" spans="1:13" x14ac:dyDescent="0.2">
      <c r="A197" t="s">
        <v>140</v>
      </c>
      <c r="B197" t="s">
        <v>133</v>
      </c>
      <c r="C197" t="s">
        <v>11</v>
      </c>
      <c r="D197">
        <v>6001</v>
      </c>
      <c r="E197">
        <v>2019</v>
      </c>
      <c r="F197">
        <v>17</v>
      </c>
      <c r="G197">
        <v>53621</v>
      </c>
      <c r="H197" s="1" t="s">
        <v>1834</v>
      </c>
      <c r="I197">
        <v>2</v>
      </c>
      <c r="J197">
        <f>IF($H197=0,1,IF($I197&lt;=1,2,0))</f>
        <v>0</v>
      </c>
      <c r="K197">
        <v>0</v>
      </c>
      <c r="L197">
        <f>IF(AND($J197=0,$K197=0),0,1)</f>
        <v>0</v>
      </c>
    </row>
    <row r="198" spans="1:13" x14ac:dyDescent="0.2">
      <c r="A198" t="s">
        <v>140</v>
      </c>
      <c r="B198" t="s">
        <v>133</v>
      </c>
      <c r="C198" t="s">
        <v>11</v>
      </c>
      <c r="D198">
        <v>8010</v>
      </c>
      <c r="E198">
        <v>2019</v>
      </c>
      <c r="F198">
        <v>3</v>
      </c>
      <c r="G198">
        <v>53591</v>
      </c>
      <c r="H198" s="1">
        <v>2</v>
      </c>
      <c r="I198">
        <v>3</v>
      </c>
      <c r="J198">
        <f>IF($H198=0,1,IF($I198&lt;=1,2,0))</f>
        <v>0</v>
      </c>
      <c r="K198">
        <v>0</v>
      </c>
      <c r="L198">
        <f>IF(AND($J198=0,$K198=0),0,1)</f>
        <v>0</v>
      </c>
    </row>
    <row r="199" spans="1:13" x14ac:dyDescent="0.2">
      <c r="A199" t="s">
        <v>140</v>
      </c>
      <c r="B199" t="s">
        <v>133</v>
      </c>
      <c r="C199" t="s">
        <v>11</v>
      </c>
      <c r="D199">
        <v>8010</v>
      </c>
      <c r="E199">
        <v>2019</v>
      </c>
      <c r="F199">
        <v>1</v>
      </c>
      <c r="G199">
        <v>53589</v>
      </c>
      <c r="H199" s="1">
        <v>2</v>
      </c>
      <c r="I199">
        <v>2</v>
      </c>
      <c r="J199">
        <f>IF($H199=0,1,IF($I199&lt;=1,2,0))</f>
        <v>0</v>
      </c>
      <c r="K199">
        <v>0</v>
      </c>
      <c r="L199">
        <f>IF(AND($J199=0,$K199=0),0,1)</f>
        <v>0</v>
      </c>
    </row>
    <row r="200" spans="1:13" x14ac:dyDescent="0.2">
      <c r="A200" t="s">
        <v>140</v>
      </c>
      <c r="B200" t="s">
        <v>133</v>
      </c>
      <c r="C200" t="s">
        <v>11</v>
      </c>
      <c r="D200">
        <v>8010</v>
      </c>
      <c r="E200">
        <v>2019</v>
      </c>
      <c r="F200">
        <v>2</v>
      </c>
      <c r="G200">
        <v>53590</v>
      </c>
      <c r="H200" s="1">
        <v>2</v>
      </c>
      <c r="I200">
        <v>2</v>
      </c>
      <c r="J200">
        <f>IF($H200=0,1,IF($I200&lt;=1,2,0))</f>
        <v>0</v>
      </c>
      <c r="K200">
        <v>0</v>
      </c>
      <c r="L200">
        <f>IF(AND($J200=0,$K200=0),0,1)</f>
        <v>0</v>
      </c>
    </row>
    <row r="201" spans="1:13" x14ac:dyDescent="0.2">
      <c r="A201" t="s">
        <v>142</v>
      </c>
      <c r="B201" t="s">
        <v>133</v>
      </c>
      <c r="C201" t="s">
        <v>7</v>
      </c>
      <c r="D201">
        <v>1908</v>
      </c>
      <c r="E201">
        <v>2019</v>
      </c>
      <c r="F201">
        <v>1</v>
      </c>
      <c r="G201">
        <v>52844</v>
      </c>
      <c r="H201" s="1">
        <v>1</v>
      </c>
      <c r="I201">
        <v>57</v>
      </c>
      <c r="J201">
        <f>IF($H201=0,1,IF($I201&lt;=1,2,0))</f>
        <v>0</v>
      </c>
      <c r="K201">
        <v>0</v>
      </c>
      <c r="L201">
        <f>IF(AND($J201=0,$K201=0),0,1)</f>
        <v>0</v>
      </c>
      <c r="M201" t="s">
        <v>149</v>
      </c>
    </row>
    <row r="202" spans="1:13" x14ac:dyDescent="0.2">
      <c r="A202" t="s">
        <v>142</v>
      </c>
      <c r="B202" t="s">
        <v>133</v>
      </c>
      <c r="C202" t="s">
        <v>7</v>
      </c>
      <c r="D202">
        <v>2005</v>
      </c>
      <c r="E202">
        <v>2019</v>
      </c>
      <c r="F202">
        <v>1</v>
      </c>
      <c r="G202">
        <v>52817</v>
      </c>
      <c r="H202" s="1">
        <v>4</v>
      </c>
      <c r="I202">
        <v>159</v>
      </c>
      <c r="J202">
        <f>IF($H202=0,1,IF($I202&lt;=1,2,0))</f>
        <v>0</v>
      </c>
      <c r="K202">
        <v>0</v>
      </c>
      <c r="L202">
        <f>IF(AND($J202=0,$K202=0),0,1)</f>
        <v>0</v>
      </c>
      <c r="M202" t="s">
        <v>150</v>
      </c>
    </row>
    <row r="203" spans="1:13" x14ac:dyDescent="0.2">
      <c r="A203" t="s">
        <v>142</v>
      </c>
      <c r="B203" t="s">
        <v>133</v>
      </c>
      <c r="C203" t="s">
        <v>7</v>
      </c>
      <c r="D203">
        <v>2005</v>
      </c>
      <c r="E203">
        <v>2019</v>
      </c>
      <c r="F203">
        <v>2</v>
      </c>
      <c r="G203">
        <v>52818</v>
      </c>
      <c r="H203" s="1">
        <v>4</v>
      </c>
      <c r="I203">
        <v>91</v>
      </c>
      <c r="J203">
        <f>IF($H203=0,1,IF($I203&lt;=1,2,0))</f>
        <v>0</v>
      </c>
      <c r="K203">
        <v>0</v>
      </c>
      <c r="L203">
        <f>IF(AND($J203=0,$K203=0),0,1)</f>
        <v>0</v>
      </c>
      <c r="M203" t="s">
        <v>150</v>
      </c>
    </row>
    <row r="204" spans="1:13" x14ac:dyDescent="0.2">
      <c r="A204" t="s">
        <v>142</v>
      </c>
      <c r="B204" t="s">
        <v>133</v>
      </c>
      <c r="C204" t="s">
        <v>153</v>
      </c>
      <c r="D204">
        <v>2401</v>
      </c>
      <c r="E204">
        <v>2019</v>
      </c>
      <c r="F204">
        <v>1</v>
      </c>
      <c r="G204">
        <v>52848</v>
      </c>
      <c r="H204" s="1">
        <v>3</v>
      </c>
      <c r="I204">
        <v>83</v>
      </c>
      <c r="J204">
        <f>IF($H204=0,1,IF($I204&lt;=1,2,0))</f>
        <v>0</v>
      </c>
      <c r="K204">
        <v>0</v>
      </c>
      <c r="L204">
        <f>IF(AND($J204=0,$K204=0),0,1)</f>
        <v>0</v>
      </c>
      <c r="M204" t="s">
        <v>154</v>
      </c>
    </row>
    <row r="205" spans="1:13" x14ac:dyDescent="0.2">
      <c r="A205" t="s">
        <v>142</v>
      </c>
      <c r="B205" t="s">
        <v>133</v>
      </c>
      <c r="C205" t="s">
        <v>9</v>
      </c>
      <c r="D205">
        <v>3004</v>
      </c>
      <c r="E205">
        <v>2019</v>
      </c>
      <c r="F205">
        <v>1</v>
      </c>
      <c r="G205">
        <v>52849</v>
      </c>
      <c r="H205" s="1">
        <v>4</v>
      </c>
      <c r="I205">
        <v>110</v>
      </c>
      <c r="J205">
        <f>IF($H205=0,1,IF($I205&lt;=1,2,0))</f>
        <v>0</v>
      </c>
      <c r="K205">
        <v>0</v>
      </c>
      <c r="L205">
        <f>IF(AND($J205=0,$K205=0),0,1)</f>
        <v>0</v>
      </c>
      <c r="M205" t="s">
        <v>1896</v>
      </c>
    </row>
    <row r="206" spans="1:13" x14ac:dyDescent="0.2">
      <c r="A206" t="s">
        <v>142</v>
      </c>
      <c r="B206" t="s">
        <v>133</v>
      </c>
      <c r="C206" t="s">
        <v>9</v>
      </c>
      <c r="D206">
        <v>3006</v>
      </c>
      <c r="E206">
        <v>2019</v>
      </c>
      <c r="F206">
        <v>1</v>
      </c>
      <c r="G206">
        <v>52833</v>
      </c>
      <c r="H206" s="1">
        <v>3</v>
      </c>
      <c r="I206">
        <v>26</v>
      </c>
      <c r="J206">
        <f>IF($H206=0,1,IF($I206&lt;=1,2,0))</f>
        <v>0</v>
      </c>
      <c r="K206">
        <v>0</v>
      </c>
      <c r="L206">
        <f>IF(AND($J206=0,$K206=0),0,1)</f>
        <v>0</v>
      </c>
    </row>
    <row r="207" spans="1:13" x14ac:dyDescent="0.2">
      <c r="A207" t="s">
        <v>142</v>
      </c>
      <c r="B207" t="s">
        <v>133</v>
      </c>
      <c r="C207" t="s">
        <v>9</v>
      </c>
      <c r="D207">
        <v>3022</v>
      </c>
      <c r="E207">
        <v>2019</v>
      </c>
      <c r="F207">
        <v>1</v>
      </c>
      <c r="G207">
        <v>52834</v>
      </c>
      <c r="H207" s="1">
        <v>3</v>
      </c>
      <c r="I207">
        <v>38</v>
      </c>
      <c r="J207">
        <f>IF($H207=0,1,IF($I207&lt;=1,2,0))</f>
        <v>0</v>
      </c>
      <c r="K207">
        <v>0</v>
      </c>
      <c r="L207">
        <f>IF(AND($J207=0,$K207=0),0,1)</f>
        <v>0</v>
      </c>
      <c r="M207" t="s">
        <v>156</v>
      </c>
    </row>
    <row r="208" spans="1:13" x14ac:dyDescent="0.2">
      <c r="A208" t="s">
        <v>142</v>
      </c>
      <c r="B208" t="s">
        <v>133</v>
      </c>
      <c r="C208" t="s">
        <v>9</v>
      </c>
      <c r="D208">
        <v>3041</v>
      </c>
      <c r="E208">
        <v>2019</v>
      </c>
      <c r="F208">
        <v>1</v>
      </c>
      <c r="G208">
        <v>52857</v>
      </c>
      <c r="H208" s="1">
        <v>3</v>
      </c>
      <c r="I208">
        <v>24</v>
      </c>
      <c r="J208">
        <f>IF($H208=0,1,IF($I208&lt;=1,2,0))</f>
        <v>0</v>
      </c>
      <c r="K208">
        <v>0</v>
      </c>
      <c r="L208">
        <f>IF(AND($J208=0,$K208=0),0,1)</f>
        <v>0</v>
      </c>
    </row>
    <row r="209" spans="1:13" x14ac:dyDescent="0.2">
      <c r="A209" t="s">
        <v>142</v>
      </c>
      <c r="B209" t="s">
        <v>133</v>
      </c>
      <c r="C209" t="s">
        <v>7</v>
      </c>
      <c r="D209">
        <v>3052</v>
      </c>
      <c r="E209">
        <v>2019</v>
      </c>
      <c r="F209">
        <v>1</v>
      </c>
      <c r="G209">
        <v>52856</v>
      </c>
      <c r="H209" s="1">
        <v>5</v>
      </c>
      <c r="I209">
        <v>7</v>
      </c>
      <c r="J209">
        <f>IF($H209=0,1,IF($I209&lt;=1,2,0))</f>
        <v>0</v>
      </c>
      <c r="K209">
        <v>0</v>
      </c>
      <c r="L209">
        <f>IF(AND($J209=0,$K209=0),0,1)</f>
        <v>0</v>
      </c>
    </row>
    <row r="210" spans="1:13" x14ac:dyDescent="0.2">
      <c r="A210" t="s">
        <v>142</v>
      </c>
      <c r="B210" t="s">
        <v>133</v>
      </c>
      <c r="C210" t="s">
        <v>9</v>
      </c>
      <c r="D210">
        <v>3073</v>
      </c>
      <c r="E210">
        <v>2019</v>
      </c>
      <c r="F210">
        <v>1</v>
      </c>
      <c r="G210">
        <v>52835</v>
      </c>
      <c r="H210" s="1">
        <v>3</v>
      </c>
      <c r="I210">
        <v>21</v>
      </c>
      <c r="J210">
        <f>IF($H210=0,1,IF($I210&lt;=1,2,0))</f>
        <v>0</v>
      </c>
      <c r="K210">
        <v>0</v>
      </c>
      <c r="L210">
        <f>IF(AND($J210=0,$K210=0),0,1)</f>
        <v>0</v>
      </c>
      <c r="M210" t="s">
        <v>157</v>
      </c>
    </row>
    <row r="211" spans="1:13" x14ac:dyDescent="0.2">
      <c r="A211" t="s">
        <v>142</v>
      </c>
      <c r="B211" t="s">
        <v>133</v>
      </c>
      <c r="C211" t="s">
        <v>9</v>
      </c>
      <c r="D211">
        <v>3404</v>
      </c>
      <c r="E211">
        <v>2019</v>
      </c>
      <c r="F211">
        <v>1</v>
      </c>
      <c r="G211">
        <v>52808</v>
      </c>
      <c r="H211" s="1">
        <v>3</v>
      </c>
      <c r="I211">
        <v>22</v>
      </c>
      <c r="J211">
        <f>IF($H211=0,1,IF($I211&lt;=1,2,0))</f>
        <v>0</v>
      </c>
      <c r="K211">
        <v>0</v>
      </c>
      <c r="L211">
        <f>IF(AND($J211=0,$K211=0),0,1)</f>
        <v>0</v>
      </c>
    </row>
    <row r="212" spans="1:13" x14ac:dyDescent="0.2">
      <c r="A212" t="s">
        <v>142</v>
      </c>
      <c r="B212" t="s">
        <v>133</v>
      </c>
      <c r="C212" t="s">
        <v>9</v>
      </c>
      <c r="D212">
        <v>3500</v>
      </c>
      <c r="E212">
        <v>2019</v>
      </c>
      <c r="F212">
        <v>1</v>
      </c>
      <c r="G212">
        <v>52845</v>
      </c>
      <c r="H212" s="1" t="s">
        <v>1832</v>
      </c>
      <c r="I212">
        <v>60</v>
      </c>
      <c r="J212">
        <f>IF($H212=0,1,IF($I212&lt;=1,2,0))</f>
        <v>0</v>
      </c>
      <c r="K212">
        <v>0</v>
      </c>
      <c r="L212">
        <f>IF(AND($J212=0,$K212=0),0,1)</f>
        <v>0</v>
      </c>
    </row>
    <row r="213" spans="1:13" x14ac:dyDescent="0.2">
      <c r="A213" t="s">
        <v>142</v>
      </c>
      <c r="B213" t="s">
        <v>133</v>
      </c>
      <c r="C213" t="s">
        <v>9</v>
      </c>
      <c r="D213">
        <v>3560</v>
      </c>
      <c r="E213">
        <v>2019</v>
      </c>
      <c r="F213">
        <v>1</v>
      </c>
      <c r="G213">
        <v>52855</v>
      </c>
      <c r="H213" s="1">
        <v>4</v>
      </c>
      <c r="I213">
        <v>5</v>
      </c>
      <c r="J213">
        <f>IF($H213=0,1,IF($I213&lt;=1,2,0))</f>
        <v>0</v>
      </c>
      <c r="K213">
        <v>0</v>
      </c>
      <c r="L213">
        <f>IF(AND($J213=0,$K213=0),0,1)</f>
        <v>0</v>
      </c>
      <c r="M213" t="s">
        <v>161</v>
      </c>
    </row>
    <row r="214" spans="1:13" x14ac:dyDescent="0.2">
      <c r="A214" t="s">
        <v>142</v>
      </c>
      <c r="B214" t="s">
        <v>133</v>
      </c>
      <c r="C214" t="s">
        <v>9</v>
      </c>
      <c r="D214">
        <v>4001</v>
      </c>
      <c r="E214">
        <v>2019</v>
      </c>
      <c r="F214">
        <v>1</v>
      </c>
      <c r="G214">
        <v>52837</v>
      </c>
      <c r="H214" s="1">
        <v>3</v>
      </c>
      <c r="I214">
        <v>12</v>
      </c>
      <c r="J214">
        <f>IF($H214=0,1,IF($I214&lt;=1,2,0))</f>
        <v>0</v>
      </c>
      <c r="K214">
        <v>0</v>
      </c>
      <c r="L214">
        <f>IF(AND($J214=0,$K214=0),0,1)</f>
        <v>0</v>
      </c>
      <c r="M214" t="s">
        <v>166</v>
      </c>
    </row>
    <row r="215" spans="1:13" x14ac:dyDescent="0.2">
      <c r="A215" t="s">
        <v>142</v>
      </c>
      <c r="B215" t="s">
        <v>133</v>
      </c>
      <c r="C215" t="s">
        <v>9</v>
      </c>
      <c r="D215">
        <v>4004</v>
      </c>
      <c r="E215">
        <v>2019</v>
      </c>
      <c r="F215">
        <v>1</v>
      </c>
      <c r="G215">
        <v>52846</v>
      </c>
      <c r="H215" s="1">
        <v>4</v>
      </c>
      <c r="I215">
        <v>8</v>
      </c>
      <c r="J215">
        <f>IF($H215=0,1,IF($I215&lt;=1,2,0))</f>
        <v>0</v>
      </c>
      <c r="K215">
        <v>0</v>
      </c>
      <c r="L215">
        <f>IF(AND($J215=0,$K215=0),0,1)</f>
        <v>0</v>
      </c>
      <c r="M215" t="s">
        <v>1896</v>
      </c>
    </row>
    <row r="216" spans="1:13" x14ac:dyDescent="0.2">
      <c r="A216" t="s">
        <v>142</v>
      </c>
      <c r="B216" t="s">
        <v>133</v>
      </c>
      <c r="C216" t="s">
        <v>9</v>
      </c>
      <c r="D216">
        <v>4022</v>
      </c>
      <c r="E216">
        <v>2019</v>
      </c>
      <c r="F216">
        <v>1</v>
      </c>
      <c r="G216">
        <v>52811</v>
      </c>
      <c r="H216" s="1">
        <v>3</v>
      </c>
      <c r="I216">
        <v>5</v>
      </c>
      <c r="J216">
        <f>IF($H216=0,1,IF($I216&lt;=1,2,0))</f>
        <v>0</v>
      </c>
      <c r="K216">
        <v>0</v>
      </c>
      <c r="L216">
        <f>IF(AND($J216=0,$K216=0),0,1)</f>
        <v>0</v>
      </c>
      <c r="M216" t="s">
        <v>167</v>
      </c>
    </row>
    <row r="217" spans="1:13" x14ac:dyDescent="0.2">
      <c r="A217" t="s">
        <v>142</v>
      </c>
      <c r="B217" t="s">
        <v>133</v>
      </c>
      <c r="C217" t="s">
        <v>9</v>
      </c>
      <c r="D217">
        <v>4034</v>
      </c>
      <c r="E217">
        <v>2019</v>
      </c>
      <c r="F217">
        <v>1</v>
      </c>
      <c r="G217">
        <v>52838</v>
      </c>
      <c r="H217" s="1">
        <v>3</v>
      </c>
      <c r="I217">
        <v>28</v>
      </c>
      <c r="J217">
        <f>IF($H217=0,1,IF($I217&lt;=1,2,0))</f>
        <v>0</v>
      </c>
      <c r="K217">
        <v>0</v>
      </c>
      <c r="L217">
        <f>IF(AND($J217=0,$K217=0),0,1)</f>
        <v>0</v>
      </c>
    </row>
    <row r="218" spans="1:13" x14ac:dyDescent="0.2">
      <c r="A218" t="s">
        <v>142</v>
      </c>
      <c r="B218" t="s">
        <v>133</v>
      </c>
      <c r="C218" t="s">
        <v>9</v>
      </c>
      <c r="D218">
        <v>4041</v>
      </c>
      <c r="E218">
        <v>2019</v>
      </c>
      <c r="F218">
        <v>1</v>
      </c>
      <c r="G218">
        <v>52858</v>
      </c>
      <c r="H218" s="1">
        <v>3</v>
      </c>
      <c r="I218">
        <v>6</v>
      </c>
      <c r="J218">
        <f>IF($H218=0,1,IF($I218&lt;=1,2,0))</f>
        <v>0</v>
      </c>
      <c r="K218">
        <v>0</v>
      </c>
      <c r="L218">
        <f>IF(AND($J218=0,$K218=0),0,1)</f>
        <v>0</v>
      </c>
    </row>
    <row r="219" spans="1:13" x14ac:dyDescent="0.2">
      <c r="A219" t="s">
        <v>142</v>
      </c>
      <c r="B219" t="s">
        <v>133</v>
      </c>
      <c r="C219" t="s">
        <v>11</v>
      </c>
      <c r="D219">
        <v>4260</v>
      </c>
      <c r="E219">
        <v>2019</v>
      </c>
      <c r="F219">
        <v>1</v>
      </c>
      <c r="G219">
        <v>52812</v>
      </c>
      <c r="H219" s="1">
        <v>3</v>
      </c>
      <c r="I219">
        <v>2</v>
      </c>
      <c r="J219">
        <f>IF($H219=0,1,IF($I219&lt;=1,2,0))</f>
        <v>0</v>
      </c>
      <c r="K219">
        <v>0</v>
      </c>
      <c r="L219">
        <f>IF(AND($J219=0,$K219=0),0,1)</f>
        <v>0</v>
      </c>
      <c r="M219" t="s">
        <v>168</v>
      </c>
    </row>
    <row r="220" spans="1:13" x14ac:dyDescent="0.2">
      <c r="A220" t="s">
        <v>142</v>
      </c>
      <c r="B220" t="s">
        <v>133</v>
      </c>
      <c r="C220" t="s">
        <v>9</v>
      </c>
      <c r="D220">
        <v>4300</v>
      </c>
      <c r="E220">
        <v>2019</v>
      </c>
      <c r="F220">
        <v>1</v>
      </c>
      <c r="G220">
        <v>52851</v>
      </c>
      <c r="H220" s="1">
        <v>3</v>
      </c>
      <c r="I220">
        <v>41</v>
      </c>
      <c r="J220">
        <f>IF($H220=0,1,IF($I220&lt;=1,2,0))</f>
        <v>0</v>
      </c>
      <c r="K220">
        <v>0</v>
      </c>
      <c r="L220">
        <f>IF(AND($J220=0,$K220=0),0,1)</f>
        <v>0</v>
      </c>
    </row>
    <row r="221" spans="1:13" x14ac:dyDescent="0.2">
      <c r="A221" t="s">
        <v>142</v>
      </c>
      <c r="B221" t="s">
        <v>133</v>
      </c>
      <c r="C221" t="s">
        <v>11</v>
      </c>
      <c r="D221">
        <v>4500</v>
      </c>
      <c r="E221">
        <v>2019</v>
      </c>
      <c r="F221">
        <v>1</v>
      </c>
      <c r="G221">
        <v>52852</v>
      </c>
      <c r="H221" s="1" t="s">
        <v>1835</v>
      </c>
      <c r="I221">
        <v>2</v>
      </c>
      <c r="J221">
        <f>IF($H221=0,1,IF($I221&lt;=1,2,0))</f>
        <v>0</v>
      </c>
      <c r="K221">
        <v>0</v>
      </c>
      <c r="L221">
        <f>IF(AND($J221=0,$K221=0),0,1)</f>
        <v>0</v>
      </c>
    </row>
    <row r="222" spans="1:13" x14ac:dyDescent="0.2">
      <c r="A222" t="s">
        <v>142</v>
      </c>
      <c r="B222" t="s">
        <v>133</v>
      </c>
      <c r="C222" t="s">
        <v>11</v>
      </c>
      <c r="D222">
        <v>4600</v>
      </c>
      <c r="E222">
        <v>2019</v>
      </c>
      <c r="F222">
        <v>1</v>
      </c>
      <c r="G222">
        <v>52813</v>
      </c>
      <c r="H222" s="1">
        <v>3</v>
      </c>
      <c r="I222">
        <v>8</v>
      </c>
      <c r="J222">
        <f>IF($H222=0,1,IF($I222&lt;=1,2,0))</f>
        <v>0</v>
      </c>
      <c r="K222">
        <v>0</v>
      </c>
      <c r="L222">
        <f>IF(AND($J222=0,$K222=0),0,1)</f>
        <v>0</v>
      </c>
    </row>
    <row r="223" spans="1:13" x14ac:dyDescent="0.2">
      <c r="A223" t="s">
        <v>142</v>
      </c>
      <c r="B223" t="s">
        <v>133</v>
      </c>
      <c r="C223" t="s">
        <v>11</v>
      </c>
      <c r="D223">
        <v>6007</v>
      </c>
      <c r="E223">
        <v>2019</v>
      </c>
      <c r="F223">
        <v>1</v>
      </c>
      <c r="G223">
        <v>10363</v>
      </c>
      <c r="H223" s="1">
        <v>3</v>
      </c>
      <c r="I223">
        <v>14</v>
      </c>
      <c r="J223">
        <f>IF($H223=0,1,IF($I223&lt;=1,2,0))</f>
        <v>0</v>
      </c>
      <c r="K223">
        <v>0</v>
      </c>
      <c r="L223">
        <f>IF(AND($J223=0,$K223=0),0,1)</f>
        <v>0</v>
      </c>
      <c r="M223" t="s">
        <v>170</v>
      </c>
    </row>
    <row r="224" spans="1:13" x14ac:dyDescent="0.2">
      <c r="A224" t="s">
        <v>171</v>
      </c>
      <c r="B224" t="s">
        <v>133</v>
      </c>
      <c r="C224" t="s">
        <v>9</v>
      </c>
      <c r="D224">
        <v>4160</v>
      </c>
      <c r="E224">
        <v>2019</v>
      </c>
      <c r="F224">
        <v>1</v>
      </c>
      <c r="G224">
        <v>52843</v>
      </c>
      <c r="H224" s="1">
        <v>3</v>
      </c>
      <c r="I224">
        <v>27</v>
      </c>
      <c r="J224">
        <f>IF($H224=0,1,IF($I224&lt;=1,2,0))</f>
        <v>0</v>
      </c>
      <c r="K224">
        <v>0</v>
      </c>
      <c r="L224">
        <f>IF(AND($J224=0,$K224=0),0,1)</f>
        <v>0</v>
      </c>
    </row>
    <row r="225" spans="1:13" x14ac:dyDescent="0.2">
      <c r="A225" t="s">
        <v>171</v>
      </c>
      <c r="B225" t="s">
        <v>133</v>
      </c>
      <c r="C225" t="s">
        <v>9</v>
      </c>
      <c r="D225">
        <v>4200</v>
      </c>
      <c r="E225">
        <v>2019</v>
      </c>
      <c r="F225">
        <v>1</v>
      </c>
      <c r="G225">
        <v>52815</v>
      </c>
      <c r="H225" s="1">
        <v>3</v>
      </c>
      <c r="I225">
        <v>97</v>
      </c>
      <c r="J225">
        <f>IF($H225=0,1,IF($I225&lt;=1,2,0))</f>
        <v>0</v>
      </c>
      <c r="K225">
        <v>0</v>
      </c>
      <c r="L225">
        <f>IF(AND($J225=0,$K225=0),0,1)</f>
        <v>0</v>
      </c>
      <c r="M225" t="s">
        <v>172</v>
      </c>
    </row>
    <row r="226" spans="1:13" x14ac:dyDescent="0.2">
      <c r="A226" t="s">
        <v>173</v>
      </c>
      <c r="B226" t="s">
        <v>71</v>
      </c>
      <c r="C226" t="s">
        <v>9</v>
      </c>
      <c r="D226">
        <v>4020</v>
      </c>
      <c r="E226">
        <v>2019</v>
      </c>
      <c r="F226">
        <v>1</v>
      </c>
      <c r="G226">
        <v>98610</v>
      </c>
      <c r="H226" s="1">
        <v>3</v>
      </c>
      <c r="I226">
        <v>22</v>
      </c>
      <c r="J226">
        <f>IF($H226=0,1,IF($I226&lt;=1,2,0))</f>
        <v>0</v>
      </c>
      <c r="K226">
        <v>0</v>
      </c>
      <c r="L226">
        <f>IF(AND($J226=0,$K226=0),0,1)</f>
        <v>0</v>
      </c>
    </row>
    <row r="227" spans="1:13" x14ac:dyDescent="0.2">
      <c r="A227" t="s">
        <v>174</v>
      </c>
      <c r="B227" t="s">
        <v>71</v>
      </c>
      <c r="C227" t="s">
        <v>72</v>
      </c>
      <c r="D227">
        <v>3010</v>
      </c>
      <c r="E227">
        <v>2019</v>
      </c>
      <c r="F227">
        <v>1</v>
      </c>
      <c r="G227">
        <v>43418</v>
      </c>
      <c r="H227" s="1">
        <v>3</v>
      </c>
      <c r="I227">
        <v>43</v>
      </c>
      <c r="J227">
        <f>IF($H227=0,1,IF($I227&lt;=1,2,0))</f>
        <v>0</v>
      </c>
      <c r="K227">
        <v>0</v>
      </c>
      <c r="L227">
        <f>IF(AND($J227=0,$K227=0),0,1)</f>
        <v>0</v>
      </c>
    </row>
    <row r="228" spans="1:13" x14ac:dyDescent="0.2">
      <c r="A228" t="s">
        <v>174</v>
      </c>
      <c r="B228" t="s">
        <v>71</v>
      </c>
      <c r="C228" t="s">
        <v>72</v>
      </c>
      <c r="D228">
        <v>3910</v>
      </c>
      <c r="E228">
        <v>2019</v>
      </c>
      <c r="F228">
        <v>1</v>
      </c>
      <c r="G228">
        <v>43403</v>
      </c>
      <c r="H228" s="1">
        <v>4</v>
      </c>
      <c r="I228">
        <v>52</v>
      </c>
      <c r="J228">
        <f>IF($H228=0,1,IF($I228&lt;=1,2,0))</f>
        <v>0</v>
      </c>
      <c r="K228">
        <v>0</v>
      </c>
      <c r="L228">
        <f>IF(AND($J228=0,$K228=0),0,1)</f>
        <v>0</v>
      </c>
    </row>
    <row r="229" spans="1:13" x14ac:dyDescent="0.2">
      <c r="A229" t="s">
        <v>174</v>
      </c>
      <c r="B229" t="s">
        <v>71</v>
      </c>
      <c r="C229" t="s">
        <v>72</v>
      </c>
      <c r="D229">
        <v>4000</v>
      </c>
      <c r="E229">
        <v>2019</v>
      </c>
      <c r="F229">
        <v>1</v>
      </c>
      <c r="G229">
        <v>10511</v>
      </c>
      <c r="H229" s="1">
        <v>3</v>
      </c>
      <c r="I229">
        <v>20</v>
      </c>
      <c r="J229">
        <f>IF($H229=0,1,IF($I229&lt;=1,2,0))</f>
        <v>0</v>
      </c>
      <c r="K229">
        <v>0</v>
      </c>
      <c r="L229">
        <f>IF(AND($J229=0,$K229=0),0,1)</f>
        <v>0</v>
      </c>
      <c r="M229" t="s">
        <v>175</v>
      </c>
    </row>
    <row r="230" spans="1:13" x14ac:dyDescent="0.2">
      <c r="A230" t="s">
        <v>174</v>
      </c>
      <c r="B230" t="s">
        <v>71</v>
      </c>
      <c r="C230" t="s">
        <v>72</v>
      </c>
      <c r="D230">
        <v>4000</v>
      </c>
      <c r="E230">
        <v>2019</v>
      </c>
      <c r="F230">
        <v>2</v>
      </c>
      <c r="G230">
        <v>13540</v>
      </c>
      <c r="H230" s="1">
        <v>3</v>
      </c>
      <c r="I230">
        <v>15</v>
      </c>
      <c r="J230">
        <f>IF($H230=0,1,IF($I230&lt;=1,2,0))</f>
        <v>0</v>
      </c>
      <c r="K230">
        <v>0</v>
      </c>
      <c r="L230">
        <f>IF(AND($J230=0,$K230=0),0,1)</f>
        <v>0</v>
      </c>
      <c r="M230" t="s">
        <v>176</v>
      </c>
    </row>
    <row r="231" spans="1:13" x14ac:dyDescent="0.2">
      <c r="A231" t="s">
        <v>174</v>
      </c>
      <c r="B231" t="s">
        <v>71</v>
      </c>
      <c r="C231" t="s">
        <v>72</v>
      </c>
      <c r="D231">
        <v>4001</v>
      </c>
      <c r="E231">
        <v>2019</v>
      </c>
      <c r="F231">
        <v>1</v>
      </c>
      <c r="G231">
        <v>43339</v>
      </c>
      <c r="H231" s="1">
        <v>3</v>
      </c>
      <c r="I231">
        <v>72</v>
      </c>
      <c r="J231">
        <f>IF($H231=0,1,IF($I231&lt;=1,2,0))</f>
        <v>0</v>
      </c>
      <c r="K231">
        <v>0</v>
      </c>
      <c r="L231">
        <f>IF(AND($J231=0,$K231=0),0,1)</f>
        <v>0</v>
      </c>
    </row>
    <row r="232" spans="1:13" x14ac:dyDescent="0.2">
      <c r="A232" t="s">
        <v>174</v>
      </c>
      <c r="B232" t="s">
        <v>71</v>
      </c>
      <c r="C232" t="s">
        <v>72</v>
      </c>
      <c r="D232">
        <v>4110</v>
      </c>
      <c r="E232">
        <v>2019</v>
      </c>
      <c r="F232">
        <v>1</v>
      </c>
      <c r="G232">
        <v>43408</v>
      </c>
      <c r="H232" s="1">
        <v>4</v>
      </c>
      <c r="I232">
        <v>92</v>
      </c>
      <c r="J232">
        <f>IF($H232=0,1,IF($I232&lt;=1,2,0))</f>
        <v>0</v>
      </c>
      <c r="K232">
        <v>0</v>
      </c>
      <c r="L232">
        <f>IF(AND($J232=0,$K232=0),0,1)</f>
        <v>0</v>
      </c>
    </row>
    <row r="233" spans="1:13" x14ac:dyDescent="0.2">
      <c r="A233" t="s">
        <v>174</v>
      </c>
      <c r="B233" t="s">
        <v>71</v>
      </c>
      <c r="C233" t="s">
        <v>72</v>
      </c>
      <c r="D233">
        <v>4150</v>
      </c>
      <c r="E233">
        <v>2019</v>
      </c>
      <c r="F233">
        <v>1</v>
      </c>
      <c r="G233">
        <v>43340</v>
      </c>
      <c r="H233" s="1">
        <v>3</v>
      </c>
      <c r="I233">
        <v>8</v>
      </c>
      <c r="J233">
        <f>IF($H233=0,1,IF($I233&lt;=1,2,0))</f>
        <v>0</v>
      </c>
      <c r="K233">
        <v>0</v>
      </c>
      <c r="L233">
        <f>IF(AND($J233=0,$K233=0),0,1)</f>
        <v>0</v>
      </c>
    </row>
    <row r="234" spans="1:13" x14ac:dyDescent="0.2">
      <c r="A234" t="s">
        <v>174</v>
      </c>
      <c r="B234" t="s">
        <v>71</v>
      </c>
      <c r="C234" t="s">
        <v>72</v>
      </c>
      <c r="D234">
        <v>4410</v>
      </c>
      <c r="E234">
        <v>2019</v>
      </c>
      <c r="F234">
        <v>1</v>
      </c>
      <c r="G234">
        <v>43479</v>
      </c>
      <c r="H234" s="1">
        <v>3</v>
      </c>
      <c r="I234">
        <v>22</v>
      </c>
      <c r="J234">
        <f>IF($H234=0,1,IF($I234&lt;=1,2,0))</f>
        <v>0</v>
      </c>
      <c r="K234">
        <v>0</v>
      </c>
      <c r="L234">
        <f>IF(AND($J234=0,$K234=0),0,1)</f>
        <v>0</v>
      </c>
    </row>
    <row r="235" spans="1:13" x14ac:dyDescent="0.2">
      <c r="A235" t="s">
        <v>174</v>
      </c>
      <c r="B235" t="s">
        <v>71</v>
      </c>
      <c r="C235" t="s">
        <v>72</v>
      </c>
      <c r="D235">
        <v>4410</v>
      </c>
      <c r="E235">
        <v>2019</v>
      </c>
      <c r="F235" t="s">
        <v>84</v>
      </c>
      <c r="G235">
        <v>14414</v>
      </c>
      <c r="H235" s="1">
        <v>3</v>
      </c>
      <c r="I235">
        <v>4</v>
      </c>
      <c r="J235">
        <f>IF($H235=0,1,IF($I235&lt;=1,2,0))</f>
        <v>0</v>
      </c>
      <c r="K235">
        <v>0</v>
      </c>
      <c r="L235">
        <f>IF(AND($J235=0,$K235=0),0,1)</f>
        <v>0</v>
      </c>
      <c r="M235" t="s">
        <v>85</v>
      </c>
    </row>
    <row r="236" spans="1:13" x14ac:dyDescent="0.2">
      <c r="A236" t="s">
        <v>174</v>
      </c>
      <c r="B236" t="s">
        <v>71</v>
      </c>
      <c r="C236" t="s">
        <v>72</v>
      </c>
      <c r="D236">
        <v>4510</v>
      </c>
      <c r="E236">
        <v>2019</v>
      </c>
      <c r="F236">
        <v>1</v>
      </c>
      <c r="G236">
        <v>43342</v>
      </c>
      <c r="H236" s="1">
        <v>3</v>
      </c>
      <c r="I236">
        <v>75</v>
      </c>
      <c r="J236">
        <f>IF($H236=0,1,IF($I236&lt;=1,2,0))</f>
        <v>0</v>
      </c>
      <c r="K236">
        <v>0</v>
      </c>
      <c r="L236">
        <f>IF(AND($J236=0,$K236=0),0,1)</f>
        <v>0</v>
      </c>
    </row>
    <row r="237" spans="1:13" x14ac:dyDescent="0.2">
      <c r="A237" t="s">
        <v>174</v>
      </c>
      <c r="B237" t="s">
        <v>71</v>
      </c>
      <c r="C237" t="s">
        <v>72</v>
      </c>
      <c r="D237">
        <v>4530</v>
      </c>
      <c r="E237">
        <v>2019</v>
      </c>
      <c r="F237">
        <v>1</v>
      </c>
      <c r="G237">
        <v>43410</v>
      </c>
      <c r="H237" s="1">
        <v>3</v>
      </c>
      <c r="I237">
        <v>42</v>
      </c>
      <c r="J237">
        <f>IF($H237=0,1,IF($I237&lt;=1,2,0))</f>
        <v>0</v>
      </c>
      <c r="K237">
        <v>0</v>
      </c>
      <c r="L237">
        <f>IF(AND($J237=0,$K237=0),0,1)</f>
        <v>0</v>
      </c>
    </row>
    <row r="238" spans="1:13" x14ac:dyDescent="0.2">
      <c r="A238" t="s">
        <v>174</v>
      </c>
      <c r="B238" t="s">
        <v>71</v>
      </c>
      <c r="C238" t="s">
        <v>72</v>
      </c>
      <c r="D238">
        <v>4590</v>
      </c>
      <c r="E238">
        <v>2019</v>
      </c>
      <c r="F238">
        <v>1</v>
      </c>
      <c r="G238">
        <v>13995</v>
      </c>
      <c r="H238" s="1">
        <v>3</v>
      </c>
      <c r="I238">
        <v>29</v>
      </c>
      <c r="J238">
        <f>IF($H238=0,1,IF($I238&lt;=1,2,0))</f>
        <v>0</v>
      </c>
      <c r="K238">
        <v>0</v>
      </c>
      <c r="L238">
        <f>IF(AND($J238=0,$K238=0),0,1)</f>
        <v>0</v>
      </c>
    </row>
    <row r="239" spans="1:13" x14ac:dyDescent="0.2">
      <c r="A239" t="s">
        <v>174</v>
      </c>
      <c r="B239" t="s">
        <v>71</v>
      </c>
      <c r="C239" t="s">
        <v>72</v>
      </c>
      <c r="D239">
        <v>4894</v>
      </c>
      <c r="E239">
        <v>2019</v>
      </c>
      <c r="F239">
        <v>1</v>
      </c>
      <c r="G239">
        <v>43411</v>
      </c>
      <c r="H239" s="1">
        <v>3</v>
      </c>
      <c r="I239">
        <v>29</v>
      </c>
      <c r="J239">
        <f>IF($H239=0,1,IF($I239&lt;=1,2,0))</f>
        <v>0</v>
      </c>
      <c r="K239">
        <v>0</v>
      </c>
      <c r="L239">
        <f>IF(AND($J239=0,$K239=0),0,1)</f>
        <v>0</v>
      </c>
    </row>
    <row r="240" spans="1:13" x14ac:dyDescent="0.2">
      <c r="A240" t="s">
        <v>174</v>
      </c>
      <c r="B240" t="s">
        <v>71</v>
      </c>
      <c r="C240" t="s">
        <v>72</v>
      </c>
      <c r="D240">
        <v>6001</v>
      </c>
      <c r="E240">
        <v>2019</v>
      </c>
      <c r="F240">
        <v>1</v>
      </c>
      <c r="G240">
        <v>43413</v>
      </c>
      <c r="H240" s="1">
        <v>3</v>
      </c>
      <c r="I240">
        <v>14</v>
      </c>
      <c r="J240">
        <f>IF($H240=0,1,IF($I240&lt;=1,2,0))</f>
        <v>0</v>
      </c>
      <c r="K240">
        <v>0</v>
      </c>
      <c r="L240">
        <f>IF(AND($J240=0,$K240=0),0,1)</f>
        <v>0</v>
      </c>
    </row>
    <row r="241" spans="1:13" x14ac:dyDescent="0.2">
      <c r="A241" t="s">
        <v>174</v>
      </c>
      <c r="B241" t="s">
        <v>71</v>
      </c>
      <c r="C241" t="s">
        <v>72</v>
      </c>
      <c r="D241">
        <v>6003</v>
      </c>
      <c r="E241">
        <v>2019</v>
      </c>
      <c r="F241" t="s">
        <v>84</v>
      </c>
      <c r="G241">
        <v>14415</v>
      </c>
      <c r="H241" s="1">
        <v>3</v>
      </c>
      <c r="I241">
        <v>6</v>
      </c>
      <c r="J241">
        <f>IF($H241=0,1,IF($I241&lt;=1,2,0))</f>
        <v>0</v>
      </c>
      <c r="K241">
        <v>0</v>
      </c>
      <c r="L241">
        <f>IF(AND($J241=0,$K241=0),0,1)</f>
        <v>0</v>
      </c>
      <c r="M241" t="s">
        <v>85</v>
      </c>
    </row>
    <row r="242" spans="1:13" x14ac:dyDescent="0.2">
      <c r="A242" t="s">
        <v>174</v>
      </c>
      <c r="B242" t="s">
        <v>71</v>
      </c>
      <c r="C242" t="s">
        <v>72</v>
      </c>
      <c r="D242">
        <v>6410</v>
      </c>
      <c r="E242">
        <v>2019</v>
      </c>
      <c r="F242">
        <v>1</v>
      </c>
      <c r="G242">
        <v>10471</v>
      </c>
      <c r="H242" s="1">
        <v>3</v>
      </c>
      <c r="I242">
        <v>6</v>
      </c>
      <c r="J242">
        <f>IF($H242=0,1,IF($I242&lt;=1,2,0))</f>
        <v>0</v>
      </c>
      <c r="K242">
        <v>0</v>
      </c>
      <c r="L242">
        <f>IF(AND($J242=0,$K242=0),0,1)</f>
        <v>0</v>
      </c>
      <c r="M242" t="s">
        <v>179</v>
      </c>
    </row>
    <row r="243" spans="1:13" x14ac:dyDescent="0.2">
      <c r="A243" t="s">
        <v>174</v>
      </c>
      <c r="B243" t="s">
        <v>71</v>
      </c>
      <c r="C243" t="s">
        <v>72</v>
      </c>
      <c r="D243">
        <v>6505</v>
      </c>
      <c r="E243">
        <v>2019</v>
      </c>
      <c r="F243">
        <v>1</v>
      </c>
      <c r="G243">
        <v>43415</v>
      </c>
      <c r="H243" s="1">
        <v>3</v>
      </c>
      <c r="I243">
        <v>22</v>
      </c>
      <c r="J243">
        <f>IF($H243=0,1,IF($I243&lt;=1,2,0))</f>
        <v>0</v>
      </c>
      <c r="K243">
        <v>0</v>
      </c>
      <c r="L243">
        <f>IF(AND($J243=0,$K243=0),0,1)</f>
        <v>0</v>
      </c>
    </row>
    <row r="244" spans="1:13" x14ac:dyDescent="0.2">
      <c r="A244" t="s">
        <v>180</v>
      </c>
      <c r="B244" t="s">
        <v>17</v>
      </c>
      <c r="C244" t="s">
        <v>9</v>
      </c>
      <c r="D244">
        <v>1101</v>
      </c>
      <c r="E244">
        <v>2019</v>
      </c>
      <c r="F244">
        <v>1</v>
      </c>
      <c r="G244">
        <v>55389</v>
      </c>
      <c r="H244" s="1">
        <v>4</v>
      </c>
      <c r="I244">
        <v>3</v>
      </c>
      <c r="J244">
        <f>IF($H244=0,1,IF($I244&lt;=1,2,0))</f>
        <v>0</v>
      </c>
      <c r="K244">
        <v>0</v>
      </c>
      <c r="L244">
        <f>IF(AND($J244=0,$K244=0),0,1)</f>
        <v>0</v>
      </c>
      <c r="M244" t="s">
        <v>181</v>
      </c>
    </row>
    <row r="245" spans="1:13" x14ac:dyDescent="0.2">
      <c r="A245" t="s">
        <v>182</v>
      </c>
      <c r="B245" t="s">
        <v>6</v>
      </c>
      <c r="C245" t="s">
        <v>9</v>
      </c>
      <c r="D245">
        <v>3013</v>
      </c>
      <c r="E245">
        <v>2019</v>
      </c>
      <c r="F245">
        <v>1</v>
      </c>
      <c r="G245">
        <v>10646</v>
      </c>
      <c r="H245" s="1">
        <v>3</v>
      </c>
      <c r="I245">
        <v>65</v>
      </c>
      <c r="J245">
        <f>IF($H245=0,1,IF($I245&lt;=1,2,0))</f>
        <v>0</v>
      </c>
      <c r="K245">
        <v>0</v>
      </c>
      <c r="L245">
        <f>IF(AND($J245=0,$K245=0),0,1)</f>
        <v>0</v>
      </c>
    </row>
    <row r="246" spans="1:13" x14ac:dyDescent="0.2">
      <c r="A246" t="s">
        <v>182</v>
      </c>
      <c r="B246" t="s">
        <v>6</v>
      </c>
      <c r="C246" t="s">
        <v>9</v>
      </c>
      <c r="D246">
        <v>3021</v>
      </c>
      <c r="E246">
        <v>2019</v>
      </c>
      <c r="F246">
        <v>1</v>
      </c>
      <c r="G246">
        <v>10647</v>
      </c>
      <c r="H246" s="1">
        <v>3</v>
      </c>
      <c r="I246">
        <v>62</v>
      </c>
      <c r="J246">
        <f>IF($H246=0,1,IF($I246&lt;=1,2,0))</f>
        <v>0</v>
      </c>
      <c r="K246">
        <v>0</v>
      </c>
      <c r="L246">
        <f>IF(AND($J246=0,$K246=0),0,1)</f>
        <v>0</v>
      </c>
    </row>
    <row r="247" spans="1:13" x14ac:dyDescent="0.2">
      <c r="A247" t="s">
        <v>182</v>
      </c>
      <c r="B247" t="s">
        <v>6</v>
      </c>
      <c r="C247" t="s">
        <v>9</v>
      </c>
      <c r="D247">
        <v>3702</v>
      </c>
      <c r="E247">
        <v>2019</v>
      </c>
      <c r="F247">
        <v>1</v>
      </c>
      <c r="G247">
        <v>10648</v>
      </c>
      <c r="H247" s="1">
        <v>3</v>
      </c>
      <c r="I247">
        <v>61</v>
      </c>
      <c r="J247">
        <f>IF($H247=0,1,IF($I247&lt;=1,2,0))</f>
        <v>0</v>
      </c>
      <c r="K247">
        <v>0</v>
      </c>
      <c r="L247">
        <f>IF(AND($J247=0,$K247=0),0,1)</f>
        <v>0</v>
      </c>
    </row>
    <row r="248" spans="1:13" x14ac:dyDescent="0.2">
      <c r="A248" t="s">
        <v>182</v>
      </c>
      <c r="B248" t="s">
        <v>6</v>
      </c>
      <c r="C248" t="s">
        <v>9</v>
      </c>
      <c r="D248">
        <v>3703</v>
      </c>
      <c r="E248">
        <v>2019</v>
      </c>
      <c r="F248">
        <v>1</v>
      </c>
      <c r="G248">
        <v>10649</v>
      </c>
      <c r="H248" s="1">
        <v>3</v>
      </c>
      <c r="I248">
        <v>57</v>
      </c>
      <c r="J248">
        <f>IF($H248=0,1,IF($I248&lt;=1,2,0))</f>
        <v>0</v>
      </c>
      <c r="K248">
        <v>0</v>
      </c>
      <c r="L248">
        <f>IF(AND($J248=0,$K248=0),0,1)</f>
        <v>0</v>
      </c>
    </row>
    <row r="249" spans="1:13" x14ac:dyDescent="0.2">
      <c r="A249" t="s">
        <v>194</v>
      </c>
      <c r="B249" t="s">
        <v>17</v>
      </c>
      <c r="C249" t="s">
        <v>9</v>
      </c>
      <c r="D249">
        <v>1120</v>
      </c>
      <c r="E249">
        <v>2019</v>
      </c>
      <c r="F249">
        <v>1</v>
      </c>
      <c r="G249">
        <v>10223</v>
      </c>
      <c r="H249" s="1">
        <v>4</v>
      </c>
      <c r="I249">
        <v>6</v>
      </c>
      <c r="J249">
        <f>IF($H249=0,1,IF($I249&lt;=1,2,0))</f>
        <v>0</v>
      </c>
      <c r="K249">
        <v>0</v>
      </c>
      <c r="L249">
        <f>IF(AND($J249=0,$K249=0),0,1)</f>
        <v>0</v>
      </c>
    </row>
    <row r="250" spans="1:13" x14ac:dyDescent="0.2">
      <c r="A250" t="s">
        <v>194</v>
      </c>
      <c r="B250" t="s">
        <v>17</v>
      </c>
      <c r="C250" t="s">
        <v>9</v>
      </c>
      <c r="D250">
        <v>2102</v>
      </c>
      <c r="E250">
        <v>2019</v>
      </c>
      <c r="F250">
        <v>1</v>
      </c>
      <c r="G250">
        <v>47819</v>
      </c>
      <c r="H250" s="1">
        <v>4</v>
      </c>
      <c r="I250">
        <v>4</v>
      </c>
      <c r="J250">
        <f>IF($H250=0,1,IF($I250&lt;=1,2,0))</f>
        <v>0</v>
      </c>
      <c r="K250">
        <v>0</v>
      </c>
      <c r="L250">
        <f>IF(AND($J250=0,$K250=0),0,1)</f>
        <v>0</v>
      </c>
    </row>
    <row r="251" spans="1:13" x14ac:dyDescent="0.2">
      <c r="A251" t="s">
        <v>194</v>
      </c>
      <c r="B251" t="s">
        <v>17</v>
      </c>
      <c r="C251" t="s">
        <v>9</v>
      </c>
      <c r="D251">
        <v>3300</v>
      </c>
      <c r="E251">
        <v>2019</v>
      </c>
      <c r="F251">
        <v>1</v>
      </c>
      <c r="G251">
        <v>47820</v>
      </c>
      <c r="H251" s="1">
        <v>4</v>
      </c>
      <c r="I251">
        <v>2</v>
      </c>
      <c r="J251">
        <f>IF($H251=0,1,IF($I251&lt;=1,2,0))</f>
        <v>0</v>
      </c>
      <c r="K251">
        <v>0</v>
      </c>
      <c r="L251">
        <f>IF(AND($J251=0,$K251=0),0,1)</f>
        <v>0</v>
      </c>
    </row>
    <row r="252" spans="1:13" x14ac:dyDescent="0.2">
      <c r="A252" t="s">
        <v>195</v>
      </c>
      <c r="B252" t="s">
        <v>71</v>
      </c>
      <c r="C252" t="s">
        <v>72</v>
      </c>
      <c r="D252">
        <v>4011</v>
      </c>
      <c r="E252">
        <v>2019</v>
      </c>
      <c r="F252">
        <v>1</v>
      </c>
      <c r="G252">
        <v>10214</v>
      </c>
      <c r="H252" s="1">
        <v>3</v>
      </c>
      <c r="I252">
        <v>17</v>
      </c>
      <c r="J252">
        <f>IF($H252=0,1,IF($I252&lt;=1,2,0))</f>
        <v>0</v>
      </c>
      <c r="K252">
        <v>0</v>
      </c>
      <c r="L252">
        <f>IF(AND($J252=0,$K252=0),0,1)</f>
        <v>0</v>
      </c>
    </row>
    <row r="253" spans="1:13" x14ac:dyDescent="0.2">
      <c r="A253" t="s">
        <v>196</v>
      </c>
      <c r="B253" t="s">
        <v>6</v>
      </c>
      <c r="C253" t="s">
        <v>9</v>
      </c>
      <c r="D253">
        <v>3401</v>
      </c>
      <c r="E253">
        <v>2019</v>
      </c>
      <c r="F253">
        <v>1</v>
      </c>
      <c r="G253">
        <v>20363</v>
      </c>
      <c r="H253" s="1">
        <v>4</v>
      </c>
      <c r="I253">
        <v>25</v>
      </c>
      <c r="J253">
        <f>IF($H253=0,1,IF($I253&lt;=1,2,0))</f>
        <v>0</v>
      </c>
      <c r="K253">
        <v>0</v>
      </c>
      <c r="L253">
        <f>IF(AND($J253=0,$K253=0),0,1)</f>
        <v>0</v>
      </c>
    </row>
    <row r="254" spans="1:13" x14ac:dyDescent="0.2">
      <c r="A254" t="s">
        <v>200</v>
      </c>
      <c r="B254" t="s">
        <v>71</v>
      </c>
      <c r="C254" t="s">
        <v>72</v>
      </c>
      <c r="D254">
        <v>4120</v>
      </c>
      <c r="E254">
        <v>2019</v>
      </c>
      <c r="F254">
        <v>1</v>
      </c>
      <c r="G254">
        <v>20347</v>
      </c>
      <c r="H254" s="1">
        <v>3</v>
      </c>
      <c r="I254">
        <v>32</v>
      </c>
      <c r="J254">
        <f>IF($H254=0,1,IF($I254&lt;=1,2,0))</f>
        <v>0</v>
      </c>
      <c r="K254">
        <v>0</v>
      </c>
      <c r="L254">
        <f>IF(AND($J254=0,$K254=0),0,1)</f>
        <v>0</v>
      </c>
    </row>
    <row r="255" spans="1:13" x14ac:dyDescent="0.2">
      <c r="A255" t="s">
        <v>200</v>
      </c>
      <c r="B255" t="s">
        <v>71</v>
      </c>
      <c r="C255" t="s">
        <v>72</v>
      </c>
      <c r="D255">
        <v>4120</v>
      </c>
      <c r="E255">
        <v>2019</v>
      </c>
      <c r="F255" t="s">
        <v>87</v>
      </c>
      <c r="G255">
        <v>17714</v>
      </c>
      <c r="H255" s="1">
        <v>3</v>
      </c>
      <c r="I255">
        <v>2</v>
      </c>
      <c r="J255">
        <f>IF($H255=0,1,IF($I255&lt;=1,2,0))</f>
        <v>0</v>
      </c>
      <c r="K255">
        <v>0</v>
      </c>
      <c r="L255">
        <f>IF(AND($J255=0,$K255=0),0,1)</f>
        <v>0</v>
      </c>
      <c r="M255" t="s">
        <v>85</v>
      </c>
    </row>
    <row r="256" spans="1:13" x14ac:dyDescent="0.2">
      <c r="A256" t="s">
        <v>201</v>
      </c>
      <c r="B256" t="s">
        <v>71</v>
      </c>
      <c r="C256" t="s">
        <v>72</v>
      </c>
      <c r="D256">
        <v>3010</v>
      </c>
      <c r="E256">
        <v>2019</v>
      </c>
      <c r="F256">
        <v>1</v>
      </c>
      <c r="G256">
        <v>20346</v>
      </c>
      <c r="H256" s="1">
        <v>3</v>
      </c>
      <c r="I256">
        <v>40</v>
      </c>
      <c r="J256">
        <f>IF($H256=0,1,IF($I256&lt;=1,2,0))</f>
        <v>0</v>
      </c>
      <c r="K256">
        <v>0</v>
      </c>
      <c r="L256">
        <f>IF(AND($J256=0,$K256=0),0,1)</f>
        <v>0</v>
      </c>
    </row>
    <row r="257" spans="1:13" x14ac:dyDescent="0.2">
      <c r="A257" t="s">
        <v>201</v>
      </c>
      <c r="B257" t="s">
        <v>71</v>
      </c>
      <c r="C257" t="s">
        <v>72</v>
      </c>
      <c r="D257">
        <v>4252</v>
      </c>
      <c r="E257">
        <v>2019</v>
      </c>
      <c r="F257">
        <v>1</v>
      </c>
      <c r="G257">
        <v>20278</v>
      </c>
      <c r="H257" s="1">
        <v>3</v>
      </c>
      <c r="I257">
        <v>6</v>
      </c>
      <c r="J257">
        <f>IF($H257=0,1,IF($I257&lt;=1,2,0))</f>
        <v>0</v>
      </c>
      <c r="K257">
        <v>0</v>
      </c>
      <c r="L257">
        <f>IF(AND($J257=0,$K257=0),0,1)</f>
        <v>0</v>
      </c>
    </row>
    <row r="258" spans="1:13" x14ac:dyDescent="0.2">
      <c r="A258" t="s">
        <v>202</v>
      </c>
      <c r="B258" t="s">
        <v>133</v>
      </c>
      <c r="C258" t="s">
        <v>9</v>
      </c>
      <c r="D258">
        <v>1403</v>
      </c>
      <c r="E258">
        <v>2019</v>
      </c>
      <c r="F258">
        <v>1</v>
      </c>
      <c r="G258">
        <v>99403</v>
      </c>
      <c r="H258" s="1">
        <v>4</v>
      </c>
      <c r="I258">
        <v>282</v>
      </c>
      <c r="J258">
        <f>IF($H258=0,1,IF($I258&lt;=1,2,0))</f>
        <v>0</v>
      </c>
      <c r="K258">
        <v>0</v>
      </c>
      <c r="L258">
        <f>IF(AND($J258=0,$K258=0),0,1)</f>
        <v>0</v>
      </c>
      <c r="M258" t="s">
        <v>1899</v>
      </c>
    </row>
    <row r="259" spans="1:13" x14ac:dyDescent="0.2">
      <c r="A259" t="s">
        <v>202</v>
      </c>
      <c r="B259" t="s">
        <v>133</v>
      </c>
      <c r="C259" t="s">
        <v>9</v>
      </c>
      <c r="D259">
        <v>1403</v>
      </c>
      <c r="E259">
        <v>2019</v>
      </c>
      <c r="F259">
        <v>2</v>
      </c>
      <c r="G259">
        <v>48018</v>
      </c>
      <c r="H259" s="1">
        <v>4</v>
      </c>
      <c r="I259">
        <v>201</v>
      </c>
      <c r="J259">
        <f>IF($H259=0,1,IF($I259&lt;=1,2,0))</f>
        <v>0</v>
      </c>
      <c r="K259">
        <v>0</v>
      </c>
      <c r="L259">
        <f>IF(AND($J259=0,$K259=0),0,1)</f>
        <v>0</v>
      </c>
      <c r="M259" t="s">
        <v>1900</v>
      </c>
    </row>
    <row r="260" spans="1:13" x14ac:dyDescent="0.2">
      <c r="A260" t="s">
        <v>202</v>
      </c>
      <c r="B260" t="s">
        <v>133</v>
      </c>
      <c r="C260" t="s">
        <v>9</v>
      </c>
      <c r="D260">
        <v>1403</v>
      </c>
      <c r="E260">
        <v>2019</v>
      </c>
      <c r="F260">
        <v>3</v>
      </c>
      <c r="G260">
        <v>48019</v>
      </c>
      <c r="H260" s="1">
        <v>4</v>
      </c>
      <c r="I260">
        <v>179</v>
      </c>
      <c r="J260">
        <f>IF($H260=0,1,IF($I260&lt;=1,2,0))</f>
        <v>0</v>
      </c>
      <c r="K260">
        <v>0</v>
      </c>
      <c r="L260">
        <f>IF(AND($J260=0,$K260=0),0,1)</f>
        <v>0</v>
      </c>
      <c r="M260" t="s">
        <v>1901</v>
      </c>
    </row>
    <row r="261" spans="1:13" x14ac:dyDescent="0.2">
      <c r="A261" t="s">
        <v>202</v>
      </c>
      <c r="B261" t="s">
        <v>133</v>
      </c>
      <c r="C261" t="s">
        <v>9</v>
      </c>
      <c r="D261">
        <v>1507</v>
      </c>
      <c r="E261">
        <v>2019</v>
      </c>
      <c r="F261">
        <v>1</v>
      </c>
      <c r="G261">
        <v>99352</v>
      </c>
      <c r="H261" s="1">
        <v>3</v>
      </c>
      <c r="I261">
        <v>14</v>
      </c>
      <c r="J261">
        <f>IF($H261=0,1,IF($I261&lt;=1,2,0))</f>
        <v>0</v>
      </c>
      <c r="K261">
        <v>0</v>
      </c>
      <c r="L261">
        <f>IF(AND($J261=0,$K261=0),0,1)</f>
        <v>0</v>
      </c>
    </row>
    <row r="262" spans="1:13" x14ac:dyDescent="0.2">
      <c r="A262" t="s">
        <v>202</v>
      </c>
      <c r="B262" t="s">
        <v>133</v>
      </c>
      <c r="C262" t="s">
        <v>9</v>
      </c>
      <c r="D262">
        <v>1507</v>
      </c>
      <c r="E262">
        <v>2019</v>
      </c>
      <c r="F262">
        <v>2</v>
      </c>
      <c r="G262">
        <v>99351</v>
      </c>
      <c r="H262" s="1">
        <v>3</v>
      </c>
      <c r="I262">
        <v>9</v>
      </c>
      <c r="J262">
        <f>IF($H262=0,1,IF($I262&lt;=1,2,0))</f>
        <v>0</v>
      </c>
      <c r="K262">
        <v>0</v>
      </c>
      <c r="L262">
        <f>IF(AND($J262=0,$K262=0),0,1)</f>
        <v>0</v>
      </c>
    </row>
    <row r="263" spans="1:13" x14ac:dyDescent="0.2">
      <c r="A263" t="s">
        <v>202</v>
      </c>
      <c r="B263" t="s">
        <v>133</v>
      </c>
      <c r="C263" t="s">
        <v>9</v>
      </c>
      <c r="D263">
        <v>1604</v>
      </c>
      <c r="E263">
        <v>2019</v>
      </c>
      <c r="F263">
        <v>1</v>
      </c>
      <c r="G263">
        <v>99395</v>
      </c>
      <c r="H263" s="1">
        <v>4</v>
      </c>
      <c r="I263">
        <v>67</v>
      </c>
      <c r="J263">
        <f>IF($H263=0,1,IF($I263&lt;=1,2,0))</f>
        <v>0</v>
      </c>
      <c r="K263">
        <v>0</v>
      </c>
      <c r="L263">
        <f>IF(AND($J263=0,$K263=0),0,1)</f>
        <v>0</v>
      </c>
      <c r="M263" t="s">
        <v>1903</v>
      </c>
    </row>
    <row r="264" spans="1:13" x14ac:dyDescent="0.2">
      <c r="A264" t="s">
        <v>202</v>
      </c>
      <c r="B264" t="s">
        <v>133</v>
      </c>
      <c r="C264" t="s">
        <v>9</v>
      </c>
      <c r="D264">
        <v>2045</v>
      </c>
      <c r="E264">
        <v>2019</v>
      </c>
      <c r="F264">
        <v>1</v>
      </c>
      <c r="G264">
        <v>99427</v>
      </c>
      <c r="H264" s="1">
        <v>4</v>
      </c>
      <c r="I264">
        <v>23</v>
      </c>
      <c r="J264">
        <f>IF($H264=0,1,IF($I264&lt;=1,2,0))</f>
        <v>0</v>
      </c>
      <c r="K264">
        <v>0</v>
      </c>
      <c r="L264">
        <f>IF(AND($J264=0,$K264=0),0,1)</f>
        <v>0</v>
      </c>
      <c r="M264" t="s">
        <v>205</v>
      </c>
    </row>
    <row r="265" spans="1:13" x14ac:dyDescent="0.2">
      <c r="A265" t="s">
        <v>202</v>
      </c>
      <c r="B265" t="s">
        <v>133</v>
      </c>
      <c r="C265" t="s">
        <v>9</v>
      </c>
      <c r="D265">
        <v>2443</v>
      </c>
      <c r="E265">
        <v>2019</v>
      </c>
      <c r="F265">
        <v>1</v>
      </c>
      <c r="G265">
        <v>48005</v>
      </c>
      <c r="H265" s="1">
        <v>4</v>
      </c>
      <c r="I265">
        <v>149</v>
      </c>
      <c r="J265">
        <f>IF($H265=0,1,IF($I265&lt;=1,2,0))</f>
        <v>0</v>
      </c>
      <c r="K265">
        <v>0</v>
      </c>
      <c r="L265">
        <f>IF(AND($J265=0,$K265=0),0,1)</f>
        <v>0</v>
      </c>
      <c r="M265" t="s">
        <v>1904</v>
      </c>
    </row>
    <row r="266" spans="1:13" x14ac:dyDescent="0.2">
      <c r="A266" t="s">
        <v>202</v>
      </c>
      <c r="B266" t="s">
        <v>133</v>
      </c>
      <c r="C266" t="s">
        <v>9</v>
      </c>
      <c r="D266">
        <v>2443</v>
      </c>
      <c r="E266">
        <v>2019</v>
      </c>
      <c r="F266">
        <v>3</v>
      </c>
      <c r="G266">
        <v>48007</v>
      </c>
      <c r="H266" s="1">
        <v>4</v>
      </c>
      <c r="I266">
        <v>112</v>
      </c>
      <c r="J266">
        <f>IF($H266=0,1,IF($I266&lt;=1,2,0))</f>
        <v>0</v>
      </c>
      <c r="K266">
        <v>0</v>
      </c>
      <c r="L266">
        <f>IF(AND($J266=0,$K266=0),0,1)</f>
        <v>0</v>
      </c>
      <c r="M266" t="s">
        <v>1906</v>
      </c>
    </row>
    <row r="267" spans="1:13" x14ac:dyDescent="0.2">
      <c r="A267" t="s">
        <v>202</v>
      </c>
      <c r="B267" t="s">
        <v>133</v>
      </c>
      <c r="C267" t="s">
        <v>9</v>
      </c>
      <c r="D267">
        <v>2443</v>
      </c>
      <c r="E267">
        <v>2019</v>
      </c>
      <c r="F267">
        <v>2</v>
      </c>
      <c r="G267">
        <v>48006</v>
      </c>
      <c r="H267" s="1">
        <v>4</v>
      </c>
      <c r="I267">
        <v>75</v>
      </c>
      <c r="J267">
        <f>IF($H267=0,1,IF($I267&lt;=1,2,0))</f>
        <v>0</v>
      </c>
      <c r="K267">
        <v>0</v>
      </c>
      <c r="L267">
        <f>IF(AND($J267=0,$K267=0),0,1)</f>
        <v>0</v>
      </c>
      <c r="M267" t="s">
        <v>1905</v>
      </c>
    </row>
    <row r="268" spans="1:13" x14ac:dyDescent="0.2">
      <c r="A268" t="s">
        <v>202</v>
      </c>
      <c r="B268" t="s">
        <v>133</v>
      </c>
      <c r="C268" t="s">
        <v>9</v>
      </c>
      <c r="D268">
        <v>2545</v>
      </c>
      <c r="E268">
        <v>2019</v>
      </c>
      <c r="F268">
        <v>1</v>
      </c>
      <c r="G268">
        <v>99363</v>
      </c>
      <c r="H268" s="1">
        <v>3</v>
      </c>
      <c r="I268">
        <v>10</v>
      </c>
      <c r="J268">
        <f>IF($H268=0,1,IF($I268&lt;=1,2,0))</f>
        <v>0</v>
      </c>
      <c r="K268">
        <v>0</v>
      </c>
      <c r="L268">
        <f>IF(AND($J268=0,$K268=0),0,1)</f>
        <v>0</v>
      </c>
    </row>
    <row r="269" spans="1:13" x14ac:dyDescent="0.2">
      <c r="A269" t="s">
        <v>202</v>
      </c>
      <c r="B269" t="s">
        <v>133</v>
      </c>
      <c r="C269" t="s">
        <v>9</v>
      </c>
      <c r="D269">
        <v>2545</v>
      </c>
      <c r="E269">
        <v>2019</v>
      </c>
      <c r="F269">
        <v>2</v>
      </c>
      <c r="G269">
        <v>99362</v>
      </c>
      <c r="H269" s="1">
        <v>3</v>
      </c>
      <c r="I269">
        <v>5</v>
      </c>
      <c r="J269">
        <f>IF($H269=0,1,IF($I269&lt;=1,2,0))</f>
        <v>0</v>
      </c>
      <c r="K269">
        <v>0</v>
      </c>
      <c r="L269">
        <f>IF(AND($J269=0,$K269=0),0,1)</f>
        <v>0</v>
      </c>
    </row>
    <row r="270" spans="1:13" x14ac:dyDescent="0.2">
      <c r="A270" t="s">
        <v>202</v>
      </c>
      <c r="B270" t="s">
        <v>133</v>
      </c>
      <c r="C270" t="s">
        <v>9</v>
      </c>
      <c r="D270">
        <v>3079</v>
      </c>
      <c r="E270">
        <v>2019</v>
      </c>
      <c r="F270">
        <v>1</v>
      </c>
      <c r="G270">
        <v>99379</v>
      </c>
      <c r="H270" s="1">
        <v>4</v>
      </c>
      <c r="I270">
        <v>29</v>
      </c>
      <c r="J270">
        <f>IF($H270=0,1,IF($I270&lt;=1,2,0))</f>
        <v>0</v>
      </c>
      <c r="K270">
        <v>0</v>
      </c>
      <c r="L270">
        <f>IF(AND($J270=0,$K270=0),0,1)</f>
        <v>0</v>
      </c>
      <c r="M270" t="s">
        <v>205</v>
      </c>
    </row>
    <row r="271" spans="1:13" x14ac:dyDescent="0.2">
      <c r="A271" t="s">
        <v>202</v>
      </c>
      <c r="B271" t="s">
        <v>133</v>
      </c>
      <c r="C271" t="s">
        <v>9</v>
      </c>
      <c r="D271">
        <v>3085</v>
      </c>
      <c r="E271">
        <v>2019</v>
      </c>
      <c r="F271">
        <v>1</v>
      </c>
      <c r="G271">
        <v>99404</v>
      </c>
      <c r="H271" s="1">
        <v>4</v>
      </c>
      <c r="I271">
        <v>10</v>
      </c>
      <c r="J271">
        <f>IF($H271=0,1,IF($I271&lt;=1,2,0))</f>
        <v>0</v>
      </c>
      <c r="K271">
        <v>0</v>
      </c>
      <c r="L271">
        <f>IF(AND($J271=0,$K271=0),0,1)</f>
        <v>0</v>
      </c>
    </row>
    <row r="272" spans="1:13" x14ac:dyDescent="0.2">
      <c r="A272" t="s">
        <v>202</v>
      </c>
      <c r="B272" t="s">
        <v>133</v>
      </c>
      <c r="C272" t="s">
        <v>9</v>
      </c>
      <c r="D272">
        <v>3920</v>
      </c>
      <c r="E272">
        <v>2019</v>
      </c>
      <c r="F272">
        <v>1</v>
      </c>
      <c r="G272">
        <v>99344</v>
      </c>
      <c r="H272" s="1">
        <v>2</v>
      </c>
      <c r="I272">
        <v>9</v>
      </c>
      <c r="J272">
        <f>IF($H272=0,1,IF($I272&lt;=1,2,0))</f>
        <v>0</v>
      </c>
      <c r="K272">
        <v>0</v>
      </c>
      <c r="L272">
        <f>IF(AND($J272=0,$K272=0),0,1)</f>
        <v>0</v>
      </c>
    </row>
    <row r="273" spans="1:13" x14ac:dyDescent="0.2">
      <c r="A273" t="s">
        <v>202</v>
      </c>
      <c r="B273" t="s">
        <v>133</v>
      </c>
      <c r="C273" t="s">
        <v>11</v>
      </c>
      <c r="D273">
        <v>4071</v>
      </c>
      <c r="E273">
        <v>2019</v>
      </c>
      <c r="F273">
        <v>1</v>
      </c>
      <c r="G273">
        <v>99437</v>
      </c>
      <c r="H273" s="1">
        <v>4.5</v>
      </c>
      <c r="I273">
        <v>36</v>
      </c>
      <c r="J273">
        <f>IF($H273=0,1,IF($I273&lt;=1,2,0))</f>
        <v>0</v>
      </c>
      <c r="K273">
        <v>0</v>
      </c>
      <c r="L273">
        <f>IF(AND($J273=0,$K273=0),0,1)</f>
        <v>0</v>
      </c>
    </row>
    <row r="274" spans="1:13" x14ac:dyDescent="0.2">
      <c r="A274" t="s">
        <v>202</v>
      </c>
      <c r="B274" t="s">
        <v>133</v>
      </c>
      <c r="C274" t="s">
        <v>11</v>
      </c>
      <c r="D274">
        <v>4147</v>
      </c>
      <c r="E274">
        <v>2019</v>
      </c>
      <c r="F274">
        <v>1</v>
      </c>
      <c r="G274">
        <v>48004</v>
      </c>
      <c r="H274" s="1">
        <v>4.5</v>
      </c>
      <c r="I274">
        <v>21</v>
      </c>
      <c r="J274">
        <f>IF($H274=0,1,IF($I274&lt;=1,2,0))</f>
        <v>0</v>
      </c>
      <c r="K274">
        <v>0</v>
      </c>
      <c r="L274">
        <f>IF(AND($J274=0,$K274=0),0,1)</f>
        <v>0</v>
      </c>
    </row>
    <row r="275" spans="1:13" x14ac:dyDescent="0.2">
      <c r="A275" t="s">
        <v>202</v>
      </c>
      <c r="B275" t="s">
        <v>133</v>
      </c>
      <c r="C275" t="s">
        <v>11</v>
      </c>
      <c r="D275">
        <v>4148</v>
      </c>
      <c r="E275">
        <v>2019</v>
      </c>
      <c r="F275">
        <v>1</v>
      </c>
      <c r="G275">
        <v>99343</v>
      </c>
      <c r="H275" s="1">
        <v>4.5</v>
      </c>
      <c r="I275">
        <v>12</v>
      </c>
      <c r="J275">
        <f>IF($H275=0,1,IF($I275&lt;=1,2,0))</f>
        <v>0</v>
      </c>
      <c r="K275">
        <v>0</v>
      </c>
      <c r="L275">
        <f>IF(AND($J275=0,$K275=0),0,1)</f>
        <v>0</v>
      </c>
    </row>
    <row r="276" spans="1:13" x14ac:dyDescent="0.2">
      <c r="A276" t="s">
        <v>202</v>
      </c>
      <c r="B276" t="s">
        <v>133</v>
      </c>
      <c r="C276" t="s">
        <v>11</v>
      </c>
      <c r="D276">
        <v>4221</v>
      </c>
      <c r="E276">
        <v>2019</v>
      </c>
      <c r="F276">
        <v>1</v>
      </c>
      <c r="G276">
        <v>99376</v>
      </c>
      <c r="H276" s="1">
        <v>4.5</v>
      </c>
      <c r="I276">
        <v>8</v>
      </c>
      <c r="J276">
        <f>IF($H276=0,1,IF($I276&lt;=1,2,0))</f>
        <v>0</v>
      </c>
      <c r="K276">
        <v>0</v>
      </c>
      <c r="L276">
        <f>IF(AND($J276=0,$K276=0),0,1)</f>
        <v>0</v>
      </c>
    </row>
    <row r="277" spans="1:13" x14ac:dyDescent="0.2">
      <c r="A277" t="s">
        <v>202</v>
      </c>
      <c r="B277" t="s">
        <v>133</v>
      </c>
      <c r="C277" t="s">
        <v>11</v>
      </c>
      <c r="D277">
        <v>4230</v>
      </c>
      <c r="E277">
        <v>2019</v>
      </c>
      <c r="F277">
        <v>1</v>
      </c>
      <c r="G277">
        <v>99342</v>
      </c>
      <c r="H277" s="1">
        <v>4.5</v>
      </c>
      <c r="I277">
        <v>5</v>
      </c>
      <c r="J277">
        <f>IF($H277=0,1,IF($I277&lt;=1,2,0))</f>
        <v>0</v>
      </c>
      <c r="K277">
        <v>0</v>
      </c>
      <c r="L277">
        <f>IF(AND($J277=0,$K277=0),0,1)</f>
        <v>0</v>
      </c>
    </row>
    <row r="278" spans="1:13" x14ac:dyDescent="0.2">
      <c r="A278" t="s">
        <v>202</v>
      </c>
      <c r="B278" t="s">
        <v>133</v>
      </c>
      <c r="C278" t="s">
        <v>9</v>
      </c>
      <c r="D278">
        <v>4312</v>
      </c>
      <c r="E278">
        <v>2019</v>
      </c>
      <c r="F278">
        <v>1</v>
      </c>
      <c r="G278">
        <v>99405</v>
      </c>
      <c r="H278" s="1">
        <v>4</v>
      </c>
      <c r="I278">
        <v>23</v>
      </c>
      <c r="J278">
        <f>IF($H278=0,1,IF($I278&lt;=1,2,0))</f>
        <v>0</v>
      </c>
      <c r="K278">
        <v>0</v>
      </c>
      <c r="L278">
        <f>IF(AND($J278=0,$K278=0),0,1)</f>
        <v>0</v>
      </c>
    </row>
    <row r="279" spans="1:13" x14ac:dyDescent="0.2">
      <c r="A279" t="s">
        <v>210</v>
      </c>
      <c r="B279" t="s">
        <v>71</v>
      </c>
      <c r="C279" t="s">
        <v>72</v>
      </c>
      <c r="D279">
        <v>2100</v>
      </c>
      <c r="E279">
        <v>2019</v>
      </c>
      <c r="F279">
        <v>1</v>
      </c>
      <c r="G279">
        <v>20360</v>
      </c>
      <c r="H279" s="1">
        <v>3</v>
      </c>
      <c r="I279">
        <v>31</v>
      </c>
      <c r="J279">
        <f>IF($H279=0,1,IF($I279&lt;=1,2,0))</f>
        <v>0</v>
      </c>
      <c r="K279">
        <v>0</v>
      </c>
      <c r="L279">
        <f>IF(AND($J279=0,$K279=0),0,1)</f>
        <v>0</v>
      </c>
    </row>
    <row r="280" spans="1:13" x14ac:dyDescent="0.2">
      <c r="A280" t="s">
        <v>210</v>
      </c>
      <c r="B280" t="s">
        <v>71</v>
      </c>
      <c r="C280" t="s">
        <v>72</v>
      </c>
      <c r="D280">
        <v>3020</v>
      </c>
      <c r="E280">
        <v>2019</v>
      </c>
      <c r="F280">
        <v>1</v>
      </c>
      <c r="G280">
        <v>20345</v>
      </c>
      <c r="H280" s="1">
        <v>3</v>
      </c>
      <c r="I280">
        <v>31</v>
      </c>
      <c r="J280">
        <f>IF($H280=0,1,IF($I280&lt;=1,2,0))</f>
        <v>0</v>
      </c>
      <c r="K280">
        <v>0</v>
      </c>
      <c r="L280">
        <f>IF(AND($J280=0,$K280=0),0,1)</f>
        <v>0</v>
      </c>
    </row>
    <row r="281" spans="1:13" x14ac:dyDescent="0.2">
      <c r="A281" t="s">
        <v>210</v>
      </c>
      <c r="B281" t="s">
        <v>71</v>
      </c>
      <c r="C281" t="s">
        <v>72</v>
      </c>
      <c r="D281">
        <v>3110</v>
      </c>
      <c r="E281">
        <v>2019</v>
      </c>
      <c r="F281">
        <v>1</v>
      </c>
      <c r="G281">
        <v>20283</v>
      </c>
      <c r="H281" s="1">
        <v>3</v>
      </c>
      <c r="I281">
        <v>31</v>
      </c>
      <c r="J281">
        <f>IF($H281=0,1,IF($I281&lt;=1,2,0))</f>
        <v>0</v>
      </c>
      <c r="K281">
        <v>0</v>
      </c>
      <c r="L281">
        <f>IF(AND($J281=0,$K281=0),0,1)</f>
        <v>0</v>
      </c>
    </row>
    <row r="282" spans="1:13" x14ac:dyDescent="0.2">
      <c r="A282" t="s">
        <v>210</v>
      </c>
      <c r="B282" t="s">
        <v>71</v>
      </c>
      <c r="C282" t="s">
        <v>72</v>
      </c>
      <c r="D282">
        <v>4001</v>
      </c>
      <c r="E282">
        <v>2019</v>
      </c>
      <c r="F282">
        <v>1</v>
      </c>
      <c r="G282">
        <v>20282</v>
      </c>
      <c r="H282" s="1">
        <v>3</v>
      </c>
      <c r="I282">
        <v>16</v>
      </c>
      <c r="J282">
        <f>IF($H282=0,1,IF($I282&lt;=1,2,0))</f>
        <v>0</v>
      </c>
      <c r="K282">
        <v>0</v>
      </c>
      <c r="L282">
        <f>IF(AND($J282=0,$K282=0),0,1)</f>
        <v>0</v>
      </c>
    </row>
    <row r="283" spans="1:13" x14ac:dyDescent="0.2">
      <c r="A283" t="s">
        <v>210</v>
      </c>
      <c r="B283" t="s">
        <v>71</v>
      </c>
      <c r="C283" t="s">
        <v>72</v>
      </c>
      <c r="D283">
        <v>4002</v>
      </c>
      <c r="E283">
        <v>2019</v>
      </c>
      <c r="F283">
        <v>1</v>
      </c>
      <c r="G283">
        <v>20327</v>
      </c>
      <c r="H283" s="1">
        <v>3</v>
      </c>
      <c r="I283">
        <v>16</v>
      </c>
      <c r="J283">
        <f>IF($H283=0,1,IF($I283&lt;=1,2,0))</f>
        <v>0</v>
      </c>
      <c r="K283">
        <v>0</v>
      </c>
      <c r="L283">
        <f>IF(AND($J283=0,$K283=0),0,1)</f>
        <v>0</v>
      </c>
    </row>
    <row r="284" spans="1:13" x14ac:dyDescent="0.2">
      <c r="A284" t="s">
        <v>210</v>
      </c>
      <c r="B284" t="s">
        <v>71</v>
      </c>
      <c r="C284" t="s">
        <v>72</v>
      </c>
      <c r="D284">
        <v>4010</v>
      </c>
      <c r="E284">
        <v>2019</v>
      </c>
      <c r="F284">
        <v>1</v>
      </c>
      <c r="G284">
        <v>20359</v>
      </c>
      <c r="H284" s="1">
        <v>3</v>
      </c>
      <c r="I284">
        <v>32</v>
      </c>
      <c r="J284">
        <f>IF($H284=0,1,IF($I284&lt;=1,2,0))</f>
        <v>0</v>
      </c>
      <c r="K284">
        <v>0</v>
      </c>
      <c r="L284">
        <f>IF(AND($J284=0,$K284=0),0,1)</f>
        <v>0</v>
      </c>
    </row>
    <row r="285" spans="1:13" x14ac:dyDescent="0.2">
      <c r="A285" t="s">
        <v>210</v>
      </c>
      <c r="B285" t="s">
        <v>71</v>
      </c>
      <c r="C285" t="s">
        <v>72</v>
      </c>
      <c r="D285">
        <v>4020</v>
      </c>
      <c r="E285">
        <v>2019</v>
      </c>
      <c r="F285">
        <v>1</v>
      </c>
      <c r="G285">
        <v>20350</v>
      </c>
      <c r="H285" s="1">
        <v>3</v>
      </c>
      <c r="I285">
        <v>39</v>
      </c>
      <c r="J285">
        <f>IF($H285=0,1,IF($I285&lt;=1,2,0))</f>
        <v>0</v>
      </c>
      <c r="K285">
        <v>0</v>
      </c>
      <c r="L285">
        <f>IF(AND($J285=0,$K285=0),0,1)</f>
        <v>0</v>
      </c>
    </row>
    <row r="286" spans="1:13" x14ac:dyDescent="0.2">
      <c r="A286" t="s">
        <v>210</v>
      </c>
      <c r="B286" t="s">
        <v>71</v>
      </c>
      <c r="C286" t="s">
        <v>72</v>
      </c>
      <c r="D286">
        <v>4020</v>
      </c>
      <c r="E286">
        <v>2019</v>
      </c>
      <c r="F286" t="s">
        <v>84</v>
      </c>
      <c r="G286">
        <v>14416</v>
      </c>
      <c r="H286" s="1">
        <v>3</v>
      </c>
      <c r="I286">
        <v>4</v>
      </c>
      <c r="J286">
        <f>IF($H286=0,1,IF($I286&lt;=1,2,0))</f>
        <v>0</v>
      </c>
      <c r="K286">
        <v>0</v>
      </c>
      <c r="L286">
        <f>IF(AND($J286=0,$K286=0),0,1)</f>
        <v>0</v>
      </c>
      <c r="M286" t="s">
        <v>85</v>
      </c>
    </row>
    <row r="287" spans="1:13" x14ac:dyDescent="0.2">
      <c r="A287" t="s">
        <v>210</v>
      </c>
      <c r="B287" t="s">
        <v>71</v>
      </c>
      <c r="C287" t="s">
        <v>72</v>
      </c>
      <c r="D287">
        <v>4110</v>
      </c>
      <c r="E287">
        <v>2019</v>
      </c>
      <c r="F287">
        <v>1</v>
      </c>
      <c r="G287">
        <v>20358</v>
      </c>
      <c r="H287" s="1">
        <v>3</v>
      </c>
      <c r="I287">
        <v>28</v>
      </c>
      <c r="J287">
        <f>IF($H287=0,1,IF($I287&lt;=1,2,0))</f>
        <v>0</v>
      </c>
      <c r="K287">
        <v>0</v>
      </c>
      <c r="L287">
        <f>IF(AND($J287=0,$K287=0),0,1)</f>
        <v>0</v>
      </c>
    </row>
    <row r="288" spans="1:13" x14ac:dyDescent="0.2">
      <c r="A288" t="s">
        <v>210</v>
      </c>
      <c r="B288" t="s">
        <v>71</v>
      </c>
      <c r="C288" t="s">
        <v>72</v>
      </c>
      <c r="D288">
        <v>4110</v>
      </c>
      <c r="E288">
        <v>2019</v>
      </c>
      <c r="F288" t="s">
        <v>84</v>
      </c>
      <c r="G288">
        <v>14417</v>
      </c>
      <c r="H288" s="1">
        <v>3</v>
      </c>
      <c r="I288">
        <v>4</v>
      </c>
      <c r="J288">
        <f>IF($H288=0,1,IF($I288&lt;=1,2,0))</f>
        <v>0</v>
      </c>
      <c r="K288">
        <v>0</v>
      </c>
      <c r="L288">
        <f>IF(AND($J288=0,$K288=0),0,1)</f>
        <v>0</v>
      </c>
      <c r="M288" t="s">
        <v>85</v>
      </c>
    </row>
    <row r="289" spans="1:13" x14ac:dyDescent="0.2">
      <c r="A289" t="s">
        <v>210</v>
      </c>
      <c r="B289" t="s">
        <v>71</v>
      </c>
      <c r="C289" t="s">
        <v>72</v>
      </c>
      <c r="D289">
        <v>4130</v>
      </c>
      <c r="E289">
        <v>2019</v>
      </c>
      <c r="F289">
        <v>1</v>
      </c>
      <c r="G289">
        <v>20325</v>
      </c>
      <c r="H289" s="1">
        <v>3</v>
      </c>
      <c r="I289">
        <v>40</v>
      </c>
      <c r="J289">
        <f>IF($H289=0,1,IF($I289&lt;=1,2,0))</f>
        <v>0</v>
      </c>
      <c r="K289">
        <v>0</v>
      </c>
      <c r="L289">
        <f>IF(AND($J289=0,$K289=0),0,1)</f>
        <v>0</v>
      </c>
    </row>
    <row r="290" spans="1:13" x14ac:dyDescent="0.2">
      <c r="A290" t="s">
        <v>210</v>
      </c>
      <c r="B290" t="s">
        <v>71</v>
      </c>
      <c r="C290" t="s">
        <v>72</v>
      </c>
      <c r="D290">
        <v>4140</v>
      </c>
      <c r="E290">
        <v>2019</v>
      </c>
      <c r="F290">
        <v>1</v>
      </c>
      <c r="G290">
        <v>20357</v>
      </c>
      <c r="H290" s="1">
        <v>3</v>
      </c>
      <c r="I290">
        <v>38</v>
      </c>
      <c r="J290">
        <f>IF($H290=0,1,IF($I290&lt;=1,2,0))</f>
        <v>0</v>
      </c>
      <c r="K290">
        <v>0</v>
      </c>
      <c r="L290">
        <f>IF(AND($J290=0,$K290=0),0,1)</f>
        <v>0</v>
      </c>
    </row>
    <row r="291" spans="1:13" x14ac:dyDescent="0.2">
      <c r="A291" t="s">
        <v>210</v>
      </c>
      <c r="B291" t="s">
        <v>71</v>
      </c>
      <c r="C291" t="s">
        <v>72</v>
      </c>
      <c r="D291">
        <v>4140</v>
      </c>
      <c r="E291">
        <v>2019</v>
      </c>
      <c r="F291" t="s">
        <v>84</v>
      </c>
      <c r="G291">
        <v>16323</v>
      </c>
      <c r="H291" s="1">
        <v>3</v>
      </c>
      <c r="I291">
        <v>2</v>
      </c>
      <c r="J291">
        <f>IF($H291=0,1,IF($I291&lt;=1,2,0))</f>
        <v>0</v>
      </c>
      <c r="K291">
        <v>0</v>
      </c>
      <c r="L291">
        <f>IF(AND($J291=0,$K291=0),0,1)</f>
        <v>0</v>
      </c>
      <c r="M291" t="s">
        <v>85</v>
      </c>
    </row>
    <row r="292" spans="1:13" x14ac:dyDescent="0.2">
      <c r="A292" t="s">
        <v>210</v>
      </c>
      <c r="B292" t="s">
        <v>71</v>
      </c>
      <c r="C292" t="s">
        <v>72</v>
      </c>
      <c r="D292">
        <v>4201</v>
      </c>
      <c r="E292">
        <v>2019</v>
      </c>
      <c r="F292">
        <v>1</v>
      </c>
      <c r="G292">
        <v>51115</v>
      </c>
      <c r="H292" s="1">
        <v>3</v>
      </c>
      <c r="I292">
        <v>46</v>
      </c>
      <c r="J292">
        <f>IF($H292=0,1,IF($I292&lt;=1,2,0))</f>
        <v>0</v>
      </c>
      <c r="K292">
        <v>0</v>
      </c>
      <c r="L292">
        <f>IF(AND($J292=0,$K292=0),0,1)</f>
        <v>0</v>
      </c>
    </row>
    <row r="293" spans="1:13" x14ac:dyDescent="0.2">
      <c r="A293" t="s">
        <v>210</v>
      </c>
      <c r="B293" t="s">
        <v>71</v>
      </c>
      <c r="C293" t="s">
        <v>72</v>
      </c>
      <c r="D293">
        <v>4231</v>
      </c>
      <c r="E293">
        <v>2019</v>
      </c>
      <c r="F293">
        <v>1</v>
      </c>
      <c r="G293">
        <v>20324</v>
      </c>
      <c r="H293" s="1">
        <v>3</v>
      </c>
      <c r="I293">
        <v>34</v>
      </c>
      <c r="J293">
        <f>IF($H293=0,1,IF($I293&lt;=1,2,0))</f>
        <v>0</v>
      </c>
      <c r="K293">
        <v>0</v>
      </c>
      <c r="L293">
        <f>IF(AND($J293=0,$K293=0),0,1)</f>
        <v>0</v>
      </c>
    </row>
    <row r="294" spans="1:13" x14ac:dyDescent="0.2">
      <c r="A294" t="s">
        <v>210</v>
      </c>
      <c r="B294" t="s">
        <v>71</v>
      </c>
      <c r="C294" t="s">
        <v>72</v>
      </c>
      <c r="D294">
        <v>4235</v>
      </c>
      <c r="E294">
        <v>2019</v>
      </c>
      <c r="F294">
        <v>1</v>
      </c>
      <c r="G294">
        <v>20356</v>
      </c>
      <c r="H294" s="1">
        <v>3</v>
      </c>
      <c r="I294">
        <v>19</v>
      </c>
      <c r="J294">
        <f>IF($H294=0,1,IF($I294&lt;=1,2,0))</f>
        <v>0</v>
      </c>
      <c r="K294">
        <v>0</v>
      </c>
      <c r="L294">
        <f>IF(AND($J294=0,$K294=0),0,1)</f>
        <v>0</v>
      </c>
    </row>
    <row r="295" spans="1:13" x14ac:dyDescent="0.2">
      <c r="A295" t="s">
        <v>210</v>
      </c>
      <c r="B295" t="s">
        <v>71</v>
      </c>
      <c r="C295" t="s">
        <v>72</v>
      </c>
      <c r="D295">
        <v>4300</v>
      </c>
      <c r="E295">
        <v>2019</v>
      </c>
      <c r="F295">
        <v>1</v>
      </c>
      <c r="G295">
        <v>20355</v>
      </c>
      <c r="H295" s="1">
        <v>3</v>
      </c>
      <c r="I295">
        <v>37</v>
      </c>
      <c r="J295">
        <f>IF($H295=0,1,IF($I295&lt;=1,2,0))</f>
        <v>0</v>
      </c>
      <c r="K295">
        <v>0</v>
      </c>
      <c r="L295">
        <f>IF(AND($J295=0,$K295=0),0,1)</f>
        <v>0</v>
      </c>
    </row>
    <row r="296" spans="1:13" x14ac:dyDescent="0.2">
      <c r="A296" t="s">
        <v>210</v>
      </c>
      <c r="B296" t="s">
        <v>71</v>
      </c>
      <c r="C296" t="s">
        <v>72</v>
      </c>
      <c r="D296">
        <v>4400</v>
      </c>
      <c r="E296">
        <v>2019</v>
      </c>
      <c r="F296">
        <v>1</v>
      </c>
      <c r="G296">
        <v>20354</v>
      </c>
      <c r="H296" s="1">
        <v>3</v>
      </c>
      <c r="I296">
        <v>11</v>
      </c>
      <c r="J296">
        <f>IF($H296=0,1,IF($I296&lt;=1,2,0))</f>
        <v>0</v>
      </c>
      <c r="K296">
        <v>0</v>
      </c>
      <c r="L296">
        <f>IF(AND($J296=0,$K296=0),0,1)</f>
        <v>0</v>
      </c>
    </row>
    <row r="297" spans="1:13" x14ac:dyDescent="0.2">
      <c r="A297" t="s">
        <v>210</v>
      </c>
      <c r="B297" t="s">
        <v>71</v>
      </c>
      <c r="C297" t="s">
        <v>72</v>
      </c>
      <c r="D297">
        <v>4500</v>
      </c>
      <c r="E297">
        <v>2019</v>
      </c>
      <c r="F297">
        <v>1</v>
      </c>
      <c r="G297">
        <v>20323</v>
      </c>
      <c r="H297" s="1">
        <v>4</v>
      </c>
      <c r="I297">
        <v>37</v>
      </c>
      <c r="J297">
        <f>IF($H297=0,1,IF($I297&lt;=1,2,0))</f>
        <v>0</v>
      </c>
      <c r="K297">
        <v>0</v>
      </c>
      <c r="L297">
        <f>IF(AND($J297=0,$K297=0),0,1)</f>
        <v>0</v>
      </c>
      <c r="M297" t="s">
        <v>213</v>
      </c>
    </row>
    <row r="298" spans="1:13" x14ac:dyDescent="0.2">
      <c r="A298" t="s">
        <v>210</v>
      </c>
      <c r="B298" t="s">
        <v>71</v>
      </c>
      <c r="C298" t="s">
        <v>72</v>
      </c>
      <c r="D298">
        <v>4580</v>
      </c>
      <c r="E298">
        <v>2019</v>
      </c>
      <c r="F298">
        <v>1</v>
      </c>
      <c r="G298">
        <v>13531</v>
      </c>
      <c r="H298" s="1">
        <v>3</v>
      </c>
      <c r="I298">
        <v>6</v>
      </c>
      <c r="J298">
        <f>IF($H298=0,1,IF($I298&lt;=1,2,0))</f>
        <v>0</v>
      </c>
      <c r="K298">
        <v>0</v>
      </c>
      <c r="L298">
        <f>IF(AND($J298=0,$K298=0),0,1)</f>
        <v>0</v>
      </c>
    </row>
    <row r="299" spans="1:13" x14ac:dyDescent="0.2">
      <c r="A299" t="s">
        <v>210</v>
      </c>
      <c r="B299" t="s">
        <v>71</v>
      </c>
      <c r="C299" t="s">
        <v>72</v>
      </c>
      <c r="D299">
        <v>4660</v>
      </c>
      <c r="E299">
        <v>2019</v>
      </c>
      <c r="F299">
        <v>1</v>
      </c>
      <c r="G299">
        <v>51105</v>
      </c>
      <c r="H299" s="1">
        <v>3</v>
      </c>
      <c r="I299">
        <v>28</v>
      </c>
      <c r="J299">
        <f>IF($H299=0,1,IF($I299&lt;=1,2,0))</f>
        <v>0</v>
      </c>
      <c r="K299">
        <v>0</v>
      </c>
      <c r="L299">
        <f>IF(AND($J299=0,$K299=0),0,1)</f>
        <v>0</v>
      </c>
    </row>
    <row r="300" spans="1:13" x14ac:dyDescent="0.2">
      <c r="A300" t="s">
        <v>210</v>
      </c>
      <c r="B300" t="s">
        <v>71</v>
      </c>
      <c r="C300" t="s">
        <v>72</v>
      </c>
      <c r="D300">
        <v>4670</v>
      </c>
      <c r="E300">
        <v>2019</v>
      </c>
      <c r="F300">
        <v>1</v>
      </c>
      <c r="G300">
        <v>20353</v>
      </c>
      <c r="H300" s="1">
        <v>3</v>
      </c>
      <c r="I300">
        <v>24</v>
      </c>
      <c r="J300">
        <f>IF($H300=0,1,IF($I300&lt;=1,2,0))</f>
        <v>0</v>
      </c>
      <c r="K300">
        <v>0</v>
      </c>
      <c r="L300">
        <f>IF(AND($J300=0,$K300=0),0,1)</f>
        <v>0</v>
      </c>
    </row>
    <row r="301" spans="1:13" x14ac:dyDescent="0.2">
      <c r="A301" t="s">
        <v>210</v>
      </c>
      <c r="B301" t="s">
        <v>71</v>
      </c>
      <c r="C301" t="s">
        <v>72</v>
      </c>
      <c r="D301">
        <v>4850</v>
      </c>
      <c r="E301">
        <v>2019</v>
      </c>
      <c r="F301">
        <v>1</v>
      </c>
      <c r="G301">
        <v>20352</v>
      </c>
      <c r="H301" s="1">
        <v>3</v>
      </c>
      <c r="I301">
        <v>7</v>
      </c>
      <c r="J301">
        <f>IF($H301=0,1,IF($I301&lt;=1,2,0))</f>
        <v>0</v>
      </c>
      <c r="K301">
        <v>0</v>
      </c>
      <c r="L301">
        <f>IF(AND($J301=0,$K301=0),0,1)</f>
        <v>0</v>
      </c>
    </row>
    <row r="302" spans="1:13" x14ac:dyDescent="0.2">
      <c r="A302" t="s">
        <v>210</v>
      </c>
      <c r="B302" t="s">
        <v>71</v>
      </c>
      <c r="C302" t="s">
        <v>72</v>
      </c>
      <c r="D302">
        <v>4920</v>
      </c>
      <c r="E302">
        <v>2019</v>
      </c>
      <c r="F302">
        <v>1</v>
      </c>
      <c r="G302">
        <v>10181</v>
      </c>
      <c r="H302" s="1">
        <v>3</v>
      </c>
      <c r="I302">
        <v>34</v>
      </c>
      <c r="J302">
        <f>IF($H302=0,1,IF($I302&lt;=1,2,0))</f>
        <v>0</v>
      </c>
      <c r="K302">
        <v>0</v>
      </c>
      <c r="L302">
        <f>IF(AND($J302=0,$K302=0),0,1)</f>
        <v>0</v>
      </c>
    </row>
    <row r="303" spans="1:13" x14ac:dyDescent="0.2">
      <c r="A303" t="s">
        <v>210</v>
      </c>
      <c r="B303" t="s">
        <v>71</v>
      </c>
      <c r="C303" t="s">
        <v>72</v>
      </c>
      <c r="D303">
        <v>4920</v>
      </c>
      <c r="E303">
        <v>2019</v>
      </c>
      <c r="F303" t="s">
        <v>84</v>
      </c>
      <c r="G303">
        <v>17301</v>
      </c>
      <c r="H303" s="1">
        <v>3</v>
      </c>
      <c r="I303">
        <v>6</v>
      </c>
      <c r="J303">
        <f>IF($H303=0,1,IF($I303&lt;=1,2,0))</f>
        <v>0</v>
      </c>
      <c r="K303">
        <v>0</v>
      </c>
      <c r="L303">
        <f>IF(AND($J303=0,$K303=0),0,1)</f>
        <v>0</v>
      </c>
      <c r="M303" t="s">
        <v>85</v>
      </c>
    </row>
    <row r="304" spans="1:13" x14ac:dyDescent="0.2">
      <c r="A304" t="s">
        <v>216</v>
      </c>
      <c r="B304" t="s">
        <v>17</v>
      </c>
      <c r="C304" t="s">
        <v>7</v>
      </c>
      <c r="D304">
        <v>1011</v>
      </c>
      <c r="E304">
        <v>2019</v>
      </c>
      <c r="F304">
        <v>2</v>
      </c>
      <c r="G304">
        <v>44394</v>
      </c>
      <c r="H304" s="1">
        <v>2.5</v>
      </c>
      <c r="I304">
        <v>7</v>
      </c>
      <c r="J304">
        <f>IF($H304=0,1,IF($I304&lt;=1,2,0))</f>
        <v>0</v>
      </c>
      <c r="K304">
        <v>0</v>
      </c>
      <c r="L304">
        <f>IF(AND($J304=0,$K304=0),0,1)</f>
        <v>0</v>
      </c>
    </row>
    <row r="305" spans="1:12" x14ac:dyDescent="0.2">
      <c r="A305" t="s">
        <v>216</v>
      </c>
      <c r="B305" t="s">
        <v>17</v>
      </c>
      <c r="C305" t="s">
        <v>7</v>
      </c>
      <c r="D305">
        <v>1011</v>
      </c>
      <c r="E305">
        <v>2019</v>
      </c>
      <c r="F305">
        <v>1</v>
      </c>
      <c r="G305">
        <v>44393</v>
      </c>
      <c r="H305" s="1">
        <v>2.5</v>
      </c>
      <c r="I305">
        <v>6</v>
      </c>
      <c r="J305">
        <f>IF($H305=0,1,IF($I305&lt;=1,2,0))</f>
        <v>0</v>
      </c>
      <c r="K305">
        <v>0</v>
      </c>
      <c r="L305">
        <f>IF(AND($J305=0,$K305=0),0,1)</f>
        <v>0</v>
      </c>
    </row>
    <row r="306" spans="1:12" x14ac:dyDescent="0.2">
      <c r="A306" t="s">
        <v>216</v>
      </c>
      <c r="B306" t="s">
        <v>17</v>
      </c>
      <c r="C306" t="s">
        <v>7</v>
      </c>
      <c r="D306">
        <v>1101</v>
      </c>
      <c r="E306">
        <v>2019</v>
      </c>
      <c r="F306">
        <v>5</v>
      </c>
      <c r="G306">
        <v>44463</v>
      </c>
      <c r="H306" s="1">
        <v>5</v>
      </c>
      <c r="I306">
        <v>12</v>
      </c>
      <c r="J306">
        <f>IF($H306=0,1,IF($I306&lt;=1,2,0))</f>
        <v>0</v>
      </c>
      <c r="K306">
        <v>0</v>
      </c>
      <c r="L306">
        <f>IF(AND($J306=0,$K306=0),0,1)</f>
        <v>0</v>
      </c>
    </row>
    <row r="307" spans="1:12" x14ac:dyDescent="0.2">
      <c r="A307" t="s">
        <v>216</v>
      </c>
      <c r="B307" t="s">
        <v>17</v>
      </c>
      <c r="C307" t="s">
        <v>7</v>
      </c>
      <c r="D307">
        <v>1101</v>
      </c>
      <c r="E307">
        <v>2019</v>
      </c>
      <c r="F307">
        <v>6</v>
      </c>
      <c r="G307">
        <v>44464</v>
      </c>
      <c r="H307" s="1">
        <v>5</v>
      </c>
      <c r="I307">
        <v>12</v>
      </c>
      <c r="J307">
        <f>IF($H307=0,1,IF($I307&lt;=1,2,0))</f>
        <v>0</v>
      </c>
      <c r="K307">
        <v>0</v>
      </c>
      <c r="L307">
        <f>IF(AND($J307=0,$K307=0),0,1)</f>
        <v>0</v>
      </c>
    </row>
    <row r="308" spans="1:12" x14ac:dyDescent="0.2">
      <c r="A308" t="s">
        <v>216</v>
      </c>
      <c r="B308" t="s">
        <v>17</v>
      </c>
      <c r="C308" t="s">
        <v>7</v>
      </c>
      <c r="D308">
        <v>1101</v>
      </c>
      <c r="E308">
        <v>2019</v>
      </c>
      <c r="F308">
        <v>2</v>
      </c>
      <c r="G308">
        <v>44460</v>
      </c>
      <c r="H308" s="1">
        <v>5</v>
      </c>
      <c r="I308">
        <v>11</v>
      </c>
      <c r="J308">
        <f>IF($H308=0,1,IF($I308&lt;=1,2,0))</f>
        <v>0</v>
      </c>
      <c r="K308">
        <v>0</v>
      </c>
      <c r="L308">
        <f>IF(AND($J308=0,$K308=0),0,1)</f>
        <v>0</v>
      </c>
    </row>
    <row r="309" spans="1:12" x14ac:dyDescent="0.2">
      <c r="A309" t="s">
        <v>216</v>
      </c>
      <c r="B309" t="s">
        <v>17</v>
      </c>
      <c r="C309" t="s">
        <v>7</v>
      </c>
      <c r="D309">
        <v>1101</v>
      </c>
      <c r="E309">
        <v>2019</v>
      </c>
      <c r="F309">
        <v>4</v>
      </c>
      <c r="G309">
        <v>44462</v>
      </c>
      <c r="H309" s="1">
        <v>5</v>
      </c>
      <c r="I309">
        <v>11</v>
      </c>
      <c r="J309">
        <f>IF($H309=0,1,IF($I309&lt;=1,2,0))</f>
        <v>0</v>
      </c>
      <c r="K309">
        <v>0</v>
      </c>
      <c r="L309">
        <f>IF(AND($J309=0,$K309=0),0,1)</f>
        <v>0</v>
      </c>
    </row>
    <row r="310" spans="1:12" x14ac:dyDescent="0.2">
      <c r="A310" t="s">
        <v>216</v>
      </c>
      <c r="B310" t="s">
        <v>17</v>
      </c>
      <c r="C310" t="s">
        <v>7</v>
      </c>
      <c r="D310">
        <v>1101</v>
      </c>
      <c r="E310">
        <v>2019</v>
      </c>
      <c r="F310">
        <v>1</v>
      </c>
      <c r="G310">
        <v>44459</v>
      </c>
      <c r="H310" s="1">
        <v>5</v>
      </c>
      <c r="I310">
        <v>10</v>
      </c>
      <c r="J310">
        <f>IF($H310=0,1,IF($I310&lt;=1,2,0))</f>
        <v>0</v>
      </c>
      <c r="K310">
        <v>0</v>
      </c>
      <c r="L310">
        <f>IF(AND($J310=0,$K310=0),0,1)</f>
        <v>0</v>
      </c>
    </row>
    <row r="311" spans="1:12" x14ac:dyDescent="0.2">
      <c r="A311" t="s">
        <v>216</v>
      </c>
      <c r="B311" t="s">
        <v>17</v>
      </c>
      <c r="C311" t="s">
        <v>7</v>
      </c>
      <c r="D311">
        <v>1101</v>
      </c>
      <c r="E311">
        <v>2019</v>
      </c>
      <c r="F311">
        <v>7</v>
      </c>
      <c r="G311">
        <v>44465</v>
      </c>
      <c r="H311" s="1">
        <v>5</v>
      </c>
      <c r="I311">
        <v>4</v>
      </c>
      <c r="J311">
        <f>IF($H311=0,1,IF($I311&lt;=1,2,0))</f>
        <v>0</v>
      </c>
      <c r="K311">
        <v>0</v>
      </c>
      <c r="L311">
        <f>IF(AND($J311=0,$K311=0),0,1)</f>
        <v>0</v>
      </c>
    </row>
    <row r="312" spans="1:12" x14ac:dyDescent="0.2">
      <c r="A312" t="s">
        <v>216</v>
      </c>
      <c r="B312" t="s">
        <v>17</v>
      </c>
      <c r="C312" t="s">
        <v>7</v>
      </c>
      <c r="D312">
        <v>1101</v>
      </c>
      <c r="E312">
        <v>2019</v>
      </c>
      <c r="F312">
        <v>3</v>
      </c>
      <c r="G312">
        <v>44461</v>
      </c>
      <c r="H312" s="1">
        <v>5</v>
      </c>
      <c r="I312">
        <v>3</v>
      </c>
      <c r="J312">
        <f>IF($H312=0,1,IF($I312&lt;=1,2,0))</f>
        <v>0</v>
      </c>
      <c r="K312">
        <v>0</v>
      </c>
      <c r="L312">
        <f>IF(AND($J312=0,$K312=0),0,1)</f>
        <v>0</v>
      </c>
    </row>
    <row r="313" spans="1:12" x14ac:dyDescent="0.2">
      <c r="A313" t="s">
        <v>216</v>
      </c>
      <c r="B313" t="s">
        <v>17</v>
      </c>
      <c r="C313" t="s">
        <v>7</v>
      </c>
      <c r="D313">
        <v>1111</v>
      </c>
      <c r="E313">
        <v>2019</v>
      </c>
      <c r="F313">
        <v>1</v>
      </c>
      <c r="G313">
        <v>44466</v>
      </c>
      <c r="H313" s="1">
        <v>5</v>
      </c>
      <c r="I313">
        <v>16</v>
      </c>
      <c r="J313">
        <f>IF($H313=0,1,IF($I313&lt;=1,2,0))</f>
        <v>0</v>
      </c>
      <c r="K313">
        <v>0</v>
      </c>
      <c r="L313">
        <f>IF(AND($J313=0,$K313=0),0,1)</f>
        <v>0</v>
      </c>
    </row>
    <row r="314" spans="1:12" x14ac:dyDescent="0.2">
      <c r="A314" t="s">
        <v>216</v>
      </c>
      <c r="B314" t="s">
        <v>17</v>
      </c>
      <c r="C314" t="s">
        <v>7</v>
      </c>
      <c r="D314">
        <v>1111</v>
      </c>
      <c r="E314">
        <v>2019</v>
      </c>
      <c r="F314">
        <v>2</v>
      </c>
      <c r="G314">
        <v>44467</v>
      </c>
      <c r="H314" s="1">
        <v>5</v>
      </c>
      <c r="I314">
        <v>16</v>
      </c>
      <c r="J314">
        <f>IF($H314=0,1,IF($I314&lt;=1,2,0))</f>
        <v>0</v>
      </c>
      <c r="K314">
        <v>0</v>
      </c>
      <c r="L314">
        <f>IF(AND($J314=0,$K314=0),0,1)</f>
        <v>0</v>
      </c>
    </row>
    <row r="315" spans="1:12" x14ac:dyDescent="0.2">
      <c r="A315" t="s">
        <v>216</v>
      </c>
      <c r="B315" t="s">
        <v>17</v>
      </c>
      <c r="C315" t="s">
        <v>7</v>
      </c>
      <c r="D315">
        <v>2201</v>
      </c>
      <c r="E315">
        <v>2019</v>
      </c>
      <c r="F315">
        <v>2</v>
      </c>
      <c r="G315">
        <v>44448</v>
      </c>
      <c r="H315" s="1">
        <v>5</v>
      </c>
      <c r="I315">
        <v>15</v>
      </c>
      <c r="J315">
        <f>IF($H315=0,1,IF($I315&lt;=1,2,0))</f>
        <v>0</v>
      </c>
      <c r="K315">
        <v>0</v>
      </c>
      <c r="L315">
        <f>IF(AND($J315=0,$K315=0),0,1)</f>
        <v>0</v>
      </c>
    </row>
    <row r="316" spans="1:12" x14ac:dyDescent="0.2">
      <c r="A316" t="s">
        <v>216</v>
      </c>
      <c r="B316" t="s">
        <v>17</v>
      </c>
      <c r="C316" t="s">
        <v>7</v>
      </c>
      <c r="D316">
        <v>2201</v>
      </c>
      <c r="E316">
        <v>2019</v>
      </c>
      <c r="F316">
        <v>4</v>
      </c>
      <c r="G316">
        <v>44450</v>
      </c>
      <c r="H316" s="1">
        <v>5</v>
      </c>
      <c r="I316">
        <v>12</v>
      </c>
      <c r="J316">
        <f>IF($H316=0,1,IF($I316&lt;=1,2,0))</f>
        <v>0</v>
      </c>
      <c r="K316">
        <v>0</v>
      </c>
      <c r="L316">
        <f>IF(AND($J316=0,$K316=0),0,1)</f>
        <v>0</v>
      </c>
    </row>
    <row r="317" spans="1:12" x14ac:dyDescent="0.2">
      <c r="A317" t="s">
        <v>216</v>
      </c>
      <c r="B317" t="s">
        <v>17</v>
      </c>
      <c r="C317" t="s">
        <v>7</v>
      </c>
      <c r="D317">
        <v>2201</v>
      </c>
      <c r="E317">
        <v>2019</v>
      </c>
      <c r="F317">
        <v>5</v>
      </c>
      <c r="G317">
        <v>44451</v>
      </c>
      <c r="H317" s="1">
        <v>5</v>
      </c>
      <c r="I317">
        <v>12</v>
      </c>
      <c r="J317">
        <f>IF($H317=0,1,IF($I317&lt;=1,2,0))</f>
        <v>0</v>
      </c>
      <c r="K317">
        <v>0</v>
      </c>
      <c r="L317">
        <f>IF(AND($J317=0,$K317=0),0,1)</f>
        <v>0</v>
      </c>
    </row>
    <row r="318" spans="1:12" x14ac:dyDescent="0.2">
      <c r="A318" t="s">
        <v>216</v>
      </c>
      <c r="B318" t="s">
        <v>17</v>
      </c>
      <c r="C318" t="s">
        <v>7</v>
      </c>
      <c r="D318">
        <v>2201</v>
      </c>
      <c r="E318">
        <v>2019</v>
      </c>
      <c r="F318">
        <v>1</v>
      </c>
      <c r="G318">
        <v>44447</v>
      </c>
      <c r="H318" s="1">
        <v>5</v>
      </c>
      <c r="I318">
        <v>11</v>
      </c>
      <c r="J318">
        <f>IF($H318=0,1,IF($I318&lt;=1,2,0))</f>
        <v>0</v>
      </c>
      <c r="K318">
        <v>0</v>
      </c>
      <c r="L318">
        <f>IF(AND($J318=0,$K318=0),0,1)</f>
        <v>0</v>
      </c>
    </row>
    <row r="319" spans="1:12" x14ac:dyDescent="0.2">
      <c r="A319" t="s">
        <v>216</v>
      </c>
      <c r="B319" t="s">
        <v>17</v>
      </c>
      <c r="C319" t="s">
        <v>7</v>
      </c>
      <c r="D319">
        <v>2201</v>
      </c>
      <c r="E319">
        <v>2019</v>
      </c>
      <c r="F319">
        <v>3</v>
      </c>
      <c r="G319">
        <v>44449</v>
      </c>
      <c r="H319" s="1">
        <v>5</v>
      </c>
      <c r="I319">
        <v>7</v>
      </c>
      <c r="J319">
        <f>IF($H319=0,1,IF($I319&lt;=1,2,0))</f>
        <v>0</v>
      </c>
      <c r="K319">
        <v>0</v>
      </c>
      <c r="L319">
        <f>IF(AND($J319=0,$K319=0),0,1)</f>
        <v>0</v>
      </c>
    </row>
    <row r="320" spans="1:12" x14ac:dyDescent="0.2">
      <c r="A320" t="s">
        <v>216</v>
      </c>
      <c r="B320" t="s">
        <v>17</v>
      </c>
      <c r="C320" t="s">
        <v>7</v>
      </c>
      <c r="D320">
        <v>2201</v>
      </c>
      <c r="E320">
        <v>2019</v>
      </c>
      <c r="F320">
        <v>6</v>
      </c>
      <c r="G320">
        <v>44452</v>
      </c>
      <c r="H320" s="1">
        <v>5</v>
      </c>
      <c r="I320">
        <v>6</v>
      </c>
      <c r="J320">
        <f>IF($H320=0,1,IF($I320&lt;=1,2,0))</f>
        <v>0</v>
      </c>
      <c r="K320">
        <v>0</v>
      </c>
      <c r="L320">
        <f>IF(AND($J320=0,$K320=0),0,1)</f>
        <v>0</v>
      </c>
    </row>
    <row r="321" spans="1:12" x14ac:dyDescent="0.2">
      <c r="A321" t="s">
        <v>216</v>
      </c>
      <c r="B321" t="s">
        <v>17</v>
      </c>
      <c r="C321" t="s">
        <v>7</v>
      </c>
      <c r="D321">
        <v>2221</v>
      </c>
      <c r="E321">
        <v>2019</v>
      </c>
      <c r="F321">
        <v>1</v>
      </c>
      <c r="G321">
        <v>44513</v>
      </c>
      <c r="H321" s="1">
        <v>5</v>
      </c>
      <c r="I321">
        <v>11</v>
      </c>
      <c r="J321">
        <f>IF($H321=0,1,IF($I321&lt;=1,2,0))</f>
        <v>0</v>
      </c>
      <c r="K321">
        <v>0</v>
      </c>
      <c r="L321">
        <f>IF(AND($J321=0,$K321=0),0,1)</f>
        <v>0</v>
      </c>
    </row>
    <row r="322" spans="1:12" x14ac:dyDescent="0.2">
      <c r="A322" t="s">
        <v>216</v>
      </c>
      <c r="B322" t="s">
        <v>17</v>
      </c>
      <c r="C322" t="s">
        <v>7</v>
      </c>
      <c r="D322">
        <v>2221</v>
      </c>
      <c r="E322">
        <v>2019</v>
      </c>
      <c r="F322">
        <v>2</v>
      </c>
      <c r="G322">
        <v>44514</v>
      </c>
      <c r="H322" s="1">
        <v>5</v>
      </c>
      <c r="I322">
        <v>5</v>
      </c>
      <c r="J322">
        <f>IF($H322=0,1,IF($I322&lt;=1,2,0))</f>
        <v>0</v>
      </c>
      <c r="K322">
        <v>0</v>
      </c>
      <c r="L322">
        <f>IF(AND($J322=0,$K322=0),0,1)</f>
        <v>0</v>
      </c>
    </row>
    <row r="323" spans="1:12" x14ac:dyDescent="0.2">
      <c r="A323" t="s">
        <v>216</v>
      </c>
      <c r="B323" t="s">
        <v>17</v>
      </c>
      <c r="C323" t="s">
        <v>9</v>
      </c>
      <c r="D323">
        <v>3003</v>
      </c>
      <c r="E323">
        <v>2019</v>
      </c>
      <c r="F323">
        <v>2</v>
      </c>
      <c r="G323">
        <v>44396</v>
      </c>
      <c r="H323" s="1">
        <v>5</v>
      </c>
      <c r="I323">
        <v>9</v>
      </c>
      <c r="J323">
        <f>IF($H323=0,1,IF($I323&lt;=1,2,0))</f>
        <v>0</v>
      </c>
      <c r="K323">
        <v>0</v>
      </c>
      <c r="L323">
        <f>IF(AND($J323=0,$K323=0),0,1)</f>
        <v>0</v>
      </c>
    </row>
    <row r="324" spans="1:12" x14ac:dyDescent="0.2">
      <c r="A324" t="s">
        <v>216</v>
      </c>
      <c r="B324" t="s">
        <v>17</v>
      </c>
      <c r="C324" t="s">
        <v>9</v>
      </c>
      <c r="D324">
        <v>3003</v>
      </c>
      <c r="E324">
        <v>2019</v>
      </c>
      <c r="F324">
        <v>3</v>
      </c>
      <c r="G324">
        <v>44397</v>
      </c>
      <c r="H324" s="1">
        <v>5</v>
      </c>
      <c r="I324">
        <v>9</v>
      </c>
      <c r="J324">
        <f>IF($H324=0,1,IF($I324&lt;=1,2,0))</f>
        <v>0</v>
      </c>
      <c r="K324">
        <v>0</v>
      </c>
      <c r="L324">
        <f>IF(AND($J324=0,$K324=0),0,1)</f>
        <v>0</v>
      </c>
    </row>
    <row r="325" spans="1:12" x14ac:dyDescent="0.2">
      <c r="A325" t="s">
        <v>216</v>
      </c>
      <c r="B325" t="s">
        <v>17</v>
      </c>
      <c r="C325" t="s">
        <v>9</v>
      </c>
      <c r="D325">
        <v>3003</v>
      </c>
      <c r="E325">
        <v>2019</v>
      </c>
      <c r="F325">
        <v>4</v>
      </c>
      <c r="G325">
        <v>44398</v>
      </c>
      <c r="H325" s="1">
        <v>5</v>
      </c>
      <c r="I325">
        <v>8</v>
      </c>
      <c r="J325">
        <f>IF($H325=0,1,IF($I325&lt;=1,2,0))</f>
        <v>0</v>
      </c>
      <c r="K325">
        <v>0</v>
      </c>
      <c r="L325">
        <f>IF(AND($J325=0,$K325=0),0,1)</f>
        <v>0</v>
      </c>
    </row>
    <row r="326" spans="1:12" x14ac:dyDescent="0.2">
      <c r="A326" t="s">
        <v>216</v>
      </c>
      <c r="B326" t="s">
        <v>17</v>
      </c>
      <c r="C326" t="s">
        <v>9</v>
      </c>
      <c r="D326">
        <v>3003</v>
      </c>
      <c r="E326">
        <v>2019</v>
      </c>
      <c r="F326">
        <v>5</v>
      </c>
      <c r="G326">
        <v>44399</v>
      </c>
      <c r="H326" s="1">
        <v>5</v>
      </c>
      <c r="I326">
        <v>6</v>
      </c>
      <c r="J326">
        <f>IF($H326=0,1,IF($I326&lt;=1,2,0))</f>
        <v>0</v>
      </c>
      <c r="K326">
        <v>0</v>
      </c>
      <c r="L326">
        <f>IF(AND($J326=0,$K326=0),0,1)</f>
        <v>0</v>
      </c>
    </row>
    <row r="327" spans="1:12" x14ac:dyDescent="0.2">
      <c r="A327" t="s">
        <v>216</v>
      </c>
      <c r="B327" t="s">
        <v>17</v>
      </c>
      <c r="C327" t="s">
        <v>9</v>
      </c>
      <c r="D327">
        <v>3003</v>
      </c>
      <c r="E327">
        <v>2019</v>
      </c>
      <c r="F327">
        <v>1</v>
      </c>
      <c r="G327">
        <v>44395</v>
      </c>
      <c r="H327" s="1">
        <v>5</v>
      </c>
      <c r="I327">
        <v>5</v>
      </c>
      <c r="J327">
        <f>IF($H327=0,1,IF($I327&lt;=1,2,0))</f>
        <v>0</v>
      </c>
      <c r="K327">
        <v>0</v>
      </c>
      <c r="L327">
        <f>IF(AND($J327=0,$K327=0),0,1)</f>
        <v>0</v>
      </c>
    </row>
    <row r="328" spans="1:12" x14ac:dyDescent="0.2">
      <c r="A328" t="s">
        <v>216</v>
      </c>
      <c r="B328" t="s">
        <v>17</v>
      </c>
      <c r="C328" t="s">
        <v>9</v>
      </c>
      <c r="D328">
        <v>3005</v>
      </c>
      <c r="E328">
        <v>2019</v>
      </c>
      <c r="F328">
        <v>1</v>
      </c>
      <c r="G328">
        <v>44453</v>
      </c>
      <c r="H328" s="1">
        <v>5</v>
      </c>
      <c r="I328">
        <v>15</v>
      </c>
      <c r="J328">
        <f>IF($H328=0,1,IF($I328&lt;=1,2,0))</f>
        <v>0</v>
      </c>
      <c r="K328">
        <v>0</v>
      </c>
      <c r="L328">
        <f>IF(AND($J328=0,$K328=0),0,1)</f>
        <v>0</v>
      </c>
    </row>
    <row r="329" spans="1:12" x14ac:dyDescent="0.2">
      <c r="A329" t="s">
        <v>216</v>
      </c>
      <c r="B329" t="s">
        <v>17</v>
      </c>
      <c r="C329" t="s">
        <v>9</v>
      </c>
      <c r="D329">
        <v>4012</v>
      </c>
      <c r="E329">
        <v>2019</v>
      </c>
      <c r="F329">
        <v>1</v>
      </c>
      <c r="G329">
        <v>44454</v>
      </c>
      <c r="H329" s="1">
        <v>4</v>
      </c>
      <c r="I329">
        <v>13</v>
      </c>
      <c r="J329">
        <f>IF($H329=0,1,IF($I329&lt;=1,2,0))</f>
        <v>0</v>
      </c>
      <c r="K329">
        <v>0</v>
      </c>
      <c r="L329">
        <f>IF(AND($J329=0,$K329=0),0,1)</f>
        <v>0</v>
      </c>
    </row>
    <row r="330" spans="1:12" x14ac:dyDescent="0.2">
      <c r="A330" t="s">
        <v>216</v>
      </c>
      <c r="B330" t="s">
        <v>17</v>
      </c>
      <c r="C330" t="s">
        <v>9</v>
      </c>
      <c r="D330">
        <v>4014</v>
      </c>
      <c r="E330">
        <v>2019</v>
      </c>
      <c r="F330">
        <v>1</v>
      </c>
      <c r="G330">
        <v>44389</v>
      </c>
      <c r="H330" s="1">
        <v>4</v>
      </c>
      <c r="I330">
        <v>11</v>
      </c>
      <c r="J330">
        <f>IF($H330=0,1,IF($I330&lt;=1,2,0))</f>
        <v>0</v>
      </c>
      <c r="K330">
        <v>0</v>
      </c>
      <c r="L330">
        <f>IF(AND($J330=0,$K330=0),0,1)</f>
        <v>0</v>
      </c>
    </row>
    <row r="331" spans="1:12" x14ac:dyDescent="0.2">
      <c r="A331" t="s">
        <v>216</v>
      </c>
      <c r="B331" t="s">
        <v>17</v>
      </c>
      <c r="C331" t="s">
        <v>9</v>
      </c>
      <c r="D331">
        <v>4014</v>
      </c>
      <c r="E331">
        <v>2019</v>
      </c>
      <c r="F331">
        <v>2</v>
      </c>
      <c r="G331">
        <v>44390</v>
      </c>
      <c r="H331" s="1">
        <v>4</v>
      </c>
      <c r="I331">
        <v>4</v>
      </c>
      <c r="J331">
        <f>IF($H331=0,1,IF($I331&lt;=1,2,0))</f>
        <v>0</v>
      </c>
      <c r="K331">
        <v>0</v>
      </c>
      <c r="L331">
        <f>IF(AND($J331=0,$K331=0),0,1)</f>
        <v>0</v>
      </c>
    </row>
    <row r="332" spans="1:12" x14ac:dyDescent="0.2">
      <c r="A332" t="s">
        <v>216</v>
      </c>
      <c r="B332" t="s">
        <v>17</v>
      </c>
      <c r="C332" t="s">
        <v>11</v>
      </c>
      <c r="D332">
        <v>4015</v>
      </c>
      <c r="E332">
        <v>2019</v>
      </c>
      <c r="F332">
        <v>1</v>
      </c>
      <c r="G332">
        <v>44411</v>
      </c>
      <c r="H332" s="1">
        <v>4</v>
      </c>
      <c r="I332">
        <v>9</v>
      </c>
      <c r="J332">
        <f>IF($H332=0,1,IF($I332&lt;=1,2,0))</f>
        <v>0</v>
      </c>
      <c r="K332">
        <v>0</v>
      </c>
      <c r="L332">
        <f>IF(AND($J332=0,$K332=0),0,1)</f>
        <v>0</v>
      </c>
    </row>
    <row r="333" spans="1:12" x14ac:dyDescent="0.2">
      <c r="A333" t="s">
        <v>216</v>
      </c>
      <c r="B333" t="s">
        <v>17</v>
      </c>
      <c r="C333" t="s">
        <v>11</v>
      </c>
      <c r="D333">
        <v>4015</v>
      </c>
      <c r="E333">
        <v>2019</v>
      </c>
      <c r="F333">
        <v>2</v>
      </c>
      <c r="G333">
        <v>44412</v>
      </c>
      <c r="H333" s="1">
        <v>4</v>
      </c>
      <c r="I333">
        <v>6</v>
      </c>
      <c r="J333">
        <f>IF($H333=0,1,IF($I333&lt;=1,2,0))</f>
        <v>0</v>
      </c>
      <c r="K333">
        <v>0</v>
      </c>
      <c r="L333">
        <f>IF(AND($J333=0,$K333=0),0,1)</f>
        <v>0</v>
      </c>
    </row>
    <row r="334" spans="1:12" x14ac:dyDescent="0.2">
      <c r="A334" t="s">
        <v>216</v>
      </c>
      <c r="B334" t="s">
        <v>17</v>
      </c>
      <c r="C334" t="s">
        <v>9</v>
      </c>
      <c r="D334">
        <v>4017</v>
      </c>
      <c r="E334">
        <v>2019</v>
      </c>
      <c r="F334">
        <v>1</v>
      </c>
      <c r="G334">
        <v>44391</v>
      </c>
      <c r="H334" s="1">
        <v>4</v>
      </c>
      <c r="I334">
        <v>2</v>
      </c>
      <c r="J334">
        <f>IF($H334=0,1,IF($I334&lt;=1,2,0))</f>
        <v>0</v>
      </c>
      <c r="K334">
        <v>0</v>
      </c>
      <c r="L334">
        <f>IF(AND($J334=0,$K334=0),0,1)</f>
        <v>0</v>
      </c>
    </row>
    <row r="335" spans="1:12" x14ac:dyDescent="0.2">
      <c r="A335" t="s">
        <v>216</v>
      </c>
      <c r="B335" t="s">
        <v>17</v>
      </c>
      <c r="C335" t="s">
        <v>9</v>
      </c>
      <c r="D335">
        <v>4019</v>
      </c>
      <c r="E335">
        <v>2019</v>
      </c>
      <c r="F335">
        <v>1</v>
      </c>
      <c r="G335">
        <v>44401</v>
      </c>
      <c r="H335" s="1">
        <v>4</v>
      </c>
      <c r="I335">
        <v>8</v>
      </c>
      <c r="J335">
        <f>IF($H335=0,1,IF($I335&lt;=1,2,0))</f>
        <v>0</v>
      </c>
      <c r="K335">
        <v>0</v>
      </c>
      <c r="L335">
        <f>IF(AND($J335=0,$K335=0),0,1)</f>
        <v>0</v>
      </c>
    </row>
    <row r="336" spans="1:12" x14ac:dyDescent="0.2">
      <c r="A336" t="s">
        <v>216</v>
      </c>
      <c r="B336" t="s">
        <v>17</v>
      </c>
      <c r="C336" t="s">
        <v>9</v>
      </c>
      <c r="D336">
        <v>4301</v>
      </c>
      <c r="E336">
        <v>2019</v>
      </c>
      <c r="F336">
        <v>1</v>
      </c>
      <c r="G336">
        <v>44455</v>
      </c>
      <c r="H336" s="1">
        <v>3</v>
      </c>
      <c r="I336">
        <v>16</v>
      </c>
      <c r="J336">
        <f>IF($H336=0,1,IF($I336&lt;=1,2,0))</f>
        <v>0</v>
      </c>
      <c r="K336">
        <v>0</v>
      </c>
      <c r="L336">
        <f>IF(AND($J336=0,$K336=0),0,1)</f>
        <v>0</v>
      </c>
    </row>
    <row r="337" spans="1:13" x14ac:dyDescent="0.2">
      <c r="A337" t="s">
        <v>216</v>
      </c>
      <c r="B337" t="s">
        <v>17</v>
      </c>
      <c r="C337" t="s">
        <v>9</v>
      </c>
      <c r="D337">
        <v>4507</v>
      </c>
      <c r="E337">
        <v>2019</v>
      </c>
      <c r="F337">
        <v>1</v>
      </c>
      <c r="G337">
        <v>44380</v>
      </c>
      <c r="H337" s="1">
        <v>3</v>
      </c>
      <c r="I337">
        <v>17</v>
      </c>
      <c r="J337">
        <f>IF($H337=0,1,IF($I337&lt;=1,2,0))</f>
        <v>0</v>
      </c>
      <c r="K337">
        <v>0</v>
      </c>
      <c r="L337">
        <f>IF(AND($J337=0,$K337=0),0,1)</f>
        <v>0</v>
      </c>
    </row>
    <row r="338" spans="1:13" x14ac:dyDescent="0.2">
      <c r="A338" t="s">
        <v>216</v>
      </c>
      <c r="B338" t="s">
        <v>17</v>
      </c>
      <c r="C338" t="s">
        <v>11</v>
      </c>
      <c r="D338">
        <v>4516</v>
      </c>
      <c r="E338">
        <v>2019</v>
      </c>
      <c r="F338">
        <v>1</v>
      </c>
      <c r="G338">
        <v>44392</v>
      </c>
      <c r="H338" s="1">
        <v>4</v>
      </c>
      <c r="I338">
        <v>12</v>
      </c>
      <c r="J338">
        <f>IF($H338=0,1,IF($I338&lt;=1,2,0))</f>
        <v>0</v>
      </c>
      <c r="K338">
        <v>0</v>
      </c>
      <c r="L338">
        <f>IF(AND($J338=0,$K338=0),0,1)</f>
        <v>0</v>
      </c>
    </row>
    <row r="339" spans="1:13" x14ac:dyDescent="0.2">
      <c r="A339" t="s">
        <v>216</v>
      </c>
      <c r="B339" t="s">
        <v>17</v>
      </c>
      <c r="C339" t="s">
        <v>9</v>
      </c>
      <c r="D339">
        <v>4904</v>
      </c>
      <c r="E339">
        <v>2019</v>
      </c>
      <c r="F339">
        <v>1</v>
      </c>
      <c r="G339">
        <v>44456</v>
      </c>
      <c r="H339" s="1">
        <v>4</v>
      </c>
      <c r="I339">
        <v>8</v>
      </c>
      <c r="J339">
        <f>IF($H339=0,1,IF($I339&lt;=1,2,0))</f>
        <v>0</v>
      </c>
      <c r="K339">
        <v>0</v>
      </c>
      <c r="L339">
        <f>IF(AND($J339=0,$K339=0),0,1)</f>
        <v>0</v>
      </c>
    </row>
    <row r="340" spans="1:13" x14ac:dyDescent="0.2">
      <c r="A340" t="s">
        <v>216</v>
      </c>
      <c r="B340" t="s">
        <v>17</v>
      </c>
      <c r="C340" t="s">
        <v>11</v>
      </c>
      <c r="D340">
        <v>5013</v>
      </c>
      <c r="E340">
        <v>2019</v>
      </c>
      <c r="F340">
        <v>1</v>
      </c>
      <c r="G340">
        <v>44457</v>
      </c>
      <c r="H340" s="1">
        <v>4</v>
      </c>
      <c r="I340">
        <v>7</v>
      </c>
      <c r="J340">
        <f>IF($H340=0,1,IF($I340&lt;=1,2,0))</f>
        <v>0</v>
      </c>
      <c r="K340">
        <v>0</v>
      </c>
      <c r="L340">
        <f>IF(AND($J340=0,$K340=0),0,1)</f>
        <v>0</v>
      </c>
    </row>
    <row r="341" spans="1:13" x14ac:dyDescent="0.2">
      <c r="A341" t="s">
        <v>217</v>
      </c>
      <c r="B341" t="s">
        <v>71</v>
      </c>
      <c r="C341" t="s">
        <v>72</v>
      </c>
      <c r="D341">
        <v>4116</v>
      </c>
      <c r="E341">
        <v>2019</v>
      </c>
      <c r="F341">
        <v>1</v>
      </c>
      <c r="G341">
        <v>10309</v>
      </c>
      <c r="H341" s="1">
        <v>3</v>
      </c>
      <c r="I341">
        <v>8</v>
      </c>
      <c r="J341">
        <f>IF($H341=0,1,IF($I341&lt;=1,2,0))</f>
        <v>0</v>
      </c>
      <c r="K341">
        <v>0</v>
      </c>
      <c r="L341">
        <f>IF(AND($J341=0,$K341=0),0,1)</f>
        <v>0</v>
      </c>
    </row>
    <row r="342" spans="1:13" x14ac:dyDescent="0.2">
      <c r="A342" t="s">
        <v>217</v>
      </c>
      <c r="B342" t="s">
        <v>71</v>
      </c>
      <c r="C342" t="s">
        <v>72</v>
      </c>
      <c r="D342">
        <v>4252</v>
      </c>
      <c r="E342">
        <v>2019</v>
      </c>
      <c r="F342">
        <v>1</v>
      </c>
      <c r="G342">
        <v>20242</v>
      </c>
      <c r="H342" s="1">
        <v>3</v>
      </c>
      <c r="I342">
        <v>18</v>
      </c>
      <c r="J342">
        <f>IF($H342=0,1,IF($I342&lt;=1,2,0))</f>
        <v>0</v>
      </c>
      <c r="K342">
        <v>0</v>
      </c>
      <c r="L342">
        <f>IF(AND($J342=0,$K342=0),0,1)</f>
        <v>0</v>
      </c>
    </row>
    <row r="343" spans="1:13" x14ac:dyDescent="0.2">
      <c r="A343" t="s">
        <v>217</v>
      </c>
      <c r="B343" t="s">
        <v>71</v>
      </c>
      <c r="C343" t="s">
        <v>72</v>
      </c>
      <c r="D343">
        <v>4252</v>
      </c>
      <c r="E343">
        <v>2019</v>
      </c>
      <c r="F343" t="s">
        <v>84</v>
      </c>
      <c r="G343">
        <v>16454</v>
      </c>
      <c r="H343" s="1">
        <v>3</v>
      </c>
      <c r="I343">
        <v>6</v>
      </c>
      <c r="J343">
        <f>IF($H343=0,1,IF($I343&lt;=1,2,0))</f>
        <v>0</v>
      </c>
      <c r="K343">
        <v>0</v>
      </c>
      <c r="L343">
        <f>IF(AND($J343=0,$K343=0),0,1)</f>
        <v>0</v>
      </c>
      <c r="M343" t="s">
        <v>85</v>
      </c>
    </row>
    <row r="344" spans="1:13" x14ac:dyDescent="0.2">
      <c r="A344" t="s">
        <v>217</v>
      </c>
      <c r="B344" t="s">
        <v>71</v>
      </c>
      <c r="C344" t="s">
        <v>72</v>
      </c>
      <c r="D344">
        <v>4257</v>
      </c>
      <c r="E344">
        <v>2019</v>
      </c>
      <c r="F344">
        <v>1</v>
      </c>
      <c r="G344">
        <v>99037</v>
      </c>
      <c r="H344" s="1">
        <v>3</v>
      </c>
      <c r="I344">
        <v>15</v>
      </c>
      <c r="J344">
        <f>IF($H344=0,1,IF($I344&lt;=1,2,0))</f>
        <v>0</v>
      </c>
      <c r="K344">
        <v>0</v>
      </c>
      <c r="L344">
        <f>IF(AND($J344=0,$K344=0),0,1)</f>
        <v>0</v>
      </c>
    </row>
    <row r="345" spans="1:13" x14ac:dyDescent="0.2">
      <c r="A345" t="s">
        <v>218</v>
      </c>
      <c r="B345" t="s">
        <v>71</v>
      </c>
      <c r="C345" t="s">
        <v>72</v>
      </c>
      <c r="D345">
        <v>3111</v>
      </c>
      <c r="E345">
        <v>2019</v>
      </c>
      <c r="F345">
        <v>1</v>
      </c>
      <c r="G345">
        <v>99035</v>
      </c>
      <c r="H345" s="1">
        <v>3.5</v>
      </c>
      <c r="I345">
        <v>21</v>
      </c>
      <c r="J345">
        <f>IF($H345=0,1,IF($I345&lt;=1,2,0))</f>
        <v>0</v>
      </c>
      <c r="K345">
        <v>0</v>
      </c>
      <c r="L345">
        <f>IF(AND($J345=0,$K345=0),0,1)</f>
        <v>0</v>
      </c>
    </row>
    <row r="346" spans="1:13" x14ac:dyDescent="0.2">
      <c r="A346" t="s">
        <v>218</v>
      </c>
      <c r="B346" t="s">
        <v>71</v>
      </c>
      <c r="C346" t="s">
        <v>72</v>
      </c>
      <c r="D346">
        <v>3127</v>
      </c>
      <c r="E346">
        <v>2019</v>
      </c>
      <c r="F346">
        <v>1</v>
      </c>
      <c r="G346">
        <v>99034</v>
      </c>
      <c r="H346" s="1">
        <v>3</v>
      </c>
      <c r="I346">
        <v>25</v>
      </c>
      <c r="J346">
        <f>IF($H346=0,1,IF($I346&lt;=1,2,0))</f>
        <v>0</v>
      </c>
      <c r="K346">
        <v>0</v>
      </c>
      <c r="L346">
        <f>IF(AND($J346=0,$K346=0),0,1)</f>
        <v>0</v>
      </c>
    </row>
    <row r="347" spans="1:13" x14ac:dyDescent="0.2">
      <c r="A347" t="s">
        <v>218</v>
      </c>
      <c r="B347" t="s">
        <v>71</v>
      </c>
      <c r="C347" t="s">
        <v>72</v>
      </c>
      <c r="D347">
        <v>3129</v>
      </c>
      <c r="E347">
        <v>2019</v>
      </c>
      <c r="F347">
        <v>1</v>
      </c>
      <c r="G347">
        <v>98928</v>
      </c>
      <c r="H347" s="1">
        <v>3</v>
      </c>
      <c r="I347">
        <v>40</v>
      </c>
      <c r="J347">
        <f>IF($H347=0,1,IF($I347&lt;=1,2,0))</f>
        <v>0</v>
      </c>
      <c r="K347">
        <v>0</v>
      </c>
      <c r="L347">
        <f>IF(AND($J347=0,$K347=0),0,1)</f>
        <v>0</v>
      </c>
    </row>
    <row r="348" spans="1:13" x14ac:dyDescent="0.2">
      <c r="A348" t="s">
        <v>218</v>
      </c>
      <c r="B348" t="s">
        <v>71</v>
      </c>
      <c r="C348" t="s">
        <v>72</v>
      </c>
      <c r="D348">
        <v>3304</v>
      </c>
      <c r="E348">
        <v>2019</v>
      </c>
      <c r="F348">
        <v>15</v>
      </c>
      <c r="G348">
        <v>99019</v>
      </c>
      <c r="H348" s="1" t="s">
        <v>1827</v>
      </c>
      <c r="I348">
        <v>4</v>
      </c>
      <c r="J348">
        <f>IF($H348=0,1,IF($I348&lt;=1,2,0))</f>
        <v>0</v>
      </c>
      <c r="K348">
        <v>0</v>
      </c>
      <c r="L348">
        <f>IF(AND($J348=0,$K348=0),0,1)</f>
        <v>0</v>
      </c>
    </row>
    <row r="349" spans="1:13" x14ac:dyDescent="0.2">
      <c r="A349" t="s">
        <v>218</v>
      </c>
      <c r="B349" t="s">
        <v>71</v>
      </c>
      <c r="C349" t="s">
        <v>72</v>
      </c>
      <c r="D349">
        <v>3304</v>
      </c>
      <c r="E349">
        <v>2019</v>
      </c>
      <c r="F349">
        <v>12</v>
      </c>
      <c r="G349">
        <v>99022</v>
      </c>
      <c r="H349" s="1" t="s">
        <v>1827</v>
      </c>
      <c r="I349">
        <v>3</v>
      </c>
      <c r="J349">
        <f>IF($H349=0,1,IF($I349&lt;=1,2,0))</f>
        <v>0</v>
      </c>
      <c r="K349">
        <v>0</v>
      </c>
      <c r="L349">
        <f>IF(AND($J349=0,$K349=0),0,1)</f>
        <v>0</v>
      </c>
    </row>
    <row r="350" spans="1:13" x14ac:dyDescent="0.2">
      <c r="A350" t="s">
        <v>218</v>
      </c>
      <c r="B350" t="s">
        <v>71</v>
      </c>
      <c r="C350" t="s">
        <v>72</v>
      </c>
      <c r="D350">
        <v>3304</v>
      </c>
      <c r="E350">
        <v>2019</v>
      </c>
      <c r="F350">
        <v>18</v>
      </c>
      <c r="G350">
        <v>18077</v>
      </c>
      <c r="H350" s="1" t="s">
        <v>1827</v>
      </c>
      <c r="I350">
        <v>2</v>
      </c>
      <c r="J350">
        <f>IF($H350=0,1,IF($I350&lt;=1,2,0))</f>
        <v>0</v>
      </c>
      <c r="K350">
        <v>0</v>
      </c>
      <c r="L350">
        <f>IF(AND($J350=0,$K350=0),0,1)</f>
        <v>0</v>
      </c>
    </row>
    <row r="351" spans="1:13" x14ac:dyDescent="0.2">
      <c r="A351" t="s">
        <v>218</v>
      </c>
      <c r="B351" t="s">
        <v>71</v>
      </c>
      <c r="C351" t="s">
        <v>72</v>
      </c>
      <c r="D351">
        <v>4010</v>
      </c>
      <c r="E351">
        <v>2019</v>
      </c>
      <c r="F351">
        <v>1</v>
      </c>
      <c r="G351">
        <v>98964</v>
      </c>
      <c r="H351" s="1">
        <v>3</v>
      </c>
      <c r="I351">
        <v>7</v>
      </c>
      <c r="J351">
        <f>IF($H351=0,1,IF($I351&lt;=1,2,0))</f>
        <v>0</v>
      </c>
      <c r="K351">
        <v>0</v>
      </c>
      <c r="L351">
        <f>IF(AND($J351=0,$K351=0),0,1)</f>
        <v>0</v>
      </c>
    </row>
    <row r="352" spans="1:13" x14ac:dyDescent="0.2">
      <c r="A352" t="s">
        <v>218</v>
      </c>
      <c r="B352" t="s">
        <v>71</v>
      </c>
      <c r="C352" t="s">
        <v>72</v>
      </c>
      <c r="D352">
        <v>4021</v>
      </c>
      <c r="E352">
        <v>2019</v>
      </c>
      <c r="F352">
        <v>1</v>
      </c>
      <c r="G352">
        <v>98933</v>
      </c>
      <c r="H352" s="1">
        <v>3</v>
      </c>
      <c r="I352">
        <v>19</v>
      </c>
      <c r="J352">
        <f>IF($H352=0,1,IF($I352&lt;=1,2,0))</f>
        <v>0</v>
      </c>
      <c r="K352">
        <v>0</v>
      </c>
      <c r="L352">
        <f>IF(AND($J352=0,$K352=0),0,1)</f>
        <v>0</v>
      </c>
    </row>
    <row r="353" spans="1:13" x14ac:dyDescent="0.2">
      <c r="A353" t="s">
        <v>218</v>
      </c>
      <c r="B353" t="s">
        <v>71</v>
      </c>
      <c r="C353" t="s">
        <v>72</v>
      </c>
      <c r="D353">
        <v>4021</v>
      </c>
      <c r="E353">
        <v>2019</v>
      </c>
      <c r="F353" t="s">
        <v>84</v>
      </c>
      <c r="G353">
        <v>16324</v>
      </c>
      <c r="H353" s="1">
        <v>3</v>
      </c>
      <c r="I353">
        <v>2</v>
      </c>
      <c r="J353">
        <f>IF($H353=0,1,IF($I353&lt;=1,2,0))</f>
        <v>0</v>
      </c>
      <c r="K353">
        <v>0</v>
      </c>
      <c r="L353">
        <f>IF(AND($J353=0,$K353=0),0,1)</f>
        <v>0</v>
      </c>
      <c r="M353" t="s">
        <v>85</v>
      </c>
    </row>
    <row r="354" spans="1:13" x14ac:dyDescent="0.2">
      <c r="A354" t="s">
        <v>218</v>
      </c>
      <c r="B354" t="s">
        <v>71</v>
      </c>
      <c r="C354" t="s">
        <v>72</v>
      </c>
      <c r="D354">
        <v>4129</v>
      </c>
      <c r="E354">
        <v>2019</v>
      </c>
      <c r="F354">
        <v>1</v>
      </c>
      <c r="G354">
        <v>99015</v>
      </c>
      <c r="H354" s="1">
        <v>3</v>
      </c>
      <c r="I354">
        <v>42</v>
      </c>
      <c r="J354">
        <f>IF($H354=0,1,IF($I354&lt;=1,2,0))</f>
        <v>0</v>
      </c>
      <c r="K354">
        <v>0</v>
      </c>
      <c r="L354">
        <f>IF(AND($J354=0,$K354=0),0,1)</f>
        <v>0</v>
      </c>
    </row>
    <row r="355" spans="1:13" x14ac:dyDescent="0.2">
      <c r="A355" t="s">
        <v>218</v>
      </c>
      <c r="B355" t="s">
        <v>71</v>
      </c>
      <c r="C355" t="s">
        <v>72</v>
      </c>
      <c r="D355">
        <v>4129</v>
      </c>
      <c r="E355">
        <v>2019</v>
      </c>
      <c r="F355" t="s">
        <v>84</v>
      </c>
      <c r="G355">
        <v>16325</v>
      </c>
      <c r="H355" s="1">
        <v>3</v>
      </c>
      <c r="I355">
        <v>5</v>
      </c>
      <c r="J355">
        <f>IF($H355=0,1,IF($I355&lt;=1,2,0))</f>
        <v>0</v>
      </c>
      <c r="K355">
        <v>0</v>
      </c>
      <c r="L355">
        <f>IF(AND($J355=0,$K355=0),0,1)</f>
        <v>0</v>
      </c>
      <c r="M355" t="s">
        <v>85</v>
      </c>
    </row>
    <row r="356" spans="1:13" x14ac:dyDescent="0.2">
      <c r="A356" t="s">
        <v>218</v>
      </c>
      <c r="B356" t="s">
        <v>71</v>
      </c>
      <c r="C356" t="s">
        <v>72</v>
      </c>
      <c r="D356">
        <v>4130</v>
      </c>
      <c r="E356">
        <v>2019</v>
      </c>
      <c r="F356">
        <v>1</v>
      </c>
      <c r="G356">
        <v>98927</v>
      </c>
      <c r="H356" s="1">
        <v>3</v>
      </c>
      <c r="I356">
        <v>21</v>
      </c>
      <c r="J356">
        <f>IF($H356=0,1,IF($I356&lt;=1,2,0))</f>
        <v>0</v>
      </c>
      <c r="K356">
        <v>0</v>
      </c>
      <c r="L356">
        <f>IF(AND($J356=0,$K356=0),0,1)</f>
        <v>0</v>
      </c>
    </row>
    <row r="357" spans="1:13" x14ac:dyDescent="0.2">
      <c r="A357" t="s">
        <v>218</v>
      </c>
      <c r="B357" t="s">
        <v>71</v>
      </c>
      <c r="C357" t="s">
        <v>72</v>
      </c>
      <c r="D357">
        <v>4131</v>
      </c>
      <c r="E357">
        <v>2019</v>
      </c>
      <c r="F357">
        <v>1</v>
      </c>
      <c r="G357">
        <v>98963</v>
      </c>
      <c r="H357" s="1">
        <v>3</v>
      </c>
      <c r="I357">
        <v>27</v>
      </c>
      <c r="J357">
        <f>IF($H357=0,1,IF($I357&lt;=1,2,0))</f>
        <v>0</v>
      </c>
      <c r="K357">
        <v>0</v>
      </c>
      <c r="L357">
        <f>IF(AND($J357=0,$K357=0),0,1)</f>
        <v>0</v>
      </c>
      <c r="M357" t="s">
        <v>219</v>
      </c>
    </row>
    <row r="358" spans="1:13" x14ac:dyDescent="0.2">
      <c r="A358" t="s">
        <v>218</v>
      </c>
      <c r="B358" t="s">
        <v>71</v>
      </c>
      <c r="C358" t="s">
        <v>72</v>
      </c>
      <c r="D358">
        <v>4132</v>
      </c>
      <c r="E358">
        <v>2019</v>
      </c>
      <c r="F358">
        <v>1</v>
      </c>
      <c r="G358">
        <v>99013</v>
      </c>
      <c r="H358" s="1">
        <v>3</v>
      </c>
      <c r="I358">
        <v>35</v>
      </c>
      <c r="J358">
        <f>IF($H358=0,1,IF($I358&lt;=1,2,0))</f>
        <v>0</v>
      </c>
      <c r="K358">
        <v>0</v>
      </c>
      <c r="L358">
        <f>IF(AND($J358=0,$K358=0),0,1)</f>
        <v>0</v>
      </c>
    </row>
    <row r="359" spans="1:13" x14ac:dyDescent="0.2">
      <c r="A359" t="s">
        <v>218</v>
      </c>
      <c r="B359" t="s">
        <v>71</v>
      </c>
      <c r="C359" t="s">
        <v>72</v>
      </c>
      <c r="D359">
        <v>4132</v>
      </c>
      <c r="E359">
        <v>2019</v>
      </c>
      <c r="F359" t="s">
        <v>84</v>
      </c>
      <c r="G359">
        <v>16326</v>
      </c>
      <c r="H359" s="1">
        <v>3</v>
      </c>
      <c r="I359">
        <v>5</v>
      </c>
      <c r="J359">
        <f>IF($H359=0,1,IF($I359&lt;=1,2,0))</f>
        <v>0</v>
      </c>
      <c r="K359">
        <v>0</v>
      </c>
      <c r="L359">
        <f>IF(AND($J359=0,$K359=0),0,1)</f>
        <v>0</v>
      </c>
      <c r="M359" t="s">
        <v>85</v>
      </c>
    </row>
    <row r="360" spans="1:13" x14ac:dyDescent="0.2">
      <c r="A360" t="s">
        <v>218</v>
      </c>
      <c r="B360" t="s">
        <v>71</v>
      </c>
      <c r="C360" t="s">
        <v>72</v>
      </c>
      <c r="D360">
        <v>4133</v>
      </c>
      <c r="E360">
        <v>2019</v>
      </c>
      <c r="F360">
        <v>1</v>
      </c>
      <c r="G360">
        <v>98932</v>
      </c>
      <c r="H360" s="1">
        <v>3</v>
      </c>
      <c r="I360">
        <v>38</v>
      </c>
      <c r="J360">
        <f>IF($H360=0,1,IF($I360&lt;=1,2,0))</f>
        <v>0</v>
      </c>
      <c r="K360">
        <v>0</v>
      </c>
      <c r="L360">
        <f>IF(AND($J360=0,$K360=0),0,1)</f>
        <v>0</v>
      </c>
    </row>
    <row r="361" spans="1:13" x14ac:dyDescent="0.2">
      <c r="A361" t="s">
        <v>218</v>
      </c>
      <c r="B361" t="s">
        <v>71</v>
      </c>
      <c r="C361" t="s">
        <v>72</v>
      </c>
      <c r="D361">
        <v>4133</v>
      </c>
      <c r="E361">
        <v>2019</v>
      </c>
      <c r="F361">
        <v>2</v>
      </c>
      <c r="G361">
        <v>17806</v>
      </c>
      <c r="H361" s="1">
        <v>3</v>
      </c>
      <c r="I361">
        <v>21</v>
      </c>
      <c r="J361">
        <f>IF($H361=0,1,IF($I361&lt;=1,2,0))</f>
        <v>0</v>
      </c>
      <c r="K361">
        <v>0</v>
      </c>
      <c r="L361">
        <f>IF(AND($J361=0,$K361=0),0,1)</f>
        <v>0</v>
      </c>
    </row>
    <row r="362" spans="1:13" x14ac:dyDescent="0.2">
      <c r="A362" t="s">
        <v>218</v>
      </c>
      <c r="B362" t="s">
        <v>71</v>
      </c>
      <c r="C362" t="s">
        <v>72</v>
      </c>
      <c r="D362">
        <v>4139</v>
      </c>
      <c r="E362">
        <v>2019</v>
      </c>
      <c r="F362">
        <v>1</v>
      </c>
      <c r="G362">
        <v>98985</v>
      </c>
      <c r="H362" s="1">
        <v>3</v>
      </c>
      <c r="I362">
        <v>36</v>
      </c>
      <c r="J362">
        <f>IF($H362=0,1,IF($I362&lt;=1,2,0))</f>
        <v>0</v>
      </c>
      <c r="K362">
        <v>0</v>
      </c>
      <c r="L362">
        <f>IF(AND($J362=0,$K362=0),0,1)</f>
        <v>0</v>
      </c>
    </row>
    <row r="363" spans="1:13" x14ac:dyDescent="0.2">
      <c r="A363" t="s">
        <v>218</v>
      </c>
      <c r="B363" t="s">
        <v>71</v>
      </c>
      <c r="C363" t="s">
        <v>72</v>
      </c>
      <c r="D363">
        <v>4142</v>
      </c>
      <c r="E363">
        <v>2019</v>
      </c>
      <c r="F363">
        <v>1</v>
      </c>
      <c r="G363">
        <v>98961</v>
      </c>
      <c r="H363" s="1">
        <v>3</v>
      </c>
      <c r="I363">
        <v>37</v>
      </c>
      <c r="J363">
        <f>IF($H363=0,1,IF($I363&lt;=1,2,0))</f>
        <v>0</v>
      </c>
      <c r="K363">
        <v>0</v>
      </c>
      <c r="L363">
        <f>IF(AND($J363=0,$K363=0),0,1)</f>
        <v>0</v>
      </c>
    </row>
    <row r="364" spans="1:13" x14ac:dyDescent="0.2">
      <c r="A364" t="s">
        <v>218</v>
      </c>
      <c r="B364" t="s">
        <v>71</v>
      </c>
      <c r="C364" t="s">
        <v>72</v>
      </c>
      <c r="D364">
        <v>4144</v>
      </c>
      <c r="E364">
        <v>2019</v>
      </c>
      <c r="F364">
        <v>1</v>
      </c>
      <c r="G364">
        <v>14977</v>
      </c>
      <c r="H364" s="1">
        <v>3</v>
      </c>
      <c r="I364">
        <v>61</v>
      </c>
      <c r="J364">
        <f>IF($H364=0,1,IF($I364&lt;=1,2,0))</f>
        <v>0</v>
      </c>
      <c r="K364">
        <v>0</v>
      </c>
      <c r="L364">
        <f>IF(AND($J364=0,$K364=0),0,1)</f>
        <v>0</v>
      </c>
    </row>
    <row r="365" spans="1:13" x14ac:dyDescent="0.2">
      <c r="A365" t="s">
        <v>218</v>
      </c>
      <c r="B365" t="s">
        <v>71</v>
      </c>
      <c r="C365" t="s">
        <v>72</v>
      </c>
      <c r="D365">
        <v>4213</v>
      </c>
      <c r="E365">
        <v>2019</v>
      </c>
      <c r="F365">
        <v>1</v>
      </c>
      <c r="G365">
        <v>98926</v>
      </c>
      <c r="H365" s="1">
        <v>3</v>
      </c>
      <c r="I365">
        <v>11</v>
      </c>
      <c r="J365">
        <f>IF($H365=0,1,IF($I365&lt;=1,2,0))</f>
        <v>0</v>
      </c>
      <c r="K365">
        <v>0</v>
      </c>
      <c r="L365">
        <f>IF(AND($J365=0,$K365=0),0,1)</f>
        <v>0</v>
      </c>
    </row>
    <row r="366" spans="1:13" x14ac:dyDescent="0.2">
      <c r="A366" t="s">
        <v>218</v>
      </c>
      <c r="B366" t="s">
        <v>71</v>
      </c>
      <c r="C366" t="s">
        <v>72</v>
      </c>
      <c r="D366">
        <v>4232</v>
      </c>
      <c r="E366">
        <v>2019</v>
      </c>
      <c r="F366">
        <v>1</v>
      </c>
      <c r="G366">
        <v>98929</v>
      </c>
      <c r="H366" s="1">
        <v>3</v>
      </c>
      <c r="I366">
        <v>32</v>
      </c>
      <c r="J366">
        <f>IF($H366=0,1,IF($I366&lt;=1,2,0))</f>
        <v>0</v>
      </c>
      <c r="K366">
        <v>0</v>
      </c>
      <c r="L366">
        <f>IF(AND($J366=0,$K366=0),0,1)</f>
        <v>0</v>
      </c>
    </row>
    <row r="367" spans="1:13" x14ac:dyDescent="0.2">
      <c r="A367" t="s">
        <v>218</v>
      </c>
      <c r="B367" t="s">
        <v>71</v>
      </c>
      <c r="C367" t="s">
        <v>72</v>
      </c>
      <c r="D367">
        <v>4233</v>
      </c>
      <c r="E367">
        <v>2019</v>
      </c>
      <c r="F367">
        <v>1</v>
      </c>
      <c r="G367">
        <v>98959</v>
      </c>
      <c r="H367" s="1">
        <v>3</v>
      </c>
      <c r="I367">
        <v>26</v>
      </c>
      <c r="J367">
        <f>IF($H367=0,1,IF($I367&lt;=1,2,0))</f>
        <v>0</v>
      </c>
      <c r="K367">
        <v>0</v>
      </c>
      <c r="L367">
        <f>IF(AND($J367=0,$K367=0),0,1)</f>
        <v>0</v>
      </c>
    </row>
    <row r="368" spans="1:13" x14ac:dyDescent="0.2">
      <c r="A368" t="s">
        <v>218</v>
      </c>
      <c r="B368" t="s">
        <v>71</v>
      </c>
      <c r="C368" t="s">
        <v>72</v>
      </c>
      <c r="D368">
        <v>4235</v>
      </c>
      <c r="E368">
        <v>2019</v>
      </c>
      <c r="F368">
        <v>1</v>
      </c>
      <c r="G368">
        <v>98925</v>
      </c>
      <c r="H368" s="1">
        <v>3</v>
      </c>
      <c r="I368">
        <v>27</v>
      </c>
      <c r="J368">
        <f>IF($H368=0,1,IF($I368&lt;=1,2,0))</f>
        <v>0</v>
      </c>
      <c r="K368">
        <v>0</v>
      </c>
      <c r="L368">
        <f>IF(AND($J368=0,$K368=0),0,1)</f>
        <v>0</v>
      </c>
    </row>
    <row r="369" spans="1:13" x14ac:dyDescent="0.2">
      <c r="A369" t="s">
        <v>218</v>
      </c>
      <c r="B369" t="s">
        <v>71</v>
      </c>
      <c r="C369" t="s">
        <v>72</v>
      </c>
      <c r="D369">
        <v>4241</v>
      </c>
      <c r="E369">
        <v>2019</v>
      </c>
      <c r="F369">
        <v>1</v>
      </c>
      <c r="G369">
        <v>98931</v>
      </c>
      <c r="H369" s="1">
        <v>3</v>
      </c>
      <c r="I369">
        <v>15</v>
      </c>
      <c r="J369">
        <f>IF($H369=0,1,IF($I369&lt;=1,2,0))</f>
        <v>0</v>
      </c>
      <c r="K369">
        <v>0</v>
      </c>
      <c r="L369">
        <f>IF(AND($J369=0,$K369=0),0,1)</f>
        <v>0</v>
      </c>
    </row>
    <row r="370" spans="1:13" x14ac:dyDescent="0.2">
      <c r="A370" t="s">
        <v>218</v>
      </c>
      <c r="B370" t="s">
        <v>71</v>
      </c>
      <c r="C370" t="s">
        <v>72</v>
      </c>
      <c r="D370">
        <v>4246</v>
      </c>
      <c r="E370">
        <v>2019</v>
      </c>
      <c r="F370">
        <v>1</v>
      </c>
      <c r="G370">
        <v>10213</v>
      </c>
      <c r="H370" s="1">
        <v>3</v>
      </c>
      <c r="I370">
        <v>13</v>
      </c>
      <c r="J370">
        <f>IF($H370=0,1,IF($I370&lt;=1,2,0))</f>
        <v>0</v>
      </c>
      <c r="K370">
        <v>0</v>
      </c>
      <c r="L370">
        <f>IF(AND($J370=0,$K370=0),0,1)</f>
        <v>0</v>
      </c>
    </row>
    <row r="371" spans="1:13" x14ac:dyDescent="0.2">
      <c r="A371" t="s">
        <v>218</v>
      </c>
      <c r="B371" t="s">
        <v>71</v>
      </c>
      <c r="C371" t="s">
        <v>72</v>
      </c>
      <c r="D371">
        <v>4253</v>
      </c>
      <c r="E371">
        <v>2019</v>
      </c>
      <c r="F371">
        <v>1</v>
      </c>
      <c r="G371">
        <v>10218</v>
      </c>
      <c r="H371" s="1">
        <v>3</v>
      </c>
      <c r="I371">
        <v>8</v>
      </c>
      <c r="J371">
        <f>IF($H371=0,1,IF($I371&lt;=1,2,0))</f>
        <v>0</v>
      </c>
      <c r="K371">
        <v>0</v>
      </c>
      <c r="L371">
        <f>IF(AND($J371=0,$K371=0),0,1)</f>
        <v>0</v>
      </c>
    </row>
    <row r="372" spans="1:13" x14ac:dyDescent="0.2">
      <c r="A372" t="s">
        <v>218</v>
      </c>
      <c r="B372" t="s">
        <v>71</v>
      </c>
      <c r="C372" t="s">
        <v>72</v>
      </c>
      <c r="D372">
        <v>4300</v>
      </c>
      <c r="E372">
        <v>2019</v>
      </c>
      <c r="F372">
        <v>1</v>
      </c>
      <c r="G372">
        <v>98923</v>
      </c>
      <c r="H372" s="1">
        <v>3</v>
      </c>
      <c r="I372">
        <v>9</v>
      </c>
      <c r="J372">
        <f>IF($H372=0,1,IF($I372&lt;=1,2,0))</f>
        <v>0</v>
      </c>
      <c r="K372">
        <v>0</v>
      </c>
      <c r="L372">
        <f>IF(AND($J372=0,$K372=0),0,1)</f>
        <v>0</v>
      </c>
    </row>
    <row r="373" spans="1:13" x14ac:dyDescent="0.2">
      <c r="A373" t="s">
        <v>223</v>
      </c>
      <c r="B373" t="s">
        <v>6</v>
      </c>
      <c r="C373" t="s">
        <v>9</v>
      </c>
      <c r="D373">
        <v>3059</v>
      </c>
      <c r="E373">
        <v>2019</v>
      </c>
      <c r="F373">
        <v>1</v>
      </c>
      <c r="G373">
        <v>48733</v>
      </c>
      <c r="H373" s="1">
        <v>3</v>
      </c>
      <c r="I373">
        <v>18</v>
      </c>
      <c r="J373">
        <f>IF($H373=0,1,IF($I373&lt;=1,2,0))</f>
        <v>0</v>
      </c>
      <c r="K373">
        <v>0</v>
      </c>
      <c r="L373">
        <f>IF(AND($J373=0,$K373=0),0,1)</f>
        <v>0</v>
      </c>
      <c r="M373" t="s">
        <v>224</v>
      </c>
    </row>
    <row r="374" spans="1:13" x14ac:dyDescent="0.2">
      <c r="A374" t="s">
        <v>223</v>
      </c>
      <c r="B374" t="s">
        <v>6</v>
      </c>
      <c r="C374" t="s">
        <v>21</v>
      </c>
      <c r="D374">
        <v>3101</v>
      </c>
      <c r="E374">
        <v>2019</v>
      </c>
      <c r="F374">
        <v>1</v>
      </c>
      <c r="G374">
        <v>7554</v>
      </c>
      <c r="H374" s="1">
        <v>3</v>
      </c>
      <c r="I374">
        <v>18</v>
      </c>
      <c r="J374">
        <f>IF($H374=0,1,IF($I374&lt;=1,2,0))</f>
        <v>0</v>
      </c>
      <c r="K374">
        <v>0</v>
      </c>
      <c r="L374">
        <f>IF(AND($J374=0,$K374=0),0,1)</f>
        <v>0</v>
      </c>
    </row>
    <row r="375" spans="1:13" x14ac:dyDescent="0.2">
      <c r="A375" t="s">
        <v>223</v>
      </c>
      <c r="B375" t="s">
        <v>6</v>
      </c>
      <c r="C375" t="s">
        <v>9</v>
      </c>
      <c r="D375">
        <v>4106</v>
      </c>
      <c r="E375">
        <v>2019</v>
      </c>
      <c r="F375">
        <v>1</v>
      </c>
      <c r="G375">
        <v>10317</v>
      </c>
      <c r="H375" s="1">
        <v>3</v>
      </c>
      <c r="I375">
        <v>11</v>
      </c>
      <c r="J375">
        <f>IF($H375=0,1,IF($I375&lt;=1,2,0))</f>
        <v>0</v>
      </c>
      <c r="K375">
        <v>0</v>
      </c>
      <c r="L375">
        <f>IF(AND($J375=0,$K375=0),0,1)</f>
        <v>0</v>
      </c>
    </row>
    <row r="376" spans="1:13" x14ac:dyDescent="0.2">
      <c r="A376" t="s">
        <v>223</v>
      </c>
      <c r="B376" t="s">
        <v>6</v>
      </c>
      <c r="C376" t="s">
        <v>11</v>
      </c>
      <c r="D376">
        <v>5010</v>
      </c>
      <c r="E376">
        <v>2019</v>
      </c>
      <c r="F376">
        <v>1</v>
      </c>
      <c r="G376">
        <v>48714</v>
      </c>
      <c r="H376" s="1">
        <v>2</v>
      </c>
      <c r="I376">
        <v>9</v>
      </c>
      <c r="J376">
        <f>IF($H376=0,1,IF($I376&lt;=1,2,0))</f>
        <v>0</v>
      </c>
      <c r="K376">
        <v>0</v>
      </c>
      <c r="L376">
        <f>IF(AND($J376=0,$K376=0),0,1)</f>
        <v>0</v>
      </c>
    </row>
    <row r="377" spans="1:13" x14ac:dyDescent="0.2">
      <c r="A377" t="s">
        <v>223</v>
      </c>
      <c r="B377" t="s">
        <v>6</v>
      </c>
      <c r="C377" t="s">
        <v>11</v>
      </c>
      <c r="D377">
        <v>6059</v>
      </c>
      <c r="E377">
        <v>2019</v>
      </c>
      <c r="F377">
        <v>1</v>
      </c>
      <c r="G377">
        <v>48718</v>
      </c>
      <c r="H377" s="1">
        <v>4</v>
      </c>
      <c r="I377">
        <v>4</v>
      </c>
      <c r="J377">
        <f>IF($H377=0,1,IF($I377&lt;=1,2,0))</f>
        <v>0</v>
      </c>
      <c r="K377">
        <v>0</v>
      </c>
      <c r="L377">
        <f>IF(AND($J377=0,$K377=0),0,1)</f>
        <v>0</v>
      </c>
    </row>
    <row r="378" spans="1:13" x14ac:dyDescent="0.2">
      <c r="A378" t="s">
        <v>225</v>
      </c>
      <c r="B378" t="s">
        <v>17</v>
      </c>
      <c r="C378" t="s">
        <v>9</v>
      </c>
      <c r="D378">
        <v>4035</v>
      </c>
      <c r="E378">
        <v>2019</v>
      </c>
      <c r="F378">
        <v>1</v>
      </c>
      <c r="G378">
        <v>53914</v>
      </c>
      <c r="H378" s="1">
        <v>3</v>
      </c>
      <c r="I378">
        <v>4</v>
      </c>
      <c r="J378">
        <f>IF($H378=0,1,IF($I378&lt;=1,2,0))</f>
        <v>0</v>
      </c>
      <c r="K378">
        <v>0</v>
      </c>
      <c r="L378">
        <f>IF(AND($J378=0,$K378=0),0,1)</f>
        <v>0</v>
      </c>
    </row>
    <row r="379" spans="1:13" x14ac:dyDescent="0.2">
      <c r="A379" t="s">
        <v>226</v>
      </c>
      <c r="B379" t="s">
        <v>17</v>
      </c>
      <c r="C379" t="s">
        <v>9</v>
      </c>
      <c r="D379">
        <v>3816</v>
      </c>
      <c r="E379">
        <v>2019</v>
      </c>
      <c r="F379">
        <v>1</v>
      </c>
      <c r="G379">
        <v>40459</v>
      </c>
      <c r="H379" s="1">
        <v>4</v>
      </c>
      <c r="I379">
        <v>9</v>
      </c>
      <c r="J379">
        <f>IF($H379=0,1,IF($I379&lt;=1,2,0))</f>
        <v>0</v>
      </c>
      <c r="K379">
        <v>0</v>
      </c>
      <c r="L379">
        <f>IF(AND($J379=0,$K379=0),0,1)</f>
        <v>0</v>
      </c>
    </row>
    <row r="380" spans="1:13" x14ac:dyDescent="0.2">
      <c r="A380" t="s">
        <v>226</v>
      </c>
      <c r="B380" t="s">
        <v>17</v>
      </c>
      <c r="C380" t="s">
        <v>9</v>
      </c>
      <c r="D380">
        <v>3944</v>
      </c>
      <c r="E380">
        <v>2019</v>
      </c>
      <c r="F380">
        <v>1</v>
      </c>
      <c r="G380">
        <v>40444</v>
      </c>
      <c r="H380" s="1">
        <v>4</v>
      </c>
      <c r="I380">
        <v>17</v>
      </c>
      <c r="J380">
        <f>IF($H380=0,1,IF($I380&lt;=1,2,0))</f>
        <v>0</v>
      </c>
      <c r="K380">
        <v>0</v>
      </c>
      <c r="L380">
        <f>IF(AND($J380=0,$K380=0),0,1)</f>
        <v>0</v>
      </c>
      <c r="M380" t="s">
        <v>227</v>
      </c>
    </row>
    <row r="381" spans="1:13" x14ac:dyDescent="0.2">
      <c r="A381" t="s">
        <v>226</v>
      </c>
      <c r="B381" t="s">
        <v>17</v>
      </c>
      <c r="C381" t="s">
        <v>9</v>
      </c>
      <c r="D381">
        <v>4015</v>
      </c>
      <c r="E381">
        <v>2019</v>
      </c>
      <c r="F381">
        <v>1</v>
      </c>
      <c r="G381">
        <v>10008</v>
      </c>
      <c r="H381" s="1">
        <v>4</v>
      </c>
      <c r="I381">
        <v>9</v>
      </c>
      <c r="J381">
        <f>IF($H381=0,1,IF($I381&lt;=1,2,0))</f>
        <v>0</v>
      </c>
      <c r="K381">
        <v>0</v>
      </c>
      <c r="L381">
        <f>IF(AND($J381=0,$K381=0),0,1)</f>
        <v>0</v>
      </c>
      <c r="M381" t="s">
        <v>227</v>
      </c>
    </row>
    <row r="382" spans="1:13" x14ac:dyDescent="0.2">
      <c r="A382" t="s">
        <v>226</v>
      </c>
      <c r="B382" t="s">
        <v>17</v>
      </c>
      <c r="C382" t="s">
        <v>9</v>
      </c>
      <c r="D382">
        <v>4567</v>
      </c>
      <c r="E382">
        <v>2019</v>
      </c>
      <c r="F382">
        <v>1</v>
      </c>
      <c r="G382">
        <v>10177</v>
      </c>
      <c r="H382" s="1">
        <v>4</v>
      </c>
      <c r="I382">
        <v>11</v>
      </c>
      <c r="J382">
        <f>IF($H382=0,1,IF($I382&lt;=1,2,0))</f>
        <v>0</v>
      </c>
      <c r="K382">
        <v>0</v>
      </c>
      <c r="L382">
        <f>IF(AND($J382=0,$K382=0),0,1)</f>
        <v>0</v>
      </c>
    </row>
    <row r="383" spans="1:13" x14ac:dyDescent="0.2">
      <c r="A383" t="s">
        <v>226</v>
      </c>
      <c r="B383" t="s">
        <v>17</v>
      </c>
      <c r="C383" t="s">
        <v>9</v>
      </c>
      <c r="D383">
        <v>4723</v>
      </c>
      <c r="E383">
        <v>2019</v>
      </c>
      <c r="F383">
        <v>1</v>
      </c>
      <c r="G383">
        <v>10450</v>
      </c>
      <c r="H383" s="1">
        <v>4</v>
      </c>
      <c r="I383">
        <v>17</v>
      </c>
      <c r="J383">
        <f>IF($H383=0,1,IF($I383&lt;=1,2,0))</f>
        <v>0</v>
      </c>
      <c r="K383">
        <v>0</v>
      </c>
      <c r="L383">
        <f>IF(AND($J383=0,$K383=0),0,1)</f>
        <v>0</v>
      </c>
      <c r="M383" t="s">
        <v>227</v>
      </c>
    </row>
    <row r="384" spans="1:13" x14ac:dyDescent="0.2">
      <c r="A384" t="s">
        <v>226</v>
      </c>
      <c r="B384" t="s">
        <v>17</v>
      </c>
      <c r="C384" t="s">
        <v>9</v>
      </c>
      <c r="D384">
        <v>4739</v>
      </c>
      <c r="E384">
        <v>2019</v>
      </c>
      <c r="F384">
        <v>1</v>
      </c>
      <c r="G384">
        <v>10600</v>
      </c>
      <c r="H384" s="1">
        <v>3</v>
      </c>
      <c r="I384">
        <v>17</v>
      </c>
      <c r="J384">
        <f>IF($H384=0,1,IF($I384&lt;=1,2,0))</f>
        <v>0</v>
      </c>
      <c r="K384">
        <v>0</v>
      </c>
      <c r="L384">
        <f>IF(AND($J384=0,$K384=0),0,1)</f>
        <v>0</v>
      </c>
    </row>
    <row r="385" spans="1:13" x14ac:dyDescent="0.2">
      <c r="A385" t="s">
        <v>226</v>
      </c>
      <c r="B385" t="s">
        <v>17</v>
      </c>
      <c r="C385" t="s">
        <v>9</v>
      </c>
      <c r="D385">
        <v>4771</v>
      </c>
      <c r="E385">
        <v>2019</v>
      </c>
      <c r="F385">
        <v>1</v>
      </c>
      <c r="G385">
        <v>10205</v>
      </c>
      <c r="H385" s="1">
        <v>3</v>
      </c>
      <c r="I385">
        <v>42</v>
      </c>
      <c r="J385">
        <f>IF($H385=0,1,IF($I385&lt;=1,2,0))</f>
        <v>0</v>
      </c>
      <c r="K385">
        <v>0</v>
      </c>
      <c r="L385">
        <f>IF(AND($J385=0,$K385=0),0,1)</f>
        <v>0</v>
      </c>
    </row>
    <row r="386" spans="1:13" x14ac:dyDescent="0.2">
      <c r="A386" t="s">
        <v>226</v>
      </c>
      <c r="B386" t="s">
        <v>17</v>
      </c>
      <c r="C386" t="s">
        <v>9</v>
      </c>
      <c r="D386">
        <v>4822</v>
      </c>
      <c r="E386">
        <v>2019</v>
      </c>
      <c r="F386">
        <v>1</v>
      </c>
      <c r="G386">
        <v>40445</v>
      </c>
      <c r="H386" s="1">
        <v>3</v>
      </c>
      <c r="I386">
        <v>63</v>
      </c>
      <c r="J386">
        <f>IF($H386=0,1,IF($I386&lt;=1,2,0))</f>
        <v>0</v>
      </c>
      <c r="K386">
        <v>0</v>
      </c>
      <c r="L386">
        <f>IF(AND($J386=0,$K386=0),0,1)</f>
        <v>0</v>
      </c>
    </row>
    <row r="387" spans="1:13" x14ac:dyDescent="0.2">
      <c r="A387" t="s">
        <v>226</v>
      </c>
      <c r="B387" t="s">
        <v>17</v>
      </c>
      <c r="C387" t="s">
        <v>9</v>
      </c>
      <c r="D387">
        <v>4840</v>
      </c>
      <c r="E387">
        <v>2019</v>
      </c>
      <c r="F387">
        <v>1</v>
      </c>
      <c r="G387">
        <v>10603</v>
      </c>
      <c r="H387" s="1">
        <v>3</v>
      </c>
      <c r="I387">
        <v>9</v>
      </c>
      <c r="J387">
        <f>IF($H387=0,1,IF($I387&lt;=1,2,0))</f>
        <v>0</v>
      </c>
      <c r="K387">
        <v>0</v>
      </c>
      <c r="L387">
        <f>IF(AND($J387=0,$K387=0),0,1)</f>
        <v>0</v>
      </c>
    </row>
    <row r="388" spans="1:13" x14ac:dyDescent="0.2">
      <c r="A388" t="s">
        <v>226</v>
      </c>
      <c r="B388" t="s">
        <v>17</v>
      </c>
      <c r="C388" t="s">
        <v>11</v>
      </c>
      <c r="D388">
        <v>6120</v>
      </c>
      <c r="E388">
        <v>2019</v>
      </c>
      <c r="F388">
        <v>1</v>
      </c>
      <c r="G388">
        <v>40462</v>
      </c>
      <c r="H388" s="1">
        <v>4</v>
      </c>
      <c r="I388">
        <v>15</v>
      </c>
      <c r="J388">
        <f>IF($H388=0,1,IF($I388&lt;=1,2,0))</f>
        <v>0</v>
      </c>
      <c r="K388">
        <v>0</v>
      </c>
      <c r="L388">
        <f>IF(AND($J388=0,$K388=0),0,1)</f>
        <v>0</v>
      </c>
    </row>
    <row r="389" spans="1:13" x14ac:dyDescent="0.2">
      <c r="A389" t="s">
        <v>226</v>
      </c>
      <c r="B389" t="s">
        <v>17</v>
      </c>
      <c r="C389" t="s">
        <v>11</v>
      </c>
      <c r="D389">
        <v>6582</v>
      </c>
      <c r="E389">
        <v>2019</v>
      </c>
      <c r="F389">
        <v>1</v>
      </c>
      <c r="G389">
        <v>13542</v>
      </c>
      <c r="H389" s="1">
        <v>4</v>
      </c>
      <c r="I389">
        <v>16</v>
      </c>
      <c r="J389">
        <f>IF($H389=0,1,IF($I389&lt;=1,2,0))</f>
        <v>0</v>
      </c>
      <c r="K389">
        <v>0</v>
      </c>
      <c r="L389">
        <f>IF(AND($J389=0,$K389=0),0,1)</f>
        <v>0</v>
      </c>
    </row>
    <row r="390" spans="1:13" x14ac:dyDescent="0.2">
      <c r="A390" t="s">
        <v>226</v>
      </c>
      <c r="B390" t="s">
        <v>17</v>
      </c>
      <c r="C390" t="s">
        <v>11</v>
      </c>
      <c r="D390">
        <v>6628</v>
      </c>
      <c r="E390">
        <v>2019</v>
      </c>
      <c r="F390">
        <v>1</v>
      </c>
      <c r="G390">
        <v>40448</v>
      </c>
      <c r="H390" s="1">
        <v>4</v>
      </c>
      <c r="I390">
        <v>16</v>
      </c>
      <c r="J390">
        <f>IF($H390=0,1,IF($I390&lt;=1,2,0))</f>
        <v>0</v>
      </c>
      <c r="K390">
        <v>0</v>
      </c>
      <c r="L390">
        <f>IF(AND($J390=0,$K390=0),0,1)</f>
        <v>0</v>
      </c>
    </row>
    <row r="391" spans="1:13" x14ac:dyDescent="0.2">
      <c r="A391" t="s">
        <v>226</v>
      </c>
      <c r="B391" t="s">
        <v>17</v>
      </c>
      <c r="C391" t="s">
        <v>11</v>
      </c>
      <c r="D391">
        <v>6791</v>
      </c>
      <c r="E391">
        <v>2019</v>
      </c>
      <c r="F391">
        <v>1</v>
      </c>
      <c r="G391">
        <v>13388</v>
      </c>
      <c r="H391" s="1">
        <v>4</v>
      </c>
      <c r="I391">
        <v>19</v>
      </c>
      <c r="J391">
        <f>IF($H391=0,1,IF($I391&lt;=1,2,0))</f>
        <v>0</v>
      </c>
      <c r="K391">
        <v>0</v>
      </c>
      <c r="L391">
        <f>IF(AND($J391=0,$K391=0),0,1)</f>
        <v>0</v>
      </c>
    </row>
    <row r="392" spans="1:13" x14ac:dyDescent="0.2">
      <c r="A392" t="s">
        <v>229</v>
      </c>
      <c r="B392" t="s">
        <v>17</v>
      </c>
      <c r="C392" t="s">
        <v>9</v>
      </c>
      <c r="D392">
        <v>4716</v>
      </c>
      <c r="E392">
        <v>2019</v>
      </c>
      <c r="F392">
        <v>1</v>
      </c>
      <c r="G392">
        <v>10234</v>
      </c>
      <c r="H392" s="1">
        <v>3</v>
      </c>
      <c r="I392">
        <v>19</v>
      </c>
      <c r="J392">
        <f>IF($H392=0,1,IF($I392&lt;=1,2,0))</f>
        <v>0</v>
      </c>
      <c r="K392">
        <v>0</v>
      </c>
      <c r="L392">
        <f>IF(AND($J392=0,$K392=0),0,1)</f>
        <v>0</v>
      </c>
    </row>
    <row r="393" spans="1:13" x14ac:dyDescent="0.2">
      <c r="A393" t="s">
        <v>230</v>
      </c>
      <c r="B393" t="s">
        <v>17</v>
      </c>
      <c r="C393" t="s">
        <v>9</v>
      </c>
      <c r="D393">
        <v>4242</v>
      </c>
      <c r="E393">
        <v>2019</v>
      </c>
      <c r="F393">
        <v>1</v>
      </c>
      <c r="G393">
        <v>10310</v>
      </c>
      <c r="H393" s="1">
        <v>3</v>
      </c>
      <c r="I393">
        <v>10</v>
      </c>
      <c r="J393">
        <f>IF($H393=0,1,IF($I393&lt;=1,2,0))</f>
        <v>0</v>
      </c>
      <c r="K393">
        <v>0</v>
      </c>
      <c r="L393">
        <f>IF(AND($J393=0,$K393=0),0,1)</f>
        <v>0</v>
      </c>
      <c r="M393" t="s">
        <v>231</v>
      </c>
    </row>
    <row r="394" spans="1:13" x14ac:dyDescent="0.2">
      <c r="A394" t="s">
        <v>230</v>
      </c>
      <c r="B394" t="s">
        <v>17</v>
      </c>
      <c r="C394" t="s">
        <v>11</v>
      </c>
      <c r="D394">
        <v>6727</v>
      </c>
      <c r="E394">
        <v>2019</v>
      </c>
      <c r="F394">
        <v>1</v>
      </c>
      <c r="G394">
        <v>54556</v>
      </c>
      <c r="H394" s="1">
        <v>3</v>
      </c>
      <c r="I394">
        <v>9</v>
      </c>
      <c r="J394">
        <f>IF($H394=0,1,IF($I394&lt;=1,2,0))</f>
        <v>0</v>
      </c>
      <c r="K394">
        <v>0</v>
      </c>
      <c r="L394">
        <f>IF(AND($J394=0,$K394=0),0,1)</f>
        <v>0</v>
      </c>
    </row>
    <row r="395" spans="1:13" x14ac:dyDescent="0.2">
      <c r="A395" t="s">
        <v>230</v>
      </c>
      <c r="B395" t="s">
        <v>17</v>
      </c>
      <c r="C395" t="s">
        <v>11</v>
      </c>
      <c r="D395">
        <v>6828</v>
      </c>
      <c r="E395">
        <v>2019</v>
      </c>
      <c r="F395">
        <v>1</v>
      </c>
      <c r="G395">
        <v>54557</v>
      </c>
      <c r="H395" s="1">
        <v>3</v>
      </c>
      <c r="I395">
        <v>13</v>
      </c>
      <c r="J395">
        <f>IF($H395=0,1,IF($I395&lt;=1,2,0))</f>
        <v>0</v>
      </c>
      <c r="K395">
        <v>0</v>
      </c>
      <c r="L395">
        <f>IF(AND($J395=0,$K395=0),0,1)</f>
        <v>0</v>
      </c>
    </row>
    <row r="396" spans="1:13" x14ac:dyDescent="0.2">
      <c r="A396" t="s">
        <v>232</v>
      </c>
      <c r="B396" t="s">
        <v>17</v>
      </c>
      <c r="C396" t="s">
        <v>21</v>
      </c>
      <c r="D396">
        <v>3132</v>
      </c>
      <c r="E396">
        <v>2019</v>
      </c>
      <c r="F396">
        <v>1</v>
      </c>
      <c r="G396">
        <v>7540</v>
      </c>
      <c r="H396" s="1">
        <v>3</v>
      </c>
      <c r="I396">
        <v>42</v>
      </c>
      <c r="J396">
        <f>IF($H396=0,1,IF($I396&lt;=1,2,0))</f>
        <v>0</v>
      </c>
      <c r="K396">
        <v>0</v>
      </c>
      <c r="L396">
        <f>IF(AND($J396=0,$K396=0),0,1)</f>
        <v>0</v>
      </c>
    </row>
    <row r="397" spans="1:13" x14ac:dyDescent="0.2">
      <c r="A397" t="s">
        <v>232</v>
      </c>
      <c r="B397" t="s">
        <v>17</v>
      </c>
      <c r="C397" t="s">
        <v>9</v>
      </c>
      <c r="D397">
        <v>4300</v>
      </c>
      <c r="E397">
        <v>2019</v>
      </c>
      <c r="F397">
        <v>2</v>
      </c>
      <c r="G397">
        <v>173</v>
      </c>
      <c r="H397" s="1">
        <v>3</v>
      </c>
      <c r="I397">
        <v>8</v>
      </c>
      <c r="J397">
        <f>IF($H397=0,1,IF($I397&lt;=1,2,0))</f>
        <v>0</v>
      </c>
      <c r="K397">
        <v>0</v>
      </c>
      <c r="L397">
        <f>IF(AND($J397=0,$K397=0),0,1)</f>
        <v>0</v>
      </c>
    </row>
    <row r="398" spans="1:13" x14ac:dyDescent="0.2">
      <c r="A398" t="s">
        <v>233</v>
      </c>
      <c r="B398" t="s">
        <v>17</v>
      </c>
      <c r="C398" t="s">
        <v>9</v>
      </c>
      <c r="D398">
        <v>3928</v>
      </c>
      <c r="E398">
        <v>2019</v>
      </c>
      <c r="F398">
        <v>1</v>
      </c>
      <c r="G398">
        <v>17936</v>
      </c>
      <c r="H398" s="1">
        <v>3</v>
      </c>
      <c r="I398">
        <v>10</v>
      </c>
      <c r="J398">
        <f>IF($H398=0,1,IF($I398&lt;=1,2,0))</f>
        <v>0</v>
      </c>
      <c r="K398">
        <v>0</v>
      </c>
      <c r="L398">
        <f>IF(AND($J398=0,$K398=0),0,1)</f>
        <v>0</v>
      </c>
    </row>
    <row r="399" spans="1:13" x14ac:dyDescent="0.2">
      <c r="A399" t="s">
        <v>233</v>
      </c>
      <c r="B399" t="s">
        <v>17</v>
      </c>
      <c r="C399" t="s">
        <v>11</v>
      </c>
      <c r="D399">
        <v>4241</v>
      </c>
      <c r="E399">
        <v>2019</v>
      </c>
      <c r="F399">
        <v>1</v>
      </c>
      <c r="G399">
        <v>10148</v>
      </c>
      <c r="H399" s="1">
        <v>4</v>
      </c>
      <c r="I399">
        <v>24</v>
      </c>
      <c r="J399">
        <f>IF($H399=0,1,IF($I399&lt;=1,2,0))</f>
        <v>0</v>
      </c>
      <c r="K399">
        <v>0</v>
      </c>
      <c r="L399">
        <f>IF(AND($J399=0,$K399=0),0,1)</f>
        <v>0</v>
      </c>
    </row>
    <row r="400" spans="1:13" x14ac:dyDescent="0.2">
      <c r="A400" t="s">
        <v>233</v>
      </c>
      <c r="B400" t="s">
        <v>17</v>
      </c>
      <c r="C400" t="s">
        <v>9</v>
      </c>
      <c r="D400">
        <v>4262</v>
      </c>
      <c r="E400">
        <v>2019</v>
      </c>
      <c r="F400">
        <v>1</v>
      </c>
      <c r="G400">
        <v>41112</v>
      </c>
      <c r="H400" s="1">
        <v>4</v>
      </c>
      <c r="I400">
        <v>13</v>
      </c>
      <c r="J400">
        <f>IF($H400=0,1,IF($I400&lt;=1,2,0))</f>
        <v>0</v>
      </c>
      <c r="K400">
        <v>0</v>
      </c>
      <c r="L400">
        <f>IF(AND($J400=0,$K400=0),0,1)</f>
        <v>0</v>
      </c>
    </row>
    <row r="401" spans="1:13" x14ac:dyDescent="0.2">
      <c r="A401" t="s">
        <v>235</v>
      </c>
      <c r="B401" t="s">
        <v>17</v>
      </c>
      <c r="C401" t="s">
        <v>11</v>
      </c>
      <c r="D401">
        <v>4200</v>
      </c>
      <c r="E401">
        <v>2019</v>
      </c>
      <c r="F401">
        <v>1</v>
      </c>
      <c r="G401">
        <v>20190</v>
      </c>
      <c r="H401" s="1">
        <v>3</v>
      </c>
      <c r="I401">
        <v>14</v>
      </c>
      <c r="J401">
        <f>IF($H401=0,1,IF($I401&lt;=1,2,0))</f>
        <v>0</v>
      </c>
      <c r="K401">
        <v>0</v>
      </c>
      <c r="L401">
        <f>IF(AND($J401=0,$K401=0),0,1)</f>
        <v>0</v>
      </c>
    </row>
    <row r="402" spans="1:13" x14ac:dyDescent="0.2">
      <c r="A402" t="s">
        <v>235</v>
      </c>
      <c r="B402" t="s">
        <v>17</v>
      </c>
      <c r="C402" t="s">
        <v>9</v>
      </c>
      <c r="D402">
        <v>4251</v>
      </c>
      <c r="E402">
        <v>2019</v>
      </c>
      <c r="F402">
        <v>1</v>
      </c>
      <c r="G402">
        <v>20179</v>
      </c>
      <c r="H402" s="1">
        <v>3</v>
      </c>
      <c r="I402">
        <v>2</v>
      </c>
      <c r="J402">
        <f>IF($H402=0,1,IF($I402&lt;=1,2,0))</f>
        <v>0</v>
      </c>
      <c r="K402">
        <v>0</v>
      </c>
      <c r="L402">
        <f>IF(AND($J402=0,$K402=0),0,1)</f>
        <v>0</v>
      </c>
    </row>
    <row r="403" spans="1:13" x14ac:dyDescent="0.2">
      <c r="A403" t="s">
        <v>236</v>
      </c>
      <c r="B403" t="s">
        <v>17</v>
      </c>
      <c r="C403" t="s">
        <v>9</v>
      </c>
      <c r="D403">
        <v>4011</v>
      </c>
      <c r="E403">
        <v>2019</v>
      </c>
      <c r="F403">
        <v>1</v>
      </c>
      <c r="G403">
        <v>53900</v>
      </c>
      <c r="H403" s="1">
        <v>3</v>
      </c>
      <c r="I403">
        <v>42</v>
      </c>
      <c r="J403">
        <f>IF($H403=0,1,IF($I403&lt;=1,2,0))</f>
        <v>0</v>
      </c>
      <c r="K403">
        <v>0</v>
      </c>
      <c r="L403">
        <f>IF(AND($J403=0,$K403=0),0,1)</f>
        <v>0</v>
      </c>
    </row>
    <row r="404" spans="1:13" x14ac:dyDescent="0.2">
      <c r="A404" t="s">
        <v>236</v>
      </c>
      <c r="B404" t="s">
        <v>17</v>
      </c>
      <c r="C404" t="s">
        <v>9</v>
      </c>
      <c r="D404">
        <v>4037</v>
      </c>
      <c r="E404">
        <v>2019</v>
      </c>
      <c r="F404">
        <v>1</v>
      </c>
      <c r="G404">
        <v>13993</v>
      </c>
      <c r="H404" s="1">
        <v>3</v>
      </c>
      <c r="I404">
        <v>12</v>
      </c>
      <c r="J404">
        <f>IF($H404=0,1,IF($I404&lt;=1,2,0))</f>
        <v>0</v>
      </c>
      <c r="K404">
        <v>0</v>
      </c>
      <c r="L404">
        <f>IF(AND($J404=0,$K404=0),0,1)</f>
        <v>0</v>
      </c>
    </row>
    <row r="405" spans="1:13" x14ac:dyDescent="0.2">
      <c r="A405" t="s">
        <v>236</v>
      </c>
      <c r="B405" t="s">
        <v>17</v>
      </c>
      <c r="C405" t="s">
        <v>9</v>
      </c>
      <c r="D405">
        <v>6133</v>
      </c>
      <c r="E405">
        <v>2019</v>
      </c>
      <c r="F405">
        <v>1</v>
      </c>
      <c r="G405">
        <v>10224</v>
      </c>
      <c r="H405" s="1">
        <v>4</v>
      </c>
      <c r="I405">
        <v>7</v>
      </c>
      <c r="J405">
        <f>IF($H405=0,1,IF($I405&lt;=1,2,0))</f>
        <v>0</v>
      </c>
      <c r="K405">
        <v>0</v>
      </c>
      <c r="L405">
        <f>IF(AND($J405=0,$K405=0),0,1)</f>
        <v>0</v>
      </c>
    </row>
    <row r="406" spans="1:13" x14ac:dyDescent="0.2">
      <c r="A406" t="s">
        <v>237</v>
      </c>
      <c r="B406" t="s">
        <v>17</v>
      </c>
      <c r="C406" t="s">
        <v>9</v>
      </c>
      <c r="D406">
        <v>4075</v>
      </c>
      <c r="E406">
        <v>2019</v>
      </c>
      <c r="F406">
        <v>1</v>
      </c>
      <c r="G406">
        <v>53913</v>
      </c>
      <c r="H406" s="1">
        <v>3</v>
      </c>
      <c r="I406">
        <v>12</v>
      </c>
      <c r="J406">
        <f>IF($H406=0,1,IF($I406&lt;=1,2,0))</f>
        <v>0</v>
      </c>
      <c r="K406">
        <v>0</v>
      </c>
      <c r="L406">
        <f>IF(AND($J406=0,$K406=0),0,1)</f>
        <v>0</v>
      </c>
    </row>
    <row r="407" spans="1:13" x14ac:dyDescent="0.2">
      <c r="A407" t="s">
        <v>238</v>
      </c>
      <c r="B407" t="s">
        <v>17</v>
      </c>
      <c r="C407" t="s">
        <v>9</v>
      </c>
      <c r="D407">
        <v>4250</v>
      </c>
      <c r="E407">
        <v>2019</v>
      </c>
      <c r="F407">
        <v>1</v>
      </c>
      <c r="G407">
        <v>18031</v>
      </c>
      <c r="H407" s="1">
        <v>3</v>
      </c>
      <c r="I407">
        <v>13</v>
      </c>
      <c r="J407">
        <f>IF($H407=0,1,IF($I407&lt;=1,2,0))</f>
        <v>0</v>
      </c>
      <c r="K407">
        <v>0</v>
      </c>
      <c r="L407">
        <f>IF(AND($J407=0,$K407=0),0,1)</f>
        <v>0</v>
      </c>
    </row>
    <row r="408" spans="1:13" x14ac:dyDescent="0.2">
      <c r="A408" t="s">
        <v>239</v>
      </c>
      <c r="B408" t="s">
        <v>17</v>
      </c>
      <c r="C408" t="s">
        <v>11</v>
      </c>
      <c r="D408">
        <v>8483</v>
      </c>
      <c r="E408">
        <v>2019</v>
      </c>
      <c r="F408">
        <v>1</v>
      </c>
      <c r="G408">
        <v>41661</v>
      </c>
      <c r="H408" s="1">
        <v>4</v>
      </c>
      <c r="I408">
        <v>16</v>
      </c>
      <c r="J408">
        <f>IF($H408=0,1,IF($I408&lt;=1,2,0))</f>
        <v>0</v>
      </c>
      <c r="K408">
        <v>0</v>
      </c>
      <c r="L408">
        <f>IF(AND($J408=0,$K408=0),0,1)</f>
        <v>0</v>
      </c>
      <c r="M408" t="s">
        <v>1919</v>
      </c>
    </row>
    <row r="409" spans="1:13" x14ac:dyDescent="0.2">
      <c r="A409" t="s">
        <v>240</v>
      </c>
      <c r="B409" t="s">
        <v>241</v>
      </c>
      <c r="C409" t="s">
        <v>7</v>
      </c>
      <c r="D409">
        <v>1101</v>
      </c>
      <c r="E409">
        <v>2019</v>
      </c>
      <c r="F409">
        <v>3</v>
      </c>
      <c r="G409">
        <v>85352</v>
      </c>
      <c r="H409" s="1">
        <v>4</v>
      </c>
      <c r="I409">
        <v>22</v>
      </c>
      <c r="J409">
        <f>IF($H409=0,1,IF($I409&lt;=1,2,0))</f>
        <v>0</v>
      </c>
      <c r="K409">
        <v>0</v>
      </c>
      <c r="L409">
        <f>IF(AND($J409=0,$K409=0),0,1)</f>
        <v>0</v>
      </c>
    </row>
    <row r="410" spans="1:13" x14ac:dyDescent="0.2">
      <c r="A410" t="s">
        <v>240</v>
      </c>
      <c r="B410" t="s">
        <v>241</v>
      </c>
      <c r="C410" t="s">
        <v>7</v>
      </c>
      <c r="D410">
        <v>1101</v>
      </c>
      <c r="E410">
        <v>2019</v>
      </c>
      <c r="F410">
        <v>6</v>
      </c>
      <c r="G410">
        <v>85355</v>
      </c>
      <c r="H410" s="1">
        <v>4</v>
      </c>
      <c r="I410">
        <v>22</v>
      </c>
      <c r="J410">
        <f>IF($H410=0,1,IF($I410&lt;=1,2,0))</f>
        <v>0</v>
      </c>
      <c r="K410">
        <v>0</v>
      </c>
      <c r="L410">
        <f>IF(AND($J410=0,$K410=0),0,1)</f>
        <v>0</v>
      </c>
    </row>
    <row r="411" spans="1:13" x14ac:dyDescent="0.2">
      <c r="A411" t="s">
        <v>240</v>
      </c>
      <c r="B411" t="s">
        <v>241</v>
      </c>
      <c r="C411" t="s">
        <v>7</v>
      </c>
      <c r="D411">
        <v>1101</v>
      </c>
      <c r="E411">
        <v>2019</v>
      </c>
      <c r="F411">
        <v>8</v>
      </c>
      <c r="G411">
        <v>85357</v>
      </c>
      <c r="H411" s="1">
        <v>4</v>
      </c>
      <c r="I411">
        <v>22</v>
      </c>
      <c r="J411">
        <f>IF($H411=0,1,IF($I411&lt;=1,2,0))</f>
        <v>0</v>
      </c>
      <c r="K411">
        <v>0</v>
      </c>
      <c r="L411">
        <f>IF(AND($J411=0,$K411=0),0,1)</f>
        <v>0</v>
      </c>
    </row>
    <row r="412" spans="1:13" x14ac:dyDescent="0.2">
      <c r="A412" t="s">
        <v>240</v>
      </c>
      <c r="B412" t="s">
        <v>241</v>
      </c>
      <c r="C412" t="s">
        <v>7</v>
      </c>
      <c r="D412">
        <v>1101</v>
      </c>
      <c r="E412">
        <v>2019</v>
      </c>
      <c r="F412">
        <v>9</v>
      </c>
      <c r="G412">
        <v>85358</v>
      </c>
      <c r="H412" s="1">
        <v>4</v>
      </c>
      <c r="I412">
        <v>22</v>
      </c>
      <c r="J412">
        <f>IF($H412=0,1,IF($I412&lt;=1,2,0))</f>
        <v>0</v>
      </c>
      <c r="K412">
        <v>0</v>
      </c>
      <c r="L412">
        <f>IF(AND($J412=0,$K412=0),0,1)</f>
        <v>0</v>
      </c>
    </row>
    <row r="413" spans="1:13" x14ac:dyDescent="0.2">
      <c r="A413" t="s">
        <v>240</v>
      </c>
      <c r="B413" t="s">
        <v>241</v>
      </c>
      <c r="C413" t="s">
        <v>7</v>
      </c>
      <c r="D413">
        <v>1101</v>
      </c>
      <c r="E413">
        <v>2019</v>
      </c>
      <c r="F413">
        <v>12</v>
      </c>
      <c r="G413">
        <v>85361</v>
      </c>
      <c r="H413" s="1">
        <v>4</v>
      </c>
      <c r="I413">
        <v>22</v>
      </c>
      <c r="J413">
        <f>IF($H413=0,1,IF($I413&lt;=1,2,0))</f>
        <v>0</v>
      </c>
      <c r="K413">
        <v>0</v>
      </c>
      <c r="L413">
        <f>IF(AND($J413=0,$K413=0),0,1)</f>
        <v>0</v>
      </c>
    </row>
    <row r="414" spans="1:13" x14ac:dyDescent="0.2">
      <c r="A414" t="s">
        <v>240</v>
      </c>
      <c r="B414" t="s">
        <v>241</v>
      </c>
      <c r="C414" t="s">
        <v>7</v>
      </c>
      <c r="D414">
        <v>1101</v>
      </c>
      <c r="E414">
        <v>2019</v>
      </c>
      <c r="F414">
        <v>13</v>
      </c>
      <c r="G414">
        <v>85362</v>
      </c>
      <c r="H414" s="1">
        <v>4</v>
      </c>
      <c r="I414">
        <v>22</v>
      </c>
      <c r="J414">
        <f>IF($H414=0,1,IF($I414&lt;=1,2,0))</f>
        <v>0</v>
      </c>
      <c r="K414">
        <v>0</v>
      </c>
      <c r="L414">
        <f>IF(AND($J414=0,$K414=0),0,1)</f>
        <v>0</v>
      </c>
    </row>
    <row r="415" spans="1:13" x14ac:dyDescent="0.2">
      <c r="A415" t="s">
        <v>240</v>
      </c>
      <c r="B415" t="s">
        <v>241</v>
      </c>
      <c r="C415" t="s">
        <v>7</v>
      </c>
      <c r="D415">
        <v>1101</v>
      </c>
      <c r="E415">
        <v>2019</v>
      </c>
      <c r="F415">
        <v>15</v>
      </c>
      <c r="G415">
        <v>85364</v>
      </c>
      <c r="H415" s="1">
        <v>4</v>
      </c>
      <c r="I415">
        <v>22</v>
      </c>
      <c r="J415">
        <f>IF($H415=0,1,IF($I415&lt;=1,2,0))</f>
        <v>0</v>
      </c>
      <c r="K415">
        <v>0</v>
      </c>
      <c r="L415">
        <f>IF(AND($J415=0,$K415=0),0,1)</f>
        <v>0</v>
      </c>
    </row>
    <row r="416" spans="1:13" x14ac:dyDescent="0.2">
      <c r="A416" t="s">
        <v>240</v>
      </c>
      <c r="B416" t="s">
        <v>241</v>
      </c>
      <c r="C416" t="s">
        <v>7</v>
      </c>
      <c r="D416">
        <v>1101</v>
      </c>
      <c r="E416">
        <v>2019</v>
      </c>
      <c r="F416">
        <v>17</v>
      </c>
      <c r="G416">
        <v>85366</v>
      </c>
      <c r="H416" s="1">
        <v>4</v>
      </c>
      <c r="I416">
        <v>22</v>
      </c>
      <c r="J416">
        <f>IF($H416=0,1,IF($I416&lt;=1,2,0))</f>
        <v>0</v>
      </c>
      <c r="K416">
        <v>0</v>
      </c>
      <c r="L416">
        <f>IF(AND($J416=0,$K416=0),0,1)</f>
        <v>0</v>
      </c>
    </row>
    <row r="417" spans="1:12" x14ac:dyDescent="0.2">
      <c r="A417" t="s">
        <v>240</v>
      </c>
      <c r="B417" t="s">
        <v>241</v>
      </c>
      <c r="C417" t="s">
        <v>7</v>
      </c>
      <c r="D417">
        <v>1101</v>
      </c>
      <c r="E417">
        <v>2019</v>
      </c>
      <c r="F417">
        <v>19</v>
      </c>
      <c r="G417">
        <v>85368</v>
      </c>
      <c r="H417" s="1">
        <v>4</v>
      </c>
      <c r="I417">
        <v>22</v>
      </c>
      <c r="J417">
        <f>IF($H417=0,1,IF($I417&lt;=1,2,0))</f>
        <v>0</v>
      </c>
      <c r="K417">
        <v>0</v>
      </c>
      <c r="L417">
        <f>IF(AND($J417=0,$K417=0),0,1)</f>
        <v>0</v>
      </c>
    </row>
    <row r="418" spans="1:12" x14ac:dyDescent="0.2">
      <c r="A418" t="s">
        <v>240</v>
      </c>
      <c r="B418" t="s">
        <v>241</v>
      </c>
      <c r="C418" t="s">
        <v>7</v>
      </c>
      <c r="D418">
        <v>1101</v>
      </c>
      <c r="E418">
        <v>2019</v>
      </c>
      <c r="F418">
        <v>20</v>
      </c>
      <c r="G418">
        <v>85369</v>
      </c>
      <c r="H418" s="1">
        <v>4</v>
      </c>
      <c r="I418">
        <v>22</v>
      </c>
      <c r="J418">
        <f>IF($H418=0,1,IF($I418&lt;=1,2,0))</f>
        <v>0</v>
      </c>
      <c r="K418">
        <v>0</v>
      </c>
      <c r="L418">
        <f>IF(AND($J418=0,$K418=0),0,1)</f>
        <v>0</v>
      </c>
    </row>
    <row r="419" spans="1:12" x14ac:dyDescent="0.2">
      <c r="A419" t="s">
        <v>240</v>
      </c>
      <c r="B419" t="s">
        <v>241</v>
      </c>
      <c r="C419" t="s">
        <v>7</v>
      </c>
      <c r="D419">
        <v>1101</v>
      </c>
      <c r="E419">
        <v>2019</v>
      </c>
      <c r="F419">
        <v>21</v>
      </c>
      <c r="G419">
        <v>85370</v>
      </c>
      <c r="H419" s="1">
        <v>4</v>
      </c>
      <c r="I419">
        <v>22</v>
      </c>
      <c r="J419">
        <f>IF($H419=0,1,IF($I419&lt;=1,2,0))</f>
        <v>0</v>
      </c>
      <c r="K419">
        <v>0</v>
      </c>
      <c r="L419">
        <f>IF(AND($J419=0,$K419=0),0,1)</f>
        <v>0</v>
      </c>
    </row>
    <row r="420" spans="1:12" x14ac:dyDescent="0.2">
      <c r="A420" t="s">
        <v>240</v>
      </c>
      <c r="B420" t="s">
        <v>241</v>
      </c>
      <c r="C420" t="s">
        <v>7</v>
      </c>
      <c r="D420">
        <v>1101</v>
      </c>
      <c r="E420">
        <v>2019</v>
      </c>
      <c r="F420">
        <v>23</v>
      </c>
      <c r="G420">
        <v>85372</v>
      </c>
      <c r="H420" s="1">
        <v>4</v>
      </c>
      <c r="I420">
        <v>22</v>
      </c>
      <c r="J420">
        <f>IF($H420=0,1,IF($I420&lt;=1,2,0))</f>
        <v>0</v>
      </c>
      <c r="K420">
        <v>0</v>
      </c>
      <c r="L420">
        <f>IF(AND($J420=0,$K420=0),0,1)</f>
        <v>0</v>
      </c>
    </row>
    <row r="421" spans="1:12" x14ac:dyDescent="0.2">
      <c r="A421" t="s">
        <v>240</v>
      </c>
      <c r="B421" t="s">
        <v>241</v>
      </c>
      <c r="C421" t="s">
        <v>7</v>
      </c>
      <c r="D421">
        <v>1101</v>
      </c>
      <c r="E421">
        <v>2019</v>
      </c>
      <c r="F421">
        <v>25</v>
      </c>
      <c r="G421">
        <v>85374</v>
      </c>
      <c r="H421" s="1">
        <v>4</v>
      </c>
      <c r="I421">
        <v>22</v>
      </c>
      <c r="J421">
        <f>IF($H421=0,1,IF($I421&lt;=1,2,0))</f>
        <v>0</v>
      </c>
      <c r="K421">
        <v>0</v>
      </c>
      <c r="L421">
        <f>IF(AND($J421=0,$K421=0),0,1)</f>
        <v>0</v>
      </c>
    </row>
    <row r="422" spans="1:12" x14ac:dyDescent="0.2">
      <c r="A422" t="s">
        <v>240</v>
      </c>
      <c r="B422" t="s">
        <v>241</v>
      </c>
      <c r="C422" t="s">
        <v>7</v>
      </c>
      <c r="D422">
        <v>1101</v>
      </c>
      <c r="E422">
        <v>2019</v>
      </c>
      <c r="F422">
        <v>33</v>
      </c>
      <c r="G422">
        <v>85382</v>
      </c>
      <c r="H422" s="1">
        <v>4</v>
      </c>
      <c r="I422">
        <v>22</v>
      </c>
      <c r="J422">
        <f>IF($H422=0,1,IF($I422&lt;=1,2,0))</f>
        <v>0</v>
      </c>
      <c r="K422">
        <v>0</v>
      </c>
      <c r="L422">
        <f>IF(AND($J422=0,$K422=0),0,1)</f>
        <v>0</v>
      </c>
    </row>
    <row r="423" spans="1:12" x14ac:dyDescent="0.2">
      <c r="A423" t="s">
        <v>240</v>
      </c>
      <c r="B423" t="s">
        <v>241</v>
      </c>
      <c r="C423" t="s">
        <v>7</v>
      </c>
      <c r="D423">
        <v>1101</v>
      </c>
      <c r="E423">
        <v>2019</v>
      </c>
      <c r="F423">
        <v>36</v>
      </c>
      <c r="G423">
        <v>85385</v>
      </c>
      <c r="H423" s="1">
        <v>4</v>
      </c>
      <c r="I423">
        <v>22</v>
      </c>
      <c r="J423">
        <f>IF($H423=0,1,IF($I423&lt;=1,2,0))</f>
        <v>0</v>
      </c>
      <c r="K423">
        <v>0</v>
      </c>
      <c r="L423">
        <f>IF(AND($J423=0,$K423=0),0,1)</f>
        <v>0</v>
      </c>
    </row>
    <row r="424" spans="1:12" x14ac:dyDescent="0.2">
      <c r="A424" t="s">
        <v>240</v>
      </c>
      <c r="B424" t="s">
        <v>241</v>
      </c>
      <c r="C424" t="s">
        <v>7</v>
      </c>
      <c r="D424">
        <v>1101</v>
      </c>
      <c r="E424">
        <v>2019</v>
      </c>
      <c r="F424">
        <v>38</v>
      </c>
      <c r="G424">
        <v>85387</v>
      </c>
      <c r="H424" s="1">
        <v>4</v>
      </c>
      <c r="I424">
        <v>22</v>
      </c>
      <c r="J424">
        <f>IF($H424=0,1,IF($I424&lt;=1,2,0))</f>
        <v>0</v>
      </c>
      <c r="K424">
        <v>0</v>
      </c>
      <c r="L424">
        <f>IF(AND($J424=0,$K424=0),0,1)</f>
        <v>0</v>
      </c>
    </row>
    <row r="425" spans="1:12" x14ac:dyDescent="0.2">
      <c r="A425" t="s">
        <v>240</v>
      </c>
      <c r="B425" t="s">
        <v>241</v>
      </c>
      <c r="C425" t="s">
        <v>7</v>
      </c>
      <c r="D425">
        <v>1101</v>
      </c>
      <c r="E425">
        <v>2019</v>
      </c>
      <c r="F425">
        <v>42</v>
      </c>
      <c r="G425">
        <v>85391</v>
      </c>
      <c r="H425" s="1">
        <v>4</v>
      </c>
      <c r="I425">
        <v>22</v>
      </c>
      <c r="J425">
        <f>IF($H425=0,1,IF($I425&lt;=1,2,0))</f>
        <v>0</v>
      </c>
      <c r="K425">
        <v>0</v>
      </c>
      <c r="L425">
        <f>IF(AND($J425=0,$K425=0),0,1)</f>
        <v>0</v>
      </c>
    </row>
    <row r="426" spans="1:12" x14ac:dyDescent="0.2">
      <c r="A426" t="s">
        <v>240</v>
      </c>
      <c r="B426" t="s">
        <v>241</v>
      </c>
      <c r="C426" t="s">
        <v>7</v>
      </c>
      <c r="D426">
        <v>1101</v>
      </c>
      <c r="E426">
        <v>2019</v>
      </c>
      <c r="F426">
        <v>43</v>
      </c>
      <c r="G426">
        <v>85392</v>
      </c>
      <c r="H426" s="1">
        <v>4</v>
      </c>
      <c r="I426">
        <v>22</v>
      </c>
      <c r="J426">
        <f>IF($H426=0,1,IF($I426&lt;=1,2,0))</f>
        <v>0</v>
      </c>
      <c r="K426">
        <v>0</v>
      </c>
      <c r="L426">
        <f>IF(AND($J426=0,$K426=0),0,1)</f>
        <v>0</v>
      </c>
    </row>
    <row r="427" spans="1:12" x14ac:dyDescent="0.2">
      <c r="A427" t="s">
        <v>240</v>
      </c>
      <c r="B427" t="s">
        <v>241</v>
      </c>
      <c r="C427" t="s">
        <v>7</v>
      </c>
      <c r="D427">
        <v>1101</v>
      </c>
      <c r="E427">
        <v>2019</v>
      </c>
      <c r="F427">
        <v>46</v>
      </c>
      <c r="G427">
        <v>85395</v>
      </c>
      <c r="H427" s="1">
        <v>4</v>
      </c>
      <c r="I427">
        <v>22</v>
      </c>
      <c r="J427">
        <f>IF($H427=0,1,IF($I427&lt;=1,2,0))</f>
        <v>0</v>
      </c>
      <c r="K427">
        <v>0</v>
      </c>
      <c r="L427">
        <f>IF(AND($J427=0,$K427=0),0,1)</f>
        <v>0</v>
      </c>
    </row>
    <row r="428" spans="1:12" x14ac:dyDescent="0.2">
      <c r="A428" t="s">
        <v>240</v>
      </c>
      <c r="B428" t="s">
        <v>241</v>
      </c>
      <c r="C428" t="s">
        <v>7</v>
      </c>
      <c r="D428">
        <v>1101</v>
      </c>
      <c r="E428">
        <v>2019</v>
      </c>
      <c r="F428">
        <v>47</v>
      </c>
      <c r="G428">
        <v>85396</v>
      </c>
      <c r="H428" s="1">
        <v>4</v>
      </c>
      <c r="I428">
        <v>22</v>
      </c>
      <c r="J428">
        <f>IF($H428=0,1,IF($I428&lt;=1,2,0))</f>
        <v>0</v>
      </c>
      <c r="K428">
        <v>0</v>
      </c>
      <c r="L428">
        <f>IF(AND($J428=0,$K428=0),0,1)</f>
        <v>0</v>
      </c>
    </row>
    <row r="429" spans="1:12" x14ac:dyDescent="0.2">
      <c r="A429" t="s">
        <v>240</v>
      </c>
      <c r="B429" t="s">
        <v>241</v>
      </c>
      <c r="C429" t="s">
        <v>7</v>
      </c>
      <c r="D429">
        <v>1101</v>
      </c>
      <c r="E429">
        <v>2019</v>
      </c>
      <c r="F429">
        <v>50</v>
      </c>
      <c r="G429">
        <v>85399</v>
      </c>
      <c r="H429" s="1">
        <v>4</v>
      </c>
      <c r="I429">
        <v>22</v>
      </c>
      <c r="J429">
        <f>IF($H429=0,1,IF($I429&lt;=1,2,0))</f>
        <v>0</v>
      </c>
      <c r="K429">
        <v>0</v>
      </c>
      <c r="L429">
        <f>IF(AND($J429=0,$K429=0),0,1)</f>
        <v>0</v>
      </c>
    </row>
    <row r="430" spans="1:12" x14ac:dyDescent="0.2">
      <c r="A430" t="s">
        <v>240</v>
      </c>
      <c r="B430" t="s">
        <v>241</v>
      </c>
      <c r="C430" t="s">
        <v>7</v>
      </c>
      <c r="D430">
        <v>1101</v>
      </c>
      <c r="E430">
        <v>2019</v>
      </c>
      <c r="F430">
        <v>52</v>
      </c>
      <c r="G430">
        <v>85401</v>
      </c>
      <c r="H430" s="1">
        <v>4</v>
      </c>
      <c r="I430">
        <v>22</v>
      </c>
      <c r="J430">
        <f>IF($H430=0,1,IF($I430&lt;=1,2,0))</f>
        <v>0</v>
      </c>
      <c r="K430">
        <v>0</v>
      </c>
      <c r="L430">
        <f>IF(AND($J430=0,$K430=0),0,1)</f>
        <v>0</v>
      </c>
    </row>
    <row r="431" spans="1:12" x14ac:dyDescent="0.2">
      <c r="A431" t="s">
        <v>240</v>
      </c>
      <c r="B431" t="s">
        <v>241</v>
      </c>
      <c r="C431" t="s">
        <v>7</v>
      </c>
      <c r="D431">
        <v>1101</v>
      </c>
      <c r="E431">
        <v>2019</v>
      </c>
      <c r="F431">
        <v>54</v>
      </c>
      <c r="G431">
        <v>85403</v>
      </c>
      <c r="H431" s="1">
        <v>4</v>
      </c>
      <c r="I431">
        <v>22</v>
      </c>
      <c r="J431">
        <f>IF($H431=0,1,IF($I431&lt;=1,2,0))</f>
        <v>0</v>
      </c>
      <c r="K431">
        <v>0</v>
      </c>
      <c r="L431">
        <f>IF(AND($J431=0,$K431=0),0,1)</f>
        <v>0</v>
      </c>
    </row>
    <row r="432" spans="1:12" x14ac:dyDescent="0.2">
      <c r="A432" t="s">
        <v>240</v>
      </c>
      <c r="B432" t="s">
        <v>241</v>
      </c>
      <c r="C432" t="s">
        <v>7</v>
      </c>
      <c r="D432">
        <v>1101</v>
      </c>
      <c r="E432">
        <v>2019</v>
      </c>
      <c r="F432">
        <v>61</v>
      </c>
      <c r="G432">
        <v>85501</v>
      </c>
      <c r="H432" s="1">
        <v>4</v>
      </c>
      <c r="I432">
        <v>22</v>
      </c>
      <c r="J432">
        <f>IF($H432=0,1,IF($I432&lt;=1,2,0))</f>
        <v>0</v>
      </c>
      <c r="K432">
        <v>0</v>
      </c>
      <c r="L432">
        <f>IF(AND($J432=0,$K432=0),0,1)</f>
        <v>0</v>
      </c>
    </row>
    <row r="433" spans="1:12" x14ac:dyDescent="0.2">
      <c r="A433" t="s">
        <v>240</v>
      </c>
      <c r="B433" t="s">
        <v>241</v>
      </c>
      <c r="C433" t="s">
        <v>7</v>
      </c>
      <c r="D433">
        <v>1101</v>
      </c>
      <c r="E433">
        <v>2019</v>
      </c>
      <c r="F433">
        <v>64</v>
      </c>
      <c r="G433">
        <v>15023</v>
      </c>
      <c r="H433" s="1">
        <v>4</v>
      </c>
      <c r="I433">
        <v>22</v>
      </c>
      <c r="J433">
        <f>IF($H433=0,1,IF($I433&lt;=1,2,0))</f>
        <v>0</v>
      </c>
      <c r="K433">
        <v>0</v>
      </c>
      <c r="L433">
        <f>IF(AND($J433=0,$K433=0),0,1)</f>
        <v>0</v>
      </c>
    </row>
    <row r="434" spans="1:12" x14ac:dyDescent="0.2">
      <c r="A434" t="s">
        <v>240</v>
      </c>
      <c r="B434" t="s">
        <v>241</v>
      </c>
      <c r="C434" t="s">
        <v>7</v>
      </c>
      <c r="D434">
        <v>1101</v>
      </c>
      <c r="E434">
        <v>2019</v>
      </c>
      <c r="F434">
        <v>5</v>
      </c>
      <c r="G434">
        <v>85354</v>
      </c>
      <c r="H434" s="1">
        <v>4</v>
      </c>
      <c r="I434">
        <v>21</v>
      </c>
      <c r="J434">
        <f>IF($H434=0,1,IF($I434&lt;=1,2,0))</f>
        <v>0</v>
      </c>
      <c r="K434">
        <v>0</v>
      </c>
      <c r="L434">
        <f>IF(AND($J434=0,$K434=0),0,1)</f>
        <v>0</v>
      </c>
    </row>
    <row r="435" spans="1:12" x14ac:dyDescent="0.2">
      <c r="A435" t="s">
        <v>240</v>
      </c>
      <c r="B435" t="s">
        <v>241</v>
      </c>
      <c r="C435" t="s">
        <v>7</v>
      </c>
      <c r="D435">
        <v>1101</v>
      </c>
      <c r="E435">
        <v>2019</v>
      </c>
      <c r="F435">
        <v>7</v>
      </c>
      <c r="G435">
        <v>85356</v>
      </c>
      <c r="H435" s="1">
        <v>4</v>
      </c>
      <c r="I435">
        <v>21</v>
      </c>
      <c r="J435">
        <f>IF($H435=0,1,IF($I435&lt;=1,2,0))</f>
        <v>0</v>
      </c>
      <c r="K435">
        <v>0</v>
      </c>
      <c r="L435">
        <f>IF(AND($J435=0,$K435=0),0,1)</f>
        <v>0</v>
      </c>
    </row>
    <row r="436" spans="1:12" x14ac:dyDescent="0.2">
      <c r="A436" t="s">
        <v>240</v>
      </c>
      <c r="B436" t="s">
        <v>241</v>
      </c>
      <c r="C436" t="s">
        <v>7</v>
      </c>
      <c r="D436">
        <v>1101</v>
      </c>
      <c r="E436">
        <v>2019</v>
      </c>
      <c r="F436">
        <v>10</v>
      </c>
      <c r="G436">
        <v>85359</v>
      </c>
      <c r="H436" s="1">
        <v>4</v>
      </c>
      <c r="I436">
        <v>21</v>
      </c>
      <c r="J436">
        <f>IF($H436=0,1,IF($I436&lt;=1,2,0))</f>
        <v>0</v>
      </c>
      <c r="K436">
        <v>0</v>
      </c>
      <c r="L436">
        <f>IF(AND($J436=0,$K436=0),0,1)</f>
        <v>0</v>
      </c>
    </row>
    <row r="437" spans="1:12" x14ac:dyDescent="0.2">
      <c r="A437" t="s">
        <v>240</v>
      </c>
      <c r="B437" t="s">
        <v>241</v>
      </c>
      <c r="C437" t="s">
        <v>7</v>
      </c>
      <c r="D437">
        <v>1101</v>
      </c>
      <c r="E437">
        <v>2019</v>
      </c>
      <c r="F437">
        <v>16</v>
      </c>
      <c r="G437">
        <v>85365</v>
      </c>
      <c r="H437" s="1">
        <v>4</v>
      </c>
      <c r="I437">
        <v>21</v>
      </c>
      <c r="J437">
        <f>IF($H437=0,1,IF($I437&lt;=1,2,0))</f>
        <v>0</v>
      </c>
      <c r="K437">
        <v>0</v>
      </c>
      <c r="L437">
        <f>IF(AND($J437=0,$K437=0),0,1)</f>
        <v>0</v>
      </c>
    </row>
    <row r="438" spans="1:12" x14ac:dyDescent="0.2">
      <c r="A438" t="s">
        <v>240</v>
      </c>
      <c r="B438" t="s">
        <v>241</v>
      </c>
      <c r="C438" t="s">
        <v>7</v>
      </c>
      <c r="D438">
        <v>1101</v>
      </c>
      <c r="E438">
        <v>2019</v>
      </c>
      <c r="F438">
        <v>22</v>
      </c>
      <c r="G438">
        <v>85371</v>
      </c>
      <c r="H438" s="1">
        <v>4</v>
      </c>
      <c r="I438">
        <v>21</v>
      </c>
      <c r="J438">
        <f>IF($H438=0,1,IF($I438&lt;=1,2,0))</f>
        <v>0</v>
      </c>
      <c r="K438">
        <v>0</v>
      </c>
      <c r="L438">
        <f>IF(AND($J438=0,$K438=0),0,1)</f>
        <v>0</v>
      </c>
    </row>
    <row r="439" spans="1:12" x14ac:dyDescent="0.2">
      <c r="A439" t="s">
        <v>240</v>
      </c>
      <c r="B439" t="s">
        <v>241</v>
      </c>
      <c r="C439" t="s">
        <v>7</v>
      </c>
      <c r="D439">
        <v>1101</v>
      </c>
      <c r="E439">
        <v>2019</v>
      </c>
      <c r="F439">
        <v>27</v>
      </c>
      <c r="G439">
        <v>85376</v>
      </c>
      <c r="H439" s="1">
        <v>4</v>
      </c>
      <c r="I439">
        <v>21</v>
      </c>
      <c r="J439">
        <f>IF($H439=0,1,IF($I439&lt;=1,2,0))</f>
        <v>0</v>
      </c>
      <c r="K439">
        <v>0</v>
      </c>
      <c r="L439">
        <f>IF(AND($J439=0,$K439=0),0,1)</f>
        <v>0</v>
      </c>
    </row>
    <row r="440" spans="1:12" x14ac:dyDescent="0.2">
      <c r="A440" t="s">
        <v>240</v>
      </c>
      <c r="B440" t="s">
        <v>241</v>
      </c>
      <c r="C440" t="s">
        <v>7</v>
      </c>
      <c r="D440">
        <v>1101</v>
      </c>
      <c r="E440">
        <v>2019</v>
      </c>
      <c r="F440">
        <v>28</v>
      </c>
      <c r="G440">
        <v>85377</v>
      </c>
      <c r="H440" s="1">
        <v>4</v>
      </c>
      <c r="I440">
        <v>21</v>
      </c>
      <c r="J440">
        <f>IF($H440=0,1,IF($I440&lt;=1,2,0))</f>
        <v>0</v>
      </c>
      <c r="K440">
        <v>0</v>
      </c>
      <c r="L440">
        <f>IF(AND($J440=0,$K440=0),0,1)</f>
        <v>0</v>
      </c>
    </row>
    <row r="441" spans="1:12" x14ac:dyDescent="0.2">
      <c r="A441" t="s">
        <v>240</v>
      </c>
      <c r="B441" t="s">
        <v>241</v>
      </c>
      <c r="C441" t="s">
        <v>7</v>
      </c>
      <c r="D441">
        <v>1101</v>
      </c>
      <c r="E441">
        <v>2019</v>
      </c>
      <c r="F441">
        <v>29</v>
      </c>
      <c r="G441">
        <v>85378</v>
      </c>
      <c r="H441" s="1">
        <v>4</v>
      </c>
      <c r="I441">
        <v>21</v>
      </c>
      <c r="J441">
        <f>IF($H441=0,1,IF($I441&lt;=1,2,0))</f>
        <v>0</v>
      </c>
      <c r="K441">
        <v>0</v>
      </c>
      <c r="L441">
        <f>IF(AND($J441=0,$K441=0),0,1)</f>
        <v>0</v>
      </c>
    </row>
    <row r="442" spans="1:12" x14ac:dyDescent="0.2">
      <c r="A442" t="s">
        <v>240</v>
      </c>
      <c r="B442" t="s">
        <v>241</v>
      </c>
      <c r="C442" t="s">
        <v>7</v>
      </c>
      <c r="D442">
        <v>1101</v>
      </c>
      <c r="E442">
        <v>2019</v>
      </c>
      <c r="F442">
        <v>30</v>
      </c>
      <c r="G442">
        <v>85379</v>
      </c>
      <c r="H442" s="1">
        <v>4</v>
      </c>
      <c r="I442">
        <v>21</v>
      </c>
      <c r="J442">
        <f>IF($H442=0,1,IF($I442&lt;=1,2,0))</f>
        <v>0</v>
      </c>
      <c r="K442">
        <v>0</v>
      </c>
      <c r="L442">
        <f>IF(AND($J442=0,$K442=0),0,1)</f>
        <v>0</v>
      </c>
    </row>
    <row r="443" spans="1:12" x14ac:dyDescent="0.2">
      <c r="A443" t="s">
        <v>240</v>
      </c>
      <c r="B443" t="s">
        <v>241</v>
      </c>
      <c r="C443" t="s">
        <v>7</v>
      </c>
      <c r="D443">
        <v>1101</v>
      </c>
      <c r="E443">
        <v>2019</v>
      </c>
      <c r="F443">
        <v>32</v>
      </c>
      <c r="G443">
        <v>85381</v>
      </c>
      <c r="H443" s="1">
        <v>4</v>
      </c>
      <c r="I443">
        <v>21</v>
      </c>
      <c r="J443">
        <f>IF($H443=0,1,IF($I443&lt;=1,2,0))</f>
        <v>0</v>
      </c>
      <c r="K443">
        <v>0</v>
      </c>
      <c r="L443">
        <f>IF(AND($J443=0,$K443=0),0,1)</f>
        <v>0</v>
      </c>
    </row>
    <row r="444" spans="1:12" x14ac:dyDescent="0.2">
      <c r="A444" t="s">
        <v>240</v>
      </c>
      <c r="B444" t="s">
        <v>241</v>
      </c>
      <c r="C444" t="s">
        <v>7</v>
      </c>
      <c r="D444">
        <v>1101</v>
      </c>
      <c r="E444">
        <v>2019</v>
      </c>
      <c r="F444">
        <v>44</v>
      </c>
      <c r="G444">
        <v>85393</v>
      </c>
      <c r="H444" s="1">
        <v>4</v>
      </c>
      <c r="I444">
        <v>21</v>
      </c>
      <c r="J444">
        <f>IF($H444=0,1,IF($I444&lt;=1,2,0))</f>
        <v>0</v>
      </c>
      <c r="K444">
        <v>0</v>
      </c>
      <c r="L444">
        <f>IF(AND($J444=0,$K444=0),0,1)</f>
        <v>0</v>
      </c>
    </row>
    <row r="445" spans="1:12" x14ac:dyDescent="0.2">
      <c r="A445" t="s">
        <v>240</v>
      </c>
      <c r="B445" t="s">
        <v>241</v>
      </c>
      <c r="C445" t="s">
        <v>7</v>
      </c>
      <c r="D445">
        <v>1101</v>
      </c>
      <c r="E445">
        <v>2019</v>
      </c>
      <c r="F445">
        <v>55</v>
      </c>
      <c r="G445">
        <v>85404</v>
      </c>
      <c r="H445" s="1">
        <v>4</v>
      </c>
      <c r="I445">
        <v>21</v>
      </c>
      <c r="J445">
        <f>IF($H445=0,1,IF($I445&lt;=1,2,0))</f>
        <v>0</v>
      </c>
      <c r="K445">
        <v>0</v>
      </c>
      <c r="L445">
        <f>IF(AND($J445=0,$K445=0),0,1)</f>
        <v>0</v>
      </c>
    </row>
    <row r="446" spans="1:12" x14ac:dyDescent="0.2">
      <c r="A446" t="s">
        <v>240</v>
      </c>
      <c r="B446" t="s">
        <v>241</v>
      </c>
      <c r="C446" t="s">
        <v>7</v>
      </c>
      <c r="D446">
        <v>1101</v>
      </c>
      <c r="E446">
        <v>2019</v>
      </c>
      <c r="F446">
        <v>56</v>
      </c>
      <c r="G446">
        <v>85405</v>
      </c>
      <c r="H446" s="1">
        <v>4</v>
      </c>
      <c r="I446">
        <v>21</v>
      </c>
      <c r="J446">
        <f>IF($H446=0,1,IF($I446&lt;=1,2,0))</f>
        <v>0</v>
      </c>
      <c r="K446">
        <v>0</v>
      </c>
      <c r="L446">
        <f>IF(AND($J446=0,$K446=0),0,1)</f>
        <v>0</v>
      </c>
    </row>
    <row r="447" spans="1:12" x14ac:dyDescent="0.2">
      <c r="A447" t="s">
        <v>240</v>
      </c>
      <c r="B447" t="s">
        <v>241</v>
      </c>
      <c r="C447" t="s">
        <v>7</v>
      </c>
      <c r="D447">
        <v>1101</v>
      </c>
      <c r="E447">
        <v>2019</v>
      </c>
      <c r="F447">
        <v>2</v>
      </c>
      <c r="G447">
        <v>85351</v>
      </c>
      <c r="H447" s="1">
        <v>4</v>
      </c>
      <c r="I447">
        <v>20</v>
      </c>
      <c r="J447">
        <f>IF($H447=0,1,IF($I447&lt;=1,2,0))</f>
        <v>0</v>
      </c>
      <c r="K447">
        <v>0</v>
      </c>
      <c r="L447">
        <f>IF(AND($J447=0,$K447=0),0,1)</f>
        <v>0</v>
      </c>
    </row>
    <row r="448" spans="1:12" x14ac:dyDescent="0.2">
      <c r="A448" t="s">
        <v>240</v>
      </c>
      <c r="B448" t="s">
        <v>241</v>
      </c>
      <c r="C448" t="s">
        <v>7</v>
      </c>
      <c r="D448">
        <v>1101</v>
      </c>
      <c r="E448">
        <v>2019</v>
      </c>
      <c r="F448">
        <v>4</v>
      </c>
      <c r="G448">
        <v>85353</v>
      </c>
      <c r="H448" s="1">
        <v>4</v>
      </c>
      <c r="I448">
        <v>20</v>
      </c>
      <c r="J448">
        <f>IF($H448=0,1,IF($I448&lt;=1,2,0))</f>
        <v>0</v>
      </c>
      <c r="K448">
        <v>0</v>
      </c>
      <c r="L448">
        <f>IF(AND($J448=0,$K448=0),0,1)</f>
        <v>0</v>
      </c>
    </row>
    <row r="449" spans="1:12" x14ac:dyDescent="0.2">
      <c r="A449" t="s">
        <v>240</v>
      </c>
      <c r="B449" t="s">
        <v>241</v>
      </c>
      <c r="C449" t="s">
        <v>7</v>
      </c>
      <c r="D449">
        <v>1101</v>
      </c>
      <c r="E449">
        <v>2019</v>
      </c>
      <c r="F449">
        <v>24</v>
      </c>
      <c r="G449">
        <v>85373</v>
      </c>
      <c r="H449" s="1">
        <v>4</v>
      </c>
      <c r="I449">
        <v>20</v>
      </c>
      <c r="J449">
        <f>IF($H449=0,1,IF($I449&lt;=1,2,0))</f>
        <v>0</v>
      </c>
      <c r="K449">
        <v>0</v>
      </c>
      <c r="L449">
        <f>IF(AND($J449=0,$K449=0),0,1)</f>
        <v>0</v>
      </c>
    </row>
    <row r="450" spans="1:12" x14ac:dyDescent="0.2">
      <c r="A450" t="s">
        <v>240</v>
      </c>
      <c r="B450" t="s">
        <v>241</v>
      </c>
      <c r="C450" t="s">
        <v>7</v>
      </c>
      <c r="D450">
        <v>1101</v>
      </c>
      <c r="E450">
        <v>2019</v>
      </c>
      <c r="F450">
        <v>26</v>
      </c>
      <c r="G450">
        <v>85375</v>
      </c>
      <c r="H450" s="1">
        <v>4</v>
      </c>
      <c r="I450">
        <v>20</v>
      </c>
      <c r="J450">
        <f>IF($H450=0,1,IF($I450&lt;=1,2,0))</f>
        <v>0</v>
      </c>
      <c r="K450">
        <v>0</v>
      </c>
      <c r="L450">
        <f>IF(AND($J450=0,$K450=0),0,1)</f>
        <v>0</v>
      </c>
    </row>
    <row r="451" spans="1:12" x14ac:dyDescent="0.2">
      <c r="A451" t="s">
        <v>240</v>
      </c>
      <c r="B451" t="s">
        <v>241</v>
      </c>
      <c r="C451" t="s">
        <v>7</v>
      </c>
      <c r="D451">
        <v>1101</v>
      </c>
      <c r="E451">
        <v>2019</v>
      </c>
      <c r="F451">
        <v>34</v>
      </c>
      <c r="G451">
        <v>85383</v>
      </c>
      <c r="H451" s="1">
        <v>4</v>
      </c>
      <c r="I451">
        <v>20</v>
      </c>
      <c r="J451">
        <f>IF($H451=0,1,IF($I451&lt;=1,2,0))</f>
        <v>0</v>
      </c>
      <c r="K451">
        <v>0</v>
      </c>
      <c r="L451">
        <f>IF(AND($J451=0,$K451=0),0,1)</f>
        <v>0</v>
      </c>
    </row>
    <row r="452" spans="1:12" x14ac:dyDescent="0.2">
      <c r="A452" t="s">
        <v>240</v>
      </c>
      <c r="B452" t="s">
        <v>241</v>
      </c>
      <c r="C452" t="s">
        <v>7</v>
      </c>
      <c r="D452">
        <v>1101</v>
      </c>
      <c r="E452">
        <v>2019</v>
      </c>
      <c r="F452">
        <v>39</v>
      </c>
      <c r="G452">
        <v>85388</v>
      </c>
      <c r="H452" s="1">
        <v>4</v>
      </c>
      <c r="I452">
        <v>20</v>
      </c>
      <c r="J452">
        <f>IF($H452=0,1,IF($I452&lt;=1,2,0))</f>
        <v>0</v>
      </c>
      <c r="K452">
        <v>0</v>
      </c>
      <c r="L452">
        <f>IF(AND($J452=0,$K452=0),0,1)</f>
        <v>0</v>
      </c>
    </row>
    <row r="453" spans="1:12" x14ac:dyDescent="0.2">
      <c r="A453" t="s">
        <v>240</v>
      </c>
      <c r="B453" t="s">
        <v>241</v>
      </c>
      <c r="C453" t="s">
        <v>7</v>
      </c>
      <c r="D453">
        <v>1101</v>
      </c>
      <c r="E453">
        <v>2019</v>
      </c>
      <c r="F453">
        <v>45</v>
      </c>
      <c r="G453">
        <v>85394</v>
      </c>
      <c r="H453" s="1">
        <v>4</v>
      </c>
      <c r="I453">
        <v>20</v>
      </c>
      <c r="J453">
        <f>IF($H453=0,1,IF($I453&lt;=1,2,0))</f>
        <v>0</v>
      </c>
      <c r="K453">
        <v>0</v>
      </c>
      <c r="L453">
        <f>IF(AND($J453=0,$K453=0),0,1)</f>
        <v>0</v>
      </c>
    </row>
    <row r="454" spans="1:12" x14ac:dyDescent="0.2">
      <c r="A454" t="s">
        <v>240</v>
      </c>
      <c r="B454" t="s">
        <v>241</v>
      </c>
      <c r="C454" t="s">
        <v>7</v>
      </c>
      <c r="D454">
        <v>1101</v>
      </c>
      <c r="E454">
        <v>2019</v>
      </c>
      <c r="F454">
        <v>48</v>
      </c>
      <c r="G454">
        <v>85397</v>
      </c>
      <c r="H454" s="1">
        <v>4</v>
      </c>
      <c r="I454">
        <v>20</v>
      </c>
      <c r="J454">
        <f>IF($H454=0,1,IF($I454&lt;=1,2,0))</f>
        <v>0</v>
      </c>
      <c r="K454">
        <v>0</v>
      </c>
      <c r="L454">
        <f>IF(AND($J454=0,$K454=0),0,1)</f>
        <v>0</v>
      </c>
    </row>
    <row r="455" spans="1:12" x14ac:dyDescent="0.2">
      <c r="A455" t="s">
        <v>240</v>
      </c>
      <c r="B455" t="s">
        <v>241</v>
      </c>
      <c r="C455" t="s">
        <v>7</v>
      </c>
      <c r="D455">
        <v>1101</v>
      </c>
      <c r="E455">
        <v>2019</v>
      </c>
      <c r="F455">
        <v>49</v>
      </c>
      <c r="G455">
        <v>85398</v>
      </c>
      <c r="H455" s="1">
        <v>4</v>
      </c>
      <c r="I455">
        <v>20</v>
      </c>
      <c r="J455">
        <f>IF($H455=0,1,IF($I455&lt;=1,2,0))</f>
        <v>0</v>
      </c>
      <c r="K455">
        <v>0</v>
      </c>
      <c r="L455">
        <f>IF(AND($J455=0,$K455=0),0,1)</f>
        <v>0</v>
      </c>
    </row>
    <row r="456" spans="1:12" x14ac:dyDescent="0.2">
      <c r="A456" t="s">
        <v>240</v>
      </c>
      <c r="B456" t="s">
        <v>241</v>
      </c>
      <c r="C456" t="s">
        <v>7</v>
      </c>
      <c r="D456">
        <v>1101</v>
      </c>
      <c r="E456">
        <v>2019</v>
      </c>
      <c r="F456">
        <v>51</v>
      </c>
      <c r="G456">
        <v>85400</v>
      </c>
      <c r="H456" s="1">
        <v>4</v>
      </c>
      <c r="I456">
        <v>20</v>
      </c>
      <c r="J456">
        <f>IF($H456=0,1,IF($I456&lt;=1,2,0))</f>
        <v>0</v>
      </c>
      <c r="K456">
        <v>0</v>
      </c>
      <c r="L456">
        <f>IF(AND($J456=0,$K456=0),0,1)</f>
        <v>0</v>
      </c>
    </row>
    <row r="457" spans="1:12" x14ac:dyDescent="0.2">
      <c r="A457" t="s">
        <v>240</v>
      </c>
      <c r="B457" t="s">
        <v>241</v>
      </c>
      <c r="C457" t="s">
        <v>7</v>
      </c>
      <c r="D457">
        <v>1101</v>
      </c>
      <c r="E457">
        <v>2019</v>
      </c>
      <c r="F457">
        <v>62</v>
      </c>
      <c r="G457">
        <v>85502</v>
      </c>
      <c r="H457" s="1">
        <v>4</v>
      </c>
      <c r="I457">
        <v>20</v>
      </c>
      <c r="J457">
        <f>IF($H457=0,1,IF($I457&lt;=1,2,0))</f>
        <v>0</v>
      </c>
      <c r="K457">
        <v>0</v>
      </c>
      <c r="L457">
        <f>IF(AND($J457=0,$K457=0),0,1)</f>
        <v>0</v>
      </c>
    </row>
    <row r="458" spans="1:12" x14ac:dyDescent="0.2">
      <c r="A458" t="s">
        <v>240</v>
      </c>
      <c r="B458" t="s">
        <v>241</v>
      </c>
      <c r="C458" t="s">
        <v>7</v>
      </c>
      <c r="D458">
        <v>1101</v>
      </c>
      <c r="E458">
        <v>2019</v>
      </c>
      <c r="F458">
        <v>63</v>
      </c>
      <c r="G458">
        <v>85503</v>
      </c>
      <c r="H458" s="1">
        <v>4</v>
      </c>
      <c r="I458">
        <v>20</v>
      </c>
      <c r="J458">
        <f>IF($H458=0,1,IF($I458&lt;=1,2,0))</f>
        <v>0</v>
      </c>
      <c r="K458">
        <v>0</v>
      </c>
      <c r="L458">
        <f>IF(AND($J458=0,$K458=0),0,1)</f>
        <v>0</v>
      </c>
    </row>
    <row r="459" spans="1:12" x14ac:dyDescent="0.2">
      <c r="A459" t="s">
        <v>240</v>
      </c>
      <c r="B459" t="s">
        <v>241</v>
      </c>
      <c r="C459" t="s">
        <v>7</v>
      </c>
      <c r="D459">
        <v>1101</v>
      </c>
      <c r="E459">
        <v>2019</v>
      </c>
      <c r="F459">
        <v>35</v>
      </c>
      <c r="G459">
        <v>85384</v>
      </c>
      <c r="H459" s="1">
        <v>4</v>
      </c>
      <c r="I459">
        <v>19</v>
      </c>
      <c r="J459">
        <f>IF($H459=0,1,IF($I459&lt;=1,2,0))</f>
        <v>0</v>
      </c>
      <c r="K459">
        <v>0</v>
      </c>
      <c r="L459">
        <f>IF(AND($J459=0,$K459=0),0,1)</f>
        <v>0</v>
      </c>
    </row>
    <row r="460" spans="1:12" x14ac:dyDescent="0.2">
      <c r="A460" t="s">
        <v>240</v>
      </c>
      <c r="B460" t="s">
        <v>241</v>
      </c>
      <c r="C460" t="s">
        <v>7</v>
      </c>
      <c r="D460">
        <v>1101</v>
      </c>
      <c r="E460">
        <v>2019</v>
      </c>
      <c r="F460">
        <v>37</v>
      </c>
      <c r="G460">
        <v>85386</v>
      </c>
      <c r="H460" s="1">
        <v>4</v>
      </c>
      <c r="I460">
        <v>19</v>
      </c>
      <c r="J460">
        <f>IF($H460=0,1,IF($I460&lt;=1,2,0))</f>
        <v>0</v>
      </c>
      <c r="K460">
        <v>0</v>
      </c>
      <c r="L460">
        <f>IF(AND($J460=0,$K460=0),0,1)</f>
        <v>0</v>
      </c>
    </row>
    <row r="461" spans="1:12" x14ac:dyDescent="0.2">
      <c r="A461" t="s">
        <v>240</v>
      </c>
      <c r="B461" t="s">
        <v>241</v>
      </c>
      <c r="C461" t="s">
        <v>7</v>
      </c>
      <c r="D461">
        <v>1101</v>
      </c>
      <c r="E461">
        <v>2019</v>
      </c>
      <c r="F461">
        <v>14</v>
      </c>
      <c r="G461">
        <v>85363</v>
      </c>
      <c r="H461" s="1">
        <v>4</v>
      </c>
      <c r="I461">
        <v>18</v>
      </c>
      <c r="J461">
        <f>IF($H461=0,1,IF($I461&lt;=1,2,0))</f>
        <v>0</v>
      </c>
      <c r="K461">
        <v>0</v>
      </c>
      <c r="L461">
        <f>IF(AND($J461=0,$K461=0),0,1)</f>
        <v>0</v>
      </c>
    </row>
    <row r="462" spans="1:12" x14ac:dyDescent="0.2">
      <c r="A462" t="s">
        <v>240</v>
      </c>
      <c r="B462" t="s">
        <v>241</v>
      </c>
      <c r="C462" t="s">
        <v>7</v>
      </c>
      <c r="D462">
        <v>1101</v>
      </c>
      <c r="E462">
        <v>2019</v>
      </c>
      <c r="F462">
        <v>31</v>
      </c>
      <c r="G462">
        <v>85380</v>
      </c>
      <c r="H462" s="1">
        <v>4</v>
      </c>
      <c r="I462">
        <v>18</v>
      </c>
      <c r="J462">
        <f>IF($H462=0,1,IF($I462&lt;=1,2,0))</f>
        <v>0</v>
      </c>
      <c r="K462">
        <v>0</v>
      </c>
      <c r="L462">
        <f>IF(AND($J462=0,$K462=0),0,1)</f>
        <v>0</v>
      </c>
    </row>
    <row r="463" spans="1:12" x14ac:dyDescent="0.2">
      <c r="A463" t="s">
        <v>240</v>
      </c>
      <c r="B463" t="s">
        <v>241</v>
      </c>
      <c r="C463" t="s">
        <v>7</v>
      </c>
      <c r="D463">
        <v>1101</v>
      </c>
      <c r="E463">
        <v>2019</v>
      </c>
      <c r="F463">
        <v>57</v>
      </c>
      <c r="G463">
        <v>85407</v>
      </c>
      <c r="H463" s="1">
        <v>4</v>
      </c>
      <c r="I463">
        <v>18</v>
      </c>
      <c r="J463">
        <f>IF($H463=0,1,IF($I463&lt;=1,2,0))</f>
        <v>0</v>
      </c>
      <c r="K463">
        <v>0</v>
      </c>
      <c r="L463">
        <f>IF(AND($J463=0,$K463=0),0,1)</f>
        <v>0</v>
      </c>
    </row>
    <row r="464" spans="1:12" x14ac:dyDescent="0.2">
      <c r="A464" t="s">
        <v>240</v>
      </c>
      <c r="B464" t="s">
        <v>241</v>
      </c>
      <c r="C464" t="s">
        <v>7</v>
      </c>
      <c r="D464">
        <v>1101</v>
      </c>
      <c r="E464">
        <v>2019</v>
      </c>
      <c r="F464">
        <v>1</v>
      </c>
      <c r="G464">
        <v>85350</v>
      </c>
      <c r="H464" s="1">
        <v>4</v>
      </c>
      <c r="I464">
        <v>17</v>
      </c>
      <c r="J464">
        <f>IF($H464=0,1,IF($I464&lt;=1,2,0))</f>
        <v>0</v>
      </c>
      <c r="K464">
        <v>0</v>
      </c>
      <c r="L464">
        <f>IF(AND($J464=0,$K464=0),0,1)</f>
        <v>0</v>
      </c>
    </row>
    <row r="465" spans="1:12" x14ac:dyDescent="0.2">
      <c r="A465" t="s">
        <v>240</v>
      </c>
      <c r="B465" t="s">
        <v>241</v>
      </c>
      <c r="C465" t="s">
        <v>7</v>
      </c>
      <c r="D465">
        <v>1101</v>
      </c>
      <c r="E465">
        <v>2019</v>
      </c>
      <c r="F465">
        <v>53</v>
      </c>
      <c r="G465">
        <v>85402</v>
      </c>
      <c r="H465" s="1">
        <v>4</v>
      </c>
      <c r="I465">
        <v>16</v>
      </c>
      <c r="J465">
        <f>IF($H465=0,1,IF($I465&lt;=1,2,0))</f>
        <v>0</v>
      </c>
      <c r="K465">
        <v>0</v>
      </c>
      <c r="L465">
        <f>IF(AND($J465=0,$K465=0),0,1)</f>
        <v>0</v>
      </c>
    </row>
    <row r="466" spans="1:12" x14ac:dyDescent="0.2">
      <c r="A466" t="s">
        <v>240</v>
      </c>
      <c r="B466" t="s">
        <v>241</v>
      </c>
      <c r="C466" t="s">
        <v>7</v>
      </c>
      <c r="D466">
        <v>1101</v>
      </c>
      <c r="E466">
        <v>2019</v>
      </c>
      <c r="F466">
        <v>11</v>
      </c>
      <c r="G466">
        <v>85360</v>
      </c>
      <c r="H466" s="1">
        <v>4</v>
      </c>
      <c r="I466">
        <v>15</v>
      </c>
      <c r="J466">
        <f>IF($H466=0,1,IF($I466&lt;=1,2,0))</f>
        <v>0</v>
      </c>
      <c r="K466">
        <v>0</v>
      </c>
      <c r="L466">
        <f>IF(AND($J466=0,$K466=0),0,1)</f>
        <v>0</v>
      </c>
    </row>
    <row r="467" spans="1:12" x14ac:dyDescent="0.2">
      <c r="A467" t="s">
        <v>240</v>
      </c>
      <c r="B467" t="s">
        <v>241</v>
      </c>
      <c r="C467" t="s">
        <v>7</v>
      </c>
      <c r="D467">
        <v>1101</v>
      </c>
      <c r="E467">
        <v>2019</v>
      </c>
      <c r="F467">
        <v>40</v>
      </c>
      <c r="G467">
        <v>85389</v>
      </c>
      <c r="H467" s="1">
        <v>4</v>
      </c>
      <c r="I467">
        <v>15</v>
      </c>
      <c r="J467">
        <f>IF($H467=0,1,IF($I467&lt;=1,2,0))</f>
        <v>0</v>
      </c>
      <c r="K467">
        <v>0</v>
      </c>
      <c r="L467">
        <f>IF(AND($J467=0,$K467=0),0,1)</f>
        <v>0</v>
      </c>
    </row>
    <row r="468" spans="1:12" x14ac:dyDescent="0.2">
      <c r="A468" t="s">
        <v>240</v>
      </c>
      <c r="B468" t="s">
        <v>241</v>
      </c>
      <c r="C468" t="s">
        <v>153</v>
      </c>
      <c r="D468">
        <v>1101</v>
      </c>
      <c r="E468">
        <v>2019</v>
      </c>
      <c r="F468">
        <v>60</v>
      </c>
      <c r="G468">
        <v>85412</v>
      </c>
      <c r="H468" s="1">
        <v>4</v>
      </c>
      <c r="I468">
        <v>15</v>
      </c>
      <c r="J468">
        <f>IF($H468=0,1,IF($I468&lt;=1,2,0))</f>
        <v>0</v>
      </c>
      <c r="K468">
        <v>0</v>
      </c>
      <c r="L468">
        <f>IF(AND($J468=0,$K468=0),0,1)</f>
        <v>0</v>
      </c>
    </row>
    <row r="469" spans="1:12" x14ac:dyDescent="0.2">
      <c r="A469" t="s">
        <v>240</v>
      </c>
      <c r="B469" t="s">
        <v>241</v>
      </c>
      <c r="C469" t="s">
        <v>153</v>
      </c>
      <c r="D469">
        <v>1101</v>
      </c>
      <c r="E469">
        <v>2019</v>
      </c>
      <c r="F469">
        <v>58</v>
      </c>
      <c r="G469">
        <v>85410</v>
      </c>
      <c r="H469" s="1">
        <v>4</v>
      </c>
      <c r="I469">
        <v>14</v>
      </c>
      <c r="J469">
        <f>IF($H469=0,1,IF($I469&lt;=1,2,0))</f>
        <v>0</v>
      </c>
      <c r="K469">
        <v>0</v>
      </c>
      <c r="L469">
        <f>IF(AND($J469=0,$K469=0),0,1)</f>
        <v>0</v>
      </c>
    </row>
    <row r="470" spans="1:12" x14ac:dyDescent="0.2">
      <c r="A470" t="s">
        <v>240</v>
      </c>
      <c r="B470" t="s">
        <v>241</v>
      </c>
      <c r="C470" t="s">
        <v>7</v>
      </c>
      <c r="D470">
        <v>1101</v>
      </c>
      <c r="E470">
        <v>2019</v>
      </c>
      <c r="F470">
        <v>65</v>
      </c>
      <c r="G470">
        <v>15024</v>
      </c>
      <c r="H470" s="1">
        <v>4</v>
      </c>
      <c r="I470">
        <v>14</v>
      </c>
      <c r="J470">
        <f>IF($H470=0,1,IF($I470&lt;=1,2,0))</f>
        <v>0</v>
      </c>
      <c r="K470">
        <v>0</v>
      </c>
      <c r="L470">
        <f>IF(AND($J470=0,$K470=0),0,1)</f>
        <v>0</v>
      </c>
    </row>
    <row r="471" spans="1:12" x14ac:dyDescent="0.2">
      <c r="A471" t="s">
        <v>240</v>
      </c>
      <c r="B471" t="s">
        <v>241</v>
      </c>
      <c r="C471" t="s">
        <v>7</v>
      </c>
      <c r="D471">
        <v>1101</v>
      </c>
      <c r="E471">
        <v>2019</v>
      </c>
      <c r="F471">
        <v>18</v>
      </c>
      <c r="G471">
        <v>85367</v>
      </c>
      <c r="H471" s="1">
        <v>4</v>
      </c>
      <c r="I471">
        <v>13</v>
      </c>
      <c r="J471">
        <f>IF($H471=0,1,IF($I471&lt;=1,2,0))</f>
        <v>0</v>
      </c>
      <c r="K471">
        <v>0</v>
      </c>
      <c r="L471">
        <f>IF(AND($J471=0,$K471=0),0,1)</f>
        <v>0</v>
      </c>
    </row>
    <row r="472" spans="1:12" x14ac:dyDescent="0.2">
      <c r="A472" t="s">
        <v>240</v>
      </c>
      <c r="B472" t="s">
        <v>241</v>
      </c>
      <c r="C472" t="s">
        <v>7</v>
      </c>
      <c r="D472">
        <v>1101</v>
      </c>
      <c r="E472">
        <v>2019</v>
      </c>
      <c r="F472">
        <v>41</v>
      </c>
      <c r="G472">
        <v>85390</v>
      </c>
      <c r="H472" s="1">
        <v>4</v>
      </c>
      <c r="I472">
        <v>13</v>
      </c>
      <c r="J472">
        <f>IF($H472=0,1,IF($I472&lt;=1,2,0))</f>
        <v>0</v>
      </c>
      <c r="K472">
        <v>0</v>
      </c>
      <c r="L472">
        <f>IF(AND($J472=0,$K472=0),0,1)</f>
        <v>0</v>
      </c>
    </row>
    <row r="473" spans="1:12" x14ac:dyDescent="0.2">
      <c r="A473" t="s">
        <v>240</v>
      </c>
      <c r="B473" t="s">
        <v>241</v>
      </c>
      <c r="C473" t="s">
        <v>7</v>
      </c>
      <c r="D473">
        <v>1101</v>
      </c>
      <c r="E473">
        <v>2019</v>
      </c>
      <c r="F473">
        <v>66</v>
      </c>
      <c r="G473">
        <v>15025</v>
      </c>
      <c r="H473" s="1">
        <v>4</v>
      </c>
      <c r="I473">
        <v>12</v>
      </c>
      <c r="J473">
        <f>IF($H473=0,1,IF($I473&lt;=1,2,0))</f>
        <v>0</v>
      </c>
      <c r="K473">
        <v>0</v>
      </c>
      <c r="L473">
        <f>IF(AND($J473=0,$K473=0),0,1)</f>
        <v>0</v>
      </c>
    </row>
    <row r="474" spans="1:12" x14ac:dyDescent="0.2">
      <c r="A474" t="s">
        <v>240</v>
      </c>
      <c r="B474" t="s">
        <v>241</v>
      </c>
      <c r="C474" t="s">
        <v>153</v>
      </c>
      <c r="D474">
        <v>1101</v>
      </c>
      <c r="E474">
        <v>2019</v>
      </c>
      <c r="F474">
        <v>59</v>
      </c>
      <c r="G474">
        <v>85411</v>
      </c>
      <c r="H474" s="1">
        <v>4</v>
      </c>
      <c r="I474">
        <v>11</v>
      </c>
      <c r="J474">
        <f>IF($H474=0,1,IF($I474&lt;=1,2,0))</f>
        <v>0</v>
      </c>
      <c r="K474">
        <v>0</v>
      </c>
      <c r="L474">
        <f>IF(AND($J474=0,$K474=0),0,1)</f>
        <v>0</v>
      </c>
    </row>
    <row r="475" spans="1:12" x14ac:dyDescent="0.2">
      <c r="A475" t="s">
        <v>240</v>
      </c>
      <c r="B475" t="s">
        <v>241</v>
      </c>
      <c r="C475" t="s">
        <v>11</v>
      </c>
      <c r="D475">
        <v>8604</v>
      </c>
      <c r="E475">
        <v>2019</v>
      </c>
      <c r="F475">
        <v>1</v>
      </c>
      <c r="G475">
        <v>16208</v>
      </c>
      <c r="H475" s="1">
        <v>3</v>
      </c>
      <c r="I475">
        <v>10</v>
      </c>
      <c r="J475">
        <f>IF($H475=0,1,IF($I475&lt;=1,2,0))</f>
        <v>0</v>
      </c>
      <c r="K475">
        <v>0</v>
      </c>
      <c r="L475">
        <f>IF(AND($J475=0,$K475=0),0,1)</f>
        <v>0</v>
      </c>
    </row>
    <row r="476" spans="1:12" x14ac:dyDescent="0.2">
      <c r="A476" t="s">
        <v>242</v>
      </c>
      <c r="B476" t="s">
        <v>71</v>
      </c>
      <c r="C476" t="s">
        <v>9</v>
      </c>
      <c r="D476">
        <v>1001</v>
      </c>
      <c r="E476">
        <v>2019</v>
      </c>
      <c r="F476">
        <v>1</v>
      </c>
      <c r="G476">
        <v>35954</v>
      </c>
      <c r="H476" s="1">
        <v>3</v>
      </c>
      <c r="I476">
        <v>66</v>
      </c>
      <c r="J476">
        <f>IF($H476=0,1,IF($I476&lt;=1,2,0))</f>
        <v>0</v>
      </c>
      <c r="K476">
        <v>0</v>
      </c>
      <c r="L476">
        <f>IF(AND($J476=0,$K476=0),0,1)</f>
        <v>0</v>
      </c>
    </row>
    <row r="477" spans="1:12" x14ac:dyDescent="0.2">
      <c r="A477" t="s">
        <v>242</v>
      </c>
      <c r="B477" t="s">
        <v>71</v>
      </c>
      <c r="C477" t="s">
        <v>9</v>
      </c>
      <c r="D477">
        <v>1002</v>
      </c>
      <c r="E477">
        <v>2019</v>
      </c>
      <c r="F477">
        <v>1</v>
      </c>
      <c r="G477">
        <v>35955</v>
      </c>
      <c r="H477" s="1">
        <v>4</v>
      </c>
      <c r="I477">
        <v>247</v>
      </c>
      <c r="J477">
        <f>IF($H477=0,1,IF($I477&lt;=1,2,0))</f>
        <v>0</v>
      </c>
      <c r="K477">
        <v>0</v>
      </c>
      <c r="L477">
        <f>IF(AND($J477=0,$K477=0),0,1)</f>
        <v>0</v>
      </c>
    </row>
    <row r="478" spans="1:12" x14ac:dyDescent="0.2">
      <c r="A478" t="s">
        <v>242</v>
      </c>
      <c r="B478" t="s">
        <v>71</v>
      </c>
      <c r="C478" t="s">
        <v>9</v>
      </c>
      <c r="D478">
        <v>1004</v>
      </c>
      <c r="E478">
        <v>2019</v>
      </c>
      <c r="F478">
        <v>1</v>
      </c>
      <c r="G478">
        <v>35930</v>
      </c>
      <c r="H478" s="1">
        <v>3</v>
      </c>
      <c r="I478">
        <v>352</v>
      </c>
      <c r="J478">
        <f>IF($H478=0,1,IF($I478&lt;=1,2,0))</f>
        <v>0</v>
      </c>
      <c r="K478">
        <v>0</v>
      </c>
      <c r="L478">
        <f>IF(AND($J478=0,$K478=0),0,1)</f>
        <v>0</v>
      </c>
    </row>
    <row r="479" spans="1:12" x14ac:dyDescent="0.2">
      <c r="A479" t="s">
        <v>242</v>
      </c>
      <c r="B479" t="s">
        <v>71</v>
      </c>
      <c r="C479" t="s">
        <v>9</v>
      </c>
      <c r="D479">
        <v>1007</v>
      </c>
      <c r="E479">
        <v>2019</v>
      </c>
      <c r="F479">
        <v>1</v>
      </c>
      <c r="G479">
        <v>35951</v>
      </c>
      <c r="H479" s="1">
        <v>3</v>
      </c>
      <c r="I479">
        <v>30</v>
      </c>
      <c r="J479">
        <f>IF($H479=0,1,IF($I479&lt;=1,2,0))</f>
        <v>0</v>
      </c>
      <c r="K479">
        <v>0</v>
      </c>
      <c r="L479">
        <f>IF(AND($J479=0,$K479=0),0,1)</f>
        <v>0</v>
      </c>
    </row>
    <row r="480" spans="1:12" x14ac:dyDescent="0.2">
      <c r="A480" t="s">
        <v>242</v>
      </c>
      <c r="B480" t="s">
        <v>71</v>
      </c>
      <c r="C480" t="s">
        <v>9</v>
      </c>
      <c r="D480">
        <v>1404</v>
      </c>
      <c r="E480">
        <v>2019</v>
      </c>
      <c r="F480">
        <v>1</v>
      </c>
      <c r="G480">
        <v>16541</v>
      </c>
      <c r="H480" s="1">
        <v>1</v>
      </c>
      <c r="I480">
        <v>47</v>
      </c>
      <c r="J480">
        <f>IF($H480=0,1,IF($I480&lt;=1,2,0))</f>
        <v>0</v>
      </c>
      <c r="K480">
        <v>0</v>
      </c>
      <c r="L480">
        <f>IF(AND($J480=0,$K480=0),0,1)</f>
        <v>0</v>
      </c>
    </row>
    <row r="481" spans="1:13" x14ac:dyDescent="0.2">
      <c r="A481" t="s">
        <v>242</v>
      </c>
      <c r="B481" t="s">
        <v>71</v>
      </c>
      <c r="C481" t="s">
        <v>9</v>
      </c>
      <c r="D481">
        <v>3101</v>
      </c>
      <c r="E481">
        <v>2019</v>
      </c>
      <c r="F481">
        <v>1</v>
      </c>
      <c r="G481">
        <v>10607</v>
      </c>
      <c r="H481" s="1">
        <v>1</v>
      </c>
      <c r="I481">
        <v>40</v>
      </c>
      <c r="J481">
        <f>IF($H481=0,1,IF($I481&lt;=1,2,0))</f>
        <v>0</v>
      </c>
      <c r="K481">
        <v>0</v>
      </c>
      <c r="L481">
        <f>IF(AND($J481=0,$K481=0),0,1)</f>
        <v>0</v>
      </c>
      <c r="M481" t="s">
        <v>243</v>
      </c>
    </row>
    <row r="482" spans="1:13" x14ac:dyDescent="0.2">
      <c r="A482" t="s">
        <v>242</v>
      </c>
      <c r="B482" t="s">
        <v>71</v>
      </c>
      <c r="C482" t="s">
        <v>9</v>
      </c>
      <c r="D482">
        <v>3101</v>
      </c>
      <c r="E482">
        <v>2019</v>
      </c>
      <c r="F482">
        <v>2</v>
      </c>
      <c r="G482">
        <v>15107</v>
      </c>
      <c r="H482" s="1">
        <v>1</v>
      </c>
      <c r="I482">
        <v>19</v>
      </c>
      <c r="J482">
        <f>IF($H482=0,1,IF($I482&lt;=1,2,0))</f>
        <v>0</v>
      </c>
      <c r="K482">
        <v>0</v>
      </c>
      <c r="L482">
        <f>IF(AND($J482=0,$K482=0),0,1)</f>
        <v>0</v>
      </c>
      <c r="M482" t="s">
        <v>244</v>
      </c>
    </row>
    <row r="483" spans="1:13" x14ac:dyDescent="0.2">
      <c r="A483" t="s">
        <v>242</v>
      </c>
      <c r="B483" t="s">
        <v>71</v>
      </c>
      <c r="C483" t="s">
        <v>9</v>
      </c>
      <c r="D483">
        <v>3102</v>
      </c>
      <c r="E483">
        <v>2019</v>
      </c>
      <c r="F483">
        <v>2</v>
      </c>
      <c r="G483">
        <v>35966</v>
      </c>
      <c r="H483" s="1">
        <v>1</v>
      </c>
      <c r="I483">
        <v>31</v>
      </c>
      <c r="J483">
        <f>IF($H483=0,1,IF($I483&lt;=1,2,0))</f>
        <v>0</v>
      </c>
      <c r="K483">
        <v>0</v>
      </c>
      <c r="L483">
        <f>IF(AND($J483=0,$K483=0),0,1)</f>
        <v>0</v>
      </c>
      <c r="M483" t="s">
        <v>245</v>
      </c>
    </row>
    <row r="484" spans="1:13" x14ac:dyDescent="0.2">
      <c r="A484" t="s">
        <v>242</v>
      </c>
      <c r="B484" t="s">
        <v>71</v>
      </c>
      <c r="C484" t="s">
        <v>9</v>
      </c>
      <c r="D484">
        <v>3102</v>
      </c>
      <c r="E484">
        <v>2019</v>
      </c>
      <c r="F484">
        <v>5</v>
      </c>
      <c r="G484">
        <v>13100</v>
      </c>
      <c r="H484" s="1">
        <v>1</v>
      </c>
      <c r="I484">
        <v>22</v>
      </c>
      <c r="J484">
        <f>IF($H484=0,1,IF($I484&lt;=1,2,0))</f>
        <v>0</v>
      </c>
      <c r="K484">
        <v>0</v>
      </c>
      <c r="L484">
        <f>IF(AND($J484=0,$K484=0),0,1)</f>
        <v>0</v>
      </c>
      <c r="M484" t="s">
        <v>248</v>
      </c>
    </row>
    <row r="485" spans="1:13" x14ac:dyDescent="0.2">
      <c r="A485" t="s">
        <v>242</v>
      </c>
      <c r="B485" t="s">
        <v>71</v>
      </c>
      <c r="C485" t="s">
        <v>9</v>
      </c>
      <c r="D485">
        <v>3102</v>
      </c>
      <c r="E485">
        <v>2019</v>
      </c>
      <c r="F485">
        <v>1</v>
      </c>
      <c r="G485">
        <v>35965</v>
      </c>
      <c r="H485" s="1">
        <v>1</v>
      </c>
      <c r="I485">
        <v>21</v>
      </c>
      <c r="J485">
        <f>IF($H485=0,1,IF($I485&lt;=1,2,0))</f>
        <v>0</v>
      </c>
      <c r="K485">
        <v>0</v>
      </c>
      <c r="L485">
        <f>IF(AND($J485=0,$K485=0),0,1)</f>
        <v>0</v>
      </c>
      <c r="M485" t="s">
        <v>243</v>
      </c>
    </row>
    <row r="486" spans="1:13" x14ac:dyDescent="0.2">
      <c r="A486" t="s">
        <v>242</v>
      </c>
      <c r="B486" t="s">
        <v>71</v>
      </c>
      <c r="C486" t="s">
        <v>9</v>
      </c>
      <c r="D486">
        <v>3102</v>
      </c>
      <c r="E486">
        <v>2019</v>
      </c>
      <c r="F486">
        <v>3</v>
      </c>
      <c r="G486">
        <v>10528</v>
      </c>
      <c r="H486" s="1">
        <v>1</v>
      </c>
      <c r="I486">
        <v>21</v>
      </c>
      <c r="J486">
        <f>IF($H486=0,1,IF($I486&lt;=1,2,0))</f>
        <v>0</v>
      </c>
      <c r="K486">
        <v>0</v>
      </c>
      <c r="L486">
        <f>IF(AND($J486=0,$K486=0),0,1)</f>
        <v>0</v>
      </c>
      <c r="M486" t="s">
        <v>246</v>
      </c>
    </row>
    <row r="487" spans="1:13" x14ac:dyDescent="0.2">
      <c r="A487" t="s">
        <v>242</v>
      </c>
      <c r="B487" t="s">
        <v>71</v>
      </c>
      <c r="C487" t="s">
        <v>9</v>
      </c>
      <c r="D487">
        <v>3102</v>
      </c>
      <c r="E487">
        <v>2019</v>
      </c>
      <c r="F487">
        <v>4</v>
      </c>
      <c r="G487">
        <v>13099</v>
      </c>
      <c r="H487" s="1">
        <v>1</v>
      </c>
      <c r="I487">
        <v>9</v>
      </c>
      <c r="J487">
        <f>IF($H487=0,1,IF($I487&lt;=1,2,0))</f>
        <v>0</v>
      </c>
      <c r="K487">
        <v>0</v>
      </c>
      <c r="L487">
        <f>IF(AND($J487=0,$K487=0),0,1)</f>
        <v>0</v>
      </c>
      <c r="M487" t="s">
        <v>247</v>
      </c>
    </row>
    <row r="488" spans="1:13" x14ac:dyDescent="0.2">
      <c r="A488" t="s">
        <v>242</v>
      </c>
      <c r="B488" t="s">
        <v>71</v>
      </c>
      <c r="C488" t="s">
        <v>9</v>
      </c>
      <c r="D488">
        <v>3134</v>
      </c>
      <c r="E488">
        <v>2019</v>
      </c>
      <c r="F488">
        <v>1</v>
      </c>
      <c r="G488">
        <v>35960</v>
      </c>
      <c r="H488" s="1">
        <v>3</v>
      </c>
      <c r="I488">
        <v>281</v>
      </c>
      <c r="J488">
        <f>IF($H488=0,1,IF($I488&lt;=1,2,0))</f>
        <v>0</v>
      </c>
      <c r="K488">
        <v>0</v>
      </c>
      <c r="L488">
        <f>IF(AND($J488=0,$K488=0),0,1)</f>
        <v>0</v>
      </c>
    </row>
    <row r="489" spans="1:13" x14ac:dyDescent="0.2">
      <c r="A489" t="s">
        <v>242</v>
      </c>
      <c r="B489" t="s">
        <v>71</v>
      </c>
      <c r="C489" t="s">
        <v>9</v>
      </c>
      <c r="D489">
        <v>3136</v>
      </c>
      <c r="E489">
        <v>2019</v>
      </c>
      <c r="F489">
        <v>1</v>
      </c>
      <c r="G489">
        <v>10402</v>
      </c>
      <c r="H489" s="1">
        <v>4</v>
      </c>
      <c r="I489">
        <v>28</v>
      </c>
      <c r="J489">
        <f>IF($H489=0,1,IF($I489&lt;=1,2,0))</f>
        <v>0</v>
      </c>
      <c r="K489">
        <v>0</v>
      </c>
      <c r="L489">
        <f>IF(AND($J489=0,$K489=0),0,1)</f>
        <v>0</v>
      </c>
    </row>
    <row r="490" spans="1:13" x14ac:dyDescent="0.2">
      <c r="A490" t="s">
        <v>242</v>
      </c>
      <c r="B490" t="s">
        <v>71</v>
      </c>
      <c r="C490" t="s">
        <v>9</v>
      </c>
      <c r="D490">
        <v>3157</v>
      </c>
      <c r="E490">
        <v>2019</v>
      </c>
      <c r="F490">
        <v>1</v>
      </c>
      <c r="G490">
        <v>35958</v>
      </c>
      <c r="H490" s="1">
        <v>4</v>
      </c>
      <c r="I490">
        <v>258</v>
      </c>
      <c r="J490">
        <f>IF($H490=0,1,IF($I490&lt;=1,2,0))</f>
        <v>0</v>
      </c>
      <c r="K490">
        <v>0</v>
      </c>
      <c r="L490">
        <f>IF(AND($J490=0,$K490=0),0,1)</f>
        <v>0</v>
      </c>
    </row>
    <row r="491" spans="1:13" x14ac:dyDescent="0.2">
      <c r="A491" t="s">
        <v>242</v>
      </c>
      <c r="B491" t="s">
        <v>71</v>
      </c>
      <c r="C491" t="s">
        <v>9</v>
      </c>
      <c r="D491">
        <v>3157</v>
      </c>
      <c r="E491">
        <v>2019</v>
      </c>
      <c r="F491">
        <v>2</v>
      </c>
      <c r="G491">
        <v>17709</v>
      </c>
      <c r="H491" s="1">
        <v>4</v>
      </c>
      <c r="I491">
        <v>35</v>
      </c>
      <c r="J491">
        <f>IF($H491=0,1,IF($I491&lt;=1,2,0))</f>
        <v>0</v>
      </c>
      <c r="K491">
        <v>0</v>
      </c>
      <c r="L491">
        <f>IF(AND($J491=0,$K491=0),0,1)</f>
        <v>0</v>
      </c>
    </row>
    <row r="492" spans="1:13" x14ac:dyDescent="0.2">
      <c r="A492" t="s">
        <v>242</v>
      </c>
      <c r="B492" t="s">
        <v>71</v>
      </c>
      <c r="C492" t="s">
        <v>9</v>
      </c>
      <c r="D492">
        <v>3203</v>
      </c>
      <c r="E492">
        <v>2019</v>
      </c>
      <c r="F492">
        <v>2</v>
      </c>
      <c r="G492">
        <v>35941</v>
      </c>
      <c r="H492" s="1">
        <v>3</v>
      </c>
      <c r="I492">
        <v>147</v>
      </c>
      <c r="J492">
        <f>IF($H492=0,1,IF($I492&lt;=1,2,0))</f>
        <v>0</v>
      </c>
      <c r="K492">
        <v>0</v>
      </c>
      <c r="L492">
        <f>IF(AND($J492=0,$K492=0),0,1)</f>
        <v>0</v>
      </c>
    </row>
    <row r="493" spans="1:13" x14ac:dyDescent="0.2">
      <c r="A493" t="s">
        <v>242</v>
      </c>
      <c r="B493" t="s">
        <v>71</v>
      </c>
      <c r="C493" t="s">
        <v>9</v>
      </c>
      <c r="D493">
        <v>3203</v>
      </c>
      <c r="E493">
        <v>2019</v>
      </c>
      <c r="F493">
        <v>1</v>
      </c>
      <c r="G493">
        <v>35940</v>
      </c>
      <c r="H493" s="1">
        <v>3</v>
      </c>
      <c r="I493">
        <v>142</v>
      </c>
      <c r="J493">
        <f>IF($H493=0,1,IF($I493&lt;=1,2,0))</f>
        <v>0</v>
      </c>
      <c r="K493">
        <v>0</v>
      </c>
      <c r="L493">
        <f>IF(AND($J493=0,$K493=0),0,1)</f>
        <v>0</v>
      </c>
    </row>
    <row r="494" spans="1:13" x14ac:dyDescent="0.2">
      <c r="A494" t="s">
        <v>242</v>
      </c>
      <c r="B494" t="s">
        <v>71</v>
      </c>
      <c r="C494" t="s">
        <v>9</v>
      </c>
      <c r="D494">
        <v>3261</v>
      </c>
      <c r="E494">
        <v>2019</v>
      </c>
      <c r="F494">
        <v>2</v>
      </c>
      <c r="G494">
        <v>35943</v>
      </c>
      <c r="H494" s="1">
        <v>3</v>
      </c>
      <c r="I494">
        <v>100</v>
      </c>
      <c r="J494">
        <f>IF($H494=0,1,IF($I494&lt;=1,2,0))</f>
        <v>0</v>
      </c>
      <c r="K494">
        <v>0</v>
      </c>
      <c r="L494">
        <f>IF(AND($J494=0,$K494=0),0,1)</f>
        <v>0</v>
      </c>
    </row>
    <row r="495" spans="1:13" x14ac:dyDescent="0.2">
      <c r="A495" t="s">
        <v>242</v>
      </c>
      <c r="B495" t="s">
        <v>71</v>
      </c>
      <c r="C495" t="s">
        <v>9</v>
      </c>
      <c r="D495">
        <v>3261</v>
      </c>
      <c r="E495">
        <v>2019</v>
      </c>
      <c r="F495">
        <v>1</v>
      </c>
      <c r="G495">
        <v>35942</v>
      </c>
      <c r="H495" s="1">
        <v>3</v>
      </c>
      <c r="I495">
        <v>99</v>
      </c>
      <c r="J495">
        <f>IF($H495=0,1,IF($I495&lt;=1,2,0))</f>
        <v>0</v>
      </c>
      <c r="K495">
        <v>0</v>
      </c>
      <c r="L495">
        <f>IF(AND($J495=0,$K495=0),0,1)</f>
        <v>0</v>
      </c>
    </row>
    <row r="496" spans="1:13" x14ac:dyDescent="0.2">
      <c r="A496" t="s">
        <v>242</v>
      </c>
      <c r="B496" t="s">
        <v>71</v>
      </c>
      <c r="C496" t="s">
        <v>9</v>
      </c>
      <c r="D496">
        <v>3410</v>
      </c>
      <c r="E496">
        <v>2019</v>
      </c>
      <c r="F496">
        <v>1</v>
      </c>
      <c r="G496">
        <v>35915</v>
      </c>
      <c r="H496" s="1">
        <v>3</v>
      </c>
      <c r="I496">
        <v>50</v>
      </c>
      <c r="J496">
        <f>IF($H496=0,1,IF($I496&lt;=1,2,0))</f>
        <v>0</v>
      </c>
      <c r="K496">
        <v>0</v>
      </c>
      <c r="L496">
        <f>IF(AND($J496=0,$K496=0),0,1)</f>
        <v>0</v>
      </c>
    </row>
    <row r="497" spans="1:13" x14ac:dyDescent="0.2">
      <c r="A497" t="s">
        <v>242</v>
      </c>
      <c r="B497" t="s">
        <v>71</v>
      </c>
      <c r="C497" t="s">
        <v>9</v>
      </c>
      <c r="D497">
        <v>4111</v>
      </c>
      <c r="E497">
        <v>2019</v>
      </c>
      <c r="F497">
        <v>2</v>
      </c>
      <c r="G497">
        <v>35950</v>
      </c>
      <c r="H497" s="1">
        <v>3</v>
      </c>
      <c r="I497">
        <v>287</v>
      </c>
      <c r="J497">
        <f>IF($H497=0,1,IF($I497&lt;=1,2,0))</f>
        <v>0</v>
      </c>
      <c r="K497">
        <v>0</v>
      </c>
      <c r="L497">
        <f>IF(AND($J497=0,$K497=0),0,1)</f>
        <v>0</v>
      </c>
    </row>
    <row r="498" spans="1:13" x14ac:dyDescent="0.2">
      <c r="A498" t="s">
        <v>242</v>
      </c>
      <c r="B498" t="s">
        <v>71</v>
      </c>
      <c r="C498" t="s">
        <v>9</v>
      </c>
      <c r="D498">
        <v>4111</v>
      </c>
      <c r="E498">
        <v>2019</v>
      </c>
      <c r="F498">
        <v>1</v>
      </c>
      <c r="G498">
        <v>35949</v>
      </c>
      <c r="H498" s="1">
        <v>3</v>
      </c>
      <c r="I498">
        <v>138</v>
      </c>
      <c r="J498">
        <f>IF($H498=0,1,IF($I498&lt;=1,2,0))</f>
        <v>0</v>
      </c>
      <c r="K498">
        <v>0</v>
      </c>
      <c r="L498">
        <f>IF(AND($J498=0,$K498=0),0,1)</f>
        <v>0</v>
      </c>
    </row>
    <row r="499" spans="1:13" x14ac:dyDescent="0.2">
      <c r="A499" t="s">
        <v>242</v>
      </c>
      <c r="B499" t="s">
        <v>71</v>
      </c>
      <c r="C499" t="s">
        <v>9</v>
      </c>
      <c r="D499">
        <v>4111</v>
      </c>
      <c r="E499">
        <v>2019</v>
      </c>
      <c r="F499">
        <v>4</v>
      </c>
      <c r="G499">
        <v>35970</v>
      </c>
      <c r="H499" s="1">
        <v>3</v>
      </c>
      <c r="I499">
        <v>74</v>
      </c>
      <c r="J499">
        <f>IF($H499=0,1,IF($I499&lt;=1,2,0))</f>
        <v>0</v>
      </c>
      <c r="K499">
        <v>0</v>
      </c>
      <c r="L499">
        <f>IF(AND($J499=0,$K499=0),0,1)</f>
        <v>0</v>
      </c>
    </row>
    <row r="500" spans="1:13" x14ac:dyDescent="0.2">
      <c r="A500" t="s">
        <v>242</v>
      </c>
      <c r="B500" t="s">
        <v>71</v>
      </c>
      <c r="C500" t="s">
        <v>9</v>
      </c>
      <c r="D500">
        <v>4111</v>
      </c>
      <c r="E500">
        <v>2019</v>
      </c>
      <c r="F500" t="s">
        <v>249</v>
      </c>
      <c r="G500">
        <v>16436</v>
      </c>
      <c r="H500" s="1">
        <v>3</v>
      </c>
      <c r="I500">
        <v>72</v>
      </c>
      <c r="J500">
        <f>IF($H500=0,1,IF($I500&lt;=1,2,0))</f>
        <v>0</v>
      </c>
      <c r="K500">
        <v>0</v>
      </c>
      <c r="L500">
        <f>IF(AND($J500=0,$K500=0),0,1)</f>
        <v>0</v>
      </c>
    </row>
    <row r="501" spans="1:13" x14ac:dyDescent="0.2">
      <c r="A501" t="s">
        <v>242</v>
      </c>
      <c r="B501" t="s">
        <v>71</v>
      </c>
      <c r="C501" t="s">
        <v>9</v>
      </c>
      <c r="D501">
        <v>4111</v>
      </c>
      <c r="E501">
        <v>2019</v>
      </c>
      <c r="F501" t="s">
        <v>250</v>
      </c>
      <c r="G501">
        <v>16327</v>
      </c>
      <c r="H501" s="1">
        <v>3</v>
      </c>
      <c r="I501">
        <v>14</v>
      </c>
      <c r="J501">
        <f>IF($H501=0,1,IF($I501&lt;=1,2,0))</f>
        <v>0</v>
      </c>
      <c r="K501">
        <v>0</v>
      </c>
      <c r="L501">
        <f>IF(AND($J501=0,$K501=0),0,1)</f>
        <v>0</v>
      </c>
      <c r="M501" t="s">
        <v>85</v>
      </c>
    </row>
    <row r="502" spans="1:13" x14ac:dyDescent="0.2">
      <c r="A502" t="s">
        <v>242</v>
      </c>
      <c r="B502" t="s">
        <v>71</v>
      </c>
      <c r="C502" t="s">
        <v>9</v>
      </c>
      <c r="D502">
        <v>4113</v>
      </c>
      <c r="E502">
        <v>2019</v>
      </c>
      <c r="F502">
        <v>1</v>
      </c>
      <c r="G502">
        <v>35946</v>
      </c>
      <c r="H502" s="1">
        <v>3</v>
      </c>
      <c r="I502">
        <v>111</v>
      </c>
      <c r="J502">
        <f>IF($H502=0,1,IF($I502&lt;=1,2,0))</f>
        <v>0</v>
      </c>
      <c r="K502">
        <v>0</v>
      </c>
      <c r="L502">
        <f>IF(AND($J502=0,$K502=0),0,1)</f>
        <v>0</v>
      </c>
    </row>
    <row r="503" spans="1:13" x14ac:dyDescent="0.2">
      <c r="A503" t="s">
        <v>242</v>
      </c>
      <c r="B503" t="s">
        <v>71</v>
      </c>
      <c r="C503" t="s">
        <v>9</v>
      </c>
      <c r="D503">
        <v>4113</v>
      </c>
      <c r="E503">
        <v>2019</v>
      </c>
      <c r="F503" t="s">
        <v>84</v>
      </c>
      <c r="G503">
        <v>16328</v>
      </c>
      <c r="H503" s="1">
        <v>3</v>
      </c>
      <c r="I503">
        <v>18</v>
      </c>
      <c r="J503">
        <f>IF($H503=0,1,IF($I503&lt;=1,2,0))</f>
        <v>0</v>
      </c>
      <c r="K503">
        <v>0</v>
      </c>
      <c r="L503">
        <f>IF(AND($J503=0,$K503=0),0,1)</f>
        <v>0</v>
      </c>
      <c r="M503" t="s">
        <v>85</v>
      </c>
    </row>
    <row r="504" spans="1:13" x14ac:dyDescent="0.2">
      <c r="A504" t="s">
        <v>242</v>
      </c>
      <c r="B504" t="s">
        <v>71</v>
      </c>
      <c r="C504" t="s">
        <v>9</v>
      </c>
      <c r="D504">
        <v>4113</v>
      </c>
      <c r="E504">
        <v>2019</v>
      </c>
      <c r="F504" t="s">
        <v>251</v>
      </c>
      <c r="G504">
        <v>18840</v>
      </c>
      <c r="H504" s="1">
        <v>3</v>
      </c>
      <c r="I504">
        <v>14</v>
      </c>
      <c r="J504">
        <f>IF($H504=0,1,IF($I504&lt;=1,2,0))</f>
        <v>0</v>
      </c>
      <c r="K504">
        <v>0</v>
      </c>
      <c r="L504">
        <f>IF(AND($J504=0,$K504=0),0,1)</f>
        <v>0</v>
      </c>
    </row>
    <row r="505" spans="1:13" x14ac:dyDescent="0.2">
      <c r="A505" t="s">
        <v>242</v>
      </c>
      <c r="B505" t="s">
        <v>71</v>
      </c>
      <c r="C505" t="s">
        <v>9</v>
      </c>
      <c r="D505">
        <v>4115</v>
      </c>
      <c r="E505">
        <v>2019</v>
      </c>
      <c r="F505">
        <v>1</v>
      </c>
      <c r="G505">
        <v>35909</v>
      </c>
      <c r="H505" s="1">
        <v>3</v>
      </c>
      <c r="I505">
        <v>105</v>
      </c>
      <c r="J505">
        <f>IF($H505=0,1,IF($I505&lt;=1,2,0))</f>
        <v>0</v>
      </c>
      <c r="K505">
        <v>0</v>
      </c>
      <c r="L505">
        <f>IF(AND($J505=0,$K505=0),0,1)</f>
        <v>0</v>
      </c>
    </row>
    <row r="506" spans="1:13" x14ac:dyDescent="0.2">
      <c r="A506" t="s">
        <v>242</v>
      </c>
      <c r="B506" t="s">
        <v>71</v>
      </c>
      <c r="C506" t="s">
        <v>9</v>
      </c>
      <c r="D506">
        <v>4118</v>
      </c>
      <c r="E506">
        <v>2019</v>
      </c>
      <c r="F506">
        <v>1</v>
      </c>
      <c r="G506">
        <v>35918</v>
      </c>
      <c r="H506" s="1">
        <v>3</v>
      </c>
      <c r="I506">
        <v>71</v>
      </c>
      <c r="J506">
        <f>IF($H506=0,1,IF($I506&lt;=1,2,0))</f>
        <v>0</v>
      </c>
      <c r="K506">
        <v>0</v>
      </c>
      <c r="L506">
        <f>IF(AND($J506=0,$K506=0),0,1)</f>
        <v>0</v>
      </c>
    </row>
    <row r="507" spans="1:13" x14ac:dyDescent="0.2">
      <c r="A507" t="s">
        <v>242</v>
      </c>
      <c r="B507" t="s">
        <v>71</v>
      </c>
      <c r="C507" t="s">
        <v>9</v>
      </c>
      <c r="D507">
        <v>4118</v>
      </c>
      <c r="E507">
        <v>2019</v>
      </c>
      <c r="F507" t="s">
        <v>84</v>
      </c>
      <c r="G507">
        <v>16329</v>
      </c>
      <c r="H507" s="1">
        <v>3</v>
      </c>
      <c r="I507">
        <v>11</v>
      </c>
      <c r="J507">
        <f>IF($H507=0,1,IF($I507&lt;=1,2,0))</f>
        <v>0</v>
      </c>
      <c r="K507">
        <v>0</v>
      </c>
      <c r="L507">
        <f>IF(AND($J507=0,$K507=0),0,1)</f>
        <v>0</v>
      </c>
      <c r="M507" t="s">
        <v>85</v>
      </c>
    </row>
    <row r="508" spans="1:13" x14ac:dyDescent="0.2">
      <c r="A508" t="s">
        <v>242</v>
      </c>
      <c r="B508" t="s">
        <v>71</v>
      </c>
      <c r="C508" t="s">
        <v>9</v>
      </c>
      <c r="D508">
        <v>4170</v>
      </c>
      <c r="E508">
        <v>2019</v>
      </c>
      <c r="F508">
        <v>1</v>
      </c>
      <c r="G508">
        <v>35953</v>
      </c>
      <c r="H508" s="1">
        <v>3</v>
      </c>
      <c r="I508">
        <v>77</v>
      </c>
      <c r="J508">
        <f>IF($H508=0,1,IF($I508&lt;=1,2,0))</f>
        <v>0</v>
      </c>
      <c r="K508">
        <v>0</v>
      </c>
      <c r="L508">
        <f>IF(AND($J508=0,$K508=0),0,1)</f>
        <v>0</v>
      </c>
    </row>
    <row r="509" spans="1:13" x14ac:dyDescent="0.2">
      <c r="A509" t="s">
        <v>242</v>
      </c>
      <c r="B509" t="s">
        <v>71</v>
      </c>
      <c r="C509" t="s">
        <v>9</v>
      </c>
      <c r="D509">
        <v>4170</v>
      </c>
      <c r="E509">
        <v>2019</v>
      </c>
      <c r="F509" t="s">
        <v>84</v>
      </c>
      <c r="G509">
        <v>18215</v>
      </c>
      <c r="H509" s="1">
        <v>3</v>
      </c>
      <c r="I509">
        <v>3</v>
      </c>
      <c r="J509">
        <f>IF($H509=0,1,IF($I509&lt;=1,2,0))</f>
        <v>0</v>
      </c>
      <c r="K509">
        <v>0</v>
      </c>
      <c r="L509">
        <f>IF(AND($J509=0,$K509=0),0,1)</f>
        <v>0</v>
      </c>
    </row>
    <row r="510" spans="1:13" x14ac:dyDescent="0.2">
      <c r="A510" t="s">
        <v>242</v>
      </c>
      <c r="B510" t="s">
        <v>71</v>
      </c>
      <c r="C510" t="s">
        <v>9</v>
      </c>
      <c r="D510">
        <v>4181</v>
      </c>
      <c r="E510">
        <v>2019</v>
      </c>
      <c r="F510">
        <v>1</v>
      </c>
      <c r="G510">
        <v>35948</v>
      </c>
      <c r="H510" s="1">
        <v>3</v>
      </c>
      <c r="I510">
        <v>44</v>
      </c>
      <c r="J510">
        <f>IF($H510=0,1,IF($I510&lt;=1,2,0))</f>
        <v>0</v>
      </c>
      <c r="K510">
        <v>0</v>
      </c>
      <c r="L510">
        <f>IF(AND($J510=0,$K510=0),0,1)</f>
        <v>0</v>
      </c>
    </row>
    <row r="511" spans="1:13" x14ac:dyDescent="0.2">
      <c r="A511" t="s">
        <v>242</v>
      </c>
      <c r="B511" t="s">
        <v>71</v>
      </c>
      <c r="C511" t="s">
        <v>9</v>
      </c>
      <c r="D511">
        <v>4181</v>
      </c>
      <c r="E511">
        <v>2019</v>
      </c>
      <c r="F511" t="s">
        <v>84</v>
      </c>
      <c r="G511">
        <v>16330</v>
      </c>
      <c r="H511" s="1">
        <v>3</v>
      </c>
      <c r="I511">
        <v>9</v>
      </c>
      <c r="J511">
        <f>IF($H511=0,1,IF($I511&lt;=1,2,0))</f>
        <v>0</v>
      </c>
      <c r="K511">
        <v>0</v>
      </c>
      <c r="L511">
        <f>IF(AND($J511=0,$K511=0),0,1)</f>
        <v>0</v>
      </c>
      <c r="M511" t="s">
        <v>85</v>
      </c>
    </row>
    <row r="512" spans="1:13" x14ac:dyDescent="0.2">
      <c r="A512" t="s">
        <v>242</v>
      </c>
      <c r="B512" t="s">
        <v>71</v>
      </c>
      <c r="C512" t="s">
        <v>9</v>
      </c>
      <c r="D512">
        <v>4186</v>
      </c>
      <c r="E512">
        <v>2019</v>
      </c>
      <c r="F512">
        <v>1</v>
      </c>
      <c r="G512">
        <v>35952</v>
      </c>
      <c r="H512" s="1">
        <v>3</v>
      </c>
      <c r="I512">
        <v>31</v>
      </c>
      <c r="J512">
        <f>IF($H512=0,1,IF($I512&lt;=1,2,0))</f>
        <v>0</v>
      </c>
      <c r="K512">
        <v>0</v>
      </c>
      <c r="L512">
        <f>IF(AND($J512=0,$K512=0),0,1)</f>
        <v>0</v>
      </c>
    </row>
    <row r="513" spans="1:13" x14ac:dyDescent="0.2">
      <c r="A513" t="s">
        <v>242</v>
      </c>
      <c r="B513" t="s">
        <v>71</v>
      </c>
      <c r="C513" t="s">
        <v>9</v>
      </c>
      <c r="D513">
        <v>4236</v>
      </c>
      <c r="E513">
        <v>2019</v>
      </c>
      <c r="F513">
        <v>1</v>
      </c>
      <c r="G513">
        <v>35963</v>
      </c>
      <c r="H513" s="1">
        <v>3</v>
      </c>
      <c r="I513">
        <v>39</v>
      </c>
      <c r="J513">
        <f>IF($H513=0,1,IF($I513&lt;=1,2,0))</f>
        <v>0</v>
      </c>
      <c r="K513">
        <v>0</v>
      </c>
      <c r="L513">
        <f>IF(AND($J513=0,$K513=0),0,1)</f>
        <v>0</v>
      </c>
    </row>
    <row r="514" spans="1:13" x14ac:dyDescent="0.2">
      <c r="A514" t="s">
        <v>242</v>
      </c>
      <c r="B514" t="s">
        <v>71</v>
      </c>
      <c r="C514" t="s">
        <v>9</v>
      </c>
      <c r="D514">
        <v>4261</v>
      </c>
      <c r="E514">
        <v>2019</v>
      </c>
      <c r="F514">
        <v>1</v>
      </c>
      <c r="G514">
        <v>35959</v>
      </c>
      <c r="H514" s="1">
        <v>3</v>
      </c>
      <c r="I514">
        <v>53</v>
      </c>
      <c r="J514">
        <f>IF($H514=0,1,IF($I514&lt;=1,2,0))</f>
        <v>0</v>
      </c>
      <c r="K514">
        <v>0</v>
      </c>
      <c r="L514">
        <f>IF(AND($J514=0,$K514=0),0,1)</f>
        <v>0</v>
      </c>
    </row>
    <row r="515" spans="1:13" x14ac:dyDescent="0.2">
      <c r="A515" t="s">
        <v>242</v>
      </c>
      <c r="B515" t="s">
        <v>71</v>
      </c>
      <c r="C515" t="s">
        <v>9</v>
      </c>
      <c r="D515">
        <v>4261</v>
      </c>
      <c r="E515">
        <v>2019</v>
      </c>
      <c r="F515" t="s">
        <v>84</v>
      </c>
      <c r="G515">
        <v>16331</v>
      </c>
      <c r="H515" s="1">
        <v>3</v>
      </c>
      <c r="I515">
        <v>7</v>
      </c>
      <c r="J515">
        <f>IF($H515=0,1,IF($I515&lt;=1,2,0))</f>
        <v>0</v>
      </c>
      <c r="K515">
        <v>0</v>
      </c>
      <c r="L515">
        <f>IF(AND($J515=0,$K515=0),0,1)</f>
        <v>0</v>
      </c>
      <c r="M515" t="s">
        <v>85</v>
      </c>
    </row>
    <row r="516" spans="1:13" x14ac:dyDescent="0.2">
      <c r="A516" t="s">
        <v>242</v>
      </c>
      <c r="B516" t="s">
        <v>71</v>
      </c>
      <c r="C516" t="s">
        <v>9</v>
      </c>
      <c r="D516">
        <v>4444</v>
      </c>
      <c r="E516">
        <v>2019</v>
      </c>
      <c r="F516">
        <v>1</v>
      </c>
      <c r="G516">
        <v>35937</v>
      </c>
      <c r="H516" s="1">
        <v>3</v>
      </c>
      <c r="I516">
        <v>26</v>
      </c>
      <c r="J516">
        <f>IF($H516=0,1,IF($I516&lt;=1,2,0))</f>
        <v>0</v>
      </c>
      <c r="K516">
        <v>0</v>
      </c>
      <c r="L516">
        <f>IF(AND($J516=0,$K516=0),0,1)</f>
        <v>0</v>
      </c>
    </row>
    <row r="517" spans="1:13" x14ac:dyDescent="0.2">
      <c r="A517" t="s">
        <v>242</v>
      </c>
      <c r="B517" t="s">
        <v>71</v>
      </c>
      <c r="C517" t="s">
        <v>9</v>
      </c>
      <c r="D517">
        <v>4460</v>
      </c>
      <c r="E517">
        <v>2019</v>
      </c>
      <c r="F517">
        <v>1</v>
      </c>
      <c r="G517">
        <v>35914</v>
      </c>
      <c r="H517" s="1">
        <v>3</v>
      </c>
      <c r="I517">
        <v>21</v>
      </c>
      <c r="J517">
        <f>IF($H517=0,1,IF($I517&lt;=1,2,0))</f>
        <v>0</v>
      </c>
      <c r="K517">
        <v>0</v>
      </c>
      <c r="L517">
        <f>IF(AND($J517=0,$K517=0),0,1)</f>
        <v>0</v>
      </c>
    </row>
    <row r="518" spans="1:13" x14ac:dyDescent="0.2">
      <c r="A518" t="s">
        <v>242</v>
      </c>
      <c r="B518" t="s">
        <v>71</v>
      </c>
      <c r="C518" t="s">
        <v>9</v>
      </c>
      <c r="D518">
        <v>4701</v>
      </c>
      <c r="E518">
        <v>2019</v>
      </c>
      <c r="F518">
        <v>1</v>
      </c>
      <c r="G518">
        <v>35921</v>
      </c>
      <c r="H518" s="1">
        <v>3</v>
      </c>
      <c r="I518">
        <v>156</v>
      </c>
      <c r="J518">
        <f>IF($H518=0,1,IF($I518&lt;=1,2,0))</f>
        <v>0</v>
      </c>
      <c r="K518">
        <v>0</v>
      </c>
      <c r="L518">
        <f>IF(AND($J518=0,$K518=0),0,1)</f>
        <v>0</v>
      </c>
    </row>
    <row r="519" spans="1:13" x14ac:dyDescent="0.2">
      <c r="A519" t="s">
        <v>242</v>
      </c>
      <c r="B519" t="s">
        <v>71</v>
      </c>
      <c r="C519" t="s">
        <v>9</v>
      </c>
      <c r="D519">
        <v>4701</v>
      </c>
      <c r="E519">
        <v>2019</v>
      </c>
      <c r="F519">
        <v>2</v>
      </c>
      <c r="G519">
        <v>35922</v>
      </c>
      <c r="H519" s="1">
        <v>3</v>
      </c>
      <c r="I519">
        <v>153</v>
      </c>
      <c r="J519">
        <f>IF($H519=0,1,IF($I519&lt;=1,2,0))</f>
        <v>0</v>
      </c>
      <c r="K519">
        <v>0</v>
      </c>
      <c r="L519">
        <f>IF(AND($J519=0,$K519=0),0,1)</f>
        <v>0</v>
      </c>
    </row>
    <row r="520" spans="1:13" x14ac:dyDescent="0.2">
      <c r="A520" t="s">
        <v>242</v>
      </c>
      <c r="B520" t="s">
        <v>71</v>
      </c>
      <c r="C520" t="s">
        <v>9</v>
      </c>
      <c r="D520">
        <v>4701</v>
      </c>
      <c r="E520">
        <v>2019</v>
      </c>
      <c r="F520" t="s">
        <v>251</v>
      </c>
      <c r="G520">
        <v>16445</v>
      </c>
      <c r="H520" s="1">
        <v>3</v>
      </c>
      <c r="I520">
        <v>43</v>
      </c>
      <c r="J520">
        <f>IF($H520=0,1,IF($I520&lt;=1,2,0))</f>
        <v>0</v>
      </c>
      <c r="K520">
        <v>0</v>
      </c>
      <c r="L520">
        <f>IF(AND($J520=0,$K520=0),0,1)</f>
        <v>0</v>
      </c>
    </row>
    <row r="521" spans="1:13" x14ac:dyDescent="0.2">
      <c r="A521" t="s">
        <v>242</v>
      </c>
      <c r="B521" t="s">
        <v>71</v>
      </c>
      <c r="C521" t="s">
        <v>9</v>
      </c>
      <c r="D521">
        <v>4701</v>
      </c>
      <c r="E521">
        <v>2019</v>
      </c>
      <c r="F521" t="s">
        <v>84</v>
      </c>
      <c r="G521">
        <v>16332</v>
      </c>
      <c r="H521" s="1">
        <v>3</v>
      </c>
      <c r="I521">
        <v>6</v>
      </c>
      <c r="J521">
        <f>IF($H521=0,1,IF($I521&lt;=1,2,0))</f>
        <v>0</v>
      </c>
      <c r="K521">
        <v>0</v>
      </c>
      <c r="L521">
        <f>IF(AND($J521=0,$K521=0),0,1)</f>
        <v>0</v>
      </c>
      <c r="M521" t="s">
        <v>85</v>
      </c>
    </row>
    <row r="522" spans="1:13" x14ac:dyDescent="0.2">
      <c r="A522" t="s">
        <v>242</v>
      </c>
      <c r="B522" t="s">
        <v>71</v>
      </c>
      <c r="C522" t="s">
        <v>9</v>
      </c>
      <c r="D522">
        <v>4705</v>
      </c>
      <c r="E522">
        <v>2019</v>
      </c>
      <c r="F522">
        <v>2</v>
      </c>
      <c r="G522">
        <v>13496</v>
      </c>
      <c r="H522" s="1">
        <v>3</v>
      </c>
      <c r="I522">
        <v>111</v>
      </c>
      <c r="J522">
        <f>IF($H522=0,1,IF($I522&lt;=1,2,0))</f>
        <v>0</v>
      </c>
      <c r="K522">
        <v>0</v>
      </c>
      <c r="L522">
        <f>IF(AND($J522=0,$K522=0),0,1)</f>
        <v>0</v>
      </c>
    </row>
    <row r="523" spans="1:13" x14ac:dyDescent="0.2">
      <c r="A523" t="s">
        <v>242</v>
      </c>
      <c r="B523" t="s">
        <v>71</v>
      </c>
      <c r="C523" t="s">
        <v>9</v>
      </c>
      <c r="D523">
        <v>4705</v>
      </c>
      <c r="E523">
        <v>2019</v>
      </c>
      <c r="F523">
        <v>1</v>
      </c>
      <c r="G523">
        <v>35944</v>
      </c>
      <c r="H523" s="1">
        <v>3</v>
      </c>
      <c r="I523">
        <v>95</v>
      </c>
      <c r="J523">
        <f>IF($H523=0,1,IF($I523&lt;=1,2,0))</f>
        <v>0</v>
      </c>
      <c r="K523">
        <v>0</v>
      </c>
      <c r="L523">
        <f>IF(AND($J523=0,$K523=0),0,1)</f>
        <v>0</v>
      </c>
    </row>
    <row r="524" spans="1:13" x14ac:dyDescent="0.2">
      <c r="A524" t="s">
        <v>242</v>
      </c>
      <c r="B524" t="s">
        <v>71</v>
      </c>
      <c r="C524" t="s">
        <v>9</v>
      </c>
      <c r="D524">
        <v>4705</v>
      </c>
      <c r="E524">
        <v>2019</v>
      </c>
      <c r="F524" t="s">
        <v>249</v>
      </c>
      <c r="G524">
        <v>16466</v>
      </c>
      <c r="H524" s="1">
        <v>3</v>
      </c>
      <c r="I524">
        <v>46</v>
      </c>
      <c r="J524">
        <f>IF($H524=0,1,IF($I524&lt;=1,2,0))</f>
        <v>0</v>
      </c>
      <c r="K524">
        <v>0</v>
      </c>
      <c r="L524">
        <f>IF(AND($J524=0,$K524=0),0,1)</f>
        <v>0</v>
      </c>
    </row>
    <row r="525" spans="1:13" x14ac:dyDescent="0.2">
      <c r="A525" t="s">
        <v>242</v>
      </c>
      <c r="B525" t="s">
        <v>71</v>
      </c>
      <c r="C525" t="s">
        <v>9</v>
      </c>
      <c r="D525">
        <v>4705</v>
      </c>
      <c r="E525">
        <v>2019</v>
      </c>
      <c r="F525" t="s">
        <v>250</v>
      </c>
      <c r="G525">
        <v>16460</v>
      </c>
      <c r="H525" s="1">
        <v>3</v>
      </c>
      <c r="I525">
        <v>7</v>
      </c>
      <c r="J525">
        <f>IF($H525=0,1,IF($I525&lt;=1,2,0))</f>
        <v>0</v>
      </c>
      <c r="K525">
        <v>0</v>
      </c>
      <c r="L525">
        <f>IF(AND($J525=0,$K525=0),0,1)</f>
        <v>0</v>
      </c>
      <c r="M525" t="s">
        <v>85</v>
      </c>
    </row>
    <row r="526" spans="1:13" x14ac:dyDescent="0.2">
      <c r="A526" t="s">
        <v>242</v>
      </c>
      <c r="B526" t="s">
        <v>71</v>
      </c>
      <c r="C526" t="s">
        <v>9</v>
      </c>
      <c r="D526">
        <v>4731</v>
      </c>
      <c r="E526">
        <v>2019</v>
      </c>
      <c r="F526">
        <v>1</v>
      </c>
      <c r="G526">
        <v>35920</v>
      </c>
      <c r="H526" s="1">
        <v>3</v>
      </c>
      <c r="I526">
        <v>112</v>
      </c>
      <c r="J526">
        <f>IF($H526=0,1,IF($I526&lt;=1,2,0))</f>
        <v>0</v>
      </c>
      <c r="K526">
        <v>0</v>
      </c>
      <c r="L526">
        <f>IF(AND($J526=0,$K526=0),0,1)</f>
        <v>0</v>
      </c>
    </row>
    <row r="527" spans="1:13" x14ac:dyDescent="0.2">
      <c r="A527" t="s">
        <v>242</v>
      </c>
      <c r="B527" t="s">
        <v>71</v>
      </c>
      <c r="C527" t="s">
        <v>9</v>
      </c>
      <c r="D527">
        <v>4731</v>
      </c>
      <c r="E527">
        <v>2019</v>
      </c>
      <c r="F527" t="s">
        <v>251</v>
      </c>
      <c r="G527">
        <v>17926</v>
      </c>
      <c r="H527" s="1">
        <v>3</v>
      </c>
      <c r="I527">
        <v>85</v>
      </c>
      <c r="J527">
        <f>IF($H527=0,1,IF($I527&lt;=1,2,0))</f>
        <v>0</v>
      </c>
      <c r="K527">
        <v>0</v>
      </c>
      <c r="L527">
        <f>IF(AND($J527=0,$K527=0),0,1)</f>
        <v>0</v>
      </c>
    </row>
    <row r="528" spans="1:13" x14ac:dyDescent="0.2">
      <c r="A528" t="s">
        <v>242</v>
      </c>
      <c r="B528" t="s">
        <v>71</v>
      </c>
      <c r="C528" t="s">
        <v>9</v>
      </c>
      <c r="D528">
        <v>4731</v>
      </c>
      <c r="E528">
        <v>2019</v>
      </c>
      <c r="F528" t="s">
        <v>84</v>
      </c>
      <c r="G528">
        <v>16333</v>
      </c>
      <c r="H528" s="1">
        <v>3</v>
      </c>
      <c r="I528">
        <v>13</v>
      </c>
      <c r="J528">
        <f>IF($H528=0,1,IF($I528&lt;=1,2,0))</f>
        <v>0</v>
      </c>
      <c r="K528">
        <v>0</v>
      </c>
      <c r="L528">
        <f>IF(AND($J528=0,$K528=0),0,1)</f>
        <v>0</v>
      </c>
      <c r="M528" t="s">
        <v>85</v>
      </c>
    </row>
    <row r="529" spans="1:13" x14ac:dyDescent="0.2">
      <c r="A529" t="s">
        <v>242</v>
      </c>
      <c r="B529" t="s">
        <v>71</v>
      </c>
      <c r="C529" t="s">
        <v>9</v>
      </c>
      <c r="D529">
        <v>4733</v>
      </c>
      <c r="E529">
        <v>2019</v>
      </c>
      <c r="F529">
        <v>1</v>
      </c>
      <c r="G529">
        <v>35926</v>
      </c>
      <c r="H529" s="1">
        <v>3</v>
      </c>
      <c r="I529">
        <v>66</v>
      </c>
      <c r="J529">
        <f>IF($H529=0,1,IF($I529&lt;=1,2,0))</f>
        <v>0</v>
      </c>
      <c r="K529">
        <v>0</v>
      </c>
      <c r="L529">
        <f>IF(AND($J529=0,$K529=0),0,1)</f>
        <v>0</v>
      </c>
    </row>
    <row r="530" spans="1:13" x14ac:dyDescent="0.2">
      <c r="A530" t="s">
        <v>242</v>
      </c>
      <c r="B530" t="s">
        <v>71</v>
      </c>
      <c r="C530" t="s">
        <v>9</v>
      </c>
      <c r="D530">
        <v>4771</v>
      </c>
      <c r="E530">
        <v>2019</v>
      </c>
      <c r="F530">
        <v>1</v>
      </c>
      <c r="G530">
        <v>35934</v>
      </c>
      <c r="H530" s="1">
        <v>3</v>
      </c>
      <c r="I530">
        <v>115</v>
      </c>
      <c r="J530">
        <f>IF($H530=0,1,IF($I530&lt;=1,2,0))</f>
        <v>0</v>
      </c>
      <c r="K530">
        <v>0</v>
      </c>
      <c r="L530">
        <f>IF(AND($J530=0,$K530=0),0,1)</f>
        <v>0</v>
      </c>
    </row>
    <row r="531" spans="1:13" x14ac:dyDescent="0.2">
      <c r="A531" t="s">
        <v>242</v>
      </c>
      <c r="B531" t="s">
        <v>71</v>
      </c>
      <c r="C531" t="s">
        <v>9</v>
      </c>
      <c r="D531">
        <v>4771</v>
      </c>
      <c r="E531">
        <v>2019</v>
      </c>
      <c r="F531" t="s">
        <v>249</v>
      </c>
      <c r="G531">
        <v>17928</v>
      </c>
      <c r="H531" s="1">
        <v>3</v>
      </c>
      <c r="I531">
        <v>57</v>
      </c>
      <c r="J531">
        <f>IF($H531=0,1,IF($I531&lt;=1,2,0))</f>
        <v>0</v>
      </c>
      <c r="K531">
        <v>0</v>
      </c>
      <c r="L531">
        <f>IF(AND($J531=0,$K531=0),0,1)</f>
        <v>0</v>
      </c>
    </row>
    <row r="532" spans="1:13" x14ac:dyDescent="0.2">
      <c r="A532" t="s">
        <v>242</v>
      </c>
      <c r="B532" t="s">
        <v>71</v>
      </c>
      <c r="C532" t="s">
        <v>9</v>
      </c>
      <c r="D532">
        <v>4771</v>
      </c>
      <c r="E532">
        <v>2019</v>
      </c>
      <c r="F532" t="s">
        <v>185</v>
      </c>
      <c r="G532">
        <v>18216</v>
      </c>
      <c r="H532" s="1">
        <v>3</v>
      </c>
      <c r="I532">
        <v>10</v>
      </c>
      <c r="J532">
        <f>IF($H532=0,1,IF($I532&lt;=1,2,0))</f>
        <v>0</v>
      </c>
      <c r="K532">
        <v>0</v>
      </c>
      <c r="L532">
        <f>IF(AND($J532=0,$K532=0),0,1)</f>
        <v>0</v>
      </c>
    </row>
    <row r="533" spans="1:13" x14ac:dyDescent="0.2">
      <c r="A533" t="s">
        <v>242</v>
      </c>
      <c r="B533" t="s">
        <v>71</v>
      </c>
      <c r="C533" t="s">
        <v>9</v>
      </c>
      <c r="D533">
        <v>4995</v>
      </c>
      <c r="E533">
        <v>2019</v>
      </c>
      <c r="F533">
        <v>12</v>
      </c>
      <c r="G533">
        <v>14408</v>
      </c>
      <c r="H533" s="1">
        <v>3</v>
      </c>
      <c r="I533">
        <v>122</v>
      </c>
      <c r="J533">
        <f>IF($H533=0,1,IF($I533&lt;=1,2,0))</f>
        <v>0</v>
      </c>
      <c r="K533">
        <v>0</v>
      </c>
      <c r="L533">
        <f>IF(AND($J533=0,$K533=0),0,1)</f>
        <v>0</v>
      </c>
      <c r="M533" t="s">
        <v>252</v>
      </c>
    </row>
    <row r="534" spans="1:13" x14ac:dyDescent="0.2">
      <c r="A534" t="s">
        <v>242</v>
      </c>
      <c r="B534" t="s">
        <v>71</v>
      </c>
      <c r="C534" t="s">
        <v>9</v>
      </c>
      <c r="D534">
        <v>4995</v>
      </c>
      <c r="E534">
        <v>2019</v>
      </c>
      <c r="F534">
        <v>11</v>
      </c>
      <c r="G534">
        <v>14407</v>
      </c>
      <c r="H534" s="1">
        <v>3</v>
      </c>
      <c r="I534">
        <v>97</v>
      </c>
      <c r="J534">
        <f>IF($H534=0,1,IF($I534&lt;=1,2,0))</f>
        <v>0</v>
      </c>
      <c r="K534">
        <v>0</v>
      </c>
      <c r="L534">
        <f>IF(AND($J534=0,$K534=0),0,1)</f>
        <v>0</v>
      </c>
      <c r="M534" t="s">
        <v>252</v>
      </c>
    </row>
    <row r="535" spans="1:13" x14ac:dyDescent="0.2">
      <c r="A535" t="s">
        <v>242</v>
      </c>
      <c r="B535" t="s">
        <v>71</v>
      </c>
      <c r="C535" t="s">
        <v>9</v>
      </c>
      <c r="D535">
        <v>4995</v>
      </c>
      <c r="E535">
        <v>2019</v>
      </c>
      <c r="F535">
        <v>10</v>
      </c>
      <c r="G535">
        <v>13495</v>
      </c>
      <c r="H535" s="1">
        <v>3</v>
      </c>
      <c r="I535">
        <v>69</v>
      </c>
      <c r="J535">
        <f>IF($H535=0,1,IF($I535&lt;=1,2,0))</f>
        <v>0</v>
      </c>
      <c r="K535">
        <v>0</v>
      </c>
      <c r="L535">
        <f>IF(AND($J535=0,$K535=0),0,1)</f>
        <v>0</v>
      </c>
    </row>
    <row r="536" spans="1:13" x14ac:dyDescent="0.2">
      <c r="A536" t="s">
        <v>242</v>
      </c>
      <c r="B536" t="s">
        <v>71</v>
      </c>
      <c r="C536" t="s">
        <v>9</v>
      </c>
      <c r="D536">
        <v>4995</v>
      </c>
      <c r="E536">
        <v>2019</v>
      </c>
      <c r="F536">
        <v>3</v>
      </c>
      <c r="G536">
        <v>35936</v>
      </c>
      <c r="H536" s="1">
        <v>3</v>
      </c>
      <c r="I536">
        <v>54</v>
      </c>
      <c r="J536">
        <f>IF($H536=0,1,IF($I536&lt;=1,2,0))</f>
        <v>0</v>
      </c>
      <c r="K536">
        <v>0</v>
      </c>
      <c r="L536">
        <f>IF(AND($J536=0,$K536=0),0,1)</f>
        <v>0</v>
      </c>
    </row>
    <row r="537" spans="1:13" x14ac:dyDescent="0.2">
      <c r="A537" t="s">
        <v>242</v>
      </c>
      <c r="B537" t="s">
        <v>71</v>
      </c>
      <c r="C537" t="s">
        <v>9</v>
      </c>
      <c r="D537">
        <v>4995</v>
      </c>
      <c r="E537">
        <v>2019</v>
      </c>
      <c r="F537">
        <v>7</v>
      </c>
      <c r="G537">
        <v>10586</v>
      </c>
      <c r="H537" s="1">
        <v>3</v>
      </c>
      <c r="I537">
        <v>51</v>
      </c>
      <c r="J537">
        <f>IF($H537=0,1,IF($I537&lt;=1,2,0))</f>
        <v>0</v>
      </c>
      <c r="K537">
        <v>0</v>
      </c>
      <c r="L537">
        <f>IF(AND($J537=0,$K537=0),0,1)</f>
        <v>0</v>
      </c>
    </row>
    <row r="538" spans="1:13" x14ac:dyDescent="0.2">
      <c r="A538" t="s">
        <v>242</v>
      </c>
      <c r="B538" t="s">
        <v>71</v>
      </c>
      <c r="C538" t="s">
        <v>9</v>
      </c>
      <c r="D538">
        <v>4995</v>
      </c>
      <c r="E538">
        <v>2019</v>
      </c>
      <c r="F538">
        <v>2</v>
      </c>
      <c r="G538">
        <v>35935</v>
      </c>
      <c r="H538" s="1">
        <v>3</v>
      </c>
      <c r="I538">
        <v>45</v>
      </c>
      <c r="J538">
        <f>IF($H538=0,1,IF($I538&lt;=1,2,0))</f>
        <v>0</v>
      </c>
      <c r="K538">
        <v>0</v>
      </c>
      <c r="L538">
        <f>IF(AND($J538=0,$K538=0),0,1)</f>
        <v>0</v>
      </c>
    </row>
    <row r="539" spans="1:13" x14ac:dyDescent="0.2">
      <c r="A539" t="s">
        <v>242</v>
      </c>
      <c r="B539" t="s">
        <v>71</v>
      </c>
      <c r="C539" t="s">
        <v>9</v>
      </c>
      <c r="D539">
        <v>4995</v>
      </c>
      <c r="E539">
        <v>2019</v>
      </c>
      <c r="F539">
        <v>8</v>
      </c>
      <c r="G539">
        <v>13376</v>
      </c>
      <c r="H539" s="1">
        <v>3</v>
      </c>
      <c r="I539">
        <v>42</v>
      </c>
      <c r="J539">
        <f>IF($H539=0,1,IF($I539&lt;=1,2,0))</f>
        <v>0</v>
      </c>
      <c r="K539">
        <v>0</v>
      </c>
      <c r="L539">
        <f>IF(AND($J539=0,$K539=0),0,1)</f>
        <v>0</v>
      </c>
    </row>
    <row r="540" spans="1:13" x14ac:dyDescent="0.2">
      <c r="A540" t="s">
        <v>242</v>
      </c>
      <c r="B540" t="s">
        <v>71</v>
      </c>
      <c r="C540" t="s">
        <v>9</v>
      </c>
      <c r="D540">
        <v>4995</v>
      </c>
      <c r="E540">
        <v>2019</v>
      </c>
      <c r="F540">
        <v>4</v>
      </c>
      <c r="G540">
        <v>35956</v>
      </c>
      <c r="H540" s="1">
        <v>3</v>
      </c>
      <c r="I540">
        <v>41</v>
      </c>
      <c r="J540">
        <f>IF($H540=0,1,IF($I540&lt;=1,2,0))</f>
        <v>0</v>
      </c>
      <c r="K540">
        <v>0</v>
      </c>
      <c r="L540">
        <f>IF(AND($J540=0,$K540=0),0,1)</f>
        <v>0</v>
      </c>
    </row>
    <row r="541" spans="1:13" x14ac:dyDescent="0.2">
      <c r="A541" t="s">
        <v>242</v>
      </c>
      <c r="B541" t="s">
        <v>71</v>
      </c>
      <c r="C541" t="s">
        <v>9</v>
      </c>
      <c r="D541">
        <v>4995</v>
      </c>
      <c r="E541">
        <v>2019</v>
      </c>
      <c r="F541">
        <v>6</v>
      </c>
      <c r="G541">
        <v>35961</v>
      </c>
      <c r="H541" s="1">
        <v>3</v>
      </c>
      <c r="I541">
        <v>39</v>
      </c>
      <c r="J541">
        <f>IF($H541=0,1,IF($I541&lt;=1,2,0))</f>
        <v>0</v>
      </c>
      <c r="K541">
        <v>0</v>
      </c>
      <c r="L541">
        <f>IF(AND($J541=0,$K541=0),0,1)</f>
        <v>0</v>
      </c>
    </row>
    <row r="542" spans="1:13" x14ac:dyDescent="0.2">
      <c r="A542" t="s">
        <v>242</v>
      </c>
      <c r="B542" t="s">
        <v>71</v>
      </c>
      <c r="C542" t="s">
        <v>9</v>
      </c>
      <c r="D542">
        <v>4995</v>
      </c>
      <c r="E542">
        <v>2019</v>
      </c>
      <c r="F542">
        <v>1</v>
      </c>
      <c r="G542">
        <v>35925</v>
      </c>
      <c r="H542" s="1">
        <v>3</v>
      </c>
      <c r="I542">
        <v>31</v>
      </c>
      <c r="J542">
        <f>IF($H542=0,1,IF($I542&lt;=1,2,0))</f>
        <v>0</v>
      </c>
      <c r="K542">
        <v>0</v>
      </c>
      <c r="L542">
        <f>IF(AND($J542=0,$K542=0),0,1)</f>
        <v>0</v>
      </c>
    </row>
    <row r="543" spans="1:13" x14ac:dyDescent="0.2">
      <c r="A543" t="s">
        <v>242</v>
      </c>
      <c r="B543" t="s">
        <v>71</v>
      </c>
      <c r="C543" t="s">
        <v>9</v>
      </c>
      <c r="D543">
        <v>4995</v>
      </c>
      <c r="E543">
        <v>2019</v>
      </c>
      <c r="F543">
        <v>9</v>
      </c>
      <c r="G543">
        <v>13377</v>
      </c>
      <c r="H543" s="1">
        <v>3</v>
      </c>
      <c r="I543">
        <v>27</v>
      </c>
      <c r="J543">
        <f>IF($H543=0,1,IF($I543&lt;=1,2,0))</f>
        <v>0</v>
      </c>
      <c r="K543">
        <v>0</v>
      </c>
      <c r="L543">
        <f>IF(AND($J543=0,$K543=0),0,1)</f>
        <v>0</v>
      </c>
    </row>
    <row r="544" spans="1:13" x14ac:dyDescent="0.2">
      <c r="A544" t="s">
        <v>242</v>
      </c>
      <c r="B544" t="s">
        <v>71</v>
      </c>
      <c r="C544" t="s">
        <v>9</v>
      </c>
      <c r="D544">
        <v>4995</v>
      </c>
      <c r="E544">
        <v>2019</v>
      </c>
      <c r="F544">
        <v>13</v>
      </c>
      <c r="G544">
        <v>14266</v>
      </c>
      <c r="H544" s="1">
        <v>3</v>
      </c>
      <c r="I544">
        <v>26</v>
      </c>
      <c r="J544">
        <f>IF($H544=0,1,IF($I544&lt;=1,2,0))</f>
        <v>0</v>
      </c>
      <c r="K544">
        <v>0</v>
      </c>
      <c r="L544">
        <f>IF(AND($J544=0,$K544=0),0,1)</f>
        <v>0</v>
      </c>
    </row>
    <row r="545" spans="1:13" x14ac:dyDescent="0.2">
      <c r="A545" t="s">
        <v>242</v>
      </c>
      <c r="B545" t="s">
        <v>71</v>
      </c>
      <c r="C545" t="s">
        <v>9</v>
      </c>
      <c r="D545">
        <v>4995</v>
      </c>
      <c r="E545">
        <v>2019</v>
      </c>
      <c r="F545">
        <v>14</v>
      </c>
      <c r="G545">
        <v>14290</v>
      </c>
      <c r="H545" s="1">
        <v>3</v>
      </c>
      <c r="I545">
        <v>25</v>
      </c>
      <c r="J545">
        <f>IF($H545=0,1,IF($I545&lt;=1,2,0))</f>
        <v>0</v>
      </c>
      <c r="K545">
        <v>0</v>
      </c>
      <c r="L545">
        <f>IF(AND($J545=0,$K545=0),0,1)</f>
        <v>0</v>
      </c>
    </row>
    <row r="546" spans="1:13" x14ac:dyDescent="0.2">
      <c r="A546" t="s">
        <v>242</v>
      </c>
      <c r="B546" t="s">
        <v>71</v>
      </c>
      <c r="C546" t="s">
        <v>9</v>
      </c>
      <c r="D546">
        <v>4995</v>
      </c>
      <c r="E546">
        <v>2019</v>
      </c>
      <c r="F546" t="s">
        <v>253</v>
      </c>
      <c r="G546">
        <v>16334</v>
      </c>
      <c r="H546" s="1">
        <v>3</v>
      </c>
      <c r="I546">
        <v>16</v>
      </c>
      <c r="J546">
        <f>IF($H546=0,1,IF($I546&lt;=1,2,0))</f>
        <v>0</v>
      </c>
      <c r="K546">
        <v>0</v>
      </c>
      <c r="L546">
        <f>IF(AND($J546=0,$K546=0),0,1)</f>
        <v>0</v>
      </c>
      <c r="M546" t="s">
        <v>85</v>
      </c>
    </row>
    <row r="547" spans="1:13" x14ac:dyDescent="0.2">
      <c r="A547" t="s">
        <v>242</v>
      </c>
      <c r="B547" t="s">
        <v>71</v>
      </c>
      <c r="C547" t="s">
        <v>72</v>
      </c>
      <c r="D547">
        <v>6156</v>
      </c>
      <c r="E547">
        <v>2019</v>
      </c>
      <c r="F547">
        <v>1</v>
      </c>
      <c r="G547">
        <v>10677</v>
      </c>
      <c r="H547" s="1">
        <v>3</v>
      </c>
      <c r="I547">
        <v>82</v>
      </c>
      <c r="J547">
        <f>IF($H547=0,1,IF($I547&lt;=1,2,0))</f>
        <v>0</v>
      </c>
      <c r="K547">
        <v>0</v>
      </c>
      <c r="L547">
        <f>IF(AND($J547=0,$K547=0),0,1)</f>
        <v>0</v>
      </c>
    </row>
    <row r="548" spans="1:13" x14ac:dyDescent="0.2">
      <c r="A548" t="s">
        <v>242</v>
      </c>
      <c r="B548" t="s">
        <v>71</v>
      </c>
      <c r="C548" t="s">
        <v>72</v>
      </c>
      <c r="D548">
        <v>6156</v>
      </c>
      <c r="E548">
        <v>2019</v>
      </c>
      <c r="F548" t="s">
        <v>84</v>
      </c>
      <c r="G548">
        <v>16335</v>
      </c>
      <c r="H548" s="1">
        <v>3</v>
      </c>
      <c r="I548">
        <v>7</v>
      </c>
      <c r="J548">
        <f>IF($H548=0,1,IF($I548&lt;=1,2,0))</f>
        <v>0</v>
      </c>
      <c r="K548">
        <v>0</v>
      </c>
      <c r="L548">
        <f>IF(AND($J548=0,$K548=0),0,1)</f>
        <v>0</v>
      </c>
      <c r="M548" t="s">
        <v>85</v>
      </c>
    </row>
    <row r="549" spans="1:13" x14ac:dyDescent="0.2">
      <c r="A549" t="s">
        <v>242</v>
      </c>
      <c r="B549" t="s">
        <v>71</v>
      </c>
      <c r="C549" t="s">
        <v>72</v>
      </c>
      <c r="D549">
        <v>6185</v>
      </c>
      <c r="E549">
        <v>2019</v>
      </c>
      <c r="F549">
        <v>1</v>
      </c>
      <c r="G549">
        <v>35919</v>
      </c>
      <c r="H549" s="1">
        <v>3</v>
      </c>
      <c r="I549">
        <v>11</v>
      </c>
      <c r="J549">
        <f>IF($H549=0,1,IF($I549&lt;=1,2,0))</f>
        <v>0</v>
      </c>
      <c r="K549">
        <v>0</v>
      </c>
      <c r="L549">
        <f>IF(AND($J549=0,$K549=0),0,1)</f>
        <v>0</v>
      </c>
    </row>
    <row r="550" spans="1:13" x14ac:dyDescent="0.2">
      <c r="A550" t="s">
        <v>242</v>
      </c>
      <c r="B550" t="s">
        <v>71</v>
      </c>
      <c r="C550" t="s">
        <v>72</v>
      </c>
      <c r="D550">
        <v>6185</v>
      </c>
      <c r="E550">
        <v>2019</v>
      </c>
      <c r="F550" t="s">
        <v>84</v>
      </c>
      <c r="G550">
        <v>16336</v>
      </c>
      <c r="H550" s="1">
        <v>3</v>
      </c>
      <c r="I550">
        <v>5</v>
      </c>
      <c r="J550">
        <f>IF($H550=0,1,IF($I550&lt;=1,2,0))</f>
        <v>0</v>
      </c>
      <c r="K550">
        <v>0</v>
      </c>
      <c r="L550">
        <f>IF(AND($J550=0,$K550=0),0,1)</f>
        <v>0</v>
      </c>
      <c r="M550" t="s">
        <v>85</v>
      </c>
    </row>
    <row r="551" spans="1:13" x14ac:dyDescent="0.2">
      <c r="A551" t="s">
        <v>242</v>
      </c>
      <c r="B551" t="s">
        <v>71</v>
      </c>
      <c r="C551" t="s">
        <v>72</v>
      </c>
      <c r="D551">
        <v>6998</v>
      </c>
      <c r="E551">
        <v>2019</v>
      </c>
      <c r="F551">
        <v>8</v>
      </c>
      <c r="G551">
        <v>13101</v>
      </c>
      <c r="H551" s="1">
        <v>3</v>
      </c>
      <c r="I551">
        <v>106</v>
      </c>
      <c r="J551">
        <f>IF($H551=0,1,IF($I551&lt;=1,2,0))</f>
        <v>0</v>
      </c>
      <c r="K551">
        <v>0</v>
      </c>
      <c r="L551">
        <f>IF(AND($J551=0,$K551=0),0,1)</f>
        <v>0</v>
      </c>
    </row>
    <row r="552" spans="1:13" x14ac:dyDescent="0.2">
      <c r="A552" t="s">
        <v>242</v>
      </c>
      <c r="B552" t="s">
        <v>71</v>
      </c>
      <c r="C552" t="s">
        <v>72</v>
      </c>
      <c r="D552">
        <v>6998</v>
      </c>
      <c r="E552">
        <v>2019</v>
      </c>
      <c r="F552">
        <v>9</v>
      </c>
      <c r="G552">
        <v>13384</v>
      </c>
      <c r="H552" s="1">
        <v>3</v>
      </c>
      <c r="I552">
        <v>35</v>
      </c>
      <c r="J552">
        <f>IF($H552=0,1,IF($I552&lt;=1,2,0))</f>
        <v>0</v>
      </c>
      <c r="K552">
        <v>0</v>
      </c>
      <c r="L552">
        <f>IF(AND($J552=0,$K552=0),0,1)</f>
        <v>0</v>
      </c>
    </row>
    <row r="553" spans="1:13" x14ac:dyDescent="0.2">
      <c r="A553" t="s">
        <v>242</v>
      </c>
      <c r="B553" t="s">
        <v>71</v>
      </c>
      <c r="C553" t="s">
        <v>72</v>
      </c>
      <c r="D553">
        <v>6998</v>
      </c>
      <c r="E553">
        <v>2019</v>
      </c>
      <c r="F553">
        <v>7</v>
      </c>
      <c r="G553">
        <v>35967</v>
      </c>
      <c r="H553" s="1">
        <v>3</v>
      </c>
      <c r="I553">
        <v>33</v>
      </c>
      <c r="J553">
        <f>IF($H553=0,1,IF($I553&lt;=1,2,0))</f>
        <v>0</v>
      </c>
      <c r="K553">
        <v>0</v>
      </c>
      <c r="L553">
        <f>IF(AND($J553=0,$K553=0),0,1)</f>
        <v>0</v>
      </c>
    </row>
    <row r="554" spans="1:13" x14ac:dyDescent="0.2">
      <c r="A554" t="s">
        <v>242</v>
      </c>
      <c r="B554" t="s">
        <v>71</v>
      </c>
      <c r="C554" t="s">
        <v>72</v>
      </c>
      <c r="D554">
        <v>6998</v>
      </c>
      <c r="E554">
        <v>2019</v>
      </c>
      <c r="F554">
        <v>3</v>
      </c>
      <c r="G554">
        <v>35924</v>
      </c>
      <c r="H554" s="1">
        <v>3</v>
      </c>
      <c r="I554">
        <v>26</v>
      </c>
      <c r="J554">
        <f>IF($H554=0,1,IF($I554&lt;=1,2,0))</f>
        <v>0</v>
      </c>
      <c r="K554">
        <v>0</v>
      </c>
      <c r="L554">
        <f>IF(AND($J554=0,$K554=0),0,1)</f>
        <v>0</v>
      </c>
    </row>
    <row r="555" spans="1:13" x14ac:dyDescent="0.2">
      <c r="A555" t="s">
        <v>242</v>
      </c>
      <c r="B555" t="s">
        <v>71</v>
      </c>
      <c r="C555" t="s">
        <v>72</v>
      </c>
      <c r="D555">
        <v>6998</v>
      </c>
      <c r="E555">
        <v>2019</v>
      </c>
      <c r="F555">
        <v>12</v>
      </c>
      <c r="G555">
        <v>15099</v>
      </c>
      <c r="H555" s="1">
        <v>3</v>
      </c>
      <c r="I555">
        <v>26</v>
      </c>
      <c r="J555">
        <f>IF($H555=0,1,IF($I555&lt;=1,2,0))</f>
        <v>0</v>
      </c>
      <c r="K555">
        <v>0</v>
      </c>
      <c r="L555">
        <f>IF(AND($J555=0,$K555=0),0,1)</f>
        <v>0</v>
      </c>
    </row>
    <row r="556" spans="1:13" x14ac:dyDescent="0.2">
      <c r="A556" t="s">
        <v>242</v>
      </c>
      <c r="B556" t="s">
        <v>71</v>
      </c>
      <c r="C556" t="s">
        <v>72</v>
      </c>
      <c r="D556">
        <v>6998</v>
      </c>
      <c r="E556">
        <v>2019</v>
      </c>
      <c r="F556">
        <v>11</v>
      </c>
      <c r="G556">
        <v>14289</v>
      </c>
      <c r="H556" s="1">
        <v>3</v>
      </c>
      <c r="I556">
        <v>24</v>
      </c>
      <c r="J556">
        <f>IF($H556=0,1,IF($I556&lt;=1,2,0))</f>
        <v>0</v>
      </c>
      <c r="K556">
        <v>0</v>
      </c>
      <c r="L556">
        <f>IF(AND($J556=0,$K556=0),0,1)</f>
        <v>0</v>
      </c>
    </row>
    <row r="557" spans="1:13" x14ac:dyDescent="0.2">
      <c r="A557" t="s">
        <v>242</v>
      </c>
      <c r="B557" t="s">
        <v>71</v>
      </c>
      <c r="C557" t="s">
        <v>72</v>
      </c>
      <c r="D557">
        <v>6998</v>
      </c>
      <c r="E557">
        <v>2019</v>
      </c>
      <c r="F557">
        <v>13</v>
      </c>
      <c r="G557">
        <v>15453</v>
      </c>
      <c r="H557" s="1">
        <v>3</v>
      </c>
      <c r="I557">
        <v>23</v>
      </c>
      <c r="J557">
        <f>IF($H557=0,1,IF($I557&lt;=1,2,0))</f>
        <v>0</v>
      </c>
      <c r="K557">
        <v>0</v>
      </c>
      <c r="L557">
        <f>IF(AND($J557=0,$K557=0),0,1)</f>
        <v>0</v>
      </c>
    </row>
    <row r="558" spans="1:13" x14ac:dyDescent="0.2">
      <c r="A558" t="s">
        <v>242</v>
      </c>
      <c r="B558" t="s">
        <v>71</v>
      </c>
      <c r="C558" t="s">
        <v>72</v>
      </c>
      <c r="D558">
        <v>6998</v>
      </c>
      <c r="E558">
        <v>2019</v>
      </c>
      <c r="F558">
        <v>4</v>
      </c>
      <c r="G558">
        <v>35945</v>
      </c>
      <c r="H558" s="1">
        <v>3</v>
      </c>
      <c r="I558">
        <v>21</v>
      </c>
      <c r="J558">
        <f>IF($H558=0,1,IF($I558&lt;=1,2,0))</f>
        <v>0</v>
      </c>
      <c r="K558">
        <v>0</v>
      </c>
      <c r="L558">
        <f>IF(AND($J558=0,$K558=0),0,1)</f>
        <v>0</v>
      </c>
    </row>
    <row r="559" spans="1:13" x14ac:dyDescent="0.2">
      <c r="A559" t="s">
        <v>242</v>
      </c>
      <c r="B559" t="s">
        <v>71</v>
      </c>
      <c r="C559" t="s">
        <v>72</v>
      </c>
      <c r="D559">
        <v>6998</v>
      </c>
      <c r="E559">
        <v>2019</v>
      </c>
      <c r="F559">
        <v>1</v>
      </c>
      <c r="G559">
        <v>35911</v>
      </c>
      <c r="H559" s="1">
        <v>3</v>
      </c>
      <c r="I559">
        <v>20</v>
      </c>
      <c r="J559">
        <f>IF($H559=0,1,IF($I559&lt;=1,2,0))</f>
        <v>0</v>
      </c>
      <c r="K559">
        <v>0</v>
      </c>
      <c r="L559">
        <f>IF(AND($J559=0,$K559=0),0,1)</f>
        <v>0</v>
      </c>
    </row>
    <row r="560" spans="1:13" x14ac:dyDescent="0.2">
      <c r="A560" t="s">
        <v>242</v>
      </c>
      <c r="B560" t="s">
        <v>71</v>
      </c>
      <c r="C560" t="s">
        <v>72</v>
      </c>
      <c r="D560">
        <v>6998</v>
      </c>
      <c r="E560">
        <v>2019</v>
      </c>
      <c r="F560">
        <v>6</v>
      </c>
      <c r="G560">
        <v>35964</v>
      </c>
      <c r="H560" s="1">
        <v>3</v>
      </c>
      <c r="I560">
        <v>17</v>
      </c>
      <c r="J560">
        <f>IF($H560=0,1,IF($I560&lt;=1,2,0))</f>
        <v>0</v>
      </c>
      <c r="K560">
        <v>0</v>
      </c>
      <c r="L560">
        <f>IF(AND($J560=0,$K560=0),0,1)</f>
        <v>0</v>
      </c>
    </row>
    <row r="561" spans="1:13" x14ac:dyDescent="0.2">
      <c r="A561" t="s">
        <v>242</v>
      </c>
      <c r="B561" t="s">
        <v>71</v>
      </c>
      <c r="C561" t="s">
        <v>72</v>
      </c>
      <c r="D561">
        <v>6998</v>
      </c>
      <c r="E561">
        <v>2019</v>
      </c>
      <c r="F561">
        <v>5</v>
      </c>
      <c r="G561">
        <v>35962</v>
      </c>
      <c r="H561" s="1">
        <v>3</v>
      </c>
      <c r="I561">
        <v>14</v>
      </c>
      <c r="J561">
        <f>IF($H561=0,1,IF($I561&lt;=1,2,0))</f>
        <v>0</v>
      </c>
      <c r="K561">
        <v>0</v>
      </c>
      <c r="L561">
        <f>IF(AND($J561=0,$K561=0),0,1)</f>
        <v>0</v>
      </c>
    </row>
    <row r="562" spans="1:13" x14ac:dyDescent="0.2">
      <c r="A562" t="s">
        <v>242</v>
      </c>
      <c r="B562" t="s">
        <v>71</v>
      </c>
      <c r="C562" t="s">
        <v>72</v>
      </c>
      <c r="D562">
        <v>6998</v>
      </c>
      <c r="E562">
        <v>2019</v>
      </c>
      <c r="F562">
        <v>10</v>
      </c>
      <c r="G562">
        <v>14277</v>
      </c>
      <c r="H562" s="1">
        <v>3</v>
      </c>
      <c r="I562">
        <v>13</v>
      </c>
      <c r="J562">
        <f>IF($H562=0,1,IF($I562&lt;=1,2,0))</f>
        <v>0</v>
      </c>
      <c r="K562">
        <v>0</v>
      </c>
      <c r="L562">
        <f>IF(AND($J562=0,$K562=0),0,1)</f>
        <v>0</v>
      </c>
    </row>
    <row r="563" spans="1:13" x14ac:dyDescent="0.2">
      <c r="A563" t="s">
        <v>242</v>
      </c>
      <c r="B563" t="s">
        <v>71</v>
      </c>
      <c r="C563" t="s">
        <v>72</v>
      </c>
      <c r="D563">
        <v>6998</v>
      </c>
      <c r="E563">
        <v>2019</v>
      </c>
      <c r="F563">
        <v>2</v>
      </c>
      <c r="G563">
        <v>35923</v>
      </c>
      <c r="H563" s="1">
        <v>3</v>
      </c>
      <c r="I563">
        <v>9</v>
      </c>
      <c r="J563">
        <f>IF($H563=0,1,IF($I563&lt;=1,2,0))</f>
        <v>0</v>
      </c>
      <c r="K563">
        <v>0</v>
      </c>
      <c r="L563">
        <f>IF(AND($J563=0,$K563=0),0,1)</f>
        <v>0</v>
      </c>
    </row>
    <row r="564" spans="1:13" x14ac:dyDescent="0.2">
      <c r="A564" t="s">
        <v>242</v>
      </c>
      <c r="B564" t="s">
        <v>71</v>
      </c>
      <c r="C564" t="s">
        <v>72</v>
      </c>
      <c r="D564">
        <v>6998</v>
      </c>
      <c r="E564">
        <v>2019</v>
      </c>
      <c r="F564" t="s">
        <v>254</v>
      </c>
      <c r="G564">
        <v>16337</v>
      </c>
      <c r="H564" s="1">
        <v>3</v>
      </c>
      <c r="I564">
        <v>7</v>
      </c>
      <c r="J564">
        <f>IF($H564=0,1,IF($I564&lt;=1,2,0))</f>
        <v>0</v>
      </c>
      <c r="K564">
        <v>0</v>
      </c>
      <c r="L564">
        <f>IF(AND($J564=0,$K564=0),0,1)</f>
        <v>0</v>
      </c>
      <c r="M564" t="s">
        <v>85</v>
      </c>
    </row>
    <row r="565" spans="1:13" x14ac:dyDescent="0.2">
      <c r="A565" t="s">
        <v>255</v>
      </c>
      <c r="B565" t="s">
        <v>17</v>
      </c>
      <c r="C565" t="s">
        <v>9</v>
      </c>
      <c r="D565">
        <v>3980</v>
      </c>
      <c r="E565">
        <v>2019</v>
      </c>
      <c r="F565">
        <v>1</v>
      </c>
      <c r="G565">
        <v>18204</v>
      </c>
      <c r="H565" s="1">
        <v>3</v>
      </c>
      <c r="I565">
        <v>8</v>
      </c>
      <c r="J565">
        <f>IF($H565=0,1,IF($I565&lt;=1,2,0))</f>
        <v>0</v>
      </c>
      <c r="K565">
        <v>0</v>
      </c>
      <c r="L565">
        <f>IF(AND($J565=0,$K565=0),0,1)</f>
        <v>0</v>
      </c>
      <c r="M565" t="s">
        <v>256</v>
      </c>
    </row>
    <row r="566" spans="1:13" x14ac:dyDescent="0.2">
      <c r="A566" t="s">
        <v>255</v>
      </c>
      <c r="B566" t="s">
        <v>17</v>
      </c>
      <c r="C566" t="s">
        <v>21</v>
      </c>
      <c r="D566">
        <v>3991</v>
      </c>
      <c r="E566">
        <v>2019</v>
      </c>
      <c r="F566">
        <v>1</v>
      </c>
      <c r="G566">
        <v>20188</v>
      </c>
      <c r="H566" s="1">
        <v>3</v>
      </c>
      <c r="I566">
        <v>20</v>
      </c>
      <c r="J566">
        <f>IF($H566=0,1,IF($I566&lt;=1,2,0))</f>
        <v>0</v>
      </c>
      <c r="K566">
        <v>0</v>
      </c>
      <c r="L566">
        <f>IF(AND($J566=0,$K566=0),0,1)</f>
        <v>0</v>
      </c>
    </row>
    <row r="567" spans="1:13" x14ac:dyDescent="0.2">
      <c r="A567" t="s">
        <v>255</v>
      </c>
      <c r="B567" t="s">
        <v>17</v>
      </c>
      <c r="C567" t="s">
        <v>9</v>
      </c>
      <c r="D567">
        <v>4111</v>
      </c>
      <c r="E567">
        <v>2019</v>
      </c>
      <c r="F567">
        <v>1</v>
      </c>
      <c r="G567">
        <v>58853</v>
      </c>
      <c r="H567" s="1">
        <v>4</v>
      </c>
      <c r="I567">
        <v>17</v>
      </c>
      <c r="J567">
        <f>IF($H567=0,1,IF($I567&lt;=1,2,0))</f>
        <v>0</v>
      </c>
      <c r="K567">
        <v>0</v>
      </c>
      <c r="L567">
        <f>IF(AND($J567=0,$K567=0),0,1)</f>
        <v>0</v>
      </c>
    </row>
    <row r="568" spans="1:13" x14ac:dyDescent="0.2">
      <c r="A568" t="s">
        <v>255</v>
      </c>
      <c r="B568" t="s">
        <v>17</v>
      </c>
      <c r="C568" t="s">
        <v>9</v>
      </c>
      <c r="D568">
        <v>4145</v>
      </c>
      <c r="E568">
        <v>2019</v>
      </c>
      <c r="F568">
        <v>1</v>
      </c>
      <c r="G568">
        <v>20191</v>
      </c>
      <c r="H568" s="1">
        <v>4</v>
      </c>
      <c r="I568">
        <v>9</v>
      </c>
      <c r="J568">
        <f>IF($H568=0,1,IF($I568&lt;=1,2,0))</f>
        <v>0</v>
      </c>
      <c r="K568">
        <v>0</v>
      </c>
      <c r="L568">
        <f>IF(AND($J568=0,$K568=0),0,1)</f>
        <v>0</v>
      </c>
    </row>
    <row r="569" spans="1:13" x14ac:dyDescent="0.2">
      <c r="A569" t="s">
        <v>255</v>
      </c>
      <c r="B569" t="s">
        <v>17</v>
      </c>
      <c r="C569" t="s">
        <v>11</v>
      </c>
      <c r="D569">
        <v>4152</v>
      </c>
      <c r="E569">
        <v>2019</v>
      </c>
      <c r="F569">
        <v>1</v>
      </c>
      <c r="G569">
        <v>58852</v>
      </c>
      <c r="H569" s="1">
        <v>4</v>
      </c>
      <c r="I569">
        <v>8</v>
      </c>
      <c r="J569">
        <f>IF($H569=0,1,IF($I569&lt;=1,2,0))</f>
        <v>0</v>
      </c>
      <c r="K569">
        <v>0</v>
      </c>
      <c r="L569">
        <f>IF(AND($J569=0,$K569=0),0,1)</f>
        <v>0</v>
      </c>
    </row>
    <row r="570" spans="1:13" x14ac:dyDescent="0.2">
      <c r="A570" t="s">
        <v>255</v>
      </c>
      <c r="B570" t="s">
        <v>17</v>
      </c>
      <c r="C570" t="s">
        <v>11</v>
      </c>
      <c r="D570">
        <v>6100</v>
      </c>
      <c r="E570">
        <v>2019</v>
      </c>
      <c r="F570">
        <v>1</v>
      </c>
      <c r="G570">
        <v>20177</v>
      </c>
      <c r="H570" s="1">
        <v>3</v>
      </c>
      <c r="I570">
        <v>5</v>
      </c>
      <c r="J570">
        <f>IF($H570=0,1,IF($I570&lt;=1,2,0))</f>
        <v>0</v>
      </c>
      <c r="K570">
        <v>0</v>
      </c>
      <c r="L570">
        <f>IF(AND($J570=0,$K570=0),0,1)</f>
        <v>0</v>
      </c>
      <c r="M570" t="s">
        <v>1921</v>
      </c>
    </row>
    <row r="571" spans="1:13" x14ac:dyDescent="0.2">
      <c r="A571" t="s">
        <v>255</v>
      </c>
      <c r="B571" t="s">
        <v>17</v>
      </c>
      <c r="C571" t="s">
        <v>11</v>
      </c>
      <c r="D571">
        <v>6111</v>
      </c>
      <c r="E571">
        <v>2019</v>
      </c>
      <c r="F571">
        <v>1</v>
      </c>
      <c r="G571">
        <v>20192</v>
      </c>
      <c r="H571" s="1">
        <v>3</v>
      </c>
      <c r="I571">
        <v>15</v>
      </c>
      <c r="J571">
        <f>IF($H571=0,1,IF($I571&lt;=1,2,0))</f>
        <v>0</v>
      </c>
      <c r="K571">
        <v>0</v>
      </c>
      <c r="L571">
        <f>IF(AND($J571=0,$K571=0),0,1)</f>
        <v>0</v>
      </c>
    </row>
    <row r="572" spans="1:13" x14ac:dyDescent="0.2">
      <c r="A572" t="s">
        <v>255</v>
      </c>
      <c r="B572" t="s">
        <v>17</v>
      </c>
      <c r="C572" t="s">
        <v>11</v>
      </c>
      <c r="D572">
        <v>6322</v>
      </c>
      <c r="E572">
        <v>2019</v>
      </c>
      <c r="F572">
        <v>1</v>
      </c>
      <c r="G572">
        <v>58854</v>
      </c>
      <c r="H572" s="1">
        <v>4</v>
      </c>
      <c r="I572">
        <v>12</v>
      </c>
      <c r="J572">
        <f>IF($H572=0,1,IF($I572&lt;=1,2,0))</f>
        <v>0</v>
      </c>
      <c r="K572">
        <v>0</v>
      </c>
      <c r="L572">
        <f>IF(AND($J572=0,$K572=0),0,1)</f>
        <v>0</v>
      </c>
      <c r="M572" t="s">
        <v>257</v>
      </c>
    </row>
    <row r="573" spans="1:13" x14ac:dyDescent="0.2">
      <c r="A573" t="s">
        <v>255</v>
      </c>
      <c r="B573" t="s">
        <v>17</v>
      </c>
      <c r="C573" t="s">
        <v>11</v>
      </c>
      <c r="D573">
        <v>6454</v>
      </c>
      <c r="E573">
        <v>2019</v>
      </c>
      <c r="F573">
        <v>1</v>
      </c>
      <c r="G573">
        <v>58851</v>
      </c>
      <c r="H573" s="1">
        <v>3</v>
      </c>
      <c r="I573">
        <v>3</v>
      </c>
      <c r="J573">
        <f>IF($H573=0,1,IF($I573&lt;=1,2,0))</f>
        <v>0</v>
      </c>
      <c r="K573">
        <v>0</v>
      </c>
      <c r="L573">
        <f>IF(AND($J573=0,$K573=0),0,1)</f>
        <v>0</v>
      </c>
    </row>
    <row r="574" spans="1:13" x14ac:dyDescent="0.2">
      <c r="A574" t="s">
        <v>255</v>
      </c>
      <c r="B574" t="s">
        <v>17</v>
      </c>
      <c r="C574" t="s">
        <v>11</v>
      </c>
      <c r="D574">
        <v>8867</v>
      </c>
      <c r="E574">
        <v>2019</v>
      </c>
      <c r="F574">
        <v>1</v>
      </c>
      <c r="G574">
        <v>20174</v>
      </c>
      <c r="H574" s="1">
        <v>3</v>
      </c>
      <c r="I574">
        <v>5</v>
      </c>
      <c r="J574">
        <f>IF($H574=0,1,IF($I574&lt;=1,2,0))</f>
        <v>0</v>
      </c>
      <c r="K574">
        <v>0</v>
      </c>
      <c r="L574">
        <f>IF(AND($J574=0,$K574=0),0,1)</f>
        <v>0</v>
      </c>
    </row>
    <row r="575" spans="1:13" x14ac:dyDescent="0.2">
      <c r="A575" t="s">
        <v>261</v>
      </c>
      <c r="B575" t="s">
        <v>71</v>
      </c>
      <c r="C575" t="s">
        <v>9</v>
      </c>
      <c r="D575">
        <v>3827</v>
      </c>
      <c r="E575">
        <v>2019</v>
      </c>
      <c r="F575">
        <v>2</v>
      </c>
      <c r="G575">
        <v>35928</v>
      </c>
      <c r="H575" s="1">
        <v>3</v>
      </c>
      <c r="I575">
        <v>88</v>
      </c>
      <c r="J575">
        <f>IF($H575=0,1,IF($I575&lt;=1,2,0))</f>
        <v>0</v>
      </c>
      <c r="K575">
        <v>0</v>
      </c>
      <c r="L575">
        <f>IF(AND($J575=0,$K575=0),0,1)</f>
        <v>0</v>
      </c>
    </row>
    <row r="576" spans="1:13" x14ac:dyDescent="0.2">
      <c r="A576" t="s">
        <v>261</v>
      </c>
      <c r="B576" t="s">
        <v>71</v>
      </c>
      <c r="C576" t="s">
        <v>9</v>
      </c>
      <c r="D576">
        <v>3827</v>
      </c>
      <c r="E576">
        <v>2019</v>
      </c>
      <c r="F576">
        <v>1</v>
      </c>
      <c r="G576">
        <v>35927</v>
      </c>
      <c r="H576" s="1">
        <v>3</v>
      </c>
      <c r="I576">
        <v>75</v>
      </c>
      <c r="J576">
        <f>IF($H576=0,1,IF($I576&lt;=1,2,0))</f>
        <v>0</v>
      </c>
      <c r="K576">
        <v>0</v>
      </c>
      <c r="L576">
        <f>IF(AND($J576=0,$K576=0),0,1)</f>
        <v>0</v>
      </c>
    </row>
    <row r="577" spans="1:13" x14ac:dyDescent="0.2">
      <c r="A577" t="s">
        <v>261</v>
      </c>
      <c r="B577" t="s">
        <v>71</v>
      </c>
      <c r="C577" t="s">
        <v>9</v>
      </c>
      <c r="D577">
        <v>4119</v>
      </c>
      <c r="E577">
        <v>2019</v>
      </c>
      <c r="F577">
        <v>1</v>
      </c>
      <c r="G577">
        <v>98822</v>
      </c>
      <c r="H577" s="1">
        <v>3</v>
      </c>
      <c r="I577">
        <v>108</v>
      </c>
      <c r="J577">
        <f>IF($H577=0,1,IF($I577&lt;=1,2,0))</f>
        <v>0</v>
      </c>
      <c r="K577">
        <v>0</v>
      </c>
      <c r="L577">
        <f>IF(AND($J577=0,$K577=0),0,1)</f>
        <v>0</v>
      </c>
    </row>
    <row r="578" spans="1:13" x14ac:dyDescent="0.2">
      <c r="A578" t="s">
        <v>261</v>
      </c>
      <c r="B578" t="s">
        <v>71</v>
      </c>
      <c r="C578" t="s">
        <v>9</v>
      </c>
      <c r="D578">
        <v>4140</v>
      </c>
      <c r="E578">
        <v>2019</v>
      </c>
      <c r="F578">
        <v>1</v>
      </c>
      <c r="G578">
        <v>98713</v>
      </c>
      <c r="H578" s="1">
        <v>3</v>
      </c>
      <c r="I578">
        <v>11</v>
      </c>
      <c r="J578">
        <f>IF($H578=0,1,IF($I578&lt;=1,2,0))</f>
        <v>0</v>
      </c>
      <c r="K578">
        <v>0</v>
      </c>
      <c r="L578">
        <f>IF(AND($J578=0,$K578=0),0,1)</f>
        <v>0</v>
      </c>
    </row>
    <row r="579" spans="1:13" x14ac:dyDescent="0.2">
      <c r="A579" t="s">
        <v>261</v>
      </c>
      <c r="B579" t="s">
        <v>71</v>
      </c>
      <c r="C579" t="s">
        <v>9</v>
      </c>
      <c r="D579">
        <v>4823</v>
      </c>
      <c r="E579">
        <v>2019</v>
      </c>
      <c r="F579">
        <v>1</v>
      </c>
      <c r="G579">
        <v>98795</v>
      </c>
      <c r="H579" s="1">
        <v>3</v>
      </c>
      <c r="I579">
        <v>36</v>
      </c>
      <c r="J579">
        <f>IF($H579=0,1,IF($I579&lt;=1,2,0))</f>
        <v>0</v>
      </c>
      <c r="K579">
        <v>0</v>
      </c>
      <c r="L579">
        <f>IF(AND($J579=0,$K579=0),0,1)</f>
        <v>0</v>
      </c>
    </row>
    <row r="580" spans="1:13" x14ac:dyDescent="0.2">
      <c r="A580" t="s">
        <v>261</v>
      </c>
      <c r="B580" t="s">
        <v>71</v>
      </c>
      <c r="C580" t="s">
        <v>9</v>
      </c>
      <c r="D580">
        <v>4824</v>
      </c>
      <c r="E580">
        <v>2019</v>
      </c>
      <c r="F580">
        <v>1</v>
      </c>
      <c r="G580">
        <v>35938</v>
      </c>
      <c r="H580" s="1">
        <v>3</v>
      </c>
      <c r="I580">
        <v>38</v>
      </c>
      <c r="J580">
        <f>IF($H580=0,1,IF($I580&lt;=1,2,0))</f>
        <v>0</v>
      </c>
      <c r="K580">
        <v>0</v>
      </c>
      <c r="L580">
        <f>IF(AND($J580=0,$K580=0),0,1)</f>
        <v>0</v>
      </c>
    </row>
    <row r="581" spans="1:13" x14ac:dyDescent="0.2">
      <c r="A581" t="s">
        <v>261</v>
      </c>
      <c r="B581" t="s">
        <v>71</v>
      </c>
      <c r="C581" t="s">
        <v>9</v>
      </c>
      <c r="D581">
        <v>4868</v>
      </c>
      <c r="E581">
        <v>2019</v>
      </c>
      <c r="F581">
        <v>1</v>
      </c>
      <c r="G581">
        <v>35910</v>
      </c>
      <c r="H581" s="1">
        <v>3</v>
      </c>
      <c r="I581">
        <v>31</v>
      </c>
      <c r="J581">
        <f>IF($H581=0,1,IF($I581&lt;=1,2,0))</f>
        <v>0</v>
      </c>
      <c r="K581">
        <v>0</v>
      </c>
      <c r="L581">
        <f>IF(AND($J581=0,$K581=0),0,1)</f>
        <v>0</v>
      </c>
    </row>
    <row r="582" spans="1:13" x14ac:dyDescent="0.2">
      <c r="A582" t="s">
        <v>261</v>
      </c>
      <c r="B582" t="s">
        <v>71</v>
      </c>
      <c r="C582" t="s">
        <v>72</v>
      </c>
      <c r="D582">
        <v>6863</v>
      </c>
      <c r="E582">
        <v>2019</v>
      </c>
      <c r="F582">
        <v>1</v>
      </c>
      <c r="G582">
        <v>35968</v>
      </c>
      <c r="H582" s="1">
        <v>3</v>
      </c>
      <c r="I582">
        <v>37</v>
      </c>
      <c r="J582">
        <f>IF($H582=0,1,IF($I582&lt;=1,2,0))</f>
        <v>0</v>
      </c>
      <c r="K582">
        <v>0</v>
      </c>
      <c r="L582">
        <f>IF(AND($J582=0,$K582=0),0,1)</f>
        <v>0</v>
      </c>
    </row>
    <row r="583" spans="1:13" x14ac:dyDescent="0.2">
      <c r="A583" t="s">
        <v>262</v>
      </c>
      <c r="B583" t="s">
        <v>6</v>
      </c>
      <c r="C583" t="s">
        <v>9</v>
      </c>
      <c r="D583">
        <v>1040</v>
      </c>
      <c r="E583">
        <v>2019</v>
      </c>
      <c r="F583">
        <v>1</v>
      </c>
      <c r="G583">
        <v>57870</v>
      </c>
      <c r="H583" s="1">
        <v>3</v>
      </c>
      <c r="I583">
        <v>18</v>
      </c>
      <c r="J583">
        <f>IF($H583=0,1,IF($I583&lt;=1,2,0))</f>
        <v>0</v>
      </c>
      <c r="K583">
        <v>0</v>
      </c>
      <c r="L583">
        <f>IF(AND($J583=0,$K583=0),0,1)</f>
        <v>0</v>
      </c>
      <c r="M583" t="s">
        <v>263</v>
      </c>
    </row>
    <row r="584" spans="1:13" x14ac:dyDescent="0.2">
      <c r="A584" t="s">
        <v>262</v>
      </c>
      <c r="B584" t="s">
        <v>6</v>
      </c>
      <c r="C584" t="s">
        <v>9</v>
      </c>
      <c r="D584">
        <v>3219</v>
      </c>
      <c r="E584">
        <v>2019</v>
      </c>
      <c r="F584">
        <v>1</v>
      </c>
      <c r="G584">
        <v>57896</v>
      </c>
      <c r="H584" s="1">
        <v>4</v>
      </c>
      <c r="I584">
        <v>24</v>
      </c>
      <c r="J584">
        <f>IF($H584=0,1,IF($I584&lt;=1,2,0))</f>
        <v>0</v>
      </c>
      <c r="K584">
        <v>0</v>
      </c>
      <c r="L584">
        <f>IF(AND($J584=0,$K584=0),0,1)</f>
        <v>0</v>
      </c>
    </row>
    <row r="585" spans="1:13" x14ac:dyDescent="0.2">
      <c r="A585" t="s">
        <v>262</v>
      </c>
      <c r="B585" t="s">
        <v>6</v>
      </c>
      <c r="C585" t="s">
        <v>9</v>
      </c>
      <c r="D585">
        <v>3490</v>
      </c>
      <c r="E585">
        <v>2019</v>
      </c>
      <c r="F585">
        <v>1</v>
      </c>
      <c r="G585">
        <v>57887</v>
      </c>
      <c r="H585" s="1">
        <v>4</v>
      </c>
      <c r="I585">
        <v>22</v>
      </c>
      <c r="J585">
        <f>IF($H585=0,1,IF($I585&lt;=1,2,0))</f>
        <v>0</v>
      </c>
      <c r="K585">
        <v>0</v>
      </c>
      <c r="L585">
        <f>IF(AND($J585=0,$K585=0),0,1)</f>
        <v>0</v>
      </c>
    </row>
    <row r="586" spans="1:13" x14ac:dyDescent="0.2">
      <c r="A586" t="s">
        <v>262</v>
      </c>
      <c r="B586" t="s">
        <v>6</v>
      </c>
      <c r="C586" t="s">
        <v>9</v>
      </c>
      <c r="D586">
        <v>3904</v>
      </c>
      <c r="E586">
        <v>2019</v>
      </c>
      <c r="F586">
        <v>1</v>
      </c>
      <c r="G586">
        <v>57874</v>
      </c>
      <c r="H586" s="1">
        <v>4</v>
      </c>
      <c r="I586">
        <v>13</v>
      </c>
      <c r="J586">
        <f>IF($H586=0,1,IF($I586&lt;=1,2,0))</f>
        <v>0</v>
      </c>
      <c r="K586">
        <v>0</v>
      </c>
      <c r="L586">
        <f>IF(AND($J586=0,$K586=0),0,1)</f>
        <v>0</v>
      </c>
    </row>
    <row r="587" spans="1:13" x14ac:dyDescent="0.2">
      <c r="A587" t="s">
        <v>262</v>
      </c>
      <c r="B587" t="s">
        <v>6</v>
      </c>
      <c r="C587" t="s">
        <v>9</v>
      </c>
      <c r="D587">
        <v>3905</v>
      </c>
      <c r="E587">
        <v>2019</v>
      </c>
      <c r="F587">
        <v>1</v>
      </c>
      <c r="G587">
        <v>57885</v>
      </c>
      <c r="H587" s="1">
        <v>4</v>
      </c>
      <c r="I587">
        <v>18</v>
      </c>
      <c r="J587">
        <f>IF($H587=0,1,IF($I587&lt;=1,2,0))</f>
        <v>0</v>
      </c>
      <c r="K587">
        <v>0</v>
      </c>
      <c r="L587">
        <f>IF(AND($J587=0,$K587=0),0,1)</f>
        <v>0</v>
      </c>
    </row>
    <row r="588" spans="1:13" x14ac:dyDescent="0.2">
      <c r="A588" t="s">
        <v>262</v>
      </c>
      <c r="B588" t="s">
        <v>6</v>
      </c>
      <c r="C588" t="s">
        <v>9</v>
      </c>
      <c r="D588">
        <v>3919</v>
      </c>
      <c r="E588">
        <v>2019</v>
      </c>
      <c r="F588">
        <v>1</v>
      </c>
      <c r="G588">
        <v>57888</v>
      </c>
      <c r="H588" s="1">
        <v>4</v>
      </c>
      <c r="I588">
        <v>9</v>
      </c>
      <c r="J588">
        <f>IF($H588=0,1,IF($I588&lt;=1,2,0))</f>
        <v>0</v>
      </c>
      <c r="K588">
        <v>0</v>
      </c>
      <c r="L588">
        <f>IF(AND($J588=0,$K588=0),0,1)</f>
        <v>0</v>
      </c>
    </row>
    <row r="589" spans="1:13" x14ac:dyDescent="0.2">
      <c r="A589" t="s">
        <v>262</v>
      </c>
      <c r="B589" t="s">
        <v>6</v>
      </c>
      <c r="C589" t="s">
        <v>9</v>
      </c>
      <c r="D589">
        <v>3922</v>
      </c>
      <c r="E589">
        <v>2019</v>
      </c>
      <c r="F589">
        <v>1</v>
      </c>
      <c r="G589">
        <v>57871</v>
      </c>
      <c r="H589" s="1">
        <v>4</v>
      </c>
      <c r="I589">
        <v>23</v>
      </c>
      <c r="J589">
        <f>IF($H589=0,1,IF($I589&lt;=1,2,0))</f>
        <v>0</v>
      </c>
      <c r="K589">
        <v>0</v>
      </c>
      <c r="L589">
        <f>IF(AND($J589=0,$K589=0),0,1)</f>
        <v>0</v>
      </c>
    </row>
    <row r="590" spans="1:13" x14ac:dyDescent="0.2">
      <c r="A590" t="s">
        <v>262</v>
      </c>
      <c r="B590" t="s">
        <v>6</v>
      </c>
      <c r="C590" t="s">
        <v>9</v>
      </c>
      <c r="D590">
        <v>3923</v>
      </c>
      <c r="E590">
        <v>2019</v>
      </c>
      <c r="F590">
        <v>1</v>
      </c>
      <c r="G590">
        <v>57889</v>
      </c>
      <c r="H590" s="1">
        <v>4</v>
      </c>
      <c r="I590">
        <v>17</v>
      </c>
      <c r="J590">
        <f>IF($H590=0,1,IF($I590&lt;=1,2,0))</f>
        <v>0</v>
      </c>
      <c r="K590">
        <v>0</v>
      </c>
      <c r="L590">
        <f>IF(AND($J590=0,$K590=0),0,1)</f>
        <v>0</v>
      </c>
    </row>
    <row r="591" spans="1:13" x14ac:dyDescent="0.2">
      <c r="A591" t="s">
        <v>262</v>
      </c>
      <c r="B591" t="s">
        <v>6</v>
      </c>
      <c r="C591" t="s">
        <v>9</v>
      </c>
      <c r="D591">
        <v>3926</v>
      </c>
      <c r="E591">
        <v>2019</v>
      </c>
      <c r="F591">
        <v>1</v>
      </c>
      <c r="G591">
        <v>57890</v>
      </c>
      <c r="H591" s="1">
        <v>4</v>
      </c>
      <c r="I591">
        <v>22</v>
      </c>
      <c r="J591">
        <f>IF($H591=0,1,IF($I591&lt;=1,2,0))</f>
        <v>0</v>
      </c>
      <c r="K591">
        <v>0</v>
      </c>
      <c r="L591">
        <f>IF(AND($J591=0,$K591=0),0,1)</f>
        <v>0</v>
      </c>
    </row>
    <row r="592" spans="1:13" x14ac:dyDescent="0.2">
      <c r="A592" t="s">
        <v>262</v>
      </c>
      <c r="B592" t="s">
        <v>6</v>
      </c>
      <c r="C592" t="s">
        <v>9</v>
      </c>
      <c r="D592">
        <v>3928</v>
      </c>
      <c r="E592">
        <v>2019</v>
      </c>
      <c r="F592">
        <v>1</v>
      </c>
      <c r="G592">
        <v>57875</v>
      </c>
      <c r="H592" s="1">
        <v>4</v>
      </c>
      <c r="I592">
        <v>19</v>
      </c>
      <c r="J592">
        <f>IF($H592=0,1,IF($I592&lt;=1,2,0))</f>
        <v>0</v>
      </c>
      <c r="K592">
        <v>0</v>
      </c>
      <c r="L592">
        <f>IF(AND($J592=0,$K592=0),0,1)</f>
        <v>0</v>
      </c>
      <c r="M592" t="s">
        <v>264</v>
      </c>
    </row>
    <row r="593" spans="1:13" x14ac:dyDescent="0.2">
      <c r="A593" t="s">
        <v>262</v>
      </c>
      <c r="B593" t="s">
        <v>6</v>
      </c>
      <c r="C593" t="s">
        <v>9</v>
      </c>
      <c r="D593">
        <v>3932</v>
      </c>
      <c r="E593">
        <v>2019</v>
      </c>
      <c r="F593">
        <v>1</v>
      </c>
      <c r="G593">
        <v>16461</v>
      </c>
      <c r="H593" s="1">
        <v>4</v>
      </c>
      <c r="I593">
        <v>16</v>
      </c>
      <c r="J593">
        <f>IF($H593=0,1,IF($I593&lt;=1,2,0))</f>
        <v>0</v>
      </c>
      <c r="K593">
        <v>0</v>
      </c>
      <c r="L593">
        <f>IF(AND($J593=0,$K593=0),0,1)</f>
        <v>0</v>
      </c>
    </row>
    <row r="594" spans="1:13" x14ac:dyDescent="0.2">
      <c r="A594" t="s">
        <v>262</v>
      </c>
      <c r="B594" t="s">
        <v>6</v>
      </c>
      <c r="C594" t="s">
        <v>11</v>
      </c>
      <c r="D594">
        <v>4000</v>
      </c>
      <c r="E594">
        <v>2019</v>
      </c>
      <c r="F594">
        <v>1</v>
      </c>
      <c r="G594">
        <v>57876</v>
      </c>
      <c r="H594" s="1">
        <v>3</v>
      </c>
      <c r="I594">
        <v>13</v>
      </c>
      <c r="J594">
        <f>IF($H594=0,1,IF($I594&lt;=1,2,0))</f>
        <v>0</v>
      </c>
      <c r="K594">
        <v>0</v>
      </c>
      <c r="L594">
        <f>IF(AND($J594=0,$K594=0),0,1)</f>
        <v>0</v>
      </c>
    </row>
    <row r="595" spans="1:13" x14ac:dyDescent="0.2">
      <c r="A595" t="s">
        <v>262</v>
      </c>
      <c r="B595" t="s">
        <v>6</v>
      </c>
      <c r="C595" t="s">
        <v>9</v>
      </c>
      <c r="D595">
        <v>4360</v>
      </c>
      <c r="E595">
        <v>2019</v>
      </c>
      <c r="F595">
        <v>1</v>
      </c>
      <c r="G595">
        <v>57877</v>
      </c>
      <c r="H595" s="1">
        <v>4</v>
      </c>
      <c r="I595">
        <v>22</v>
      </c>
      <c r="J595">
        <f>IF($H595=0,1,IF($I595&lt;=1,2,0))</f>
        <v>0</v>
      </c>
      <c r="K595">
        <v>0</v>
      </c>
      <c r="L595">
        <f>IF(AND($J595=0,$K595=0),0,1)</f>
        <v>0</v>
      </c>
    </row>
    <row r="596" spans="1:13" x14ac:dyDescent="0.2">
      <c r="A596" t="s">
        <v>265</v>
      </c>
      <c r="B596" t="s">
        <v>71</v>
      </c>
      <c r="C596" t="s">
        <v>9</v>
      </c>
      <c r="D596">
        <v>4231</v>
      </c>
      <c r="E596">
        <v>2019</v>
      </c>
      <c r="F596">
        <v>1</v>
      </c>
      <c r="G596">
        <v>35933</v>
      </c>
      <c r="H596" s="1">
        <v>3</v>
      </c>
      <c r="I596">
        <v>139</v>
      </c>
      <c r="J596">
        <f>IF($H596=0,1,IF($I596&lt;=1,2,0))</f>
        <v>0</v>
      </c>
      <c r="K596">
        <v>0</v>
      </c>
      <c r="L596">
        <f>IF(AND($J596=0,$K596=0),0,1)</f>
        <v>0</v>
      </c>
    </row>
    <row r="597" spans="1:13" x14ac:dyDescent="0.2">
      <c r="A597" t="s">
        <v>265</v>
      </c>
      <c r="B597" t="s">
        <v>71</v>
      </c>
      <c r="C597" t="s">
        <v>9</v>
      </c>
      <c r="D597">
        <v>4231</v>
      </c>
      <c r="E597">
        <v>2019</v>
      </c>
      <c r="F597">
        <v>2</v>
      </c>
      <c r="G597">
        <v>35947</v>
      </c>
      <c r="H597" s="1">
        <v>3</v>
      </c>
      <c r="I597">
        <v>112</v>
      </c>
      <c r="J597">
        <f>IF($H597=0,1,IF($I597&lt;=1,2,0))</f>
        <v>0</v>
      </c>
      <c r="K597">
        <v>0</v>
      </c>
      <c r="L597">
        <f>IF(AND($J597=0,$K597=0),0,1)</f>
        <v>0</v>
      </c>
    </row>
    <row r="598" spans="1:13" x14ac:dyDescent="0.2">
      <c r="A598" t="s">
        <v>265</v>
      </c>
      <c r="B598" t="s">
        <v>71</v>
      </c>
      <c r="C598" t="s">
        <v>9</v>
      </c>
      <c r="D598">
        <v>4231</v>
      </c>
      <c r="E598">
        <v>2019</v>
      </c>
      <c r="F598" t="s">
        <v>249</v>
      </c>
      <c r="G598">
        <v>16446</v>
      </c>
      <c r="H598" s="1">
        <v>3</v>
      </c>
      <c r="I598">
        <v>40</v>
      </c>
      <c r="J598">
        <f>IF($H598=0,1,IF($I598&lt;=1,2,0))</f>
        <v>0</v>
      </c>
      <c r="K598">
        <v>0</v>
      </c>
      <c r="L598">
        <f>IF(AND($J598=0,$K598=0),0,1)</f>
        <v>0</v>
      </c>
    </row>
    <row r="599" spans="1:13" x14ac:dyDescent="0.2">
      <c r="A599" t="s">
        <v>265</v>
      </c>
      <c r="B599" t="s">
        <v>71</v>
      </c>
      <c r="C599" t="s">
        <v>9</v>
      </c>
      <c r="D599">
        <v>4231</v>
      </c>
      <c r="E599">
        <v>2019</v>
      </c>
      <c r="F599" t="s">
        <v>250</v>
      </c>
      <c r="G599">
        <v>16338</v>
      </c>
      <c r="H599" s="1">
        <v>3</v>
      </c>
      <c r="I599">
        <v>6</v>
      </c>
      <c r="J599">
        <f>IF($H599=0,1,IF($I599&lt;=1,2,0))</f>
        <v>0</v>
      </c>
      <c r="K599">
        <v>0</v>
      </c>
      <c r="L599">
        <f>IF(AND($J599=0,$K599=0),0,1)</f>
        <v>0</v>
      </c>
      <c r="M599" t="s">
        <v>85</v>
      </c>
    </row>
    <row r="600" spans="1:13" x14ac:dyDescent="0.2">
      <c r="A600" t="s">
        <v>265</v>
      </c>
      <c r="B600" t="s">
        <v>71</v>
      </c>
      <c r="C600" t="s">
        <v>9</v>
      </c>
      <c r="D600">
        <v>4246</v>
      </c>
      <c r="E600">
        <v>2019</v>
      </c>
      <c r="F600">
        <v>2</v>
      </c>
      <c r="G600">
        <v>13492</v>
      </c>
      <c r="H600" s="1">
        <v>3</v>
      </c>
      <c r="I600">
        <v>121</v>
      </c>
      <c r="J600">
        <f>IF($H600=0,1,IF($I600&lt;=1,2,0))</f>
        <v>0</v>
      </c>
      <c r="K600">
        <v>0</v>
      </c>
      <c r="L600">
        <f>IF(AND($J600=0,$K600=0),0,1)</f>
        <v>0</v>
      </c>
      <c r="M600" t="s">
        <v>266</v>
      </c>
    </row>
    <row r="601" spans="1:13" x14ac:dyDescent="0.2">
      <c r="A601" t="s">
        <v>265</v>
      </c>
      <c r="B601" t="s">
        <v>71</v>
      </c>
      <c r="C601" t="s">
        <v>9</v>
      </c>
      <c r="D601">
        <v>4246</v>
      </c>
      <c r="E601">
        <v>2019</v>
      </c>
      <c r="F601">
        <v>1</v>
      </c>
      <c r="G601">
        <v>13491</v>
      </c>
      <c r="H601" s="1">
        <v>3</v>
      </c>
      <c r="I601">
        <v>102</v>
      </c>
      <c r="J601">
        <f>IF($H601=0,1,IF($I601&lt;=1,2,0))</f>
        <v>0</v>
      </c>
      <c r="K601">
        <v>0</v>
      </c>
      <c r="L601">
        <f>IF(AND($J601=0,$K601=0),0,1)</f>
        <v>0</v>
      </c>
      <c r="M601" t="s">
        <v>266</v>
      </c>
    </row>
    <row r="602" spans="1:13" x14ac:dyDescent="0.2">
      <c r="A602" t="s">
        <v>265</v>
      </c>
      <c r="B602" t="s">
        <v>71</v>
      </c>
      <c r="C602" t="s">
        <v>9</v>
      </c>
      <c r="D602">
        <v>4246</v>
      </c>
      <c r="E602">
        <v>2019</v>
      </c>
      <c r="F602" t="s">
        <v>84</v>
      </c>
      <c r="G602">
        <v>16339</v>
      </c>
      <c r="H602" s="1">
        <v>3</v>
      </c>
      <c r="I602">
        <v>3</v>
      </c>
      <c r="J602">
        <f>IF($H602=0,1,IF($I602&lt;=1,2,0))</f>
        <v>0</v>
      </c>
      <c r="K602">
        <v>0</v>
      </c>
      <c r="L602">
        <f>IF(AND($J602=0,$K602=0),0,1)</f>
        <v>0</v>
      </c>
      <c r="M602" t="s">
        <v>85</v>
      </c>
    </row>
    <row r="603" spans="1:13" x14ac:dyDescent="0.2">
      <c r="A603" t="s">
        <v>267</v>
      </c>
      <c r="B603" t="s">
        <v>17</v>
      </c>
      <c r="C603" t="s">
        <v>9</v>
      </c>
      <c r="D603">
        <v>1101</v>
      </c>
      <c r="E603">
        <v>2019</v>
      </c>
      <c r="F603">
        <v>1</v>
      </c>
      <c r="G603">
        <v>53902</v>
      </c>
      <c r="H603" s="1">
        <v>4</v>
      </c>
      <c r="I603">
        <v>3</v>
      </c>
      <c r="J603">
        <f>IF($H603=0,1,IF($I603&lt;=1,2,0))</f>
        <v>0</v>
      </c>
      <c r="K603">
        <v>0</v>
      </c>
      <c r="L603">
        <f>IF(AND($J603=0,$K603=0),0,1)</f>
        <v>0</v>
      </c>
    </row>
    <row r="604" spans="1:13" x14ac:dyDescent="0.2">
      <c r="A604" t="s">
        <v>267</v>
      </c>
      <c r="B604" t="s">
        <v>17</v>
      </c>
      <c r="C604" t="s">
        <v>9</v>
      </c>
      <c r="D604">
        <v>2101</v>
      </c>
      <c r="E604">
        <v>2019</v>
      </c>
      <c r="F604">
        <v>1</v>
      </c>
      <c r="G604">
        <v>53903</v>
      </c>
      <c r="H604" s="1">
        <v>4</v>
      </c>
      <c r="I604">
        <v>3</v>
      </c>
      <c r="J604">
        <f>IF($H604=0,1,IF($I604&lt;=1,2,0))</f>
        <v>0</v>
      </c>
      <c r="K604">
        <v>0</v>
      </c>
      <c r="L604">
        <f>IF(AND($J604=0,$K604=0),0,1)</f>
        <v>0</v>
      </c>
    </row>
    <row r="605" spans="1:13" x14ac:dyDescent="0.2">
      <c r="A605" t="s">
        <v>272</v>
      </c>
      <c r="B605" t="s">
        <v>17</v>
      </c>
      <c r="C605" t="s">
        <v>9</v>
      </c>
      <c r="D605">
        <v>1101</v>
      </c>
      <c r="E605">
        <v>2019</v>
      </c>
      <c r="F605">
        <v>1</v>
      </c>
      <c r="G605">
        <v>54503</v>
      </c>
      <c r="H605" s="1">
        <v>4</v>
      </c>
      <c r="I605">
        <v>22</v>
      </c>
      <c r="J605">
        <f>IF($H605=0,1,IF($I605&lt;=1,2,0))</f>
        <v>0</v>
      </c>
      <c r="K605">
        <v>0</v>
      </c>
      <c r="L605">
        <f>IF(AND($J605=0,$K605=0),0,1)</f>
        <v>0</v>
      </c>
    </row>
    <row r="606" spans="1:13" x14ac:dyDescent="0.2">
      <c r="A606" t="s">
        <v>272</v>
      </c>
      <c r="B606" t="s">
        <v>17</v>
      </c>
      <c r="C606" t="s">
        <v>9</v>
      </c>
      <c r="D606">
        <v>2101</v>
      </c>
      <c r="E606">
        <v>2019</v>
      </c>
      <c r="F606">
        <v>1</v>
      </c>
      <c r="G606">
        <v>54534</v>
      </c>
      <c r="H606" s="1">
        <v>4</v>
      </c>
      <c r="I606">
        <v>11</v>
      </c>
      <c r="J606">
        <f>IF($H606=0,1,IF($I606&lt;=1,2,0))</f>
        <v>0</v>
      </c>
      <c r="K606">
        <v>0</v>
      </c>
      <c r="L606">
        <f>IF(AND($J606=0,$K606=0),0,1)</f>
        <v>0</v>
      </c>
    </row>
    <row r="607" spans="1:13" x14ac:dyDescent="0.2">
      <c r="A607" t="s">
        <v>272</v>
      </c>
      <c r="B607" t="s">
        <v>17</v>
      </c>
      <c r="C607" t="s">
        <v>9</v>
      </c>
      <c r="D607">
        <v>3101</v>
      </c>
      <c r="E607">
        <v>2019</v>
      </c>
      <c r="F607">
        <v>1</v>
      </c>
      <c r="G607">
        <v>54536</v>
      </c>
      <c r="H607" s="1">
        <v>3</v>
      </c>
      <c r="I607">
        <v>8</v>
      </c>
      <c r="J607">
        <f>IF($H607=0,1,IF($I607&lt;=1,2,0))</f>
        <v>0</v>
      </c>
      <c r="K607">
        <v>0</v>
      </c>
      <c r="L607">
        <f>IF(AND($J607=0,$K607=0),0,1)</f>
        <v>0</v>
      </c>
    </row>
    <row r="608" spans="1:13" x14ac:dyDescent="0.2">
      <c r="A608" t="s">
        <v>273</v>
      </c>
      <c r="B608" t="s">
        <v>17</v>
      </c>
      <c r="C608" t="s">
        <v>9</v>
      </c>
      <c r="D608">
        <v>3322</v>
      </c>
      <c r="E608">
        <v>2019</v>
      </c>
      <c r="F608">
        <v>1</v>
      </c>
      <c r="G608">
        <v>44532</v>
      </c>
      <c r="H608" s="1">
        <v>4</v>
      </c>
      <c r="I608">
        <v>40</v>
      </c>
      <c r="J608">
        <f>IF($H608=0,1,IF($I608&lt;=1,2,0))</f>
        <v>0</v>
      </c>
      <c r="K608">
        <v>0</v>
      </c>
      <c r="L608">
        <f>IF(AND($J608=0,$K608=0),0,1)</f>
        <v>0</v>
      </c>
      <c r="M608" t="s">
        <v>274</v>
      </c>
    </row>
    <row r="609" spans="1:13" x14ac:dyDescent="0.2">
      <c r="A609" t="s">
        <v>273</v>
      </c>
      <c r="B609" t="s">
        <v>17</v>
      </c>
      <c r="C609" t="s">
        <v>9</v>
      </c>
      <c r="D609">
        <v>3338</v>
      </c>
      <c r="E609">
        <v>2019</v>
      </c>
      <c r="F609">
        <v>1</v>
      </c>
      <c r="G609">
        <v>44511</v>
      </c>
      <c r="H609" s="1">
        <v>3</v>
      </c>
      <c r="I609">
        <v>9</v>
      </c>
      <c r="J609">
        <f>IF($H609=0,1,IF($I609&lt;=1,2,0))</f>
        <v>0</v>
      </c>
      <c r="K609">
        <v>0</v>
      </c>
      <c r="L609">
        <f>IF(AND($J609=0,$K609=0),0,1)</f>
        <v>0</v>
      </c>
      <c r="M609" t="s">
        <v>275</v>
      </c>
    </row>
    <row r="610" spans="1:13" x14ac:dyDescent="0.2">
      <c r="A610" t="s">
        <v>273</v>
      </c>
      <c r="B610" t="s">
        <v>17</v>
      </c>
      <c r="C610" t="s">
        <v>9</v>
      </c>
      <c r="D610">
        <v>3343</v>
      </c>
      <c r="E610">
        <v>2019</v>
      </c>
      <c r="F610">
        <v>1</v>
      </c>
      <c r="G610">
        <v>44369</v>
      </c>
      <c r="H610" s="1">
        <v>4</v>
      </c>
      <c r="I610">
        <v>27</v>
      </c>
      <c r="J610">
        <f>IF($H610=0,1,IF($I610&lt;=1,2,0))</f>
        <v>0</v>
      </c>
      <c r="K610">
        <v>0</v>
      </c>
      <c r="L610">
        <f>IF(AND($J610=0,$K610=0),0,1)</f>
        <v>0</v>
      </c>
    </row>
    <row r="611" spans="1:13" x14ac:dyDescent="0.2">
      <c r="A611" t="s">
        <v>273</v>
      </c>
      <c r="B611" t="s">
        <v>17</v>
      </c>
      <c r="C611" t="s">
        <v>21</v>
      </c>
      <c r="D611">
        <v>3844</v>
      </c>
      <c r="E611">
        <v>2019</v>
      </c>
      <c r="F611">
        <v>1</v>
      </c>
      <c r="G611">
        <v>7113</v>
      </c>
      <c r="H611" s="1">
        <v>3</v>
      </c>
      <c r="I611">
        <v>85</v>
      </c>
      <c r="J611">
        <f>IF($H611=0,1,IF($I611&lt;=1,2,0))</f>
        <v>0</v>
      </c>
      <c r="K611">
        <v>0</v>
      </c>
      <c r="L611">
        <f>IF(AND($J611=0,$K611=0),0,1)</f>
        <v>0</v>
      </c>
    </row>
    <row r="612" spans="1:13" x14ac:dyDescent="0.2">
      <c r="A612" t="s">
        <v>273</v>
      </c>
      <c r="B612" t="s">
        <v>17</v>
      </c>
      <c r="C612" t="s">
        <v>9</v>
      </c>
      <c r="D612">
        <v>3990</v>
      </c>
      <c r="E612">
        <v>2019</v>
      </c>
      <c r="F612">
        <v>1</v>
      </c>
      <c r="G612">
        <v>44521</v>
      </c>
      <c r="H612" s="1">
        <v>4</v>
      </c>
      <c r="I612">
        <v>23</v>
      </c>
      <c r="J612">
        <f>IF($H612=0,1,IF($I612&lt;=1,2,0))</f>
        <v>0</v>
      </c>
      <c r="K612">
        <v>0</v>
      </c>
      <c r="L612">
        <f>IF(AND($J612=0,$K612=0),0,1)</f>
        <v>0</v>
      </c>
    </row>
    <row r="613" spans="1:13" x14ac:dyDescent="0.2">
      <c r="A613" t="s">
        <v>273</v>
      </c>
      <c r="B613" t="s">
        <v>17</v>
      </c>
      <c r="C613" t="s">
        <v>33</v>
      </c>
      <c r="D613">
        <v>3993</v>
      </c>
      <c r="E613">
        <v>2019</v>
      </c>
      <c r="F613">
        <v>4</v>
      </c>
      <c r="G613">
        <v>17973</v>
      </c>
      <c r="H613" s="1">
        <v>4</v>
      </c>
      <c r="I613">
        <v>8</v>
      </c>
      <c r="J613">
        <f>IF($H613=0,1,IF($I613&lt;=1,2,0))</f>
        <v>0</v>
      </c>
      <c r="K613">
        <v>0</v>
      </c>
      <c r="L613">
        <f>IF(AND($J613=0,$K613=0),0,1)</f>
        <v>0</v>
      </c>
    </row>
    <row r="614" spans="1:13" x14ac:dyDescent="0.2">
      <c r="A614" t="s">
        <v>273</v>
      </c>
      <c r="B614" t="s">
        <v>17</v>
      </c>
      <c r="C614" t="s">
        <v>33</v>
      </c>
      <c r="D614">
        <v>3993</v>
      </c>
      <c r="E614">
        <v>2019</v>
      </c>
      <c r="F614">
        <v>1</v>
      </c>
      <c r="G614">
        <v>19282</v>
      </c>
      <c r="H614" s="1">
        <v>4</v>
      </c>
      <c r="I614">
        <v>3</v>
      </c>
      <c r="J614">
        <f>IF($H614=0,1,IF($I614&lt;=1,2,0))</f>
        <v>0</v>
      </c>
      <c r="K614">
        <v>0</v>
      </c>
      <c r="L614">
        <f>IF(AND($J614=0,$K614=0),0,1)</f>
        <v>0</v>
      </c>
    </row>
    <row r="615" spans="1:13" x14ac:dyDescent="0.2">
      <c r="A615" t="s">
        <v>273</v>
      </c>
      <c r="B615" t="s">
        <v>17</v>
      </c>
      <c r="C615" t="s">
        <v>9</v>
      </c>
      <c r="D615">
        <v>4123</v>
      </c>
      <c r="E615">
        <v>2019</v>
      </c>
      <c r="F615">
        <v>1</v>
      </c>
      <c r="G615">
        <v>10337</v>
      </c>
      <c r="H615" s="1">
        <v>4</v>
      </c>
      <c r="I615">
        <v>18</v>
      </c>
      <c r="J615">
        <f>IF($H615=0,1,IF($I615&lt;=1,2,0))</f>
        <v>0</v>
      </c>
      <c r="K615">
        <v>0</v>
      </c>
      <c r="L615">
        <f>IF(AND($J615=0,$K615=0),0,1)</f>
        <v>0</v>
      </c>
    </row>
    <row r="616" spans="1:13" x14ac:dyDescent="0.2">
      <c r="A616" t="s">
        <v>273</v>
      </c>
      <c r="B616" t="s">
        <v>17</v>
      </c>
      <c r="C616" t="s">
        <v>9</v>
      </c>
      <c r="D616">
        <v>4226</v>
      </c>
      <c r="E616">
        <v>2019</v>
      </c>
      <c r="F616">
        <v>1</v>
      </c>
      <c r="G616">
        <v>44524</v>
      </c>
      <c r="H616" s="1">
        <v>4</v>
      </c>
      <c r="I616">
        <v>13</v>
      </c>
      <c r="J616">
        <f>IF($H616=0,1,IF($I616&lt;=1,2,0))</f>
        <v>0</v>
      </c>
      <c r="K616">
        <v>0</v>
      </c>
      <c r="L616">
        <f>IF(AND($J616=0,$K616=0),0,1)</f>
        <v>0</v>
      </c>
    </row>
    <row r="617" spans="1:13" x14ac:dyDescent="0.2">
      <c r="A617" t="s">
        <v>273</v>
      </c>
      <c r="B617" t="s">
        <v>17</v>
      </c>
      <c r="C617" t="s">
        <v>9</v>
      </c>
      <c r="D617">
        <v>4840</v>
      </c>
      <c r="E617">
        <v>2019</v>
      </c>
      <c r="F617">
        <v>1</v>
      </c>
      <c r="G617">
        <v>7110</v>
      </c>
      <c r="H617" s="1">
        <v>4</v>
      </c>
      <c r="I617">
        <v>10</v>
      </c>
      <c r="J617">
        <f>IF($H617=0,1,IF($I617&lt;=1,2,0))</f>
        <v>0</v>
      </c>
      <c r="K617">
        <v>0</v>
      </c>
      <c r="L617">
        <f>IF(AND($J617=0,$K617=0),0,1)</f>
        <v>0</v>
      </c>
    </row>
    <row r="618" spans="1:13" x14ac:dyDescent="0.2">
      <c r="A618" t="s">
        <v>273</v>
      </c>
      <c r="B618" t="s">
        <v>17</v>
      </c>
      <c r="C618" t="s">
        <v>9</v>
      </c>
      <c r="D618">
        <v>6712</v>
      </c>
      <c r="E618">
        <v>2019</v>
      </c>
      <c r="F618">
        <v>1</v>
      </c>
      <c r="G618">
        <v>10209</v>
      </c>
      <c r="H618" s="1">
        <v>4</v>
      </c>
      <c r="I618">
        <v>15</v>
      </c>
      <c r="J618">
        <f>IF($H618=0,1,IF($I618&lt;=1,2,0))</f>
        <v>0</v>
      </c>
      <c r="K618">
        <v>0</v>
      </c>
      <c r="L618">
        <f>IF(AND($J618=0,$K618=0),0,1)</f>
        <v>0</v>
      </c>
    </row>
    <row r="619" spans="1:13" x14ac:dyDescent="0.2">
      <c r="A619" t="s">
        <v>273</v>
      </c>
      <c r="B619" t="s">
        <v>17</v>
      </c>
      <c r="C619" t="s">
        <v>11</v>
      </c>
      <c r="D619">
        <v>8992</v>
      </c>
      <c r="E619">
        <v>2019</v>
      </c>
      <c r="F619">
        <v>1</v>
      </c>
      <c r="G619">
        <v>44530</v>
      </c>
      <c r="H619" s="1">
        <v>4</v>
      </c>
      <c r="I619">
        <v>16</v>
      </c>
      <c r="J619">
        <f>IF($H619=0,1,IF($I619&lt;=1,2,0))</f>
        <v>0</v>
      </c>
      <c r="K619">
        <v>0</v>
      </c>
      <c r="L619">
        <f>IF(AND($J619=0,$K619=0),0,1)</f>
        <v>0</v>
      </c>
    </row>
    <row r="620" spans="1:13" x14ac:dyDescent="0.2">
      <c r="A620" t="s">
        <v>276</v>
      </c>
      <c r="B620" t="s">
        <v>71</v>
      </c>
      <c r="C620" t="s">
        <v>72</v>
      </c>
      <c r="D620">
        <v>2100</v>
      </c>
      <c r="E620">
        <v>2019</v>
      </c>
      <c r="F620">
        <v>1</v>
      </c>
      <c r="G620">
        <v>20280</v>
      </c>
      <c r="H620" s="1">
        <v>3</v>
      </c>
      <c r="I620">
        <v>37</v>
      </c>
      <c r="J620">
        <f>IF($H620=0,1,IF($I620&lt;=1,2,0))</f>
        <v>0</v>
      </c>
      <c r="K620">
        <v>0</v>
      </c>
      <c r="L620">
        <f>IF(AND($J620=0,$K620=0),0,1)</f>
        <v>0</v>
      </c>
    </row>
    <row r="621" spans="1:13" x14ac:dyDescent="0.2">
      <c r="A621" t="s">
        <v>276</v>
      </c>
      <c r="B621" t="s">
        <v>71</v>
      </c>
      <c r="C621" t="s">
        <v>72</v>
      </c>
      <c r="D621">
        <v>3103</v>
      </c>
      <c r="E621">
        <v>2019</v>
      </c>
      <c r="F621">
        <v>1</v>
      </c>
      <c r="G621">
        <v>20208</v>
      </c>
      <c r="H621" s="1">
        <v>3</v>
      </c>
      <c r="I621">
        <v>22</v>
      </c>
      <c r="J621">
        <f>IF($H621=0,1,IF($I621&lt;=1,2,0))</f>
        <v>0</v>
      </c>
      <c r="K621">
        <v>0</v>
      </c>
      <c r="L621">
        <f>IF(AND($J621=0,$K621=0),0,1)</f>
        <v>0</v>
      </c>
    </row>
    <row r="622" spans="1:13" x14ac:dyDescent="0.2">
      <c r="A622" t="s">
        <v>276</v>
      </c>
      <c r="B622" t="s">
        <v>71</v>
      </c>
      <c r="C622" t="s">
        <v>72</v>
      </c>
      <c r="D622">
        <v>3200</v>
      </c>
      <c r="E622">
        <v>2019</v>
      </c>
      <c r="F622">
        <v>1</v>
      </c>
      <c r="G622">
        <v>20241</v>
      </c>
      <c r="H622" s="1">
        <v>3</v>
      </c>
      <c r="I622">
        <v>10</v>
      </c>
      <c r="J622">
        <f>IF($H622=0,1,IF($I622&lt;=1,2,0))</f>
        <v>0</v>
      </c>
      <c r="K622">
        <v>0</v>
      </c>
      <c r="L622">
        <f>IF(AND($J622=0,$K622=0),0,1)</f>
        <v>0</v>
      </c>
    </row>
    <row r="623" spans="1:13" x14ac:dyDescent="0.2">
      <c r="A623" t="s">
        <v>276</v>
      </c>
      <c r="B623" t="s">
        <v>71</v>
      </c>
      <c r="C623" t="s">
        <v>72</v>
      </c>
      <c r="D623">
        <v>3801</v>
      </c>
      <c r="E623">
        <v>2019</v>
      </c>
      <c r="F623">
        <v>1</v>
      </c>
      <c r="G623">
        <v>20258</v>
      </c>
      <c r="H623" s="1">
        <v>2</v>
      </c>
      <c r="I623">
        <v>11</v>
      </c>
      <c r="J623">
        <f>IF($H623=0,1,IF($I623&lt;=1,2,0))</f>
        <v>0</v>
      </c>
      <c r="K623">
        <v>0</v>
      </c>
      <c r="L623">
        <f>IF(AND($J623=0,$K623=0),0,1)</f>
        <v>0</v>
      </c>
    </row>
    <row r="624" spans="1:13" x14ac:dyDescent="0.2">
      <c r="A624" t="s">
        <v>276</v>
      </c>
      <c r="B624" t="s">
        <v>71</v>
      </c>
      <c r="C624" t="s">
        <v>72</v>
      </c>
      <c r="D624">
        <v>4001</v>
      </c>
      <c r="E624">
        <v>2019</v>
      </c>
      <c r="F624">
        <v>1</v>
      </c>
      <c r="G624">
        <v>20277</v>
      </c>
      <c r="H624" s="1">
        <v>3</v>
      </c>
      <c r="I624">
        <v>47</v>
      </c>
      <c r="J624">
        <f>IF($H624=0,1,IF($I624&lt;=1,2,0))</f>
        <v>0</v>
      </c>
      <c r="K624">
        <v>0</v>
      </c>
      <c r="L624">
        <f>IF(AND($J624=0,$K624=0),0,1)</f>
        <v>0</v>
      </c>
    </row>
    <row r="625" spans="1:13" x14ac:dyDescent="0.2">
      <c r="A625" t="s">
        <v>276</v>
      </c>
      <c r="B625" t="s">
        <v>71</v>
      </c>
      <c r="C625" t="s">
        <v>72</v>
      </c>
      <c r="D625">
        <v>4003</v>
      </c>
      <c r="E625">
        <v>2019</v>
      </c>
      <c r="F625">
        <v>1</v>
      </c>
      <c r="G625">
        <v>20226</v>
      </c>
      <c r="H625" s="1">
        <v>3</v>
      </c>
      <c r="I625">
        <v>34</v>
      </c>
      <c r="J625">
        <f>IF($H625=0,1,IF($I625&lt;=1,2,0))</f>
        <v>0</v>
      </c>
      <c r="K625">
        <v>0</v>
      </c>
      <c r="L625">
        <f>IF(AND($J625=0,$K625=0),0,1)</f>
        <v>0</v>
      </c>
    </row>
    <row r="626" spans="1:13" x14ac:dyDescent="0.2">
      <c r="A626" t="s">
        <v>276</v>
      </c>
      <c r="B626" t="s">
        <v>71</v>
      </c>
      <c r="C626" t="s">
        <v>72</v>
      </c>
      <c r="D626">
        <v>4190</v>
      </c>
      <c r="E626">
        <v>2019</v>
      </c>
      <c r="F626">
        <v>1</v>
      </c>
      <c r="G626">
        <v>20207</v>
      </c>
      <c r="H626" s="1">
        <v>3</v>
      </c>
      <c r="I626">
        <v>21</v>
      </c>
      <c r="J626">
        <f>IF($H626=0,1,IF($I626&lt;=1,2,0))</f>
        <v>0</v>
      </c>
      <c r="K626">
        <v>0</v>
      </c>
      <c r="L626">
        <f>IF(AND($J626=0,$K626=0),0,1)</f>
        <v>0</v>
      </c>
    </row>
    <row r="627" spans="1:13" x14ac:dyDescent="0.2">
      <c r="A627" t="s">
        <v>276</v>
      </c>
      <c r="B627" t="s">
        <v>71</v>
      </c>
      <c r="C627" t="s">
        <v>72</v>
      </c>
      <c r="D627">
        <v>4190</v>
      </c>
      <c r="E627">
        <v>2019</v>
      </c>
      <c r="F627" t="s">
        <v>84</v>
      </c>
      <c r="G627">
        <v>16341</v>
      </c>
      <c r="H627" s="1">
        <v>3</v>
      </c>
      <c r="I627">
        <v>5</v>
      </c>
      <c r="J627">
        <f>IF($H627=0,1,IF($I627&lt;=1,2,0))</f>
        <v>0</v>
      </c>
      <c r="K627">
        <v>0</v>
      </c>
      <c r="L627">
        <f>IF(AND($J627=0,$K627=0),0,1)</f>
        <v>0</v>
      </c>
      <c r="M627" t="s">
        <v>85</v>
      </c>
    </row>
    <row r="628" spans="1:13" x14ac:dyDescent="0.2">
      <c r="A628" t="s">
        <v>276</v>
      </c>
      <c r="B628" t="s">
        <v>71</v>
      </c>
      <c r="C628" t="s">
        <v>72</v>
      </c>
      <c r="D628">
        <v>4300</v>
      </c>
      <c r="E628">
        <v>2019</v>
      </c>
      <c r="F628">
        <v>1</v>
      </c>
      <c r="G628">
        <v>20257</v>
      </c>
      <c r="H628" s="1">
        <v>3</v>
      </c>
      <c r="I628">
        <v>17</v>
      </c>
      <c r="J628">
        <f>IF($H628=0,1,IF($I628&lt;=1,2,0))</f>
        <v>0</v>
      </c>
      <c r="K628">
        <v>0</v>
      </c>
      <c r="L628">
        <f>IF(AND($J628=0,$K628=0),0,1)</f>
        <v>0</v>
      </c>
    </row>
    <row r="629" spans="1:13" x14ac:dyDescent="0.2">
      <c r="A629" t="s">
        <v>276</v>
      </c>
      <c r="B629" t="s">
        <v>71</v>
      </c>
      <c r="C629" t="s">
        <v>72</v>
      </c>
      <c r="D629">
        <v>4304</v>
      </c>
      <c r="E629">
        <v>2019</v>
      </c>
      <c r="F629">
        <v>1</v>
      </c>
      <c r="G629">
        <v>20279</v>
      </c>
      <c r="H629" s="1">
        <v>3</v>
      </c>
      <c r="I629">
        <v>12</v>
      </c>
      <c r="J629">
        <f>IF($H629=0,1,IF($I629&lt;=1,2,0))</f>
        <v>0</v>
      </c>
      <c r="K629">
        <v>0</v>
      </c>
      <c r="L629">
        <f>IF(AND($J629=0,$K629=0),0,1)</f>
        <v>0</v>
      </c>
    </row>
    <row r="630" spans="1:13" x14ac:dyDescent="0.2">
      <c r="A630" t="s">
        <v>276</v>
      </c>
      <c r="B630" t="s">
        <v>71</v>
      </c>
      <c r="C630" t="s">
        <v>72</v>
      </c>
      <c r="D630">
        <v>4350</v>
      </c>
      <c r="E630">
        <v>2019</v>
      </c>
      <c r="F630">
        <v>1</v>
      </c>
      <c r="G630">
        <v>20274</v>
      </c>
      <c r="H630" s="1">
        <v>3</v>
      </c>
      <c r="I630">
        <v>15</v>
      </c>
      <c r="J630">
        <f>IF($H630=0,1,IF($I630&lt;=1,2,0))</f>
        <v>0</v>
      </c>
      <c r="K630">
        <v>0</v>
      </c>
      <c r="L630">
        <f>IF(AND($J630=0,$K630=0),0,1)</f>
        <v>0</v>
      </c>
    </row>
    <row r="631" spans="1:13" x14ac:dyDescent="0.2">
      <c r="A631" t="s">
        <v>276</v>
      </c>
      <c r="B631" t="s">
        <v>71</v>
      </c>
      <c r="C631" t="s">
        <v>72</v>
      </c>
      <c r="D631">
        <v>4550</v>
      </c>
      <c r="E631">
        <v>2019</v>
      </c>
      <c r="F631">
        <v>1</v>
      </c>
      <c r="G631">
        <v>20273</v>
      </c>
      <c r="H631" s="1">
        <v>3</v>
      </c>
      <c r="I631">
        <v>18</v>
      </c>
      <c r="J631">
        <f>IF($H631=0,1,IF($I631&lt;=1,2,0))</f>
        <v>0</v>
      </c>
      <c r="K631">
        <v>0</v>
      </c>
      <c r="L631">
        <f>IF(AND($J631=0,$K631=0),0,1)</f>
        <v>0</v>
      </c>
    </row>
    <row r="632" spans="1:13" x14ac:dyDescent="0.2">
      <c r="A632" t="s">
        <v>276</v>
      </c>
      <c r="B632" t="s">
        <v>71</v>
      </c>
      <c r="C632" t="s">
        <v>72</v>
      </c>
      <c r="D632">
        <v>4950</v>
      </c>
      <c r="E632">
        <v>2019</v>
      </c>
      <c r="F632">
        <v>1</v>
      </c>
      <c r="G632">
        <v>13536</v>
      </c>
      <c r="H632" s="1">
        <v>3</v>
      </c>
      <c r="I632">
        <v>3</v>
      </c>
      <c r="J632">
        <f>IF($H632=0,1,IF($I632&lt;=1,2,0))</f>
        <v>0</v>
      </c>
      <c r="K632">
        <v>0</v>
      </c>
      <c r="L632">
        <f>IF(AND($J632=0,$K632=0),0,1)</f>
        <v>0</v>
      </c>
    </row>
    <row r="633" spans="1:13" x14ac:dyDescent="0.2">
      <c r="A633" t="s">
        <v>276</v>
      </c>
      <c r="B633" t="s">
        <v>71</v>
      </c>
      <c r="C633" t="s">
        <v>72</v>
      </c>
      <c r="D633">
        <v>6140</v>
      </c>
      <c r="E633">
        <v>2019</v>
      </c>
      <c r="F633">
        <v>1</v>
      </c>
      <c r="G633">
        <v>50184</v>
      </c>
      <c r="H633" s="1">
        <v>3</v>
      </c>
      <c r="I633">
        <v>4</v>
      </c>
      <c r="J633">
        <f>IF($H633=0,1,IF($I633&lt;=1,2,0))</f>
        <v>0</v>
      </c>
      <c r="K633">
        <v>0</v>
      </c>
      <c r="L633">
        <f>IF(AND($J633=0,$K633=0),0,1)</f>
        <v>0</v>
      </c>
    </row>
    <row r="634" spans="1:13" x14ac:dyDescent="0.2">
      <c r="A634" t="s">
        <v>276</v>
      </c>
      <c r="B634" t="s">
        <v>71</v>
      </c>
      <c r="C634" t="s">
        <v>72</v>
      </c>
      <c r="D634">
        <v>6240</v>
      </c>
      <c r="E634">
        <v>2019</v>
      </c>
      <c r="F634">
        <v>1</v>
      </c>
      <c r="G634">
        <v>20272</v>
      </c>
      <c r="H634" s="1">
        <v>3</v>
      </c>
      <c r="I634">
        <v>13</v>
      </c>
      <c r="J634">
        <f>IF($H634=0,1,IF($I634&lt;=1,2,0))</f>
        <v>0</v>
      </c>
      <c r="K634">
        <v>0</v>
      </c>
      <c r="L634">
        <f>IF(AND($J634=0,$K634=0),0,1)</f>
        <v>0</v>
      </c>
    </row>
    <row r="635" spans="1:13" x14ac:dyDescent="0.2">
      <c r="A635" t="s">
        <v>277</v>
      </c>
      <c r="B635" t="s">
        <v>17</v>
      </c>
      <c r="C635" t="s">
        <v>9</v>
      </c>
      <c r="D635">
        <v>4324</v>
      </c>
      <c r="E635">
        <v>2019</v>
      </c>
      <c r="F635">
        <v>1</v>
      </c>
      <c r="G635">
        <v>44523</v>
      </c>
      <c r="H635" s="1">
        <v>4</v>
      </c>
      <c r="I635">
        <v>12</v>
      </c>
      <c r="J635">
        <f>IF($H635=0,1,IF($I635&lt;=1,2,0))</f>
        <v>0</v>
      </c>
      <c r="K635">
        <v>0</v>
      </c>
      <c r="L635">
        <f>IF(AND($J635=0,$K635=0),0,1)</f>
        <v>0</v>
      </c>
    </row>
    <row r="636" spans="1:13" x14ac:dyDescent="0.2">
      <c r="A636" t="s">
        <v>277</v>
      </c>
      <c r="B636" t="s">
        <v>17</v>
      </c>
      <c r="C636" t="s">
        <v>11</v>
      </c>
      <c r="D636">
        <v>6500</v>
      </c>
      <c r="E636">
        <v>2019</v>
      </c>
      <c r="F636">
        <v>1</v>
      </c>
      <c r="G636">
        <v>10368</v>
      </c>
      <c r="H636" s="1">
        <v>4</v>
      </c>
      <c r="I636">
        <v>11</v>
      </c>
      <c r="J636">
        <f>IF($H636=0,1,IF($I636&lt;=1,2,0))</f>
        <v>0</v>
      </c>
      <c r="K636">
        <v>0</v>
      </c>
      <c r="L636">
        <f>IF(AND($J636=0,$K636=0),0,1)</f>
        <v>0</v>
      </c>
    </row>
    <row r="637" spans="1:13" x14ac:dyDescent="0.2">
      <c r="A637" t="s">
        <v>278</v>
      </c>
      <c r="B637" t="s">
        <v>6</v>
      </c>
      <c r="C637" t="s">
        <v>11</v>
      </c>
      <c r="D637">
        <v>6220</v>
      </c>
      <c r="E637">
        <v>2019</v>
      </c>
      <c r="F637">
        <v>1</v>
      </c>
      <c r="G637">
        <v>44531</v>
      </c>
      <c r="H637" s="1">
        <v>4</v>
      </c>
      <c r="I637">
        <v>10</v>
      </c>
      <c r="J637">
        <f>IF($H637=0,1,IF($I637&lt;=1,2,0))</f>
        <v>0</v>
      </c>
      <c r="K637">
        <v>0</v>
      </c>
      <c r="L637">
        <f>IF(AND($J637=0,$K637=0),0,1)</f>
        <v>0</v>
      </c>
    </row>
    <row r="638" spans="1:13" x14ac:dyDescent="0.2">
      <c r="A638" t="s">
        <v>279</v>
      </c>
      <c r="B638" t="s">
        <v>71</v>
      </c>
      <c r="C638" t="s">
        <v>72</v>
      </c>
      <c r="D638">
        <v>4040</v>
      </c>
      <c r="E638">
        <v>2019</v>
      </c>
      <c r="F638">
        <v>1</v>
      </c>
      <c r="G638">
        <v>98712</v>
      </c>
      <c r="H638" s="1">
        <v>3</v>
      </c>
      <c r="I638">
        <v>113</v>
      </c>
      <c r="J638">
        <f>IF($H638=0,1,IF($I638&lt;=1,2,0))</f>
        <v>0</v>
      </c>
      <c r="K638">
        <v>0</v>
      </c>
      <c r="L638">
        <f>IF(AND($J638=0,$K638=0),0,1)</f>
        <v>0</v>
      </c>
    </row>
    <row r="639" spans="1:13" x14ac:dyDescent="0.2">
      <c r="A639" t="s">
        <v>279</v>
      </c>
      <c r="B639" t="s">
        <v>71</v>
      </c>
      <c r="C639" t="s">
        <v>72</v>
      </c>
      <c r="D639">
        <v>4060</v>
      </c>
      <c r="E639">
        <v>2019</v>
      </c>
      <c r="F639">
        <v>1</v>
      </c>
      <c r="G639">
        <v>98793</v>
      </c>
      <c r="H639" s="1">
        <v>3</v>
      </c>
      <c r="I639">
        <v>41</v>
      </c>
      <c r="J639">
        <f>IF($H639=0,1,IF($I639&lt;=1,2,0))</f>
        <v>0</v>
      </c>
      <c r="K639">
        <v>0</v>
      </c>
      <c r="L639">
        <f>IF(AND($J639=0,$K639=0),0,1)</f>
        <v>0</v>
      </c>
    </row>
    <row r="640" spans="1:13" x14ac:dyDescent="0.2">
      <c r="A640" t="s">
        <v>279</v>
      </c>
      <c r="B640" t="s">
        <v>71</v>
      </c>
      <c r="C640" t="s">
        <v>72</v>
      </c>
      <c r="D640">
        <v>4090</v>
      </c>
      <c r="E640">
        <v>2019</v>
      </c>
      <c r="F640">
        <v>1</v>
      </c>
      <c r="G640">
        <v>98649</v>
      </c>
      <c r="H640" s="1">
        <v>3</v>
      </c>
      <c r="I640">
        <v>20</v>
      </c>
      <c r="J640">
        <f>IF($H640=0,1,IF($I640&lt;=1,2,0))</f>
        <v>0</v>
      </c>
      <c r="K640">
        <v>0</v>
      </c>
      <c r="L640">
        <f>IF(AND($J640=0,$K640=0),0,1)</f>
        <v>0</v>
      </c>
    </row>
    <row r="641" spans="1:13" x14ac:dyDescent="0.2">
      <c r="A641" t="s">
        <v>282</v>
      </c>
      <c r="B641" t="s">
        <v>6</v>
      </c>
      <c r="C641" t="s">
        <v>9</v>
      </c>
      <c r="D641">
        <v>1105</v>
      </c>
      <c r="E641">
        <v>2019</v>
      </c>
      <c r="F641">
        <v>1</v>
      </c>
      <c r="G641">
        <v>47385</v>
      </c>
      <c r="H641" s="1">
        <v>4</v>
      </c>
      <c r="I641">
        <v>211</v>
      </c>
      <c r="J641">
        <f>IF($H641=0,1,IF($I641&lt;=1,2,0))</f>
        <v>0</v>
      </c>
      <c r="K641">
        <v>0</v>
      </c>
      <c r="L641">
        <f>IF(AND($J641=0,$K641=0),0,1)</f>
        <v>0</v>
      </c>
      <c r="M641" t="s">
        <v>283</v>
      </c>
    </row>
    <row r="642" spans="1:13" x14ac:dyDescent="0.2">
      <c r="A642" t="s">
        <v>282</v>
      </c>
      <c r="B642" t="s">
        <v>6</v>
      </c>
      <c r="C642" t="s">
        <v>9</v>
      </c>
      <c r="D642">
        <v>1105</v>
      </c>
      <c r="E642">
        <v>2019</v>
      </c>
      <c r="F642">
        <v>3</v>
      </c>
      <c r="G642">
        <v>47441</v>
      </c>
      <c r="H642" s="1">
        <v>4</v>
      </c>
      <c r="I642">
        <v>167</v>
      </c>
      <c r="J642">
        <f>IF($H642=0,1,IF($I642&lt;=1,2,0))</f>
        <v>0</v>
      </c>
      <c r="K642">
        <v>0</v>
      </c>
      <c r="L642">
        <f>IF(AND($J642=0,$K642=0),0,1)</f>
        <v>0</v>
      </c>
      <c r="M642" t="s">
        <v>283</v>
      </c>
    </row>
    <row r="643" spans="1:13" x14ac:dyDescent="0.2">
      <c r="A643" t="s">
        <v>282</v>
      </c>
      <c r="B643" t="s">
        <v>6</v>
      </c>
      <c r="C643" t="s">
        <v>9</v>
      </c>
      <c r="D643">
        <v>1105</v>
      </c>
      <c r="E643">
        <v>2019</v>
      </c>
      <c r="F643">
        <v>2</v>
      </c>
      <c r="G643">
        <v>47386</v>
      </c>
      <c r="H643" s="1">
        <v>4</v>
      </c>
      <c r="I643">
        <v>163</v>
      </c>
      <c r="J643">
        <f>IF($H643=0,1,IF($I643&lt;=1,2,0))</f>
        <v>0</v>
      </c>
      <c r="K643">
        <v>0</v>
      </c>
      <c r="L643">
        <f>IF(AND($J643=0,$K643=0),0,1)</f>
        <v>0</v>
      </c>
      <c r="M643" t="s">
        <v>283</v>
      </c>
    </row>
    <row r="644" spans="1:13" x14ac:dyDescent="0.2">
      <c r="A644" t="s">
        <v>282</v>
      </c>
      <c r="B644" t="s">
        <v>6</v>
      </c>
      <c r="C644" t="s">
        <v>21</v>
      </c>
      <c r="D644">
        <v>2029</v>
      </c>
      <c r="E644">
        <v>2019</v>
      </c>
      <c r="F644">
        <v>1</v>
      </c>
      <c r="G644">
        <v>47388</v>
      </c>
      <c r="H644" s="1">
        <v>1</v>
      </c>
      <c r="I644">
        <v>26</v>
      </c>
      <c r="J644">
        <f>IF($H644=0,1,IF($I644&lt;=1,2,0))</f>
        <v>0</v>
      </c>
      <c r="K644">
        <v>0</v>
      </c>
      <c r="L644">
        <f>IF(AND($J644=0,$K644=0),0,1)</f>
        <v>0</v>
      </c>
    </row>
    <row r="645" spans="1:13" x14ac:dyDescent="0.2">
      <c r="A645" t="s">
        <v>282</v>
      </c>
      <c r="B645" t="s">
        <v>6</v>
      </c>
      <c r="C645" t="s">
        <v>9</v>
      </c>
      <c r="D645">
        <v>2105</v>
      </c>
      <c r="E645">
        <v>2019</v>
      </c>
      <c r="F645">
        <v>1</v>
      </c>
      <c r="G645">
        <v>47409</v>
      </c>
      <c r="H645" s="1">
        <v>3</v>
      </c>
      <c r="I645">
        <v>64</v>
      </c>
      <c r="J645">
        <f>IF($H645=0,1,IF($I645&lt;=1,2,0))</f>
        <v>0</v>
      </c>
      <c r="K645">
        <v>0</v>
      </c>
      <c r="L645">
        <f>IF(AND($J645=0,$K645=0),0,1)</f>
        <v>0</v>
      </c>
    </row>
    <row r="646" spans="1:13" x14ac:dyDescent="0.2">
      <c r="A646" t="s">
        <v>282</v>
      </c>
      <c r="B646" t="s">
        <v>6</v>
      </c>
      <c r="C646" t="s">
        <v>21</v>
      </c>
      <c r="D646">
        <v>3025</v>
      </c>
      <c r="E646">
        <v>2019</v>
      </c>
      <c r="F646">
        <v>1</v>
      </c>
      <c r="G646">
        <v>47390</v>
      </c>
      <c r="H646" s="1">
        <v>3</v>
      </c>
      <c r="I646">
        <v>71</v>
      </c>
      <c r="J646">
        <f>IF($H646=0,1,IF($I646&lt;=1,2,0))</f>
        <v>0</v>
      </c>
      <c r="K646">
        <v>0</v>
      </c>
      <c r="L646">
        <f>IF(AND($J646=0,$K646=0),0,1)</f>
        <v>0</v>
      </c>
    </row>
    <row r="647" spans="1:13" x14ac:dyDescent="0.2">
      <c r="A647" t="s">
        <v>282</v>
      </c>
      <c r="B647" t="s">
        <v>6</v>
      </c>
      <c r="C647" t="s">
        <v>9</v>
      </c>
      <c r="D647">
        <v>3211</v>
      </c>
      <c r="E647">
        <v>2019</v>
      </c>
      <c r="F647">
        <v>2</v>
      </c>
      <c r="G647">
        <v>47392</v>
      </c>
      <c r="H647" s="1">
        <v>4</v>
      </c>
      <c r="I647">
        <v>96</v>
      </c>
      <c r="J647">
        <f>IF($H647=0,1,IF($I647&lt;=1,2,0))</f>
        <v>0</v>
      </c>
      <c r="K647">
        <v>0</v>
      </c>
      <c r="L647">
        <f>IF(AND($J647=0,$K647=0),0,1)</f>
        <v>0</v>
      </c>
      <c r="M647" t="s">
        <v>295</v>
      </c>
    </row>
    <row r="648" spans="1:13" x14ac:dyDescent="0.2">
      <c r="A648" t="s">
        <v>282</v>
      </c>
      <c r="B648" t="s">
        <v>6</v>
      </c>
      <c r="C648" t="s">
        <v>9</v>
      </c>
      <c r="D648">
        <v>3211</v>
      </c>
      <c r="E648">
        <v>2019</v>
      </c>
      <c r="F648">
        <v>3</v>
      </c>
      <c r="G648">
        <v>47393</v>
      </c>
      <c r="H648" s="1">
        <v>4</v>
      </c>
      <c r="I648">
        <v>73</v>
      </c>
      <c r="J648">
        <f>IF($H648=0,1,IF($I648&lt;=1,2,0))</f>
        <v>0</v>
      </c>
      <c r="K648">
        <v>0</v>
      </c>
      <c r="L648">
        <f>IF(AND($J648=0,$K648=0),0,1)</f>
        <v>0</v>
      </c>
      <c r="M648" t="s">
        <v>295</v>
      </c>
    </row>
    <row r="649" spans="1:13" x14ac:dyDescent="0.2">
      <c r="A649" t="s">
        <v>282</v>
      </c>
      <c r="B649" t="s">
        <v>6</v>
      </c>
      <c r="C649" t="s">
        <v>9</v>
      </c>
      <c r="D649">
        <v>3211</v>
      </c>
      <c r="E649">
        <v>2019</v>
      </c>
      <c r="F649">
        <v>1</v>
      </c>
      <c r="G649">
        <v>47391</v>
      </c>
      <c r="H649" s="1">
        <v>4</v>
      </c>
      <c r="I649">
        <v>60</v>
      </c>
      <c r="J649">
        <f>IF($H649=0,1,IF($I649&lt;=1,2,0))</f>
        <v>0</v>
      </c>
      <c r="K649">
        <v>0</v>
      </c>
      <c r="L649">
        <f>IF(AND($J649=0,$K649=0),0,1)</f>
        <v>0</v>
      </c>
      <c r="M649" t="s">
        <v>295</v>
      </c>
    </row>
    <row r="650" spans="1:13" x14ac:dyDescent="0.2">
      <c r="A650" t="s">
        <v>282</v>
      </c>
      <c r="B650" t="s">
        <v>6</v>
      </c>
      <c r="C650" t="s">
        <v>9</v>
      </c>
      <c r="D650">
        <v>3213</v>
      </c>
      <c r="E650">
        <v>2019</v>
      </c>
      <c r="F650">
        <v>1</v>
      </c>
      <c r="G650">
        <v>47397</v>
      </c>
      <c r="H650" s="1">
        <v>4</v>
      </c>
      <c r="I650">
        <v>315</v>
      </c>
      <c r="J650">
        <f>IF($H650=0,1,IF($I650&lt;=1,2,0))</f>
        <v>0</v>
      </c>
      <c r="K650">
        <v>0</v>
      </c>
      <c r="L650">
        <f>IF(AND($J650=0,$K650=0),0,1)</f>
        <v>0</v>
      </c>
      <c r="M650" t="s">
        <v>296</v>
      </c>
    </row>
    <row r="651" spans="1:13" x14ac:dyDescent="0.2">
      <c r="A651" t="s">
        <v>282</v>
      </c>
      <c r="B651" t="s">
        <v>6</v>
      </c>
      <c r="C651" t="s">
        <v>9</v>
      </c>
      <c r="D651">
        <v>3213</v>
      </c>
      <c r="E651">
        <v>2019</v>
      </c>
      <c r="F651">
        <v>2</v>
      </c>
      <c r="G651">
        <v>47396</v>
      </c>
      <c r="H651" s="1">
        <v>4</v>
      </c>
      <c r="I651">
        <v>26</v>
      </c>
      <c r="J651">
        <f>IF($H651=0,1,IF($I651&lt;=1,2,0))</f>
        <v>0</v>
      </c>
      <c r="K651">
        <v>0</v>
      </c>
      <c r="L651">
        <f>IF(AND($J651=0,$K651=0),0,1)</f>
        <v>0</v>
      </c>
      <c r="M651" t="s">
        <v>296</v>
      </c>
    </row>
    <row r="652" spans="1:13" x14ac:dyDescent="0.2">
      <c r="A652" t="s">
        <v>282</v>
      </c>
      <c r="B652" t="s">
        <v>6</v>
      </c>
      <c r="C652" t="s">
        <v>9</v>
      </c>
      <c r="D652">
        <v>3412</v>
      </c>
      <c r="E652">
        <v>2019</v>
      </c>
      <c r="F652">
        <v>1</v>
      </c>
      <c r="G652">
        <v>47399</v>
      </c>
      <c r="H652" s="1">
        <v>4</v>
      </c>
      <c r="I652">
        <v>83</v>
      </c>
      <c r="J652">
        <f>IF($H652=0,1,IF($I652&lt;=1,2,0))</f>
        <v>0</v>
      </c>
      <c r="K652">
        <v>0</v>
      </c>
      <c r="L652">
        <f>IF(AND($J652=0,$K652=0),0,1)</f>
        <v>0</v>
      </c>
      <c r="M652" t="s">
        <v>297</v>
      </c>
    </row>
    <row r="653" spans="1:13" x14ac:dyDescent="0.2">
      <c r="A653" t="s">
        <v>282</v>
      </c>
      <c r="B653" t="s">
        <v>6</v>
      </c>
      <c r="C653" t="s">
        <v>9</v>
      </c>
      <c r="D653">
        <v>3412</v>
      </c>
      <c r="E653">
        <v>2019</v>
      </c>
      <c r="F653">
        <v>2</v>
      </c>
      <c r="G653">
        <v>47400</v>
      </c>
      <c r="H653" s="1">
        <v>4</v>
      </c>
      <c r="I653">
        <v>75</v>
      </c>
      <c r="J653">
        <f>IF($H653=0,1,IF($I653&lt;=1,2,0))</f>
        <v>0</v>
      </c>
      <c r="K653">
        <v>0</v>
      </c>
      <c r="L653">
        <f>IF(AND($J653=0,$K653=0),0,1)</f>
        <v>0</v>
      </c>
      <c r="M653" t="s">
        <v>297</v>
      </c>
    </row>
    <row r="654" spans="1:13" x14ac:dyDescent="0.2">
      <c r="A654" t="s">
        <v>282</v>
      </c>
      <c r="B654" t="s">
        <v>6</v>
      </c>
      <c r="C654" t="s">
        <v>9</v>
      </c>
      <c r="D654">
        <v>3412</v>
      </c>
      <c r="E654">
        <v>2019</v>
      </c>
      <c r="F654">
        <v>3</v>
      </c>
      <c r="G654">
        <v>47401</v>
      </c>
      <c r="H654" s="1">
        <v>4</v>
      </c>
      <c r="I654">
        <v>44</v>
      </c>
      <c r="J654">
        <f>IF($H654=0,1,IF($I654&lt;=1,2,0))</f>
        <v>0</v>
      </c>
      <c r="K654">
        <v>0</v>
      </c>
      <c r="L654">
        <f>IF(AND($J654=0,$K654=0),0,1)</f>
        <v>0</v>
      </c>
      <c r="M654" t="s">
        <v>297</v>
      </c>
    </row>
    <row r="655" spans="1:13" x14ac:dyDescent="0.2">
      <c r="A655" t="s">
        <v>282</v>
      </c>
      <c r="B655" t="s">
        <v>6</v>
      </c>
      <c r="C655" t="s">
        <v>9</v>
      </c>
      <c r="D655">
        <v>4020</v>
      </c>
      <c r="E655">
        <v>2019</v>
      </c>
      <c r="F655">
        <v>1</v>
      </c>
      <c r="G655">
        <v>47403</v>
      </c>
      <c r="H655" s="1">
        <v>3</v>
      </c>
      <c r="I655">
        <v>26</v>
      </c>
      <c r="J655">
        <f>IF($H655=0,1,IF($I655&lt;=1,2,0))</f>
        <v>0</v>
      </c>
      <c r="K655">
        <v>0</v>
      </c>
      <c r="L655">
        <f>IF(AND($J655=0,$K655=0),0,1)</f>
        <v>0</v>
      </c>
    </row>
    <row r="656" spans="1:13" x14ac:dyDescent="0.2">
      <c r="A656" t="s">
        <v>282</v>
      </c>
      <c r="B656" t="s">
        <v>6</v>
      </c>
      <c r="C656" t="s">
        <v>9</v>
      </c>
      <c r="D656">
        <v>4213</v>
      </c>
      <c r="E656">
        <v>2019</v>
      </c>
      <c r="F656">
        <v>1</v>
      </c>
      <c r="G656">
        <v>47404</v>
      </c>
      <c r="H656" s="1">
        <v>4</v>
      </c>
      <c r="I656">
        <v>16</v>
      </c>
      <c r="J656">
        <f>IF($H656=0,1,IF($I656&lt;=1,2,0))</f>
        <v>0</v>
      </c>
      <c r="K656">
        <v>0</v>
      </c>
      <c r="L656">
        <f>IF(AND($J656=0,$K656=0),0,1)</f>
        <v>0</v>
      </c>
      <c r="M656" t="s">
        <v>298</v>
      </c>
    </row>
    <row r="657" spans="1:12" x14ac:dyDescent="0.2">
      <c r="A657" t="s">
        <v>282</v>
      </c>
      <c r="B657" t="s">
        <v>6</v>
      </c>
      <c r="C657" t="s">
        <v>9</v>
      </c>
      <c r="D657">
        <v>4251</v>
      </c>
      <c r="E657">
        <v>2019</v>
      </c>
      <c r="F657">
        <v>1</v>
      </c>
      <c r="G657">
        <v>47405</v>
      </c>
      <c r="H657" s="1">
        <v>3</v>
      </c>
      <c r="I657">
        <v>49</v>
      </c>
      <c r="J657">
        <f>IF($H657=0,1,IF($I657&lt;=1,2,0))</f>
        <v>0</v>
      </c>
      <c r="K657">
        <v>0</v>
      </c>
      <c r="L657">
        <f>IF(AND($J657=0,$K657=0),0,1)</f>
        <v>0</v>
      </c>
    </row>
    <row r="658" spans="1:12" x14ac:dyDescent="0.2">
      <c r="A658" t="s">
        <v>282</v>
      </c>
      <c r="B658" t="s">
        <v>6</v>
      </c>
      <c r="C658" t="s">
        <v>9</v>
      </c>
      <c r="D658">
        <v>4280</v>
      </c>
      <c r="E658">
        <v>2019</v>
      </c>
      <c r="F658">
        <v>2</v>
      </c>
      <c r="G658">
        <v>47407</v>
      </c>
      <c r="H658" s="1">
        <v>3</v>
      </c>
      <c r="I658">
        <v>81</v>
      </c>
      <c r="J658">
        <f>IF($H658=0,1,IF($I658&lt;=1,2,0))</f>
        <v>0</v>
      </c>
      <c r="K658">
        <v>0</v>
      </c>
      <c r="L658">
        <f>IF(AND($J658=0,$K658=0),0,1)</f>
        <v>0</v>
      </c>
    </row>
    <row r="659" spans="1:12" x14ac:dyDescent="0.2">
      <c r="A659" t="s">
        <v>282</v>
      </c>
      <c r="B659" t="s">
        <v>6</v>
      </c>
      <c r="C659" t="s">
        <v>9</v>
      </c>
      <c r="D659">
        <v>4280</v>
      </c>
      <c r="E659">
        <v>2019</v>
      </c>
      <c r="F659">
        <v>1</v>
      </c>
      <c r="G659">
        <v>47406</v>
      </c>
      <c r="H659" s="1">
        <v>3</v>
      </c>
      <c r="I659">
        <v>64</v>
      </c>
      <c r="J659">
        <f>IF($H659=0,1,IF($I659&lt;=1,2,0))</f>
        <v>0</v>
      </c>
      <c r="K659">
        <v>0</v>
      </c>
      <c r="L659">
        <f>IF(AND($J659=0,$K659=0),0,1)</f>
        <v>0</v>
      </c>
    </row>
    <row r="660" spans="1:12" x14ac:dyDescent="0.2">
      <c r="A660" t="s">
        <v>282</v>
      </c>
      <c r="B660" t="s">
        <v>6</v>
      </c>
      <c r="C660" t="s">
        <v>9</v>
      </c>
      <c r="D660">
        <v>4301</v>
      </c>
      <c r="E660">
        <v>2019</v>
      </c>
      <c r="F660">
        <v>1</v>
      </c>
      <c r="G660">
        <v>47410</v>
      </c>
      <c r="H660" s="1">
        <v>3</v>
      </c>
      <c r="I660">
        <v>92</v>
      </c>
      <c r="J660">
        <f>IF($H660=0,1,IF($I660&lt;=1,2,0))</f>
        <v>0</v>
      </c>
      <c r="K660">
        <v>0</v>
      </c>
      <c r="L660">
        <f>IF(AND($J660=0,$K660=0),0,1)</f>
        <v>0</v>
      </c>
    </row>
    <row r="661" spans="1:12" x14ac:dyDescent="0.2">
      <c r="A661" t="s">
        <v>282</v>
      </c>
      <c r="B661" t="s">
        <v>6</v>
      </c>
      <c r="C661" t="s">
        <v>9</v>
      </c>
      <c r="D661">
        <v>4325</v>
      </c>
      <c r="E661">
        <v>2019</v>
      </c>
      <c r="F661">
        <v>1</v>
      </c>
      <c r="G661">
        <v>47411</v>
      </c>
      <c r="H661" s="1">
        <v>3</v>
      </c>
      <c r="I661">
        <v>58</v>
      </c>
      <c r="J661">
        <f>IF($H661=0,1,IF($I661&lt;=1,2,0))</f>
        <v>0</v>
      </c>
      <c r="K661">
        <v>0</v>
      </c>
      <c r="L661">
        <f>IF(AND($J661=0,$K661=0),0,1)</f>
        <v>0</v>
      </c>
    </row>
    <row r="662" spans="1:12" x14ac:dyDescent="0.2">
      <c r="A662" t="s">
        <v>282</v>
      </c>
      <c r="B662" t="s">
        <v>6</v>
      </c>
      <c r="C662" t="s">
        <v>9</v>
      </c>
      <c r="D662">
        <v>4370</v>
      </c>
      <c r="E662">
        <v>2019</v>
      </c>
      <c r="F662">
        <v>1</v>
      </c>
      <c r="G662">
        <v>47412</v>
      </c>
      <c r="H662" s="1">
        <v>3</v>
      </c>
      <c r="I662">
        <v>51</v>
      </c>
      <c r="J662">
        <f>IF($H662=0,1,IF($I662&lt;=1,2,0))</f>
        <v>0</v>
      </c>
      <c r="K662">
        <v>0</v>
      </c>
      <c r="L662">
        <f>IF(AND($J662=0,$K662=0),0,1)</f>
        <v>0</v>
      </c>
    </row>
    <row r="663" spans="1:12" x14ac:dyDescent="0.2">
      <c r="A663" t="s">
        <v>282</v>
      </c>
      <c r="B663" t="s">
        <v>6</v>
      </c>
      <c r="C663" t="s">
        <v>9</v>
      </c>
      <c r="D663">
        <v>4412</v>
      </c>
      <c r="E663">
        <v>2019</v>
      </c>
      <c r="F663">
        <v>1</v>
      </c>
      <c r="G663">
        <v>47413</v>
      </c>
      <c r="H663" s="1">
        <v>4</v>
      </c>
      <c r="I663">
        <v>18</v>
      </c>
      <c r="J663">
        <f>IF($H663=0,1,IF($I663&lt;=1,2,0))</f>
        <v>0</v>
      </c>
      <c r="K663">
        <v>0</v>
      </c>
      <c r="L663">
        <f>IF(AND($J663=0,$K663=0),0,1)</f>
        <v>0</v>
      </c>
    </row>
    <row r="664" spans="1:12" x14ac:dyDescent="0.2">
      <c r="A664" t="s">
        <v>282</v>
      </c>
      <c r="B664" t="s">
        <v>6</v>
      </c>
      <c r="C664" t="s">
        <v>9</v>
      </c>
      <c r="D664">
        <v>4415</v>
      </c>
      <c r="E664">
        <v>2019</v>
      </c>
      <c r="F664">
        <v>1</v>
      </c>
      <c r="G664">
        <v>47414</v>
      </c>
      <c r="H664" s="1">
        <v>3</v>
      </c>
      <c r="I664">
        <v>67</v>
      </c>
      <c r="J664">
        <f>IF($H664=0,1,IF($I664&lt;=1,2,0))</f>
        <v>0</v>
      </c>
      <c r="K664">
        <v>0</v>
      </c>
      <c r="L664">
        <f>IF(AND($J664=0,$K664=0),0,1)</f>
        <v>0</v>
      </c>
    </row>
    <row r="665" spans="1:12" x14ac:dyDescent="0.2">
      <c r="A665" t="s">
        <v>282</v>
      </c>
      <c r="B665" t="s">
        <v>6</v>
      </c>
      <c r="C665" t="s">
        <v>9</v>
      </c>
      <c r="D665">
        <v>4438</v>
      </c>
      <c r="E665">
        <v>2019</v>
      </c>
      <c r="F665">
        <v>1</v>
      </c>
      <c r="G665">
        <v>47415</v>
      </c>
      <c r="H665" s="1">
        <v>3</v>
      </c>
      <c r="I665">
        <v>43</v>
      </c>
      <c r="J665">
        <f>IF($H665=0,1,IF($I665&lt;=1,2,0))</f>
        <v>0</v>
      </c>
      <c r="K665">
        <v>0</v>
      </c>
      <c r="L665">
        <f>IF(AND($J665=0,$K665=0),0,1)</f>
        <v>0</v>
      </c>
    </row>
    <row r="666" spans="1:12" x14ac:dyDescent="0.2">
      <c r="A666" t="s">
        <v>282</v>
      </c>
      <c r="B666" t="s">
        <v>6</v>
      </c>
      <c r="C666" t="s">
        <v>9</v>
      </c>
      <c r="D666">
        <v>4465</v>
      </c>
      <c r="E666">
        <v>2019</v>
      </c>
      <c r="F666">
        <v>1</v>
      </c>
      <c r="G666">
        <v>47416</v>
      </c>
      <c r="H666" s="1">
        <v>3</v>
      </c>
      <c r="I666">
        <v>29</v>
      </c>
      <c r="J666">
        <f>IF($H666=0,1,IF($I666&lt;=1,2,0))</f>
        <v>0</v>
      </c>
      <c r="K666">
        <v>0</v>
      </c>
      <c r="L666">
        <f>IF(AND($J666=0,$K666=0),0,1)</f>
        <v>0</v>
      </c>
    </row>
    <row r="667" spans="1:12" x14ac:dyDescent="0.2">
      <c r="A667" t="s">
        <v>282</v>
      </c>
      <c r="B667" t="s">
        <v>6</v>
      </c>
      <c r="C667" t="s">
        <v>9</v>
      </c>
      <c r="D667">
        <v>4480</v>
      </c>
      <c r="E667">
        <v>2019</v>
      </c>
      <c r="F667">
        <v>1</v>
      </c>
      <c r="G667">
        <v>47417</v>
      </c>
      <c r="H667" s="1">
        <v>3</v>
      </c>
      <c r="I667">
        <v>7</v>
      </c>
      <c r="J667">
        <f>IF($H667=0,1,IF($I667&lt;=1,2,0))</f>
        <v>0</v>
      </c>
      <c r="K667">
        <v>0</v>
      </c>
      <c r="L667">
        <f>IF(AND($J667=0,$K667=0),0,1)</f>
        <v>0</v>
      </c>
    </row>
    <row r="668" spans="1:12" x14ac:dyDescent="0.2">
      <c r="A668" t="s">
        <v>282</v>
      </c>
      <c r="B668" t="s">
        <v>6</v>
      </c>
      <c r="C668" t="s">
        <v>9</v>
      </c>
      <c r="D668">
        <v>4500</v>
      </c>
      <c r="E668">
        <v>2019</v>
      </c>
      <c r="F668">
        <v>1</v>
      </c>
      <c r="G668">
        <v>47418</v>
      </c>
      <c r="H668" s="1">
        <v>3</v>
      </c>
      <c r="I668">
        <v>64</v>
      </c>
      <c r="J668">
        <f>IF($H668=0,1,IF($I668&lt;=1,2,0))</f>
        <v>0</v>
      </c>
      <c r="K668">
        <v>0</v>
      </c>
      <c r="L668">
        <f>IF(AND($J668=0,$K668=0),0,1)</f>
        <v>0</v>
      </c>
    </row>
    <row r="669" spans="1:12" x14ac:dyDescent="0.2">
      <c r="A669" t="s">
        <v>282</v>
      </c>
      <c r="B669" t="s">
        <v>6</v>
      </c>
      <c r="C669" t="s">
        <v>9</v>
      </c>
      <c r="D669">
        <v>4850</v>
      </c>
      <c r="E669">
        <v>2019</v>
      </c>
      <c r="F669">
        <v>1</v>
      </c>
      <c r="G669">
        <v>47420</v>
      </c>
      <c r="H669" s="1">
        <v>4</v>
      </c>
      <c r="I669">
        <v>25</v>
      </c>
      <c r="J669">
        <f>IF($H669=0,1,IF($I669&lt;=1,2,0))</f>
        <v>0</v>
      </c>
      <c r="K669">
        <v>0</v>
      </c>
      <c r="L669">
        <f>IF(AND($J669=0,$K669=0),0,1)</f>
        <v>0</v>
      </c>
    </row>
    <row r="670" spans="1:12" x14ac:dyDescent="0.2">
      <c r="A670" t="s">
        <v>282</v>
      </c>
      <c r="B670" t="s">
        <v>6</v>
      </c>
      <c r="C670" t="s">
        <v>9</v>
      </c>
      <c r="D670">
        <v>4911</v>
      </c>
      <c r="E670">
        <v>2019</v>
      </c>
      <c r="F670">
        <v>1</v>
      </c>
      <c r="G670">
        <v>47422</v>
      </c>
      <c r="H670" s="1">
        <v>4</v>
      </c>
      <c r="I670">
        <v>16</v>
      </c>
      <c r="J670">
        <f>IF($H670=0,1,IF($I670&lt;=1,2,0))</f>
        <v>0</v>
      </c>
      <c r="K670">
        <v>0</v>
      </c>
      <c r="L670">
        <f>IF(AND($J670=0,$K670=0),0,1)</f>
        <v>0</v>
      </c>
    </row>
    <row r="671" spans="1:12" x14ac:dyDescent="0.2">
      <c r="A671" t="s">
        <v>282</v>
      </c>
      <c r="B671" t="s">
        <v>6</v>
      </c>
      <c r="C671" t="s">
        <v>9</v>
      </c>
      <c r="D671">
        <v>4911</v>
      </c>
      <c r="E671">
        <v>2019</v>
      </c>
      <c r="F671">
        <v>2</v>
      </c>
      <c r="G671">
        <v>47423</v>
      </c>
      <c r="H671" s="1">
        <v>4</v>
      </c>
      <c r="I671">
        <v>16</v>
      </c>
      <c r="J671">
        <f>IF($H671=0,1,IF($I671&lt;=1,2,0))</f>
        <v>0</v>
      </c>
      <c r="K671">
        <v>0</v>
      </c>
      <c r="L671">
        <f>IF(AND($J671=0,$K671=0),0,1)</f>
        <v>0</v>
      </c>
    </row>
    <row r="672" spans="1:12" x14ac:dyDescent="0.2">
      <c r="A672" t="s">
        <v>282</v>
      </c>
      <c r="B672" t="s">
        <v>6</v>
      </c>
      <c r="C672" t="s">
        <v>9</v>
      </c>
      <c r="D672">
        <v>4911</v>
      </c>
      <c r="E672">
        <v>2019</v>
      </c>
      <c r="F672">
        <v>5</v>
      </c>
      <c r="G672">
        <v>47426</v>
      </c>
      <c r="H672" s="1">
        <v>4</v>
      </c>
      <c r="I672">
        <v>16</v>
      </c>
      <c r="J672">
        <f>IF($H672=0,1,IF($I672&lt;=1,2,0))</f>
        <v>0</v>
      </c>
      <c r="K672">
        <v>0</v>
      </c>
      <c r="L672">
        <f>IF(AND($J672=0,$K672=0),0,1)</f>
        <v>0</v>
      </c>
    </row>
    <row r="673" spans="1:12" x14ac:dyDescent="0.2">
      <c r="A673" t="s">
        <v>282</v>
      </c>
      <c r="B673" t="s">
        <v>6</v>
      </c>
      <c r="C673" t="s">
        <v>9</v>
      </c>
      <c r="D673">
        <v>4911</v>
      </c>
      <c r="E673">
        <v>2019</v>
      </c>
      <c r="F673">
        <v>6</v>
      </c>
      <c r="G673">
        <v>47427</v>
      </c>
      <c r="H673" s="1">
        <v>4</v>
      </c>
      <c r="I673">
        <v>16</v>
      </c>
      <c r="J673">
        <f>IF($H673=0,1,IF($I673&lt;=1,2,0))</f>
        <v>0</v>
      </c>
      <c r="K673">
        <v>0</v>
      </c>
      <c r="L673">
        <f>IF(AND($J673=0,$K673=0),0,1)</f>
        <v>0</v>
      </c>
    </row>
    <row r="674" spans="1:12" x14ac:dyDescent="0.2">
      <c r="A674" t="s">
        <v>282</v>
      </c>
      <c r="B674" t="s">
        <v>6</v>
      </c>
      <c r="C674" t="s">
        <v>9</v>
      </c>
      <c r="D674">
        <v>4911</v>
      </c>
      <c r="E674">
        <v>2019</v>
      </c>
      <c r="F674">
        <v>4</v>
      </c>
      <c r="G674">
        <v>47425</v>
      </c>
      <c r="H674" s="1">
        <v>4</v>
      </c>
      <c r="I674">
        <v>15</v>
      </c>
      <c r="J674">
        <f>IF($H674=0,1,IF($I674&lt;=1,2,0))</f>
        <v>0</v>
      </c>
      <c r="K674">
        <v>0</v>
      </c>
      <c r="L674">
        <f>IF(AND($J674=0,$K674=0),0,1)</f>
        <v>0</v>
      </c>
    </row>
    <row r="675" spans="1:12" x14ac:dyDescent="0.2">
      <c r="A675" t="s">
        <v>282</v>
      </c>
      <c r="B675" t="s">
        <v>6</v>
      </c>
      <c r="C675" t="s">
        <v>9</v>
      </c>
      <c r="D675">
        <v>4911</v>
      </c>
      <c r="E675">
        <v>2019</v>
      </c>
      <c r="F675">
        <v>3</v>
      </c>
      <c r="G675">
        <v>47424</v>
      </c>
      <c r="H675" s="1">
        <v>4</v>
      </c>
      <c r="I675">
        <v>4</v>
      </c>
      <c r="J675">
        <f>IF($H675=0,1,IF($I675&lt;=1,2,0))</f>
        <v>0</v>
      </c>
      <c r="K675">
        <v>0</v>
      </c>
      <c r="L675">
        <f>IF(AND($J675=0,$K675=0),0,1)</f>
        <v>0</v>
      </c>
    </row>
    <row r="676" spans="1:12" x14ac:dyDescent="0.2">
      <c r="A676" t="s">
        <v>282</v>
      </c>
      <c r="B676" t="s">
        <v>6</v>
      </c>
      <c r="C676" t="s">
        <v>9</v>
      </c>
      <c r="D676">
        <v>4913</v>
      </c>
      <c r="E676">
        <v>2019</v>
      </c>
      <c r="F676">
        <v>1</v>
      </c>
      <c r="G676">
        <v>47428</v>
      </c>
      <c r="H676" s="1">
        <v>4</v>
      </c>
      <c r="I676">
        <v>15</v>
      </c>
      <c r="J676">
        <f>IF($H676=0,1,IF($I676&lt;=1,2,0))</f>
        <v>0</v>
      </c>
      <c r="K676">
        <v>0</v>
      </c>
      <c r="L676">
        <f>IF(AND($J676=0,$K676=0),0,1)</f>
        <v>0</v>
      </c>
    </row>
    <row r="677" spans="1:12" x14ac:dyDescent="0.2">
      <c r="A677" t="s">
        <v>282</v>
      </c>
      <c r="B677" t="s">
        <v>6</v>
      </c>
      <c r="C677" t="s">
        <v>9</v>
      </c>
      <c r="D677">
        <v>4913</v>
      </c>
      <c r="E677">
        <v>2019</v>
      </c>
      <c r="F677">
        <v>2</v>
      </c>
      <c r="G677">
        <v>47429</v>
      </c>
      <c r="H677" s="1">
        <v>4</v>
      </c>
      <c r="I677">
        <v>12</v>
      </c>
      <c r="J677">
        <f>IF($H677=0,1,IF($I677&lt;=1,2,0))</f>
        <v>0</v>
      </c>
      <c r="K677">
        <v>0</v>
      </c>
      <c r="L677">
        <f>IF(AND($J677=0,$K677=0),0,1)</f>
        <v>0</v>
      </c>
    </row>
    <row r="678" spans="1:12" x14ac:dyDescent="0.2">
      <c r="A678" t="s">
        <v>282</v>
      </c>
      <c r="B678" t="s">
        <v>6</v>
      </c>
      <c r="C678" t="s">
        <v>9</v>
      </c>
      <c r="D678">
        <v>4913</v>
      </c>
      <c r="E678">
        <v>2019</v>
      </c>
      <c r="F678">
        <v>3</v>
      </c>
      <c r="G678">
        <v>47430</v>
      </c>
      <c r="H678" s="1">
        <v>4</v>
      </c>
      <c r="I678">
        <v>12</v>
      </c>
      <c r="J678">
        <f>IF($H678=0,1,IF($I678&lt;=1,2,0))</f>
        <v>0</v>
      </c>
      <c r="K678">
        <v>0</v>
      </c>
      <c r="L678">
        <f>IF(AND($J678=0,$K678=0),0,1)</f>
        <v>0</v>
      </c>
    </row>
    <row r="679" spans="1:12" x14ac:dyDescent="0.2">
      <c r="A679" t="s">
        <v>282</v>
      </c>
      <c r="B679" t="s">
        <v>6</v>
      </c>
      <c r="C679" t="s">
        <v>9</v>
      </c>
      <c r="D679">
        <v>4995</v>
      </c>
      <c r="E679">
        <v>2019</v>
      </c>
      <c r="F679">
        <v>1</v>
      </c>
      <c r="G679">
        <v>47475</v>
      </c>
      <c r="H679" s="1">
        <v>1</v>
      </c>
      <c r="I679">
        <v>12</v>
      </c>
      <c r="J679">
        <f>IF($H679=0,1,IF($I679&lt;=1,2,0))</f>
        <v>0</v>
      </c>
      <c r="K679">
        <v>0</v>
      </c>
      <c r="L679">
        <f>IF(AND($J679=0,$K679=0),0,1)</f>
        <v>0</v>
      </c>
    </row>
    <row r="680" spans="1:12" x14ac:dyDescent="0.2">
      <c r="A680" t="s">
        <v>282</v>
      </c>
      <c r="B680" t="s">
        <v>6</v>
      </c>
      <c r="C680" t="s">
        <v>9</v>
      </c>
      <c r="D680">
        <v>4996</v>
      </c>
      <c r="E680">
        <v>2019</v>
      </c>
      <c r="F680">
        <v>1</v>
      </c>
      <c r="G680">
        <v>47476</v>
      </c>
      <c r="H680" s="1" t="s">
        <v>1837</v>
      </c>
      <c r="I680">
        <v>32</v>
      </c>
      <c r="J680">
        <f>IF($H680=0,1,IF($I680&lt;=1,2,0))</f>
        <v>0</v>
      </c>
      <c r="K680">
        <v>0</v>
      </c>
      <c r="L680">
        <f>IF(AND($J680=0,$K680=0),0,1)</f>
        <v>0</v>
      </c>
    </row>
    <row r="681" spans="1:12" x14ac:dyDescent="0.2">
      <c r="A681" t="s">
        <v>282</v>
      </c>
      <c r="B681" t="s">
        <v>6</v>
      </c>
      <c r="C681" t="s">
        <v>11</v>
      </c>
      <c r="D681">
        <v>5211</v>
      </c>
      <c r="E681">
        <v>2019</v>
      </c>
      <c r="F681">
        <v>1</v>
      </c>
      <c r="G681">
        <v>47433</v>
      </c>
      <c r="H681" s="1">
        <v>3</v>
      </c>
      <c r="I681">
        <v>71</v>
      </c>
      <c r="J681">
        <f>IF($H681=0,1,IF($I681&lt;=1,2,0))</f>
        <v>0</v>
      </c>
      <c r="K681">
        <v>0</v>
      </c>
      <c r="L681">
        <f>IF(AND($J681=0,$K681=0),0,1)</f>
        <v>0</v>
      </c>
    </row>
    <row r="682" spans="1:12" x14ac:dyDescent="0.2">
      <c r="A682" t="s">
        <v>282</v>
      </c>
      <c r="B682" t="s">
        <v>6</v>
      </c>
      <c r="C682" t="s">
        <v>11</v>
      </c>
      <c r="D682">
        <v>5215</v>
      </c>
      <c r="E682">
        <v>2019</v>
      </c>
      <c r="F682">
        <v>1</v>
      </c>
      <c r="G682">
        <v>47434</v>
      </c>
      <c r="H682" s="1">
        <v>3</v>
      </c>
      <c r="I682">
        <v>71</v>
      </c>
      <c r="J682">
        <f>IF($H682=0,1,IF($I682&lt;=1,2,0))</f>
        <v>0</v>
      </c>
      <c r="K682">
        <v>0</v>
      </c>
      <c r="L682">
        <f>IF(AND($J682=0,$K682=0),0,1)</f>
        <v>0</v>
      </c>
    </row>
    <row r="683" spans="1:12" x14ac:dyDescent="0.2">
      <c r="A683" t="s">
        <v>282</v>
      </c>
      <c r="B683" t="s">
        <v>6</v>
      </c>
      <c r="C683" t="s">
        <v>11</v>
      </c>
      <c r="D683">
        <v>5218</v>
      </c>
      <c r="E683">
        <v>2019</v>
      </c>
      <c r="F683">
        <v>1</v>
      </c>
      <c r="G683">
        <v>47435</v>
      </c>
      <c r="H683" s="1">
        <v>3</v>
      </c>
      <c r="I683">
        <v>11</v>
      </c>
      <c r="J683">
        <f>IF($H683=0,1,IF($I683&lt;=1,2,0))</f>
        <v>0</v>
      </c>
      <c r="K683">
        <v>0</v>
      </c>
      <c r="L683">
        <f>IF(AND($J683=0,$K683=0),0,1)</f>
        <v>0</v>
      </c>
    </row>
    <row r="684" spans="1:12" x14ac:dyDescent="0.2">
      <c r="A684" t="s">
        <v>282</v>
      </c>
      <c r="B684" t="s">
        <v>6</v>
      </c>
      <c r="C684" t="s">
        <v>11</v>
      </c>
      <c r="D684">
        <v>5220</v>
      </c>
      <c r="E684">
        <v>2019</v>
      </c>
      <c r="F684">
        <v>1</v>
      </c>
      <c r="G684">
        <v>47436</v>
      </c>
      <c r="H684" s="1">
        <v>3</v>
      </c>
      <c r="I684">
        <v>27</v>
      </c>
      <c r="J684">
        <f>IF($H684=0,1,IF($I684&lt;=1,2,0))</f>
        <v>0</v>
      </c>
      <c r="K684">
        <v>0</v>
      </c>
      <c r="L684">
        <f>IF(AND($J684=0,$K684=0),0,1)</f>
        <v>0</v>
      </c>
    </row>
    <row r="685" spans="1:12" x14ac:dyDescent="0.2">
      <c r="A685" t="s">
        <v>282</v>
      </c>
      <c r="B685" t="s">
        <v>6</v>
      </c>
      <c r="C685" t="s">
        <v>11</v>
      </c>
      <c r="D685">
        <v>5311</v>
      </c>
      <c r="E685">
        <v>2019</v>
      </c>
      <c r="F685">
        <v>1</v>
      </c>
      <c r="G685">
        <v>47437</v>
      </c>
      <c r="H685" s="1">
        <v>3</v>
      </c>
      <c r="I685">
        <v>68</v>
      </c>
      <c r="J685">
        <f>IF($H685=0,1,IF($I685&lt;=1,2,0))</f>
        <v>0</v>
      </c>
      <c r="K685">
        <v>0</v>
      </c>
      <c r="L685">
        <f>IF(AND($J685=0,$K685=0),0,1)</f>
        <v>0</v>
      </c>
    </row>
    <row r="686" spans="1:12" x14ac:dyDescent="0.2">
      <c r="A686" t="s">
        <v>282</v>
      </c>
      <c r="B686" t="s">
        <v>6</v>
      </c>
      <c r="C686" t="s">
        <v>11</v>
      </c>
      <c r="D686">
        <v>5410</v>
      </c>
      <c r="E686">
        <v>2019</v>
      </c>
      <c r="F686">
        <v>1</v>
      </c>
      <c r="G686">
        <v>47438</v>
      </c>
      <c r="H686" s="1">
        <v>3</v>
      </c>
      <c r="I686">
        <v>71</v>
      </c>
      <c r="J686">
        <f>IF($H686=0,1,IF($I686&lt;=1,2,0))</f>
        <v>0</v>
      </c>
      <c r="K686">
        <v>0</v>
      </c>
      <c r="L686">
        <f>IF(AND($J686=0,$K686=0),0,1)</f>
        <v>0</v>
      </c>
    </row>
    <row r="687" spans="1:12" x14ac:dyDescent="0.2">
      <c r="A687" t="s">
        <v>282</v>
      </c>
      <c r="B687" t="s">
        <v>6</v>
      </c>
      <c r="C687" t="s">
        <v>11</v>
      </c>
      <c r="D687">
        <v>5411</v>
      </c>
      <c r="E687">
        <v>2019</v>
      </c>
      <c r="F687">
        <v>1</v>
      </c>
      <c r="G687">
        <v>47439</v>
      </c>
      <c r="H687" s="1">
        <v>3</v>
      </c>
      <c r="I687">
        <v>71</v>
      </c>
      <c r="J687">
        <f>IF($H687=0,1,IF($I687&lt;=1,2,0))</f>
        <v>0</v>
      </c>
      <c r="K687">
        <v>0</v>
      </c>
      <c r="L687">
        <f>IF(AND($J687=0,$K687=0),0,1)</f>
        <v>0</v>
      </c>
    </row>
    <row r="688" spans="1:12" x14ac:dyDescent="0.2">
      <c r="A688" t="s">
        <v>282</v>
      </c>
      <c r="B688" t="s">
        <v>6</v>
      </c>
      <c r="C688" t="s">
        <v>11</v>
      </c>
      <c r="D688">
        <v>5415</v>
      </c>
      <c r="E688">
        <v>2019</v>
      </c>
      <c r="F688">
        <v>1</v>
      </c>
      <c r="G688">
        <v>47440</v>
      </c>
      <c r="H688" s="1">
        <v>3</v>
      </c>
      <c r="I688">
        <v>40</v>
      </c>
      <c r="J688">
        <f>IF($H688=0,1,IF($I688&lt;=1,2,0))</f>
        <v>0</v>
      </c>
      <c r="K688">
        <v>0</v>
      </c>
      <c r="L688">
        <f>IF(AND($J688=0,$K688=0),0,1)</f>
        <v>0</v>
      </c>
    </row>
    <row r="689" spans="1:12" x14ac:dyDescent="0.2">
      <c r="A689" t="s">
        <v>282</v>
      </c>
      <c r="B689" t="s">
        <v>6</v>
      </c>
      <c r="C689" t="s">
        <v>11</v>
      </c>
      <c r="D689">
        <v>6211</v>
      </c>
      <c r="E689">
        <v>2019</v>
      </c>
      <c r="F689">
        <v>1</v>
      </c>
      <c r="G689">
        <v>47442</v>
      </c>
      <c r="H689" s="1">
        <v>4</v>
      </c>
      <c r="I689">
        <v>36</v>
      </c>
      <c r="J689">
        <f>IF($H689=0,1,IF($I689&lt;=1,2,0))</f>
        <v>0</v>
      </c>
      <c r="K689">
        <v>0</v>
      </c>
      <c r="L689">
        <f>IF(AND($J689=0,$K689=0),0,1)</f>
        <v>0</v>
      </c>
    </row>
    <row r="690" spans="1:12" x14ac:dyDescent="0.2">
      <c r="A690" t="s">
        <v>282</v>
      </c>
      <c r="B690" t="s">
        <v>6</v>
      </c>
      <c r="C690" t="s">
        <v>11</v>
      </c>
      <c r="D690">
        <v>6215</v>
      </c>
      <c r="E690">
        <v>2019</v>
      </c>
      <c r="F690">
        <v>1</v>
      </c>
      <c r="G690">
        <v>47443</v>
      </c>
      <c r="H690" s="1">
        <v>4</v>
      </c>
      <c r="I690">
        <v>30</v>
      </c>
      <c r="J690">
        <f>IF($H690=0,1,IF($I690&lt;=1,2,0))</f>
        <v>0</v>
      </c>
      <c r="K690">
        <v>0</v>
      </c>
      <c r="L690">
        <f>IF(AND($J690=0,$K690=0),0,1)</f>
        <v>0</v>
      </c>
    </row>
    <row r="691" spans="1:12" x14ac:dyDescent="0.2">
      <c r="A691" t="s">
        <v>282</v>
      </c>
      <c r="B691" t="s">
        <v>6</v>
      </c>
      <c r="C691" t="s">
        <v>11</v>
      </c>
      <c r="D691">
        <v>6232</v>
      </c>
      <c r="E691">
        <v>2019</v>
      </c>
      <c r="F691">
        <v>1</v>
      </c>
      <c r="G691">
        <v>47444</v>
      </c>
      <c r="H691" s="1">
        <v>3</v>
      </c>
      <c r="I691">
        <v>2</v>
      </c>
      <c r="J691">
        <f>IF($H691=0,1,IF($I691&lt;=1,2,0))</f>
        <v>0</v>
      </c>
      <c r="K691">
        <v>0</v>
      </c>
      <c r="L691">
        <f>IF(AND($J691=0,$K691=0),0,1)</f>
        <v>0</v>
      </c>
    </row>
    <row r="692" spans="1:12" x14ac:dyDescent="0.2">
      <c r="A692" t="s">
        <v>282</v>
      </c>
      <c r="B692" t="s">
        <v>6</v>
      </c>
      <c r="C692" t="s">
        <v>11</v>
      </c>
      <c r="D692">
        <v>6253</v>
      </c>
      <c r="E692">
        <v>2019</v>
      </c>
      <c r="F692">
        <v>1</v>
      </c>
      <c r="G692">
        <v>47445</v>
      </c>
      <c r="H692" s="1">
        <v>3</v>
      </c>
      <c r="I692">
        <v>11</v>
      </c>
      <c r="J692">
        <f>IF($H692=0,1,IF($I692&lt;=1,2,0))</f>
        <v>0</v>
      </c>
      <c r="K692">
        <v>0</v>
      </c>
      <c r="L692">
        <f>IF(AND($J692=0,$K692=0),0,1)</f>
        <v>0</v>
      </c>
    </row>
    <row r="693" spans="1:12" x14ac:dyDescent="0.2">
      <c r="A693" t="s">
        <v>282</v>
      </c>
      <c r="B693" t="s">
        <v>6</v>
      </c>
      <c r="C693" t="s">
        <v>11</v>
      </c>
      <c r="D693">
        <v>6307</v>
      </c>
      <c r="E693">
        <v>2019</v>
      </c>
      <c r="F693">
        <v>1</v>
      </c>
      <c r="G693">
        <v>47447</v>
      </c>
      <c r="H693" s="1">
        <v>3</v>
      </c>
      <c r="I693">
        <v>13</v>
      </c>
      <c r="J693">
        <f>IF($H693=0,1,IF($I693&lt;=1,2,0))</f>
        <v>0</v>
      </c>
      <c r="K693">
        <v>0</v>
      </c>
      <c r="L693">
        <f>IF(AND($J693=0,$K693=0),0,1)</f>
        <v>0</v>
      </c>
    </row>
    <row r="694" spans="1:12" x14ac:dyDescent="0.2">
      <c r="A694" t="s">
        <v>282</v>
      </c>
      <c r="B694" t="s">
        <v>6</v>
      </c>
      <c r="C694" t="s">
        <v>11</v>
      </c>
      <c r="D694">
        <v>6410</v>
      </c>
      <c r="E694">
        <v>2019</v>
      </c>
      <c r="F694">
        <v>1</v>
      </c>
      <c r="G694">
        <v>47448</v>
      </c>
      <c r="H694" s="1">
        <v>4</v>
      </c>
      <c r="I694">
        <v>27</v>
      </c>
      <c r="J694">
        <f>IF($H694=0,1,IF($I694&lt;=1,2,0))</f>
        <v>0</v>
      </c>
      <c r="K694">
        <v>0</v>
      </c>
      <c r="L694">
        <f>IF(AND($J694=0,$K694=0),0,1)</f>
        <v>0</v>
      </c>
    </row>
    <row r="695" spans="1:12" x14ac:dyDescent="0.2">
      <c r="A695" t="s">
        <v>282</v>
      </c>
      <c r="B695" t="s">
        <v>6</v>
      </c>
      <c r="C695" t="s">
        <v>11</v>
      </c>
      <c r="D695">
        <v>6411</v>
      </c>
      <c r="E695">
        <v>2019</v>
      </c>
      <c r="F695">
        <v>1</v>
      </c>
      <c r="G695">
        <v>47449</v>
      </c>
      <c r="H695" s="1">
        <v>4</v>
      </c>
      <c r="I695">
        <v>36</v>
      </c>
      <c r="J695">
        <f>IF($H695=0,1,IF($I695&lt;=1,2,0))</f>
        <v>0</v>
      </c>
      <c r="K695">
        <v>0</v>
      </c>
      <c r="L695">
        <f>IF(AND($J695=0,$K695=0),0,1)</f>
        <v>0</v>
      </c>
    </row>
    <row r="696" spans="1:12" x14ac:dyDescent="0.2">
      <c r="A696" t="s">
        <v>282</v>
      </c>
      <c r="B696" t="s">
        <v>6</v>
      </c>
      <c r="C696" t="s">
        <v>11</v>
      </c>
      <c r="D696">
        <v>6413</v>
      </c>
      <c r="E696">
        <v>2019</v>
      </c>
      <c r="F696">
        <v>1</v>
      </c>
      <c r="G696">
        <v>47450</v>
      </c>
      <c r="H696" s="1">
        <v>3</v>
      </c>
      <c r="I696">
        <v>8</v>
      </c>
      <c r="J696">
        <f>IF($H696=0,1,IF($I696&lt;=1,2,0))</f>
        <v>0</v>
      </c>
      <c r="K696">
        <v>0</v>
      </c>
      <c r="L696">
        <f>IF(AND($J696=0,$K696=0),0,1)</f>
        <v>0</v>
      </c>
    </row>
    <row r="697" spans="1:12" x14ac:dyDescent="0.2">
      <c r="A697" t="s">
        <v>282</v>
      </c>
      <c r="B697" t="s">
        <v>6</v>
      </c>
      <c r="C697" t="s">
        <v>11</v>
      </c>
      <c r="D697">
        <v>6414</v>
      </c>
      <c r="E697">
        <v>2019</v>
      </c>
      <c r="F697">
        <v>1</v>
      </c>
      <c r="G697">
        <v>47451</v>
      </c>
      <c r="H697" s="1">
        <v>3</v>
      </c>
      <c r="I697">
        <v>11</v>
      </c>
      <c r="J697">
        <f>IF($H697=0,1,IF($I697&lt;=1,2,0))</f>
        <v>0</v>
      </c>
      <c r="K697">
        <v>0</v>
      </c>
      <c r="L697">
        <f>IF(AND($J697=0,$K697=0),0,1)</f>
        <v>0</v>
      </c>
    </row>
    <row r="698" spans="1:12" x14ac:dyDescent="0.2">
      <c r="A698" t="s">
        <v>282</v>
      </c>
      <c r="B698" t="s">
        <v>6</v>
      </c>
      <c r="C698" t="s">
        <v>11</v>
      </c>
      <c r="D698">
        <v>6451</v>
      </c>
      <c r="E698">
        <v>2019</v>
      </c>
      <c r="F698">
        <v>1</v>
      </c>
      <c r="G698">
        <v>13282</v>
      </c>
      <c r="H698" s="1">
        <v>3</v>
      </c>
      <c r="I698">
        <v>17</v>
      </c>
      <c r="J698">
        <f>IF($H698=0,1,IF($I698&lt;=1,2,0))</f>
        <v>0</v>
      </c>
      <c r="K698">
        <v>0</v>
      </c>
      <c r="L698">
        <f>IF(AND($J698=0,$K698=0),0,1)</f>
        <v>0</v>
      </c>
    </row>
    <row r="699" spans="1:12" x14ac:dyDescent="0.2">
      <c r="A699" t="s">
        <v>282</v>
      </c>
      <c r="B699" t="s">
        <v>6</v>
      </c>
      <c r="C699" t="s">
        <v>11</v>
      </c>
      <c r="D699">
        <v>6492</v>
      </c>
      <c r="E699">
        <v>2019</v>
      </c>
      <c r="F699">
        <v>1</v>
      </c>
      <c r="G699">
        <v>47452</v>
      </c>
      <c r="H699" s="1">
        <v>3</v>
      </c>
      <c r="I699">
        <v>2</v>
      </c>
      <c r="J699">
        <f>IF($H699=0,1,IF($I699&lt;=1,2,0))</f>
        <v>0</v>
      </c>
      <c r="K699">
        <v>0</v>
      </c>
      <c r="L699">
        <f>IF(AND($J699=0,$K699=0),0,1)</f>
        <v>0</v>
      </c>
    </row>
    <row r="700" spans="1:12" x14ac:dyDescent="0.2">
      <c r="A700" t="s">
        <v>282</v>
      </c>
      <c r="B700" t="s">
        <v>6</v>
      </c>
      <c r="C700" t="s">
        <v>11</v>
      </c>
      <c r="D700">
        <v>6493</v>
      </c>
      <c r="E700">
        <v>2019</v>
      </c>
      <c r="F700">
        <v>1</v>
      </c>
      <c r="G700">
        <v>47453</v>
      </c>
      <c r="H700" s="1">
        <v>3</v>
      </c>
      <c r="I700">
        <v>4</v>
      </c>
      <c r="J700">
        <f>IF($H700=0,1,IF($I700&lt;=1,2,0))</f>
        <v>0</v>
      </c>
      <c r="K700">
        <v>0</v>
      </c>
      <c r="L700">
        <f>IF(AND($J700=0,$K700=0),0,1)</f>
        <v>0</v>
      </c>
    </row>
    <row r="701" spans="1:12" x14ac:dyDescent="0.2">
      <c r="A701" t="s">
        <v>282</v>
      </c>
      <c r="B701" t="s">
        <v>6</v>
      </c>
      <c r="C701" t="s">
        <v>11</v>
      </c>
      <c r="D701">
        <v>6808</v>
      </c>
      <c r="E701">
        <v>2019</v>
      </c>
      <c r="F701">
        <v>1</v>
      </c>
      <c r="G701">
        <v>47455</v>
      </c>
      <c r="H701" s="1">
        <v>3</v>
      </c>
      <c r="I701">
        <v>7</v>
      </c>
      <c r="J701">
        <f>IF($H701=0,1,IF($I701&lt;=1,2,0))</f>
        <v>0</v>
      </c>
      <c r="K701">
        <v>0</v>
      </c>
      <c r="L701">
        <f>IF(AND($J701=0,$K701=0),0,1)</f>
        <v>0</v>
      </c>
    </row>
    <row r="702" spans="1:12" x14ac:dyDescent="0.2">
      <c r="A702" t="s">
        <v>282</v>
      </c>
      <c r="B702" t="s">
        <v>6</v>
      </c>
      <c r="C702" t="s">
        <v>11</v>
      </c>
      <c r="D702">
        <v>8310</v>
      </c>
      <c r="E702">
        <v>2019</v>
      </c>
      <c r="F702">
        <v>1</v>
      </c>
      <c r="G702">
        <v>47457</v>
      </c>
      <c r="H702" s="1">
        <v>2</v>
      </c>
      <c r="I702">
        <v>7</v>
      </c>
      <c r="J702">
        <f>IF($H702=0,1,IF($I702&lt;=1,2,0))</f>
        <v>0</v>
      </c>
      <c r="K702">
        <v>0</v>
      </c>
      <c r="L702">
        <f>IF(AND($J702=0,$K702=0),0,1)</f>
        <v>0</v>
      </c>
    </row>
    <row r="703" spans="1:12" x14ac:dyDescent="0.2">
      <c r="A703" t="s">
        <v>282</v>
      </c>
      <c r="B703" t="s">
        <v>6</v>
      </c>
      <c r="C703" t="s">
        <v>11</v>
      </c>
      <c r="D703">
        <v>8315</v>
      </c>
      <c r="E703">
        <v>2019</v>
      </c>
      <c r="F703">
        <v>1</v>
      </c>
      <c r="G703">
        <v>47458</v>
      </c>
      <c r="H703" s="1">
        <v>2</v>
      </c>
      <c r="I703">
        <v>9</v>
      </c>
      <c r="J703">
        <f>IF($H703=0,1,IF($I703&lt;=1,2,0))</f>
        <v>0</v>
      </c>
      <c r="K703">
        <v>0</v>
      </c>
      <c r="L703">
        <f>IF(AND($J703=0,$K703=0),0,1)</f>
        <v>0</v>
      </c>
    </row>
    <row r="704" spans="1:12" x14ac:dyDescent="0.2">
      <c r="A704" t="s">
        <v>282</v>
      </c>
      <c r="B704" t="s">
        <v>6</v>
      </c>
      <c r="C704" t="s">
        <v>11</v>
      </c>
      <c r="D704">
        <v>8420</v>
      </c>
      <c r="E704">
        <v>2019</v>
      </c>
      <c r="F704">
        <v>1</v>
      </c>
      <c r="G704">
        <v>47459</v>
      </c>
      <c r="H704" s="1">
        <v>2</v>
      </c>
      <c r="I704">
        <v>17</v>
      </c>
      <c r="J704">
        <f>IF($H704=0,1,IF($I704&lt;=1,2,0))</f>
        <v>0</v>
      </c>
      <c r="K704">
        <v>0</v>
      </c>
      <c r="L704">
        <f>IF(AND($J704=0,$K704=0),0,1)</f>
        <v>0</v>
      </c>
    </row>
    <row r="705" spans="1:13" x14ac:dyDescent="0.2">
      <c r="A705" t="s">
        <v>282</v>
      </c>
      <c r="B705" t="s">
        <v>6</v>
      </c>
      <c r="C705" t="s">
        <v>11</v>
      </c>
      <c r="D705">
        <v>8440</v>
      </c>
      <c r="E705">
        <v>2019</v>
      </c>
      <c r="F705">
        <v>1</v>
      </c>
      <c r="G705">
        <v>47460</v>
      </c>
      <c r="H705" s="1">
        <v>2</v>
      </c>
      <c r="I705">
        <v>8</v>
      </c>
      <c r="J705">
        <f>IF($H705=0,1,IF($I705&lt;=1,2,0))</f>
        <v>0</v>
      </c>
      <c r="K705">
        <v>0</v>
      </c>
      <c r="L705">
        <f>IF(AND($J705=0,$K705=0),0,1)</f>
        <v>0</v>
      </c>
    </row>
    <row r="706" spans="1:13" x14ac:dyDescent="0.2">
      <c r="A706" t="s">
        <v>282</v>
      </c>
      <c r="B706" t="s">
        <v>6</v>
      </c>
      <c r="C706" t="s">
        <v>11</v>
      </c>
      <c r="D706">
        <v>8708</v>
      </c>
      <c r="E706">
        <v>2019</v>
      </c>
      <c r="F706">
        <v>1</v>
      </c>
      <c r="G706">
        <v>47461</v>
      </c>
      <c r="H706" s="1">
        <v>2</v>
      </c>
      <c r="I706">
        <v>8</v>
      </c>
      <c r="J706">
        <f>IF($H706=0,1,IF($I706&lt;=1,2,0))</f>
        <v>0</v>
      </c>
      <c r="K706">
        <v>0</v>
      </c>
      <c r="L706">
        <f>IF(AND($J706=0,$K706=0),0,1)</f>
        <v>0</v>
      </c>
    </row>
    <row r="707" spans="1:13" x14ac:dyDescent="0.2">
      <c r="A707" t="s">
        <v>282</v>
      </c>
      <c r="B707" t="s">
        <v>6</v>
      </c>
      <c r="C707" t="s">
        <v>11</v>
      </c>
      <c r="D707">
        <v>8712</v>
      </c>
      <c r="E707">
        <v>2019</v>
      </c>
      <c r="F707">
        <v>1</v>
      </c>
      <c r="G707">
        <v>47462</v>
      </c>
      <c r="H707" s="1">
        <v>2</v>
      </c>
      <c r="I707">
        <v>6</v>
      </c>
      <c r="J707">
        <f>IF($H707=0,1,IF($I707&lt;=1,2,0))</f>
        <v>0</v>
      </c>
      <c r="K707">
        <v>0</v>
      </c>
      <c r="L707">
        <f>IF(AND($J707=0,$K707=0),0,1)</f>
        <v>0</v>
      </c>
    </row>
    <row r="708" spans="1:13" x14ac:dyDescent="0.2">
      <c r="A708" t="s">
        <v>282</v>
      </c>
      <c r="B708" t="s">
        <v>6</v>
      </c>
      <c r="C708" t="s">
        <v>11</v>
      </c>
      <c r="D708">
        <v>8713</v>
      </c>
      <c r="E708">
        <v>2019</v>
      </c>
      <c r="F708">
        <v>1</v>
      </c>
      <c r="G708">
        <v>47463</v>
      </c>
      <c r="H708" s="1">
        <v>2</v>
      </c>
      <c r="I708">
        <v>9</v>
      </c>
      <c r="J708">
        <f>IF($H708=0,1,IF($I708&lt;=1,2,0))</f>
        <v>0</v>
      </c>
      <c r="K708">
        <v>0</v>
      </c>
      <c r="L708">
        <f>IF(AND($J708=0,$K708=0),0,1)</f>
        <v>0</v>
      </c>
    </row>
    <row r="709" spans="1:13" x14ac:dyDescent="0.2">
      <c r="A709" t="s">
        <v>282</v>
      </c>
      <c r="B709" t="s">
        <v>6</v>
      </c>
      <c r="C709" t="s">
        <v>11</v>
      </c>
      <c r="D709">
        <v>8714</v>
      </c>
      <c r="E709">
        <v>2019</v>
      </c>
      <c r="F709">
        <v>1</v>
      </c>
      <c r="G709">
        <v>47464</v>
      </c>
      <c r="H709" s="1">
        <v>2</v>
      </c>
      <c r="I709">
        <v>28</v>
      </c>
      <c r="J709">
        <f>IF($H709=0,1,IF($I709&lt;=1,2,0))</f>
        <v>0</v>
      </c>
      <c r="K709">
        <v>0</v>
      </c>
      <c r="L709">
        <f>IF(AND($J709=0,$K709=0),0,1)</f>
        <v>0</v>
      </c>
    </row>
    <row r="710" spans="1:13" x14ac:dyDescent="0.2">
      <c r="A710" t="s">
        <v>282</v>
      </c>
      <c r="B710" t="s">
        <v>6</v>
      </c>
      <c r="C710" t="s">
        <v>11</v>
      </c>
      <c r="D710">
        <v>8718</v>
      </c>
      <c r="E710">
        <v>2019</v>
      </c>
      <c r="F710">
        <v>1</v>
      </c>
      <c r="G710">
        <v>47465</v>
      </c>
      <c r="H710" s="1">
        <v>2</v>
      </c>
      <c r="I710">
        <v>14</v>
      </c>
      <c r="J710">
        <f>IF($H710=0,1,IF($I710&lt;=1,2,0))</f>
        <v>0</v>
      </c>
      <c r="K710">
        <v>0</v>
      </c>
      <c r="L710">
        <f>IF(AND($J710=0,$K710=0),0,1)</f>
        <v>0</v>
      </c>
    </row>
    <row r="711" spans="1:13" x14ac:dyDescent="0.2">
      <c r="A711" t="s">
        <v>282</v>
      </c>
      <c r="B711" t="s">
        <v>6</v>
      </c>
      <c r="C711" t="s">
        <v>11</v>
      </c>
      <c r="D711">
        <v>8730</v>
      </c>
      <c r="E711">
        <v>2019</v>
      </c>
      <c r="F711">
        <v>1</v>
      </c>
      <c r="G711">
        <v>47466</v>
      </c>
      <c r="H711" s="1">
        <v>2</v>
      </c>
      <c r="I711">
        <v>7</v>
      </c>
      <c r="J711">
        <f>IF($H711=0,1,IF($I711&lt;=1,2,0))</f>
        <v>0</v>
      </c>
      <c r="K711">
        <v>0</v>
      </c>
      <c r="L711">
        <f>IF(AND($J711=0,$K711=0),0,1)</f>
        <v>0</v>
      </c>
    </row>
    <row r="712" spans="1:13" x14ac:dyDescent="0.2">
      <c r="A712" t="s">
        <v>309</v>
      </c>
      <c r="B712" t="s">
        <v>71</v>
      </c>
      <c r="C712" t="s">
        <v>72</v>
      </c>
      <c r="D712">
        <v>6091</v>
      </c>
      <c r="E712">
        <v>2019</v>
      </c>
      <c r="F712">
        <v>1</v>
      </c>
      <c r="G712">
        <v>98658</v>
      </c>
      <c r="H712" s="1">
        <v>3</v>
      </c>
      <c r="I712">
        <v>21</v>
      </c>
      <c r="J712">
        <f>IF($H712=0,1,IF($I712&lt;=1,2,0))</f>
        <v>0</v>
      </c>
      <c r="K712">
        <v>0</v>
      </c>
      <c r="L712">
        <f>IF(AND($J712=0,$K712=0),0,1)</f>
        <v>0</v>
      </c>
    </row>
    <row r="713" spans="1:13" x14ac:dyDescent="0.2">
      <c r="A713" t="s">
        <v>310</v>
      </c>
      <c r="B713" t="s">
        <v>71</v>
      </c>
      <c r="C713" t="s">
        <v>72</v>
      </c>
      <c r="D713">
        <v>4321</v>
      </c>
      <c r="E713">
        <v>2019</v>
      </c>
      <c r="F713">
        <v>1</v>
      </c>
      <c r="G713">
        <v>98657</v>
      </c>
      <c r="H713" s="1">
        <v>3</v>
      </c>
      <c r="I713">
        <v>28</v>
      </c>
      <c r="J713">
        <f>IF($H713=0,1,IF($I713&lt;=1,2,0))</f>
        <v>0</v>
      </c>
      <c r="K713">
        <v>0</v>
      </c>
      <c r="L713">
        <f>IF(AND($J713=0,$K713=0),0,1)</f>
        <v>0</v>
      </c>
    </row>
    <row r="714" spans="1:13" x14ac:dyDescent="0.2">
      <c r="A714" t="s">
        <v>310</v>
      </c>
      <c r="B714" t="s">
        <v>71</v>
      </c>
      <c r="C714" t="s">
        <v>72</v>
      </c>
      <c r="D714">
        <v>4750</v>
      </c>
      <c r="E714">
        <v>2019</v>
      </c>
      <c r="F714">
        <v>1</v>
      </c>
      <c r="G714">
        <v>98656</v>
      </c>
      <c r="H714" s="1">
        <v>3</v>
      </c>
      <c r="I714">
        <v>21</v>
      </c>
      <c r="J714">
        <f>IF($H714=0,1,IF($I714&lt;=1,2,0))</f>
        <v>0</v>
      </c>
      <c r="K714">
        <v>0</v>
      </c>
      <c r="L714">
        <f>IF(AND($J714=0,$K714=0),0,1)</f>
        <v>0</v>
      </c>
    </row>
    <row r="715" spans="1:13" x14ac:dyDescent="0.2">
      <c r="A715" t="s">
        <v>310</v>
      </c>
      <c r="B715" t="s">
        <v>71</v>
      </c>
      <c r="C715" t="s">
        <v>72</v>
      </c>
      <c r="D715">
        <v>4764</v>
      </c>
      <c r="E715">
        <v>2019</v>
      </c>
      <c r="F715">
        <v>1</v>
      </c>
      <c r="G715">
        <v>98820</v>
      </c>
      <c r="H715" s="1">
        <v>3</v>
      </c>
      <c r="I715">
        <v>57</v>
      </c>
      <c r="J715">
        <f>IF($H715=0,1,IF($I715&lt;=1,2,0))</f>
        <v>0</v>
      </c>
      <c r="K715">
        <v>0</v>
      </c>
      <c r="L715">
        <f>IF(AND($J715=0,$K715=0),0,1)</f>
        <v>0</v>
      </c>
    </row>
    <row r="716" spans="1:13" x14ac:dyDescent="0.2">
      <c r="A716" t="s">
        <v>310</v>
      </c>
      <c r="B716" t="s">
        <v>71</v>
      </c>
      <c r="C716" t="s">
        <v>72</v>
      </c>
      <c r="D716">
        <v>6690</v>
      </c>
      <c r="E716">
        <v>2019</v>
      </c>
      <c r="F716">
        <v>1</v>
      </c>
      <c r="G716">
        <v>98817</v>
      </c>
      <c r="H716" s="1">
        <v>3</v>
      </c>
      <c r="I716">
        <v>76</v>
      </c>
      <c r="J716">
        <f>IF($H716=0,1,IF($I716&lt;=1,2,0))</f>
        <v>0</v>
      </c>
      <c r="K716">
        <v>0</v>
      </c>
      <c r="L716">
        <f>IF(AND($J716=0,$K716=0),0,1)</f>
        <v>0</v>
      </c>
    </row>
    <row r="717" spans="1:13" x14ac:dyDescent="0.2">
      <c r="A717" t="s">
        <v>310</v>
      </c>
      <c r="B717" t="s">
        <v>71</v>
      </c>
      <c r="C717" t="s">
        <v>72</v>
      </c>
      <c r="D717">
        <v>6690</v>
      </c>
      <c r="E717">
        <v>2019</v>
      </c>
      <c r="F717" t="s">
        <v>251</v>
      </c>
      <c r="G717">
        <v>17307</v>
      </c>
      <c r="H717" s="1">
        <v>3</v>
      </c>
      <c r="I717">
        <v>5</v>
      </c>
      <c r="J717">
        <f>IF($H717=0,1,IF($I717&lt;=1,2,0))</f>
        <v>0</v>
      </c>
      <c r="K717">
        <v>0</v>
      </c>
      <c r="L717">
        <f>IF(AND($J717=0,$K717=0),0,1)</f>
        <v>0</v>
      </c>
      <c r="M717" t="s">
        <v>311</v>
      </c>
    </row>
    <row r="718" spans="1:13" x14ac:dyDescent="0.2">
      <c r="A718" t="s">
        <v>310</v>
      </c>
      <c r="B718" t="s">
        <v>71</v>
      </c>
      <c r="C718" t="s">
        <v>72</v>
      </c>
      <c r="D718">
        <v>6690</v>
      </c>
      <c r="E718">
        <v>2019</v>
      </c>
      <c r="F718" t="s">
        <v>84</v>
      </c>
      <c r="G718">
        <v>16343</v>
      </c>
      <c r="H718" s="1">
        <v>3</v>
      </c>
      <c r="I718">
        <v>4</v>
      </c>
      <c r="J718">
        <f>IF($H718=0,1,IF($I718&lt;=1,2,0))</f>
        <v>0</v>
      </c>
      <c r="K718">
        <v>0</v>
      </c>
      <c r="L718">
        <f>IF(AND($J718=0,$K718=0),0,1)</f>
        <v>0</v>
      </c>
      <c r="M718" t="s">
        <v>85</v>
      </c>
    </row>
    <row r="719" spans="1:13" x14ac:dyDescent="0.2">
      <c r="A719" t="s">
        <v>310</v>
      </c>
      <c r="B719" t="s">
        <v>71</v>
      </c>
      <c r="C719" t="s">
        <v>72</v>
      </c>
      <c r="D719">
        <v>6893</v>
      </c>
      <c r="E719">
        <v>2019</v>
      </c>
      <c r="F719">
        <v>1</v>
      </c>
      <c r="G719">
        <v>98790</v>
      </c>
      <c r="H719" s="1">
        <v>3</v>
      </c>
      <c r="I719">
        <v>110</v>
      </c>
      <c r="J719">
        <f>IF($H719=0,1,IF($I719&lt;=1,2,0))</f>
        <v>0</v>
      </c>
      <c r="K719">
        <v>0</v>
      </c>
      <c r="L719">
        <f>IF(AND($J719=0,$K719=0),0,1)</f>
        <v>0</v>
      </c>
    </row>
    <row r="720" spans="1:13" x14ac:dyDescent="0.2">
      <c r="A720" t="s">
        <v>310</v>
      </c>
      <c r="B720" t="s">
        <v>71</v>
      </c>
      <c r="C720" t="s">
        <v>72</v>
      </c>
      <c r="D720">
        <v>6893</v>
      </c>
      <c r="E720">
        <v>2019</v>
      </c>
      <c r="F720" t="s">
        <v>84</v>
      </c>
      <c r="G720">
        <v>16344</v>
      </c>
      <c r="H720" s="1">
        <v>3</v>
      </c>
      <c r="I720">
        <v>11</v>
      </c>
      <c r="J720">
        <f>IF($H720=0,1,IF($I720&lt;=1,2,0))</f>
        <v>0</v>
      </c>
      <c r="K720">
        <v>0</v>
      </c>
      <c r="L720">
        <f>IF(AND($J720=0,$K720=0),0,1)</f>
        <v>0</v>
      </c>
      <c r="M720" t="s">
        <v>85</v>
      </c>
    </row>
    <row r="721" spans="1:13" x14ac:dyDescent="0.2">
      <c r="A721" t="s">
        <v>310</v>
      </c>
      <c r="B721" t="s">
        <v>71</v>
      </c>
      <c r="C721" t="s">
        <v>72</v>
      </c>
      <c r="D721">
        <v>6896</v>
      </c>
      <c r="E721">
        <v>2019</v>
      </c>
      <c r="F721">
        <v>1</v>
      </c>
      <c r="G721">
        <v>41938</v>
      </c>
      <c r="H721" s="1">
        <v>3</v>
      </c>
      <c r="I721">
        <v>13</v>
      </c>
      <c r="J721">
        <f>IF($H721=0,1,IF($I721&lt;=1,2,0))</f>
        <v>0</v>
      </c>
      <c r="K721">
        <v>0</v>
      </c>
      <c r="L721">
        <f>IF(AND($J721=0,$K721=0),0,1)</f>
        <v>0</v>
      </c>
    </row>
    <row r="722" spans="1:13" x14ac:dyDescent="0.2">
      <c r="A722" t="s">
        <v>310</v>
      </c>
      <c r="B722" t="s">
        <v>71</v>
      </c>
      <c r="C722" t="s">
        <v>72</v>
      </c>
      <c r="D722">
        <v>6897</v>
      </c>
      <c r="E722">
        <v>2019</v>
      </c>
      <c r="F722">
        <v>1</v>
      </c>
      <c r="G722">
        <v>14068</v>
      </c>
      <c r="H722" s="1">
        <v>3</v>
      </c>
      <c r="I722">
        <v>12</v>
      </c>
      <c r="J722">
        <f>IF($H722=0,1,IF($I722&lt;=1,2,0))</f>
        <v>0</v>
      </c>
      <c r="K722">
        <v>0</v>
      </c>
      <c r="L722">
        <f>IF(AND($J722=0,$K722=0),0,1)</f>
        <v>0</v>
      </c>
    </row>
    <row r="723" spans="1:13" x14ac:dyDescent="0.2">
      <c r="A723" t="s">
        <v>313</v>
      </c>
      <c r="B723" t="s">
        <v>133</v>
      </c>
      <c r="C723" t="s">
        <v>9</v>
      </c>
      <c r="D723">
        <v>1010</v>
      </c>
      <c r="E723">
        <v>2019</v>
      </c>
      <c r="F723">
        <v>1</v>
      </c>
      <c r="G723">
        <v>54945</v>
      </c>
      <c r="H723" s="1">
        <v>3</v>
      </c>
      <c r="I723">
        <v>74</v>
      </c>
      <c r="J723">
        <f>IF($H723=0,1,IF($I723&lt;=1,2,0))</f>
        <v>0</v>
      </c>
      <c r="K723">
        <v>0</v>
      </c>
      <c r="L723">
        <f>IF(AND($J723=0,$K723=0),0,1)</f>
        <v>0</v>
      </c>
    </row>
    <row r="724" spans="1:13" x14ac:dyDescent="0.2">
      <c r="A724" t="s">
        <v>313</v>
      </c>
      <c r="B724" t="s">
        <v>133</v>
      </c>
      <c r="C724" t="s">
        <v>9</v>
      </c>
      <c r="D724">
        <v>2001</v>
      </c>
      <c r="E724">
        <v>2019</v>
      </c>
      <c r="F724">
        <v>1</v>
      </c>
      <c r="G724">
        <v>54937</v>
      </c>
      <c r="H724" s="1">
        <v>3</v>
      </c>
      <c r="I724">
        <v>46</v>
      </c>
      <c r="J724">
        <f>IF($H724=0,1,IF($I724&lt;=1,2,0))</f>
        <v>0</v>
      </c>
      <c r="K724">
        <v>0</v>
      </c>
      <c r="L724">
        <f>IF(AND($J724=0,$K724=0),0,1)</f>
        <v>0</v>
      </c>
    </row>
    <row r="725" spans="1:13" x14ac:dyDescent="0.2">
      <c r="A725" t="s">
        <v>313</v>
      </c>
      <c r="B725" t="s">
        <v>133</v>
      </c>
      <c r="C725" t="s">
        <v>9</v>
      </c>
      <c r="D725">
        <v>3009</v>
      </c>
      <c r="E725">
        <v>2019</v>
      </c>
      <c r="F725">
        <v>1</v>
      </c>
      <c r="G725">
        <v>17245</v>
      </c>
      <c r="H725" s="1">
        <v>3</v>
      </c>
      <c r="I725">
        <v>4</v>
      </c>
      <c r="J725">
        <f>IF($H725=0,1,IF($I725&lt;=1,2,0))</f>
        <v>0</v>
      </c>
      <c r="K725">
        <v>0</v>
      </c>
      <c r="L725">
        <f>IF(AND($J725=0,$K725=0),0,1)</f>
        <v>0</v>
      </c>
      <c r="M725" t="s">
        <v>314</v>
      </c>
    </row>
    <row r="726" spans="1:13" x14ac:dyDescent="0.2">
      <c r="A726" t="s">
        <v>313</v>
      </c>
      <c r="B726" t="s">
        <v>133</v>
      </c>
      <c r="C726" t="s">
        <v>9</v>
      </c>
      <c r="D726">
        <v>3023</v>
      </c>
      <c r="E726">
        <v>2019</v>
      </c>
      <c r="F726">
        <v>1</v>
      </c>
      <c r="G726">
        <v>54989</v>
      </c>
      <c r="H726" s="1">
        <v>2</v>
      </c>
      <c r="I726">
        <v>5</v>
      </c>
      <c r="J726">
        <f>IF($H726=0,1,IF($I726&lt;=1,2,0))</f>
        <v>0</v>
      </c>
      <c r="K726">
        <v>0</v>
      </c>
      <c r="L726">
        <f>IF(AND($J726=0,$K726=0),0,1)</f>
        <v>0</v>
      </c>
    </row>
    <row r="727" spans="1:13" x14ac:dyDescent="0.2">
      <c r="A727" t="s">
        <v>313</v>
      </c>
      <c r="B727" t="s">
        <v>133</v>
      </c>
      <c r="C727" t="s">
        <v>9</v>
      </c>
      <c r="D727">
        <v>3240</v>
      </c>
      <c r="E727">
        <v>2019</v>
      </c>
      <c r="F727">
        <v>1</v>
      </c>
      <c r="G727">
        <v>54988</v>
      </c>
      <c r="H727" s="1">
        <v>3</v>
      </c>
      <c r="I727">
        <v>11</v>
      </c>
      <c r="J727">
        <f>IF($H727=0,1,IF($I727&lt;=1,2,0))</f>
        <v>0</v>
      </c>
      <c r="K727">
        <v>0</v>
      </c>
      <c r="L727">
        <f>IF(AND($J727=0,$K727=0),0,1)</f>
        <v>0</v>
      </c>
    </row>
    <row r="728" spans="1:13" x14ac:dyDescent="0.2">
      <c r="A728" t="s">
        <v>313</v>
      </c>
      <c r="B728" t="s">
        <v>133</v>
      </c>
      <c r="C728" t="s">
        <v>9</v>
      </c>
      <c r="D728">
        <v>3919</v>
      </c>
      <c r="E728">
        <v>2019</v>
      </c>
      <c r="F728">
        <v>1</v>
      </c>
      <c r="G728">
        <v>54986</v>
      </c>
      <c r="H728" s="1">
        <v>4</v>
      </c>
      <c r="I728">
        <v>6</v>
      </c>
      <c r="J728">
        <f>IF($H728=0,1,IF($I728&lt;=1,2,0))</f>
        <v>0</v>
      </c>
      <c r="K728">
        <v>0</v>
      </c>
      <c r="L728">
        <f>IF(AND($J728=0,$K728=0),0,1)</f>
        <v>0</v>
      </c>
      <c r="M728" t="s">
        <v>315</v>
      </c>
    </row>
    <row r="729" spans="1:13" x14ac:dyDescent="0.2">
      <c r="A729" t="s">
        <v>313</v>
      </c>
      <c r="B729" t="s">
        <v>133</v>
      </c>
      <c r="C729" t="s">
        <v>9</v>
      </c>
      <c r="D729">
        <v>3940</v>
      </c>
      <c r="E729">
        <v>2019</v>
      </c>
      <c r="F729">
        <v>1</v>
      </c>
      <c r="G729">
        <v>54985</v>
      </c>
      <c r="H729" s="1">
        <v>4</v>
      </c>
      <c r="I729">
        <v>9</v>
      </c>
      <c r="J729">
        <f>IF($H729=0,1,IF($I729&lt;=1,2,0))</f>
        <v>0</v>
      </c>
      <c r="K729">
        <v>0</v>
      </c>
      <c r="L729">
        <f>IF(AND($J729=0,$K729=0),0,1)</f>
        <v>0</v>
      </c>
    </row>
    <row r="730" spans="1:13" x14ac:dyDescent="0.2">
      <c r="A730" t="s">
        <v>313</v>
      </c>
      <c r="B730" t="s">
        <v>133</v>
      </c>
      <c r="C730" t="s">
        <v>9</v>
      </c>
      <c r="D730">
        <v>3991</v>
      </c>
      <c r="E730">
        <v>2019</v>
      </c>
      <c r="F730">
        <v>1</v>
      </c>
      <c r="G730">
        <v>54949</v>
      </c>
      <c r="H730" s="1">
        <v>3</v>
      </c>
      <c r="I730">
        <v>2</v>
      </c>
      <c r="J730">
        <f>IF($H730=0,1,IF($I730&lt;=1,2,0))</f>
        <v>0</v>
      </c>
      <c r="K730">
        <v>0</v>
      </c>
      <c r="L730">
        <f>IF(AND($J730=0,$K730=0),0,1)</f>
        <v>0</v>
      </c>
    </row>
    <row r="731" spans="1:13" x14ac:dyDescent="0.2">
      <c r="A731" t="s">
        <v>313</v>
      </c>
      <c r="B731" t="s">
        <v>133</v>
      </c>
      <c r="C731" t="s">
        <v>9</v>
      </c>
      <c r="D731">
        <v>3992</v>
      </c>
      <c r="E731">
        <v>2019</v>
      </c>
      <c r="F731">
        <v>1</v>
      </c>
      <c r="G731">
        <v>54962</v>
      </c>
      <c r="H731" s="1">
        <v>3</v>
      </c>
      <c r="I731">
        <v>6</v>
      </c>
      <c r="J731">
        <f>IF($H731=0,1,IF($I731&lt;=1,2,0))</f>
        <v>0</v>
      </c>
      <c r="K731">
        <v>0</v>
      </c>
      <c r="L731">
        <f>IF(AND($J731=0,$K731=0),0,1)</f>
        <v>0</v>
      </c>
    </row>
    <row r="732" spans="1:13" x14ac:dyDescent="0.2">
      <c r="A732" t="s">
        <v>313</v>
      </c>
      <c r="B732" t="s">
        <v>133</v>
      </c>
      <c r="C732" t="s">
        <v>9</v>
      </c>
      <c r="D732">
        <v>3993</v>
      </c>
      <c r="E732">
        <v>2019</v>
      </c>
      <c r="F732">
        <v>1</v>
      </c>
      <c r="G732">
        <v>54938</v>
      </c>
      <c r="H732" s="1" t="s">
        <v>1823</v>
      </c>
      <c r="I732">
        <v>2</v>
      </c>
      <c r="J732">
        <f>IF($H732=0,1,IF($I732&lt;=1,2,0))</f>
        <v>0</v>
      </c>
      <c r="K732">
        <v>0</v>
      </c>
      <c r="L732">
        <f>IF(AND($J732=0,$K732=0),0,1)</f>
        <v>0</v>
      </c>
    </row>
    <row r="733" spans="1:13" x14ac:dyDescent="0.2">
      <c r="A733" t="s">
        <v>313</v>
      </c>
      <c r="B733" t="s">
        <v>133</v>
      </c>
      <c r="C733" t="s">
        <v>9</v>
      </c>
      <c r="D733">
        <v>4111</v>
      </c>
      <c r="E733">
        <v>2019</v>
      </c>
      <c r="F733">
        <v>1</v>
      </c>
      <c r="G733">
        <v>54987</v>
      </c>
      <c r="H733" s="1">
        <v>3</v>
      </c>
      <c r="I733">
        <v>16</v>
      </c>
      <c r="J733">
        <f>IF($H733=0,1,IF($I733&lt;=1,2,0))</f>
        <v>0</v>
      </c>
      <c r="K733">
        <v>0</v>
      </c>
      <c r="L733">
        <f>IF(AND($J733=0,$K733=0),0,1)</f>
        <v>0</v>
      </c>
    </row>
    <row r="734" spans="1:13" x14ac:dyDescent="0.2">
      <c r="A734" t="s">
        <v>313</v>
      </c>
      <c r="B734" t="s">
        <v>133</v>
      </c>
      <c r="C734" t="s">
        <v>9</v>
      </c>
      <c r="D734">
        <v>4129</v>
      </c>
      <c r="E734">
        <v>2019</v>
      </c>
      <c r="F734">
        <v>1</v>
      </c>
      <c r="G734">
        <v>54982</v>
      </c>
      <c r="H734" s="1">
        <v>3</v>
      </c>
      <c r="I734">
        <v>12</v>
      </c>
      <c r="J734">
        <f>IF($H734=0,1,IF($I734&lt;=1,2,0))</f>
        <v>0</v>
      </c>
      <c r="K734">
        <v>0</v>
      </c>
      <c r="L734">
        <f>IF(AND($J734=0,$K734=0),0,1)</f>
        <v>0</v>
      </c>
    </row>
    <row r="735" spans="1:13" x14ac:dyDescent="0.2">
      <c r="A735" t="s">
        <v>313</v>
      </c>
      <c r="B735" t="s">
        <v>133</v>
      </c>
      <c r="C735" t="s">
        <v>9</v>
      </c>
      <c r="D735">
        <v>4240</v>
      </c>
      <c r="E735">
        <v>2019</v>
      </c>
      <c r="F735">
        <v>1</v>
      </c>
      <c r="G735">
        <v>54984</v>
      </c>
      <c r="H735" s="1">
        <v>3</v>
      </c>
      <c r="I735">
        <v>10</v>
      </c>
      <c r="J735">
        <f>IF($H735=0,1,IF($I735&lt;=1,2,0))</f>
        <v>0</v>
      </c>
      <c r="K735">
        <v>0</v>
      </c>
      <c r="L735">
        <f>IF(AND($J735=0,$K735=0),0,1)</f>
        <v>0</v>
      </c>
      <c r="M735" t="s">
        <v>1932</v>
      </c>
    </row>
    <row r="736" spans="1:13" x14ac:dyDescent="0.2">
      <c r="A736" t="s">
        <v>313</v>
      </c>
      <c r="B736" t="s">
        <v>133</v>
      </c>
      <c r="C736" t="s">
        <v>9</v>
      </c>
      <c r="D736">
        <v>4321</v>
      </c>
      <c r="E736">
        <v>2019</v>
      </c>
      <c r="F736">
        <v>1</v>
      </c>
      <c r="G736">
        <v>54953</v>
      </c>
      <c r="H736" s="1">
        <v>4</v>
      </c>
      <c r="I736">
        <v>16</v>
      </c>
      <c r="J736">
        <f>IF($H736=0,1,IF($I736&lt;=1,2,0))</f>
        <v>0</v>
      </c>
      <c r="K736">
        <v>0</v>
      </c>
      <c r="L736">
        <f>IF(AND($J736=0,$K736=0),0,1)</f>
        <v>0</v>
      </c>
    </row>
    <row r="737" spans="1:13" x14ac:dyDescent="0.2">
      <c r="A737" t="s">
        <v>313</v>
      </c>
      <c r="B737" t="s">
        <v>133</v>
      </c>
      <c r="C737" t="s">
        <v>9</v>
      </c>
      <c r="D737">
        <v>4910</v>
      </c>
      <c r="E737">
        <v>2019</v>
      </c>
      <c r="F737">
        <v>1</v>
      </c>
      <c r="G737">
        <v>54983</v>
      </c>
      <c r="H737" s="1">
        <v>4</v>
      </c>
      <c r="I737">
        <v>18</v>
      </c>
      <c r="J737">
        <f>IF($H737=0,1,IF($I737&lt;=1,2,0))</f>
        <v>0</v>
      </c>
      <c r="K737">
        <v>0</v>
      </c>
      <c r="L737">
        <f>IF(AND($J737=0,$K737=0),0,1)</f>
        <v>0</v>
      </c>
      <c r="M737" t="s">
        <v>316</v>
      </c>
    </row>
    <row r="738" spans="1:13" x14ac:dyDescent="0.2">
      <c r="A738" t="s">
        <v>313</v>
      </c>
      <c r="B738" t="s">
        <v>133</v>
      </c>
      <c r="C738" t="s">
        <v>11</v>
      </c>
      <c r="D738">
        <v>6110</v>
      </c>
      <c r="E738">
        <v>2019</v>
      </c>
      <c r="F738">
        <v>1</v>
      </c>
      <c r="G738">
        <v>54966</v>
      </c>
      <c r="H738" s="1">
        <v>3</v>
      </c>
      <c r="I738">
        <v>14</v>
      </c>
      <c r="J738">
        <f>IF($H738=0,1,IF($I738&lt;=1,2,0))</f>
        <v>0</v>
      </c>
      <c r="K738">
        <v>0</v>
      </c>
      <c r="L738">
        <f>IF(AND($J738=0,$K738=0),0,1)</f>
        <v>0</v>
      </c>
    </row>
    <row r="739" spans="1:13" x14ac:dyDescent="0.2">
      <c r="A739" t="s">
        <v>313</v>
      </c>
      <c r="B739" t="s">
        <v>133</v>
      </c>
      <c r="C739" t="s">
        <v>11</v>
      </c>
      <c r="D739">
        <v>6150</v>
      </c>
      <c r="E739">
        <v>2019</v>
      </c>
      <c r="F739">
        <v>1</v>
      </c>
      <c r="G739">
        <v>55080</v>
      </c>
      <c r="H739" s="1">
        <v>3</v>
      </c>
      <c r="I739">
        <v>5</v>
      </c>
      <c r="J739">
        <f>IF($H739=0,1,IF($I739&lt;=1,2,0))</f>
        <v>0</v>
      </c>
      <c r="K739">
        <v>0</v>
      </c>
      <c r="L739">
        <f>IF(AND($J739=0,$K739=0),0,1)</f>
        <v>0</v>
      </c>
    </row>
    <row r="740" spans="1:13" x14ac:dyDescent="0.2">
      <c r="A740" t="s">
        <v>313</v>
      </c>
      <c r="B740" t="s">
        <v>133</v>
      </c>
      <c r="C740" t="s">
        <v>11</v>
      </c>
      <c r="D740">
        <v>6300</v>
      </c>
      <c r="E740">
        <v>2019</v>
      </c>
      <c r="F740">
        <v>1</v>
      </c>
      <c r="G740">
        <v>54944</v>
      </c>
      <c r="H740" s="1">
        <v>1</v>
      </c>
      <c r="I740">
        <v>26</v>
      </c>
      <c r="J740">
        <f>IF($H740=0,1,IF($I740&lt;=1,2,0))</f>
        <v>0</v>
      </c>
      <c r="K740">
        <v>0</v>
      </c>
      <c r="L740">
        <f>IF(AND($J740=0,$K740=0),0,1)</f>
        <v>0</v>
      </c>
    </row>
    <row r="741" spans="1:13" x14ac:dyDescent="0.2">
      <c r="A741" t="s">
        <v>313</v>
      </c>
      <c r="B741" t="s">
        <v>133</v>
      </c>
      <c r="C741" t="s">
        <v>11</v>
      </c>
      <c r="D741">
        <v>6905</v>
      </c>
      <c r="E741">
        <v>2019</v>
      </c>
      <c r="F741">
        <v>1</v>
      </c>
      <c r="G741">
        <v>17739</v>
      </c>
      <c r="H741" s="1">
        <v>3</v>
      </c>
      <c r="I741">
        <v>12</v>
      </c>
      <c r="J741">
        <f>IF($H741=0,1,IF($I741&lt;=1,2,0))</f>
        <v>0</v>
      </c>
      <c r="K741">
        <v>0</v>
      </c>
      <c r="L741">
        <f>IF(AND($J741=0,$K741=0),0,1)</f>
        <v>0</v>
      </c>
    </row>
    <row r="742" spans="1:13" x14ac:dyDescent="0.2">
      <c r="A742" t="s">
        <v>317</v>
      </c>
      <c r="B742" t="s">
        <v>71</v>
      </c>
      <c r="C742" t="s">
        <v>72</v>
      </c>
      <c r="D742">
        <v>3601</v>
      </c>
      <c r="E742">
        <v>2019</v>
      </c>
      <c r="F742">
        <v>1</v>
      </c>
      <c r="G742">
        <v>44655</v>
      </c>
      <c r="H742" s="1">
        <v>3</v>
      </c>
      <c r="I742">
        <v>65</v>
      </c>
      <c r="J742">
        <f>IF($H742=0,1,IF($I742&lt;=1,2,0))</f>
        <v>0</v>
      </c>
      <c r="K742">
        <v>0</v>
      </c>
      <c r="L742">
        <f>IF(AND($J742=0,$K742=0),0,1)</f>
        <v>0</v>
      </c>
    </row>
    <row r="743" spans="1:13" x14ac:dyDescent="0.2">
      <c r="A743" t="s">
        <v>317</v>
      </c>
      <c r="B743" t="s">
        <v>71</v>
      </c>
      <c r="C743" t="s">
        <v>72</v>
      </c>
      <c r="D743">
        <v>6601</v>
      </c>
      <c r="E743">
        <v>2019</v>
      </c>
      <c r="F743">
        <v>1</v>
      </c>
      <c r="G743">
        <v>44656</v>
      </c>
      <c r="H743" s="1">
        <v>3</v>
      </c>
      <c r="I743">
        <v>112</v>
      </c>
      <c r="J743">
        <f>IF($H743=0,1,IF($I743&lt;=1,2,0))</f>
        <v>0</v>
      </c>
      <c r="K743">
        <v>0</v>
      </c>
      <c r="L743">
        <f>IF(AND($J743=0,$K743=0),0,1)</f>
        <v>0</v>
      </c>
    </row>
    <row r="744" spans="1:13" x14ac:dyDescent="0.2">
      <c r="A744" t="s">
        <v>318</v>
      </c>
      <c r="B744" t="s">
        <v>133</v>
      </c>
      <c r="C744" t="s">
        <v>9</v>
      </c>
      <c r="D744">
        <v>1001</v>
      </c>
      <c r="E744">
        <v>2019</v>
      </c>
      <c r="F744">
        <v>1</v>
      </c>
      <c r="G744">
        <v>55552</v>
      </c>
      <c r="H744" s="1">
        <v>4</v>
      </c>
      <c r="I744">
        <v>16</v>
      </c>
      <c r="J744">
        <f>IF($H744=0,1,IF($I744&lt;=1,2,0))</f>
        <v>0</v>
      </c>
      <c r="K744">
        <v>0</v>
      </c>
      <c r="L744">
        <f>IF(AND($J744=0,$K744=0),0,1)</f>
        <v>0</v>
      </c>
      <c r="M744" t="s">
        <v>319</v>
      </c>
    </row>
    <row r="745" spans="1:13" x14ac:dyDescent="0.2">
      <c r="A745" t="s">
        <v>318</v>
      </c>
      <c r="B745" t="s">
        <v>133</v>
      </c>
      <c r="C745" t="s">
        <v>9</v>
      </c>
      <c r="D745">
        <v>1201</v>
      </c>
      <c r="E745">
        <v>2019</v>
      </c>
      <c r="F745">
        <v>1</v>
      </c>
      <c r="G745">
        <v>10338</v>
      </c>
      <c r="H745" s="1">
        <v>3</v>
      </c>
      <c r="I745">
        <v>28</v>
      </c>
      <c r="J745">
        <f>IF($H745=0,1,IF($I745&lt;=1,2,0))</f>
        <v>0</v>
      </c>
      <c r="K745">
        <v>0</v>
      </c>
      <c r="L745">
        <f>IF(AND($J745=0,$K745=0),0,1)</f>
        <v>0</v>
      </c>
    </row>
    <row r="746" spans="1:13" x14ac:dyDescent="0.2">
      <c r="A746" t="s">
        <v>318</v>
      </c>
      <c r="B746" t="s">
        <v>133</v>
      </c>
      <c r="C746" t="s">
        <v>9</v>
      </c>
      <c r="D746">
        <v>1401</v>
      </c>
      <c r="E746">
        <v>2019</v>
      </c>
      <c r="F746">
        <v>1</v>
      </c>
      <c r="G746">
        <v>55553</v>
      </c>
      <c r="H746" s="1">
        <v>3</v>
      </c>
      <c r="I746">
        <v>53</v>
      </c>
      <c r="J746">
        <f>IF($H746=0,1,IF($I746&lt;=1,2,0))</f>
        <v>0</v>
      </c>
      <c r="K746">
        <v>0</v>
      </c>
      <c r="L746">
        <f>IF(AND($J746=0,$K746=0),0,1)</f>
        <v>0</v>
      </c>
      <c r="M746" t="s">
        <v>324</v>
      </c>
    </row>
    <row r="747" spans="1:13" x14ac:dyDescent="0.2">
      <c r="A747" t="s">
        <v>318</v>
      </c>
      <c r="B747" t="s">
        <v>133</v>
      </c>
      <c r="C747" t="s">
        <v>9</v>
      </c>
      <c r="D747">
        <v>1600</v>
      </c>
      <c r="E747">
        <v>2019</v>
      </c>
      <c r="F747">
        <v>1</v>
      </c>
      <c r="G747">
        <v>55513</v>
      </c>
      <c r="H747" s="1">
        <v>3</v>
      </c>
      <c r="I747">
        <v>107</v>
      </c>
      <c r="J747">
        <f>IF($H747=0,1,IF($I747&lt;=1,2,0))</f>
        <v>0</v>
      </c>
      <c r="K747">
        <v>0</v>
      </c>
      <c r="L747">
        <f>IF(AND($J747=0,$K747=0),0,1)</f>
        <v>0</v>
      </c>
      <c r="M747" t="s">
        <v>325</v>
      </c>
    </row>
    <row r="748" spans="1:13" x14ac:dyDescent="0.2">
      <c r="A748" t="s">
        <v>318</v>
      </c>
      <c r="B748" t="s">
        <v>133</v>
      </c>
      <c r="C748" t="s">
        <v>9</v>
      </c>
      <c r="D748">
        <v>2100</v>
      </c>
      <c r="E748">
        <v>2019</v>
      </c>
      <c r="F748">
        <v>1</v>
      </c>
      <c r="G748">
        <v>55514</v>
      </c>
      <c r="H748" s="1">
        <v>4.5</v>
      </c>
      <c r="I748">
        <v>46</v>
      </c>
      <c r="J748">
        <f>IF($H748=0,1,IF($I748&lt;=1,2,0))</f>
        <v>0</v>
      </c>
      <c r="K748">
        <v>0</v>
      </c>
      <c r="L748">
        <f>IF(AND($J748=0,$K748=0),0,1)</f>
        <v>0</v>
      </c>
      <c r="M748" t="s">
        <v>326</v>
      </c>
    </row>
    <row r="749" spans="1:13" x14ac:dyDescent="0.2">
      <c r="A749" t="s">
        <v>318</v>
      </c>
      <c r="B749" t="s">
        <v>133</v>
      </c>
      <c r="C749" t="s">
        <v>9</v>
      </c>
      <c r="D749">
        <v>2200</v>
      </c>
      <c r="E749">
        <v>2019</v>
      </c>
      <c r="F749">
        <v>1</v>
      </c>
      <c r="G749">
        <v>55515</v>
      </c>
      <c r="H749" s="1">
        <v>4.5</v>
      </c>
      <c r="I749">
        <v>36</v>
      </c>
      <c r="J749">
        <f>IF($H749=0,1,IF($I749&lt;=1,2,0))</f>
        <v>0</v>
      </c>
      <c r="K749">
        <v>0</v>
      </c>
      <c r="L749">
        <f>IF(AND($J749=0,$K749=0),0,1)</f>
        <v>0</v>
      </c>
      <c r="M749" t="s">
        <v>326</v>
      </c>
    </row>
    <row r="750" spans="1:13" x14ac:dyDescent="0.2">
      <c r="A750" t="s">
        <v>318</v>
      </c>
      <c r="B750" t="s">
        <v>133</v>
      </c>
      <c r="C750" t="s">
        <v>9</v>
      </c>
      <c r="D750">
        <v>2330</v>
      </c>
      <c r="E750">
        <v>2019</v>
      </c>
      <c r="F750">
        <v>1</v>
      </c>
      <c r="G750">
        <v>55505</v>
      </c>
      <c r="H750" s="1">
        <v>3</v>
      </c>
      <c r="I750">
        <v>102</v>
      </c>
      <c r="J750">
        <f>IF($H750=0,1,IF($I750&lt;=1,2,0))</f>
        <v>0</v>
      </c>
      <c r="K750">
        <v>0</v>
      </c>
      <c r="L750">
        <f>IF(AND($J750=0,$K750=0),0,1)</f>
        <v>0</v>
      </c>
    </row>
    <row r="751" spans="1:13" x14ac:dyDescent="0.2">
      <c r="A751" t="s">
        <v>318</v>
      </c>
      <c r="B751" t="s">
        <v>133</v>
      </c>
      <c r="C751" t="s">
        <v>9</v>
      </c>
      <c r="D751">
        <v>3101</v>
      </c>
      <c r="E751">
        <v>2019</v>
      </c>
      <c r="F751">
        <v>1</v>
      </c>
      <c r="G751">
        <v>55506</v>
      </c>
      <c r="H751" s="1">
        <v>3</v>
      </c>
      <c r="I751">
        <v>25</v>
      </c>
      <c r="J751">
        <f>IF($H751=0,1,IF($I751&lt;=1,2,0))</f>
        <v>0</v>
      </c>
      <c r="K751">
        <v>0</v>
      </c>
      <c r="L751">
        <f>IF(AND($J751=0,$K751=0),0,1)</f>
        <v>0</v>
      </c>
    </row>
    <row r="752" spans="1:13" x14ac:dyDescent="0.2">
      <c r="A752" t="s">
        <v>318</v>
      </c>
      <c r="B752" t="s">
        <v>133</v>
      </c>
      <c r="C752" t="s">
        <v>9</v>
      </c>
      <c r="D752">
        <v>3400</v>
      </c>
      <c r="E752">
        <v>2019</v>
      </c>
      <c r="F752">
        <v>1</v>
      </c>
      <c r="G752">
        <v>55554</v>
      </c>
      <c r="H752" s="1">
        <v>3</v>
      </c>
      <c r="I752">
        <v>17</v>
      </c>
      <c r="J752">
        <f>IF($H752=0,1,IF($I752&lt;=1,2,0))</f>
        <v>0</v>
      </c>
      <c r="K752">
        <v>0</v>
      </c>
      <c r="L752">
        <f>IF(AND($J752=0,$K752=0),0,1)</f>
        <v>0</v>
      </c>
    </row>
    <row r="753" spans="1:13" x14ac:dyDescent="0.2">
      <c r="A753" t="s">
        <v>318</v>
      </c>
      <c r="B753" t="s">
        <v>133</v>
      </c>
      <c r="C753" t="s">
        <v>9</v>
      </c>
      <c r="D753">
        <v>3901</v>
      </c>
      <c r="E753">
        <v>2019</v>
      </c>
      <c r="F753">
        <v>1</v>
      </c>
      <c r="G753">
        <v>55556</v>
      </c>
      <c r="H753" s="1">
        <v>3</v>
      </c>
      <c r="I753">
        <v>12</v>
      </c>
      <c r="J753">
        <f>IF($H753=0,1,IF($I753&lt;=1,2,0))</f>
        <v>0</v>
      </c>
      <c r="K753">
        <v>0</v>
      </c>
      <c r="L753">
        <f>IF(AND($J753=0,$K753=0),0,1)</f>
        <v>0</v>
      </c>
      <c r="M753" t="s">
        <v>329</v>
      </c>
    </row>
    <row r="754" spans="1:13" x14ac:dyDescent="0.2">
      <c r="A754" t="s">
        <v>318</v>
      </c>
      <c r="B754" t="s">
        <v>133</v>
      </c>
      <c r="C754" t="s">
        <v>9</v>
      </c>
      <c r="D754">
        <v>4008</v>
      </c>
      <c r="E754">
        <v>2019</v>
      </c>
      <c r="F754">
        <v>1</v>
      </c>
      <c r="G754">
        <v>55561</v>
      </c>
      <c r="H754" s="1">
        <v>3</v>
      </c>
      <c r="I754">
        <v>26</v>
      </c>
      <c r="J754">
        <f>IF($H754=0,1,IF($I754&lt;=1,2,0))</f>
        <v>0</v>
      </c>
      <c r="K754">
        <v>0</v>
      </c>
      <c r="L754">
        <f>IF(AND($J754=0,$K754=0),0,1)</f>
        <v>0</v>
      </c>
    </row>
    <row r="755" spans="1:13" x14ac:dyDescent="0.2">
      <c r="A755" t="s">
        <v>318</v>
      </c>
      <c r="B755" t="s">
        <v>133</v>
      </c>
      <c r="C755" t="s">
        <v>9</v>
      </c>
      <c r="D755">
        <v>4050</v>
      </c>
      <c r="E755">
        <v>2019</v>
      </c>
      <c r="F755">
        <v>1</v>
      </c>
      <c r="G755">
        <v>55526</v>
      </c>
      <c r="H755" s="1">
        <v>3</v>
      </c>
      <c r="I755">
        <v>9</v>
      </c>
      <c r="J755">
        <f>IF($H755=0,1,IF($I755&lt;=1,2,0))</f>
        <v>0</v>
      </c>
      <c r="K755">
        <v>0</v>
      </c>
      <c r="L755">
        <f>IF(AND($J755=0,$K755=0),0,1)</f>
        <v>0</v>
      </c>
      <c r="M755" t="s">
        <v>330</v>
      </c>
    </row>
    <row r="756" spans="1:13" x14ac:dyDescent="0.2">
      <c r="A756" t="s">
        <v>318</v>
      </c>
      <c r="B756" t="s">
        <v>133</v>
      </c>
      <c r="C756" t="s">
        <v>9</v>
      </c>
      <c r="D756">
        <v>4113</v>
      </c>
      <c r="E756">
        <v>2019</v>
      </c>
      <c r="F756">
        <v>1</v>
      </c>
      <c r="G756">
        <v>55517</v>
      </c>
      <c r="H756" s="1">
        <v>4</v>
      </c>
      <c r="I756">
        <v>10</v>
      </c>
      <c r="J756">
        <f>IF($H756=0,1,IF($I756&lt;=1,2,0))</f>
        <v>0</v>
      </c>
      <c r="K756">
        <v>0</v>
      </c>
      <c r="L756">
        <f>IF(AND($J756=0,$K756=0),0,1)</f>
        <v>0</v>
      </c>
      <c r="M756" t="s">
        <v>331</v>
      </c>
    </row>
    <row r="757" spans="1:13" x14ac:dyDescent="0.2">
      <c r="A757" t="s">
        <v>318</v>
      </c>
      <c r="B757" t="s">
        <v>133</v>
      </c>
      <c r="C757" t="s">
        <v>9</v>
      </c>
      <c r="D757">
        <v>4480</v>
      </c>
      <c r="E757">
        <v>2019</v>
      </c>
      <c r="F757">
        <v>1</v>
      </c>
      <c r="G757">
        <v>55555</v>
      </c>
      <c r="H757" s="1">
        <v>3</v>
      </c>
      <c r="I757">
        <v>11</v>
      </c>
      <c r="J757">
        <f>IF($H757=0,1,IF($I757&lt;=1,2,0))</f>
        <v>0</v>
      </c>
      <c r="K757">
        <v>0</v>
      </c>
      <c r="L757">
        <f>IF(AND($J757=0,$K757=0),0,1)</f>
        <v>0</v>
      </c>
    </row>
    <row r="758" spans="1:13" x14ac:dyDescent="0.2">
      <c r="A758" t="s">
        <v>318</v>
      </c>
      <c r="B758" t="s">
        <v>133</v>
      </c>
      <c r="C758" t="s">
        <v>9</v>
      </c>
      <c r="D758">
        <v>4550</v>
      </c>
      <c r="E758">
        <v>2019</v>
      </c>
      <c r="F758">
        <v>1</v>
      </c>
      <c r="G758">
        <v>55530</v>
      </c>
      <c r="H758" s="1">
        <v>3</v>
      </c>
      <c r="I758">
        <v>18</v>
      </c>
      <c r="J758">
        <f>IF($H758=0,1,IF($I758&lt;=1,2,0))</f>
        <v>0</v>
      </c>
      <c r="K758">
        <v>0</v>
      </c>
      <c r="L758">
        <f>IF(AND($J758=0,$K758=0),0,1)</f>
        <v>0</v>
      </c>
    </row>
    <row r="759" spans="1:13" x14ac:dyDescent="0.2">
      <c r="A759" t="s">
        <v>318</v>
      </c>
      <c r="B759" t="s">
        <v>133</v>
      </c>
      <c r="C759" t="s">
        <v>9</v>
      </c>
      <c r="D759">
        <v>4600</v>
      </c>
      <c r="E759">
        <v>2019</v>
      </c>
      <c r="F759">
        <v>1</v>
      </c>
      <c r="G759">
        <v>55520</v>
      </c>
      <c r="H759" s="1">
        <v>3</v>
      </c>
      <c r="I759">
        <v>9</v>
      </c>
      <c r="J759">
        <f>IF($H759=0,1,IF($I759&lt;=1,2,0))</f>
        <v>0</v>
      </c>
      <c r="K759">
        <v>0</v>
      </c>
      <c r="L759">
        <f>IF(AND($J759=0,$K759=0),0,1)</f>
        <v>0</v>
      </c>
      <c r="M759" t="s">
        <v>325</v>
      </c>
    </row>
    <row r="760" spans="1:13" x14ac:dyDescent="0.2">
      <c r="A760" t="s">
        <v>318</v>
      </c>
      <c r="B760" t="s">
        <v>133</v>
      </c>
      <c r="C760" t="s">
        <v>9</v>
      </c>
      <c r="D760">
        <v>4835</v>
      </c>
      <c r="E760">
        <v>2019</v>
      </c>
      <c r="F760">
        <v>1</v>
      </c>
      <c r="G760">
        <v>55531</v>
      </c>
      <c r="H760" s="1">
        <v>3</v>
      </c>
      <c r="I760">
        <v>22</v>
      </c>
      <c r="J760">
        <f>IF($H760=0,1,IF($I760&lt;=1,2,0))</f>
        <v>0</v>
      </c>
      <c r="K760">
        <v>0</v>
      </c>
      <c r="L760">
        <f>IF(AND($J760=0,$K760=0),0,1)</f>
        <v>0</v>
      </c>
    </row>
    <row r="761" spans="1:13" x14ac:dyDescent="0.2">
      <c r="A761" t="s">
        <v>318</v>
      </c>
      <c r="B761" t="s">
        <v>133</v>
      </c>
      <c r="C761" t="s">
        <v>9</v>
      </c>
      <c r="D761">
        <v>4917</v>
      </c>
      <c r="E761">
        <v>2019</v>
      </c>
      <c r="F761">
        <v>1</v>
      </c>
      <c r="G761">
        <v>55562</v>
      </c>
      <c r="H761" s="1">
        <v>3</v>
      </c>
      <c r="I761">
        <v>5</v>
      </c>
      <c r="J761">
        <f>IF($H761=0,1,IF($I761&lt;=1,2,0))</f>
        <v>0</v>
      </c>
      <c r="K761">
        <v>0</v>
      </c>
      <c r="L761">
        <f>IF(AND($J761=0,$K761=0),0,1)</f>
        <v>0</v>
      </c>
    </row>
    <row r="762" spans="1:13" x14ac:dyDescent="0.2">
      <c r="A762" t="s">
        <v>318</v>
      </c>
      <c r="B762" t="s">
        <v>133</v>
      </c>
      <c r="C762" t="s">
        <v>9</v>
      </c>
      <c r="D762">
        <v>4925</v>
      </c>
      <c r="E762">
        <v>2019</v>
      </c>
      <c r="F762">
        <v>1</v>
      </c>
      <c r="G762">
        <v>55508</v>
      </c>
      <c r="H762" s="1">
        <v>3</v>
      </c>
      <c r="I762">
        <v>11</v>
      </c>
      <c r="J762">
        <f>IF($H762=0,1,IF($I762&lt;=1,2,0))</f>
        <v>0</v>
      </c>
      <c r="K762">
        <v>0</v>
      </c>
      <c r="L762">
        <f>IF(AND($J762=0,$K762=0),0,1)</f>
        <v>0</v>
      </c>
    </row>
    <row r="763" spans="1:13" x14ac:dyDescent="0.2">
      <c r="A763" t="s">
        <v>318</v>
      </c>
      <c r="B763" t="s">
        <v>133</v>
      </c>
      <c r="C763" t="s">
        <v>9</v>
      </c>
      <c r="D763">
        <v>4947</v>
      </c>
      <c r="E763">
        <v>2019</v>
      </c>
      <c r="F763">
        <v>1</v>
      </c>
      <c r="G763">
        <v>55533</v>
      </c>
      <c r="H763" s="1">
        <v>3</v>
      </c>
      <c r="I763">
        <v>8</v>
      </c>
      <c r="J763">
        <f>IF($H763=0,1,IF($I763&lt;=1,2,0))</f>
        <v>0</v>
      </c>
      <c r="K763">
        <v>0</v>
      </c>
      <c r="L763">
        <f>IF(AND($J763=0,$K763=0),0,1)</f>
        <v>0</v>
      </c>
    </row>
    <row r="764" spans="1:13" x14ac:dyDescent="0.2">
      <c r="A764" t="s">
        <v>318</v>
      </c>
      <c r="B764" t="s">
        <v>133</v>
      </c>
      <c r="C764" t="s">
        <v>11</v>
      </c>
      <c r="D764">
        <v>5400</v>
      </c>
      <c r="E764">
        <v>2019</v>
      </c>
      <c r="F764">
        <v>1</v>
      </c>
      <c r="G764">
        <v>55557</v>
      </c>
      <c r="H764" s="1">
        <v>3</v>
      </c>
      <c r="I764">
        <v>42</v>
      </c>
      <c r="J764">
        <f>IF($H764=0,1,IF($I764&lt;=1,2,0))</f>
        <v>0</v>
      </c>
      <c r="K764">
        <v>0</v>
      </c>
      <c r="L764">
        <f>IF(AND($J764=0,$K764=0),0,1)</f>
        <v>0</v>
      </c>
    </row>
    <row r="765" spans="1:13" x14ac:dyDescent="0.2">
      <c r="A765" t="s">
        <v>318</v>
      </c>
      <c r="B765" t="s">
        <v>133</v>
      </c>
      <c r="C765" t="s">
        <v>11</v>
      </c>
      <c r="D765">
        <v>5401</v>
      </c>
      <c r="E765">
        <v>2019</v>
      </c>
      <c r="F765">
        <v>1</v>
      </c>
      <c r="G765">
        <v>55558</v>
      </c>
      <c r="H765" s="1">
        <v>4</v>
      </c>
      <c r="I765">
        <v>38</v>
      </c>
      <c r="J765">
        <f>IF($H765=0,1,IF($I765&lt;=1,2,0))</f>
        <v>0</v>
      </c>
      <c r="K765">
        <v>0</v>
      </c>
      <c r="L765">
        <f>IF(AND($J765=0,$K765=0),0,1)</f>
        <v>0</v>
      </c>
      <c r="M765" t="s">
        <v>332</v>
      </c>
    </row>
    <row r="766" spans="1:13" x14ac:dyDescent="0.2">
      <c r="A766" t="s">
        <v>318</v>
      </c>
      <c r="B766" t="s">
        <v>133</v>
      </c>
      <c r="C766" t="s">
        <v>11</v>
      </c>
      <c r="D766">
        <v>5403</v>
      </c>
      <c r="E766">
        <v>2019</v>
      </c>
      <c r="F766">
        <v>1</v>
      </c>
      <c r="G766">
        <v>55559</v>
      </c>
      <c r="H766" s="1">
        <v>3</v>
      </c>
      <c r="I766">
        <v>41</v>
      </c>
      <c r="J766">
        <f>IF($H766=0,1,IF($I766&lt;=1,2,0))</f>
        <v>0</v>
      </c>
      <c r="K766">
        <v>0</v>
      </c>
      <c r="L766">
        <f>IF(AND($J766=0,$K766=0),0,1)</f>
        <v>0</v>
      </c>
    </row>
    <row r="767" spans="1:13" x14ac:dyDescent="0.2">
      <c r="A767" t="s">
        <v>318</v>
      </c>
      <c r="B767" t="s">
        <v>133</v>
      </c>
      <c r="C767" t="s">
        <v>11</v>
      </c>
      <c r="D767">
        <v>6001</v>
      </c>
      <c r="E767">
        <v>2019</v>
      </c>
      <c r="F767">
        <v>1</v>
      </c>
      <c r="G767">
        <v>55509</v>
      </c>
      <c r="H767" s="1">
        <v>1</v>
      </c>
      <c r="I767">
        <v>35</v>
      </c>
      <c r="J767">
        <f>IF($H767=0,1,IF($I767&lt;=1,2,0))</f>
        <v>0</v>
      </c>
      <c r="K767">
        <v>0</v>
      </c>
      <c r="L767">
        <f>IF(AND($J767=0,$K767=0),0,1)</f>
        <v>0</v>
      </c>
      <c r="M767" t="s">
        <v>333</v>
      </c>
    </row>
    <row r="768" spans="1:13" x14ac:dyDescent="0.2">
      <c r="A768" t="s">
        <v>318</v>
      </c>
      <c r="B768" t="s">
        <v>133</v>
      </c>
      <c r="C768" t="s">
        <v>11</v>
      </c>
      <c r="D768">
        <v>6701</v>
      </c>
      <c r="E768">
        <v>2019</v>
      </c>
      <c r="F768">
        <v>1</v>
      </c>
      <c r="G768">
        <v>55535</v>
      </c>
      <c r="H768" s="1">
        <v>3</v>
      </c>
      <c r="I768">
        <v>3</v>
      </c>
      <c r="J768">
        <f>IF($H768=0,1,IF($I768&lt;=1,2,0))</f>
        <v>0</v>
      </c>
      <c r="K768">
        <v>0</v>
      </c>
      <c r="L768">
        <f>IF(AND($J768=0,$K768=0),0,1)</f>
        <v>0</v>
      </c>
      <c r="M768" t="s">
        <v>334</v>
      </c>
    </row>
    <row r="769" spans="1:13" x14ac:dyDescent="0.2">
      <c r="A769" t="s">
        <v>318</v>
      </c>
      <c r="B769" t="s">
        <v>133</v>
      </c>
      <c r="C769" t="s">
        <v>11</v>
      </c>
      <c r="D769">
        <v>6901</v>
      </c>
      <c r="E769">
        <v>2019</v>
      </c>
      <c r="F769">
        <v>1</v>
      </c>
      <c r="G769">
        <v>55521</v>
      </c>
      <c r="H769" s="1">
        <v>3</v>
      </c>
      <c r="I769">
        <v>24</v>
      </c>
      <c r="J769">
        <f>IF($H769=0,1,IF($I769&lt;=1,2,0))</f>
        <v>0</v>
      </c>
      <c r="K769">
        <v>0</v>
      </c>
      <c r="L769">
        <f>IF(AND($J769=0,$K769=0),0,1)</f>
        <v>0</v>
      </c>
    </row>
    <row r="770" spans="1:13" x14ac:dyDescent="0.2">
      <c r="A770" t="s">
        <v>318</v>
      </c>
      <c r="B770" t="s">
        <v>133</v>
      </c>
      <c r="C770" t="s">
        <v>11</v>
      </c>
      <c r="D770">
        <v>6908</v>
      </c>
      <c r="E770">
        <v>2019</v>
      </c>
      <c r="F770">
        <v>1</v>
      </c>
      <c r="G770">
        <v>55547</v>
      </c>
      <c r="H770" s="1">
        <v>4</v>
      </c>
      <c r="I770">
        <v>7</v>
      </c>
      <c r="J770">
        <f>IF($H770=0,1,IF($I770&lt;=1,2,0))</f>
        <v>0</v>
      </c>
      <c r="K770">
        <v>0</v>
      </c>
      <c r="L770">
        <f>IF(AND($J770=0,$K770=0),0,1)</f>
        <v>0</v>
      </c>
      <c r="M770" t="s">
        <v>335</v>
      </c>
    </row>
    <row r="771" spans="1:13" x14ac:dyDescent="0.2">
      <c r="A771" t="s">
        <v>318</v>
      </c>
      <c r="B771" t="s">
        <v>133</v>
      </c>
      <c r="C771" t="s">
        <v>11</v>
      </c>
      <c r="D771">
        <v>6921</v>
      </c>
      <c r="E771">
        <v>2019</v>
      </c>
      <c r="F771">
        <v>1</v>
      </c>
      <c r="G771">
        <v>55511</v>
      </c>
      <c r="H771" s="1">
        <v>3</v>
      </c>
      <c r="I771">
        <v>8</v>
      </c>
      <c r="J771">
        <f>IF($H771=0,1,IF($I771&lt;=1,2,0))</f>
        <v>0</v>
      </c>
      <c r="K771">
        <v>0</v>
      </c>
      <c r="L771">
        <f>IF(AND($J771=0,$K771=0),0,1)</f>
        <v>0</v>
      </c>
    </row>
    <row r="772" spans="1:13" x14ac:dyDescent="0.2">
      <c r="A772" t="s">
        <v>318</v>
      </c>
      <c r="B772" t="s">
        <v>133</v>
      </c>
      <c r="C772" t="s">
        <v>11</v>
      </c>
      <c r="D772">
        <v>6926</v>
      </c>
      <c r="E772">
        <v>2019</v>
      </c>
      <c r="F772">
        <v>1</v>
      </c>
      <c r="G772">
        <v>55560</v>
      </c>
      <c r="H772" s="1">
        <v>3</v>
      </c>
      <c r="I772">
        <v>6</v>
      </c>
      <c r="J772">
        <f>IF($H772=0,1,IF($I772&lt;=1,2,0))</f>
        <v>0</v>
      </c>
      <c r="K772">
        <v>0</v>
      </c>
      <c r="L772">
        <f>IF(AND($J772=0,$K772=0),0,1)</f>
        <v>0</v>
      </c>
      <c r="M772" t="s">
        <v>334</v>
      </c>
    </row>
    <row r="773" spans="1:13" x14ac:dyDescent="0.2">
      <c r="A773" t="s">
        <v>318</v>
      </c>
      <c r="B773" t="s">
        <v>133</v>
      </c>
      <c r="C773" t="s">
        <v>11</v>
      </c>
      <c r="D773">
        <v>8010</v>
      </c>
      <c r="E773">
        <v>2019</v>
      </c>
      <c r="F773">
        <v>1</v>
      </c>
      <c r="G773">
        <v>17790</v>
      </c>
      <c r="H773" s="1">
        <v>2</v>
      </c>
      <c r="I773">
        <v>9</v>
      </c>
      <c r="J773">
        <f>IF($H773=0,1,IF($I773&lt;=1,2,0))</f>
        <v>0</v>
      </c>
      <c r="K773">
        <v>0</v>
      </c>
      <c r="L773">
        <f>IF(AND($J773=0,$K773=0),0,1)</f>
        <v>0</v>
      </c>
      <c r="M773" t="s">
        <v>336</v>
      </c>
    </row>
    <row r="774" spans="1:13" x14ac:dyDescent="0.2">
      <c r="A774" t="s">
        <v>343</v>
      </c>
      <c r="B774" t="s">
        <v>6</v>
      </c>
      <c r="C774" t="s">
        <v>11</v>
      </c>
      <c r="D774">
        <v>6100</v>
      </c>
      <c r="E774">
        <v>2019</v>
      </c>
      <c r="F774">
        <v>1</v>
      </c>
      <c r="G774">
        <v>64836</v>
      </c>
      <c r="H774" s="1">
        <v>4</v>
      </c>
      <c r="I774">
        <v>23</v>
      </c>
      <c r="J774">
        <f>IF($H774=0,1,IF($I774&lt;=1,2,0))</f>
        <v>0</v>
      </c>
      <c r="K774">
        <v>0</v>
      </c>
      <c r="L774">
        <f>IF(AND($J774=0,$K774=0),0,1)</f>
        <v>0</v>
      </c>
    </row>
    <row r="775" spans="1:13" x14ac:dyDescent="0.2">
      <c r="A775" t="s">
        <v>344</v>
      </c>
      <c r="B775" t="s">
        <v>71</v>
      </c>
      <c r="C775" t="s">
        <v>72</v>
      </c>
      <c r="D775">
        <v>1101</v>
      </c>
      <c r="E775">
        <v>2019</v>
      </c>
      <c r="F775">
        <v>1</v>
      </c>
      <c r="G775">
        <v>98654</v>
      </c>
      <c r="H775" s="1">
        <v>3</v>
      </c>
      <c r="I775">
        <v>48</v>
      </c>
      <c r="J775">
        <f>IF($H775=0,1,IF($I775&lt;=1,2,0))</f>
        <v>0</v>
      </c>
      <c r="K775">
        <v>0</v>
      </c>
      <c r="L775">
        <f>IF(AND($J775=0,$K775=0),0,1)</f>
        <v>0</v>
      </c>
    </row>
    <row r="776" spans="1:13" x14ac:dyDescent="0.2">
      <c r="A776" t="s">
        <v>344</v>
      </c>
      <c r="B776" t="s">
        <v>71</v>
      </c>
      <c r="C776" t="s">
        <v>72</v>
      </c>
      <c r="D776">
        <v>1201</v>
      </c>
      <c r="E776">
        <v>2019</v>
      </c>
      <c r="F776">
        <v>1</v>
      </c>
      <c r="G776">
        <v>98813</v>
      </c>
      <c r="H776" s="1">
        <v>3.5</v>
      </c>
      <c r="I776">
        <v>90</v>
      </c>
      <c r="J776">
        <f>IF($H776=0,1,IF($I776&lt;=1,2,0))</f>
        <v>0</v>
      </c>
      <c r="K776">
        <v>0</v>
      </c>
      <c r="L776">
        <f>IF(AND($J776=0,$K776=0),0,1)</f>
        <v>0</v>
      </c>
    </row>
    <row r="777" spans="1:13" x14ac:dyDescent="0.2">
      <c r="A777" t="s">
        <v>344</v>
      </c>
      <c r="B777" t="s">
        <v>71</v>
      </c>
      <c r="C777" t="s">
        <v>72</v>
      </c>
      <c r="D777">
        <v>3043</v>
      </c>
      <c r="E777">
        <v>2019</v>
      </c>
      <c r="F777">
        <v>1</v>
      </c>
      <c r="G777">
        <v>98653</v>
      </c>
      <c r="H777" s="1">
        <v>3</v>
      </c>
      <c r="I777">
        <v>32</v>
      </c>
      <c r="J777">
        <f>IF($H777=0,1,IF($I777&lt;=1,2,0))</f>
        <v>0</v>
      </c>
      <c r="K777">
        <v>0</v>
      </c>
      <c r="L777">
        <f>IF(AND($J777=0,$K777=0),0,1)</f>
        <v>0</v>
      </c>
    </row>
    <row r="778" spans="1:13" x14ac:dyDescent="0.2">
      <c r="A778" t="s">
        <v>344</v>
      </c>
      <c r="B778" t="s">
        <v>71</v>
      </c>
      <c r="C778" t="s">
        <v>72</v>
      </c>
      <c r="D778">
        <v>3106</v>
      </c>
      <c r="E778">
        <v>2019</v>
      </c>
      <c r="F778">
        <v>1</v>
      </c>
      <c r="G778">
        <v>98711</v>
      </c>
      <c r="H778" s="1">
        <v>3.5</v>
      </c>
      <c r="I778">
        <v>21</v>
      </c>
      <c r="J778">
        <f>IF($H778=0,1,IF($I778&lt;=1,2,0))</f>
        <v>0</v>
      </c>
      <c r="K778">
        <v>0</v>
      </c>
      <c r="L778">
        <f>IF(AND($J778=0,$K778=0),0,1)</f>
        <v>0</v>
      </c>
    </row>
    <row r="779" spans="1:13" x14ac:dyDescent="0.2">
      <c r="A779" t="s">
        <v>344</v>
      </c>
      <c r="B779" t="s">
        <v>71</v>
      </c>
      <c r="C779" t="s">
        <v>72</v>
      </c>
      <c r="D779">
        <v>3201</v>
      </c>
      <c r="E779">
        <v>2019</v>
      </c>
      <c r="F779">
        <v>1</v>
      </c>
      <c r="G779">
        <v>98788</v>
      </c>
      <c r="H779" s="1">
        <v>3.5</v>
      </c>
      <c r="I779">
        <v>73</v>
      </c>
      <c r="J779">
        <f>IF($H779=0,1,IF($I779&lt;=1,2,0))</f>
        <v>0</v>
      </c>
      <c r="K779">
        <v>0</v>
      </c>
      <c r="L779">
        <f>IF(AND($J779=0,$K779=0),0,1)</f>
        <v>0</v>
      </c>
    </row>
    <row r="780" spans="1:13" x14ac:dyDescent="0.2">
      <c r="A780" t="s">
        <v>344</v>
      </c>
      <c r="B780" t="s">
        <v>71</v>
      </c>
      <c r="C780" t="s">
        <v>72</v>
      </c>
      <c r="D780">
        <v>3399</v>
      </c>
      <c r="E780">
        <v>2019</v>
      </c>
      <c r="F780">
        <v>1</v>
      </c>
      <c r="G780">
        <v>98805</v>
      </c>
      <c r="H780" s="1">
        <v>1</v>
      </c>
      <c r="I780">
        <v>29</v>
      </c>
      <c r="J780">
        <f>IF($H780=0,1,IF($I780&lt;=1,2,0))</f>
        <v>0</v>
      </c>
      <c r="K780">
        <v>0</v>
      </c>
      <c r="L780">
        <f>IF(AND($J780=0,$K780=0),0,1)</f>
        <v>0</v>
      </c>
    </row>
    <row r="781" spans="1:13" x14ac:dyDescent="0.2">
      <c r="A781" t="s">
        <v>344</v>
      </c>
      <c r="B781" t="s">
        <v>71</v>
      </c>
      <c r="C781" t="s">
        <v>72</v>
      </c>
      <c r="D781">
        <v>3399</v>
      </c>
      <c r="E781">
        <v>2019</v>
      </c>
      <c r="F781">
        <v>2</v>
      </c>
      <c r="G781">
        <v>14881</v>
      </c>
      <c r="H781" s="1">
        <v>1</v>
      </c>
      <c r="I781">
        <v>7</v>
      </c>
      <c r="J781">
        <f>IF($H781=0,1,IF($I781&lt;=1,2,0))</f>
        <v>0</v>
      </c>
      <c r="K781">
        <v>0</v>
      </c>
      <c r="L781">
        <f>IF(AND($J781=0,$K781=0),0,1)</f>
        <v>0</v>
      </c>
    </row>
    <row r="782" spans="1:13" x14ac:dyDescent="0.2">
      <c r="A782" t="s">
        <v>344</v>
      </c>
      <c r="B782" t="s">
        <v>71</v>
      </c>
      <c r="C782" t="s">
        <v>72</v>
      </c>
      <c r="D782">
        <v>3801</v>
      </c>
      <c r="E782">
        <v>2019</v>
      </c>
      <c r="F782">
        <v>1</v>
      </c>
      <c r="G782">
        <v>98786</v>
      </c>
      <c r="H782" s="1">
        <v>3.5</v>
      </c>
      <c r="I782">
        <v>64</v>
      </c>
      <c r="J782">
        <f>IF($H782=0,1,IF($I782&lt;=1,2,0))</f>
        <v>0</v>
      </c>
      <c r="K782">
        <v>0</v>
      </c>
      <c r="L782">
        <f>IF(AND($J782=0,$K782=0),0,1)</f>
        <v>0</v>
      </c>
    </row>
    <row r="783" spans="1:13" x14ac:dyDescent="0.2">
      <c r="A783" t="s">
        <v>344</v>
      </c>
      <c r="B783" t="s">
        <v>71</v>
      </c>
      <c r="C783" t="s">
        <v>72</v>
      </c>
      <c r="D783">
        <v>4193</v>
      </c>
      <c r="E783">
        <v>2019</v>
      </c>
      <c r="F783">
        <v>1</v>
      </c>
      <c r="G783">
        <v>98709</v>
      </c>
      <c r="H783" s="1">
        <v>3</v>
      </c>
      <c r="I783">
        <v>9</v>
      </c>
      <c r="J783">
        <f>IF($H783=0,1,IF($I783&lt;=1,2,0))</f>
        <v>0</v>
      </c>
      <c r="K783">
        <v>0</v>
      </c>
      <c r="L783">
        <f>IF(AND($J783=0,$K783=0),0,1)</f>
        <v>0</v>
      </c>
    </row>
    <row r="784" spans="1:13" x14ac:dyDescent="0.2">
      <c r="A784" t="s">
        <v>344</v>
      </c>
      <c r="B784" t="s">
        <v>71</v>
      </c>
      <c r="C784" t="s">
        <v>72</v>
      </c>
      <c r="D784">
        <v>4215</v>
      </c>
      <c r="E784">
        <v>2019</v>
      </c>
      <c r="F784">
        <v>1</v>
      </c>
      <c r="G784">
        <v>98784</v>
      </c>
      <c r="H784" s="1">
        <v>3</v>
      </c>
      <c r="I784">
        <v>14</v>
      </c>
      <c r="J784">
        <f>IF($H784=0,1,IF($I784&lt;=1,2,0))</f>
        <v>0</v>
      </c>
      <c r="K784">
        <v>0</v>
      </c>
      <c r="L784">
        <f>IF(AND($J784=0,$K784=0),0,1)</f>
        <v>0</v>
      </c>
    </row>
    <row r="785" spans="1:13" x14ac:dyDescent="0.2">
      <c r="A785" t="s">
        <v>344</v>
      </c>
      <c r="B785" t="s">
        <v>71</v>
      </c>
      <c r="C785" t="s">
        <v>72</v>
      </c>
      <c r="D785">
        <v>4312</v>
      </c>
      <c r="E785">
        <v>2019</v>
      </c>
      <c r="F785">
        <v>1</v>
      </c>
      <c r="G785">
        <v>98708</v>
      </c>
      <c r="H785" s="1">
        <v>3</v>
      </c>
      <c r="I785">
        <v>22</v>
      </c>
      <c r="J785">
        <f>IF($H785=0,1,IF($I785&lt;=1,2,0))</f>
        <v>0</v>
      </c>
      <c r="K785">
        <v>0</v>
      </c>
      <c r="L785">
        <f>IF(AND($J785=0,$K785=0),0,1)</f>
        <v>0</v>
      </c>
    </row>
    <row r="786" spans="1:13" x14ac:dyDescent="0.2">
      <c r="A786" t="s">
        <v>344</v>
      </c>
      <c r="B786" t="s">
        <v>71</v>
      </c>
      <c r="C786" t="s">
        <v>72</v>
      </c>
      <c r="D786">
        <v>4361</v>
      </c>
      <c r="E786">
        <v>2019</v>
      </c>
      <c r="F786">
        <v>1</v>
      </c>
      <c r="G786">
        <v>98647</v>
      </c>
      <c r="H786" s="1">
        <v>3</v>
      </c>
      <c r="I786">
        <v>24</v>
      </c>
      <c r="J786">
        <f>IF($H786=0,1,IF($I786&lt;=1,2,0))</f>
        <v>0</v>
      </c>
      <c r="K786">
        <v>0</v>
      </c>
      <c r="L786">
        <f>IF(AND($J786=0,$K786=0),0,1)</f>
        <v>0</v>
      </c>
    </row>
    <row r="787" spans="1:13" x14ac:dyDescent="0.2">
      <c r="A787" t="s">
        <v>344</v>
      </c>
      <c r="B787" t="s">
        <v>71</v>
      </c>
      <c r="C787" t="s">
        <v>72</v>
      </c>
      <c r="D787">
        <v>4411</v>
      </c>
      <c r="E787">
        <v>2019</v>
      </c>
      <c r="F787">
        <v>1</v>
      </c>
      <c r="G787">
        <v>98707</v>
      </c>
      <c r="H787" s="1">
        <v>3</v>
      </c>
      <c r="I787">
        <v>21</v>
      </c>
      <c r="J787">
        <f>IF($H787=0,1,IF($I787&lt;=1,2,0))</f>
        <v>0</v>
      </c>
      <c r="K787">
        <v>0</v>
      </c>
      <c r="L787">
        <f>IF(AND($J787=0,$K787=0),0,1)</f>
        <v>0</v>
      </c>
    </row>
    <row r="788" spans="1:13" x14ac:dyDescent="0.2">
      <c r="A788" t="s">
        <v>344</v>
      </c>
      <c r="B788" t="s">
        <v>71</v>
      </c>
      <c r="C788" t="s">
        <v>72</v>
      </c>
      <c r="D788">
        <v>4488</v>
      </c>
      <c r="E788">
        <v>2019</v>
      </c>
      <c r="F788">
        <v>1</v>
      </c>
      <c r="G788">
        <v>98715</v>
      </c>
      <c r="H788" s="1">
        <v>3</v>
      </c>
      <c r="I788">
        <v>12</v>
      </c>
      <c r="J788">
        <f>IF($H788=0,1,IF($I788&lt;=1,2,0))</f>
        <v>0</v>
      </c>
      <c r="K788">
        <v>0</v>
      </c>
      <c r="L788">
        <f>IF(AND($J788=0,$K788=0),0,1)</f>
        <v>0</v>
      </c>
    </row>
    <row r="789" spans="1:13" x14ac:dyDescent="0.2">
      <c r="A789" t="s">
        <v>344</v>
      </c>
      <c r="B789" t="s">
        <v>71</v>
      </c>
      <c r="C789" t="s">
        <v>72</v>
      </c>
      <c r="D789">
        <v>4702</v>
      </c>
      <c r="E789">
        <v>2019</v>
      </c>
      <c r="F789">
        <v>1</v>
      </c>
      <c r="G789">
        <v>98706</v>
      </c>
      <c r="H789" s="1">
        <v>3</v>
      </c>
      <c r="I789">
        <v>11</v>
      </c>
      <c r="J789">
        <f>IF($H789=0,1,IF($I789&lt;=1,2,0))</f>
        <v>0</v>
      </c>
      <c r="K789">
        <v>0</v>
      </c>
      <c r="L789">
        <f>IF(AND($J789=0,$K789=0),0,1)</f>
        <v>0</v>
      </c>
    </row>
    <row r="790" spans="1:13" x14ac:dyDescent="0.2">
      <c r="A790" t="s">
        <v>344</v>
      </c>
      <c r="B790" t="s">
        <v>71</v>
      </c>
      <c r="C790" t="s">
        <v>72</v>
      </c>
      <c r="D790">
        <v>4810</v>
      </c>
      <c r="E790">
        <v>2019</v>
      </c>
      <c r="F790">
        <v>1</v>
      </c>
      <c r="G790">
        <v>98803</v>
      </c>
      <c r="H790" s="1">
        <v>3</v>
      </c>
      <c r="I790">
        <v>40</v>
      </c>
      <c r="J790">
        <f>IF($H790=0,1,IF($I790&lt;=1,2,0))</f>
        <v>0</v>
      </c>
      <c r="K790">
        <v>0</v>
      </c>
      <c r="L790">
        <f>IF(AND($J790=0,$K790=0),0,1)</f>
        <v>0</v>
      </c>
    </row>
    <row r="791" spans="1:13" x14ac:dyDescent="0.2">
      <c r="A791" t="s">
        <v>344</v>
      </c>
      <c r="B791" t="s">
        <v>71</v>
      </c>
      <c r="C791" t="s">
        <v>72</v>
      </c>
      <c r="D791">
        <v>4810</v>
      </c>
      <c r="E791">
        <v>2019</v>
      </c>
      <c r="F791" t="s">
        <v>84</v>
      </c>
      <c r="G791">
        <v>16398</v>
      </c>
      <c r="H791" s="1">
        <v>3</v>
      </c>
      <c r="I791">
        <v>5</v>
      </c>
      <c r="J791">
        <f>IF($H791=0,1,IF($I791&lt;=1,2,0))</f>
        <v>0</v>
      </c>
      <c r="K791">
        <v>0</v>
      </c>
      <c r="L791">
        <f>IF(AND($J791=0,$K791=0),0,1)</f>
        <v>0</v>
      </c>
      <c r="M791" t="s">
        <v>85</v>
      </c>
    </row>
    <row r="792" spans="1:13" x14ac:dyDescent="0.2">
      <c r="A792" t="s">
        <v>344</v>
      </c>
      <c r="B792" t="s">
        <v>71</v>
      </c>
      <c r="C792" t="s">
        <v>72</v>
      </c>
      <c r="D792">
        <v>4944</v>
      </c>
      <c r="E792">
        <v>2019</v>
      </c>
      <c r="F792">
        <v>1</v>
      </c>
      <c r="G792">
        <v>13193</v>
      </c>
      <c r="H792" s="1">
        <v>3</v>
      </c>
      <c r="I792">
        <v>25</v>
      </c>
      <c r="J792">
        <f>IF($H792=0,1,IF($I792&lt;=1,2,0))</f>
        <v>0</v>
      </c>
      <c r="K792">
        <v>0</v>
      </c>
      <c r="L792">
        <f>IF(AND($J792=0,$K792=0),0,1)</f>
        <v>0</v>
      </c>
    </row>
    <row r="793" spans="1:13" x14ac:dyDescent="0.2">
      <c r="A793" t="s">
        <v>344</v>
      </c>
      <c r="B793" t="s">
        <v>71</v>
      </c>
      <c r="C793" t="s">
        <v>72</v>
      </c>
      <c r="D793">
        <v>6001</v>
      </c>
      <c r="E793">
        <v>2019</v>
      </c>
      <c r="F793">
        <v>11</v>
      </c>
      <c r="G793">
        <v>98694</v>
      </c>
      <c r="H793" s="1" t="s">
        <v>1823</v>
      </c>
      <c r="I793">
        <v>7</v>
      </c>
      <c r="J793">
        <f>IF($H793=0,1,IF($I793&lt;=1,2,0))</f>
        <v>0</v>
      </c>
      <c r="K793">
        <v>0</v>
      </c>
      <c r="L793">
        <f>IF(AND($J793=0,$K793=0),0,1)</f>
        <v>0</v>
      </c>
    </row>
    <row r="794" spans="1:13" x14ac:dyDescent="0.2">
      <c r="A794" t="s">
        <v>344</v>
      </c>
      <c r="B794" t="s">
        <v>71</v>
      </c>
      <c r="C794" t="s">
        <v>72</v>
      </c>
      <c r="D794">
        <v>6001</v>
      </c>
      <c r="E794">
        <v>2019</v>
      </c>
      <c r="F794">
        <v>2</v>
      </c>
      <c r="G794">
        <v>98703</v>
      </c>
      <c r="H794" s="1" t="s">
        <v>1823</v>
      </c>
      <c r="I794">
        <v>5</v>
      </c>
      <c r="J794">
        <f>IF($H794=0,1,IF($I794&lt;=1,2,0))</f>
        <v>0</v>
      </c>
      <c r="K794">
        <v>0</v>
      </c>
      <c r="L794">
        <f>IF(AND($J794=0,$K794=0),0,1)</f>
        <v>0</v>
      </c>
    </row>
    <row r="795" spans="1:13" x14ac:dyDescent="0.2">
      <c r="A795" t="s">
        <v>344</v>
      </c>
      <c r="B795" t="s">
        <v>71</v>
      </c>
      <c r="C795" t="s">
        <v>72</v>
      </c>
      <c r="D795">
        <v>6001</v>
      </c>
      <c r="E795">
        <v>2019</v>
      </c>
      <c r="F795">
        <v>20</v>
      </c>
      <c r="G795">
        <v>98685</v>
      </c>
      <c r="H795" s="1" t="s">
        <v>1823</v>
      </c>
      <c r="I795">
        <v>5</v>
      </c>
      <c r="J795">
        <f>IF($H795=0,1,IF($I795&lt;=1,2,0))</f>
        <v>0</v>
      </c>
      <c r="K795">
        <v>0</v>
      </c>
      <c r="L795">
        <f>IF(AND($J795=0,$K795=0),0,1)</f>
        <v>0</v>
      </c>
    </row>
    <row r="796" spans="1:13" x14ac:dyDescent="0.2">
      <c r="A796" t="s">
        <v>344</v>
      </c>
      <c r="B796" t="s">
        <v>71</v>
      </c>
      <c r="C796" t="s">
        <v>72</v>
      </c>
      <c r="D796">
        <v>6001</v>
      </c>
      <c r="E796">
        <v>2019</v>
      </c>
      <c r="F796">
        <v>27</v>
      </c>
      <c r="G796">
        <v>98678</v>
      </c>
      <c r="H796" s="1" t="s">
        <v>1823</v>
      </c>
      <c r="I796">
        <v>4</v>
      </c>
      <c r="J796">
        <f>IF($H796=0,1,IF($I796&lt;=1,2,0))</f>
        <v>0</v>
      </c>
      <c r="K796">
        <v>0</v>
      </c>
      <c r="L796">
        <f>IF(AND($J796=0,$K796=0),0,1)</f>
        <v>0</v>
      </c>
    </row>
    <row r="797" spans="1:13" x14ac:dyDescent="0.2">
      <c r="A797" t="s">
        <v>344</v>
      </c>
      <c r="B797" t="s">
        <v>71</v>
      </c>
      <c r="C797" t="s">
        <v>72</v>
      </c>
      <c r="D797">
        <v>6001</v>
      </c>
      <c r="E797">
        <v>2019</v>
      </c>
      <c r="F797">
        <v>3</v>
      </c>
      <c r="G797">
        <v>98702</v>
      </c>
      <c r="H797" s="1" t="s">
        <v>1823</v>
      </c>
      <c r="I797">
        <v>3</v>
      </c>
      <c r="J797">
        <f>IF($H797=0,1,IF($I797&lt;=1,2,0))</f>
        <v>0</v>
      </c>
      <c r="K797">
        <v>0</v>
      </c>
      <c r="L797">
        <f>IF(AND($J797=0,$K797=0),0,1)</f>
        <v>0</v>
      </c>
    </row>
    <row r="798" spans="1:13" x14ac:dyDescent="0.2">
      <c r="A798" t="s">
        <v>344</v>
      </c>
      <c r="B798" t="s">
        <v>71</v>
      </c>
      <c r="C798" t="s">
        <v>72</v>
      </c>
      <c r="D798">
        <v>6001</v>
      </c>
      <c r="E798">
        <v>2019</v>
      </c>
      <c r="F798">
        <v>5</v>
      </c>
      <c r="G798">
        <v>98700</v>
      </c>
      <c r="H798" s="1" t="s">
        <v>1823</v>
      </c>
      <c r="I798">
        <v>3</v>
      </c>
      <c r="J798">
        <f>IF($H798=0,1,IF($I798&lt;=1,2,0))</f>
        <v>0</v>
      </c>
      <c r="K798">
        <v>0</v>
      </c>
      <c r="L798">
        <f>IF(AND($J798=0,$K798=0),0,1)</f>
        <v>0</v>
      </c>
    </row>
    <row r="799" spans="1:13" x14ac:dyDescent="0.2">
      <c r="A799" t="s">
        <v>344</v>
      </c>
      <c r="B799" t="s">
        <v>71</v>
      </c>
      <c r="C799" t="s">
        <v>72</v>
      </c>
      <c r="D799">
        <v>6001</v>
      </c>
      <c r="E799">
        <v>2019</v>
      </c>
      <c r="F799">
        <v>16</v>
      </c>
      <c r="G799">
        <v>98689</v>
      </c>
      <c r="H799" s="1" t="s">
        <v>1823</v>
      </c>
      <c r="I799">
        <v>3</v>
      </c>
      <c r="J799">
        <f>IF($H799=0,1,IF($I799&lt;=1,2,0))</f>
        <v>0</v>
      </c>
      <c r="K799">
        <v>0</v>
      </c>
      <c r="L799">
        <f>IF(AND($J799=0,$K799=0),0,1)</f>
        <v>0</v>
      </c>
    </row>
    <row r="800" spans="1:13" x14ac:dyDescent="0.2">
      <c r="A800" t="s">
        <v>344</v>
      </c>
      <c r="B800" t="s">
        <v>71</v>
      </c>
      <c r="C800" t="s">
        <v>72</v>
      </c>
      <c r="D800">
        <v>6001</v>
      </c>
      <c r="E800">
        <v>2019</v>
      </c>
      <c r="F800">
        <v>19</v>
      </c>
      <c r="G800">
        <v>98686</v>
      </c>
      <c r="H800" s="1" t="s">
        <v>1823</v>
      </c>
      <c r="I800">
        <v>3</v>
      </c>
      <c r="J800">
        <f>IF($H800=0,1,IF($I800&lt;=1,2,0))</f>
        <v>0</v>
      </c>
      <c r="K800">
        <v>0</v>
      </c>
      <c r="L800">
        <f>IF(AND($J800=0,$K800=0),0,1)</f>
        <v>0</v>
      </c>
    </row>
    <row r="801" spans="1:13" x14ac:dyDescent="0.2">
      <c r="A801" t="s">
        <v>344</v>
      </c>
      <c r="B801" t="s">
        <v>71</v>
      </c>
      <c r="C801" t="s">
        <v>72</v>
      </c>
      <c r="D801">
        <v>6001</v>
      </c>
      <c r="E801">
        <v>2019</v>
      </c>
      <c r="F801">
        <v>21</v>
      </c>
      <c r="G801">
        <v>98684</v>
      </c>
      <c r="H801" s="1" t="s">
        <v>1823</v>
      </c>
      <c r="I801">
        <v>3</v>
      </c>
      <c r="J801">
        <f>IF($H801=0,1,IF($I801&lt;=1,2,0))</f>
        <v>0</v>
      </c>
      <c r="K801">
        <v>0</v>
      </c>
      <c r="L801">
        <f>IF(AND($J801=0,$K801=0),0,1)</f>
        <v>0</v>
      </c>
    </row>
    <row r="802" spans="1:13" x14ac:dyDescent="0.2">
      <c r="A802" t="s">
        <v>344</v>
      </c>
      <c r="B802" t="s">
        <v>71</v>
      </c>
      <c r="C802" t="s">
        <v>72</v>
      </c>
      <c r="D802">
        <v>6001</v>
      </c>
      <c r="E802">
        <v>2019</v>
      </c>
      <c r="F802">
        <v>29</v>
      </c>
      <c r="G802">
        <v>98676</v>
      </c>
      <c r="H802" s="1" t="s">
        <v>1823</v>
      </c>
      <c r="I802">
        <v>3</v>
      </c>
      <c r="J802">
        <f>IF($H802=0,1,IF($I802&lt;=1,2,0))</f>
        <v>0</v>
      </c>
      <c r="K802">
        <v>0</v>
      </c>
      <c r="L802">
        <f>IF(AND($J802=0,$K802=0),0,1)</f>
        <v>0</v>
      </c>
    </row>
    <row r="803" spans="1:13" x14ac:dyDescent="0.2">
      <c r="A803" t="s">
        <v>344</v>
      </c>
      <c r="B803" t="s">
        <v>71</v>
      </c>
      <c r="C803" t="s">
        <v>72</v>
      </c>
      <c r="D803">
        <v>6001</v>
      </c>
      <c r="E803">
        <v>2019</v>
      </c>
      <c r="F803">
        <v>12</v>
      </c>
      <c r="G803">
        <v>98693</v>
      </c>
      <c r="H803" s="1" t="s">
        <v>1823</v>
      </c>
      <c r="I803">
        <v>2</v>
      </c>
      <c r="J803">
        <f>IF($H803=0,1,IF($I803&lt;=1,2,0))</f>
        <v>0</v>
      </c>
      <c r="K803">
        <v>0</v>
      </c>
      <c r="L803">
        <f>IF(AND($J803=0,$K803=0),0,1)</f>
        <v>0</v>
      </c>
    </row>
    <row r="804" spans="1:13" x14ac:dyDescent="0.2">
      <c r="A804" t="s">
        <v>344</v>
      </c>
      <c r="B804" t="s">
        <v>71</v>
      </c>
      <c r="C804" t="s">
        <v>72</v>
      </c>
      <c r="D804">
        <v>6001</v>
      </c>
      <c r="E804">
        <v>2019</v>
      </c>
      <c r="F804">
        <v>18</v>
      </c>
      <c r="G804">
        <v>98687</v>
      </c>
      <c r="H804" s="1" t="s">
        <v>1823</v>
      </c>
      <c r="I804">
        <v>2</v>
      </c>
      <c r="J804">
        <f>IF($H804=0,1,IF($I804&lt;=1,2,0))</f>
        <v>0</v>
      </c>
      <c r="K804">
        <v>0</v>
      </c>
      <c r="L804">
        <f>IF(AND($J804=0,$K804=0),0,1)</f>
        <v>0</v>
      </c>
    </row>
    <row r="805" spans="1:13" x14ac:dyDescent="0.2">
      <c r="A805" t="s">
        <v>344</v>
      </c>
      <c r="B805" t="s">
        <v>71</v>
      </c>
      <c r="C805" t="s">
        <v>72</v>
      </c>
      <c r="D805">
        <v>6320</v>
      </c>
      <c r="E805">
        <v>2019</v>
      </c>
      <c r="F805">
        <v>1</v>
      </c>
      <c r="G805">
        <v>98783</v>
      </c>
      <c r="H805" s="1">
        <v>3</v>
      </c>
      <c r="I805">
        <v>7</v>
      </c>
      <c r="J805">
        <f>IF($H805=0,1,IF($I805&lt;=1,2,0))</f>
        <v>0</v>
      </c>
      <c r="K805">
        <v>0</v>
      </c>
      <c r="L805">
        <f>IF(AND($J805=0,$K805=0),0,1)</f>
        <v>0</v>
      </c>
    </row>
    <row r="806" spans="1:13" x14ac:dyDescent="0.2">
      <c r="A806" t="s">
        <v>344</v>
      </c>
      <c r="B806" t="s">
        <v>71</v>
      </c>
      <c r="C806" t="s">
        <v>72</v>
      </c>
      <c r="D806">
        <v>6320</v>
      </c>
      <c r="E806">
        <v>2019</v>
      </c>
      <c r="F806" t="s">
        <v>84</v>
      </c>
      <c r="G806">
        <v>16399</v>
      </c>
      <c r="H806" s="1">
        <v>3</v>
      </c>
      <c r="I806">
        <v>4</v>
      </c>
      <c r="J806">
        <f>IF($H806=0,1,IF($I806&lt;=1,2,0))</f>
        <v>0</v>
      </c>
      <c r="K806">
        <v>0</v>
      </c>
      <c r="L806">
        <f>IF(AND($J806=0,$K806=0),0,1)</f>
        <v>0</v>
      </c>
      <c r="M806" t="s">
        <v>85</v>
      </c>
    </row>
    <row r="807" spans="1:13" x14ac:dyDescent="0.2">
      <c r="A807" t="s">
        <v>344</v>
      </c>
      <c r="B807" t="s">
        <v>71</v>
      </c>
      <c r="C807" t="s">
        <v>11</v>
      </c>
      <c r="D807">
        <v>6324</v>
      </c>
      <c r="E807">
        <v>2019</v>
      </c>
      <c r="F807">
        <v>1</v>
      </c>
      <c r="G807">
        <v>10344</v>
      </c>
      <c r="H807" s="1">
        <v>3</v>
      </c>
      <c r="I807">
        <v>14</v>
      </c>
      <c r="J807">
        <f>IF($H807=0,1,IF($I807&lt;=1,2,0))</f>
        <v>0</v>
      </c>
      <c r="K807">
        <v>0</v>
      </c>
      <c r="L807">
        <f>IF(AND($J807=0,$K807=0),0,1)</f>
        <v>0</v>
      </c>
    </row>
    <row r="808" spans="1:13" x14ac:dyDescent="0.2">
      <c r="A808" t="s">
        <v>344</v>
      </c>
      <c r="B808" t="s">
        <v>71</v>
      </c>
      <c r="C808" t="s">
        <v>72</v>
      </c>
      <c r="D808">
        <v>6333</v>
      </c>
      <c r="E808">
        <v>2019</v>
      </c>
      <c r="F808">
        <v>1</v>
      </c>
      <c r="G808">
        <v>98800</v>
      </c>
      <c r="H808" s="1">
        <v>3</v>
      </c>
      <c r="I808">
        <v>17</v>
      </c>
      <c r="J808">
        <f>IF($H808=0,1,IF($I808&lt;=1,2,0))</f>
        <v>0</v>
      </c>
      <c r="K808">
        <v>0</v>
      </c>
      <c r="L808">
        <f>IF(AND($J808=0,$K808=0),0,1)</f>
        <v>0</v>
      </c>
    </row>
    <row r="809" spans="1:13" x14ac:dyDescent="0.2">
      <c r="A809" t="s">
        <v>344</v>
      </c>
      <c r="B809" t="s">
        <v>71</v>
      </c>
      <c r="C809" t="s">
        <v>72</v>
      </c>
      <c r="D809">
        <v>6713</v>
      </c>
      <c r="E809">
        <v>2019</v>
      </c>
      <c r="F809">
        <v>1</v>
      </c>
      <c r="G809">
        <v>41940</v>
      </c>
      <c r="H809" s="1">
        <v>3</v>
      </c>
      <c r="I809">
        <v>11</v>
      </c>
      <c r="J809">
        <f>IF($H809=0,1,IF($I809&lt;=1,2,0))</f>
        <v>0</v>
      </c>
      <c r="K809">
        <v>0</v>
      </c>
      <c r="L809">
        <f>IF(AND($J809=0,$K809=0),0,1)</f>
        <v>0</v>
      </c>
    </row>
    <row r="810" spans="1:13" x14ac:dyDescent="0.2">
      <c r="A810" t="s">
        <v>344</v>
      </c>
      <c r="B810" t="s">
        <v>71</v>
      </c>
      <c r="C810" t="s">
        <v>72</v>
      </c>
      <c r="D810">
        <v>6761</v>
      </c>
      <c r="E810">
        <v>2019</v>
      </c>
      <c r="F810">
        <v>1</v>
      </c>
      <c r="G810">
        <v>98670</v>
      </c>
      <c r="H810" s="1">
        <v>3</v>
      </c>
      <c r="I810">
        <v>22</v>
      </c>
      <c r="J810">
        <f>IF($H810=0,1,IF($I810&lt;=1,2,0))</f>
        <v>0</v>
      </c>
      <c r="K810">
        <v>0</v>
      </c>
      <c r="L810">
        <f>IF(AND($J810=0,$K810=0),0,1)</f>
        <v>0</v>
      </c>
    </row>
    <row r="811" spans="1:13" x14ac:dyDescent="0.2">
      <c r="A811" t="s">
        <v>344</v>
      </c>
      <c r="B811" t="s">
        <v>71</v>
      </c>
      <c r="C811" t="s">
        <v>72</v>
      </c>
      <c r="D811">
        <v>6761</v>
      </c>
      <c r="E811">
        <v>2019</v>
      </c>
      <c r="F811" t="s">
        <v>84</v>
      </c>
      <c r="G811">
        <v>17804</v>
      </c>
      <c r="H811" s="1">
        <v>3</v>
      </c>
      <c r="I811">
        <v>5</v>
      </c>
      <c r="J811">
        <f>IF($H811=0,1,IF($I811&lt;=1,2,0))</f>
        <v>0</v>
      </c>
      <c r="K811">
        <v>0</v>
      </c>
      <c r="L811">
        <f>IF(AND($J811=0,$K811=0),0,1)</f>
        <v>0</v>
      </c>
      <c r="M811" t="s">
        <v>85</v>
      </c>
    </row>
    <row r="812" spans="1:13" x14ac:dyDescent="0.2">
      <c r="A812" t="s">
        <v>344</v>
      </c>
      <c r="B812" t="s">
        <v>71</v>
      </c>
      <c r="C812" t="s">
        <v>72</v>
      </c>
      <c r="D812">
        <v>6767</v>
      </c>
      <c r="E812">
        <v>2019</v>
      </c>
      <c r="F812">
        <v>1</v>
      </c>
      <c r="G812">
        <v>98614</v>
      </c>
      <c r="H812" s="1">
        <v>3</v>
      </c>
      <c r="I812">
        <v>25</v>
      </c>
      <c r="J812">
        <f>IF($H812=0,1,IF($I812&lt;=1,2,0))</f>
        <v>0</v>
      </c>
      <c r="K812">
        <v>0</v>
      </c>
      <c r="L812">
        <f>IF(AND($J812=0,$K812=0),0,1)</f>
        <v>0</v>
      </c>
    </row>
    <row r="813" spans="1:13" x14ac:dyDescent="0.2">
      <c r="A813" t="s">
        <v>344</v>
      </c>
      <c r="B813" t="s">
        <v>71</v>
      </c>
      <c r="C813" t="s">
        <v>72</v>
      </c>
      <c r="D813">
        <v>6767</v>
      </c>
      <c r="E813">
        <v>2019</v>
      </c>
      <c r="F813" t="s">
        <v>84</v>
      </c>
      <c r="G813">
        <v>16400</v>
      </c>
      <c r="H813" s="1">
        <v>3</v>
      </c>
      <c r="I813">
        <v>2</v>
      </c>
      <c r="J813">
        <f>IF($H813=0,1,IF($I813&lt;=1,2,0))</f>
        <v>0</v>
      </c>
      <c r="K813">
        <v>0</v>
      </c>
      <c r="L813">
        <f>IF(AND($J813=0,$K813=0),0,1)</f>
        <v>0</v>
      </c>
      <c r="M813" t="s">
        <v>85</v>
      </c>
    </row>
    <row r="814" spans="1:13" x14ac:dyDescent="0.2">
      <c r="A814" t="s">
        <v>344</v>
      </c>
      <c r="B814" t="s">
        <v>71</v>
      </c>
      <c r="C814" t="s">
        <v>72</v>
      </c>
      <c r="D814">
        <v>6770</v>
      </c>
      <c r="E814">
        <v>2019</v>
      </c>
      <c r="F814">
        <v>1</v>
      </c>
      <c r="G814">
        <v>98782</v>
      </c>
      <c r="H814" s="1">
        <v>3</v>
      </c>
      <c r="I814">
        <v>28</v>
      </c>
      <c r="J814">
        <f>IF($H814=0,1,IF($I814&lt;=1,2,0))</f>
        <v>0</v>
      </c>
      <c r="K814">
        <v>0</v>
      </c>
      <c r="L814">
        <f>IF(AND($J814=0,$K814=0),0,1)</f>
        <v>0</v>
      </c>
    </row>
    <row r="815" spans="1:13" x14ac:dyDescent="0.2">
      <c r="A815" t="s">
        <v>344</v>
      </c>
      <c r="B815" t="s">
        <v>71</v>
      </c>
      <c r="C815" t="s">
        <v>72</v>
      </c>
      <c r="D815">
        <v>6774</v>
      </c>
      <c r="E815">
        <v>2019</v>
      </c>
      <c r="F815">
        <v>1</v>
      </c>
      <c r="G815">
        <v>41939</v>
      </c>
      <c r="H815" s="1">
        <v>3</v>
      </c>
      <c r="I815">
        <v>7</v>
      </c>
      <c r="J815">
        <f>IF($H815=0,1,IF($I815&lt;=1,2,0))</f>
        <v>0</v>
      </c>
      <c r="K815">
        <v>0</v>
      </c>
      <c r="L815">
        <f>IF(AND($J815=0,$K815=0),0,1)</f>
        <v>0</v>
      </c>
    </row>
    <row r="816" spans="1:13" x14ac:dyDescent="0.2">
      <c r="A816" t="s">
        <v>344</v>
      </c>
      <c r="B816" t="s">
        <v>71</v>
      </c>
      <c r="C816" t="s">
        <v>72</v>
      </c>
      <c r="D816">
        <v>6776</v>
      </c>
      <c r="E816">
        <v>2019</v>
      </c>
      <c r="F816">
        <v>1</v>
      </c>
      <c r="G816">
        <v>98669</v>
      </c>
      <c r="H816" s="1">
        <v>3</v>
      </c>
      <c r="I816">
        <v>25</v>
      </c>
      <c r="J816">
        <f>IF($H816=0,1,IF($I816&lt;=1,2,0))</f>
        <v>0</v>
      </c>
      <c r="K816">
        <v>0</v>
      </c>
      <c r="L816">
        <f>IF(AND($J816=0,$K816=0),0,1)</f>
        <v>0</v>
      </c>
    </row>
    <row r="817" spans="1:12" x14ac:dyDescent="0.2">
      <c r="A817" t="s">
        <v>344</v>
      </c>
      <c r="B817" t="s">
        <v>71</v>
      </c>
      <c r="C817" t="s">
        <v>72</v>
      </c>
      <c r="D817">
        <v>6880</v>
      </c>
      <c r="E817">
        <v>2019</v>
      </c>
      <c r="F817">
        <v>1</v>
      </c>
      <c r="G817">
        <v>14005</v>
      </c>
      <c r="H817" s="1">
        <v>3</v>
      </c>
      <c r="I817">
        <v>11</v>
      </c>
      <c r="J817">
        <f>IF($H817=0,1,IF($I817&lt;=1,2,0))</f>
        <v>0</v>
      </c>
      <c r="K817">
        <v>0</v>
      </c>
      <c r="L817">
        <f>IF(AND($J817=0,$K817=0),0,1)</f>
        <v>0</v>
      </c>
    </row>
    <row r="818" spans="1:12" x14ac:dyDescent="0.2">
      <c r="A818" t="s">
        <v>344</v>
      </c>
      <c r="B818" t="s">
        <v>71</v>
      </c>
      <c r="C818" t="s">
        <v>72</v>
      </c>
      <c r="D818">
        <v>6885</v>
      </c>
      <c r="E818">
        <v>2019</v>
      </c>
      <c r="F818">
        <v>1</v>
      </c>
      <c r="G818">
        <v>98781</v>
      </c>
      <c r="H818" s="1">
        <v>3</v>
      </c>
      <c r="I818">
        <v>134</v>
      </c>
      <c r="J818">
        <f>IF($H818=0,1,IF($I818&lt;=1,2,0))</f>
        <v>0</v>
      </c>
      <c r="K818">
        <v>0</v>
      </c>
      <c r="L818">
        <f>IF(AND($J818=0,$K818=0),0,1)</f>
        <v>0</v>
      </c>
    </row>
    <row r="819" spans="1:12" x14ac:dyDescent="0.2">
      <c r="A819" t="s">
        <v>344</v>
      </c>
      <c r="B819" t="s">
        <v>71</v>
      </c>
      <c r="C819" t="s">
        <v>72</v>
      </c>
      <c r="D819">
        <v>6903</v>
      </c>
      <c r="E819">
        <v>2019</v>
      </c>
      <c r="F819">
        <v>1</v>
      </c>
      <c r="G819">
        <v>98667</v>
      </c>
      <c r="H819" s="1">
        <v>3</v>
      </c>
      <c r="I819">
        <v>11</v>
      </c>
      <c r="J819">
        <f>IF($H819=0,1,IF($I819&lt;=1,2,0))</f>
        <v>0</v>
      </c>
      <c r="K819">
        <v>0</v>
      </c>
      <c r="L819">
        <f>IF(AND($J819=0,$K819=0),0,1)</f>
        <v>0</v>
      </c>
    </row>
    <row r="820" spans="1:12" x14ac:dyDescent="0.2">
      <c r="A820" t="s">
        <v>344</v>
      </c>
      <c r="B820" t="s">
        <v>71</v>
      </c>
      <c r="C820" t="s">
        <v>72</v>
      </c>
      <c r="D820">
        <v>6907</v>
      </c>
      <c r="E820">
        <v>2019</v>
      </c>
      <c r="F820">
        <v>1</v>
      </c>
      <c r="G820">
        <v>14049</v>
      </c>
      <c r="H820" s="1">
        <v>3</v>
      </c>
      <c r="I820">
        <v>11</v>
      </c>
      <c r="J820">
        <f>IF($H820=0,1,IF($I820&lt;=1,2,0))</f>
        <v>0</v>
      </c>
      <c r="K820">
        <v>0</v>
      </c>
      <c r="L820">
        <f>IF(AND($J820=0,$K820=0),0,1)</f>
        <v>0</v>
      </c>
    </row>
    <row r="821" spans="1:12" x14ac:dyDescent="0.2">
      <c r="A821" t="s">
        <v>345</v>
      </c>
      <c r="B821" t="s">
        <v>71</v>
      </c>
      <c r="C821" t="s">
        <v>72</v>
      </c>
      <c r="D821">
        <v>1002</v>
      </c>
      <c r="E821">
        <v>2019</v>
      </c>
      <c r="F821">
        <v>1</v>
      </c>
      <c r="G821">
        <v>56456</v>
      </c>
      <c r="H821" s="1">
        <v>1</v>
      </c>
      <c r="I821">
        <v>20</v>
      </c>
      <c r="J821">
        <f>IF($H821=0,1,IF($I821&lt;=1,2,0))</f>
        <v>0</v>
      </c>
      <c r="K821">
        <v>0</v>
      </c>
      <c r="L821">
        <f>IF(AND($J821=0,$K821=0),0,1)</f>
        <v>0</v>
      </c>
    </row>
    <row r="822" spans="1:12" x14ac:dyDescent="0.2">
      <c r="A822" t="s">
        <v>345</v>
      </c>
      <c r="B822" t="s">
        <v>71</v>
      </c>
      <c r="C822" t="s">
        <v>72</v>
      </c>
      <c r="D822">
        <v>1006</v>
      </c>
      <c r="E822">
        <v>2019</v>
      </c>
      <c r="F822">
        <v>1</v>
      </c>
      <c r="G822">
        <v>35916</v>
      </c>
      <c r="H822" s="1">
        <v>3</v>
      </c>
      <c r="I822">
        <v>174</v>
      </c>
      <c r="J822">
        <f>IF($H822=0,1,IF($I822&lt;=1,2,0))</f>
        <v>0</v>
      </c>
      <c r="K822">
        <v>0</v>
      </c>
      <c r="L822">
        <f>IF(AND($J822=0,$K822=0),0,1)</f>
        <v>0</v>
      </c>
    </row>
    <row r="823" spans="1:12" x14ac:dyDescent="0.2">
      <c r="A823" t="s">
        <v>345</v>
      </c>
      <c r="B823" t="s">
        <v>71</v>
      </c>
      <c r="C823" t="s">
        <v>72</v>
      </c>
      <c r="D823">
        <v>1102</v>
      </c>
      <c r="E823">
        <v>2019</v>
      </c>
      <c r="F823">
        <v>1</v>
      </c>
      <c r="G823">
        <v>56468</v>
      </c>
      <c r="H823" s="1">
        <v>4</v>
      </c>
      <c r="I823">
        <v>203</v>
      </c>
      <c r="J823">
        <f>IF($H823=0,1,IF($I823&lt;=1,2,0))</f>
        <v>0</v>
      </c>
      <c r="K823">
        <v>0</v>
      </c>
      <c r="L823">
        <f>IF(AND($J823=0,$K823=0),0,1)</f>
        <v>0</v>
      </c>
    </row>
    <row r="824" spans="1:12" x14ac:dyDescent="0.2">
      <c r="A824" t="s">
        <v>349</v>
      </c>
      <c r="B824" t="s">
        <v>241</v>
      </c>
      <c r="C824" t="s">
        <v>7</v>
      </c>
      <c r="D824">
        <v>1010</v>
      </c>
      <c r="E824">
        <v>2019</v>
      </c>
      <c r="F824">
        <v>1</v>
      </c>
      <c r="G824">
        <v>17906</v>
      </c>
      <c r="H824" s="1">
        <v>3</v>
      </c>
      <c r="I824">
        <v>14</v>
      </c>
      <c r="J824">
        <f>IF($H824=0,1,IF($I824&lt;=1,2,0))</f>
        <v>0</v>
      </c>
      <c r="K824">
        <v>0</v>
      </c>
      <c r="L824">
        <f>IF(AND($J824=0,$K824=0),0,1)</f>
        <v>0</v>
      </c>
    </row>
    <row r="825" spans="1:12" x14ac:dyDescent="0.2">
      <c r="A825" t="s">
        <v>349</v>
      </c>
      <c r="B825" t="s">
        <v>241</v>
      </c>
      <c r="C825" t="s">
        <v>153</v>
      </c>
      <c r="D825">
        <v>1010</v>
      </c>
      <c r="E825">
        <v>2019</v>
      </c>
      <c r="F825">
        <v>3</v>
      </c>
      <c r="G825">
        <v>13499</v>
      </c>
      <c r="H825" s="1">
        <v>3</v>
      </c>
      <c r="I825">
        <v>14</v>
      </c>
      <c r="J825">
        <f>IF($H825=0,1,IF($I825&lt;=1,2,0))</f>
        <v>0</v>
      </c>
      <c r="K825">
        <v>0</v>
      </c>
      <c r="L825">
        <f>IF(AND($J825=0,$K825=0),0,1)</f>
        <v>0</v>
      </c>
    </row>
    <row r="826" spans="1:12" x14ac:dyDescent="0.2">
      <c r="A826" t="s">
        <v>349</v>
      </c>
      <c r="B826" t="s">
        <v>241</v>
      </c>
      <c r="C826" t="s">
        <v>7</v>
      </c>
      <c r="D826">
        <v>1010</v>
      </c>
      <c r="E826">
        <v>2019</v>
      </c>
      <c r="F826">
        <v>6</v>
      </c>
      <c r="G826">
        <v>13544</v>
      </c>
      <c r="H826" s="1">
        <v>3</v>
      </c>
      <c r="I826">
        <v>14</v>
      </c>
      <c r="J826">
        <f>IF($H826=0,1,IF($I826&lt;=1,2,0))</f>
        <v>0</v>
      </c>
      <c r="K826">
        <v>0</v>
      </c>
      <c r="L826">
        <f>IF(AND($J826=0,$K826=0),0,1)</f>
        <v>0</v>
      </c>
    </row>
    <row r="827" spans="1:12" x14ac:dyDescent="0.2">
      <c r="A827" t="s">
        <v>349</v>
      </c>
      <c r="B827" t="s">
        <v>241</v>
      </c>
      <c r="C827" t="s">
        <v>7</v>
      </c>
      <c r="D827">
        <v>1010</v>
      </c>
      <c r="E827">
        <v>2019</v>
      </c>
      <c r="F827">
        <v>7</v>
      </c>
      <c r="G827">
        <v>13545</v>
      </c>
      <c r="H827" s="1">
        <v>3</v>
      </c>
      <c r="I827">
        <v>14</v>
      </c>
      <c r="J827">
        <f>IF($H827=0,1,IF($I827&lt;=1,2,0))</f>
        <v>0</v>
      </c>
      <c r="K827">
        <v>0</v>
      </c>
      <c r="L827">
        <f>IF(AND($J827=0,$K827=0),0,1)</f>
        <v>0</v>
      </c>
    </row>
    <row r="828" spans="1:12" x14ac:dyDescent="0.2">
      <c r="A828" t="s">
        <v>349</v>
      </c>
      <c r="B828" t="s">
        <v>241</v>
      </c>
      <c r="C828" t="s">
        <v>153</v>
      </c>
      <c r="D828">
        <v>1010</v>
      </c>
      <c r="E828">
        <v>2019</v>
      </c>
      <c r="F828">
        <v>9</v>
      </c>
      <c r="G828">
        <v>13506</v>
      </c>
      <c r="H828" s="1">
        <v>3</v>
      </c>
      <c r="I828">
        <v>14</v>
      </c>
      <c r="J828">
        <f>IF($H828=0,1,IF($I828&lt;=1,2,0))</f>
        <v>0</v>
      </c>
      <c r="K828">
        <v>0</v>
      </c>
      <c r="L828">
        <f>IF(AND($J828=0,$K828=0),0,1)</f>
        <v>0</v>
      </c>
    </row>
    <row r="829" spans="1:12" x14ac:dyDescent="0.2">
      <c r="A829" t="s">
        <v>349</v>
      </c>
      <c r="B829" t="s">
        <v>241</v>
      </c>
      <c r="C829" t="s">
        <v>153</v>
      </c>
      <c r="D829">
        <v>1010</v>
      </c>
      <c r="E829">
        <v>2019</v>
      </c>
      <c r="F829">
        <v>10</v>
      </c>
      <c r="G829">
        <v>13507</v>
      </c>
      <c r="H829" s="1">
        <v>3</v>
      </c>
      <c r="I829">
        <v>14</v>
      </c>
      <c r="J829">
        <f>IF($H829=0,1,IF($I829&lt;=1,2,0))</f>
        <v>0</v>
      </c>
      <c r="K829">
        <v>0</v>
      </c>
      <c r="L829">
        <f>IF(AND($J829=0,$K829=0),0,1)</f>
        <v>0</v>
      </c>
    </row>
    <row r="830" spans="1:12" x14ac:dyDescent="0.2">
      <c r="A830" t="s">
        <v>349</v>
      </c>
      <c r="B830" t="s">
        <v>241</v>
      </c>
      <c r="C830" t="s">
        <v>153</v>
      </c>
      <c r="D830">
        <v>1010</v>
      </c>
      <c r="E830">
        <v>2019</v>
      </c>
      <c r="F830">
        <v>11</v>
      </c>
      <c r="G830">
        <v>13508</v>
      </c>
      <c r="H830" s="1">
        <v>3</v>
      </c>
      <c r="I830">
        <v>14</v>
      </c>
      <c r="J830">
        <f>IF($H830=0,1,IF($I830&lt;=1,2,0))</f>
        <v>0</v>
      </c>
      <c r="K830">
        <v>0</v>
      </c>
      <c r="L830">
        <f>IF(AND($J830=0,$K830=0),0,1)</f>
        <v>0</v>
      </c>
    </row>
    <row r="831" spans="1:12" x14ac:dyDescent="0.2">
      <c r="A831" t="s">
        <v>349</v>
      </c>
      <c r="B831" t="s">
        <v>241</v>
      </c>
      <c r="C831" t="s">
        <v>7</v>
      </c>
      <c r="D831">
        <v>1010</v>
      </c>
      <c r="E831">
        <v>2019</v>
      </c>
      <c r="F831">
        <v>13</v>
      </c>
      <c r="G831">
        <v>13546</v>
      </c>
      <c r="H831" s="1">
        <v>3</v>
      </c>
      <c r="I831">
        <v>14</v>
      </c>
      <c r="J831">
        <f>IF($H831=0,1,IF($I831&lt;=1,2,0))</f>
        <v>0</v>
      </c>
      <c r="K831">
        <v>0</v>
      </c>
      <c r="L831">
        <f>IF(AND($J831=0,$K831=0),0,1)</f>
        <v>0</v>
      </c>
    </row>
    <row r="832" spans="1:12" x14ac:dyDescent="0.2">
      <c r="A832" t="s">
        <v>349</v>
      </c>
      <c r="B832" t="s">
        <v>241</v>
      </c>
      <c r="C832" t="s">
        <v>153</v>
      </c>
      <c r="D832">
        <v>1010</v>
      </c>
      <c r="E832">
        <v>2019</v>
      </c>
      <c r="F832">
        <v>14</v>
      </c>
      <c r="G832">
        <v>13509</v>
      </c>
      <c r="H832" s="1">
        <v>3</v>
      </c>
      <c r="I832">
        <v>14</v>
      </c>
      <c r="J832">
        <f>IF($H832=0,1,IF($I832&lt;=1,2,0))</f>
        <v>0</v>
      </c>
      <c r="K832">
        <v>0</v>
      </c>
      <c r="L832">
        <f>IF(AND($J832=0,$K832=0),0,1)</f>
        <v>0</v>
      </c>
    </row>
    <row r="833" spans="1:12" x14ac:dyDescent="0.2">
      <c r="A833" t="s">
        <v>349</v>
      </c>
      <c r="B833" t="s">
        <v>241</v>
      </c>
      <c r="C833" t="s">
        <v>153</v>
      </c>
      <c r="D833">
        <v>1010</v>
      </c>
      <c r="E833">
        <v>2019</v>
      </c>
      <c r="F833">
        <v>17</v>
      </c>
      <c r="G833">
        <v>13511</v>
      </c>
      <c r="H833" s="1">
        <v>3</v>
      </c>
      <c r="I833">
        <v>14</v>
      </c>
      <c r="J833">
        <f>IF($H833=0,1,IF($I833&lt;=1,2,0))</f>
        <v>0</v>
      </c>
      <c r="K833">
        <v>0</v>
      </c>
      <c r="L833">
        <f>IF(AND($J833=0,$K833=0),0,1)</f>
        <v>0</v>
      </c>
    </row>
    <row r="834" spans="1:12" x14ac:dyDescent="0.2">
      <c r="A834" t="s">
        <v>349</v>
      </c>
      <c r="B834" t="s">
        <v>241</v>
      </c>
      <c r="C834" t="s">
        <v>153</v>
      </c>
      <c r="D834">
        <v>1010</v>
      </c>
      <c r="E834">
        <v>2019</v>
      </c>
      <c r="F834">
        <v>23</v>
      </c>
      <c r="G834">
        <v>13514</v>
      </c>
      <c r="H834" s="1">
        <v>3</v>
      </c>
      <c r="I834">
        <v>14</v>
      </c>
      <c r="J834">
        <f>IF($H834=0,1,IF($I834&lt;=1,2,0))</f>
        <v>0</v>
      </c>
      <c r="K834">
        <v>0</v>
      </c>
      <c r="L834">
        <f>IF(AND($J834=0,$K834=0),0,1)</f>
        <v>0</v>
      </c>
    </row>
    <row r="835" spans="1:12" x14ac:dyDescent="0.2">
      <c r="A835" t="s">
        <v>349</v>
      </c>
      <c r="B835" t="s">
        <v>241</v>
      </c>
      <c r="C835" t="s">
        <v>7</v>
      </c>
      <c r="D835">
        <v>1010</v>
      </c>
      <c r="E835">
        <v>2019</v>
      </c>
      <c r="F835">
        <v>27</v>
      </c>
      <c r="G835">
        <v>13550</v>
      </c>
      <c r="H835" s="1">
        <v>3</v>
      </c>
      <c r="I835">
        <v>14</v>
      </c>
      <c r="J835">
        <f>IF($H835=0,1,IF($I835&lt;=1,2,0))</f>
        <v>0</v>
      </c>
      <c r="K835">
        <v>0</v>
      </c>
      <c r="L835">
        <f>IF(AND($J835=0,$K835=0),0,1)</f>
        <v>0</v>
      </c>
    </row>
    <row r="836" spans="1:12" x14ac:dyDescent="0.2">
      <c r="A836" t="s">
        <v>349</v>
      </c>
      <c r="B836" t="s">
        <v>241</v>
      </c>
      <c r="C836" t="s">
        <v>7</v>
      </c>
      <c r="D836">
        <v>1010</v>
      </c>
      <c r="E836">
        <v>2019</v>
      </c>
      <c r="F836">
        <v>28</v>
      </c>
      <c r="G836">
        <v>13551</v>
      </c>
      <c r="H836" s="1">
        <v>3</v>
      </c>
      <c r="I836">
        <v>14</v>
      </c>
      <c r="J836">
        <f>IF($H836=0,1,IF($I836&lt;=1,2,0))</f>
        <v>0</v>
      </c>
      <c r="K836">
        <v>0</v>
      </c>
      <c r="L836">
        <f>IF(AND($J836=0,$K836=0),0,1)</f>
        <v>0</v>
      </c>
    </row>
    <row r="837" spans="1:12" x14ac:dyDescent="0.2">
      <c r="A837" t="s">
        <v>349</v>
      </c>
      <c r="B837" t="s">
        <v>241</v>
      </c>
      <c r="C837" t="s">
        <v>7</v>
      </c>
      <c r="D837">
        <v>1010</v>
      </c>
      <c r="E837">
        <v>2019</v>
      </c>
      <c r="F837">
        <v>41</v>
      </c>
      <c r="G837">
        <v>13553</v>
      </c>
      <c r="H837" s="1">
        <v>3</v>
      </c>
      <c r="I837">
        <v>14</v>
      </c>
      <c r="J837">
        <f>IF($H837=0,1,IF($I837&lt;=1,2,0))</f>
        <v>0</v>
      </c>
      <c r="K837">
        <v>0</v>
      </c>
      <c r="L837">
        <f>IF(AND($J837=0,$K837=0),0,1)</f>
        <v>0</v>
      </c>
    </row>
    <row r="838" spans="1:12" x14ac:dyDescent="0.2">
      <c r="A838" t="s">
        <v>349</v>
      </c>
      <c r="B838" t="s">
        <v>241</v>
      </c>
      <c r="C838" t="s">
        <v>7</v>
      </c>
      <c r="D838">
        <v>1010</v>
      </c>
      <c r="E838">
        <v>2019</v>
      </c>
      <c r="F838">
        <v>42</v>
      </c>
      <c r="G838">
        <v>13554</v>
      </c>
      <c r="H838" s="1">
        <v>3</v>
      </c>
      <c r="I838">
        <v>14</v>
      </c>
      <c r="J838">
        <f>IF($H838=0,1,IF($I838&lt;=1,2,0))</f>
        <v>0</v>
      </c>
      <c r="K838">
        <v>0</v>
      </c>
      <c r="L838">
        <f>IF(AND($J838=0,$K838=0),0,1)</f>
        <v>0</v>
      </c>
    </row>
    <row r="839" spans="1:12" x14ac:dyDescent="0.2">
      <c r="A839" t="s">
        <v>349</v>
      </c>
      <c r="B839" t="s">
        <v>241</v>
      </c>
      <c r="C839" t="s">
        <v>7</v>
      </c>
      <c r="D839">
        <v>1010</v>
      </c>
      <c r="E839">
        <v>2019</v>
      </c>
      <c r="F839">
        <v>44</v>
      </c>
      <c r="G839">
        <v>13555</v>
      </c>
      <c r="H839" s="1">
        <v>3</v>
      </c>
      <c r="I839">
        <v>14</v>
      </c>
      <c r="J839">
        <f>IF($H839=0,1,IF($I839&lt;=1,2,0))</f>
        <v>0</v>
      </c>
      <c r="K839">
        <v>0</v>
      </c>
      <c r="L839">
        <f>IF(AND($J839=0,$K839=0),0,1)</f>
        <v>0</v>
      </c>
    </row>
    <row r="840" spans="1:12" x14ac:dyDescent="0.2">
      <c r="A840" t="s">
        <v>349</v>
      </c>
      <c r="B840" t="s">
        <v>241</v>
      </c>
      <c r="C840" t="s">
        <v>7</v>
      </c>
      <c r="D840">
        <v>1010</v>
      </c>
      <c r="E840">
        <v>2019</v>
      </c>
      <c r="F840">
        <v>48</v>
      </c>
      <c r="G840">
        <v>13556</v>
      </c>
      <c r="H840" s="1">
        <v>3</v>
      </c>
      <c r="I840">
        <v>14</v>
      </c>
      <c r="J840">
        <f>IF($H840=0,1,IF($I840&lt;=1,2,0))</f>
        <v>0</v>
      </c>
      <c r="K840">
        <v>0</v>
      </c>
      <c r="L840">
        <f>IF(AND($J840=0,$K840=0),0,1)</f>
        <v>0</v>
      </c>
    </row>
    <row r="841" spans="1:12" x14ac:dyDescent="0.2">
      <c r="A841" t="s">
        <v>349</v>
      </c>
      <c r="B841" t="s">
        <v>241</v>
      </c>
      <c r="C841" t="s">
        <v>7</v>
      </c>
      <c r="D841">
        <v>1010</v>
      </c>
      <c r="E841">
        <v>2019</v>
      </c>
      <c r="F841">
        <v>50</v>
      </c>
      <c r="G841">
        <v>13557</v>
      </c>
      <c r="H841" s="1">
        <v>3</v>
      </c>
      <c r="I841">
        <v>14</v>
      </c>
      <c r="J841">
        <f>IF($H841=0,1,IF($I841&lt;=1,2,0))</f>
        <v>0</v>
      </c>
      <c r="K841">
        <v>0</v>
      </c>
      <c r="L841">
        <f>IF(AND($J841=0,$K841=0),0,1)</f>
        <v>0</v>
      </c>
    </row>
    <row r="842" spans="1:12" x14ac:dyDescent="0.2">
      <c r="A842" t="s">
        <v>349</v>
      </c>
      <c r="B842" t="s">
        <v>241</v>
      </c>
      <c r="C842" t="s">
        <v>7</v>
      </c>
      <c r="D842">
        <v>1010</v>
      </c>
      <c r="E842">
        <v>2019</v>
      </c>
      <c r="F842">
        <v>52</v>
      </c>
      <c r="G842">
        <v>13558</v>
      </c>
      <c r="H842" s="1">
        <v>3</v>
      </c>
      <c r="I842">
        <v>14</v>
      </c>
      <c r="J842">
        <f>IF($H842=0,1,IF($I842&lt;=1,2,0))</f>
        <v>0</v>
      </c>
      <c r="K842">
        <v>0</v>
      </c>
      <c r="L842">
        <f>IF(AND($J842=0,$K842=0),0,1)</f>
        <v>0</v>
      </c>
    </row>
    <row r="843" spans="1:12" x14ac:dyDescent="0.2">
      <c r="A843" t="s">
        <v>349</v>
      </c>
      <c r="B843" t="s">
        <v>241</v>
      </c>
      <c r="C843" t="s">
        <v>7</v>
      </c>
      <c r="D843">
        <v>1010</v>
      </c>
      <c r="E843">
        <v>2019</v>
      </c>
      <c r="F843">
        <v>60</v>
      </c>
      <c r="G843">
        <v>13560</v>
      </c>
      <c r="H843" s="1">
        <v>3</v>
      </c>
      <c r="I843">
        <v>14</v>
      </c>
      <c r="J843">
        <f>IF($H843=0,1,IF($I843&lt;=1,2,0))</f>
        <v>0</v>
      </c>
      <c r="K843">
        <v>0</v>
      </c>
      <c r="L843">
        <f>IF(AND($J843=0,$K843=0),0,1)</f>
        <v>0</v>
      </c>
    </row>
    <row r="844" spans="1:12" x14ac:dyDescent="0.2">
      <c r="A844" t="s">
        <v>349</v>
      </c>
      <c r="B844" t="s">
        <v>241</v>
      </c>
      <c r="C844" t="s">
        <v>7</v>
      </c>
      <c r="D844">
        <v>1010</v>
      </c>
      <c r="E844">
        <v>2019</v>
      </c>
      <c r="F844">
        <v>110</v>
      </c>
      <c r="G844">
        <v>13562</v>
      </c>
      <c r="H844" s="1">
        <v>3</v>
      </c>
      <c r="I844">
        <v>14</v>
      </c>
      <c r="J844">
        <f>IF($H844=0,1,IF($I844&lt;=1,2,0))</f>
        <v>0</v>
      </c>
      <c r="K844">
        <v>0</v>
      </c>
      <c r="L844">
        <f>IF(AND($J844=0,$K844=0),0,1)</f>
        <v>0</v>
      </c>
    </row>
    <row r="845" spans="1:12" x14ac:dyDescent="0.2">
      <c r="A845" t="s">
        <v>349</v>
      </c>
      <c r="B845" t="s">
        <v>241</v>
      </c>
      <c r="C845" t="s">
        <v>7</v>
      </c>
      <c r="D845">
        <v>1010</v>
      </c>
      <c r="E845">
        <v>2019</v>
      </c>
      <c r="F845">
        <v>145</v>
      </c>
      <c r="G845">
        <v>13564</v>
      </c>
      <c r="H845" s="1">
        <v>3</v>
      </c>
      <c r="I845">
        <v>14</v>
      </c>
      <c r="J845">
        <f>IF($H845=0,1,IF($I845&lt;=1,2,0))</f>
        <v>0</v>
      </c>
      <c r="K845">
        <v>0</v>
      </c>
      <c r="L845">
        <f>IF(AND($J845=0,$K845=0),0,1)</f>
        <v>0</v>
      </c>
    </row>
    <row r="846" spans="1:12" x14ac:dyDescent="0.2">
      <c r="A846" t="s">
        <v>349</v>
      </c>
      <c r="B846" t="s">
        <v>241</v>
      </c>
      <c r="C846" t="s">
        <v>153</v>
      </c>
      <c r="D846">
        <v>1010</v>
      </c>
      <c r="E846">
        <v>2019</v>
      </c>
      <c r="F846">
        <v>219</v>
      </c>
      <c r="G846">
        <v>13518</v>
      </c>
      <c r="H846" s="1">
        <v>3</v>
      </c>
      <c r="I846">
        <v>14</v>
      </c>
      <c r="J846">
        <f>IF($H846=0,1,IF($I846&lt;=1,2,0))</f>
        <v>0</v>
      </c>
      <c r="K846">
        <v>0</v>
      </c>
      <c r="L846">
        <f>IF(AND($J846=0,$K846=0),0,1)</f>
        <v>0</v>
      </c>
    </row>
    <row r="847" spans="1:12" x14ac:dyDescent="0.2">
      <c r="A847" t="s">
        <v>349</v>
      </c>
      <c r="B847" t="s">
        <v>241</v>
      </c>
      <c r="C847" t="s">
        <v>7</v>
      </c>
      <c r="D847">
        <v>1010</v>
      </c>
      <c r="E847">
        <v>2019</v>
      </c>
      <c r="F847">
        <v>223</v>
      </c>
      <c r="G847">
        <v>13566</v>
      </c>
      <c r="H847" s="1">
        <v>3</v>
      </c>
      <c r="I847">
        <v>14</v>
      </c>
      <c r="J847">
        <f>IF($H847=0,1,IF($I847&lt;=1,2,0))</f>
        <v>0</v>
      </c>
      <c r="K847">
        <v>0</v>
      </c>
      <c r="L847">
        <f>IF(AND($J847=0,$K847=0),0,1)</f>
        <v>0</v>
      </c>
    </row>
    <row r="848" spans="1:12" x14ac:dyDescent="0.2">
      <c r="A848" t="s">
        <v>349</v>
      </c>
      <c r="B848" t="s">
        <v>241</v>
      </c>
      <c r="C848" t="s">
        <v>7</v>
      </c>
      <c r="D848">
        <v>1010</v>
      </c>
      <c r="E848">
        <v>2019</v>
      </c>
      <c r="F848">
        <v>229</v>
      </c>
      <c r="G848">
        <v>13567</v>
      </c>
      <c r="H848" s="1">
        <v>3</v>
      </c>
      <c r="I848">
        <v>14</v>
      </c>
      <c r="J848">
        <f>IF($H848=0,1,IF($I848&lt;=1,2,0))</f>
        <v>0</v>
      </c>
      <c r="K848">
        <v>0</v>
      </c>
      <c r="L848">
        <f>IF(AND($J848=0,$K848=0),0,1)</f>
        <v>0</v>
      </c>
    </row>
    <row r="849" spans="1:12" x14ac:dyDescent="0.2">
      <c r="A849" t="s">
        <v>349</v>
      </c>
      <c r="B849" t="s">
        <v>241</v>
      </c>
      <c r="C849" t="s">
        <v>7</v>
      </c>
      <c r="D849">
        <v>1010</v>
      </c>
      <c r="E849">
        <v>2019</v>
      </c>
      <c r="F849">
        <v>311</v>
      </c>
      <c r="G849">
        <v>13570</v>
      </c>
      <c r="H849" s="1">
        <v>3</v>
      </c>
      <c r="I849">
        <v>14</v>
      </c>
      <c r="J849">
        <f>IF($H849=0,1,IF($I849&lt;=1,2,0))</f>
        <v>0</v>
      </c>
      <c r="K849">
        <v>0</v>
      </c>
      <c r="L849">
        <f>IF(AND($J849=0,$K849=0),0,1)</f>
        <v>0</v>
      </c>
    </row>
    <row r="850" spans="1:12" x14ac:dyDescent="0.2">
      <c r="A850" t="s">
        <v>349</v>
      </c>
      <c r="B850" t="s">
        <v>241</v>
      </c>
      <c r="C850" t="s">
        <v>153</v>
      </c>
      <c r="D850">
        <v>1010</v>
      </c>
      <c r="E850">
        <v>2019</v>
      </c>
      <c r="F850">
        <v>322</v>
      </c>
      <c r="G850">
        <v>15296</v>
      </c>
      <c r="H850" s="1">
        <v>3</v>
      </c>
      <c r="I850">
        <v>14</v>
      </c>
      <c r="J850">
        <f>IF($H850=0,1,IF($I850&lt;=1,2,0))</f>
        <v>0</v>
      </c>
      <c r="K850">
        <v>0</v>
      </c>
      <c r="L850">
        <f>IF(AND($J850=0,$K850=0),0,1)</f>
        <v>0</v>
      </c>
    </row>
    <row r="851" spans="1:12" x14ac:dyDescent="0.2">
      <c r="A851" t="s">
        <v>349</v>
      </c>
      <c r="B851" t="s">
        <v>241</v>
      </c>
      <c r="C851" t="s">
        <v>7</v>
      </c>
      <c r="D851">
        <v>1010</v>
      </c>
      <c r="E851">
        <v>2019</v>
      </c>
      <c r="F851">
        <v>335</v>
      </c>
      <c r="G851">
        <v>13571</v>
      </c>
      <c r="H851" s="1">
        <v>3</v>
      </c>
      <c r="I851">
        <v>14</v>
      </c>
      <c r="J851">
        <f>IF($H851=0,1,IF($I851&lt;=1,2,0))</f>
        <v>0</v>
      </c>
      <c r="K851">
        <v>0</v>
      </c>
      <c r="L851">
        <f>IF(AND($J851=0,$K851=0),0,1)</f>
        <v>0</v>
      </c>
    </row>
    <row r="852" spans="1:12" x14ac:dyDescent="0.2">
      <c r="A852" t="s">
        <v>349</v>
      </c>
      <c r="B852" t="s">
        <v>241</v>
      </c>
      <c r="C852" t="s">
        <v>7</v>
      </c>
      <c r="D852">
        <v>1010</v>
      </c>
      <c r="E852">
        <v>2019</v>
      </c>
      <c r="F852">
        <v>404</v>
      </c>
      <c r="G852">
        <v>13574</v>
      </c>
      <c r="H852" s="1">
        <v>3</v>
      </c>
      <c r="I852">
        <v>14</v>
      </c>
      <c r="J852">
        <f>IF($H852=0,1,IF($I852&lt;=1,2,0))</f>
        <v>0</v>
      </c>
      <c r="K852">
        <v>0</v>
      </c>
      <c r="L852">
        <f>IF(AND($J852=0,$K852=0),0,1)</f>
        <v>0</v>
      </c>
    </row>
    <row r="853" spans="1:12" x14ac:dyDescent="0.2">
      <c r="A853" t="s">
        <v>349</v>
      </c>
      <c r="B853" t="s">
        <v>241</v>
      </c>
      <c r="C853" t="s">
        <v>153</v>
      </c>
      <c r="D853">
        <v>1010</v>
      </c>
      <c r="E853">
        <v>2019</v>
      </c>
      <c r="F853">
        <v>405</v>
      </c>
      <c r="G853">
        <v>13519</v>
      </c>
      <c r="H853" s="1">
        <v>3</v>
      </c>
      <c r="I853">
        <v>14</v>
      </c>
      <c r="J853">
        <f>IF($H853=0,1,IF($I853&lt;=1,2,0))</f>
        <v>0</v>
      </c>
      <c r="K853">
        <v>0</v>
      </c>
      <c r="L853">
        <f>IF(AND($J853=0,$K853=0),0,1)</f>
        <v>0</v>
      </c>
    </row>
    <row r="854" spans="1:12" x14ac:dyDescent="0.2">
      <c r="A854" t="s">
        <v>349</v>
      </c>
      <c r="B854" t="s">
        <v>241</v>
      </c>
      <c r="C854" t="s">
        <v>7</v>
      </c>
      <c r="D854">
        <v>1010</v>
      </c>
      <c r="E854">
        <v>2019</v>
      </c>
      <c r="F854">
        <v>417</v>
      </c>
      <c r="G854">
        <v>13575</v>
      </c>
      <c r="H854" s="1">
        <v>3</v>
      </c>
      <c r="I854">
        <v>14</v>
      </c>
      <c r="J854">
        <f>IF($H854=0,1,IF($I854&lt;=1,2,0))</f>
        <v>0</v>
      </c>
      <c r="K854">
        <v>0</v>
      </c>
      <c r="L854">
        <f>IF(AND($J854=0,$K854=0),0,1)</f>
        <v>0</v>
      </c>
    </row>
    <row r="855" spans="1:12" x14ac:dyDescent="0.2">
      <c r="A855" t="s">
        <v>349</v>
      </c>
      <c r="B855" t="s">
        <v>241</v>
      </c>
      <c r="C855" t="s">
        <v>7</v>
      </c>
      <c r="D855">
        <v>1010</v>
      </c>
      <c r="E855">
        <v>2019</v>
      </c>
      <c r="F855">
        <v>422</v>
      </c>
      <c r="G855">
        <v>13576</v>
      </c>
      <c r="H855" s="1">
        <v>3</v>
      </c>
      <c r="I855">
        <v>14</v>
      </c>
      <c r="J855">
        <f>IF($H855=0,1,IF($I855&lt;=1,2,0))</f>
        <v>0</v>
      </c>
      <c r="K855">
        <v>0</v>
      </c>
      <c r="L855">
        <f>IF(AND($J855=0,$K855=0),0,1)</f>
        <v>0</v>
      </c>
    </row>
    <row r="856" spans="1:12" x14ac:dyDescent="0.2">
      <c r="A856" t="s">
        <v>349</v>
      </c>
      <c r="B856" t="s">
        <v>241</v>
      </c>
      <c r="C856" t="s">
        <v>7</v>
      </c>
      <c r="D856">
        <v>1010</v>
      </c>
      <c r="E856">
        <v>2019</v>
      </c>
      <c r="F856">
        <v>424</v>
      </c>
      <c r="G856">
        <v>13577</v>
      </c>
      <c r="H856" s="1">
        <v>3</v>
      </c>
      <c r="I856">
        <v>14</v>
      </c>
      <c r="J856">
        <f>IF($H856=0,1,IF($I856&lt;=1,2,0))</f>
        <v>0</v>
      </c>
      <c r="K856">
        <v>0</v>
      </c>
      <c r="L856">
        <f>IF(AND($J856=0,$K856=0),0,1)</f>
        <v>0</v>
      </c>
    </row>
    <row r="857" spans="1:12" x14ac:dyDescent="0.2">
      <c r="A857" t="s">
        <v>349</v>
      </c>
      <c r="B857" t="s">
        <v>241</v>
      </c>
      <c r="C857" t="s">
        <v>7</v>
      </c>
      <c r="D857">
        <v>1010</v>
      </c>
      <c r="E857">
        <v>2019</v>
      </c>
      <c r="F857">
        <v>438</v>
      </c>
      <c r="G857">
        <v>13578</v>
      </c>
      <c r="H857" s="1">
        <v>3</v>
      </c>
      <c r="I857">
        <v>14</v>
      </c>
      <c r="J857">
        <f>IF($H857=0,1,IF($I857&lt;=1,2,0))</f>
        <v>0</v>
      </c>
      <c r="K857">
        <v>0</v>
      </c>
      <c r="L857">
        <f>IF(AND($J857=0,$K857=0),0,1)</f>
        <v>0</v>
      </c>
    </row>
    <row r="858" spans="1:12" x14ac:dyDescent="0.2">
      <c r="A858" t="s">
        <v>349</v>
      </c>
      <c r="B858" t="s">
        <v>241</v>
      </c>
      <c r="C858" t="s">
        <v>7</v>
      </c>
      <c r="D858">
        <v>1010</v>
      </c>
      <c r="E858">
        <v>2019</v>
      </c>
      <c r="F858">
        <v>505</v>
      </c>
      <c r="G858">
        <v>13579</v>
      </c>
      <c r="H858" s="1">
        <v>3</v>
      </c>
      <c r="I858">
        <v>14</v>
      </c>
      <c r="J858">
        <f>IF($H858=0,1,IF($I858&lt;=1,2,0))</f>
        <v>0</v>
      </c>
      <c r="K858">
        <v>0</v>
      </c>
      <c r="L858">
        <f>IF(AND($J858=0,$K858=0),0,1)</f>
        <v>0</v>
      </c>
    </row>
    <row r="859" spans="1:12" x14ac:dyDescent="0.2">
      <c r="A859" t="s">
        <v>349</v>
      </c>
      <c r="B859" t="s">
        <v>241</v>
      </c>
      <c r="C859" t="s">
        <v>153</v>
      </c>
      <c r="D859">
        <v>1010</v>
      </c>
      <c r="E859">
        <v>2019</v>
      </c>
      <c r="F859">
        <v>525</v>
      </c>
      <c r="G859">
        <v>13521</v>
      </c>
      <c r="H859" s="1">
        <v>3</v>
      </c>
      <c r="I859">
        <v>14</v>
      </c>
      <c r="J859">
        <f>IF($H859=0,1,IF($I859&lt;=1,2,0))</f>
        <v>0</v>
      </c>
      <c r="K859">
        <v>0</v>
      </c>
      <c r="L859">
        <f>IF(AND($J859=0,$K859=0),0,1)</f>
        <v>0</v>
      </c>
    </row>
    <row r="860" spans="1:12" x14ac:dyDescent="0.2">
      <c r="A860" t="s">
        <v>349</v>
      </c>
      <c r="B860" t="s">
        <v>241</v>
      </c>
      <c r="C860" t="s">
        <v>153</v>
      </c>
      <c r="D860">
        <v>1010</v>
      </c>
      <c r="E860">
        <v>2019</v>
      </c>
      <c r="F860">
        <v>608</v>
      </c>
      <c r="G860">
        <v>13522</v>
      </c>
      <c r="H860" s="1">
        <v>3</v>
      </c>
      <c r="I860">
        <v>14</v>
      </c>
      <c r="J860">
        <f>IF($H860=0,1,IF($I860&lt;=1,2,0))</f>
        <v>0</v>
      </c>
      <c r="K860">
        <v>0</v>
      </c>
      <c r="L860">
        <f>IF(AND($J860=0,$K860=0),0,1)</f>
        <v>0</v>
      </c>
    </row>
    <row r="861" spans="1:12" x14ac:dyDescent="0.2">
      <c r="A861" t="s">
        <v>349</v>
      </c>
      <c r="B861" t="s">
        <v>241</v>
      </c>
      <c r="C861" t="s">
        <v>7</v>
      </c>
      <c r="D861">
        <v>1010</v>
      </c>
      <c r="E861">
        <v>2019</v>
      </c>
      <c r="F861">
        <v>609</v>
      </c>
      <c r="G861">
        <v>13583</v>
      </c>
      <c r="H861" s="1">
        <v>3</v>
      </c>
      <c r="I861">
        <v>14</v>
      </c>
      <c r="J861">
        <f>IF($H861=0,1,IF($I861&lt;=1,2,0))</f>
        <v>0</v>
      </c>
      <c r="K861">
        <v>0</v>
      </c>
      <c r="L861">
        <f>IF(AND($J861=0,$K861=0),0,1)</f>
        <v>0</v>
      </c>
    </row>
    <row r="862" spans="1:12" x14ac:dyDescent="0.2">
      <c r="A862" t="s">
        <v>349</v>
      </c>
      <c r="B862" t="s">
        <v>241</v>
      </c>
      <c r="C862" t="s">
        <v>7</v>
      </c>
      <c r="D862">
        <v>1010</v>
      </c>
      <c r="E862">
        <v>2019</v>
      </c>
      <c r="F862">
        <v>634</v>
      </c>
      <c r="G862">
        <v>14065</v>
      </c>
      <c r="H862" s="1">
        <v>3</v>
      </c>
      <c r="I862">
        <v>14</v>
      </c>
      <c r="J862">
        <f>IF($H862=0,1,IF($I862&lt;=1,2,0))</f>
        <v>0</v>
      </c>
      <c r="K862">
        <v>0</v>
      </c>
      <c r="L862">
        <f>IF(AND($J862=0,$K862=0),0,1)</f>
        <v>0</v>
      </c>
    </row>
    <row r="863" spans="1:12" x14ac:dyDescent="0.2">
      <c r="A863" t="s">
        <v>349</v>
      </c>
      <c r="B863" t="s">
        <v>241</v>
      </c>
      <c r="C863" t="s">
        <v>7</v>
      </c>
      <c r="D863">
        <v>1010</v>
      </c>
      <c r="E863">
        <v>2019</v>
      </c>
      <c r="F863">
        <v>637</v>
      </c>
      <c r="G863">
        <v>13584</v>
      </c>
      <c r="H863" s="1">
        <v>3</v>
      </c>
      <c r="I863">
        <v>14</v>
      </c>
      <c r="J863">
        <f>IF($H863=0,1,IF($I863&lt;=1,2,0))</f>
        <v>0</v>
      </c>
      <c r="K863">
        <v>0</v>
      </c>
      <c r="L863">
        <f>IF(AND($J863=0,$K863=0),0,1)</f>
        <v>0</v>
      </c>
    </row>
    <row r="864" spans="1:12" x14ac:dyDescent="0.2">
      <c r="A864" t="s">
        <v>349</v>
      </c>
      <c r="B864" t="s">
        <v>241</v>
      </c>
      <c r="C864" t="s">
        <v>7</v>
      </c>
      <c r="D864">
        <v>1010</v>
      </c>
      <c r="E864">
        <v>2019</v>
      </c>
      <c r="F864">
        <v>708</v>
      </c>
      <c r="G864">
        <v>14059</v>
      </c>
      <c r="H864" s="1">
        <v>3</v>
      </c>
      <c r="I864">
        <v>14</v>
      </c>
      <c r="J864">
        <f>IF($H864=0,1,IF($I864&lt;=1,2,0))</f>
        <v>0</v>
      </c>
      <c r="K864">
        <v>0</v>
      </c>
      <c r="L864">
        <f>IF(AND($J864=0,$K864=0),0,1)</f>
        <v>0</v>
      </c>
    </row>
    <row r="865" spans="1:13" x14ac:dyDescent="0.2">
      <c r="A865" t="s">
        <v>349</v>
      </c>
      <c r="B865" t="s">
        <v>241</v>
      </c>
      <c r="C865" t="s">
        <v>153</v>
      </c>
      <c r="D865">
        <v>1010</v>
      </c>
      <c r="E865">
        <v>2019</v>
      </c>
      <c r="F865">
        <v>912</v>
      </c>
      <c r="G865">
        <v>13526</v>
      </c>
      <c r="H865" s="1">
        <v>3</v>
      </c>
      <c r="I865">
        <v>14</v>
      </c>
      <c r="J865">
        <f>IF($H865=0,1,IF($I865&lt;=1,2,0))</f>
        <v>0</v>
      </c>
      <c r="K865">
        <v>0</v>
      </c>
      <c r="L865">
        <f>IF(AND($J865=0,$K865=0),0,1)</f>
        <v>0</v>
      </c>
      <c r="M865" t="s">
        <v>356</v>
      </c>
    </row>
    <row r="866" spans="1:13" x14ac:dyDescent="0.2">
      <c r="A866" t="s">
        <v>349</v>
      </c>
      <c r="B866" t="s">
        <v>241</v>
      </c>
      <c r="C866" t="s">
        <v>7</v>
      </c>
      <c r="D866">
        <v>1010</v>
      </c>
      <c r="E866">
        <v>2019</v>
      </c>
      <c r="F866">
        <v>915</v>
      </c>
      <c r="G866">
        <v>13587</v>
      </c>
      <c r="H866" s="1">
        <v>3</v>
      </c>
      <c r="I866">
        <v>14</v>
      </c>
      <c r="J866">
        <f>IF($H866=0,1,IF($I866&lt;=1,2,0))</f>
        <v>0</v>
      </c>
      <c r="K866">
        <v>0</v>
      </c>
      <c r="L866">
        <f>IF(AND($J866=0,$K866=0),0,1)</f>
        <v>0</v>
      </c>
    </row>
    <row r="867" spans="1:13" x14ac:dyDescent="0.2">
      <c r="A867" t="s">
        <v>349</v>
      </c>
      <c r="B867" t="s">
        <v>241</v>
      </c>
      <c r="C867" t="s">
        <v>153</v>
      </c>
      <c r="D867">
        <v>1010</v>
      </c>
      <c r="E867">
        <v>2019</v>
      </c>
      <c r="F867">
        <v>926</v>
      </c>
      <c r="G867">
        <v>13528</v>
      </c>
      <c r="H867" s="1">
        <v>3</v>
      </c>
      <c r="I867">
        <v>14</v>
      </c>
      <c r="J867">
        <f>IF($H867=0,1,IF($I867&lt;=1,2,0))</f>
        <v>0</v>
      </c>
      <c r="K867">
        <v>0</v>
      </c>
      <c r="L867">
        <f>IF(AND($J867=0,$K867=0),0,1)</f>
        <v>0</v>
      </c>
      <c r="M867" t="s">
        <v>356</v>
      </c>
    </row>
    <row r="868" spans="1:13" x14ac:dyDescent="0.2">
      <c r="A868" t="s">
        <v>349</v>
      </c>
      <c r="B868" t="s">
        <v>241</v>
      </c>
      <c r="C868" t="s">
        <v>7</v>
      </c>
      <c r="D868">
        <v>1010</v>
      </c>
      <c r="E868">
        <v>2019</v>
      </c>
      <c r="F868">
        <v>951</v>
      </c>
      <c r="G868">
        <v>13590</v>
      </c>
      <c r="H868" s="1">
        <v>3</v>
      </c>
      <c r="I868">
        <v>14</v>
      </c>
      <c r="J868">
        <f>IF($H868=0,1,IF($I868&lt;=1,2,0))</f>
        <v>0</v>
      </c>
      <c r="K868">
        <v>0</v>
      </c>
      <c r="L868">
        <f>IF(AND($J868=0,$K868=0),0,1)</f>
        <v>0</v>
      </c>
    </row>
    <row r="869" spans="1:13" x14ac:dyDescent="0.2">
      <c r="A869" t="s">
        <v>349</v>
      </c>
      <c r="B869" t="s">
        <v>241</v>
      </c>
      <c r="C869" t="s">
        <v>153</v>
      </c>
      <c r="D869">
        <v>1010</v>
      </c>
      <c r="E869">
        <v>2019</v>
      </c>
      <c r="F869">
        <v>2</v>
      </c>
      <c r="G869">
        <v>13497</v>
      </c>
      <c r="H869" s="1">
        <v>3</v>
      </c>
      <c r="I869">
        <v>13</v>
      </c>
      <c r="J869">
        <f>IF($H869=0,1,IF($I869&lt;=1,2,0))</f>
        <v>0</v>
      </c>
      <c r="K869">
        <v>0</v>
      </c>
      <c r="L869">
        <f>IF(AND($J869=0,$K869=0),0,1)</f>
        <v>0</v>
      </c>
    </row>
    <row r="870" spans="1:13" x14ac:dyDescent="0.2">
      <c r="A870" t="s">
        <v>349</v>
      </c>
      <c r="B870" t="s">
        <v>241</v>
      </c>
      <c r="C870" t="s">
        <v>7</v>
      </c>
      <c r="D870">
        <v>1010</v>
      </c>
      <c r="E870">
        <v>2019</v>
      </c>
      <c r="F870">
        <v>3</v>
      </c>
      <c r="G870">
        <v>13543</v>
      </c>
      <c r="H870" s="1">
        <v>3</v>
      </c>
      <c r="I870">
        <v>13</v>
      </c>
      <c r="J870">
        <f>IF($H870=0,1,IF($I870&lt;=1,2,0))</f>
        <v>0</v>
      </c>
      <c r="K870">
        <v>0</v>
      </c>
      <c r="L870">
        <f>IF(AND($J870=0,$K870=0),0,1)</f>
        <v>0</v>
      </c>
    </row>
    <row r="871" spans="1:13" x14ac:dyDescent="0.2">
      <c r="A871" t="s">
        <v>349</v>
      </c>
      <c r="B871" t="s">
        <v>241</v>
      </c>
      <c r="C871" t="s">
        <v>7</v>
      </c>
      <c r="D871">
        <v>1010</v>
      </c>
      <c r="E871">
        <v>2019</v>
      </c>
      <c r="F871">
        <v>12</v>
      </c>
      <c r="G871">
        <v>13593</v>
      </c>
      <c r="H871" s="1">
        <v>3</v>
      </c>
      <c r="I871">
        <v>13</v>
      </c>
      <c r="J871">
        <f>IF($H871=0,1,IF($I871&lt;=1,2,0))</f>
        <v>0</v>
      </c>
      <c r="K871">
        <v>0</v>
      </c>
      <c r="L871">
        <f>IF(AND($J871=0,$K871=0),0,1)</f>
        <v>0</v>
      </c>
    </row>
    <row r="872" spans="1:13" x14ac:dyDescent="0.2">
      <c r="A872" t="s">
        <v>349</v>
      </c>
      <c r="B872" t="s">
        <v>241</v>
      </c>
      <c r="C872" t="s">
        <v>7</v>
      </c>
      <c r="D872">
        <v>1010</v>
      </c>
      <c r="E872">
        <v>2019</v>
      </c>
      <c r="F872">
        <v>18</v>
      </c>
      <c r="G872">
        <v>13547</v>
      </c>
      <c r="H872" s="1">
        <v>3</v>
      </c>
      <c r="I872">
        <v>13</v>
      </c>
      <c r="J872">
        <f>IF($H872=0,1,IF($I872&lt;=1,2,0))</f>
        <v>0</v>
      </c>
      <c r="K872">
        <v>0</v>
      </c>
      <c r="L872">
        <f>IF(AND($J872=0,$K872=0),0,1)</f>
        <v>0</v>
      </c>
    </row>
    <row r="873" spans="1:13" x14ac:dyDescent="0.2">
      <c r="A873" t="s">
        <v>349</v>
      </c>
      <c r="B873" t="s">
        <v>241</v>
      </c>
      <c r="C873" t="s">
        <v>7</v>
      </c>
      <c r="D873">
        <v>1010</v>
      </c>
      <c r="E873">
        <v>2019</v>
      </c>
      <c r="F873">
        <v>19</v>
      </c>
      <c r="G873">
        <v>13548</v>
      </c>
      <c r="H873" s="1">
        <v>3</v>
      </c>
      <c r="I873">
        <v>13</v>
      </c>
      <c r="J873">
        <f>IF($H873=0,1,IF($I873&lt;=1,2,0))</f>
        <v>0</v>
      </c>
      <c r="K873">
        <v>0</v>
      </c>
      <c r="L873">
        <f>IF(AND($J873=0,$K873=0),0,1)</f>
        <v>0</v>
      </c>
    </row>
    <row r="874" spans="1:13" x14ac:dyDescent="0.2">
      <c r="A874" t="s">
        <v>349</v>
      </c>
      <c r="B874" t="s">
        <v>241</v>
      </c>
      <c r="C874" t="s">
        <v>7</v>
      </c>
      <c r="D874">
        <v>1010</v>
      </c>
      <c r="E874">
        <v>2019</v>
      </c>
      <c r="F874">
        <v>21</v>
      </c>
      <c r="G874">
        <v>13549</v>
      </c>
      <c r="H874" s="1">
        <v>3</v>
      </c>
      <c r="I874">
        <v>13</v>
      </c>
      <c r="J874">
        <f>IF($H874=0,1,IF($I874&lt;=1,2,0))</f>
        <v>0</v>
      </c>
      <c r="K874">
        <v>0</v>
      </c>
      <c r="L874">
        <f>IF(AND($J874=0,$K874=0),0,1)</f>
        <v>0</v>
      </c>
    </row>
    <row r="875" spans="1:13" x14ac:dyDescent="0.2">
      <c r="A875" t="s">
        <v>349</v>
      </c>
      <c r="B875" t="s">
        <v>241</v>
      </c>
      <c r="C875" t="s">
        <v>7</v>
      </c>
      <c r="D875">
        <v>1010</v>
      </c>
      <c r="E875">
        <v>2019</v>
      </c>
      <c r="F875">
        <v>40</v>
      </c>
      <c r="G875">
        <v>13552</v>
      </c>
      <c r="H875" s="1">
        <v>3</v>
      </c>
      <c r="I875">
        <v>13</v>
      </c>
      <c r="J875">
        <f>IF($H875=0,1,IF($I875&lt;=1,2,0))</f>
        <v>0</v>
      </c>
      <c r="K875">
        <v>0</v>
      </c>
      <c r="L875">
        <f>IF(AND($J875=0,$K875=0),0,1)</f>
        <v>0</v>
      </c>
    </row>
    <row r="876" spans="1:13" x14ac:dyDescent="0.2">
      <c r="A876" t="s">
        <v>349</v>
      </c>
      <c r="B876" t="s">
        <v>241</v>
      </c>
      <c r="C876" t="s">
        <v>7</v>
      </c>
      <c r="D876">
        <v>1010</v>
      </c>
      <c r="E876">
        <v>2019</v>
      </c>
      <c r="F876">
        <v>102</v>
      </c>
      <c r="G876">
        <v>13561</v>
      </c>
      <c r="H876" s="1">
        <v>3</v>
      </c>
      <c r="I876">
        <v>13</v>
      </c>
      <c r="J876">
        <f>IF($H876=0,1,IF($I876&lt;=1,2,0))</f>
        <v>0</v>
      </c>
      <c r="K876">
        <v>0</v>
      </c>
      <c r="L876">
        <f>IF(AND($J876=0,$K876=0),0,1)</f>
        <v>0</v>
      </c>
    </row>
    <row r="877" spans="1:13" x14ac:dyDescent="0.2">
      <c r="A877" t="s">
        <v>349</v>
      </c>
      <c r="B877" t="s">
        <v>241</v>
      </c>
      <c r="C877" t="s">
        <v>153</v>
      </c>
      <c r="D877">
        <v>1010</v>
      </c>
      <c r="E877">
        <v>2019</v>
      </c>
      <c r="F877">
        <v>113</v>
      </c>
      <c r="G877">
        <v>13516</v>
      </c>
      <c r="H877" s="1">
        <v>3</v>
      </c>
      <c r="I877">
        <v>13</v>
      </c>
      <c r="J877">
        <f>IF($H877=0,1,IF($I877&lt;=1,2,0))</f>
        <v>0</v>
      </c>
      <c r="K877">
        <v>0</v>
      </c>
      <c r="L877">
        <f>IF(AND($J877=0,$K877=0),0,1)</f>
        <v>0</v>
      </c>
    </row>
    <row r="878" spans="1:13" x14ac:dyDescent="0.2">
      <c r="A878" t="s">
        <v>349</v>
      </c>
      <c r="B878" t="s">
        <v>241</v>
      </c>
      <c r="C878" t="s">
        <v>153</v>
      </c>
      <c r="D878">
        <v>1010</v>
      </c>
      <c r="E878">
        <v>2019</v>
      </c>
      <c r="F878">
        <v>204</v>
      </c>
      <c r="G878">
        <v>13517</v>
      </c>
      <c r="H878" s="1">
        <v>3</v>
      </c>
      <c r="I878">
        <v>13</v>
      </c>
      <c r="J878">
        <f>IF($H878=0,1,IF($I878&lt;=1,2,0))</f>
        <v>0</v>
      </c>
      <c r="K878">
        <v>0</v>
      </c>
      <c r="L878">
        <f>IF(AND($J878=0,$K878=0),0,1)</f>
        <v>0</v>
      </c>
    </row>
    <row r="879" spans="1:13" x14ac:dyDescent="0.2">
      <c r="A879" t="s">
        <v>349</v>
      </c>
      <c r="B879" t="s">
        <v>241</v>
      </c>
      <c r="C879" t="s">
        <v>7</v>
      </c>
      <c r="D879">
        <v>1010</v>
      </c>
      <c r="E879">
        <v>2019</v>
      </c>
      <c r="F879">
        <v>231</v>
      </c>
      <c r="G879">
        <v>13568</v>
      </c>
      <c r="H879" s="1">
        <v>3</v>
      </c>
      <c r="I879">
        <v>13</v>
      </c>
      <c r="J879">
        <f>IF($H879=0,1,IF($I879&lt;=1,2,0))</f>
        <v>0</v>
      </c>
      <c r="K879">
        <v>0</v>
      </c>
      <c r="L879">
        <f>IF(AND($J879=0,$K879=0),0,1)</f>
        <v>0</v>
      </c>
    </row>
    <row r="880" spans="1:13" x14ac:dyDescent="0.2">
      <c r="A880" t="s">
        <v>349</v>
      </c>
      <c r="B880" t="s">
        <v>241</v>
      </c>
      <c r="C880" t="s">
        <v>7</v>
      </c>
      <c r="D880">
        <v>1010</v>
      </c>
      <c r="E880">
        <v>2019</v>
      </c>
      <c r="F880">
        <v>243</v>
      </c>
      <c r="G880">
        <v>13569</v>
      </c>
      <c r="H880" s="1">
        <v>3</v>
      </c>
      <c r="I880">
        <v>13</v>
      </c>
      <c r="J880">
        <f>IF($H880=0,1,IF($I880&lt;=1,2,0))</f>
        <v>0</v>
      </c>
      <c r="K880">
        <v>0</v>
      </c>
      <c r="L880">
        <f>IF(AND($J880=0,$K880=0),0,1)</f>
        <v>0</v>
      </c>
    </row>
    <row r="881" spans="1:13" x14ac:dyDescent="0.2">
      <c r="A881" t="s">
        <v>349</v>
      </c>
      <c r="B881" t="s">
        <v>241</v>
      </c>
      <c r="C881" t="s">
        <v>153</v>
      </c>
      <c r="D881">
        <v>1010</v>
      </c>
      <c r="E881">
        <v>2019</v>
      </c>
      <c r="F881">
        <v>307</v>
      </c>
      <c r="G881">
        <v>14062</v>
      </c>
      <c r="H881" s="1">
        <v>3</v>
      </c>
      <c r="I881">
        <v>13</v>
      </c>
      <c r="J881">
        <f>IF($H881=0,1,IF($I881&lt;=1,2,0))</f>
        <v>0</v>
      </c>
      <c r="K881">
        <v>0</v>
      </c>
      <c r="L881">
        <f>IF(AND($J881=0,$K881=0),0,1)</f>
        <v>0</v>
      </c>
    </row>
    <row r="882" spans="1:13" x14ac:dyDescent="0.2">
      <c r="A882" t="s">
        <v>349</v>
      </c>
      <c r="B882" t="s">
        <v>241</v>
      </c>
      <c r="C882" t="s">
        <v>7</v>
      </c>
      <c r="D882">
        <v>1010</v>
      </c>
      <c r="E882">
        <v>2019</v>
      </c>
      <c r="F882">
        <v>330</v>
      </c>
      <c r="G882">
        <v>14061</v>
      </c>
      <c r="H882" s="1">
        <v>3</v>
      </c>
      <c r="I882">
        <v>13</v>
      </c>
      <c r="J882">
        <f>IF($H882=0,1,IF($I882&lt;=1,2,0))</f>
        <v>0</v>
      </c>
      <c r="K882">
        <v>0</v>
      </c>
      <c r="L882">
        <f>IF(AND($J882=0,$K882=0),0,1)</f>
        <v>0</v>
      </c>
    </row>
    <row r="883" spans="1:13" x14ac:dyDescent="0.2">
      <c r="A883" t="s">
        <v>349</v>
      </c>
      <c r="B883" t="s">
        <v>241</v>
      </c>
      <c r="C883" t="s">
        <v>7</v>
      </c>
      <c r="D883">
        <v>1010</v>
      </c>
      <c r="E883">
        <v>2019</v>
      </c>
      <c r="F883">
        <v>339</v>
      </c>
      <c r="G883">
        <v>13572</v>
      </c>
      <c r="H883" s="1">
        <v>3</v>
      </c>
      <c r="I883">
        <v>13</v>
      </c>
      <c r="J883">
        <f>IF($H883=0,1,IF($I883&lt;=1,2,0))</f>
        <v>0</v>
      </c>
      <c r="K883">
        <v>0</v>
      </c>
      <c r="L883">
        <f>IF(AND($J883=0,$K883=0),0,1)</f>
        <v>0</v>
      </c>
    </row>
    <row r="884" spans="1:13" x14ac:dyDescent="0.2">
      <c r="A884" t="s">
        <v>349</v>
      </c>
      <c r="B884" t="s">
        <v>241</v>
      </c>
      <c r="C884" t="s">
        <v>7</v>
      </c>
      <c r="D884">
        <v>1010</v>
      </c>
      <c r="E884">
        <v>2019</v>
      </c>
      <c r="F884">
        <v>346</v>
      </c>
      <c r="G884">
        <v>13573</v>
      </c>
      <c r="H884" s="1">
        <v>3</v>
      </c>
      <c r="I884">
        <v>13</v>
      </c>
      <c r="J884">
        <f>IF($H884=0,1,IF($I884&lt;=1,2,0))</f>
        <v>0</v>
      </c>
      <c r="K884">
        <v>0</v>
      </c>
      <c r="L884">
        <f>IF(AND($J884=0,$K884=0),0,1)</f>
        <v>0</v>
      </c>
    </row>
    <row r="885" spans="1:13" x14ac:dyDescent="0.2">
      <c r="A885" t="s">
        <v>349</v>
      </c>
      <c r="B885" t="s">
        <v>241</v>
      </c>
      <c r="C885" t="s">
        <v>153</v>
      </c>
      <c r="D885">
        <v>1010</v>
      </c>
      <c r="E885">
        <v>2019</v>
      </c>
      <c r="F885">
        <v>420</v>
      </c>
      <c r="G885">
        <v>13520</v>
      </c>
      <c r="H885" s="1">
        <v>3</v>
      </c>
      <c r="I885">
        <v>13</v>
      </c>
      <c r="J885">
        <f>IF($H885=0,1,IF($I885&lt;=1,2,0))</f>
        <v>0</v>
      </c>
      <c r="K885">
        <v>0</v>
      </c>
      <c r="L885">
        <f>IF(AND($J885=0,$K885=0),0,1)</f>
        <v>0</v>
      </c>
    </row>
    <row r="886" spans="1:13" x14ac:dyDescent="0.2">
      <c r="A886" t="s">
        <v>349</v>
      </c>
      <c r="B886" t="s">
        <v>241</v>
      </c>
      <c r="C886" t="s">
        <v>7</v>
      </c>
      <c r="D886">
        <v>1010</v>
      </c>
      <c r="E886">
        <v>2019</v>
      </c>
      <c r="F886">
        <v>520</v>
      </c>
      <c r="G886">
        <v>13580</v>
      </c>
      <c r="H886" s="1">
        <v>3</v>
      </c>
      <c r="I886">
        <v>13</v>
      </c>
      <c r="J886">
        <f>IF($H886=0,1,IF($I886&lt;=1,2,0))</f>
        <v>0</v>
      </c>
      <c r="K886">
        <v>0</v>
      </c>
      <c r="L886">
        <f>IF(AND($J886=0,$K886=0),0,1)</f>
        <v>0</v>
      </c>
    </row>
    <row r="887" spans="1:13" x14ac:dyDescent="0.2">
      <c r="A887" t="s">
        <v>349</v>
      </c>
      <c r="B887" t="s">
        <v>241</v>
      </c>
      <c r="C887" t="s">
        <v>7</v>
      </c>
      <c r="D887">
        <v>1010</v>
      </c>
      <c r="E887">
        <v>2019</v>
      </c>
      <c r="F887">
        <v>536</v>
      </c>
      <c r="G887">
        <v>13582</v>
      </c>
      <c r="H887" s="1">
        <v>3</v>
      </c>
      <c r="I887">
        <v>13</v>
      </c>
      <c r="J887">
        <f>IF($H887=0,1,IF($I887&lt;=1,2,0))</f>
        <v>0</v>
      </c>
      <c r="K887">
        <v>0</v>
      </c>
      <c r="L887">
        <f>IF(AND($J887=0,$K887=0),0,1)</f>
        <v>0</v>
      </c>
    </row>
    <row r="888" spans="1:13" x14ac:dyDescent="0.2">
      <c r="A888" t="s">
        <v>349</v>
      </c>
      <c r="B888" t="s">
        <v>241</v>
      </c>
      <c r="C888" t="s">
        <v>7</v>
      </c>
      <c r="D888">
        <v>1010</v>
      </c>
      <c r="E888">
        <v>2019</v>
      </c>
      <c r="F888">
        <v>649</v>
      </c>
      <c r="G888">
        <v>13585</v>
      </c>
      <c r="H888" s="1">
        <v>3</v>
      </c>
      <c r="I888">
        <v>13</v>
      </c>
      <c r="J888">
        <f>IF($H888=0,1,IF($I888&lt;=1,2,0))</f>
        <v>0</v>
      </c>
      <c r="K888">
        <v>0</v>
      </c>
      <c r="L888">
        <f>IF(AND($J888=0,$K888=0),0,1)</f>
        <v>0</v>
      </c>
    </row>
    <row r="889" spans="1:13" x14ac:dyDescent="0.2">
      <c r="A889" t="s">
        <v>349</v>
      </c>
      <c r="B889" t="s">
        <v>241</v>
      </c>
      <c r="C889" t="s">
        <v>153</v>
      </c>
      <c r="D889">
        <v>1010</v>
      </c>
      <c r="E889">
        <v>2019</v>
      </c>
      <c r="F889">
        <v>701</v>
      </c>
      <c r="G889">
        <v>13523</v>
      </c>
      <c r="H889" s="1">
        <v>3</v>
      </c>
      <c r="I889">
        <v>13</v>
      </c>
      <c r="J889">
        <f>IF($H889=0,1,IF($I889&lt;=1,2,0))</f>
        <v>0</v>
      </c>
      <c r="K889">
        <v>0</v>
      </c>
      <c r="L889">
        <f>IF(AND($J889=0,$K889=0),0,1)</f>
        <v>0</v>
      </c>
    </row>
    <row r="890" spans="1:13" x14ac:dyDescent="0.2">
      <c r="A890" t="s">
        <v>349</v>
      </c>
      <c r="B890" t="s">
        <v>241</v>
      </c>
      <c r="C890" t="s">
        <v>153</v>
      </c>
      <c r="D890">
        <v>1010</v>
      </c>
      <c r="E890">
        <v>2019</v>
      </c>
      <c r="F890">
        <v>706</v>
      </c>
      <c r="G890">
        <v>13524</v>
      </c>
      <c r="H890" s="1">
        <v>3</v>
      </c>
      <c r="I890">
        <v>13</v>
      </c>
      <c r="J890">
        <f>IF($H890=0,1,IF($I890&lt;=1,2,0))</f>
        <v>0</v>
      </c>
      <c r="K890">
        <v>0</v>
      </c>
      <c r="L890">
        <f>IF(AND($J890=0,$K890=0),0,1)</f>
        <v>0</v>
      </c>
    </row>
    <row r="891" spans="1:13" x14ac:dyDescent="0.2">
      <c r="A891" t="s">
        <v>349</v>
      </c>
      <c r="B891" t="s">
        <v>241</v>
      </c>
      <c r="C891" t="s">
        <v>7</v>
      </c>
      <c r="D891">
        <v>1010</v>
      </c>
      <c r="E891">
        <v>2019</v>
      </c>
      <c r="F891">
        <v>725</v>
      </c>
      <c r="G891">
        <v>13586</v>
      </c>
      <c r="H891" s="1">
        <v>3</v>
      </c>
      <c r="I891">
        <v>13</v>
      </c>
      <c r="J891">
        <f>IF($H891=0,1,IF($I891&lt;=1,2,0))</f>
        <v>0</v>
      </c>
      <c r="K891">
        <v>0</v>
      </c>
      <c r="L891">
        <f>IF(AND($J891=0,$K891=0),0,1)</f>
        <v>0</v>
      </c>
    </row>
    <row r="892" spans="1:13" x14ac:dyDescent="0.2">
      <c r="A892" t="s">
        <v>349</v>
      </c>
      <c r="B892" t="s">
        <v>241</v>
      </c>
      <c r="C892" t="s">
        <v>153</v>
      </c>
      <c r="D892">
        <v>1010</v>
      </c>
      <c r="E892">
        <v>2019</v>
      </c>
      <c r="F892">
        <v>916</v>
      </c>
      <c r="G892">
        <v>13527</v>
      </c>
      <c r="H892" s="1">
        <v>3</v>
      </c>
      <c r="I892">
        <v>13</v>
      </c>
      <c r="J892">
        <f>IF($H892=0,1,IF($I892&lt;=1,2,0))</f>
        <v>0</v>
      </c>
      <c r="K892">
        <v>0</v>
      </c>
      <c r="L892">
        <f>IF(AND($J892=0,$K892=0),0,1)</f>
        <v>0</v>
      </c>
      <c r="M892" t="s">
        <v>356</v>
      </c>
    </row>
    <row r="893" spans="1:13" x14ac:dyDescent="0.2">
      <c r="A893" t="s">
        <v>349</v>
      </c>
      <c r="B893" t="s">
        <v>241</v>
      </c>
      <c r="C893" t="s">
        <v>7</v>
      </c>
      <c r="D893">
        <v>1010</v>
      </c>
      <c r="E893">
        <v>2019</v>
      </c>
      <c r="F893">
        <v>926</v>
      </c>
      <c r="G893">
        <v>13588</v>
      </c>
      <c r="H893" s="1">
        <v>3</v>
      </c>
      <c r="I893">
        <v>13</v>
      </c>
      <c r="J893">
        <f>IF($H893=0,1,IF($I893&lt;=1,2,0))</f>
        <v>0</v>
      </c>
      <c r="K893">
        <v>0</v>
      </c>
      <c r="L893">
        <f>IF(AND($J893=0,$K893=0),0,1)</f>
        <v>0</v>
      </c>
    </row>
    <row r="894" spans="1:13" x14ac:dyDescent="0.2">
      <c r="A894" t="s">
        <v>349</v>
      </c>
      <c r="B894" t="s">
        <v>241</v>
      </c>
      <c r="C894" t="s">
        <v>7</v>
      </c>
      <c r="D894">
        <v>1010</v>
      </c>
      <c r="E894">
        <v>2019</v>
      </c>
      <c r="F894">
        <v>14</v>
      </c>
      <c r="G894">
        <v>13595</v>
      </c>
      <c r="H894" s="1">
        <v>3</v>
      </c>
      <c r="I894">
        <v>12</v>
      </c>
      <c r="J894">
        <f>IF($H894=0,1,IF($I894&lt;=1,2,0))</f>
        <v>0</v>
      </c>
      <c r="K894">
        <v>0</v>
      </c>
      <c r="L894">
        <f>IF(AND($J894=0,$K894=0),0,1)</f>
        <v>0</v>
      </c>
    </row>
    <row r="895" spans="1:13" x14ac:dyDescent="0.2">
      <c r="A895" t="s">
        <v>349</v>
      </c>
      <c r="B895" t="s">
        <v>241</v>
      </c>
      <c r="C895" t="s">
        <v>153</v>
      </c>
      <c r="D895">
        <v>1010</v>
      </c>
      <c r="E895">
        <v>2019</v>
      </c>
      <c r="F895">
        <v>24</v>
      </c>
      <c r="G895">
        <v>13515</v>
      </c>
      <c r="H895" s="1">
        <v>3</v>
      </c>
      <c r="I895">
        <v>12</v>
      </c>
      <c r="J895">
        <f>IF($H895=0,1,IF($I895&lt;=1,2,0))</f>
        <v>0</v>
      </c>
      <c r="K895">
        <v>0</v>
      </c>
      <c r="L895">
        <f>IF(AND($J895=0,$K895=0),0,1)</f>
        <v>0</v>
      </c>
    </row>
    <row r="896" spans="1:13" x14ac:dyDescent="0.2">
      <c r="A896" t="s">
        <v>349</v>
      </c>
      <c r="B896" t="s">
        <v>241</v>
      </c>
      <c r="C896" t="s">
        <v>7</v>
      </c>
      <c r="D896">
        <v>1010</v>
      </c>
      <c r="E896">
        <v>2019</v>
      </c>
      <c r="F896">
        <v>134</v>
      </c>
      <c r="G896">
        <v>13563</v>
      </c>
      <c r="H896" s="1">
        <v>3</v>
      </c>
      <c r="I896">
        <v>12</v>
      </c>
      <c r="J896">
        <f>IF($H896=0,1,IF($I896&lt;=1,2,0))</f>
        <v>0</v>
      </c>
      <c r="K896">
        <v>0</v>
      </c>
      <c r="L896">
        <f>IF(AND($J896=0,$K896=0),0,1)</f>
        <v>0</v>
      </c>
    </row>
    <row r="897" spans="1:13" x14ac:dyDescent="0.2">
      <c r="A897" t="s">
        <v>349</v>
      </c>
      <c r="B897" t="s">
        <v>241</v>
      </c>
      <c r="C897" t="s">
        <v>7</v>
      </c>
      <c r="D897">
        <v>1010</v>
      </c>
      <c r="E897">
        <v>2019</v>
      </c>
      <c r="F897">
        <v>147</v>
      </c>
      <c r="G897">
        <v>13565</v>
      </c>
      <c r="H897" s="1">
        <v>3</v>
      </c>
      <c r="I897">
        <v>12</v>
      </c>
      <c r="J897">
        <f>IF($H897=0,1,IF($I897&lt;=1,2,0))</f>
        <v>0</v>
      </c>
      <c r="K897">
        <v>0</v>
      </c>
      <c r="L897">
        <f>IF(AND($J897=0,$K897=0),0,1)</f>
        <v>0</v>
      </c>
    </row>
    <row r="898" spans="1:13" x14ac:dyDescent="0.2">
      <c r="A898" t="s">
        <v>349</v>
      </c>
      <c r="B898" t="s">
        <v>241</v>
      </c>
      <c r="C898" t="s">
        <v>153</v>
      </c>
      <c r="D898">
        <v>1010</v>
      </c>
      <c r="E898">
        <v>2019</v>
      </c>
      <c r="F898">
        <v>609</v>
      </c>
      <c r="G898">
        <v>14066</v>
      </c>
      <c r="H898" s="1">
        <v>3</v>
      </c>
      <c r="I898">
        <v>12</v>
      </c>
      <c r="J898">
        <f>IF($H898=0,1,IF($I898&lt;=1,2,0))</f>
        <v>0</v>
      </c>
      <c r="K898">
        <v>0</v>
      </c>
      <c r="L898">
        <f>IF(AND($J898=0,$K898=0),0,1)</f>
        <v>0</v>
      </c>
    </row>
    <row r="899" spans="1:13" x14ac:dyDescent="0.2">
      <c r="A899" t="s">
        <v>349</v>
      </c>
      <c r="B899" t="s">
        <v>241</v>
      </c>
      <c r="C899" t="s">
        <v>153</v>
      </c>
      <c r="D899">
        <v>1010</v>
      </c>
      <c r="E899">
        <v>2019</v>
      </c>
      <c r="F899">
        <v>715</v>
      </c>
      <c r="G899">
        <v>14063</v>
      </c>
      <c r="H899" s="1">
        <v>3</v>
      </c>
      <c r="I899">
        <v>12</v>
      </c>
      <c r="J899">
        <f>IF($H899=0,1,IF($I899&lt;=1,2,0))</f>
        <v>0</v>
      </c>
      <c r="K899">
        <v>0</v>
      </c>
      <c r="L899">
        <f>IF(AND($J899=0,$K899=0),0,1)</f>
        <v>0</v>
      </c>
    </row>
    <row r="900" spans="1:13" x14ac:dyDescent="0.2">
      <c r="A900" t="s">
        <v>349</v>
      </c>
      <c r="B900" t="s">
        <v>241</v>
      </c>
      <c r="C900" t="s">
        <v>153</v>
      </c>
      <c r="D900">
        <v>1010</v>
      </c>
      <c r="E900">
        <v>2019</v>
      </c>
      <c r="F900">
        <v>721</v>
      </c>
      <c r="G900">
        <v>13525</v>
      </c>
      <c r="H900" s="1">
        <v>3</v>
      </c>
      <c r="I900">
        <v>12</v>
      </c>
      <c r="J900">
        <f>IF($H900=0,1,IF($I900&lt;=1,2,0))</f>
        <v>0</v>
      </c>
      <c r="K900">
        <v>0</v>
      </c>
      <c r="L900">
        <f>IF(AND($J900=0,$K900=0),0,1)</f>
        <v>0</v>
      </c>
    </row>
    <row r="901" spans="1:13" x14ac:dyDescent="0.2">
      <c r="A901" t="s">
        <v>349</v>
      </c>
      <c r="B901" t="s">
        <v>241</v>
      </c>
      <c r="C901" t="s">
        <v>7</v>
      </c>
      <c r="D901">
        <v>1010</v>
      </c>
      <c r="E901">
        <v>2019</v>
      </c>
      <c r="F901">
        <v>53</v>
      </c>
      <c r="G901">
        <v>13559</v>
      </c>
      <c r="H901" s="1">
        <v>3</v>
      </c>
      <c r="I901">
        <v>11</v>
      </c>
      <c r="J901">
        <f>IF($H901=0,1,IF($I901&lt;=1,2,0))</f>
        <v>0</v>
      </c>
      <c r="K901">
        <v>0</v>
      </c>
      <c r="L901">
        <f>IF(AND($J901=0,$K901=0),0,1)</f>
        <v>0</v>
      </c>
    </row>
    <row r="902" spans="1:13" x14ac:dyDescent="0.2">
      <c r="A902" t="s">
        <v>349</v>
      </c>
      <c r="B902" t="s">
        <v>241</v>
      </c>
      <c r="C902" t="s">
        <v>7</v>
      </c>
      <c r="D902">
        <v>1010</v>
      </c>
      <c r="E902">
        <v>2019</v>
      </c>
      <c r="F902">
        <v>533</v>
      </c>
      <c r="G902">
        <v>13581</v>
      </c>
      <c r="H902" s="1">
        <v>3</v>
      </c>
      <c r="I902">
        <v>11</v>
      </c>
      <c r="J902">
        <f>IF($H902=0,1,IF($I902&lt;=1,2,0))</f>
        <v>0</v>
      </c>
      <c r="K902">
        <v>0</v>
      </c>
      <c r="L902">
        <f>IF(AND($J902=0,$K902=0),0,1)</f>
        <v>0</v>
      </c>
    </row>
    <row r="903" spans="1:13" x14ac:dyDescent="0.2">
      <c r="A903" t="s">
        <v>349</v>
      </c>
      <c r="B903" t="s">
        <v>241</v>
      </c>
      <c r="C903" t="s">
        <v>7</v>
      </c>
      <c r="D903">
        <v>1010</v>
      </c>
      <c r="E903">
        <v>2019</v>
      </c>
      <c r="F903">
        <v>932</v>
      </c>
      <c r="G903">
        <v>13589</v>
      </c>
      <c r="H903" s="1">
        <v>3</v>
      </c>
      <c r="I903">
        <v>10</v>
      </c>
      <c r="J903">
        <f>IF($H903=0,1,IF($I903&lt;=1,2,0))</f>
        <v>0</v>
      </c>
      <c r="K903">
        <v>0</v>
      </c>
      <c r="L903">
        <f>IF(AND($J903=0,$K903=0),0,1)</f>
        <v>0</v>
      </c>
    </row>
    <row r="904" spans="1:13" x14ac:dyDescent="0.2">
      <c r="A904" t="s">
        <v>349</v>
      </c>
      <c r="B904" t="s">
        <v>17</v>
      </c>
      <c r="C904" t="s">
        <v>9</v>
      </c>
      <c r="D904">
        <v>3001</v>
      </c>
      <c r="E904">
        <v>2019</v>
      </c>
      <c r="F904">
        <v>1</v>
      </c>
      <c r="G904">
        <v>10000</v>
      </c>
      <c r="H904" s="1">
        <v>4</v>
      </c>
      <c r="I904">
        <v>68</v>
      </c>
      <c r="J904">
        <f>IF($H904=0,1,IF($I904&lt;=1,2,0))</f>
        <v>0</v>
      </c>
      <c r="K904">
        <v>0</v>
      </c>
      <c r="L904">
        <f>IF(AND($J904=0,$K904=0),0,1)</f>
        <v>0</v>
      </c>
    </row>
    <row r="905" spans="1:13" x14ac:dyDescent="0.2">
      <c r="A905" t="s">
        <v>349</v>
      </c>
      <c r="B905" t="s">
        <v>17</v>
      </c>
      <c r="C905" t="s">
        <v>9</v>
      </c>
      <c r="D905">
        <v>3002</v>
      </c>
      <c r="E905">
        <v>2019</v>
      </c>
      <c r="F905">
        <v>1</v>
      </c>
      <c r="G905">
        <v>13416</v>
      </c>
      <c r="H905" s="1">
        <v>4</v>
      </c>
      <c r="I905">
        <v>15</v>
      </c>
      <c r="J905">
        <f>IF($H905=0,1,IF($I905&lt;=1,2,0))</f>
        <v>0</v>
      </c>
      <c r="K905">
        <v>0</v>
      </c>
      <c r="L905">
        <f>IF(AND($J905=0,$K905=0),0,1)</f>
        <v>0</v>
      </c>
    </row>
    <row r="906" spans="1:13" x14ac:dyDescent="0.2">
      <c r="A906" t="s">
        <v>349</v>
      </c>
      <c r="B906" t="s">
        <v>17</v>
      </c>
      <c r="C906" t="s">
        <v>9</v>
      </c>
      <c r="D906">
        <v>3241</v>
      </c>
      <c r="E906">
        <v>2019</v>
      </c>
      <c r="F906">
        <v>1</v>
      </c>
      <c r="G906">
        <v>17821</v>
      </c>
      <c r="H906" s="1">
        <v>4</v>
      </c>
      <c r="I906">
        <v>10</v>
      </c>
      <c r="J906">
        <f>IF($H906=0,1,IF($I906&lt;=1,2,0))</f>
        <v>0</v>
      </c>
      <c r="K906">
        <v>0</v>
      </c>
      <c r="L906">
        <f>IF(AND($J906=0,$K906=0),0,1)</f>
        <v>0</v>
      </c>
    </row>
    <row r="907" spans="1:13" x14ac:dyDescent="0.2">
      <c r="A907" t="s">
        <v>349</v>
      </c>
      <c r="B907" t="s">
        <v>17</v>
      </c>
      <c r="C907" t="s">
        <v>9</v>
      </c>
      <c r="D907">
        <v>3306</v>
      </c>
      <c r="E907">
        <v>2019</v>
      </c>
      <c r="F907">
        <v>1</v>
      </c>
      <c r="G907">
        <v>18080</v>
      </c>
      <c r="H907" s="1">
        <v>4</v>
      </c>
      <c r="I907">
        <v>13</v>
      </c>
      <c r="J907">
        <f>IF($H907=0,1,IF($I907&lt;=1,2,0))</f>
        <v>0</v>
      </c>
      <c r="K907">
        <v>0</v>
      </c>
      <c r="L907">
        <f>IF(AND($J907=0,$K907=0),0,1)</f>
        <v>0</v>
      </c>
    </row>
    <row r="908" spans="1:13" x14ac:dyDescent="0.2">
      <c r="A908" t="s">
        <v>349</v>
      </c>
      <c r="B908" t="s">
        <v>17</v>
      </c>
      <c r="C908" t="s">
        <v>9</v>
      </c>
      <c r="D908">
        <v>3335</v>
      </c>
      <c r="E908">
        <v>2019</v>
      </c>
      <c r="F908">
        <v>1</v>
      </c>
      <c r="G908">
        <v>40443</v>
      </c>
      <c r="H908" s="1">
        <v>3</v>
      </c>
      <c r="I908">
        <v>52</v>
      </c>
      <c r="J908">
        <f>IF($H908=0,1,IF($I908&lt;=1,2,0))</f>
        <v>0</v>
      </c>
      <c r="K908">
        <v>0</v>
      </c>
      <c r="L908">
        <f>IF(AND($J908=0,$K908=0),0,1)</f>
        <v>0</v>
      </c>
    </row>
    <row r="909" spans="1:13" x14ac:dyDescent="0.2">
      <c r="A909" t="s">
        <v>349</v>
      </c>
      <c r="B909" t="s">
        <v>17</v>
      </c>
      <c r="C909" t="s">
        <v>9</v>
      </c>
      <c r="D909">
        <v>3398</v>
      </c>
      <c r="E909">
        <v>2019</v>
      </c>
      <c r="F909">
        <v>1</v>
      </c>
      <c r="G909">
        <v>10196</v>
      </c>
      <c r="H909" s="1">
        <v>4</v>
      </c>
      <c r="I909">
        <v>17</v>
      </c>
      <c r="J909">
        <f>IF($H909=0,1,IF($I909&lt;=1,2,0))</f>
        <v>0</v>
      </c>
      <c r="K909">
        <v>0</v>
      </c>
      <c r="L909">
        <f>IF(AND($J909=0,$K909=0),0,1)</f>
        <v>0</v>
      </c>
    </row>
    <row r="910" spans="1:13" x14ac:dyDescent="0.2">
      <c r="A910" t="s">
        <v>349</v>
      </c>
      <c r="B910" t="s">
        <v>17</v>
      </c>
      <c r="C910" t="s">
        <v>9</v>
      </c>
      <c r="D910">
        <v>3451</v>
      </c>
      <c r="E910">
        <v>2019</v>
      </c>
      <c r="F910">
        <v>1</v>
      </c>
      <c r="G910">
        <v>10009</v>
      </c>
      <c r="H910" s="1">
        <v>4</v>
      </c>
      <c r="I910">
        <v>12</v>
      </c>
      <c r="J910">
        <f>IF($H910=0,1,IF($I910&lt;=1,2,0))</f>
        <v>0</v>
      </c>
      <c r="K910">
        <v>0</v>
      </c>
      <c r="L910">
        <f>IF(AND($J910=0,$K910=0),0,1)</f>
        <v>0</v>
      </c>
      <c r="M910" t="s">
        <v>227</v>
      </c>
    </row>
    <row r="911" spans="1:13" x14ac:dyDescent="0.2">
      <c r="A911" t="s">
        <v>349</v>
      </c>
      <c r="B911" t="s">
        <v>17</v>
      </c>
      <c r="C911" t="s">
        <v>9</v>
      </c>
      <c r="D911">
        <v>3520</v>
      </c>
      <c r="E911">
        <v>2019</v>
      </c>
      <c r="F911">
        <v>1</v>
      </c>
      <c r="G911">
        <v>40447</v>
      </c>
      <c r="H911" s="1">
        <v>3</v>
      </c>
      <c r="I911">
        <v>59</v>
      </c>
      <c r="J911">
        <f>IF($H911=0,1,IF($I911&lt;=1,2,0))</f>
        <v>0</v>
      </c>
      <c r="K911">
        <v>0</v>
      </c>
      <c r="L911">
        <f>IF(AND($J911=0,$K911=0),0,1)</f>
        <v>0</v>
      </c>
    </row>
    <row r="912" spans="1:13" x14ac:dyDescent="0.2">
      <c r="A912" t="s">
        <v>349</v>
      </c>
      <c r="B912" t="s">
        <v>17</v>
      </c>
      <c r="C912" t="s">
        <v>9</v>
      </c>
      <c r="D912">
        <v>3551</v>
      </c>
      <c r="E912">
        <v>2019</v>
      </c>
      <c r="F912">
        <v>1</v>
      </c>
      <c r="G912">
        <v>10319</v>
      </c>
      <c r="H912" s="1">
        <v>4</v>
      </c>
      <c r="I912">
        <v>17</v>
      </c>
      <c r="J912">
        <f>IF($H912=0,1,IF($I912&lt;=1,2,0))</f>
        <v>0</v>
      </c>
      <c r="K912">
        <v>0</v>
      </c>
      <c r="L912">
        <f>IF(AND($J912=0,$K912=0),0,1)</f>
        <v>0</v>
      </c>
      <c r="M912" t="s">
        <v>227</v>
      </c>
    </row>
    <row r="913" spans="1:13" x14ac:dyDescent="0.2">
      <c r="A913" t="s">
        <v>349</v>
      </c>
      <c r="B913" t="s">
        <v>17</v>
      </c>
      <c r="C913" t="s">
        <v>9</v>
      </c>
      <c r="D913">
        <v>3579</v>
      </c>
      <c r="E913">
        <v>2019</v>
      </c>
      <c r="F913">
        <v>1</v>
      </c>
      <c r="G913">
        <v>10321</v>
      </c>
      <c r="H913" s="1">
        <v>4</v>
      </c>
      <c r="I913">
        <v>4</v>
      </c>
      <c r="J913">
        <f>IF($H913=0,1,IF($I913&lt;=1,2,0))</f>
        <v>0</v>
      </c>
      <c r="K913">
        <v>0</v>
      </c>
      <c r="L913">
        <f>IF(AND($J913=0,$K913=0),0,1)</f>
        <v>0</v>
      </c>
      <c r="M913" t="s">
        <v>227</v>
      </c>
    </row>
    <row r="914" spans="1:13" x14ac:dyDescent="0.2">
      <c r="A914" t="s">
        <v>349</v>
      </c>
      <c r="B914" t="s">
        <v>17</v>
      </c>
      <c r="C914" t="s">
        <v>9</v>
      </c>
      <c r="D914">
        <v>3637</v>
      </c>
      <c r="E914">
        <v>2019</v>
      </c>
      <c r="F914">
        <v>1</v>
      </c>
      <c r="G914">
        <v>10365</v>
      </c>
      <c r="H914" s="1">
        <v>4</v>
      </c>
      <c r="I914">
        <v>9</v>
      </c>
      <c r="J914">
        <f>IF($H914=0,1,IF($I914&lt;=1,2,0))</f>
        <v>0</v>
      </c>
      <c r="K914">
        <v>0</v>
      </c>
      <c r="L914">
        <f>IF(AND($J914=0,$K914=0),0,1)</f>
        <v>0</v>
      </c>
      <c r="M914" t="s">
        <v>227</v>
      </c>
    </row>
    <row r="915" spans="1:13" x14ac:dyDescent="0.2">
      <c r="A915" t="s">
        <v>349</v>
      </c>
      <c r="B915" t="s">
        <v>17</v>
      </c>
      <c r="C915" t="s">
        <v>9</v>
      </c>
      <c r="D915">
        <v>3725</v>
      </c>
      <c r="E915">
        <v>2019</v>
      </c>
      <c r="F915">
        <v>1</v>
      </c>
      <c r="G915">
        <v>40449</v>
      </c>
      <c r="H915" s="1">
        <v>4</v>
      </c>
      <c r="I915">
        <v>14</v>
      </c>
      <c r="J915">
        <f>IF($H915=0,1,IF($I915&lt;=1,2,0))</f>
        <v>0</v>
      </c>
      <c r="K915">
        <v>0</v>
      </c>
      <c r="L915">
        <f>IF(AND($J915=0,$K915=0),0,1)</f>
        <v>0</v>
      </c>
      <c r="M915" t="s">
        <v>1933</v>
      </c>
    </row>
    <row r="916" spans="1:13" x14ac:dyDescent="0.2">
      <c r="A916" t="s">
        <v>349</v>
      </c>
      <c r="B916" t="s">
        <v>17</v>
      </c>
      <c r="C916" t="s">
        <v>9</v>
      </c>
      <c r="D916">
        <v>3791</v>
      </c>
      <c r="E916">
        <v>2019</v>
      </c>
      <c r="F916">
        <v>1</v>
      </c>
      <c r="G916">
        <v>10589</v>
      </c>
      <c r="H916" s="1">
        <v>4</v>
      </c>
      <c r="I916">
        <v>14</v>
      </c>
      <c r="J916">
        <f>IF($H916=0,1,IF($I916&lt;=1,2,0))</f>
        <v>0</v>
      </c>
      <c r="K916">
        <v>0</v>
      </c>
      <c r="L916">
        <f>IF(AND($J916=0,$K916=0),0,1)</f>
        <v>0</v>
      </c>
      <c r="M916" t="s">
        <v>227</v>
      </c>
    </row>
    <row r="917" spans="1:13" x14ac:dyDescent="0.2">
      <c r="A917" t="s">
        <v>349</v>
      </c>
      <c r="B917" t="s">
        <v>17</v>
      </c>
      <c r="C917" t="s">
        <v>9</v>
      </c>
      <c r="D917">
        <v>3824</v>
      </c>
      <c r="E917">
        <v>2019</v>
      </c>
      <c r="F917">
        <v>1</v>
      </c>
      <c r="G917">
        <v>10597</v>
      </c>
      <c r="H917" s="1">
        <v>4</v>
      </c>
      <c r="I917">
        <v>11</v>
      </c>
      <c r="J917">
        <f>IF($H917=0,1,IF($I917&lt;=1,2,0))</f>
        <v>0</v>
      </c>
      <c r="K917">
        <v>0</v>
      </c>
      <c r="L917">
        <f>IF(AND($J917=0,$K917=0),0,1)</f>
        <v>0</v>
      </c>
    </row>
    <row r="918" spans="1:13" x14ac:dyDescent="0.2">
      <c r="A918" t="s">
        <v>349</v>
      </c>
      <c r="B918" t="s">
        <v>17</v>
      </c>
      <c r="C918" t="s">
        <v>9</v>
      </c>
      <c r="D918">
        <v>3891</v>
      </c>
      <c r="E918">
        <v>2019</v>
      </c>
      <c r="F918">
        <v>1</v>
      </c>
      <c r="G918">
        <v>10453</v>
      </c>
      <c r="H918" s="1">
        <v>4</v>
      </c>
      <c r="I918">
        <v>6</v>
      </c>
      <c r="J918">
        <f>IF($H918=0,1,IF($I918&lt;=1,2,0))</f>
        <v>0</v>
      </c>
      <c r="K918">
        <v>0</v>
      </c>
      <c r="L918">
        <f>IF(AND($J918=0,$K918=0),0,1)</f>
        <v>0</v>
      </c>
      <c r="M918" t="s">
        <v>227</v>
      </c>
    </row>
    <row r="919" spans="1:13" x14ac:dyDescent="0.2">
      <c r="A919" t="s">
        <v>349</v>
      </c>
      <c r="B919" t="s">
        <v>17</v>
      </c>
      <c r="C919" t="s">
        <v>9</v>
      </c>
      <c r="D919">
        <v>3919</v>
      </c>
      <c r="E919">
        <v>2019</v>
      </c>
      <c r="F919">
        <v>1</v>
      </c>
      <c r="G919">
        <v>10675</v>
      </c>
      <c r="H919" s="1">
        <v>4</v>
      </c>
      <c r="I919">
        <v>19</v>
      </c>
      <c r="J919">
        <f>IF($H919=0,1,IF($I919&lt;=1,2,0))</f>
        <v>0</v>
      </c>
      <c r="K919">
        <v>0</v>
      </c>
      <c r="L919">
        <f>IF(AND($J919=0,$K919=0),0,1)</f>
        <v>0</v>
      </c>
    </row>
    <row r="920" spans="1:13" x14ac:dyDescent="0.2">
      <c r="A920" t="s">
        <v>349</v>
      </c>
      <c r="B920" t="s">
        <v>17</v>
      </c>
      <c r="C920" t="s">
        <v>9</v>
      </c>
      <c r="D920">
        <v>3920</v>
      </c>
      <c r="E920">
        <v>2019</v>
      </c>
      <c r="F920">
        <v>1</v>
      </c>
      <c r="G920">
        <v>10007</v>
      </c>
      <c r="H920" s="1">
        <v>4</v>
      </c>
      <c r="I920">
        <v>19</v>
      </c>
      <c r="J920">
        <f>IF($H920=0,1,IF($I920&lt;=1,2,0))</f>
        <v>0</v>
      </c>
      <c r="K920">
        <v>0</v>
      </c>
      <c r="L920">
        <f>IF(AND($J920=0,$K920=0),0,1)</f>
        <v>0</v>
      </c>
      <c r="M920" t="s">
        <v>227</v>
      </c>
    </row>
    <row r="921" spans="1:13" x14ac:dyDescent="0.2">
      <c r="A921" t="s">
        <v>349</v>
      </c>
      <c r="B921" t="s">
        <v>17</v>
      </c>
      <c r="C921" t="s">
        <v>61</v>
      </c>
      <c r="D921">
        <v>3991</v>
      </c>
      <c r="E921">
        <v>2019</v>
      </c>
      <c r="F921">
        <v>1</v>
      </c>
      <c r="G921">
        <v>19368</v>
      </c>
      <c r="H921" s="1">
        <v>4</v>
      </c>
      <c r="I921">
        <v>4</v>
      </c>
      <c r="J921">
        <f>IF($H921=0,1,IF($I921&lt;=1,2,0))</f>
        <v>0</v>
      </c>
      <c r="K921">
        <v>0</v>
      </c>
      <c r="L921">
        <f>IF(AND($J921=0,$K921=0),0,1)</f>
        <v>0</v>
      </c>
    </row>
    <row r="922" spans="1:13" x14ac:dyDescent="0.2">
      <c r="A922" t="s">
        <v>349</v>
      </c>
      <c r="B922" t="s">
        <v>17</v>
      </c>
      <c r="C922" t="s">
        <v>9</v>
      </c>
      <c r="D922">
        <v>4391</v>
      </c>
      <c r="E922">
        <v>2019</v>
      </c>
      <c r="F922">
        <v>1</v>
      </c>
      <c r="G922">
        <v>13401</v>
      </c>
      <c r="H922" s="1">
        <v>3</v>
      </c>
      <c r="I922">
        <v>21</v>
      </c>
      <c r="J922">
        <f>IF($H922=0,1,IF($I922&lt;=1,2,0))</f>
        <v>0</v>
      </c>
      <c r="K922">
        <v>0</v>
      </c>
      <c r="L922">
        <f>IF(AND($J922=0,$K922=0),0,1)</f>
        <v>0</v>
      </c>
    </row>
    <row r="923" spans="1:13" x14ac:dyDescent="0.2">
      <c r="A923" t="s">
        <v>349</v>
      </c>
      <c r="B923" t="s">
        <v>17</v>
      </c>
      <c r="C923" t="s">
        <v>9</v>
      </c>
      <c r="D923">
        <v>4400</v>
      </c>
      <c r="E923">
        <v>2019</v>
      </c>
      <c r="F923">
        <v>1</v>
      </c>
      <c r="G923">
        <v>10184</v>
      </c>
      <c r="H923" s="1">
        <v>3</v>
      </c>
      <c r="I923">
        <v>22</v>
      </c>
      <c r="J923">
        <f>IF($H923=0,1,IF($I923&lt;=1,2,0))</f>
        <v>0</v>
      </c>
      <c r="K923">
        <v>0</v>
      </c>
      <c r="L923">
        <f>IF(AND($J923=0,$K923=0),0,1)</f>
        <v>0</v>
      </c>
    </row>
    <row r="924" spans="1:13" x14ac:dyDescent="0.2">
      <c r="A924" t="s">
        <v>349</v>
      </c>
      <c r="B924" t="s">
        <v>17</v>
      </c>
      <c r="C924" t="s">
        <v>9</v>
      </c>
      <c r="D924">
        <v>4506</v>
      </c>
      <c r="E924">
        <v>2019</v>
      </c>
      <c r="F924">
        <v>1</v>
      </c>
      <c r="G924">
        <v>13402</v>
      </c>
      <c r="H924" s="1">
        <v>3</v>
      </c>
      <c r="I924">
        <v>30</v>
      </c>
      <c r="J924">
        <f>IF($H924=0,1,IF($I924&lt;=1,2,0))</f>
        <v>0</v>
      </c>
      <c r="K924">
        <v>0</v>
      </c>
      <c r="L924">
        <f>IF(AND($J924=0,$K924=0),0,1)</f>
        <v>0</v>
      </c>
    </row>
    <row r="925" spans="1:13" x14ac:dyDescent="0.2">
      <c r="A925" t="s">
        <v>349</v>
      </c>
      <c r="B925" t="s">
        <v>17</v>
      </c>
      <c r="C925" t="s">
        <v>9</v>
      </c>
      <c r="D925">
        <v>4619</v>
      </c>
      <c r="E925">
        <v>2019</v>
      </c>
      <c r="F925">
        <v>1</v>
      </c>
      <c r="G925">
        <v>40461</v>
      </c>
      <c r="H925" s="1">
        <v>3</v>
      </c>
      <c r="I925">
        <v>22</v>
      </c>
      <c r="J925">
        <f>IF($H925=0,1,IF($I925&lt;=1,2,0))</f>
        <v>0</v>
      </c>
      <c r="K925">
        <v>0</v>
      </c>
      <c r="L925">
        <f>IF(AND($J925=0,$K925=0),0,1)</f>
        <v>0</v>
      </c>
    </row>
    <row r="926" spans="1:13" x14ac:dyDescent="0.2">
      <c r="A926" t="s">
        <v>349</v>
      </c>
      <c r="B926" t="s">
        <v>17</v>
      </c>
      <c r="C926" t="s">
        <v>9</v>
      </c>
      <c r="D926">
        <v>4636</v>
      </c>
      <c r="E926">
        <v>2019</v>
      </c>
      <c r="F926">
        <v>1</v>
      </c>
      <c r="G926">
        <v>10454</v>
      </c>
      <c r="H926" s="1">
        <v>3</v>
      </c>
      <c r="I926">
        <v>55</v>
      </c>
      <c r="J926">
        <f>IF($H926=0,1,IF($I926&lt;=1,2,0))</f>
        <v>0</v>
      </c>
      <c r="K926">
        <v>0</v>
      </c>
      <c r="L926">
        <f>IF(AND($J926=0,$K926=0),0,1)</f>
        <v>0</v>
      </c>
    </row>
    <row r="927" spans="1:13" x14ac:dyDescent="0.2">
      <c r="A927" t="s">
        <v>349</v>
      </c>
      <c r="B927" t="s">
        <v>17</v>
      </c>
      <c r="C927" t="s">
        <v>9</v>
      </c>
      <c r="D927">
        <v>4637</v>
      </c>
      <c r="E927">
        <v>2019</v>
      </c>
      <c r="F927">
        <v>1</v>
      </c>
      <c r="G927">
        <v>10472</v>
      </c>
      <c r="H927" s="1">
        <v>3</v>
      </c>
      <c r="I927">
        <v>29</v>
      </c>
      <c r="J927">
        <f>IF($H927=0,1,IF($I927&lt;=1,2,0))</f>
        <v>0</v>
      </c>
      <c r="K927">
        <v>0</v>
      </c>
      <c r="L927">
        <f>IF(AND($J927=0,$K927=0),0,1)</f>
        <v>0</v>
      </c>
    </row>
    <row r="928" spans="1:13" x14ac:dyDescent="0.2">
      <c r="A928" t="s">
        <v>349</v>
      </c>
      <c r="B928" t="s">
        <v>17</v>
      </c>
      <c r="C928" t="s">
        <v>9</v>
      </c>
      <c r="D928">
        <v>4669</v>
      </c>
      <c r="E928">
        <v>2019</v>
      </c>
      <c r="F928">
        <v>1</v>
      </c>
      <c r="G928">
        <v>10645</v>
      </c>
      <c r="H928" s="1">
        <v>4</v>
      </c>
      <c r="I928">
        <v>21</v>
      </c>
      <c r="J928">
        <f>IF($H928=0,1,IF($I928&lt;=1,2,0))</f>
        <v>0</v>
      </c>
      <c r="K928">
        <v>0</v>
      </c>
      <c r="L928">
        <f>IF(AND($J928=0,$K928=0),0,1)</f>
        <v>0</v>
      </c>
      <c r="M928" t="s">
        <v>227</v>
      </c>
    </row>
    <row r="929" spans="1:13" x14ac:dyDescent="0.2">
      <c r="A929" t="s">
        <v>349</v>
      </c>
      <c r="B929" t="s">
        <v>17</v>
      </c>
      <c r="C929" t="s">
        <v>9</v>
      </c>
      <c r="D929">
        <v>4794</v>
      </c>
      <c r="E929">
        <v>2019</v>
      </c>
      <c r="F929">
        <v>1</v>
      </c>
      <c r="G929">
        <v>13532</v>
      </c>
      <c r="H929" s="1">
        <v>3</v>
      </c>
      <c r="I929">
        <v>22</v>
      </c>
      <c r="J929">
        <f>IF($H929=0,1,IF($I929&lt;=1,2,0))</f>
        <v>0</v>
      </c>
      <c r="K929">
        <v>0</v>
      </c>
      <c r="L929">
        <f>IF(AND($J929=0,$K929=0),0,1)</f>
        <v>0</v>
      </c>
    </row>
    <row r="930" spans="1:13" x14ac:dyDescent="0.2">
      <c r="A930" t="s">
        <v>349</v>
      </c>
      <c r="B930" t="s">
        <v>17</v>
      </c>
      <c r="C930" t="s">
        <v>9</v>
      </c>
      <c r="D930">
        <v>4901</v>
      </c>
      <c r="E930">
        <v>2019</v>
      </c>
      <c r="F930">
        <v>1</v>
      </c>
      <c r="G930">
        <v>10670</v>
      </c>
      <c r="H930" s="1">
        <v>3</v>
      </c>
      <c r="I930">
        <v>29</v>
      </c>
      <c r="J930">
        <f>IF($H930=0,1,IF($I930&lt;=1,2,0))</f>
        <v>0</v>
      </c>
      <c r="K930">
        <v>0</v>
      </c>
      <c r="L930">
        <f>IF(AND($J930=0,$K930=0),0,1)</f>
        <v>0</v>
      </c>
    </row>
    <row r="931" spans="1:13" x14ac:dyDescent="0.2">
      <c r="A931" t="s">
        <v>349</v>
      </c>
      <c r="B931" t="s">
        <v>17</v>
      </c>
      <c r="C931" t="s">
        <v>11</v>
      </c>
      <c r="D931">
        <v>6198</v>
      </c>
      <c r="E931">
        <v>2019</v>
      </c>
      <c r="F931">
        <v>1</v>
      </c>
      <c r="G931">
        <v>10306</v>
      </c>
      <c r="H931" s="1">
        <v>4</v>
      </c>
      <c r="I931">
        <v>12</v>
      </c>
      <c r="J931">
        <f>IF($H931=0,1,IF($I931&lt;=1,2,0))</f>
        <v>0</v>
      </c>
      <c r="K931">
        <v>0</v>
      </c>
      <c r="L931">
        <f>IF(AND($J931=0,$K931=0),0,1)</f>
        <v>0</v>
      </c>
    </row>
    <row r="932" spans="1:13" x14ac:dyDescent="0.2">
      <c r="A932" t="s">
        <v>349</v>
      </c>
      <c r="B932" t="s">
        <v>17</v>
      </c>
      <c r="C932" t="s">
        <v>11</v>
      </c>
      <c r="D932">
        <v>6513</v>
      </c>
      <c r="E932">
        <v>2019</v>
      </c>
      <c r="F932">
        <v>0</v>
      </c>
      <c r="G932">
        <v>10666</v>
      </c>
      <c r="H932" s="1">
        <v>4</v>
      </c>
      <c r="I932">
        <v>8</v>
      </c>
      <c r="J932">
        <f>IF($H932=0,1,IF($I932&lt;=1,2,0))</f>
        <v>0</v>
      </c>
      <c r="K932">
        <v>0</v>
      </c>
      <c r="L932">
        <f>IF(AND($J932=0,$K932=0),0,1)</f>
        <v>0</v>
      </c>
    </row>
    <row r="933" spans="1:13" x14ac:dyDescent="0.2">
      <c r="A933" t="s">
        <v>349</v>
      </c>
      <c r="B933" t="s">
        <v>17</v>
      </c>
      <c r="C933" t="s">
        <v>11</v>
      </c>
      <c r="D933">
        <v>6835</v>
      </c>
      <c r="E933">
        <v>2019</v>
      </c>
      <c r="F933">
        <v>1</v>
      </c>
      <c r="G933">
        <v>10334</v>
      </c>
      <c r="H933" s="1">
        <v>4</v>
      </c>
      <c r="I933">
        <v>11</v>
      </c>
      <c r="J933">
        <f>IF($H933=0,1,IF($I933&lt;=1,2,0))</f>
        <v>0</v>
      </c>
      <c r="K933">
        <v>0</v>
      </c>
      <c r="L933">
        <f>IF(AND($J933=0,$K933=0),0,1)</f>
        <v>0</v>
      </c>
    </row>
    <row r="934" spans="1:13" x14ac:dyDescent="0.2">
      <c r="A934" t="s">
        <v>349</v>
      </c>
      <c r="B934" t="s">
        <v>17</v>
      </c>
      <c r="C934" t="s">
        <v>11</v>
      </c>
      <c r="D934">
        <v>6909</v>
      </c>
      <c r="E934">
        <v>2019</v>
      </c>
      <c r="F934">
        <v>1</v>
      </c>
      <c r="G934">
        <v>40455</v>
      </c>
      <c r="H934" s="1">
        <v>4</v>
      </c>
      <c r="I934">
        <v>4</v>
      </c>
      <c r="J934">
        <f>IF($H934=0,1,IF($I934&lt;=1,2,0))</f>
        <v>0</v>
      </c>
      <c r="K934">
        <v>0</v>
      </c>
      <c r="L934">
        <f>IF(AND($J934=0,$K934=0),0,1)</f>
        <v>0</v>
      </c>
    </row>
    <row r="935" spans="1:13" x14ac:dyDescent="0.2">
      <c r="A935" t="s">
        <v>375</v>
      </c>
      <c r="B935" t="s">
        <v>71</v>
      </c>
      <c r="C935" t="s">
        <v>72</v>
      </c>
      <c r="D935">
        <v>3105</v>
      </c>
      <c r="E935">
        <v>2019</v>
      </c>
      <c r="F935">
        <v>1</v>
      </c>
      <c r="G935">
        <v>98930</v>
      </c>
      <c r="H935" s="1">
        <v>4</v>
      </c>
      <c r="I935">
        <v>33</v>
      </c>
      <c r="J935">
        <f>IF($H935=0,1,IF($I935&lt;=1,2,0))</f>
        <v>0</v>
      </c>
      <c r="K935">
        <v>0</v>
      </c>
      <c r="L935">
        <f>IF(AND($J935=0,$K935=0),0,1)</f>
        <v>0</v>
      </c>
    </row>
    <row r="936" spans="1:13" x14ac:dyDescent="0.2">
      <c r="A936" t="s">
        <v>375</v>
      </c>
      <c r="B936" t="s">
        <v>71</v>
      </c>
      <c r="C936" t="s">
        <v>72</v>
      </c>
      <c r="D936">
        <v>3113</v>
      </c>
      <c r="E936">
        <v>2019</v>
      </c>
      <c r="F936">
        <v>1</v>
      </c>
      <c r="G936">
        <v>98938</v>
      </c>
      <c r="H936" s="1">
        <v>3</v>
      </c>
      <c r="I936">
        <v>76</v>
      </c>
      <c r="J936">
        <f>IF($H936=0,1,IF($I936&lt;=1,2,0))</f>
        <v>0</v>
      </c>
      <c r="K936">
        <v>0</v>
      </c>
      <c r="L936">
        <f>IF(AND($J936=0,$K936=0),0,1)</f>
        <v>0</v>
      </c>
    </row>
    <row r="937" spans="1:13" x14ac:dyDescent="0.2">
      <c r="A937" t="s">
        <v>375</v>
      </c>
      <c r="B937" t="s">
        <v>71</v>
      </c>
      <c r="C937" t="s">
        <v>72</v>
      </c>
      <c r="D937">
        <v>3161</v>
      </c>
      <c r="E937">
        <v>2019</v>
      </c>
      <c r="F937">
        <v>1</v>
      </c>
      <c r="G937">
        <v>98937</v>
      </c>
      <c r="H937" s="1">
        <v>4</v>
      </c>
      <c r="I937">
        <v>23</v>
      </c>
      <c r="J937">
        <f>IF($H937=0,1,IF($I937&lt;=1,2,0))</f>
        <v>0</v>
      </c>
      <c r="K937">
        <v>0</v>
      </c>
      <c r="L937">
        <f>IF(AND($J937=0,$K937=0),0,1)</f>
        <v>0</v>
      </c>
      <c r="M937" t="s">
        <v>376</v>
      </c>
    </row>
    <row r="938" spans="1:13" x14ac:dyDescent="0.2">
      <c r="A938" t="s">
        <v>375</v>
      </c>
      <c r="B938" t="s">
        <v>71</v>
      </c>
      <c r="C938" t="s">
        <v>72</v>
      </c>
      <c r="D938">
        <v>3332</v>
      </c>
      <c r="E938">
        <v>2019</v>
      </c>
      <c r="F938">
        <v>1</v>
      </c>
      <c r="G938">
        <v>99041</v>
      </c>
      <c r="H938" s="1">
        <v>3</v>
      </c>
      <c r="I938">
        <v>25</v>
      </c>
      <c r="J938">
        <f>IF($H938=0,1,IF($I938&lt;=1,2,0))</f>
        <v>0</v>
      </c>
      <c r="K938">
        <v>0</v>
      </c>
      <c r="L938">
        <f>IF(AND($J938=0,$K938=0),0,1)</f>
        <v>0</v>
      </c>
    </row>
    <row r="939" spans="1:13" x14ac:dyDescent="0.2">
      <c r="A939" t="s">
        <v>375</v>
      </c>
      <c r="B939" t="s">
        <v>71</v>
      </c>
      <c r="C939" t="s">
        <v>72</v>
      </c>
      <c r="D939">
        <v>4113</v>
      </c>
      <c r="E939">
        <v>2019</v>
      </c>
      <c r="F939">
        <v>1</v>
      </c>
      <c r="G939">
        <v>98990</v>
      </c>
      <c r="H939" s="1">
        <v>3</v>
      </c>
      <c r="I939">
        <v>7</v>
      </c>
      <c r="J939">
        <f>IF($H939=0,1,IF($I939&lt;=1,2,0))</f>
        <v>0</v>
      </c>
      <c r="K939">
        <v>0</v>
      </c>
      <c r="L939">
        <f>IF(AND($J939=0,$K939=0),0,1)</f>
        <v>0</v>
      </c>
    </row>
    <row r="940" spans="1:13" x14ac:dyDescent="0.2">
      <c r="A940" t="s">
        <v>375</v>
      </c>
      <c r="B940" t="s">
        <v>71</v>
      </c>
      <c r="C940" t="s">
        <v>72</v>
      </c>
      <c r="D940">
        <v>4114</v>
      </c>
      <c r="E940">
        <v>2019</v>
      </c>
      <c r="F940">
        <v>1</v>
      </c>
      <c r="G940">
        <v>10219</v>
      </c>
      <c r="H940" s="1">
        <v>3</v>
      </c>
      <c r="I940">
        <v>12</v>
      </c>
      <c r="J940">
        <f>IF($H940=0,1,IF($I940&lt;=1,2,0))</f>
        <v>0</v>
      </c>
      <c r="K940">
        <v>0</v>
      </c>
      <c r="L940">
        <f>IF(AND($J940=0,$K940=0),0,1)</f>
        <v>0</v>
      </c>
    </row>
    <row r="941" spans="1:13" x14ac:dyDescent="0.2">
      <c r="A941" t="s">
        <v>375</v>
      </c>
      <c r="B941" t="s">
        <v>71</v>
      </c>
      <c r="C941" t="s">
        <v>72</v>
      </c>
      <c r="D941">
        <v>4214</v>
      </c>
      <c r="E941">
        <v>2019</v>
      </c>
      <c r="F941">
        <v>1</v>
      </c>
      <c r="G941">
        <v>10215</v>
      </c>
      <c r="H941" s="1">
        <v>3</v>
      </c>
      <c r="I941">
        <v>4</v>
      </c>
      <c r="J941">
        <f>IF($H941=0,1,IF($I941&lt;=1,2,0))</f>
        <v>0</v>
      </c>
      <c r="K941">
        <v>0</v>
      </c>
      <c r="L941">
        <f>IF(AND($J941=0,$K941=0),0,1)</f>
        <v>0</v>
      </c>
    </row>
    <row r="942" spans="1:13" x14ac:dyDescent="0.2">
      <c r="A942" t="s">
        <v>375</v>
      </c>
      <c r="B942" t="s">
        <v>71</v>
      </c>
      <c r="C942" t="s">
        <v>72</v>
      </c>
      <c r="D942">
        <v>4215</v>
      </c>
      <c r="E942">
        <v>2019</v>
      </c>
      <c r="F942">
        <v>1</v>
      </c>
      <c r="G942">
        <v>98989</v>
      </c>
      <c r="H942" s="1">
        <v>3</v>
      </c>
      <c r="I942">
        <v>19</v>
      </c>
      <c r="J942">
        <f>IF($H942=0,1,IF($I942&lt;=1,2,0))</f>
        <v>0</v>
      </c>
      <c r="K942">
        <v>0</v>
      </c>
      <c r="L942">
        <f>IF(AND($J942=0,$K942=0),0,1)</f>
        <v>0</v>
      </c>
    </row>
    <row r="943" spans="1:13" x14ac:dyDescent="0.2">
      <c r="A943" t="s">
        <v>375</v>
      </c>
      <c r="B943" t="s">
        <v>71</v>
      </c>
      <c r="C943" t="s">
        <v>72</v>
      </c>
      <c r="D943">
        <v>4332</v>
      </c>
      <c r="E943">
        <v>2019</v>
      </c>
      <c r="F943">
        <v>1</v>
      </c>
      <c r="G943">
        <v>98936</v>
      </c>
      <c r="H943" s="1">
        <v>3</v>
      </c>
      <c r="I943">
        <v>35</v>
      </c>
      <c r="J943">
        <f>IF($H943=0,1,IF($I943&lt;=1,2,0))</f>
        <v>0</v>
      </c>
      <c r="K943">
        <v>0</v>
      </c>
      <c r="L943">
        <f>IF(AND($J943=0,$K943=0),0,1)</f>
        <v>0</v>
      </c>
    </row>
    <row r="944" spans="1:13" x14ac:dyDescent="0.2">
      <c r="A944" t="s">
        <v>377</v>
      </c>
      <c r="B944" t="s">
        <v>17</v>
      </c>
      <c r="C944" t="s">
        <v>9</v>
      </c>
      <c r="D944">
        <v>3340</v>
      </c>
      <c r="E944">
        <v>2019</v>
      </c>
      <c r="F944">
        <v>1</v>
      </c>
      <c r="G944">
        <v>10350</v>
      </c>
      <c r="H944" s="1">
        <v>4</v>
      </c>
      <c r="I944">
        <v>14</v>
      </c>
      <c r="J944">
        <f>IF($H944=0,1,IF($I944&lt;=1,2,0))</f>
        <v>0</v>
      </c>
      <c r="K944">
        <v>0</v>
      </c>
      <c r="L944">
        <f>IF(AND($J944=0,$K944=0),0,1)</f>
        <v>0</v>
      </c>
      <c r="M944" t="s">
        <v>378</v>
      </c>
    </row>
    <row r="945" spans="1:13" x14ac:dyDescent="0.2">
      <c r="A945" t="s">
        <v>377</v>
      </c>
      <c r="B945" t="s">
        <v>17</v>
      </c>
      <c r="C945" t="s">
        <v>9</v>
      </c>
      <c r="D945">
        <v>3701</v>
      </c>
      <c r="E945">
        <v>2019</v>
      </c>
      <c r="F945">
        <v>1</v>
      </c>
      <c r="G945">
        <v>40452</v>
      </c>
      <c r="H945" s="1">
        <v>4</v>
      </c>
      <c r="I945">
        <v>13</v>
      </c>
      <c r="J945">
        <f>IF($H945=0,1,IF($I945&lt;=1,2,0))</f>
        <v>0</v>
      </c>
      <c r="K945">
        <v>0</v>
      </c>
      <c r="L945">
        <f>IF(AND($J945=0,$K945=0),0,1)</f>
        <v>0</v>
      </c>
      <c r="M945" t="s">
        <v>227</v>
      </c>
    </row>
    <row r="946" spans="1:13" x14ac:dyDescent="0.2">
      <c r="A946" t="s">
        <v>377</v>
      </c>
      <c r="B946" t="s">
        <v>17</v>
      </c>
      <c r="C946" t="s">
        <v>9</v>
      </c>
      <c r="D946">
        <v>3783</v>
      </c>
      <c r="E946">
        <v>2019</v>
      </c>
      <c r="F946">
        <v>1</v>
      </c>
      <c r="G946">
        <v>10599</v>
      </c>
      <c r="H946" s="1">
        <v>4</v>
      </c>
      <c r="I946">
        <v>10</v>
      </c>
      <c r="J946">
        <f>IF($H946=0,1,IF($I946&lt;=1,2,0))</f>
        <v>0</v>
      </c>
      <c r="K946">
        <v>0</v>
      </c>
      <c r="L946">
        <f>IF(AND($J946=0,$K946=0),0,1)</f>
        <v>0</v>
      </c>
    </row>
    <row r="947" spans="1:13" x14ac:dyDescent="0.2">
      <c r="A947" t="s">
        <v>377</v>
      </c>
      <c r="B947" t="s">
        <v>17</v>
      </c>
      <c r="C947" t="s">
        <v>9</v>
      </c>
      <c r="D947">
        <v>3942</v>
      </c>
      <c r="E947">
        <v>2019</v>
      </c>
      <c r="F947">
        <v>1</v>
      </c>
      <c r="G947">
        <v>16206</v>
      </c>
      <c r="H947" s="1">
        <v>4</v>
      </c>
      <c r="I947">
        <v>10</v>
      </c>
      <c r="J947">
        <f>IF($H947=0,1,IF($I947&lt;=1,2,0))</f>
        <v>0</v>
      </c>
      <c r="K947">
        <v>0</v>
      </c>
      <c r="L947">
        <f>IF(AND($J947=0,$K947=0),0,1)</f>
        <v>0</v>
      </c>
      <c r="M947" t="s">
        <v>227</v>
      </c>
    </row>
    <row r="948" spans="1:13" x14ac:dyDescent="0.2">
      <c r="A948" t="s">
        <v>385</v>
      </c>
      <c r="B948" t="s">
        <v>386</v>
      </c>
      <c r="C948" t="s">
        <v>9</v>
      </c>
      <c r="D948">
        <v>1000</v>
      </c>
      <c r="E948">
        <v>2019</v>
      </c>
      <c r="F948">
        <v>1</v>
      </c>
      <c r="G948">
        <v>98369</v>
      </c>
      <c r="H948" s="1">
        <v>3</v>
      </c>
      <c r="I948">
        <v>89</v>
      </c>
      <c r="J948">
        <f>IF($H948=0,1,IF($I948&lt;=1,2,0))</f>
        <v>0</v>
      </c>
      <c r="K948">
        <v>0</v>
      </c>
      <c r="L948">
        <f>IF(AND($J948=0,$K948=0),0,1)</f>
        <v>0</v>
      </c>
      <c r="M948" t="s">
        <v>387</v>
      </c>
    </row>
    <row r="949" spans="1:13" x14ac:dyDescent="0.2">
      <c r="A949" t="s">
        <v>385</v>
      </c>
      <c r="B949" t="s">
        <v>386</v>
      </c>
      <c r="C949" t="s">
        <v>9</v>
      </c>
      <c r="D949">
        <v>1010</v>
      </c>
      <c r="E949">
        <v>2019</v>
      </c>
      <c r="F949">
        <v>1</v>
      </c>
      <c r="G949">
        <v>98518</v>
      </c>
      <c r="H949" s="1">
        <v>3</v>
      </c>
      <c r="I949">
        <v>41</v>
      </c>
      <c r="J949">
        <f>IF($H949=0,1,IF($I949&lt;=1,2,0))</f>
        <v>0</v>
      </c>
      <c r="K949">
        <v>0</v>
      </c>
      <c r="L949">
        <f>IF(AND($J949=0,$K949=0),0,1)</f>
        <v>0</v>
      </c>
      <c r="M949" t="s">
        <v>390</v>
      </c>
    </row>
    <row r="950" spans="1:13" x14ac:dyDescent="0.2">
      <c r="A950" t="s">
        <v>385</v>
      </c>
      <c r="B950" t="s">
        <v>386</v>
      </c>
      <c r="C950" t="s">
        <v>9</v>
      </c>
      <c r="D950">
        <v>2020</v>
      </c>
      <c r="E950">
        <v>2019</v>
      </c>
      <c r="F950">
        <v>1</v>
      </c>
      <c r="G950">
        <v>98433</v>
      </c>
      <c r="H950" s="1">
        <v>3</v>
      </c>
      <c r="I950">
        <v>35</v>
      </c>
      <c r="J950">
        <f>IF($H950=0,1,IF($I950&lt;=1,2,0))</f>
        <v>0</v>
      </c>
      <c r="K950">
        <v>0</v>
      </c>
      <c r="L950">
        <f>IF(AND($J950=0,$K950=0),0,1)</f>
        <v>0</v>
      </c>
      <c r="M950" t="s">
        <v>394</v>
      </c>
    </row>
    <row r="951" spans="1:13" x14ac:dyDescent="0.2">
      <c r="A951" t="s">
        <v>385</v>
      </c>
      <c r="B951" t="s">
        <v>386</v>
      </c>
      <c r="C951" t="s">
        <v>9</v>
      </c>
      <c r="D951">
        <v>2030</v>
      </c>
      <c r="E951">
        <v>2019</v>
      </c>
      <c r="F951">
        <v>1</v>
      </c>
      <c r="G951">
        <v>98456</v>
      </c>
      <c r="H951" s="1">
        <v>3</v>
      </c>
      <c r="I951">
        <v>31</v>
      </c>
      <c r="J951">
        <f>IF($H951=0,1,IF($I951&lt;=1,2,0))</f>
        <v>0</v>
      </c>
      <c r="K951">
        <v>0</v>
      </c>
      <c r="L951">
        <f>IF(AND($J951=0,$K951=0),0,1)</f>
        <v>0</v>
      </c>
      <c r="M951" t="s">
        <v>395</v>
      </c>
    </row>
    <row r="952" spans="1:13" x14ac:dyDescent="0.2">
      <c r="A952" t="s">
        <v>385</v>
      </c>
      <c r="B952" t="s">
        <v>386</v>
      </c>
      <c r="C952" t="s">
        <v>9</v>
      </c>
      <c r="D952">
        <v>2190</v>
      </c>
      <c r="E952">
        <v>2019</v>
      </c>
      <c r="F952">
        <v>4</v>
      </c>
      <c r="G952">
        <v>44884</v>
      </c>
      <c r="H952" s="1">
        <v>3</v>
      </c>
      <c r="I952">
        <v>26</v>
      </c>
      <c r="J952">
        <f>IF($H952=0,1,IF($I952&lt;=1,2,0))</f>
        <v>0</v>
      </c>
      <c r="K952">
        <v>0</v>
      </c>
      <c r="L952">
        <f>IF(AND($J952=0,$K952=0),0,1)</f>
        <v>0</v>
      </c>
    </row>
    <row r="953" spans="1:13" x14ac:dyDescent="0.2">
      <c r="A953" t="s">
        <v>385</v>
      </c>
      <c r="B953" t="s">
        <v>386</v>
      </c>
      <c r="C953" t="s">
        <v>9</v>
      </c>
      <c r="D953">
        <v>2296</v>
      </c>
      <c r="E953">
        <v>2019</v>
      </c>
      <c r="F953">
        <v>1</v>
      </c>
      <c r="G953">
        <v>44879</v>
      </c>
      <c r="H953" s="1">
        <v>3</v>
      </c>
      <c r="I953">
        <v>42</v>
      </c>
      <c r="J953">
        <f>IF($H953=0,1,IF($I953&lt;=1,2,0))</f>
        <v>0</v>
      </c>
      <c r="K953">
        <v>0</v>
      </c>
      <c r="L953">
        <f>IF(AND($J953=0,$K953=0),0,1)</f>
        <v>0</v>
      </c>
      <c r="M953" t="s">
        <v>398</v>
      </c>
    </row>
    <row r="954" spans="1:13" x14ac:dyDescent="0.2">
      <c r="A954" t="s">
        <v>385</v>
      </c>
      <c r="B954" t="s">
        <v>386</v>
      </c>
      <c r="C954" t="s">
        <v>9</v>
      </c>
      <c r="D954">
        <v>2410</v>
      </c>
      <c r="E954">
        <v>2019</v>
      </c>
      <c r="F954">
        <v>1</v>
      </c>
      <c r="G954">
        <v>98505</v>
      </c>
      <c r="H954" s="1">
        <v>3</v>
      </c>
      <c r="I954">
        <v>12</v>
      </c>
      <c r="J954">
        <f>IF($H954=0,1,IF($I954&lt;=1,2,0))</f>
        <v>0</v>
      </c>
      <c r="K954">
        <v>0</v>
      </c>
      <c r="L954">
        <f>IF(AND($J954=0,$K954=0),0,1)</f>
        <v>0</v>
      </c>
    </row>
    <row r="955" spans="1:13" x14ac:dyDescent="0.2">
      <c r="A955" t="s">
        <v>385</v>
      </c>
      <c r="B955" t="s">
        <v>386</v>
      </c>
      <c r="C955" t="s">
        <v>9</v>
      </c>
      <c r="D955">
        <v>2420</v>
      </c>
      <c r="E955">
        <v>2019</v>
      </c>
      <c r="F955">
        <v>1</v>
      </c>
      <c r="G955">
        <v>98408</v>
      </c>
      <c r="H955" s="1">
        <v>3</v>
      </c>
      <c r="I955">
        <v>12</v>
      </c>
      <c r="J955">
        <f>IF($H955=0,1,IF($I955&lt;=1,2,0))</f>
        <v>0</v>
      </c>
      <c r="K955">
        <v>0</v>
      </c>
      <c r="L955">
        <f>IF(AND($J955=0,$K955=0),0,1)</f>
        <v>0</v>
      </c>
      <c r="M955" t="s">
        <v>399</v>
      </c>
    </row>
    <row r="956" spans="1:13" x14ac:dyDescent="0.2">
      <c r="A956" t="s">
        <v>385</v>
      </c>
      <c r="B956" t="s">
        <v>386</v>
      </c>
      <c r="C956" t="s">
        <v>9</v>
      </c>
      <c r="D956">
        <v>2420</v>
      </c>
      <c r="E956">
        <v>2019</v>
      </c>
      <c r="F956">
        <v>2</v>
      </c>
      <c r="G956">
        <v>98406</v>
      </c>
      <c r="H956" s="1">
        <v>3</v>
      </c>
      <c r="I956">
        <v>10</v>
      </c>
      <c r="J956">
        <f>IF($H956=0,1,IF($I956&lt;=1,2,0))</f>
        <v>0</v>
      </c>
      <c r="K956">
        <v>0</v>
      </c>
      <c r="L956">
        <f>IF(AND($J956=0,$K956=0),0,1)</f>
        <v>0</v>
      </c>
      <c r="M956" t="s">
        <v>399</v>
      </c>
    </row>
    <row r="957" spans="1:13" x14ac:dyDescent="0.2">
      <c r="A957" t="s">
        <v>385</v>
      </c>
      <c r="B957" t="s">
        <v>386</v>
      </c>
      <c r="C957" t="s">
        <v>9</v>
      </c>
      <c r="D957">
        <v>2510</v>
      </c>
      <c r="E957">
        <v>2019</v>
      </c>
      <c r="F957">
        <v>1</v>
      </c>
      <c r="G957">
        <v>98604</v>
      </c>
      <c r="H957" s="1">
        <v>3</v>
      </c>
      <c r="I957">
        <v>10</v>
      </c>
      <c r="J957">
        <f>IF($H957=0,1,IF($I957&lt;=1,2,0))</f>
        <v>0</v>
      </c>
      <c r="K957">
        <v>0</v>
      </c>
      <c r="L957">
        <f>IF(AND($J957=0,$K957=0),0,1)</f>
        <v>0</v>
      </c>
      <c r="M957" t="s">
        <v>399</v>
      </c>
    </row>
    <row r="958" spans="1:13" x14ac:dyDescent="0.2">
      <c r="A958" t="s">
        <v>385</v>
      </c>
      <c r="B958" t="s">
        <v>386</v>
      </c>
      <c r="C958" t="s">
        <v>9</v>
      </c>
      <c r="D958">
        <v>3900</v>
      </c>
      <c r="E958">
        <v>2019</v>
      </c>
      <c r="F958">
        <v>1</v>
      </c>
      <c r="G958">
        <v>98398</v>
      </c>
      <c r="H958" s="1">
        <v>3</v>
      </c>
      <c r="I958">
        <v>9</v>
      </c>
      <c r="J958">
        <f>IF($H958=0,1,IF($I958&lt;=1,2,0))</f>
        <v>0</v>
      </c>
      <c r="K958">
        <v>0</v>
      </c>
      <c r="L958">
        <f>IF(AND($J958=0,$K958=0),0,1)</f>
        <v>0</v>
      </c>
      <c r="M958" t="s">
        <v>402</v>
      </c>
    </row>
    <row r="959" spans="1:13" x14ac:dyDescent="0.2">
      <c r="A959" t="s">
        <v>385</v>
      </c>
      <c r="B959" t="s">
        <v>386</v>
      </c>
      <c r="C959" t="s">
        <v>9</v>
      </c>
      <c r="D959">
        <v>3915</v>
      </c>
      <c r="E959">
        <v>2019</v>
      </c>
      <c r="F959">
        <v>1</v>
      </c>
      <c r="G959">
        <v>98396</v>
      </c>
      <c r="H959" s="1">
        <v>3</v>
      </c>
      <c r="I959">
        <v>10</v>
      </c>
      <c r="J959">
        <f>IF($H959=0,1,IF($I959&lt;=1,2,0))</f>
        <v>0</v>
      </c>
      <c r="K959">
        <v>0</v>
      </c>
      <c r="L959">
        <f>IF(AND($J959=0,$K959=0),0,1)</f>
        <v>0</v>
      </c>
      <c r="M959" t="s">
        <v>403</v>
      </c>
    </row>
    <row r="960" spans="1:13" x14ac:dyDescent="0.2">
      <c r="A960" t="s">
        <v>385</v>
      </c>
      <c r="B960" t="s">
        <v>386</v>
      </c>
      <c r="C960" t="s">
        <v>9</v>
      </c>
      <c r="D960">
        <v>3920</v>
      </c>
      <c r="E960">
        <v>2019</v>
      </c>
      <c r="F960">
        <v>1</v>
      </c>
      <c r="G960">
        <v>98394</v>
      </c>
      <c r="H960" s="1">
        <v>3</v>
      </c>
      <c r="I960">
        <v>14</v>
      </c>
      <c r="J960">
        <f>IF($H960=0,1,IF($I960&lt;=1,2,0))</f>
        <v>0</v>
      </c>
      <c r="K960">
        <v>0</v>
      </c>
      <c r="L960">
        <f>IF(AND($J960=0,$K960=0),0,1)</f>
        <v>0</v>
      </c>
      <c r="M960" t="s">
        <v>402</v>
      </c>
    </row>
    <row r="961" spans="1:13" x14ac:dyDescent="0.2">
      <c r="A961" t="s">
        <v>385</v>
      </c>
      <c r="B961" t="s">
        <v>386</v>
      </c>
      <c r="C961" t="s">
        <v>9</v>
      </c>
      <c r="D961">
        <v>3931</v>
      </c>
      <c r="E961">
        <v>2019</v>
      </c>
      <c r="F961">
        <v>1</v>
      </c>
      <c r="G961">
        <v>29202</v>
      </c>
      <c r="H961" s="1">
        <v>3</v>
      </c>
      <c r="I961">
        <v>12</v>
      </c>
      <c r="J961">
        <f>IF($H961=0,1,IF($I961&lt;=1,2,0))</f>
        <v>0</v>
      </c>
      <c r="K961">
        <v>0</v>
      </c>
      <c r="L961">
        <f>IF(AND($J961=0,$K961=0),0,1)</f>
        <v>0</v>
      </c>
    </row>
    <row r="962" spans="1:13" x14ac:dyDescent="0.2">
      <c r="A962" t="s">
        <v>385</v>
      </c>
      <c r="B962" t="s">
        <v>386</v>
      </c>
      <c r="C962" t="s">
        <v>34</v>
      </c>
      <c r="D962">
        <v>4000</v>
      </c>
      <c r="E962">
        <v>2019</v>
      </c>
      <c r="F962">
        <v>1</v>
      </c>
      <c r="G962">
        <v>44867</v>
      </c>
      <c r="H962" s="1">
        <v>3</v>
      </c>
      <c r="I962">
        <v>47</v>
      </c>
      <c r="J962">
        <f>IF($H962=0,1,IF($I962&lt;=1,2,0))</f>
        <v>0</v>
      </c>
      <c r="K962">
        <v>0</v>
      </c>
      <c r="L962">
        <f>IF(AND($J962=0,$K962=0),0,1)</f>
        <v>0</v>
      </c>
      <c r="M962" t="s">
        <v>404</v>
      </c>
    </row>
    <row r="963" spans="1:13" x14ac:dyDescent="0.2">
      <c r="A963" t="s">
        <v>385</v>
      </c>
      <c r="B963" t="s">
        <v>386</v>
      </c>
      <c r="C963" t="s">
        <v>9</v>
      </c>
      <c r="D963">
        <v>4920</v>
      </c>
      <c r="E963">
        <v>2019</v>
      </c>
      <c r="F963">
        <v>1</v>
      </c>
      <c r="G963">
        <v>10313</v>
      </c>
      <c r="H963" s="1">
        <v>3</v>
      </c>
      <c r="I963">
        <v>8</v>
      </c>
      <c r="J963">
        <f>IF($H963=0,1,IF($I963&lt;=1,2,0))</f>
        <v>0</v>
      </c>
      <c r="K963">
        <v>0</v>
      </c>
      <c r="L963">
        <f>IF(AND($J963=0,$K963=0),0,1)</f>
        <v>0</v>
      </c>
      <c r="M963" t="s">
        <v>405</v>
      </c>
    </row>
    <row r="964" spans="1:13" x14ac:dyDescent="0.2">
      <c r="A964" t="s">
        <v>385</v>
      </c>
      <c r="B964" t="s">
        <v>386</v>
      </c>
      <c r="C964" t="s">
        <v>9</v>
      </c>
      <c r="D964">
        <v>4951</v>
      </c>
      <c r="E964">
        <v>2019</v>
      </c>
      <c r="F964">
        <v>1</v>
      </c>
      <c r="G964">
        <v>98569</v>
      </c>
      <c r="H964" s="1">
        <v>3</v>
      </c>
      <c r="I964">
        <v>18</v>
      </c>
      <c r="J964">
        <f>IF($H964=0,1,IF($I964&lt;=1,2,0))</f>
        <v>0</v>
      </c>
      <c r="K964">
        <v>0</v>
      </c>
      <c r="L964">
        <f>IF(AND($J964=0,$K964=0),0,1)</f>
        <v>0</v>
      </c>
    </row>
    <row r="965" spans="1:13" x14ac:dyDescent="0.2">
      <c r="A965" t="s">
        <v>385</v>
      </c>
      <c r="B965" t="s">
        <v>386</v>
      </c>
      <c r="C965" t="s">
        <v>9</v>
      </c>
      <c r="D965">
        <v>4952</v>
      </c>
      <c r="E965">
        <v>2019</v>
      </c>
      <c r="F965">
        <v>1</v>
      </c>
      <c r="G965">
        <v>44882</v>
      </c>
      <c r="H965" s="1">
        <v>3</v>
      </c>
      <c r="I965">
        <v>5</v>
      </c>
      <c r="J965">
        <f>IF($H965=0,1,IF($I965&lt;=1,2,0))</f>
        <v>0</v>
      </c>
      <c r="K965">
        <v>0</v>
      </c>
      <c r="L965">
        <f>IF(AND($J965=0,$K965=0),0,1)</f>
        <v>0</v>
      </c>
    </row>
    <row r="966" spans="1:13" x14ac:dyDescent="0.2">
      <c r="A966" t="s">
        <v>385</v>
      </c>
      <c r="B966" t="s">
        <v>386</v>
      </c>
      <c r="C966" t="s">
        <v>407</v>
      </c>
      <c r="D966">
        <v>5100</v>
      </c>
      <c r="E966">
        <v>2019</v>
      </c>
      <c r="F966">
        <v>1</v>
      </c>
      <c r="G966">
        <v>98568</v>
      </c>
      <c r="H966" s="1">
        <v>3</v>
      </c>
      <c r="I966">
        <v>65</v>
      </c>
      <c r="J966">
        <f>IF($H966=0,1,IF($I966&lt;=1,2,0))</f>
        <v>0</v>
      </c>
      <c r="K966">
        <v>0</v>
      </c>
      <c r="L966">
        <f>IF(AND($J966=0,$K966=0),0,1)</f>
        <v>0</v>
      </c>
    </row>
    <row r="967" spans="1:13" x14ac:dyDescent="0.2">
      <c r="A967" t="s">
        <v>385</v>
      </c>
      <c r="B967" t="s">
        <v>386</v>
      </c>
      <c r="C967" t="s">
        <v>407</v>
      </c>
      <c r="D967">
        <v>5110</v>
      </c>
      <c r="E967">
        <v>2019</v>
      </c>
      <c r="F967">
        <v>4</v>
      </c>
      <c r="G967">
        <v>98599</v>
      </c>
      <c r="H967" s="1">
        <v>3</v>
      </c>
      <c r="I967">
        <v>12</v>
      </c>
      <c r="J967">
        <f>IF($H967=0,1,IF($I967&lt;=1,2,0))</f>
        <v>0</v>
      </c>
      <c r="K967">
        <v>0</v>
      </c>
      <c r="L967">
        <f>IF(AND($J967=0,$K967=0),0,1)</f>
        <v>0</v>
      </c>
    </row>
    <row r="968" spans="1:13" x14ac:dyDescent="0.2">
      <c r="A968" t="s">
        <v>385</v>
      </c>
      <c r="B968" t="s">
        <v>386</v>
      </c>
      <c r="C968" t="s">
        <v>407</v>
      </c>
      <c r="D968">
        <v>5110</v>
      </c>
      <c r="E968">
        <v>2019</v>
      </c>
      <c r="F968">
        <v>6</v>
      </c>
      <c r="G968">
        <v>98597</v>
      </c>
      <c r="H968" s="1">
        <v>3</v>
      </c>
      <c r="I968">
        <v>12</v>
      </c>
      <c r="J968">
        <f>IF($H968=0,1,IF($I968&lt;=1,2,0))</f>
        <v>0</v>
      </c>
      <c r="K968">
        <v>0</v>
      </c>
      <c r="L968">
        <f>IF(AND($J968=0,$K968=0),0,1)</f>
        <v>0</v>
      </c>
    </row>
    <row r="969" spans="1:13" x14ac:dyDescent="0.2">
      <c r="A969" t="s">
        <v>385</v>
      </c>
      <c r="B969" t="s">
        <v>386</v>
      </c>
      <c r="C969" t="s">
        <v>407</v>
      </c>
      <c r="D969">
        <v>5110</v>
      </c>
      <c r="E969">
        <v>2019</v>
      </c>
      <c r="F969">
        <v>1</v>
      </c>
      <c r="G969">
        <v>98602</v>
      </c>
      <c r="H969" s="1">
        <v>3</v>
      </c>
      <c r="I969">
        <v>11</v>
      </c>
      <c r="J969">
        <f>IF($H969=0,1,IF($I969&lt;=1,2,0))</f>
        <v>0</v>
      </c>
      <c r="K969">
        <v>0</v>
      </c>
      <c r="L969">
        <f>IF(AND($J969=0,$K969=0),0,1)</f>
        <v>0</v>
      </c>
    </row>
    <row r="970" spans="1:13" x14ac:dyDescent="0.2">
      <c r="A970" t="s">
        <v>385</v>
      </c>
      <c r="B970" t="s">
        <v>386</v>
      </c>
      <c r="C970" t="s">
        <v>407</v>
      </c>
      <c r="D970">
        <v>5110</v>
      </c>
      <c r="E970">
        <v>2019</v>
      </c>
      <c r="F970">
        <v>2</v>
      </c>
      <c r="G970">
        <v>98601</v>
      </c>
      <c r="H970" s="1">
        <v>3</v>
      </c>
      <c r="I970">
        <v>11</v>
      </c>
      <c r="J970">
        <f>IF($H970=0,1,IF($I970&lt;=1,2,0))</f>
        <v>0</v>
      </c>
      <c r="K970">
        <v>0</v>
      </c>
      <c r="L970">
        <f>IF(AND($J970=0,$K970=0),0,1)</f>
        <v>0</v>
      </c>
    </row>
    <row r="971" spans="1:13" x14ac:dyDescent="0.2">
      <c r="A971" t="s">
        <v>385</v>
      </c>
      <c r="B971" t="s">
        <v>386</v>
      </c>
      <c r="C971" t="s">
        <v>407</v>
      </c>
      <c r="D971">
        <v>5110</v>
      </c>
      <c r="E971">
        <v>2019</v>
      </c>
      <c r="F971">
        <v>5</v>
      </c>
      <c r="G971">
        <v>98598</v>
      </c>
      <c r="H971" s="1">
        <v>3</v>
      </c>
      <c r="I971">
        <v>10</v>
      </c>
      <c r="J971">
        <f>IF($H971=0,1,IF($I971&lt;=1,2,0))</f>
        <v>0</v>
      </c>
      <c r="K971">
        <v>0</v>
      </c>
      <c r="L971">
        <f>IF(AND($J971=0,$K971=0),0,1)</f>
        <v>0</v>
      </c>
    </row>
    <row r="972" spans="1:13" x14ac:dyDescent="0.2">
      <c r="A972" t="s">
        <v>385</v>
      </c>
      <c r="B972" t="s">
        <v>386</v>
      </c>
      <c r="C972" t="s">
        <v>407</v>
      </c>
      <c r="D972">
        <v>5110</v>
      </c>
      <c r="E972">
        <v>2019</v>
      </c>
      <c r="F972">
        <v>3</v>
      </c>
      <c r="G972">
        <v>98600</v>
      </c>
      <c r="H972" s="1">
        <v>3</v>
      </c>
      <c r="I972">
        <v>9</v>
      </c>
      <c r="J972">
        <f>IF($H972=0,1,IF($I972&lt;=1,2,0))</f>
        <v>0</v>
      </c>
      <c r="K972">
        <v>0</v>
      </c>
      <c r="L972">
        <f>IF(AND($J972=0,$K972=0),0,1)</f>
        <v>0</v>
      </c>
    </row>
    <row r="973" spans="1:13" x14ac:dyDescent="0.2">
      <c r="A973" t="s">
        <v>385</v>
      </c>
      <c r="B973" t="s">
        <v>386</v>
      </c>
      <c r="C973" t="s">
        <v>407</v>
      </c>
      <c r="D973">
        <v>5200</v>
      </c>
      <c r="E973">
        <v>2019</v>
      </c>
      <c r="F973">
        <v>1</v>
      </c>
      <c r="G973">
        <v>98348</v>
      </c>
      <c r="H973" s="1">
        <v>3</v>
      </c>
      <c r="I973">
        <v>65</v>
      </c>
      <c r="J973">
        <f>IF($H973=0,1,IF($I973&lt;=1,2,0))</f>
        <v>0</v>
      </c>
      <c r="K973">
        <v>0</v>
      </c>
      <c r="L973">
        <f>IF(AND($J973=0,$K973=0),0,1)</f>
        <v>0</v>
      </c>
    </row>
    <row r="974" spans="1:13" x14ac:dyDescent="0.2">
      <c r="A974" t="s">
        <v>385</v>
      </c>
      <c r="B974" t="s">
        <v>386</v>
      </c>
      <c r="C974" t="s">
        <v>407</v>
      </c>
      <c r="D974">
        <v>5210</v>
      </c>
      <c r="E974">
        <v>2019</v>
      </c>
      <c r="F974">
        <v>1</v>
      </c>
      <c r="G974">
        <v>98566</v>
      </c>
      <c r="H974" s="1">
        <v>3</v>
      </c>
      <c r="I974">
        <v>12</v>
      </c>
      <c r="J974">
        <f>IF($H974=0,1,IF($I974&lt;=1,2,0))</f>
        <v>0</v>
      </c>
      <c r="K974">
        <v>0</v>
      </c>
      <c r="L974">
        <f>IF(AND($J974=0,$K974=0),0,1)</f>
        <v>0</v>
      </c>
    </row>
    <row r="975" spans="1:13" x14ac:dyDescent="0.2">
      <c r="A975" t="s">
        <v>385</v>
      </c>
      <c r="B975" t="s">
        <v>386</v>
      </c>
      <c r="C975" t="s">
        <v>407</v>
      </c>
      <c r="D975">
        <v>5210</v>
      </c>
      <c r="E975">
        <v>2019</v>
      </c>
      <c r="F975">
        <v>4</v>
      </c>
      <c r="G975">
        <v>98560</v>
      </c>
      <c r="H975" s="1">
        <v>3</v>
      </c>
      <c r="I975">
        <v>12</v>
      </c>
      <c r="J975">
        <f>IF($H975=0,1,IF($I975&lt;=1,2,0))</f>
        <v>0</v>
      </c>
      <c r="K975">
        <v>0</v>
      </c>
      <c r="L975">
        <f>IF(AND($J975=0,$K975=0),0,1)</f>
        <v>0</v>
      </c>
    </row>
    <row r="976" spans="1:13" x14ac:dyDescent="0.2">
      <c r="A976" t="s">
        <v>385</v>
      </c>
      <c r="B976" t="s">
        <v>386</v>
      </c>
      <c r="C976" t="s">
        <v>407</v>
      </c>
      <c r="D976">
        <v>5210</v>
      </c>
      <c r="E976">
        <v>2019</v>
      </c>
      <c r="F976">
        <v>3</v>
      </c>
      <c r="G976">
        <v>98562</v>
      </c>
      <c r="H976" s="1">
        <v>3</v>
      </c>
      <c r="I976">
        <v>11</v>
      </c>
      <c r="J976">
        <f>IF($H976=0,1,IF($I976&lt;=1,2,0))</f>
        <v>0</v>
      </c>
      <c r="K976">
        <v>0</v>
      </c>
      <c r="L976">
        <f>IF(AND($J976=0,$K976=0),0,1)</f>
        <v>0</v>
      </c>
    </row>
    <row r="977" spans="1:13" x14ac:dyDescent="0.2">
      <c r="A977" t="s">
        <v>385</v>
      </c>
      <c r="B977" t="s">
        <v>386</v>
      </c>
      <c r="C977" t="s">
        <v>407</v>
      </c>
      <c r="D977">
        <v>5210</v>
      </c>
      <c r="E977">
        <v>2019</v>
      </c>
      <c r="F977">
        <v>6</v>
      </c>
      <c r="G977">
        <v>98556</v>
      </c>
      <c r="H977" s="1">
        <v>3</v>
      </c>
      <c r="I977">
        <v>11</v>
      </c>
      <c r="J977">
        <f>IF($H977=0,1,IF($I977&lt;=1,2,0))</f>
        <v>0</v>
      </c>
      <c r="K977">
        <v>0</v>
      </c>
      <c r="L977">
        <f>IF(AND($J977=0,$K977=0),0,1)</f>
        <v>0</v>
      </c>
    </row>
    <row r="978" spans="1:13" x14ac:dyDescent="0.2">
      <c r="A978" t="s">
        <v>385</v>
      </c>
      <c r="B978" t="s">
        <v>386</v>
      </c>
      <c r="C978" t="s">
        <v>407</v>
      </c>
      <c r="D978">
        <v>5210</v>
      </c>
      <c r="E978">
        <v>2019</v>
      </c>
      <c r="F978">
        <v>2</v>
      </c>
      <c r="G978">
        <v>98564</v>
      </c>
      <c r="H978" s="1">
        <v>3</v>
      </c>
      <c r="I978">
        <v>10</v>
      </c>
      <c r="J978">
        <f>IF($H978=0,1,IF($I978&lt;=1,2,0))</f>
        <v>0</v>
      </c>
      <c r="K978">
        <v>0</v>
      </c>
      <c r="L978">
        <f>IF(AND($J978=0,$K978=0),0,1)</f>
        <v>0</v>
      </c>
    </row>
    <row r="979" spans="1:13" x14ac:dyDescent="0.2">
      <c r="A979" t="s">
        <v>385</v>
      </c>
      <c r="B979" t="s">
        <v>386</v>
      </c>
      <c r="C979" t="s">
        <v>407</v>
      </c>
      <c r="D979">
        <v>5210</v>
      </c>
      <c r="E979">
        <v>2019</v>
      </c>
      <c r="F979">
        <v>5</v>
      </c>
      <c r="G979">
        <v>98559</v>
      </c>
      <c r="H979" s="1">
        <v>3</v>
      </c>
      <c r="I979">
        <v>9</v>
      </c>
      <c r="J979">
        <f>IF($H979=0,1,IF($I979&lt;=1,2,0))</f>
        <v>0</v>
      </c>
      <c r="K979">
        <v>0</v>
      </c>
      <c r="L979">
        <f>IF(AND($J979=0,$K979=0),0,1)</f>
        <v>0</v>
      </c>
    </row>
    <row r="980" spans="1:13" x14ac:dyDescent="0.2">
      <c r="A980" t="s">
        <v>385</v>
      </c>
      <c r="B980" t="s">
        <v>386</v>
      </c>
      <c r="C980" t="s">
        <v>407</v>
      </c>
      <c r="D980">
        <v>5230</v>
      </c>
      <c r="E980">
        <v>2019</v>
      </c>
      <c r="F980">
        <v>5</v>
      </c>
      <c r="G980">
        <v>98592</v>
      </c>
      <c r="H980" s="1">
        <v>3</v>
      </c>
      <c r="I980">
        <v>12</v>
      </c>
      <c r="J980">
        <f>IF($H980=0,1,IF($I980&lt;=1,2,0))</f>
        <v>0</v>
      </c>
      <c r="K980">
        <v>0</v>
      </c>
      <c r="L980">
        <f>IF(AND($J980=0,$K980=0),0,1)</f>
        <v>0</v>
      </c>
    </row>
    <row r="981" spans="1:13" x14ac:dyDescent="0.2">
      <c r="A981" t="s">
        <v>385</v>
      </c>
      <c r="B981" t="s">
        <v>386</v>
      </c>
      <c r="C981" t="s">
        <v>407</v>
      </c>
      <c r="D981">
        <v>5230</v>
      </c>
      <c r="E981">
        <v>2019</v>
      </c>
      <c r="F981">
        <v>3</v>
      </c>
      <c r="G981">
        <v>98594</v>
      </c>
      <c r="H981" s="1">
        <v>3</v>
      </c>
      <c r="I981">
        <v>11</v>
      </c>
      <c r="J981">
        <f>IF($H981=0,1,IF($I981&lt;=1,2,0))</f>
        <v>0</v>
      </c>
      <c r="K981">
        <v>0</v>
      </c>
      <c r="L981">
        <f>IF(AND($J981=0,$K981=0),0,1)</f>
        <v>0</v>
      </c>
    </row>
    <row r="982" spans="1:13" x14ac:dyDescent="0.2">
      <c r="A982" t="s">
        <v>385</v>
      </c>
      <c r="B982" t="s">
        <v>386</v>
      </c>
      <c r="C982" t="s">
        <v>407</v>
      </c>
      <c r="D982">
        <v>5230</v>
      </c>
      <c r="E982">
        <v>2019</v>
      </c>
      <c r="F982">
        <v>4</v>
      </c>
      <c r="G982">
        <v>98593</v>
      </c>
      <c r="H982" s="1">
        <v>3</v>
      </c>
      <c r="I982">
        <v>11</v>
      </c>
      <c r="J982">
        <f>IF($H982=0,1,IF($I982&lt;=1,2,0))</f>
        <v>0</v>
      </c>
      <c r="K982">
        <v>0</v>
      </c>
      <c r="L982">
        <f>IF(AND($J982=0,$K982=0),0,1)</f>
        <v>0</v>
      </c>
    </row>
    <row r="983" spans="1:13" x14ac:dyDescent="0.2">
      <c r="A983" t="s">
        <v>385</v>
      </c>
      <c r="B983" t="s">
        <v>386</v>
      </c>
      <c r="C983" t="s">
        <v>407</v>
      </c>
      <c r="D983">
        <v>5230</v>
      </c>
      <c r="E983">
        <v>2019</v>
      </c>
      <c r="F983">
        <v>6</v>
      </c>
      <c r="G983">
        <v>98591</v>
      </c>
      <c r="H983" s="1">
        <v>3</v>
      </c>
      <c r="I983">
        <v>11</v>
      </c>
      <c r="J983">
        <f>IF($H983=0,1,IF($I983&lt;=1,2,0))</f>
        <v>0</v>
      </c>
      <c r="K983">
        <v>0</v>
      </c>
      <c r="L983">
        <f>IF(AND($J983=0,$K983=0),0,1)</f>
        <v>0</v>
      </c>
    </row>
    <row r="984" spans="1:13" x14ac:dyDescent="0.2">
      <c r="A984" t="s">
        <v>385</v>
      </c>
      <c r="B984" t="s">
        <v>386</v>
      </c>
      <c r="C984" t="s">
        <v>407</v>
      </c>
      <c r="D984">
        <v>5230</v>
      </c>
      <c r="E984">
        <v>2019</v>
      </c>
      <c r="F984">
        <v>1</v>
      </c>
      <c r="G984">
        <v>98596</v>
      </c>
      <c r="H984" s="1">
        <v>3</v>
      </c>
      <c r="I984">
        <v>10</v>
      </c>
      <c r="J984">
        <f>IF($H984=0,1,IF($I984&lt;=1,2,0))</f>
        <v>0</v>
      </c>
      <c r="K984">
        <v>0</v>
      </c>
      <c r="L984">
        <f>IF(AND($J984=0,$K984=0),0,1)</f>
        <v>0</v>
      </c>
    </row>
    <row r="985" spans="1:13" x14ac:dyDescent="0.2">
      <c r="A985" t="s">
        <v>385</v>
      </c>
      <c r="B985" t="s">
        <v>386</v>
      </c>
      <c r="C985" t="s">
        <v>407</v>
      </c>
      <c r="D985">
        <v>5230</v>
      </c>
      <c r="E985">
        <v>2019</v>
      </c>
      <c r="F985">
        <v>2</v>
      </c>
      <c r="G985">
        <v>98595</v>
      </c>
      <c r="H985" s="1">
        <v>3</v>
      </c>
      <c r="I985">
        <v>10</v>
      </c>
      <c r="J985">
        <f>IF($H985=0,1,IF($I985&lt;=1,2,0))</f>
        <v>0</v>
      </c>
      <c r="K985">
        <v>0</v>
      </c>
      <c r="L985">
        <f>IF(AND($J985=0,$K985=0),0,1)</f>
        <v>0</v>
      </c>
    </row>
    <row r="986" spans="1:13" x14ac:dyDescent="0.2">
      <c r="A986" t="s">
        <v>385</v>
      </c>
      <c r="B986" t="s">
        <v>386</v>
      </c>
      <c r="C986" t="s">
        <v>407</v>
      </c>
      <c r="D986">
        <v>5250</v>
      </c>
      <c r="E986">
        <v>2019</v>
      </c>
      <c r="F986">
        <v>3</v>
      </c>
      <c r="G986">
        <v>98550</v>
      </c>
      <c r="H986" s="1">
        <v>1.5</v>
      </c>
      <c r="I986">
        <v>11</v>
      </c>
      <c r="J986">
        <f>IF($H986=0,1,IF($I986&lt;=1,2,0))</f>
        <v>0</v>
      </c>
      <c r="K986">
        <v>0</v>
      </c>
      <c r="L986">
        <f>IF(AND($J986=0,$K986=0),0,1)</f>
        <v>0</v>
      </c>
    </row>
    <row r="987" spans="1:13" x14ac:dyDescent="0.2">
      <c r="A987" t="s">
        <v>385</v>
      </c>
      <c r="B987" t="s">
        <v>386</v>
      </c>
      <c r="C987" t="s">
        <v>407</v>
      </c>
      <c r="D987">
        <v>5250</v>
      </c>
      <c r="E987">
        <v>2019</v>
      </c>
      <c r="F987">
        <v>2</v>
      </c>
      <c r="G987">
        <v>98552</v>
      </c>
      <c r="H987" s="1">
        <v>1.5</v>
      </c>
      <c r="I987">
        <v>9</v>
      </c>
      <c r="J987">
        <f>IF($H987=0,1,IF($I987&lt;=1,2,0))</f>
        <v>0</v>
      </c>
      <c r="K987">
        <v>0</v>
      </c>
      <c r="L987">
        <f>IF(AND($J987=0,$K987=0),0,1)</f>
        <v>0</v>
      </c>
    </row>
    <row r="988" spans="1:13" x14ac:dyDescent="0.2">
      <c r="A988" t="s">
        <v>385</v>
      </c>
      <c r="B988" t="s">
        <v>386</v>
      </c>
      <c r="C988" t="s">
        <v>407</v>
      </c>
      <c r="D988">
        <v>5250</v>
      </c>
      <c r="E988">
        <v>2019</v>
      </c>
      <c r="F988">
        <v>5</v>
      </c>
      <c r="G988">
        <v>98538</v>
      </c>
      <c r="H988" s="1">
        <v>1.5</v>
      </c>
      <c r="I988">
        <v>9</v>
      </c>
      <c r="J988">
        <f>IF($H988=0,1,IF($I988&lt;=1,2,0))</f>
        <v>0</v>
      </c>
      <c r="K988">
        <v>0</v>
      </c>
      <c r="L988">
        <f>IF(AND($J988=0,$K988=0),0,1)</f>
        <v>0</v>
      </c>
    </row>
    <row r="989" spans="1:13" x14ac:dyDescent="0.2">
      <c r="A989" t="s">
        <v>385</v>
      </c>
      <c r="B989" t="s">
        <v>386</v>
      </c>
      <c r="C989" t="s">
        <v>407</v>
      </c>
      <c r="D989">
        <v>5250</v>
      </c>
      <c r="E989">
        <v>2019</v>
      </c>
      <c r="F989">
        <v>4</v>
      </c>
      <c r="G989">
        <v>98546</v>
      </c>
      <c r="H989" s="1">
        <v>1.5</v>
      </c>
      <c r="I989">
        <v>8</v>
      </c>
      <c r="J989">
        <f>IF($H989=0,1,IF($I989&lt;=1,2,0))</f>
        <v>0</v>
      </c>
      <c r="K989">
        <v>0</v>
      </c>
      <c r="L989">
        <f>IF(AND($J989=0,$K989=0),0,1)</f>
        <v>0</v>
      </c>
    </row>
    <row r="990" spans="1:13" x14ac:dyDescent="0.2">
      <c r="A990" t="s">
        <v>385</v>
      </c>
      <c r="B990" t="s">
        <v>386</v>
      </c>
      <c r="C990" t="s">
        <v>407</v>
      </c>
      <c r="D990">
        <v>5400</v>
      </c>
      <c r="E990">
        <v>2019</v>
      </c>
      <c r="F990">
        <v>1</v>
      </c>
      <c r="G990">
        <v>98590</v>
      </c>
      <c r="H990" s="1">
        <v>1.5</v>
      </c>
      <c r="I990">
        <v>65</v>
      </c>
      <c r="J990">
        <f>IF($H990=0,1,IF($I990&lt;=1,2,0))</f>
        <v>0</v>
      </c>
      <c r="K990">
        <v>0</v>
      </c>
      <c r="L990">
        <f>IF(AND($J990=0,$K990=0),0,1)</f>
        <v>0</v>
      </c>
      <c r="M990" t="s">
        <v>409</v>
      </c>
    </row>
    <row r="991" spans="1:13" x14ac:dyDescent="0.2">
      <c r="A991" t="s">
        <v>385</v>
      </c>
      <c r="B991" t="s">
        <v>386</v>
      </c>
      <c r="C991" t="s">
        <v>407</v>
      </c>
      <c r="D991">
        <v>5420</v>
      </c>
      <c r="E991">
        <v>2019</v>
      </c>
      <c r="F991">
        <v>2</v>
      </c>
      <c r="G991">
        <v>98526</v>
      </c>
      <c r="H991" s="1">
        <v>1.5</v>
      </c>
      <c r="I991">
        <v>11</v>
      </c>
      <c r="J991">
        <f>IF($H991=0,1,IF($I991&lt;=1,2,0))</f>
        <v>0</v>
      </c>
      <c r="K991">
        <v>0</v>
      </c>
      <c r="L991">
        <f>IF(AND($J991=0,$K991=0),0,1)</f>
        <v>0</v>
      </c>
    </row>
    <row r="992" spans="1:13" x14ac:dyDescent="0.2">
      <c r="A992" t="s">
        <v>385</v>
      </c>
      <c r="B992" t="s">
        <v>386</v>
      </c>
      <c r="C992" t="s">
        <v>407</v>
      </c>
      <c r="D992">
        <v>5420</v>
      </c>
      <c r="E992">
        <v>2019</v>
      </c>
      <c r="F992">
        <v>3</v>
      </c>
      <c r="G992">
        <v>98523</v>
      </c>
      <c r="H992" s="1">
        <v>1.5</v>
      </c>
      <c r="I992">
        <v>11</v>
      </c>
      <c r="J992">
        <f>IF($H992=0,1,IF($I992&lt;=1,2,0))</f>
        <v>0</v>
      </c>
      <c r="K992">
        <v>0</v>
      </c>
      <c r="L992">
        <f>IF(AND($J992=0,$K992=0),0,1)</f>
        <v>0</v>
      </c>
    </row>
    <row r="993" spans="1:12" x14ac:dyDescent="0.2">
      <c r="A993" t="s">
        <v>385</v>
      </c>
      <c r="B993" t="s">
        <v>386</v>
      </c>
      <c r="C993" t="s">
        <v>407</v>
      </c>
      <c r="D993">
        <v>5420</v>
      </c>
      <c r="E993">
        <v>2019</v>
      </c>
      <c r="F993">
        <v>1</v>
      </c>
      <c r="G993">
        <v>98532</v>
      </c>
      <c r="H993" s="1">
        <v>1.5</v>
      </c>
      <c r="I993">
        <v>10</v>
      </c>
      <c r="J993">
        <f>IF($H993=0,1,IF($I993&lt;=1,2,0))</f>
        <v>0</v>
      </c>
      <c r="K993">
        <v>0</v>
      </c>
      <c r="L993">
        <f>IF(AND($J993=0,$K993=0),0,1)</f>
        <v>0</v>
      </c>
    </row>
    <row r="994" spans="1:12" x14ac:dyDescent="0.2">
      <c r="A994" t="s">
        <v>385</v>
      </c>
      <c r="B994" t="s">
        <v>386</v>
      </c>
      <c r="C994" t="s">
        <v>407</v>
      </c>
      <c r="D994">
        <v>5430</v>
      </c>
      <c r="E994">
        <v>2019</v>
      </c>
      <c r="F994">
        <v>1</v>
      </c>
      <c r="G994">
        <v>98452</v>
      </c>
      <c r="H994" s="1">
        <v>1.5</v>
      </c>
      <c r="I994">
        <v>12</v>
      </c>
      <c r="J994">
        <f>IF($H994=0,1,IF($I994&lt;=1,2,0))</f>
        <v>0</v>
      </c>
      <c r="K994">
        <v>0</v>
      </c>
      <c r="L994">
        <f>IF(AND($J994=0,$K994=0),0,1)</f>
        <v>0</v>
      </c>
    </row>
    <row r="995" spans="1:12" x14ac:dyDescent="0.2">
      <c r="A995" t="s">
        <v>385</v>
      </c>
      <c r="B995" t="s">
        <v>386</v>
      </c>
      <c r="C995" t="s">
        <v>407</v>
      </c>
      <c r="D995">
        <v>5430</v>
      </c>
      <c r="E995">
        <v>2019</v>
      </c>
      <c r="F995">
        <v>2</v>
      </c>
      <c r="G995">
        <v>98451</v>
      </c>
      <c r="H995" s="1">
        <v>1.5</v>
      </c>
      <c r="I995">
        <v>12</v>
      </c>
      <c r="J995">
        <f>IF($H995=0,1,IF($I995&lt;=1,2,0))</f>
        <v>0</v>
      </c>
      <c r="K995">
        <v>0</v>
      </c>
      <c r="L995">
        <f>IF(AND($J995=0,$K995=0),0,1)</f>
        <v>0</v>
      </c>
    </row>
    <row r="996" spans="1:12" x14ac:dyDescent="0.2">
      <c r="A996" t="s">
        <v>385</v>
      </c>
      <c r="B996" t="s">
        <v>386</v>
      </c>
      <c r="C996" t="s">
        <v>407</v>
      </c>
      <c r="D996">
        <v>5430</v>
      </c>
      <c r="E996">
        <v>2019</v>
      </c>
      <c r="F996">
        <v>3</v>
      </c>
      <c r="G996">
        <v>98445</v>
      </c>
      <c r="H996" s="1">
        <v>1.5</v>
      </c>
      <c r="I996">
        <v>9</v>
      </c>
      <c r="J996">
        <f>IF($H996=0,1,IF($I996&lt;=1,2,0))</f>
        <v>0</v>
      </c>
      <c r="K996">
        <v>0</v>
      </c>
      <c r="L996">
        <f>IF(AND($J996=0,$K996=0),0,1)</f>
        <v>0</v>
      </c>
    </row>
    <row r="997" spans="1:12" x14ac:dyDescent="0.2">
      <c r="A997" t="s">
        <v>385</v>
      </c>
      <c r="B997" t="s">
        <v>386</v>
      </c>
      <c r="C997" t="s">
        <v>11</v>
      </c>
      <c r="D997">
        <v>5700</v>
      </c>
      <c r="E997">
        <v>2019</v>
      </c>
      <c r="F997">
        <v>1</v>
      </c>
      <c r="G997">
        <v>98346</v>
      </c>
      <c r="H997" s="1">
        <v>3</v>
      </c>
      <c r="I997">
        <v>26</v>
      </c>
      <c r="J997">
        <f>IF($H997=0,1,IF($I997&lt;=1,2,0))</f>
        <v>0</v>
      </c>
      <c r="K997">
        <v>0</v>
      </c>
      <c r="L997">
        <f>IF(AND($J997=0,$K997=0),0,1)</f>
        <v>0</v>
      </c>
    </row>
    <row r="998" spans="1:12" x14ac:dyDescent="0.2">
      <c r="A998" t="s">
        <v>385</v>
      </c>
      <c r="B998" t="s">
        <v>386</v>
      </c>
      <c r="C998" t="s">
        <v>34</v>
      </c>
      <c r="D998">
        <v>6110</v>
      </c>
      <c r="E998">
        <v>2019</v>
      </c>
      <c r="F998">
        <v>1</v>
      </c>
      <c r="G998">
        <v>98314</v>
      </c>
      <c r="H998" s="1">
        <v>3</v>
      </c>
      <c r="I998">
        <v>12</v>
      </c>
      <c r="J998">
        <f>IF($H998=0,1,IF($I998&lt;=1,2,0))</f>
        <v>0</v>
      </c>
      <c r="K998">
        <v>0</v>
      </c>
      <c r="L998">
        <f>IF(AND($J998=0,$K998=0),0,1)</f>
        <v>0</v>
      </c>
    </row>
    <row r="999" spans="1:12" x14ac:dyDescent="0.2">
      <c r="A999" t="s">
        <v>385</v>
      </c>
      <c r="B999" t="s">
        <v>386</v>
      </c>
      <c r="C999" t="s">
        <v>34</v>
      </c>
      <c r="D999">
        <v>6110</v>
      </c>
      <c r="E999">
        <v>2019</v>
      </c>
      <c r="F999">
        <v>2</v>
      </c>
      <c r="G999">
        <v>98312</v>
      </c>
      <c r="H999" s="1">
        <v>3</v>
      </c>
      <c r="I999">
        <v>12</v>
      </c>
      <c r="J999">
        <f>IF($H999=0,1,IF($I999&lt;=1,2,0))</f>
        <v>0</v>
      </c>
      <c r="K999">
        <v>0</v>
      </c>
      <c r="L999">
        <f>IF(AND($J999=0,$K999=0),0,1)</f>
        <v>0</v>
      </c>
    </row>
    <row r="1000" spans="1:12" x14ac:dyDescent="0.2">
      <c r="A1000" t="s">
        <v>385</v>
      </c>
      <c r="B1000" t="s">
        <v>386</v>
      </c>
      <c r="C1000" t="s">
        <v>34</v>
      </c>
      <c r="D1000">
        <v>6110</v>
      </c>
      <c r="E1000">
        <v>2019</v>
      </c>
      <c r="F1000">
        <v>3</v>
      </c>
      <c r="G1000">
        <v>98310</v>
      </c>
      <c r="H1000" s="1">
        <v>3</v>
      </c>
      <c r="I1000">
        <v>12</v>
      </c>
      <c r="J1000">
        <f>IF($H1000=0,1,IF($I1000&lt;=1,2,0))</f>
        <v>0</v>
      </c>
      <c r="K1000">
        <v>0</v>
      </c>
      <c r="L1000">
        <f>IF(AND($J1000=0,$K1000=0),0,1)</f>
        <v>0</v>
      </c>
    </row>
    <row r="1001" spans="1:12" x14ac:dyDescent="0.2">
      <c r="A1001" t="s">
        <v>385</v>
      </c>
      <c r="B1001" t="s">
        <v>386</v>
      </c>
      <c r="C1001" t="s">
        <v>34</v>
      </c>
      <c r="D1001">
        <v>6110</v>
      </c>
      <c r="E1001">
        <v>2019</v>
      </c>
      <c r="F1001">
        <v>4</v>
      </c>
      <c r="G1001">
        <v>98308</v>
      </c>
      <c r="H1001" s="1">
        <v>3</v>
      </c>
      <c r="I1001">
        <v>12</v>
      </c>
      <c r="J1001">
        <f>IF($H1001=0,1,IF($I1001&lt;=1,2,0))</f>
        <v>0</v>
      </c>
      <c r="K1001">
        <v>0</v>
      </c>
      <c r="L1001">
        <f>IF(AND($J1001=0,$K1001=0),0,1)</f>
        <v>0</v>
      </c>
    </row>
    <row r="1002" spans="1:12" x14ac:dyDescent="0.2">
      <c r="A1002" t="s">
        <v>385</v>
      </c>
      <c r="B1002" t="s">
        <v>386</v>
      </c>
      <c r="C1002" t="s">
        <v>34</v>
      </c>
      <c r="D1002">
        <v>6210</v>
      </c>
      <c r="E1002">
        <v>2019</v>
      </c>
      <c r="F1002">
        <v>2</v>
      </c>
      <c r="G1002">
        <v>98584</v>
      </c>
      <c r="H1002" s="1">
        <v>3</v>
      </c>
      <c r="I1002">
        <v>12</v>
      </c>
      <c r="J1002">
        <f>IF($H1002=0,1,IF($I1002&lt;=1,2,0))</f>
        <v>0</v>
      </c>
      <c r="K1002">
        <v>0</v>
      </c>
      <c r="L1002">
        <f>IF(AND($J1002=0,$K1002=0),0,1)</f>
        <v>0</v>
      </c>
    </row>
    <row r="1003" spans="1:12" x14ac:dyDescent="0.2">
      <c r="A1003" t="s">
        <v>385</v>
      </c>
      <c r="B1003" t="s">
        <v>386</v>
      </c>
      <c r="C1003" t="s">
        <v>34</v>
      </c>
      <c r="D1003">
        <v>6210</v>
      </c>
      <c r="E1003">
        <v>2019</v>
      </c>
      <c r="F1003">
        <v>3</v>
      </c>
      <c r="G1003">
        <v>98583</v>
      </c>
      <c r="H1003" s="1">
        <v>3</v>
      </c>
      <c r="I1003">
        <v>12</v>
      </c>
      <c r="J1003">
        <f>IF($H1003=0,1,IF($I1003&lt;=1,2,0))</f>
        <v>0</v>
      </c>
      <c r="K1003">
        <v>0</v>
      </c>
      <c r="L1003">
        <f>IF(AND($J1003=0,$K1003=0),0,1)</f>
        <v>0</v>
      </c>
    </row>
    <row r="1004" spans="1:12" x14ac:dyDescent="0.2">
      <c r="A1004" t="s">
        <v>385</v>
      </c>
      <c r="B1004" t="s">
        <v>386</v>
      </c>
      <c r="C1004" t="s">
        <v>34</v>
      </c>
      <c r="D1004">
        <v>6210</v>
      </c>
      <c r="E1004">
        <v>2019</v>
      </c>
      <c r="F1004">
        <v>4</v>
      </c>
      <c r="G1004">
        <v>98582</v>
      </c>
      <c r="H1004" s="1">
        <v>3</v>
      </c>
      <c r="I1004">
        <v>12</v>
      </c>
      <c r="J1004">
        <f>IF($H1004=0,1,IF($I1004&lt;=1,2,0))</f>
        <v>0</v>
      </c>
      <c r="K1004">
        <v>0</v>
      </c>
      <c r="L1004">
        <f>IF(AND($J1004=0,$K1004=0),0,1)</f>
        <v>0</v>
      </c>
    </row>
    <row r="1005" spans="1:12" x14ac:dyDescent="0.2">
      <c r="A1005" t="s">
        <v>385</v>
      </c>
      <c r="B1005" t="s">
        <v>386</v>
      </c>
      <c r="C1005" t="s">
        <v>34</v>
      </c>
      <c r="D1005">
        <v>6210</v>
      </c>
      <c r="E1005">
        <v>2019</v>
      </c>
      <c r="F1005">
        <v>1</v>
      </c>
      <c r="G1005">
        <v>98585</v>
      </c>
      <c r="H1005" s="1">
        <v>3</v>
      </c>
      <c r="I1005">
        <v>11</v>
      </c>
      <c r="J1005">
        <f>IF($H1005=0,1,IF($I1005&lt;=1,2,0))</f>
        <v>0</v>
      </c>
      <c r="K1005">
        <v>0</v>
      </c>
      <c r="L1005">
        <f>IF(AND($J1005=0,$K1005=0),0,1)</f>
        <v>0</v>
      </c>
    </row>
    <row r="1006" spans="1:12" x14ac:dyDescent="0.2">
      <c r="A1006" t="s">
        <v>385</v>
      </c>
      <c r="B1006" t="s">
        <v>386</v>
      </c>
      <c r="C1006" t="s">
        <v>407</v>
      </c>
      <c r="D1006">
        <v>6240</v>
      </c>
      <c r="E1006">
        <v>2019</v>
      </c>
      <c r="F1006">
        <v>1</v>
      </c>
      <c r="G1006">
        <v>98502</v>
      </c>
      <c r="H1006" s="1">
        <v>3</v>
      </c>
      <c r="I1006">
        <v>10</v>
      </c>
      <c r="J1006">
        <f>IF($H1006=0,1,IF($I1006&lt;=1,2,0))</f>
        <v>0</v>
      </c>
      <c r="K1006">
        <v>0</v>
      </c>
      <c r="L1006">
        <f>IF(AND($J1006=0,$K1006=0),0,1)</f>
        <v>0</v>
      </c>
    </row>
    <row r="1007" spans="1:12" x14ac:dyDescent="0.2">
      <c r="A1007" t="s">
        <v>385</v>
      </c>
      <c r="B1007" t="s">
        <v>386</v>
      </c>
      <c r="C1007" t="s">
        <v>407</v>
      </c>
      <c r="D1007">
        <v>6240</v>
      </c>
      <c r="E1007">
        <v>2019</v>
      </c>
      <c r="F1007">
        <v>3</v>
      </c>
      <c r="G1007">
        <v>98498</v>
      </c>
      <c r="H1007" s="1">
        <v>3</v>
      </c>
      <c r="I1007">
        <v>10</v>
      </c>
      <c r="J1007">
        <f>IF($H1007=0,1,IF($I1007&lt;=1,2,0))</f>
        <v>0</v>
      </c>
      <c r="K1007">
        <v>0</v>
      </c>
      <c r="L1007">
        <f>IF(AND($J1007=0,$K1007=0),0,1)</f>
        <v>0</v>
      </c>
    </row>
    <row r="1008" spans="1:12" x14ac:dyDescent="0.2">
      <c r="A1008" t="s">
        <v>385</v>
      </c>
      <c r="B1008" t="s">
        <v>386</v>
      </c>
      <c r="C1008" t="s">
        <v>407</v>
      </c>
      <c r="D1008">
        <v>6240</v>
      </c>
      <c r="E1008">
        <v>2019</v>
      </c>
      <c r="F1008">
        <v>4</v>
      </c>
      <c r="G1008">
        <v>98495</v>
      </c>
      <c r="H1008" s="1">
        <v>3</v>
      </c>
      <c r="I1008">
        <v>10</v>
      </c>
      <c r="J1008">
        <f>IF($H1008=0,1,IF($I1008&lt;=1,2,0))</f>
        <v>0</v>
      </c>
      <c r="K1008">
        <v>0</v>
      </c>
      <c r="L1008">
        <f>IF(AND($J1008=0,$K1008=0),0,1)</f>
        <v>0</v>
      </c>
    </row>
    <row r="1009" spans="1:12" x14ac:dyDescent="0.2">
      <c r="A1009" t="s">
        <v>385</v>
      </c>
      <c r="B1009" t="s">
        <v>386</v>
      </c>
      <c r="C1009" t="s">
        <v>407</v>
      </c>
      <c r="D1009">
        <v>6240</v>
      </c>
      <c r="E1009">
        <v>2019</v>
      </c>
      <c r="F1009">
        <v>5</v>
      </c>
      <c r="G1009">
        <v>98493</v>
      </c>
      <c r="H1009" s="1">
        <v>3</v>
      </c>
      <c r="I1009">
        <v>9</v>
      </c>
      <c r="J1009">
        <f>IF($H1009=0,1,IF($I1009&lt;=1,2,0))</f>
        <v>0</v>
      </c>
      <c r="K1009">
        <v>0</v>
      </c>
      <c r="L1009">
        <f>IF(AND($J1009=0,$K1009=0),0,1)</f>
        <v>0</v>
      </c>
    </row>
    <row r="1010" spans="1:12" x14ac:dyDescent="0.2">
      <c r="A1010" t="s">
        <v>385</v>
      </c>
      <c r="B1010" t="s">
        <v>386</v>
      </c>
      <c r="C1010" t="s">
        <v>407</v>
      </c>
      <c r="D1010">
        <v>6240</v>
      </c>
      <c r="E1010">
        <v>2019</v>
      </c>
      <c r="F1010">
        <v>2</v>
      </c>
      <c r="G1010">
        <v>98500</v>
      </c>
      <c r="H1010" s="1">
        <v>3</v>
      </c>
      <c r="I1010">
        <v>8</v>
      </c>
      <c r="J1010">
        <f>IF($H1010=0,1,IF($I1010&lt;=1,2,0))</f>
        <v>0</v>
      </c>
      <c r="K1010">
        <v>0</v>
      </c>
      <c r="L1010">
        <f>IF(AND($J1010=0,$K1010=0),0,1)</f>
        <v>0</v>
      </c>
    </row>
    <row r="1011" spans="1:12" x14ac:dyDescent="0.2">
      <c r="A1011" t="s">
        <v>385</v>
      </c>
      <c r="B1011" t="s">
        <v>386</v>
      </c>
      <c r="C1011" t="s">
        <v>407</v>
      </c>
      <c r="D1011">
        <v>6300</v>
      </c>
      <c r="E1011">
        <v>2019</v>
      </c>
      <c r="F1011">
        <v>1</v>
      </c>
      <c r="G1011">
        <v>44872</v>
      </c>
      <c r="H1011" s="1">
        <v>3</v>
      </c>
      <c r="I1011">
        <v>38</v>
      </c>
      <c r="J1011">
        <f>IF($H1011=0,1,IF($I1011&lt;=1,2,0))</f>
        <v>0</v>
      </c>
      <c r="K1011">
        <v>0</v>
      </c>
      <c r="L1011">
        <f>IF(AND($J1011=0,$K1011=0),0,1)</f>
        <v>0</v>
      </c>
    </row>
    <row r="1012" spans="1:12" x14ac:dyDescent="0.2">
      <c r="A1012" t="s">
        <v>385</v>
      </c>
      <c r="B1012" t="s">
        <v>386</v>
      </c>
      <c r="C1012" t="s">
        <v>407</v>
      </c>
      <c r="D1012">
        <v>8110</v>
      </c>
      <c r="E1012">
        <v>2019</v>
      </c>
      <c r="F1012">
        <v>1</v>
      </c>
      <c r="G1012">
        <v>98581</v>
      </c>
      <c r="H1012" s="1">
        <v>3</v>
      </c>
      <c r="I1012">
        <v>12</v>
      </c>
      <c r="J1012">
        <f>IF($H1012=0,1,IF($I1012&lt;=1,2,0))</f>
        <v>0</v>
      </c>
      <c r="K1012">
        <v>0</v>
      </c>
      <c r="L1012">
        <f>IF(AND($J1012=0,$K1012=0),0,1)</f>
        <v>0</v>
      </c>
    </row>
    <row r="1013" spans="1:12" x14ac:dyDescent="0.2">
      <c r="A1013" t="s">
        <v>385</v>
      </c>
      <c r="B1013" t="s">
        <v>386</v>
      </c>
      <c r="C1013" t="s">
        <v>407</v>
      </c>
      <c r="D1013">
        <v>8110</v>
      </c>
      <c r="E1013">
        <v>2019</v>
      </c>
      <c r="F1013">
        <v>3</v>
      </c>
      <c r="G1013">
        <v>14380</v>
      </c>
      <c r="H1013" s="1">
        <v>3</v>
      </c>
      <c r="I1013">
        <v>9</v>
      </c>
      <c r="J1013">
        <f>IF($H1013=0,1,IF($I1013&lt;=1,2,0))</f>
        <v>0</v>
      </c>
      <c r="K1013">
        <v>0</v>
      </c>
      <c r="L1013">
        <f>IF(AND($J1013=0,$K1013=0),0,1)</f>
        <v>0</v>
      </c>
    </row>
    <row r="1014" spans="1:12" x14ac:dyDescent="0.2">
      <c r="A1014" t="s">
        <v>385</v>
      </c>
      <c r="B1014" t="s">
        <v>386</v>
      </c>
      <c r="C1014" t="s">
        <v>407</v>
      </c>
      <c r="D1014">
        <v>8110</v>
      </c>
      <c r="E1014">
        <v>2019</v>
      </c>
      <c r="F1014">
        <v>2</v>
      </c>
      <c r="G1014">
        <v>98579</v>
      </c>
      <c r="H1014" s="1">
        <v>3</v>
      </c>
      <c r="I1014">
        <v>7</v>
      </c>
      <c r="J1014">
        <f>IF($H1014=0,1,IF($I1014&lt;=1,2,0))</f>
        <v>0</v>
      </c>
      <c r="K1014">
        <v>0</v>
      </c>
      <c r="L1014">
        <f>IF(AND($J1014=0,$K1014=0),0,1)</f>
        <v>0</v>
      </c>
    </row>
    <row r="1015" spans="1:12" x14ac:dyDescent="0.2">
      <c r="A1015" t="s">
        <v>385</v>
      </c>
      <c r="B1015" t="s">
        <v>386</v>
      </c>
      <c r="C1015" t="s">
        <v>407</v>
      </c>
      <c r="D1015">
        <v>8131</v>
      </c>
      <c r="E1015">
        <v>2019</v>
      </c>
      <c r="F1015">
        <v>1</v>
      </c>
      <c r="G1015">
        <v>98302</v>
      </c>
      <c r="H1015" s="1">
        <v>3</v>
      </c>
      <c r="I1015">
        <v>7</v>
      </c>
      <c r="J1015">
        <f>IF($H1015=0,1,IF($I1015&lt;=1,2,0))</f>
        <v>0</v>
      </c>
      <c r="K1015">
        <v>0</v>
      </c>
      <c r="L1015">
        <f>IF(AND($J1015=0,$K1015=0),0,1)</f>
        <v>0</v>
      </c>
    </row>
    <row r="1016" spans="1:12" x14ac:dyDescent="0.2">
      <c r="A1016" t="s">
        <v>385</v>
      </c>
      <c r="B1016" t="s">
        <v>386</v>
      </c>
      <c r="C1016" t="s">
        <v>407</v>
      </c>
      <c r="D1016">
        <v>8220</v>
      </c>
      <c r="E1016">
        <v>2019</v>
      </c>
      <c r="F1016">
        <v>1</v>
      </c>
      <c r="G1016">
        <v>98486</v>
      </c>
      <c r="H1016" s="1">
        <v>3</v>
      </c>
      <c r="I1016">
        <v>14</v>
      </c>
      <c r="J1016">
        <f>IF($H1016=0,1,IF($I1016&lt;=1,2,0))</f>
        <v>0</v>
      </c>
      <c r="K1016">
        <v>0</v>
      </c>
      <c r="L1016">
        <f>IF(AND($J1016=0,$K1016=0),0,1)</f>
        <v>0</v>
      </c>
    </row>
    <row r="1017" spans="1:12" x14ac:dyDescent="0.2">
      <c r="A1017" t="s">
        <v>385</v>
      </c>
      <c r="B1017" t="s">
        <v>386</v>
      </c>
      <c r="C1017" t="s">
        <v>407</v>
      </c>
      <c r="D1017">
        <v>8237</v>
      </c>
      <c r="E1017">
        <v>2019</v>
      </c>
      <c r="F1017">
        <v>1</v>
      </c>
      <c r="G1017">
        <v>98391</v>
      </c>
      <c r="H1017" s="1">
        <v>3</v>
      </c>
      <c r="I1017">
        <v>48</v>
      </c>
      <c r="J1017">
        <f>IF($H1017=0,1,IF($I1017&lt;=1,2,0))</f>
        <v>0</v>
      </c>
      <c r="K1017">
        <v>0</v>
      </c>
      <c r="L1017">
        <f>IF(AND($J1017=0,$K1017=0),0,1)</f>
        <v>0</v>
      </c>
    </row>
    <row r="1018" spans="1:12" x14ac:dyDescent="0.2">
      <c r="A1018" t="s">
        <v>385</v>
      </c>
      <c r="B1018" t="s">
        <v>386</v>
      </c>
      <c r="C1018" t="s">
        <v>407</v>
      </c>
      <c r="D1018">
        <v>8305</v>
      </c>
      <c r="E1018">
        <v>2019</v>
      </c>
      <c r="F1018">
        <v>1</v>
      </c>
      <c r="G1018">
        <v>98389</v>
      </c>
      <c r="H1018" s="1">
        <v>3</v>
      </c>
      <c r="I1018">
        <v>11</v>
      </c>
      <c r="J1018">
        <f>IF($H1018=0,1,IF($I1018&lt;=1,2,0))</f>
        <v>0</v>
      </c>
      <c r="K1018">
        <v>0</v>
      </c>
      <c r="L1018">
        <f>IF(AND($J1018=0,$K1018=0),0,1)</f>
        <v>0</v>
      </c>
    </row>
    <row r="1019" spans="1:12" x14ac:dyDescent="0.2">
      <c r="A1019" t="s">
        <v>385</v>
      </c>
      <c r="B1019" t="s">
        <v>386</v>
      </c>
      <c r="C1019" t="s">
        <v>407</v>
      </c>
      <c r="D1019">
        <v>8320</v>
      </c>
      <c r="E1019">
        <v>2019</v>
      </c>
      <c r="F1019">
        <v>1</v>
      </c>
      <c r="G1019">
        <v>98576</v>
      </c>
      <c r="H1019" s="1">
        <v>3</v>
      </c>
      <c r="I1019">
        <v>14</v>
      </c>
      <c r="J1019">
        <f>IF($H1019=0,1,IF($I1019&lt;=1,2,0))</f>
        <v>0</v>
      </c>
      <c r="K1019">
        <v>0</v>
      </c>
      <c r="L1019">
        <f>IF(AND($J1019=0,$K1019=0),0,1)</f>
        <v>0</v>
      </c>
    </row>
    <row r="1020" spans="1:12" x14ac:dyDescent="0.2">
      <c r="A1020" t="s">
        <v>385</v>
      </c>
      <c r="B1020" t="s">
        <v>386</v>
      </c>
      <c r="C1020" t="s">
        <v>407</v>
      </c>
      <c r="D1020">
        <v>8360</v>
      </c>
      <c r="E1020">
        <v>2019</v>
      </c>
      <c r="F1020">
        <v>1</v>
      </c>
      <c r="G1020">
        <v>44871</v>
      </c>
      <c r="H1020" s="1">
        <v>3</v>
      </c>
      <c r="I1020">
        <v>12</v>
      </c>
      <c r="J1020">
        <f>IF($H1020=0,1,IF($I1020&lt;=1,2,0))</f>
        <v>0</v>
      </c>
      <c r="K1020">
        <v>0</v>
      </c>
      <c r="L1020">
        <f>IF(AND($J1020=0,$K1020=0),0,1)</f>
        <v>0</v>
      </c>
    </row>
    <row r="1021" spans="1:12" x14ac:dyDescent="0.2">
      <c r="A1021" t="s">
        <v>385</v>
      </c>
      <c r="B1021" t="s">
        <v>386</v>
      </c>
      <c r="C1021" t="s">
        <v>407</v>
      </c>
      <c r="D1021">
        <v>8800</v>
      </c>
      <c r="E1021">
        <v>2019</v>
      </c>
      <c r="F1021">
        <v>1</v>
      </c>
      <c r="G1021">
        <v>98387</v>
      </c>
      <c r="H1021" s="1" t="s">
        <v>1827</v>
      </c>
      <c r="I1021">
        <v>8</v>
      </c>
      <c r="J1021">
        <f>IF($H1021=0,1,IF($I1021&lt;=1,2,0))</f>
        <v>0</v>
      </c>
      <c r="K1021">
        <v>0</v>
      </c>
      <c r="L1021">
        <f>IF(AND($J1021=0,$K1021=0),0,1)</f>
        <v>0</v>
      </c>
    </row>
    <row r="1022" spans="1:12" x14ac:dyDescent="0.2">
      <c r="A1022" t="s">
        <v>416</v>
      </c>
      <c r="B1022" t="s">
        <v>17</v>
      </c>
      <c r="C1022" t="s">
        <v>9</v>
      </c>
      <c r="D1022">
        <v>1101</v>
      </c>
      <c r="E1022">
        <v>2019</v>
      </c>
      <c r="F1022">
        <v>1</v>
      </c>
      <c r="G1022">
        <v>54528</v>
      </c>
      <c r="H1022" s="1">
        <v>4</v>
      </c>
      <c r="I1022">
        <v>6</v>
      </c>
      <c r="J1022">
        <f>IF($H1022=0,1,IF($I1022&lt;=1,2,0))</f>
        <v>0</v>
      </c>
      <c r="K1022">
        <v>0</v>
      </c>
      <c r="L1022">
        <f>IF(AND($J1022=0,$K1022=0),0,1)</f>
        <v>0</v>
      </c>
    </row>
    <row r="1023" spans="1:12" x14ac:dyDescent="0.2">
      <c r="A1023" t="s">
        <v>417</v>
      </c>
      <c r="B1023" t="s">
        <v>17</v>
      </c>
      <c r="C1023" t="s">
        <v>9</v>
      </c>
      <c r="D1023">
        <v>1101</v>
      </c>
      <c r="E1023">
        <v>2019</v>
      </c>
      <c r="F1023">
        <v>5</v>
      </c>
      <c r="G1023">
        <v>50931</v>
      </c>
      <c r="H1023" s="1">
        <v>4</v>
      </c>
      <c r="I1023">
        <v>18</v>
      </c>
      <c r="J1023">
        <f>IF($H1023=0,1,IF($I1023&lt;=1,2,0))</f>
        <v>0</v>
      </c>
      <c r="K1023">
        <v>0</v>
      </c>
      <c r="L1023">
        <f>IF(AND($J1023=0,$K1023=0),0,1)</f>
        <v>0</v>
      </c>
    </row>
    <row r="1024" spans="1:12" x14ac:dyDescent="0.2">
      <c r="A1024" t="s">
        <v>417</v>
      </c>
      <c r="B1024" t="s">
        <v>17</v>
      </c>
      <c r="C1024" t="s">
        <v>9</v>
      </c>
      <c r="D1024">
        <v>1101</v>
      </c>
      <c r="E1024">
        <v>2019</v>
      </c>
      <c r="F1024">
        <v>6</v>
      </c>
      <c r="G1024">
        <v>50932</v>
      </c>
      <c r="H1024" s="1">
        <v>4</v>
      </c>
      <c r="I1024">
        <v>18</v>
      </c>
      <c r="J1024">
        <f>IF($H1024=0,1,IF($I1024&lt;=1,2,0))</f>
        <v>0</v>
      </c>
      <c r="K1024">
        <v>0</v>
      </c>
      <c r="L1024">
        <f>IF(AND($J1024=0,$K1024=0),0,1)</f>
        <v>0</v>
      </c>
    </row>
    <row r="1025" spans="1:12" x14ac:dyDescent="0.2">
      <c r="A1025" t="s">
        <v>417</v>
      </c>
      <c r="B1025" t="s">
        <v>17</v>
      </c>
      <c r="C1025" t="s">
        <v>9</v>
      </c>
      <c r="D1025">
        <v>1101</v>
      </c>
      <c r="E1025">
        <v>2019</v>
      </c>
      <c r="F1025">
        <v>2</v>
      </c>
      <c r="G1025">
        <v>50928</v>
      </c>
      <c r="H1025" s="1">
        <v>4</v>
      </c>
      <c r="I1025">
        <v>17</v>
      </c>
      <c r="J1025">
        <f>IF($H1025=0,1,IF($I1025&lt;=1,2,0))</f>
        <v>0</v>
      </c>
      <c r="K1025">
        <v>0</v>
      </c>
      <c r="L1025">
        <f>IF(AND($J1025=0,$K1025=0),0,1)</f>
        <v>0</v>
      </c>
    </row>
    <row r="1026" spans="1:12" x14ac:dyDescent="0.2">
      <c r="A1026" t="s">
        <v>417</v>
      </c>
      <c r="B1026" t="s">
        <v>17</v>
      </c>
      <c r="C1026" t="s">
        <v>9</v>
      </c>
      <c r="D1026">
        <v>1101</v>
      </c>
      <c r="E1026">
        <v>2019</v>
      </c>
      <c r="F1026">
        <v>3</v>
      </c>
      <c r="G1026">
        <v>50929</v>
      </c>
      <c r="H1026" s="1">
        <v>4</v>
      </c>
      <c r="I1026">
        <v>15</v>
      </c>
      <c r="J1026">
        <f>IF($H1026=0,1,IF($I1026&lt;=1,2,0))</f>
        <v>0</v>
      </c>
      <c r="K1026">
        <v>0</v>
      </c>
      <c r="L1026">
        <f>IF(AND($J1026=0,$K1026=0),0,1)</f>
        <v>0</v>
      </c>
    </row>
    <row r="1027" spans="1:12" x14ac:dyDescent="0.2">
      <c r="A1027" t="s">
        <v>417</v>
      </c>
      <c r="B1027" t="s">
        <v>17</v>
      </c>
      <c r="C1027" t="s">
        <v>9</v>
      </c>
      <c r="D1027">
        <v>1101</v>
      </c>
      <c r="E1027">
        <v>2019</v>
      </c>
      <c r="F1027">
        <v>4</v>
      </c>
      <c r="G1027">
        <v>50930</v>
      </c>
      <c r="H1027" s="1">
        <v>4</v>
      </c>
      <c r="I1027">
        <v>14</v>
      </c>
      <c r="J1027">
        <f>IF($H1027=0,1,IF($I1027&lt;=1,2,0))</f>
        <v>0</v>
      </c>
      <c r="K1027">
        <v>0</v>
      </c>
      <c r="L1027">
        <f>IF(AND($J1027=0,$K1027=0),0,1)</f>
        <v>0</v>
      </c>
    </row>
    <row r="1028" spans="1:12" x14ac:dyDescent="0.2">
      <c r="A1028" t="s">
        <v>417</v>
      </c>
      <c r="B1028" t="s">
        <v>17</v>
      </c>
      <c r="C1028" t="s">
        <v>9</v>
      </c>
      <c r="D1028">
        <v>1101</v>
      </c>
      <c r="E1028">
        <v>2019</v>
      </c>
      <c r="F1028">
        <v>7</v>
      </c>
      <c r="G1028">
        <v>50933</v>
      </c>
      <c r="H1028" s="1">
        <v>4</v>
      </c>
      <c r="I1028">
        <v>13</v>
      </c>
      <c r="J1028">
        <f>IF($H1028=0,1,IF($I1028&lt;=1,2,0))</f>
        <v>0</v>
      </c>
      <c r="K1028">
        <v>0</v>
      </c>
      <c r="L1028">
        <f>IF(AND($J1028=0,$K1028=0),0,1)</f>
        <v>0</v>
      </c>
    </row>
    <row r="1029" spans="1:12" x14ac:dyDescent="0.2">
      <c r="A1029" t="s">
        <v>417</v>
      </c>
      <c r="B1029" t="s">
        <v>17</v>
      </c>
      <c r="C1029" t="s">
        <v>9</v>
      </c>
      <c r="D1029">
        <v>1101</v>
      </c>
      <c r="E1029">
        <v>2019</v>
      </c>
      <c r="F1029">
        <v>9</v>
      </c>
      <c r="G1029">
        <v>51008</v>
      </c>
      <c r="H1029" s="1">
        <v>4</v>
      </c>
      <c r="I1029">
        <v>13</v>
      </c>
      <c r="J1029">
        <f>IF($H1029=0,1,IF($I1029&lt;=1,2,0))</f>
        <v>0</v>
      </c>
      <c r="K1029">
        <v>0</v>
      </c>
      <c r="L1029">
        <f>IF(AND($J1029=0,$K1029=0),0,1)</f>
        <v>0</v>
      </c>
    </row>
    <row r="1030" spans="1:12" x14ac:dyDescent="0.2">
      <c r="A1030" t="s">
        <v>417</v>
      </c>
      <c r="B1030" t="s">
        <v>17</v>
      </c>
      <c r="C1030" t="s">
        <v>9</v>
      </c>
      <c r="D1030">
        <v>1101</v>
      </c>
      <c r="E1030">
        <v>2019</v>
      </c>
      <c r="F1030">
        <v>10</v>
      </c>
      <c r="G1030">
        <v>51009</v>
      </c>
      <c r="H1030" s="1">
        <v>4</v>
      </c>
      <c r="I1030">
        <v>13</v>
      </c>
      <c r="J1030">
        <f>IF($H1030=0,1,IF($I1030&lt;=1,2,0))</f>
        <v>0</v>
      </c>
      <c r="K1030">
        <v>0</v>
      </c>
      <c r="L1030">
        <f>IF(AND($J1030=0,$K1030=0),0,1)</f>
        <v>0</v>
      </c>
    </row>
    <row r="1031" spans="1:12" x14ac:dyDescent="0.2">
      <c r="A1031" t="s">
        <v>417</v>
      </c>
      <c r="B1031" t="s">
        <v>17</v>
      </c>
      <c r="C1031" t="s">
        <v>9</v>
      </c>
      <c r="D1031">
        <v>1101</v>
      </c>
      <c r="E1031">
        <v>2019</v>
      </c>
      <c r="F1031">
        <v>1</v>
      </c>
      <c r="G1031">
        <v>50927</v>
      </c>
      <c r="H1031" s="1">
        <v>4</v>
      </c>
      <c r="I1031">
        <v>10</v>
      </c>
      <c r="J1031">
        <f>IF($H1031=0,1,IF($I1031&lt;=1,2,0))</f>
        <v>0</v>
      </c>
      <c r="K1031">
        <v>0</v>
      </c>
      <c r="L1031">
        <f>IF(AND($J1031=0,$K1031=0),0,1)</f>
        <v>0</v>
      </c>
    </row>
    <row r="1032" spans="1:12" x14ac:dyDescent="0.2">
      <c r="A1032" t="s">
        <v>417</v>
      </c>
      <c r="B1032" t="s">
        <v>17</v>
      </c>
      <c r="C1032" t="s">
        <v>9</v>
      </c>
      <c r="D1032">
        <v>1101</v>
      </c>
      <c r="E1032">
        <v>2019</v>
      </c>
      <c r="F1032">
        <v>8</v>
      </c>
      <c r="G1032">
        <v>51007</v>
      </c>
      <c r="H1032" s="1">
        <v>4</v>
      </c>
      <c r="I1032">
        <v>6</v>
      </c>
      <c r="J1032">
        <f>IF($H1032=0,1,IF($I1032&lt;=1,2,0))</f>
        <v>0</v>
      </c>
      <c r="K1032">
        <v>0</v>
      </c>
      <c r="L1032">
        <f>IF(AND($J1032=0,$K1032=0),0,1)</f>
        <v>0</v>
      </c>
    </row>
    <row r="1033" spans="1:12" x14ac:dyDescent="0.2">
      <c r="A1033" t="s">
        <v>417</v>
      </c>
      <c r="B1033" t="s">
        <v>17</v>
      </c>
      <c r="C1033" t="s">
        <v>9</v>
      </c>
      <c r="D1033">
        <v>1102</v>
      </c>
      <c r="E1033">
        <v>2019</v>
      </c>
      <c r="F1033">
        <v>2</v>
      </c>
      <c r="G1033">
        <v>50961</v>
      </c>
      <c r="H1033" s="1">
        <v>4</v>
      </c>
      <c r="I1033">
        <v>17</v>
      </c>
      <c r="J1033">
        <f>IF($H1033=0,1,IF($I1033&lt;=1,2,0))</f>
        <v>0</v>
      </c>
      <c r="K1033">
        <v>0</v>
      </c>
      <c r="L1033">
        <f>IF(AND($J1033=0,$K1033=0),0,1)</f>
        <v>0</v>
      </c>
    </row>
    <row r="1034" spans="1:12" x14ac:dyDescent="0.2">
      <c r="A1034" t="s">
        <v>417</v>
      </c>
      <c r="B1034" t="s">
        <v>17</v>
      </c>
      <c r="C1034" t="s">
        <v>9</v>
      </c>
      <c r="D1034">
        <v>1102</v>
      </c>
      <c r="E1034">
        <v>2019</v>
      </c>
      <c r="F1034">
        <v>3</v>
      </c>
      <c r="G1034">
        <v>50962</v>
      </c>
      <c r="H1034" s="1">
        <v>4</v>
      </c>
      <c r="I1034">
        <v>13</v>
      </c>
      <c r="J1034">
        <f>IF($H1034=0,1,IF($I1034&lt;=1,2,0))</f>
        <v>0</v>
      </c>
      <c r="K1034">
        <v>0</v>
      </c>
      <c r="L1034">
        <f>IF(AND($J1034=0,$K1034=0),0,1)</f>
        <v>0</v>
      </c>
    </row>
    <row r="1035" spans="1:12" x14ac:dyDescent="0.2">
      <c r="A1035" t="s">
        <v>417</v>
      </c>
      <c r="B1035" t="s">
        <v>17</v>
      </c>
      <c r="C1035" t="s">
        <v>9</v>
      </c>
      <c r="D1035">
        <v>1102</v>
      </c>
      <c r="E1035">
        <v>2019</v>
      </c>
      <c r="F1035">
        <v>6</v>
      </c>
      <c r="G1035">
        <v>51013</v>
      </c>
      <c r="H1035" s="1">
        <v>4</v>
      </c>
      <c r="I1035">
        <v>13</v>
      </c>
      <c r="J1035">
        <f>IF($H1035=0,1,IF($I1035&lt;=1,2,0))</f>
        <v>0</v>
      </c>
      <c r="K1035">
        <v>0</v>
      </c>
      <c r="L1035">
        <f>IF(AND($J1035=0,$K1035=0),0,1)</f>
        <v>0</v>
      </c>
    </row>
    <row r="1036" spans="1:12" x14ac:dyDescent="0.2">
      <c r="A1036" t="s">
        <v>417</v>
      </c>
      <c r="B1036" t="s">
        <v>17</v>
      </c>
      <c r="C1036" t="s">
        <v>9</v>
      </c>
      <c r="D1036">
        <v>1102</v>
      </c>
      <c r="E1036">
        <v>2019</v>
      </c>
      <c r="F1036">
        <v>1</v>
      </c>
      <c r="G1036">
        <v>50960</v>
      </c>
      <c r="H1036" s="1">
        <v>4</v>
      </c>
      <c r="I1036">
        <v>12</v>
      </c>
      <c r="J1036">
        <f>IF($H1036=0,1,IF($I1036&lt;=1,2,0))</f>
        <v>0</v>
      </c>
      <c r="K1036">
        <v>0</v>
      </c>
      <c r="L1036">
        <f>IF(AND($J1036=0,$K1036=0),0,1)</f>
        <v>0</v>
      </c>
    </row>
    <row r="1037" spans="1:12" x14ac:dyDescent="0.2">
      <c r="A1037" t="s">
        <v>417</v>
      </c>
      <c r="B1037" t="s">
        <v>17</v>
      </c>
      <c r="C1037" t="s">
        <v>9</v>
      </c>
      <c r="D1037">
        <v>1102</v>
      </c>
      <c r="E1037">
        <v>2019</v>
      </c>
      <c r="F1037">
        <v>4</v>
      </c>
      <c r="G1037">
        <v>50963</v>
      </c>
      <c r="H1037" s="1">
        <v>4</v>
      </c>
      <c r="I1037">
        <v>12</v>
      </c>
      <c r="J1037">
        <f>IF($H1037=0,1,IF($I1037&lt;=1,2,0))</f>
        <v>0</v>
      </c>
      <c r="K1037">
        <v>0</v>
      </c>
      <c r="L1037">
        <f>IF(AND($J1037=0,$K1037=0),0,1)</f>
        <v>0</v>
      </c>
    </row>
    <row r="1038" spans="1:12" x14ac:dyDescent="0.2">
      <c r="A1038" t="s">
        <v>417</v>
      </c>
      <c r="B1038" t="s">
        <v>17</v>
      </c>
      <c r="C1038" t="s">
        <v>9</v>
      </c>
      <c r="D1038">
        <v>1102</v>
      </c>
      <c r="E1038">
        <v>2019</v>
      </c>
      <c r="F1038">
        <v>5</v>
      </c>
      <c r="G1038">
        <v>50964</v>
      </c>
      <c r="H1038" s="1">
        <v>4</v>
      </c>
      <c r="I1038">
        <v>8</v>
      </c>
      <c r="J1038">
        <f>IF($H1038=0,1,IF($I1038&lt;=1,2,0))</f>
        <v>0</v>
      </c>
      <c r="K1038">
        <v>0</v>
      </c>
      <c r="L1038">
        <f>IF(AND($J1038=0,$K1038=0),0,1)</f>
        <v>0</v>
      </c>
    </row>
    <row r="1039" spans="1:12" x14ac:dyDescent="0.2">
      <c r="A1039" t="s">
        <v>417</v>
      </c>
      <c r="B1039" t="s">
        <v>17</v>
      </c>
      <c r="C1039" t="s">
        <v>9</v>
      </c>
      <c r="D1039">
        <v>1105</v>
      </c>
      <c r="E1039">
        <v>2019</v>
      </c>
      <c r="F1039">
        <v>1</v>
      </c>
      <c r="G1039">
        <v>50992</v>
      </c>
      <c r="H1039" s="1">
        <v>8</v>
      </c>
      <c r="I1039">
        <v>9</v>
      </c>
      <c r="J1039">
        <f>IF($H1039=0,1,IF($I1039&lt;=1,2,0))</f>
        <v>0</v>
      </c>
      <c r="K1039">
        <v>0</v>
      </c>
      <c r="L1039">
        <f>IF(AND($J1039=0,$K1039=0),0,1)</f>
        <v>0</v>
      </c>
    </row>
    <row r="1040" spans="1:12" x14ac:dyDescent="0.2">
      <c r="A1040" t="s">
        <v>417</v>
      </c>
      <c r="B1040" t="s">
        <v>17</v>
      </c>
      <c r="C1040" t="s">
        <v>9</v>
      </c>
      <c r="D1040">
        <v>1107</v>
      </c>
      <c r="E1040">
        <v>2019</v>
      </c>
      <c r="F1040">
        <v>1</v>
      </c>
      <c r="G1040">
        <v>50965</v>
      </c>
      <c r="H1040" s="1">
        <v>4</v>
      </c>
      <c r="I1040">
        <v>6</v>
      </c>
      <c r="J1040">
        <f>IF($H1040=0,1,IF($I1040&lt;=1,2,0))</f>
        <v>0</v>
      </c>
      <c r="K1040">
        <v>0</v>
      </c>
      <c r="L1040">
        <f>IF(AND($J1040=0,$K1040=0),0,1)</f>
        <v>0</v>
      </c>
    </row>
    <row r="1041" spans="1:12" x14ac:dyDescent="0.2">
      <c r="A1041" t="s">
        <v>417</v>
      </c>
      <c r="B1041" t="s">
        <v>17</v>
      </c>
      <c r="C1041" t="s">
        <v>9</v>
      </c>
      <c r="D1041">
        <v>2101</v>
      </c>
      <c r="E1041">
        <v>2019</v>
      </c>
      <c r="F1041">
        <v>4</v>
      </c>
      <c r="G1041">
        <v>50969</v>
      </c>
      <c r="H1041" s="1">
        <v>4</v>
      </c>
      <c r="I1041">
        <v>18</v>
      </c>
      <c r="J1041">
        <f>IF($H1041=0,1,IF($I1041&lt;=1,2,0))</f>
        <v>0</v>
      </c>
      <c r="K1041">
        <v>0</v>
      </c>
      <c r="L1041">
        <f>IF(AND($J1041=0,$K1041=0),0,1)</f>
        <v>0</v>
      </c>
    </row>
    <row r="1042" spans="1:12" x14ac:dyDescent="0.2">
      <c r="A1042" t="s">
        <v>417</v>
      </c>
      <c r="B1042" t="s">
        <v>17</v>
      </c>
      <c r="C1042" t="s">
        <v>9</v>
      </c>
      <c r="D1042">
        <v>2101</v>
      </c>
      <c r="E1042">
        <v>2019</v>
      </c>
      <c r="F1042">
        <v>8</v>
      </c>
      <c r="G1042">
        <v>51010</v>
      </c>
      <c r="H1042" s="1">
        <v>4</v>
      </c>
      <c r="I1042">
        <v>15</v>
      </c>
      <c r="J1042">
        <f>IF($H1042=0,1,IF($I1042&lt;=1,2,0))</f>
        <v>0</v>
      </c>
      <c r="K1042">
        <v>0</v>
      </c>
      <c r="L1042">
        <f>IF(AND($J1042=0,$K1042=0),0,1)</f>
        <v>0</v>
      </c>
    </row>
    <row r="1043" spans="1:12" x14ac:dyDescent="0.2">
      <c r="A1043" t="s">
        <v>417</v>
      </c>
      <c r="B1043" t="s">
        <v>17</v>
      </c>
      <c r="C1043" t="s">
        <v>9</v>
      </c>
      <c r="D1043">
        <v>2101</v>
      </c>
      <c r="E1043">
        <v>2019</v>
      </c>
      <c r="F1043">
        <v>1</v>
      </c>
      <c r="G1043">
        <v>50966</v>
      </c>
      <c r="H1043" s="1">
        <v>4</v>
      </c>
      <c r="I1043">
        <v>14</v>
      </c>
      <c r="J1043">
        <f>IF($H1043=0,1,IF($I1043&lt;=1,2,0))</f>
        <v>0</v>
      </c>
      <c r="K1043">
        <v>0</v>
      </c>
      <c r="L1043">
        <f>IF(AND($J1043=0,$K1043=0),0,1)</f>
        <v>0</v>
      </c>
    </row>
    <row r="1044" spans="1:12" x14ac:dyDescent="0.2">
      <c r="A1044" t="s">
        <v>417</v>
      </c>
      <c r="B1044" t="s">
        <v>17</v>
      </c>
      <c r="C1044" t="s">
        <v>9</v>
      </c>
      <c r="D1044">
        <v>2101</v>
      </c>
      <c r="E1044">
        <v>2019</v>
      </c>
      <c r="F1044">
        <v>9</v>
      </c>
      <c r="G1044">
        <v>51011</v>
      </c>
      <c r="H1044" s="1">
        <v>4</v>
      </c>
      <c r="I1044">
        <v>14</v>
      </c>
      <c r="J1044">
        <f>IF($H1044=0,1,IF($I1044&lt;=1,2,0))</f>
        <v>0</v>
      </c>
      <c r="K1044">
        <v>0</v>
      </c>
      <c r="L1044">
        <f>IF(AND($J1044=0,$K1044=0),0,1)</f>
        <v>0</v>
      </c>
    </row>
    <row r="1045" spans="1:12" x14ac:dyDescent="0.2">
      <c r="A1045" t="s">
        <v>417</v>
      </c>
      <c r="B1045" t="s">
        <v>17</v>
      </c>
      <c r="C1045" t="s">
        <v>9</v>
      </c>
      <c r="D1045">
        <v>2101</v>
      </c>
      <c r="E1045">
        <v>2019</v>
      </c>
      <c r="F1045">
        <v>3</v>
      </c>
      <c r="G1045">
        <v>50968</v>
      </c>
      <c r="H1045" s="1">
        <v>4</v>
      </c>
      <c r="I1045">
        <v>11</v>
      </c>
      <c r="J1045">
        <f>IF($H1045=0,1,IF($I1045&lt;=1,2,0))</f>
        <v>0</v>
      </c>
      <c r="K1045">
        <v>0</v>
      </c>
      <c r="L1045">
        <f>IF(AND($J1045=0,$K1045=0),0,1)</f>
        <v>0</v>
      </c>
    </row>
    <row r="1046" spans="1:12" x14ac:dyDescent="0.2">
      <c r="A1046" t="s">
        <v>417</v>
      </c>
      <c r="B1046" t="s">
        <v>17</v>
      </c>
      <c r="C1046" t="s">
        <v>9</v>
      </c>
      <c r="D1046">
        <v>2101</v>
      </c>
      <c r="E1046">
        <v>2019</v>
      </c>
      <c r="F1046">
        <v>2</v>
      </c>
      <c r="G1046">
        <v>50967</v>
      </c>
      <c r="H1046" s="1">
        <v>4</v>
      </c>
      <c r="I1046">
        <v>8</v>
      </c>
      <c r="J1046">
        <f>IF($H1046=0,1,IF($I1046&lt;=1,2,0))</f>
        <v>0</v>
      </c>
      <c r="K1046">
        <v>0</v>
      </c>
      <c r="L1046">
        <f>IF(AND($J1046=0,$K1046=0),0,1)</f>
        <v>0</v>
      </c>
    </row>
    <row r="1047" spans="1:12" x14ac:dyDescent="0.2">
      <c r="A1047" t="s">
        <v>417</v>
      </c>
      <c r="B1047" t="s">
        <v>17</v>
      </c>
      <c r="C1047" t="s">
        <v>9</v>
      </c>
      <c r="D1047">
        <v>2101</v>
      </c>
      <c r="E1047">
        <v>2019</v>
      </c>
      <c r="F1047">
        <v>7</v>
      </c>
      <c r="G1047">
        <v>50972</v>
      </c>
      <c r="H1047" s="1">
        <v>4</v>
      </c>
      <c r="I1047">
        <v>8</v>
      </c>
      <c r="J1047">
        <f>IF($H1047=0,1,IF($I1047&lt;=1,2,0))</f>
        <v>0</v>
      </c>
      <c r="K1047">
        <v>0</v>
      </c>
      <c r="L1047">
        <f>IF(AND($J1047=0,$K1047=0),0,1)</f>
        <v>0</v>
      </c>
    </row>
    <row r="1048" spans="1:12" x14ac:dyDescent="0.2">
      <c r="A1048" t="s">
        <v>417</v>
      </c>
      <c r="B1048" t="s">
        <v>17</v>
      </c>
      <c r="C1048" t="s">
        <v>9</v>
      </c>
      <c r="D1048">
        <v>2101</v>
      </c>
      <c r="E1048">
        <v>2019</v>
      </c>
      <c r="F1048">
        <v>6</v>
      </c>
      <c r="G1048">
        <v>50971</v>
      </c>
      <c r="H1048" s="1">
        <v>4</v>
      </c>
      <c r="I1048">
        <v>6</v>
      </c>
      <c r="J1048">
        <f>IF($H1048=0,1,IF($I1048&lt;=1,2,0))</f>
        <v>0</v>
      </c>
      <c r="K1048">
        <v>0</v>
      </c>
      <c r="L1048">
        <f>IF(AND($J1048=0,$K1048=0),0,1)</f>
        <v>0</v>
      </c>
    </row>
    <row r="1049" spans="1:12" x14ac:dyDescent="0.2">
      <c r="A1049" t="s">
        <v>417</v>
      </c>
      <c r="B1049" t="s">
        <v>17</v>
      </c>
      <c r="C1049" t="s">
        <v>9</v>
      </c>
      <c r="D1049">
        <v>2102</v>
      </c>
      <c r="E1049">
        <v>2019</v>
      </c>
      <c r="F1049">
        <v>3</v>
      </c>
      <c r="G1049">
        <v>50995</v>
      </c>
      <c r="H1049" s="1">
        <v>4</v>
      </c>
      <c r="I1049">
        <v>16</v>
      </c>
      <c r="J1049">
        <f>IF($H1049=0,1,IF($I1049&lt;=1,2,0))</f>
        <v>0</v>
      </c>
      <c r="K1049">
        <v>0</v>
      </c>
      <c r="L1049">
        <f>IF(AND($J1049=0,$K1049=0),0,1)</f>
        <v>0</v>
      </c>
    </row>
    <row r="1050" spans="1:12" x14ac:dyDescent="0.2">
      <c r="A1050" t="s">
        <v>417</v>
      </c>
      <c r="B1050" t="s">
        <v>17</v>
      </c>
      <c r="C1050" t="s">
        <v>9</v>
      </c>
      <c r="D1050">
        <v>2102</v>
      </c>
      <c r="E1050">
        <v>2019</v>
      </c>
      <c r="F1050">
        <v>2</v>
      </c>
      <c r="G1050">
        <v>50994</v>
      </c>
      <c r="H1050" s="1">
        <v>4</v>
      </c>
      <c r="I1050">
        <v>15</v>
      </c>
      <c r="J1050">
        <f>IF($H1050=0,1,IF($I1050&lt;=1,2,0))</f>
        <v>0</v>
      </c>
      <c r="K1050">
        <v>0</v>
      </c>
      <c r="L1050">
        <f>IF(AND($J1050=0,$K1050=0),0,1)</f>
        <v>0</v>
      </c>
    </row>
    <row r="1051" spans="1:12" x14ac:dyDescent="0.2">
      <c r="A1051" t="s">
        <v>417</v>
      </c>
      <c r="B1051" t="s">
        <v>17</v>
      </c>
      <c r="C1051" t="s">
        <v>9</v>
      </c>
      <c r="D1051">
        <v>2102</v>
      </c>
      <c r="E1051">
        <v>2019</v>
      </c>
      <c r="F1051">
        <v>4</v>
      </c>
      <c r="G1051">
        <v>50996</v>
      </c>
      <c r="H1051" s="1">
        <v>4</v>
      </c>
      <c r="I1051">
        <v>15</v>
      </c>
      <c r="J1051">
        <f>IF($H1051=0,1,IF($I1051&lt;=1,2,0))</f>
        <v>0</v>
      </c>
      <c r="K1051">
        <v>0</v>
      </c>
      <c r="L1051">
        <f>IF(AND($J1051=0,$K1051=0),0,1)</f>
        <v>0</v>
      </c>
    </row>
    <row r="1052" spans="1:12" x14ac:dyDescent="0.2">
      <c r="A1052" t="s">
        <v>417</v>
      </c>
      <c r="B1052" t="s">
        <v>17</v>
      </c>
      <c r="C1052" t="s">
        <v>9</v>
      </c>
      <c r="D1052">
        <v>2102</v>
      </c>
      <c r="E1052">
        <v>2019</v>
      </c>
      <c r="F1052">
        <v>5</v>
      </c>
      <c r="G1052">
        <v>51012</v>
      </c>
      <c r="H1052" s="1">
        <v>4</v>
      </c>
      <c r="I1052">
        <v>13</v>
      </c>
      <c r="J1052">
        <f>IF($H1052=0,1,IF($I1052&lt;=1,2,0))</f>
        <v>0</v>
      </c>
      <c r="K1052">
        <v>0</v>
      </c>
      <c r="L1052">
        <f>IF(AND($J1052=0,$K1052=0),0,1)</f>
        <v>0</v>
      </c>
    </row>
    <row r="1053" spans="1:12" x14ac:dyDescent="0.2">
      <c r="A1053" t="s">
        <v>417</v>
      </c>
      <c r="B1053" t="s">
        <v>17</v>
      </c>
      <c r="C1053" t="s">
        <v>9</v>
      </c>
      <c r="D1053">
        <v>2102</v>
      </c>
      <c r="E1053">
        <v>2019</v>
      </c>
      <c r="F1053">
        <v>1</v>
      </c>
      <c r="G1053">
        <v>50993</v>
      </c>
      <c r="H1053" s="1">
        <v>4</v>
      </c>
      <c r="I1053">
        <v>10</v>
      </c>
      <c r="J1053">
        <f>IF($H1053=0,1,IF($I1053&lt;=1,2,0))</f>
        <v>0</v>
      </c>
      <c r="K1053">
        <v>0</v>
      </c>
      <c r="L1053">
        <f>IF(AND($J1053=0,$K1053=0),0,1)</f>
        <v>0</v>
      </c>
    </row>
    <row r="1054" spans="1:12" x14ac:dyDescent="0.2">
      <c r="A1054" t="s">
        <v>417</v>
      </c>
      <c r="B1054" t="s">
        <v>17</v>
      </c>
      <c r="C1054" t="s">
        <v>9</v>
      </c>
      <c r="D1054">
        <v>2105</v>
      </c>
      <c r="E1054">
        <v>2019</v>
      </c>
      <c r="F1054">
        <v>1</v>
      </c>
      <c r="G1054">
        <v>29211</v>
      </c>
      <c r="H1054" s="1">
        <v>6</v>
      </c>
      <c r="I1054">
        <v>11</v>
      </c>
      <c r="J1054">
        <f>IF($H1054=0,1,IF($I1054&lt;=1,2,0))</f>
        <v>0</v>
      </c>
      <c r="K1054">
        <v>0</v>
      </c>
      <c r="L1054">
        <f>IF(AND($J1054=0,$K1054=0),0,1)</f>
        <v>0</v>
      </c>
    </row>
    <row r="1055" spans="1:12" x14ac:dyDescent="0.2">
      <c r="A1055" t="s">
        <v>417</v>
      </c>
      <c r="B1055" t="s">
        <v>17</v>
      </c>
      <c r="C1055" t="s">
        <v>9</v>
      </c>
      <c r="D1055">
        <v>2106</v>
      </c>
      <c r="E1055">
        <v>2019</v>
      </c>
      <c r="F1055">
        <v>1</v>
      </c>
      <c r="G1055">
        <v>50919</v>
      </c>
      <c r="H1055" s="1">
        <v>3</v>
      </c>
      <c r="I1055">
        <v>8</v>
      </c>
      <c r="J1055">
        <f>IF($H1055=0,1,IF($I1055&lt;=1,2,0))</f>
        <v>0</v>
      </c>
      <c r="K1055">
        <v>0</v>
      </c>
      <c r="L1055">
        <f>IF(AND($J1055=0,$K1055=0),0,1)</f>
        <v>0</v>
      </c>
    </row>
    <row r="1056" spans="1:12" x14ac:dyDescent="0.2">
      <c r="A1056" t="s">
        <v>417</v>
      </c>
      <c r="B1056" t="s">
        <v>17</v>
      </c>
      <c r="C1056" t="s">
        <v>9</v>
      </c>
      <c r="D1056">
        <v>2121</v>
      </c>
      <c r="E1056">
        <v>2019</v>
      </c>
      <c r="F1056">
        <v>1</v>
      </c>
      <c r="G1056">
        <v>50976</v>
      </c>
      <c r="H1056" s="1">
        <v>2</v>
      </c>
      <c r="I1056">
        <v>7</v>
      </c>
      <c r="J1056">
        <f>IF($H1056=0,1,IF($I1056&lt;=1,2,0))</f>
        <v>0</v>
      </c>
      <c r="K1056">
        <v>0</v>
      </c>
      <c r="L1056">
        <f>IF(AND($J1056=0,$K1056=0),0,1)</f>
        <v>0</v>
      </c>
    </row>
    <row r="1057" spans="1:13" x14ac:dyDescent="0.2">
      <c r="A1057" t="s">
        <v>417</v>
      </c>
      <c r="B1057" t="s">
        <v>17</v>
      </c>
      <c r="C1057" t="s">
        <v>9</v>
      </c>
      <c r="D1057">
        <v>2121</v>
      </c>
      <c r="E1057">
        <v>2019</v>
      </c>
      <c r="F1057">
        <v>2</v>
      </c>
      <c r="G1057">
        <v>50977</v>
      </c>
      <c r="H1057" s="1">
        <v>2</v>
      </c>
      <c r="I1057">
        <v>3</v>
      </c>
      <c r="J1057">
        <f>IF($H1057=0,1,IF($I1057&lt;=1,2,0))</f>
        <v>0</v>
      </c>
      <c r="K1057">
        <v>0</v>
      </c>
      <c r="L1057">
        <f>IF(AND($J1057=0,$K1057=0),0,1)</f>
        <v>0</v>
      </c>
    </row>
    <row r="1058" spans="1:13" x14ac:dyDescent="0.2">
      <c r="A1058" t="s">
        <v>417</v>
      </c>
      <c r="B1058" t="s">
        <v>17</v>
      </c>
      <c r="C1058" t="s">
        <v>9</v>
      </c>
      <c r="D1058">
        <v>2122</v>
      </c>
      <c r="E1058">
        <v>2019</v>
      </c>
      <c r="F1058">
        <v>2</v>
      </c>
      <c r="G1058">
        <v>50938</v>
      </c>
      <c r="H1058" s="1">
        <v>2</v>
      </c>
      <c r="I1058">
        <v>7</v>
      </c>
      <c r="J1058">
        <f>IF($H1058=0,1,IF($I1058&lt;=1,2,0))</f>
        <v>0</v>
      </c>
      <c r="K1058">
        <v>0</v>
      </c>
      <c r="L1058">
        <f>IF(AND($J1058=0,$K1058=0),0,1)</f>
        <v>0</v>
      </c>
    </row>
    <row r="1059" spans="1:13" x14ac:dyDescent="0.2">
      <c r="A1059" t="s">
        <v>417</v>
      </c>
      <c r="B1059" t="s">
        <v>17</v>
      </c>
      <c r="C1059" t="s">
        <v>9</v>
      </c>
      <c r="D1059">
        <v>2122</v>
      </c>
      <c r="E1059">
        <v>2019</v>
      </c>
      <c r="F1059">
        <v>1</v>
      </c>
      <c r="G1059">
        <v>50937</v>
      </c>
      <c r="H1059" s="1">
        <v>2</v>
      </c>
      <c r="I1059">
        <v>4</v>
      </c>
      <c r="J1059">
        <f>IF($H1059=0,1,IF($I1059&lt;=1,2,0))</f>
        <v>0</v>
      </c>
      <c r="K1059">
        <v>0</v>
      </c>
      <c r="L1059">
        <f>IF(AND($J1059=0,$K1059=0),0,1)</f>
        <v>0</v>
      </c>
    </row>
    <row r="1060" spans="1:13" x14ac:dyDescent="0.2">
      <c r="A1060" t="s">
        <v>417</v>
      </c>
      <c r="B1060" t="s">
        <v>17</v>
      </c>
      <c r="C1060" t="s">
        <v>9</v>
      </c>
      <c r="D1060">
        <v>3131</v>
      </c>
      <c r="E1060">
        <v>2019</v>
      </c>
      <c r="F1060">
        <v>3</v>
      </c>
      <c r="G1060">
        <v>50944</v>
      </c>
      <c r="H1060" s="1">
        <v>2</v>
      </c>
      <c r="I1060">
        <v>12</v>
      </c>
      <c r="J1060">
        <f>IF($H1060=0,1,IF($I1060&lt;=1,2,0))</f>
        <v>0</v>
      </c>
      <c r="K1060">
        <v>0</v>
      </c>
      <c r="L1060">
        <f>IF(AND($J1060=0,$K1060=0),0,1)</f>
        <v>0</v>
      </c>
    </row>
    <row r="1061" spans="1:13" x14ac:dyDescent="0.2">
      <c r="A1061" t="s">
        <v>417</v>
      </c>
      <c r="B1061" t="s">
        <v>17</v>
      </c>
      <c r="C1061" t="s">
        <v>9</v>
      </c>
      <c r="D1061">
        <v>3131</v>
      </c>
      <c r="E1061">
        <v>2019</v>
      </c>
      <c r="F1061">
        <v>1</v>
      </c>
      <c r="G1061">
        <v>50942</v>
      </c>
      <c r="H1061" s="1">
        <v>2</v>
      </c>
      <c r="I1061">
        <v>10</v>
      </c>
      <c r="J1061">
        <f>IF($H1061=0,1,IF($I1061&lt;=1,2,0))</f>
        <v>0</v>
      </c>
      <c r="K1061">
        <v>0</v>
      </c>
      <c r="L1061">
        <f>IF(AND($J1061=0,$K1061=0),0,1)</f>
        <v>0</v>
      </c>
    </row>
    <row r="1062" spans="1:13" x14ac:dyDescent="0.2">
      <c r="A1062" t="s">
        <v>417</v>
      </c>
      <c r="B1062" t="s">
        <v>17</v>
      </c>
      <c r="C1062" t="s">
        <v>9</v>
      </c>
      <c r="D1062">
        <v>3131</v>
      </c>
      <c r="E1062">
        <v>2019</v>
      </c>
      <c r="F1062">
        <v>2</v>
      </c>
      <c r="G1062">
        <v>50943</v>
      </c>
      <c r="H1062" s="1">
        <v>2</v>
      </c>
      <c r="I1062">
        <v>5</v>
      </c>
      <c r="J1062">
        <f>IF($H1062=0,1,IF($I1062&lt;=1,2,0))</f>
        <v>0</v>
      </c>
      <c r="K1062">
        <v>0</v>
      </c>
      <c r="L1062">
        <f>IF(AND($J1062=0,$K1062=0),0,1)</f>
        <v>0</v>
      </c>
    </row>
    <row r="1063" spans="1:13" x14ac:dyDescent="0.2">
      <c r="A1063" t="s">
        <v>417</v>
      </c>
      <c r="B1063" t="s">
        <v>17</v>
      </c>
      <c r="C1063" t="s">
        <v>9</v>
      </c>
      <c r="D1063">
        <v>3240</v>
      </c>
      <c r="E1063">
        <v>2019</v>
      </c>
      <c r="F1063">
        <v>1</v>
      </c>
      <c r="G1063">
        <v>50953</v>
      </c>
      <c r="H1063" s="1">
        <v>3</v>
      </c>
      <c r="I1063">
        <v>12</v>
      </c>
      <c r="J1063">
        <f>IF($H1063=0,1,IF($I1063&lt;=1,2,0))</f>
        <v>0</v>
      </c>
      <c r="K1063">
        <v>0</v>
      </c>
      <c r="L1063">
        <f>IF(AND($J1063=0,$K1063=0),0,1)</f>
        <v>0</v>
      </c>
    </row>
    <row r="1064" spans="1:13" x14ac:dyDescent="0.2">
      <c r="A1064" t="s">
        <v>417</v>
      </c>
      <c r="B1064" t="s">
        <v>17</v>
      </c>
      <c r="C1064" t="s">
        <v>9</v>
      </c>
      <c r="D1064">
        <v>3242</v>
      </c>
      <c r="E1064">
        <v>2019</v>
      </c>
      <c r="F1064">
        <v>1</v>
      </c>
      <c r="G1064">
        <v>51006</v>
      </c>
      <c r="H1064" s="1">
        <v>3</v>
      </c>
      <c r="I1064">
        <v>20</v>
      </c>
      <c r="J1064">
        <f>IF($H1064=0,1,IF($I1064&lt;=1,2,0))</f>
        <v>0</v>
      </c>
      <c r="K1064">
        <v>0</v>
      </c>
      <c r="L1064">
        <f>IF(AND($J1064=0,$K1064=0),0,1)</f>
        <v>0</v>
      </c>
    </row>
    <row r="1065" spans="1:13" x14ac:dyDescent="0.2">
      <c r="A1065" t="s">
        <v>417</v>
      </c>
      <c r="B1065" t="s">
        <v>17</v>
      </c>
      <c r="C1065" t="s">
        <v>9</v>
      </c>
      <c r="D1065">
        <v>3333</v>
      </c>
      <c r="E1065">
        <v>2019</v>
      </c>
      <c r="F1065">
        <v>1</v>
      </c>
      <c r="G1065">
        <v>50945</v>
      </c>
      <c r="H1065" s="1">
        <v>3</v>
      </c>
      <c r="I1065">
        <v>8</v>
      </c>
      <c r="J1065">
        <f>IF($H1065=0,1,IF($I1065&lt;=1,2,0))</f>
        <v>0</v>
      </c>
      <c r="K1065">
        <v>0</v>
      </c>
      <c r="L1065">
        <f>IF(AND($J1065=0,$K1065=0),0,1)</f>
        <v>0</v>
      </c>
    </row>
    <row r="1066" spans="1:13" x14ac:dyDescent="0.2">
      <c r="A1066" t="s">
        <v>417</v>
      </c>
      <c r="B1066" t="s">
        <v>17</v>
      </c>
      <c r="C1066" t="s">
        <v>9</v>
      </c>
      <c r="D1066">
        <v>3334</v>
      </c>
      <c r="E1066">
        <v>2019</v>
      </c>
      <c r="F1066">
        <v>1</v>
      </c>
      <c r="G1066">
        <v>50954</v>
      </c>
      <c r="H1066" s="1">
        <v>3</v>
      </c>
      <c r="I1066">
        <v>10</v>
      </c>
      <c r="J1066">
        <f>IF($H1066=0,1,IF($I1066&lt;=1,2,0))</f>
        <v>0</v>
      </c>
      <c r="K1066">
        <v>0</v>
      </c>
      <c r="L1066">
        <f>IF(AND($J1066=0,$K1066=0),0,1)</f>
        <v>0</v>
      </c>
    </row>
    <row r="1067" spans="1:13" x14ac:dyDescent="0.2">
      <c r="A1067" t="s">
        <v>417</v>
      </c>
      <c r="B1067" t="s">
        <v>17</v>
      </c>
      <c r="C1067" t="s">
        <v>9</v>
      </c>
      <c r="D1067">
        <v>3405</v>
      </c>
      <c r="E1067">
        <v>2019</v>
      </c>
      <c r="F1067">
        <v>3</v>
      </c>
      <c r="G1067">
        <v>50957</v>
      </c>
      <c r="H1067" s="1">
        <v>3</v>
      </c>
      <c r="I1067">
        <v>11</v>
      </c>
      <c r="J1067">
        <f>IF($H1067=0,1,IF($I1067&lt;=1,2,0))</f>
        <v>0</v>
      </c>
      <c r="K1067">
        <v>0</v>
      </c>
      <c r="L1067">
        <f>IF(AND($J1067=0,$K1067=0),0,1)</f>
        <v>0</v>
      </c>
    </row>
    <row r="1068" spans="1:13" x14ac:dyDescent="0.2">
      <c r="A1068" t="s">
        <v>417</v>
      </c>
      <c r="B1068" t="s">
        <v>17</v>
      </c>
      <c r="C1068" t="s">
        <v>9</v>
      </c>
      <c r="D1068">
        <v>3405</v>
      </c>
      <c r="E1068">
        <v>2019</v>
      </c>
      <c r="F1068">
        <v>1</v>
      </c>
      <c r="G1068">
        <v>50955</v>
      </c>
      <c r="H1068" s="1">
        <v>3</v>
      </c>
      <c r="I1068">
        <v>10</v>
      </c>
      <c r="J1068">
        <f>IF($H1068=0,1,IF($I1068&lt;=1,2,0))</f>
        <v>0</v>
      </c>
      <c r="K1068">
        <v>0</v>
      </c>
      <c r="L1068">
        <f>IF(AND($J1068=0,$K1068=0),0,1)</f>
        <v>0</v>
      </c>
      <c r="M1068" t="s">
        <v>419</v>
      </c>
    </row>
    <row r="1069" spans="1:13" x14ac:dyDescent="0.2">
      <c r="A1069" t="s">
        <v>417</v>
      </c>
      <c r="B1069" t="s">
        <v>17</v>
      </c>
      <c r="C1069" t="s">
        <v>9</v>
      </c>
      <c r="D1069">
        <v>3405</v>
      </c>
      <c r="E1069">
        <v>2019</v>
      </c>
      <c r="F1069">
        <v>2</v>
      </c>
      <c r="G1069">
        <v>50956</v>
      </c>
      <c r="H1069" s="1">
        <v>3</v>
      </c>
      <c r="I1069">
        <v>9</v>
      </c>
      <c r="J1069">
        <f>IF($H1069=0,1,IF($I1069&lt;=1,2,0))</f>
        <v>0</v>
      </c>
      <c r="K1069">
        <v>0</v>
      </c>
      <c r="L1069">
        <f>IF(AND($J1069=0,$K1069=0),0,1)</f>
        <v>0</v>
      </c>
    </row>
    <row r="1070" spans="1:13" x14ac:dyDescent="0.2">
      <c r="A1070" t="s">
        <v>417</v>
      </c>
      <c r="B1070" t="s">
        <v>17</v>
      </c>
      <c r="C1070" t="s">
        <v>9</v>
      </c>
      <c r="D1070">
        <v>3420</v>
      </c>
      <c r="E1070">
        <v>2019</v>
      </c>
      <c r="F1070">
        <v>1</v>
      </c>
      <c r="G1070">
        <v>50946</v>
      </c>
      <c r="H1070" s="1">
        <v>3</v>
      </c>
      <c r="I1070">
        <v>11</v>
      </c>
      <c r="J1070">
        <f>IF($H1070=0,1,IF($I1070&lt;=1,2,0))</f>
        <v>0</v>
      </c>
      <c r="K1070">
        <v>0</v>
      </c>
      <c r="L1070">
        <f>IF(AND($J1070=0,$K1070=0),0,1)</f>
        <v>0</v>
      </c>
    </row>
    <row r="1071" spans="1:13" x14ac:dyDescent="0.2">
      <c r="A1071" t="s">
        <v>417</v>
      </c>
      <c r="B1071" t="s">
        <v>17</v>
      </c>
      <c r="C1071" t="s">
        <v>9</v>
      </c>
      <c r="D1071">
        <v>3498</v>
      </c>
      <c r="E1071">
        <v>2019</v>
      </c>
      <c r="F1071">
        <v>1</v>
      </c>
      <c r="G1071">
        <v>50958</v>
      </c>
      <c r="H1071" s="1">
        <v>3</v>
      </c>
      <c r="I1071">
        <v>4</v>
      </c>
      <c r="J1071">
        <f>IF($H1071=0,1,IF($I1071&lt;=1,2,0))</f>
        <v>0</v>
      </c>
      <c r="K1071">
        <v>0</v>
      </c>
      <c r="L1071">
        <f>IF(AND($J1071=0,$K1071=0),0,1)</f>
        <v>0</v>
      </c>
    </row>
    <row r="1072" spans="1:13" x14ac:dyDescent="0.2">
      <c r="A1072" t="s">
        <v>417</v>
      </c>
      <c r="B1072" t="s">
        <v>17</v>
      </c>
      <c r="C1072" t="s">
        <v>33</v>
      </c>
      <c r="D1072">
        <v>3719</v>
      </c>
      <c r="E1072">
        <v>2019</v>
      </c>
      <c r="F1072">
        <v>1</v>
      </c>
      <c r="G1072">
        <v>19278</v>
      </c>
      <c r="H1072" s="1">
        <v>3</v>
      </c>
      <c r="I1072">
        <v>7</v>
      </c>
      <c r="J1072">
        <f>IF($H1072=0,1,IF($I1072&lt;=1,2,0))</f>
        <v>0</v>
      </c>
      <c r="K1072">
        <v>0</v>
      </c>
      <c r="L1072">
        <f>IF(AND($J1072=0,$K1072=0),0,1)</f>
        <v>0</v>
      </c>
    </row>
    <row r="1073" spans="1:12" x14ac:dyDescent="0.2">
      <c r="A1073" t="s">
        <v>417</v>
      </c>
      <c r="B1073" t="s">
        <v>17</v>
      </c>
      <c r="C1073" t="s">
        <v>9</v>
      </c>
      <c r="D1073">
        <v>3883</v>
      </c>
      <c r="E1073">
        <v>2019</v>
      </c>
      <c r="F1073">
        <v>1</v>
      </c>
      <c r="G1073">
        <v>10307</v>
      </c>
      <c r="H1073" s="1">
        <v>3</v>
      </c>
      <c r="I1073">
        <v>8</v>
      </c>
      <c r="J1073">
        <f>IF($H1073=0,1,IF($I1073&lt;=1,2,0))</f>
        <v>0</v>
      </c>
      <c r="K1073">
        <v>0</v>
      </c>
      <c r="L1073">
        <f>IF(AND($J1073=0,$K1073=0),0,1)</f>
        <v>0</v>
      </c>
    </row>
    <row r="1074" spans="1:12" x14ac:dyDescent="0.2">
      <c r="A1074" t="s">
        <v>417</v>
      </c>
      <c r="B1074" t="s">
        <v>17</v>
      </c>
      <c r="C1074" t="s">
        <v>9</v>
      </c>
      <c r="D1074">
        <v>3920</v>
      </c>
      <c r="E1074">
        <v>2019</v>
      </c>
      <c r="F1074">
        <v>1</v>
      </c>
      <c r="G1074">
        <v>10360</v>
      </c>
      <c r="H1074" s="1">
        <v>3</v>
      </c>
      <c r="I1074">
        <v>10</v>
      </c>
      <c r="J1074">
        <f>IF($H1074=0,1,IF($I1074&lt;=1,2,0))</f>
        <v>0</v>
      </c>
      <c r="K1074">
        <v>0</v>
      </c>
      <c r="L1074">
        <f>IF(AND($J1074=0,$K1074=0),0,1)</f>
        <v>0</v>
      </c>
    </row>
    <row r="1075" spans="1:12" x14ac:dyDescent="0.2">
      <c r="A1075" t="s">
        <v>417</v>
      </c>
      <c r="B1075" t="s">
        <v>17</v>
      </c>
      <c r="C1075" t="s">
        <v>61</v>
      </c>
      <c r="D1075">
        <v>3991</v>
      </c>
      <c r="E1075">
        <v>2019</v>
      </c>
      <c r="F1075">
        <v>3</v>
      </c>
      <c r="G1075">
        <v>19273</v>
      </c>
      <c r="H1075" s="1">
        <v>3</v>
      </c>
      <c r="I1075">
        <v>2</v>
      </c>
      <c r="J1075">
        <f>IF($H1075=0,1,IF($I1075&lt;=1,2,0))</f>
        <v>0</v>
      </c>
      <c r="K1075">
        <v>0</v>
      </c>
      <c r="L1075">
        <f>IF(AND($J1075=0,$K1075=0),0,1)</f>
        <v>0</v>
      </c>
    </row>
    <row r="1076" spans="1:12" x14ac:dyDescent="0.2">
      <c r="A1076" t="s">
        <v>417</v>
      </c>
      <c r="B1076" t="s">
        <v>17</v>
      </c>
      <c r="C1076" t="s">
        <v>9</v>
      </c>
      <c r="D1076">
        <v>3995</v>
      </c>
      <c r="E1076">
        <v>2019</v>
      </c>
      <c r="F1076">
        <v>1</v>
      </c>
      <c r="G1076">
        <v>50978</v>
      </c>
      <c r="H1076" s="1">
        <v>3</v>
      </c>
      <c r="I1076">
        <v>14</v>
      </c>
      <c r="J1076">
        <f>IF($H1076=0,1,IF($I1076&lt;=1,2,0))</f>
        <v>0</v>
      </c>
      <c r="K1076">
        <v>0</v>
      </c>
      <c r="L1076">
        <f>IF(AND($J1076=0,$K1076=0),0,1)</f>
        <v>0</v>
      </c>
    </row>
    <row r="1077" spans="1:12" x14ac:dyDescent="0.2">
      <c r="A1077" t="s">
        <v>417</v>
      </c>
      <c r="B1077" t="s">
        <v>17</v>
      </c>
      <c r="C1077" t="s">
        <v>9</v>
      </c>
      <c r="D1077">
        <v>3996</v>
      </c>
      <c r="E1077">
        <v>2019</v>
      </c>
      <c r="F1077">
        <v>1</v>
      </c>
      <c r="G1077">
        <v>50979</v>
      </c>
      <c r="H1077" s="1">
        <v>3</v>
      </c>
      <c r="I1077">
        <v>2</v>
      </c>
      <c r="J1077">
        <f>IF($H1077=0,1,IF($I1077&lt;=1,2,0))</f>
        <v>0</v>
      </c>
      <c r="K1077">
        <v>0</v>
      </c>
      <c r="L1077">
        <f>IF(AND($J1077=0,$K1077=0),0,1)</f>
        <v>0</v>
      </c>
    </row>
    <row r="1078" spans="1:12" x14ac:dyDescent="0.2">
      <c r="A1078" t="s">
        <v>417</v>
      </c>
      <c r="B1078" t="s">
        <v>17</v>
      </c>
      <c r="C1078" t="s">
        <v>11</v>
      </c>
      <c r="D1078">
        <v>4025</v>
      </c>
      <c r="E1078">
        <v>2019</v>
      </c>
      <c r="F1078">
        <v>1</v>
      </c>
      <c r="G1078">
        <v>50980</v>
      </c>
      <c r="H1078" s="1">
        <v>3</v>
      </c>
      <c r="I1078">
        <v>11</v>
      </c>
      <c r="J1078">
        <f>IF($H1078=0,1,IF($I1078&lt;=1,2,0))</f>
        <v>0</v>
      </c>
      <c r="K1078">
        <v>0</v>
      </c>
      <c r="L1078">
        <f>IF(AND($J1078=0,$K1078=0),0,1)</f>
        <v>0</v>
      </c>
    </row>
    <row r="1079" spans="1:12" x14ac:dyDescent="0.2">
      <c r="A1079" t="s">
        <v>417</v>
      </c>
      <c r="B1079" t="s">
        <v>17</v>
      </c>
      <c r="C1079" t="s">
        <v>9</v>
      </c>
      <c r="D1079">
        <v>4627</v>
      </c>
      <c r="E1079">
        <v>2019</v>
      </c>
      <c r="F1079">
        <v>1</v>
      </c>
      <c r="G1079">
        <v>10180</v>
      </c>
      <c r="H1079" s="1">
        <v>3</v>
      </c>
      <c r="I1079">
        <v>13</v>
      </c>
      <c r="J1079">
        <f>IF($H1079=0,1,IF($I1079&lt;=1,2,0))</f>
        <v>0</v>
      </c>
      <c r="K1079">
        <v>0</v>
      </c>
      <c r="L1079">
        <f>IF(AND($J1079=0,$K1079=0),0,1)</f>
        <v>0</v>
      </c>
    </row>
    <row r="1080" spans="1:12" x14ac:dyDescent="0.2">
      <c r="A1080" t="s">
        <v>417</v>
      </c>
      <c r="B1080" t="s">
        <v>17</v>
      </c>
      <c r="C1080" t="s">
        <v>11</v>
      </c>
      <c r="D1080">
        <v>4730</v>
      </c>
      <c r="E1080">
        <v>2019</v>
      </c>
      <c r="F1080">
        <v>1</v>
      </c>
      <c r="G1080">
        <v>10227</v>
      </c>
      <c r="H1080" s="1">
        <v>3</v>
      </c>
      <c r="I1080">
        <v>15</v>
      </c>
      <c r="J1080">
        <f>IF($H1080=0,1,IF($I1080&lt;=1,2,0))</f>
        <v>0</v>
      </c>
      <c r="K1080">
        <v>0</v>
      </c>
      <c r="L1080">
        <f>IF(AND($J1080=0,$K1080=0),0,1)</f>
        <v>0</v>
      </c>
    </row>
    <row r="1081" spans="1:12" x14ac:dyDescent="0.2">
      <c r="A1081" t="s">
        <v>417</v>
      </c>
      <c r="B1081" t="s">
        <v>17</v>
      </c>
      <c r="C1081" t="s">
        <v>11</v>
      </c>
      <c r="D1081">
        <v>8605</v>
      </c>
      <c r="E1081">
        <v>2019</v>
      </c>
      <c r="F1081">
        <v>1</v>
      </c>
      <c r="G1081">
        <v>50984</v>
      </c>
      <c r="H1081" s="1">
        <v>3</v>
      </c>
      <c r="I1081">
        <v>13</v>
      </c>
      <c r="J1081">
        <f>IF($H1081=0,1,IF($I1081&lt;=1,2,0))</f>
        <v>0</v>
      </c>
      <c r="K1081">
        <v>0</v>
      </c>
      <c r="L1081">
        <f>IF(AND($J1081=0,$K1081=0),0,1)</f>
        <v>0</v>
      </c>
    </row>
    <row r="1082" spans="1:12" x14ac:dyDescent="0.2">
      <c r="A1082" t="s">
        <v>417</v>
      </c>
      <c r="B1082" t="s">
        <v>17</v>
      </c>
      <c r="C1082" t="s">
        <v>11</v>
      </c>
      <c r="D1082">
        <v>8618</v>
      </c>
      <c r="E1082">
        <v>2019</v>
      </c>
      <c r="F1082">
        <v>1</v>
      </c>
      <c r="G1082">
        <v>51014</v>
      </c>
      <c r="H1082" s="1">
        <v>3</v>
      </c>
      <c r="I1082">
        <v>7</v>
      </c>
      <c r="J1082">
        <f>IF($H1082=0,1,IF($I1082&lt;=1,2,0))</f>
        <v>0</v>
      </c>
      <c r="K1082">
        <v>0</v>
      </c>
      <c r="L1082">
        <f>IF(AND($J1082=0,$K1082=0),0,1)</f>
        <v>0</v>
      </c>
    </row>
    <row r="1083" spans="1:12" x14ac:dyDescent="0.2">
      <c r="A1083" t="s">
        <v>420</v>
      </c>
      <c r="B1083" t="s">
        <v>6</v>
      </c>
      <c r="C1083" t="s">
        <v>11</v>
      </c>
      <c r="D1083">
        <v>3991</v>
      </c>
      <c r="E1083">
        <v>2019</v>
      </c>
      <c r="F1083">
        <v>1</v>
      </c>
      <c r="G1083">
        <v>19306</v>
      </c>
      <c r="H1083" s="1">
        <v>3</v>
      </c>
      <c r="I1083">
        <v>6</v>
      </c>
      <c r="J1083">
        <f>IF($H1083=0,1,IF($I1083&lt;=1,2,0))</f>
        <v>0</v>
      </c>
      <c r="K1083">
        <v>0</v>
      </c>
      <c r="L1083">
        <f>IF(AND($J1083=0,$K1083=0),0,1)</f>
        <v>0</v>
      </c>
    </row>
    <row r="1084" spans="1:12" x14ac:dyDescent="0.2">
      <c r="A1084" t="s">
        <v>423</v>
      </c>
      <c r="B1084" t="s">
        <v>133</v>
      </c>
      <c r="C1084" t="s">
        <v>11</v>
      </c>
      <c r="D1084">
        <v>4050</v>
      </c>
      <c r="E1084">
        <v>2019</v>
      </c>
      <c r="F1084">
        <v>1</v>
      </c>
      <c r="G1084">
        <v>59103</v>
      </c>
      <c r="H1084" s="1">
        <v>4</v>
      </c>
      <c r="I1084">
        <v>6</v>
      </c>
      <c r="J1084">
        <f>IF($H1084=0,1,IF($I1084&lt;=1,2,0))</f>
        <v>0</v>
      </c>
      <c r="K1084">
        <v>0</v>
      </c>
      <c r="L1084">
        <f>IF(AND($J1084=0,$K1084=0),0,1)</f>
        <v>0</v>
      </c>
    </row>
    <row r="1085" spans="1:12" x14ac:dyDescent="0.2">
      <c r="A1085" t="s">
        <v>423</v>
      </c>
      <c r="B1085" t="s">
        <v>133</v>
      </c>
      <c r="C1085" t="s">
        <v>11</v>
      </c>
      <c r="D1085">
        <v>4501</v>
      </c>
      <c r="E1085">
        <v>2019</v>
      </c>
      <c r="F1085">
        <v>1</v>
      </c>
      <c r="G1085">
        <v>59104</v>
      </c>
      <c r="H1085" s="1">
        <v>4</v>
      </c>
      <c r="I1085">
        <v>7</v>
      </c>
      <c r="J1085">
        <f>IF($H1085=0,1,IF($I1085&lt;=1,2,0))</f>
        <v>0</v>
      </c>
      <c r="K1085">
        <v>0</v>
      </c>
      <c r="L1085">
        <f>IF(AND($J1085=0,$K1085=0),0,1)</f>
        <v>0</v>
      </c>
    </row>
    <row r="1086" spans="1:12" x14ac:dyDescent="0.2">
      <c r="A1086" t="s">
        <v>423</v>
      </c>
      <c r="B1086" t="s">
        <v>133</v>
      </c>
      <c r="C1086" t="s">
        <v>11</v>
      </c>
      <c r="D1086">
        <v>6210</v>
      </c>
      <c r="E1086">
        <v>2019</v>
      </c>
      <c r="F1086">
        <v>1</v>
      </c>
      <c r="G1086">
        <v>59102</v>
      </c>
      <c r="H1086" s="1">
        <v>3</v>
      </c>
      <c r="I1086">
        <v>9</v>
      </c>
      <c r="J1086">
        <f>IF($H1086=0,1,IF($I1086&lt;=1,2,0))</f>
        <v>0</v>
      </c>
      <c r="K1086">
        <v>0</v>
      </c>
      <c r="L1086">
        <f>IF(AND($J1086=0,$K1086=0),0,1)</f>
        <v>0</v>
      </c>
    </row>
    <row r="1087" spans="1:12" x14ac:dyDescent="0.2">
      <c r="A1087" t="s">
        <v>424</v>
      </c>
      <c r="B1087" t="s">
        <v>17</v>
      </c>
      <c r="C1087" t="s">
        <v>21</v>
      </c>
      <c r="D1087">
        <v>1101</v>
      </c>
      <c r="E1087">
        <v>2019</v>
      </c>
      <c r="F1087">
        <v>1</v>
      </c>
      <c r="G1087">
        <v>54518</v>
      </c>
      <c r="H1087" s="1">
        <v>4</v>
      </c>
      <c r="I1087">
        <v>14</v>
      </c>
      <c r="J1087">
        <f>IF($H1087=0,1,IF($I1087&lt;=1,2,0))</f>
        <v>0</v>
      </c>
      <c r="K1087">
        <v>0</v>
      </c>
      <c r="L1087">
        <f>IF(AND($J1087=0,$K1087=0),0,1)</f>
        <v>0</v>
      </c>
    </row>
    <row r="1088" spans="1:12" x14ac:dyDescent="0.2">
      <c r="A1088" t="s">
        <v>424</v>
      </c>
      <c r="B1088" t="s">
        <v>17</v>
      </c>
      <c r="C1088" t="s">
        <v>21</v>
      </c>
      <c r="D1088">
        <v>1101</v>
      </c>
      <c r="E1088">
        <v>2019</v>
      </c>
      <c r="F1088">
        <v>2</v>
      </c>
      <c r="G1088">
        <v>54519</v>
      </c>
      <c r="H1088" s="1">
        <v>4</v>
      </c>
      <c r="I1088">
        <v>11</v>
      </c>
      <c r="J1088">
        <f>IF($H1088=0,1,IF($I1088&lt;=1,2,0))</f>
        <v>0</v>
      </c>
      <c r="K1088">
        <v>0</v>
      </c>
      <c r="L1088">
        <f>IF(AND($J1088=0,$K1088=0),0,1)</f>
        <v>0</v>
      </c>
    </row>
    <row r="1089" spans="1:12" x14ac:dyDescent="0.2">
      <c r="A1089" t="s">
        <v>424</v>
      </c>
      <c r="B1089" t="s">
        <v>17</v>
      </c>
      <c r="C1089" t="s">
        <v>21</v>
      </c>
      <c r="D1089">
        <v>1101</v>
      </c>
      <c r="E1089">
        <v>2019</v>
      </c>
      <c r="F1089">
        <v>3</v>
      </c>
      <c r="G1089">
        <v>54520</v>
      </c>
      <c r="H1089" s="1">
        <v>4</v>
      </c>
      <c r="I1089">
        <v>10</v>
      </c>
      <c r="J1089">
        <f>IF($H1089=0,1,IF($I1089&lt;=1,2,0))</f>
        <v>0</v>
      </c>
      <c r="K1089">
        <v>0</v>
      </c>
      <c r="L1089">
        <f>IF(AND($J1089=0,$K1089=0),0,1)</f>
        <v>0</v>
      </c>
    </row>
    <row r="1090" spans="1:12" x14ac:dyDescent="0.2">
      <c r="A1090" t="s">
        <v>424</v>
      </c>
      <c r="B1090" t="s">
        <v>17</v>
      </c>
      <c r="C1090" t="s">
        <v>21</v>
      </c>
      <c r="D1090">
        <v>1101</v>
      </c>
      <c r="E1090">
        <v>2019</v>
      </c>
      <c r="F1090">
        <v>4</v>
      </c>
      <c r="G1090">
        <v>54521</v>
      </c>
      <c r="H1090" s="1">
        <v>4</v>
      </c>
      <c r="I1090">
        <v>9</v>
      </c>
      <c r="J1090">
        <f>IF($H1090=0,1,IF($I1090&lt;=1,2,0))</f>
        <v>0</v>
      </c>
      <c r="K1090">
        <v>0</v>
      </c>
      <c r="L1090">
        <f>IF(AND($J1090=0,$K1090=0),0,1)</f>
        <v>0</v>
      </c>
    </row>
    <row r="1091" spans="1:12" x14ac:dyDescent="0.2">
      <c r="A1091" t="s">
        <v>424</v>
      </c>
      <c r="B1091" t="s">
        <v>17</v>
      </c>
      <c r="C1091" t="s">
        <v>21</v>
      </c>
      <c r="D1091">
        <v>1101</v>
      </c>
      <c r="E1091">
        <v>2019</v>
      </c>
      <c r="F1091">
        <v>6</v>
      </c>
      <c r="G1091">
        <v>18235</v>
      </c>
      <c r="H1091" s="1">
        <v>4</v>
      </c>
      <c r="I1091">
        <v>8</v>
      </c>
      <c r="J1091">
        <f>IF($H1091=0,1,IF($I1091&lt;=1,2,0))</f>
        <v>0</v>
      </c>
      <c r="K1091">
        <v>0</v>
      </c>
      <c r="L1091">
        <f>IF(AND($J1091=0,$K1091=0),0,1)</f>
        <v>0</v>
      </c>
    </row>
    <row r="1092" spans="1:12" x14ac:dyDescent="0.2">
      <c r="A1092" t="s">
        <v>424</v>
      </c>
      <c r="B1092" t="s">
        <v>17</v>
      </c>
      <c r="C1092" t="s">
        <v>21</v>
      </c>
      <c r="D1092">
        <v>1101</v>
      </c>
      <c r="E1092">
        <v>2019</v>
      </c>
      <c r="F1092">
        <v>5</v>
      </c>
      <c r="G1092">
        <v>8402</v>
      </c>
      <c r="H1092" s="1">
        <v>4</v>
      </c>
      <c r="I1092">
        <v>6</v>
      </c>
      <c r="J1092">
        <f>IF($H1092=0,1,IF($I1092&lt;=1,2,0))</f>
        <v>0</v>
      </c>
      <c r="K1092">
        <v>0</v>
      </c>
      <c r="L1092">
        <f>IF(AND($J1092=0,$K1092=0),0,1)</f>
        <v>0</v>
      </c>
    </row>
    <row r="1093" spans="1:12" x14ac:dyDescent="0.2">
      <c r="A1093" t="s">
        <v>424</v>
      </c>
      <c r="B1093" t="s">
        <v>17</v>
      </c>
      <c r="C1093" t="s">
        <v>21</v>
      </c>
      <c r="D1093">
        <v>1102</v>
      </c>
      <c r="E1093">
        <v>2019</v>
      </c>
      <c r="F1093">
        <v>1</v>
      </c>
      <c r="G1093">
        <v>54506</v>
      </c>
      <c r="H1093" s="1">
        <v>4</v>
      </c>
      <c r="I1093">
        <v>7</v>
      </c>
      <c r="J1093">
        <f>IF($H1093=0,1,IF($I1093&lt;=1,2,0))</f>
        <v>0</v>
      </c>
      <c r="K1093">
        <v>0</v>
      </c>
      <c r="L1093">
        <f>IF(AND($J1093=0,$K1093=0),0,1)</f>
        <v>0</v>
      </c>
    </row>
    <row r="1094" spans="1:12" x14ac:dyDescent="0.2">
      <c r="A1094" t="s">
        <v>424</v>
      </c>
      <c r="B1094" t="s">
        <v>17</v>
      </c>
      <c r="C1094" t="s">
        <v>21</v>
      </c>
      <c r="D1094">
        <v>1102</v>
      </c>
      <c r="E1094">
        <v>2019</v>
      </c>
      <c r="F1094">
        <v>3</v>
      </c>
      <c r="G1094">
        <v>54508</v>
      </c>
      <c r="H1094" s="1">
        <v>4</v>
      </c>
      <c r="I1094">
        <v>7</v>
      </c>
      <c r="J1094">
        <f>IF($H1094=0,1,IF($I1094&lt;=1,2,0))</f>
        <v>0</v>
      </c>
      <c r="K1094">
        <v>0</v>
      </c>
      <c r="L1094">
        <f>IF(AND($J1094=0,$K1094=0),0,1)</f>
        <v>0</v>
      </c>
    </row>
    <row r="1095" spans="1:12" x14ac:dyDescent="0.2">
      <c r="A1095" t="s">
        <v>424</v>
      </c>
      <c r="B1095" t="s">
        <v>17</v>
      </c>
      <c r="C1095" t="s">
        <v>153</v>
      </c>
      <c r="D1095">
        <v>1113</v>
      </c>
      <c r="E1095">
        <v>2019</v>
      </c>
      <c r="F1095">
        <v>1</v>
      </c>
      <c r="G1095">
        <v>54543</v>
      </c>
      <c r="H1095" s="1">
        <v>2</v>
      </c>
      <c r="I1095">
        <v>13</v>
      </c>
      <c r="J1095">
        <f>IF($H1095=0,1,IF($I1095&lt;=1,2,0))</f>
        <v>0</v>
      </c>
      <c r="K1095">
        <v>0</v>
      </c>
      <c r="L1095">
        <f>IF(AND($J1095=0,$K1095=0),0,1)</f>
        <v>0</v>
      </c>
    </row>
    <row r="1096" spans="1:12" x14ac:dyDescent="0.2">
      <c r="A1096" t="s">
        <v>424</v>
      </c>
      <c r="B1096" t="s">
        <v>17</v>
      </c>
      <c r="C1096" t="s">
        <v>21</v>
      </c>
      <c r="D1096">
        <v>1125</v>
      </c>
      <c r="E1096">
        <v>2019</v>
      </c>
      <c r="F1096">
        <v>1</v>
      </c>
      <c r="G1096">
        <v>54544</v>
      </c>
      <c r="H1096" s="1">
        <v>8</v>
      </c>
      <c r="I1096">
        <v>8</v>
      </c>
      <c r="J1096">
        <f>IF($H1096=0,1,IF($I1096&lt;=1,2,0))</f>
        <v>0</v>
      </c>
      <c r="K1096">
        <v>0</v>
      </c>
      <c r="L1096">
        <f>IF(AND($J1096=0,$K1096=0),0,1)</f>
        <v>0</v>
      </c>
    </row>
    <row r="1097" spans="1:12" x14ac:dyDescent="0.2">
      <c r="A1097" t="s">
        <v>424</v>
      </c>
      <c r="B1097" t="s">
        <v>17</v>
      </c>
      <c r="C1097" t="s">
        <v>21</v>
      </c>
      <c r="D1097">
        <v>2101</v>
      </c>
      <c r="E1097">
        <v>2019</v>
      </c>
      <c r="F1097">
        <v>2</v>
      </c>
      <c r="G1097">
        <v>54510</v>
      </c>
      <c r="H1097" s="1">
        <v>4</v>
      </c>
      <c r="I1097">
        <v>10</v>
      </c>
      <c r="J1097">
        <f>IF($H1097=0,1,IF($I1097&lt;=1,2,0))</f>
        <v>0</v>
      </c>
      <c r="K1097">
        <v>0</v>
      </c>
      <c r="L1097">
        <f>IF(AND($J1097=0,$K1097=0),0,1)</f>
        <v>0</v>
      </c>
    </row>
    <row r="1098" spans="1:12" x14ac:dyDescent="0.2">
      <c r="A1098" t="s">
        <v>424</v>
      </c>
      <c r="B1098" t="s">
        <v>17</v>
      </c>
      <c r="C1098" t="s">
        <v>21</v>
      </c>
      <c r="D1098">
        <v>2101</v>
      </c>
      <c r="E1098">
        <v>2019</v>
      </c>
      <c r="F1098">
        <v>4</v>
      </c>
      <c r="G1098">
        <v>10588</v>
      </c>
      <c r="H1098" s="1">
        <v>4</v>
      </c>
      <c r="I1098">
        <v>9</v>
      </c>
      <c r="J1098">
        <f>IF($H1098=0,1,IF($I1098&lt;=1,2,0))</f>
        <v>0</v>
      </c>
      <c r="K1098">
        <v>0</v>
      </c>
      <c r="L1098">
        <f>IF(AND($J1098=0,$K1098=0),0,1)</f>
        <v>0</v>
      </c>
    </row>
    <row r="1099" spans="1:12" x14ac:dyDescent="0.2">
      <c r="A1099" t="s">
        <v>424</v>
      </c>
      <c r="B1099" t="s">
        <v>17</v>
      </c>
      <c r="C1099" t="s">
        <v>21</v>
      </c>
      <c r="D1099">
        <v>2101</v>
      </c>
      <c r="E1099">
        <v>2019</v>
      </c>
      <c r="F1099">
        <v>1</v>
      </c>
      <c r="G1099">
        <v>54509</v>
      </c>
      <c r="H1099" s="1">
        <v>4</v>
      </c>
      <c r="I1099">
        <v>8</v>
      </c>
      <c r="J1099">
        <f>IF($H1099=0,1,IF($I1099&lt;=1,2,0))</f>
        <v>0</v>
      </c>
      <c r="K1099">
        <v>0</v>
      </c>
      <c r="L1099">
        <f>IF(AND($J1099=0,$K1099=0),0,1)</f>
        <v>0</v>
      </c>
    </row>
    <row r="1100" spans="1:12" x14ac:dyDescent="0.2">
      <c r="A1100" t="s">
        <v>424</v>
      </c>
      <c r="B1100" t="s">
        <v>17</v>
      </c>
      <c r="C1100" t="s">
        <v>21</v>
      </c>
      <c r="D1100">
        <v>2101</v>
      </c>
      <c r="E1100">
        <v>2019</v>
      </c>
      <c r="F1100">
        <v>5</v>
      </c>
      <c r="G1100">
        <v>13530</v>
      </c>
      <c r="H1100" s="1">
        <v>4</v>
      </c>
      <c r="I1100">
        <v>8</v>
      </c>
      <c r="J1100">
        <f>IF($H1100=0,1,IF($I1100&lt;=1,2,0))</f>
        <v>0</v>
      </c>
      <c r="K1100">
        <v>0</v>
      </c>
      <c r="L1100">
        <f>IF(AND($J1100=0,$K1100=0),0,1)</f>
        <v>0</v>
      </c>
    </row>
    <row r="1101" spans="1:12" x14ac:dyDescent="0.2">
      <c r="A1101" t="s">
        <v>424</v>
      </c>
      <c r="B1101" t="s">
        <v>17</v>
      </c>
      <c r="C1101" t="s">
        <v>21</v>
      </c>
      <c r="D1101">
        <v>2102</v>
      </c>
      <c r="E1101">
        <v>2019</v>
      </c>
      <c r="F1101">
        <v>2</v>
      </c>
      <c r="G1101">
        <v>54524</v>
      </c>
      <c r="H1101" s="1">
        <v>4</v>
      </c>
      <c r="I1101">
        <v>13</v>
      </c>
      <c r="J1101">
        <f>IF($H1101=0,1,IF($I1101&lt;=1,2,0))</f>
        <v>0</v>
      </c>
      <c r="K1101">
        <v>0</v>
      </c>
      <c r="L1101">
        <f>IF(AND($J1101=0,$K1101=0),0,1)</f>
        <v>0</v>
      </c>
    </row>
    <row r="1102" spans="1:12" x14ac:dyDescent="0.2">
      <c r="A1102" t="s">
        <v>424</v>
      </c>
      <c r="B1102" t="s">
        <v>17</v>
      </c>
      <c r="C1102" t="s">
        <v>21</v>
      </c>
      <c r="D1102">
        <v>2102</v>
      </c>
      <c r="E1102">
        <v>2019</v>
      </c>
      <c r="F1102">
        <v>1</v>
      </c>
      <c r="G1102">
        <v>54523</v>
      </c>
      <c r="H1102" s="1">
        <v>4</v>
      </c>
      <c r="I1102">
        <v>6</v>
      </c>
      <c r="J1102">
        <f>IF($H1102=0,1,IF($I1102&lt;=1,2,0))</f>
        <v>0</v>
      </c>
      <c r="K1102">
        <v>0</v>
      </c>
      <c r="L1102">
        <f>IF(AND($J1102=0,$K1102=0),0,1)</f>
        <v>0</v>
      </c>
    </row>
    <row r="1103" spans="1:12" x14ac:dyDescent="0.2">
      <c r="A1103" t="s">
        <v>424</v>
      </c>
      <c r="B1103" t="s">
        <v>17</v>
      </c>
      <c r="C1103" t="s">
        <v>9</v>
      </c>
      <c r="D1103">
        <v>2521</v>
      </c>
      <c r="E1103">
        <v>2019</v>
      </c>
      <c r="F1103">
        <v>1</v>
      </c>
      <c r="G1103">
        <v>54512</v>
      </c>
      <c r="H1103" s="1">
        <v>2</v>
      </c>
      <c r="I1103">
        <v>12</v>
      </c>
      <c r="J1103">
        <f>IF($H1103=0,1,IF($I1103&lt;=1,2,0))</f>
        <v>0</v>
      </c>
      <c r="K1103">
        <v>0</v>
      </c>
      <c r="L1103">
        <f>IF(AND($J1103=0,$K1103=0),0,1)</f>
        <v>0</v>
      </c>
    </row>
    <row r="1104" spans="1:12" x14ac:dyDescent="0.2">
      <c r="A1104" t="s">
        <v>424</v>
      </c>
      <c r="B1104" t="s">
        <v>17</v>
      </c>
      <c r="C1104" t="s">
        <v>21</v>
      </c>
      <c r="D1104">
        <v>3001</v>
      </c>
      <c r="E1104">
        <v>2019</v>
      </c>
      <c r="F1104">
        <v>1</v>
      </c>
      <c r="G1104">
        <v>54545</v>
      </c>
      <c r="H1104" s="1">
        <v>3</v>
      </c>
      <c r="I1104">
        <v>14</v>
      </c>
      <c r="J1104">
        <f>IF($H1104=0,1,IF($I1104&lt;=1,2,0))</f>
        <v>0</v>
      </c>
      <c r="K1104">
        <v>0</v>
      </c>
      <c r="L1104">
        <f>IF(AND($J1104=0,$K1104=0),0,1)</f>
        <v>0</v>
      </c>
    </row>
    <row r="1105" spans="1:13" x14ac:dyDescent="0.2">
      <c r="A1105" t="s">
        <v>424</v>
      </c>
      <c r="B1105" t="s">
        <v>17</v>
      </c>
      <c r="C1105" t="s">
        <v>9</v>
      </c>
      <c r="D1105">
        <v>3333</v>
      </c>
      <c r="E1105">
        <v>2019</v>
      </c>
      <c r="F1105">
        <v>1</v>
      </c>
      <c r="G1105">
        <v>54539</v>
      </c>
      <c r="H1105" s="1">
        <v>3</v>
      </c>
      <c r="I1105">
        <v>12</v>
      </c>
      <c r="J1105">
        <f>IF($H1105=0,1,IF($I1105&lt;=1,2,0))</f>
        <v>0</v>
      </c>
      <c r="K1105">
        <v>0</v>
      </c>
      <c r="L1105">
        <f>IF(AND($J1105=0,$K1105=0),0,1)</f>
        <v>0</v>
      </c>
    </row>
    <row r="1106" spans="1:13" x14ac:dyDescent="0.2">
      <c r="A1106" t="s">
        <v>424</v>
      </c>
      <c r="B1106" t="s">
        <v>17</v>
      </c>
      <c r="C1106" t="s">
        <v>33</v>
      </c>
      <c r="D1106">
        <v>3335</v>
      </c>
      <c r="E1106">
        <v>2019</v>
      </c>
      <c r="F1106">
        <v>1</v>
      </c>
      <c r="G1106">
        <v>19324</v>
      </c>
      <c r="H1106" s="1">
        <v>6</v>
      </c>
      <c r="I1106">
        <v>2</v>
      </c>
      <c r="J1106">
        <f>IF($H1106=0,1,IF($I1106&lt;=1,2,0))</f>
        <v>0</v>
      </c>
      <c r="K1106">
        <v>0</v>
      </c>
      <c r="L1106">
        <f>IF(AND($J1106=0,$K1106=0),0,1)</f>
        <v>0</v>
      </c>
    </row>
    <row r="1107" spans="1:13" x14ac:dyDescent="0.2">
      <c r="A1107" t="s">
        <v>424</v>
      </c>
      <c r="B1107" t="s">
        <v>17</v>
      </c>
      <c r="C1107" t="s">
        <v>9</v>
      </c>
      <c r="D1107">
        <v>3443</v>
      </c>
      <c r="E1107">
        <v>2019</v>
      </c>
      <c r="F1107">
        <v>1</v>
      </c>
      <c r="G1107">
        <v>10134</v>
      </c>
      <c r="H1107" s="1">
        <v>3</v>
      </c>
      <c r="I1107">
        <v>7</v>
      </c>
      <c r="J1107">
        <f>IF($H1107=0,1,IF($I1107&lt;=1,2,0))</f>
        <v>0</v>
      </c>
      <c r="K1107">
        <v>0</v>
      </c>
      <c r="L1107">
        <f>IF(AND($J1107=0,$K1107=0),0,1)</f>
        <v>0</v>
      </c>
    </row>
    <row r="1108" spans="1:13" x14ac:dyDescent="0.2">
      <c r="A1108" t="s">
        <v>424</v>
      </c>
      <c r="B1108" t="s">
        <v>17</v>
      </c>
      <c r="C1108" t="s">
        <v>9</v>
      </c>
      <c r="D1108">
        <v>3780</v>
      </c>
      <c r="E1108">
        <v>2019</v>
      </c>
      <c r="F1108">
        <v>1</v>
      </c>
      <c r="G1108">
        <v>54554</v>
      </c>
      <c r="H1108" s="1">
        <v>3</v>
      </c>
      <c r="I1108">
        <v>6</v>
      </c>
      <c r="J1108">
        <f>IF($H1108=0,1,IF($I1108&lt;=1,2,0))</f>
        <v>0</v>
      </c>
      <c r="K1108">
        <v>0</v>
      </c>
      <c r="L1108">
        <f>IF(AND($J1108=0,$K1108=0),0,1)</f>
        <v>0</v>
      </c>
    </row>
    <row r="1109" spans="1:13" x14ac:dyDescent="0.2">
      <c r="A1109" t="s">
        <v>424</v>
      </c>
      <c r="B1109" t="s">
        <v>17</v>
      </c>
      <c r="C1109" t="s">
        <v>11</v>
      </c>
      <c r="D1109">
        <v>4000</v>
      </c>
      <c r="E1109">
        <v>2019</v>
      </c>
      <c r="F1109">
        <v>1</v>
      </c>
      <c r="G1109">
        <v>54558</v>
      </c>
      <c r="H1109" s="1">
        <v>3</v>
      </c>
      <c r="I1109">
        <v>8</v>
      </c>
      <c r="J1109">
        <f>IF($H1109=0,1,IF($I1109&lt;=1,2,0))</f>
        <v>0</v>
      </c>
      <c r="K1109">
        <v>0</v>
      </c>
      <c r="L1109">
        <f>IF(AND($J1109=0,$K1109=0),0,1)</f>
        <v>0</v>
      </c>
    </row>
    <row r="1110" spans="1:13" x14ac:dyDescent="0.2">
      <c r="A1110" t="s">
        <v>424</v>
      </c>
      <c r="B1110" t="s">
        <v>17</v>
      </c>
      <c r="C1110" t="s">
        <v>9</v>
      </c>
      <c r="D1110">
        <v>4430</v>
      </c>
      <c r="E1110">
        <v>2019</v>
      </c>
      <c r="F1110">
        <v>1</v>
      </c>
      <c r="G1110">
        <v>54555</v>
      </c>
      <c r="H1110" s="1">
        <v>3</v>
      </c>
      <c r="I1110">
        <v>6</v>
      </c>
      <c r="J1110">
        <f>IF($H1110=0,1,IF($I1110&lt;=1,2,0))</f>
        <v>0</v>
      </c>
      <c r="K1110">
        <v>0</v>
      </c>
      <c r="L1110">
        <f>IF(AND($J1110=0,$K1110=0),0,1)</f>
        <v>0</v>
      </c>
    </row>
    <row r="1111" spans="1:13" x14ac:dyDescent="0.2">
      <c r="A1111" t="s">
        <v>424</v>
      </c>
      <c r="B1111" t="s">
        <v>17</v>
      </c>
      <c r="C1111" t="s">
        <v>9</v>
      </c>
      <c r="D1111">
        <v>4670</v>
      </c>
      <c r="E1111">
        <v>2019</v>
      </c>
      <c r="F1111">
        <v>1</v>
      </c>
      <c r="G1111">
        <v>54559</v>
      </c>
      <c r="H1111" s="1">
        <v>3</v>
      </c>
      <c r="I1111">
        <v>28</v>
      </c>
      <c r="J1111">
        <f>IF($H1111=0,1,IF($I1111&lt;=1,2,0))</f>
        <v>0</v>
      </c>
      <c r="K1111">
        <v>0</v>
      </c>
      <c r="L1111">
        <f>IF(AND($J1111=0,$K1111=0),0,1)</f>
        <v>0</v>
      </c>
    </row>
    <row r="1112" spans="1:13" x14ac:dyDescent="0.2">
      <c r="A1112" t="s">
        <v>426</v>
      </c>
      <c r="B1112" t="s">
        <v>17</v>
      </c>
      <c r="C1112" t="s">
        <v>21</v>
      </c>
      <c r="D1112">
        <v>1101</v>
      </c>
      <c r="E1112">
        <v>2019</v>
      </c>
      <c r="F1112">
        <v>2</v>
      </c>
      <c r="G1112">
        <v>10601</v>
      </c>
      <c r="H1112" s="1">
        <v>4</v>
      </c>
      <c r="I1112">
        <v>12</v>
      </c>
      <c r="J1112">
        <f>IF($H1112=0,1,IF($I1112&lt;=1,2,0))</f>
        <v>0</v>
      </c>
      <c r="K1112">
        <v>0</v>
      </c>
      <c r="L1112">
        <f>IF(AND($J1112=0,$K1112=0),0,1)</f>
        <v>0</v>
      </c>
    </row>
    <row r="1113" spans="1:13" x14ac:dyDescent="0.2">
      <c r="A1113" t="s">
        <v>426</v>
      </c>
      <c r="B1113" t="s">
        <v>17</v>
      </c>
      <c r="C1113" t="s">
        <v>21</v>
      </c>
      <c r="D1113">
        <v>1101</v>
      </c>
      <c r="E1113">
        <v>2019</v>
      </c>
      <c r="F1113">
        <v>1</v>
      </c>
      <c r="G1113">
        <v>48639</v>
      </c>
      <c r="H1113" s="1">
        <v>4</v>
      </c>
      <c r="I1113">
        <v>10</v>
      </c>
      <c r="J1113">
        <f>IF($H1113=0,1,IF($I1113&lt;=1,2,0))</f>
        <v>0</v>
      </c>
      <c r="K1113">
        <v>0</v>
      </c>
      <c r="L1113">
        <f>IF(AND($J1113=0,$K1113=0),0,1)</f>
        <v>0</v>
      </c>
    </row>
    <row r="1114" spans="1:13" x14ac:dyDescent="0.2">
      <c r="A1114" t="s">
        <v>426</v>
      </c>
      <c r="B1114" t="s">
        <v>17</v>
      </c>
      <c r="C1114" t="s">
        <v>21</v>
      </c>
      <c r="D1114">
        <v>1121</v>
      </c>
      <c r="E1114">
        <v>2019</v>
      </c>
      <c r="F1114">
        <v>1</v>
      </c>
      <c r="G1114">
        <v>48615</v>
      </c>
      <c r="H1114" s="1">
        <v>4</v>
      </c>
      <c r="I1114">
        <v>7</v>
      </c>
      <c r="J1114">
        <f>IF($H1114=0,1,IF($I1114&lt;=1,2,0))</f>
        <v>0</v>
      </c>
      <c r="K1114">
        <v>0</v>
      </c>
      <c r="L1114">
        <f>IF(AND($J1114=0,$K1114=0),0,1)</f>
        <v>0</v>
      </c>
    </row>
    <row r="1115" spans="1:13" x14ac:dyDescent="0.2">
      <c r="A1115" t="s">
        <v>426</v>
      </c>
      <c r="B1115" t="s">
        <v>17</v>
      </c>
      <c r="C1115" t="s">
        <v>21</v>
      </c>
      <c r="D1115">
        <v>2101</v>
      </c>
      <c r="E1115">
        <v>2019</v>
      </c>
      <c r="F1115">
        <v>1</v>
      </c>
      <c r="G1115">
        <v>48675</v>
      </c>
      <c r="H1115" s="1">
        <v>4</v>
      </c>
      <c r="I1115">
        <v>11</v>
      </c>
      <c r="J1115">
        <f>IF($H1115=0,1,IF($I1115&lt;=1,2,0))</f>
        <v>0</v>
      </c>
      <c r="K1115">
        <v>0</v>
      </c>
      <c r="L1115">
        <f>IF(AND($J1115=0,$K1115=0),0,1)</f>
        <v>0</v>
      </c>
    </row>
    <row r="1116" spans="1:13" x14ac:dyDescent="0.2">
      <c r="A1116" t="s">
        <v>426</v>
      </c>
      <c r="B1116" t="s">
        <v>17</v>
      </c>
      <c r="C1116" t="s">
        <v>21</v>
      </c>
      <c r="D1116">
        <v>3309</v>
      </c>
      <c r="E1116">
        <v>2019</v>
      </c>
      <c r="F1116">
        <v>1</v>
      </c>
      <c r="G1116">
        <v>48712</v>
      </c>
      <c r="H1116" s="1">
        <v>3</v>
      </c>
      <c r="I1116">
        <v>8</v>
      </c>
      <c r="J1116">
        <f>IF($H1116=0,1,IF($I1116&lt;=1,2,0))</f>
        <v>0</v>
      </c>
      <c r="K1116">
        <v>0</v>
      </c>
      <c r="L1116">
        <f>IF(AND($J1116=0,$K1116=0),0,1)</f>
        <v>0</v>
      </c>
      <c r="M1116" t="s">
        <v>427</v>
      </c>
    </row>
    <row r="1117" spans="1:13" x14ac:dyDescent="0.2">
      <c r="A1117" t="s">
        <v>426</v>
      </c>
      <c r="B1117" t="s">
        <v>17</v>
      </c>
      <c r="C1117" t="s">
        <v>9</v>
      </c>
      <c r="D1117">
        <v>3980</v>
      </c>
      <c r="E1117">
        <v>2019</v>
      </c>
      <c r="F1117">
        <v>1</v>
      </c>
      <c r="G1117">
        <v>48676</v>
      </c>
      <c r="H1117" s="1">
        <v>3</v>
      </c>
      <c r="I1117">
        <v>5</v>
      </c>
      <c r="J1117">
        <f>IF($H1117=0,1,IF($I1117&lt;=1,2,0))</f>
        <v>0</v>
      </c>
      <c r="K1117">
        <v>0</v>
      </c>
      <c r="L1117">
        <f>IF(AND($J1117=0,$K1117=0),0,1)</f>
        <v>0</v>
      </c>
    </row>
    <row r="1118" spans="1:13" x14ac:dyDescent="0.2">
      <c r="A1118" t="s">
        <v>426</v>
      </c>
      <c r="B1118" t="s">
        <v>17</v>
      </c>
      <c r="C1118" t="s">
        <v>21</v>
      </c>
      <c r="D1118">
        <v>3996</v>
      </c>
      <c r="E1118">
        <v>2019</v>
      </c>
      <c r="F1118">
        <v>1</v>
      </c>
      <c r="G1118">
        <v>48677</v>
      </c>
      <c r="H1118" s="1">
        <v>3</v>
      </c>
      <c r="I1118">
        <v>3</v>
      </c>
      <c r="J1118">
        <f>IF($H1118=0,1,IF($I1118&lt;=1,2,0))</f>
        <v>0</v>
      </c>
      <c r="K1118">
        <v>0</v>
      </c>
      <c r="L1118">
        <f>IF(AND($J1118=0,$K1118=0),0,1)</f>
        <v>0</v>
      </c>
    </row>
    <row r="1119" spans="1:13" x14ac:dyDescent="0.2">
      <c r="A1119" t="s">
        <v>426</v>
      </c>
      <c r="B1119" t="s">
        <v>17</v>
      </c>
      <c r="C1119" t="s">
        <v>9</v>
      </c>
      <c r="D1119">
        <v>4009</v>
      </c>
      <c r="E1119">
        <v>2019</v>
      </c>
      <c r="F1119">
        <v>1</v>
      </c>
      <c r="G1119">
        <v>7553</v>
      </c>
      <c r="H1119" s="1">
        <v>3</v>
      </c>
      <c r="I1119">
        <v>13</v>
      </c>
      <c r="J1119">
        <f>IF($H1119=0,1,IF($I1119&lt;=1,2,0))</f>
        <v>0</v>
      </c>
      <c r="K1119">
        <v>0</v>
      </c>
      <c r="L1119">
        <f>IF(AND($J1119=0,$K1119=0),0,1)</f>
        <v>0</v>
      </c>
      <c r="M1119" t="s">
        <v>428</v>
      </c>
    </row>
    <row r="1120" spans="1:13" x14ac:dyDescent="0.2">
      <c r="A1120" t="s">
        <v>426</v>
      </c>
      <c r="B1120" t="s">
        <v>17</v>
      </c>
      <c r="C1120" t="s">
        <v>9</v>
      </c>
      <c r="D1120">
        <v>4105</v>
      </c>
      <c r="E1120">
        <v>2019</v>
      </c>
      <c r="F1120">
        <v>1</v>
      </c>
      <c r="G1120">
        <v>48623</v>
      </c>
      <c r="H1120" s="1">
        <v>4</v>
      </c>
      <c r="I1120">
        <v>10</v>
      </c>
      <c r="J1120">
        <f>IF($H1120=0,1,IF($I1120&lt;=1,2,0))</f>
        <v>0</v>
      </c>
      <c r="K1120">
        <v>0</v>
      </c>
      <c r="L1120">
        <f>IF(AND($J1120=0,$K1120=0),0,1)</f>
        <v>0</v>
      </c>
    </row>
    <row r="1121" spans="1:13" x14ac:dyDescent="0.2">
      <c r="A1121" t="s">
        <v>426</v>
      </c>
      <c r="B1121" t="s">
        <v>17</v>
      </c>
      <c r="C1121" t="s">
        <v>11</v>
      </c>
      <c r="D1121">
        <v>8390</v>
      </c>
      <c r="E1121">
        <v>2019</v>
      </c>
      <c r="F1121">
        <v>1</v>
      </c>
      <c r="G1121">
        <v>48721</v>
      </c>
      <c r="H1121" s="1">
        <v>3</v>
      </c>
      <c r="I1121">
        <v>8</v>
      </c>
      <c r="J1121">
        <f>IF($H1121=0,1,IF($I1121&lt;=1,2,0))</f>
        <v>0</v>
      </c>
      <c r="K1121">
        <v>0</v>
      </c>
      <c r="L1121">
        <f>IF(AND($J1121=0,$K1121=0),0,1)</f>
        <v>0</v>
      </c>
    </row>
    <row r="1122" spans="1:13" x14ac:dyDescent="0.2">
      <c r="A1122" t="s">
        <v>429</v>
      </c>
      <c r="B1122" t="s">
        <v>17</v>
      </c>
      <c r="C1122" t="s">
        <v>21</v>
      </c>
      <c r="D1122">
        <v>1101</v>
      </c>
      <c r="E1122">
        <v>2019</v>
      </c>
      <c r="F1122">
        <v>1</v>
      </c>
      <c r="G1122">
        <v>48624</v>
      </c>
      <c r="H1122" s="1">
        <v>4</v>
      </c>
      <c r="I1122">
        <v>13</v>
      </c>
      <c r="J1122">
        <f>IF($H1122=0,1,IF($I1122&lt;=1,2,0))</f>
        <v>0</v>
      </c>
      <c r="K1122">
        <v>0</v>
      </c>
      <c r="L1122">
        <f>IF(AND($J1122=0,$K1122=0),0,1)</f>
        <v>0</v>
      </c>
    </row>
    <row r="1123" spans="1:13" x14ac:dyDescent="0.2">
      <c r="A1123" t="s">
        <v>429</v>
      </c>
      <c r="B1123" t="s">
        <v>17</v>
      </c>
      <c r="C1123" t="s">
        <v>21</v>
      </c>
      <c r="D1123">
        <v>2101</v>
      </c>
      <c r="E1123">
        <v>2019</v>
      </c>
      <c r="F1123">
        <v>1</v>
      </c>
      <c r="G1123">
        <v>48625</v>
      </c>
      <c r="H1123" s="1">
        <v>4</v>
      </c>
      <c r="I1123">
        <v>5</v>
      </c>
      <c r="J1123">
        <f>IF($H1123=0,1,IF($I1123&lt;=1,2,0))</f>
        <v>0</v>
      </c>
      <c r="K1123">
        <v>0</v>
      </c>
      <c r="L1123">
        <f>IF(AND($J1123=0,$K1123=0),0,1)</f>
        <v>0</v>
      </c>
    </row>
    <row r="1124" spans="1:13" x14ac:dyDescent="0.2">
      <c r="A1124" t="s">
        <v>429</v>
      </c>
      <c r="B1124" t="s">
        <v>17</v>
      </c>
      <c r="C1124" t="s">
        <v>9</v>
      </c>
      <c r="D1124">
        <v>3003</v>
      </c>
      <c r="E1124">
        <v>2019</v>
      </c>
      <c r="F1124">
        <v>1</v>
      </c>
      <c r="G1124">
        <v>48684</v>
      </c>
      <c r="H1124" s="1">
        <v>3</v>
      </c>
      <c r="I1124">
        <v>6</v>
      </c>
      <c r="J1124">
        <f>IF($H1124=0,1,IF($I1124&lt;=1,2,0))</f>
        <v>0</v>
      </c>
      <c r="K1124">
        <v>0</v>
      </c>
      <c r="L1124">
        <f>IF(AND($J1124=0,$K1124=0),0,1)</f>
        <v>0</v>
      </c>
    </row>
    <row r="1125" spans="1:13" x14ac:dyDescent="0.2">
      <c r="A1125" t="s">
        <v>429</v>
      </c>
      <c r="B1125" t="s">
        <v>17</v>
      </c>
      <c r="C1125" t="s">
        <v>9</v>
      </c>
      <c r="D1125">
        <v>3935</v>
      </c>
      <c r="E1125">
        <v>2019</v>
      </c>
      <c r="F1125">
        <v>1</v>
      </c>
      <c r="G1125">
        <v>48713</v>
      </c>
      <c r="H1125" s="1">
        <v>3</v>
      </c>
      <c r="I1125">
        <v>22</v>
      </c>
      <c r="J1125">
        <f>IF($H1125=0,1,IF($I1125&lt;=1,2,0))</f>
        <v>0</v>
      </c>
      <c r="K1125">
        <v>0</v>
      </c>
      <c r="L1125">
        <f>IF(AND($J1125=0,$K1125=0),0,1)</f>
        <v>0</v>
      </c>
    </row>
    <row r="1126" spans="1:13" x14ac:dyDescent="0.2">
      <c r="A1126" t="s">
        <v>430</v>
      </c>
      <c r="B1126" t="s">
        <v>6</v>
      </c>
      <c r="C1126" t="s">
        <v>11</v>
      </c>
      <c r="D1126">
        <v>5000</v>
      </c>
      <c r="E1126">
        <v>2019</v>
      </c>
      <c r="F1126">
        <v>1</v>
      </c>
      <c r="G1126">
        <v>50985</v>
      </c>
      <c r="H1126" s="1">
        <v>3</v>
      </c>
      <c r="I1126">
        <v>14</v>
      </c>
      <c r="J1126">
        <f>IF($H1126=0,1,IF($I1126&lt;=1,2,0))</f>
        <v>0</v>
      </c>
      <c r="K1126">
        <v>0</v>
      </c>
      <c r="L1126">
        <f>IF(AND($J1126=0,$K1126=0),0,1)</f>
        <v>0</v>
      </c>
    </row>
    <row r="1127" spans="1:13" x14ac:dyDescent="0.2">
      <c r="A1127" t="s">
        <v>430</v>
      </c>
      <c r="B1127" t="s">
        <v>6</v>
      </c>
      <c r="C1127" t="s">
        <v>11</v>
      </c>
      <c r="D1127">
        <v>5107</v>
      </c>
      <c r="E1127">
        <v>2019</v>
      </c>
      <c r="F1127">
        <v>1</v>
      </c>
      <c r="G1127">
        <v>17824</v>
      </c>
      <c r="H1127" s="1">
        <v>3</v>
      </c>
      <c r="I1127">
        <v>14</v>
      </c>
      <c r="J1127">
        <f>IF($H1127=0,1,IF($I1127&lt;=1,2,0))</f>
        <v>0</v>
      </c>
      <c r="K1127">
        <v>0</v>
      </c>
      <c r="L1127">
        <f>IF(AND($J1127=0,$K1127=0),0,1)</f>
        <v>0</v>
      </c>
    </row>
    <row r="1128" spans="1:13" x14ac:dyDescent="0.2">
      <c r="A1128" t="s">
        <v>431</v>
      </c>
      <c r="B1128" t="s">
        <v>6</v>
      </c>
      <c r="C1128" t="s">
        <v>9</v>
      </c>
      <c r="D1128">
        <v>1002</v>
      </c>
      <c r="E1128">
        <v>2019</v>
      </c>
      <c r="F1128">
        <v>1</v>
      </c>
      <c r="G1128">
        <v>36479</v>
      </c>
      <c r="H1128" s="1">
        <v>4</v>
      </c>
      <c r="I1128">
        <v>26</v>
      </c>
      <c r="J1128">
        <f>IF($H1128=0,1,IF($I1128&lt;=1,2,0))</f>
        <v>0</v>
      </c>
      <c r="K1128">
        <v>0</v>
      </c>
      <c r="L1128">
        <f>IF(AND($J1128=0,$K1128=0),0,1)</f>
        <v>0</v>
      </c>
      <c r="M1128" t="s">
        <v>432</v>
      </c>
    </row>
    <row r="1129" spans="1:13" x14ac:dyDescent="0.2">
      <c r="A1129" t="s">
        <v>431</v>
      </c>
      <c r="B1129" t="s">
        <v>6</v>
      </c>
      <c r="C1129" t="s">
        <v>9</v>
      </c>
      <c r="D1129">
        <v>1010</v>
      </c>
      <c r="E1129">
        <v>2019</v>
      </c>
      <c r="F1129">
        <v>1</v>
      </c>
      <c r="G1129">
        <v>36466</v>
      </c>
      <c r="H1129" s="1">
        <v>4</v>
      </c>
      <c r="I1129">
        <v>61</v>
      </c>
      <c r="J1129">
        <f>IF($H1129=0,1,IF($I1129&lt;=1,2,0))</f>
        <v>0</v>
      </c>
      <c r="K1129">
        <v>0</v>
      </c>
      <c r="L1129">
        <f>IF(AND($J1129=0,$K1129=0),0,1)</f>
        <v>0</v>
      </c>
      <c r="M1129" t="s">
        <v>434</v>
      </c>
    </row>
    <row r="1130" spans="1:13" x14ac:dyDescent="0.2">
      <c r="A1130" t="s">
        <v>431</v>
      </c>
      <c r="B1130" t="s">
        <v>6</v>
      </c>
      <c r="C1130" t="s">
        <v>9</v>
      </c>
      <c r="D1130">
        <v>1768</v>
      </c>
      <c r="E1130">
        <v>2019</v>
      </c>
      <c r="F1130">
        <v>1</v>
      </c>
      <c r="G1130">
        <v>10232</v>
      </c>
      <c r="H1130" s="1">
        <v>4</v>
      </c>
      <c r="I1130">
        <v>36</v>
      </c>
      <c r="J1130">
        <f>IF($H1130=0,1,IF($I1130&lt;=1,2,0))</f>
        <v>0</v>
      </c>
      <c r="K1130">
        <v>0</v>
      </c>
      <c r="L1130">
        <f>IF(AND($J1130=0,$K1130=0),0,1)</f>
        <v>0</v>
      </c>
      <c r="M1130" t="s">
        <v>432</v>
      </c>
    </row>
    <row r="1131" spans="1:13" x14ac:dyDescent="0.2">
      <c r="A1131" t="s">
        <v>431</v>
      </c>
      <c r="B1131" t="s">
        <v>6</v>
      </c>
      <c r="C1131" t="s">
        <v>9</v>
      </c>
      <c r="D1131">
        <v>1786</v>
      </c>
      <c r="E1131">
        <v>2019</v>
      </c>
      <c r="F1131">
        <v>1</v>
      </c>
      <c r="G1131">
        <v>36520</v>
      </c>
      <c r="H1131" s="1">
        <v>4</v>
      </c>
      <c r="I1131">
        <v>36</v>
      </c>
      <c r="J1131">
        <f>IF($H1131=0,1,IF($I1131&lt;=1,2,0))</f>
        <v>0</v>
      </c>
      <c r="K1131">
        <v>0</v>
      </c>
      <c r="L1131">
        <f>IF(AND($J1131=0,$K1131=0),0,1)</f>
        <v>0</v>
      </c>
      <c r="M1131" t="s">
        <v>432</v>
      </c>
    </row>
    <row r="1132" spans="1:13" x14ac:dyDescent="0.2">
      <c r="A1132" t="s">
        <v>431</v>
      </c>
      <c r="B1132" t="s">
        <v>6</v>
      </c>
      <c r="C1132" t="s">
        <v>9</v>
      </c>
      <c r="D1132">
        <v>2112</v>
      </c>
      <c r="E1132">
        <v>2019</v>
      </c>
      <c r="F1132">
        <v>1</v>
      </c>
      <c r="G1132">
        <v>36481</v>
      </c>
      <c r="H1132" s="1">
        <v>4</v>
      </c>
      <c r="I1132">
        <v>12</v>
      </c>
      <c r="J1132">
        <f>IF($H1132=0,1,IF($I1132&lt;=1,2,0))</f>
        <v>0</v>
      </c>
      <c r="K1132">
        <v>0</v>
      </c>
      <c r="L1132">
        <f>IF(AND($J1132=0,$K1132=0),0,1)</f>
        <v>0</v>
      </c>
      <c r="M1132" t="s">
        <v>444</v>
      </c>
    </row>
    <row r="1133" spans="1:13" x14ac:dyDescent="0.2">
      <c r="A1133" t="s">
        <v>431</v>
      </c>
      <c r="B1133" t="s">
        <v>6</v>
      </c>
      <c r="C1133" t="s">
        <v>9</v>
      </c>
      <c r="D1133">
        <v>2377</v>
      </c>
      <c r="E1133">
        <v>2019</v>
      </c>
      <c r="F1133">
        <v>1</v>
      </c>
      <c r="G1133">
        <v>36468</v>
      </c>
      <c r="H1133" s="1">
        <v>4</v>
      </c>
      <c r="I1133">
        <v>114</v>
      </c>
      <c r="J1133">
        <f>IF($H1133=0,1,IF($I1133&lt;=1,2,0))</f>
        <v>0</v>
      </c>
      <c r="K1133">
        <v>0</v>
      </c>
      <c r="L1133">
        <f>IF(AND($J1133=0,$K1133=0),0,1)</f>
        <v>0</v>
      </c>
      <c r="M1133" t="s">
        <v>432</v>
      </c>
    </row>
    <row r="1134" spans="1:13" x14ac:dyDescent="0.2">
      <c r="A1134" t="s">
        <v>431</v>
      </c>
      <c r="B1134" t="s">
        <v>6</v>
      </c>
      <c r="C1134" t="s">
        <v>9</v>
      </c>
      <c r="D1134">
        <v>2432</v>
      </c>
      <c r="E1134">
        <v>2019</v>
      </c>
      <c r="F1134">
        <v>1</v>
      </c>
      <c r="G1134">
        <v>36482</v>
      </c>
      <c r="H1134" s="1">
        <v>4</v>
      </c>
      <c r="I1134">
        <v>64</v>
      </c>
      <c r="J1134">
        <f>IF($H1134=0,1,IF($I1134&lt;=1,2,0))</f>
        <v>0</v>
      </c>
      <c r="K1134">
        <v>0</v>
      </c>
      <c r="L1134">
        <f>IF(AND($J1134=0,$K1134=0),0,1)</f>
        <v>0</v>
      </c>
      <c r="M1134" t="s">
        <v>432</v>
      </c>
    </row>
    <row r="1135" spans="1:13" x14ac:dyDescent="0.2">
      <c r="A1135" t="s">
        <v>431</v>
      </c>
      <c r="B1135" t="s">
        <v>6</v>
      </c>
      <c r="C1135" t="s">
        <v>9</v>
      </c>
      <c r="D1135">
        <v>2478</v>
      </c>
      <c r="E1135">
        <v>2019</v>
      </c>
      <c r="F1135">
        <v>1</v>
      </c>
      <c r="G1135">
        <v>36470</v>
      </c>
      <c r="H1135" s="1">
        <v>4</v>
      </c>
      <c r="I1135">
        <v>52</v>
      </c>
      <c r="J1135">
        <f>IF($H1135=0,1,IF($I1135&lt;=1,2,0))</f>
        <v>0</v>
      </c>
      <c r="K1135">
        <v>0</v>
      </c>
      <c r="L1135">
        <f>IF(AND($J1135=0,$K1135=0),0,1)</f>
        <v>0</v>
      </c>
      <c r="M1135" t="s">
        <v>446</v>
      </c>
    </row>
    <row r="1136" spans="1:13" x14ac:dyDescent="0.2">
      <c r="A1136" t="s">
        <v>431</v>
      </c>
      <c r="B1136" t="s">
        <v>6</v>
      </c>
      <c r="C1136" t="s">
        <v>9</v>
      </c>
      <c r="D1136">
        <v>2523</v>
      </c>
      <c r="E1136">
        <v>2019</v>
      </c>
      <c r="F1136">
        <v>1</v>
      </c>
      <c r="G1136">
        <v>36483</v>
      </c>
      <c r="H1136" s="1">
        <v>4</v>
      </c>
      <c r="I1136">
        <v>23</v>
      </c>
      <c r="J1136">
        <f>IF($H1136=0,1,IF($I1136&lt;=1,2,0))</f>
        <v>0</v>
      </c>
      <c r="K1136">
        <v>0</v>
      </c>
      <c r="L1136">
        <f>IF(AND($J1136=0,$K1136=0),0,1)</f>
        <v>0</v>
      </c>
      <c r="M1136" t="s">
        <v>447</v>
      </c>
    </row>
    <row r="1137" spans="1:13" x14ac:dyDescent="0.2">
      <c r="A1137" t="s">
        <v>431</v>
      </c>
      <c r="B1137" t="s">
        <v>6</v>
      </c>
      <c r="C1137" t="s">
        <v>9</v>
      </c>
      <c r="D1137">
        <v>2533</v>
      </c>
      <c r="E1137">
        <v>2019</v>
      </c>
      <c r="F1137">
        <v>1</v>
      </c>
      <c r="G1137">
        <v>36472</v>
      </c>
      <c r="H1137" s="1">
        <v>4</v>
      </c>
      <c r="I1137">
        <v>81</v>
      </c>
      <c r="J1137">
        <f>IF($H1137=0,1,IF($I1137&lt;=1,2,0))</f>
        <v>0</v>
      </c>
      <c r="K1137">
        <v>0</v>
      </c>
      <c r="L1137">
        <f>IF(AND($J1137=0,$K1137=0),0,1)</f>
        <v>0</v>
      </c>
      <c r="M1137" t="s">
        <v>432</v>
      </c>
    </row>
    <row r="1138" spans="1:13" x14ac:dyDescent="0.2">
      <c r="A1138" t="s">
        <v>431</v>
      </c>
      <c r="B1138" t="s">
        <v>6</v>
      </c>
      <c r="C1138" t="s">
        <v>9</v>
      </c>
      <c r="D1138">
        <v>2580</v>
      </c>
      <c r="E1138">
        <v>2019</v>
      </c>
      <c r="F1138">
        <v>1</v>
      </c>
      <c r="G1138">
        <v>36486</v>
      </c>
      <c r="H1138" s="1">
        <v>4</v>
      </c>
      <c r="I1138">
        <v>104</v>
      </c>
      <c r="J1138">
        <f>IF($H1138=0,1,IF($I1138&lt;=1,2,0))</f>
        <v>0</v>
      </c>
      <c r="K1138">
        <v>0</v>
      </c>
      <c r="L1138">
        <f>IF(AND($J1138=0,$K1138=0),0,1)</f>
        <v>0</v>
      </c>
    </row>
    <row r="1139" spans="1:13" x14ac:dyDescent="0.2">
      <c r="A1139" t="s">
        <v>431</v>
      </c>
      <c r="B1139" t="s">
        <v>6</v>
      </c>
      <c r="C1139" t="s">
        <v>9</v>
      </c>
      <c r="D1139">
        <v>2587</v>
      </c>
      <c r="E1139">
        <v>2019</v>
      </c>
      <c r="F1139">
        <v>1</v>
      </c>
      <c r="G1139">
        <v>36488</v>
      </c>
      <c r="H1139" s="1">
        <v>4</v>
      </c>
      <c r="I1139">
        <v>64</v>
      </c>
      <c r="J1139">
        <f>IF($H1139=0,1,IF($I1139&lt;=1,2,0))</f>
        <v>0</v>
      </c>
      <c r="K1139">
        <v>0</v>
      </c>
      <c r="L1139">
        <f>IF(AND($J1139=0,$K1139=0),0,1)</f>
        <v>0</v>
      </c>
      <c r="M1139" t="s">
        <v>432</v>
      </c>
    </row>
    <row r="1140" spans="1:13" x14ac:dyDescent="0.2">
      <c r="A1140" t="s">
        <v>431</v>
      </c>
      <c r="B1140" t="s">
        <v>6</v>
      </c>
      <c r="C1140" t="s">
        <v>9</v>
      </c>
      <c r="D1140">
        <v>2618</v>
      </c>
      <c r="E1140">
        <v>2019</v>
      </c>
      <c r="F1140">
        <v>1</v>
      </c>
      <c r="G1140">
        <v>36490</v>
      </c>
      <c r="H1140" s="1">
        <v>4</v>
      </c>
      <c r="I1140">
        <v>102</v>
      </c>
      <c r="J1140">
        <f>IF($H1140=0,1,IF($I1140&lt;=1,2,0))</f>
        <v>0</v>
      </c>
      <c r="K1140">
        <v>0</v>
      </c>
      <c r="L1140">
        <f>IF(AND($J1140=0,$K1140=0),0,1)</f>
        <v>0</v>
      </c>
      <c r="M1140" t="s">
        <v>432</v>
      </c>
    </row>
    <row r="1141" spans="1:13" x14ac:dyDescent="0.2">
      <c r="A1141" t="s">
        <v>431</v>
      </c>
      <c r="B1141" t="s">
        <v>6</v>
      </c>
      <c r="C1141" t="s">
        <v>9</v>
      </c>
      <c r="D1141">
        <v>2628</v>
      </c>
      <c r="E1141">
        <v>2019</v>
      </c>
      <c r="F1141">
        <v>1</v>
      </c>
      <c r="G1141">
        <v>36516</v>
      </c>
      <c r="H1141" s="1">
        <v>4</v>
      </c>
      <c r="I1141">
        <v>28</v>
      </c>
      <c r="J1141">
        <f>IF($H1141=0,1,IF($I1141&lt;=1,2,0))</f>
        <v>0</v>
      </c>
      <c r="K1141">
        <v>0</v>
      </c>
      <c r="L1141">
        <f>IF(AND($J1141=0,$K1141=0),0,1)</f>
        <v>0</v>
      </c>
      <c r="M1141" t="s">
        <v>432</v>
      </c>
    </row>
    <row r="1142" spans="1:13" x14ac:dyDescent="0.2">
      <c r="A1142" t="s">
        <v>431</v>
      </c>
      <c r="B1142" t="s">
        <v>6</v>
      </c>
      <c r="C1142" t="s">
        <v>9</v>
      </c>
      <c r="D1142">
        <v>2719</v>
      </c>
      <c r="E1142">
        <v>2019</v>
      </c>
      <c r="F1142">
        <v>1</v>
      </c>
      <c r="G1142">
        <v>36492</v>
      </c>
      <c r="H1142" s="1">
        <v>4</v>
      </c>
      <c r="I1142">
        <v>196</v>
      </c>
      <c r="J1142">
        <f>IF($H1142=0,1,IF($I1142&lt;=1,2,0))</f>
        <v>0</v>
      </c>
      <c r="K1142">
        <v>0</v>
      </c>
      <c r="L1142">
        <f>IF(AND($J1142=0,$K1142=0),0,1)</f>
        <v>0</v>
      </c>
      <c r="M1142" t="s">
        <v>432</v>
      </c>
    </row>
    <row r="1143" spans="1:13" x14ac:dyDescent="0.2">
      <c r="A1143" t="s">
        <v>431</v>
      </c>
      <c r="B1143" t="s">
        <v>6</v>
      </c>
      <c r="C1143" t="s">
        <v>9</v>
      </c>
      <c r="D1143">
        <v>2772</v>
      </c>
      <c r="E1143">
        <v>2019</v>
      </c>
      <c r="F1143">
        <v>1</v>
      </c>
      <c r="G1143">
        <v>36494</v>
      </c>
      <c r="H1143" s="1">
        <v>4</v>
      </c>
      <c r="I1143">
        <v>56</v>
      </c>
      <c r="J1143">
        <f>IF($H1143=0,1,IF($I1143&lt;=1,2,0))</f>
        <v>0</v>
      </c>
      <c r="K1143">
        <v>0</v>
      </c>
      <c r="L1143">
        <f>IF(AND($J1143=0,$K1143=0),0,1)</f>
        <v>0</v>
      </c>
      <c r="M1143" t="s">
        <v>432</v>
      </c>
    </row>
    <row r="1144" spans="1:13" x14ac:dyDescent="0.2">
      <c r="A1144" t="s">
        <v>431</v>
      </c>
      <c r="B1144" t="s">
        <v>6</v>
      </c>
      <c r="C1144" t="s">
        <v>9</v>
      </c>
      <c r="D1144">
        <v>3011</v>
      </c>
      <c r="E1144">
        <v>2019</v>
      </c>
      <c r="F1144">
        <v>1</v>
      </c>
      <c r="G1144">
        <v>36474</v>
      </c>
      <c r="H1144" s="1">
        <v>4</v>
      </c>
      <c r="I1144">
        <v>15</v>
      </c>
      <c r="J1144">
        <f>IF($H1144=0,1,IF($I1144&lt;=1,2,0))</f>
        <v>0</v>
      </c>
      <c r="K1144">
        <v>0</v>
      </c>
      <c r="L1144">
        <f>IF(AND($J1144=0,$K1144=0),0,1)</f>
        <v>0</v>
      </c>
      <c r="M1144" t="s">
        <v>449</v>
      </c>
    </row>
    <row r="1145" spans="1:13" x14ac:dyDescent="0.2">
      <c r="A1145" t="s">
        <v>431</v>
      </c>
      <c r="B1145" t="s">
        <v>6</v>
      </c>
      <c r="C1145" t="s">
        <v>9</v>
      </c>
      <c r="D1145">
        <v>3019</v>
      </c>
      <c r="E1145">
        <v>2019</v>
      </c>
      <c r="F1145">
        <v>1</v>
      </c>
      <c r="G1145">
        <v>13257</v>
      </c>
      <c r="H1145" s="1">
        <v>4</v>
      </c>
      <c r="I1145">
        <v>11</v>
      </c>
      <c r="J1145">
        <f>IF($H1145=0,1,IF($I1145&lt;=1,2,0))</f>
        <v>0</v>
      </c>
      <c r="K1145">
        <v>0</v>
      </c>
      <c r="L1145">
        <f>IF(AND($J1145=0,$K1145=0),0,1)</f>
        <v>0</v>
      </c>
    </row>
    <row r="1146" spans="1:13" x14ac:dyDescent="0.2">
      <c r="A1146" t="s">
        <v>431</v>
      </c>
      <c r="B1146" t="s">
        <v>6</v>
      </c>
      <c r="C1146" t="s">
        <v>9</v>
      </c>
      <c r="D1146">
        <v>3032</v>
      </c>
      <c r="E1146">
        <v>2019</v>
      </c>
      <c r="F1146">
        <v>1</v>
      </c>
      <c r="G1146">
        <v>13285</v>
      </c>
      <c r="H1146" s="1">
        <v>4</v>
      </c>
      <c r="I1146">
        <v>11</v>
      </c>
      <c r="J1146">
        <f>IF($H1146=0,1,IF($I1146&lt;=1,2,0))</f>
        <v>0</v>
      </c>
      <c r="K1146">
        <v>0</v>
      </c>
      <c r="L1146">
        <f>IF(AND($J1146=0,$K1146=0),0,1)</f>
        <v>0</v>
      </c>
    </row>
    <row r="1147" spans="1:13" x14ac:dyDescent="0.2">
      <c r="A1147" t="s">
        <v>431</v>
      </c>
      <c r="B1147" t="s">
        <v>6</v>
      </c>
      <c r="C1147" t="s">
        <v>9</v>
      </c>
      <c r="D1147">
        <v>3069</v>
      </c>
      <c r="E1147">
        <v>2019</v>
      </c>
      <c r="F1147">
        <v>1</v>
      </c>
      <c r="G1147">
        <v>13286</v>
      </c>
      <c r="H1147" s="1">
        <v>4</v>
      </c>
      <c r="I1147">
        <v>12</v>
      </c>
      <c r="J1147">
        <f>IF($H1147=0,1,IF($I1147&lt;=1,2,0))</f>
        <v>0</v>
      </c>
      <c r="K1147">
        <v>0</v>
      </c>
      <c r="L1147">
        <f>IF(AND($J1147=0,$K1147=0),0,1)</f>
        <v>0</v>
      </c>
    </row>
    <row r="1148" spans="1:13" x14ac:dyDescent="0.2">
      <c r="A1148" t="s">
        <v>431</v>
      </c>
      <c r="B1148" t="s">
        <v>6</v>
      </c>
      <c r="C1148" t="s">
        <v>9</v>
      </c>
      <c r="D1148">
        <v>3099</v>
      </c>
      <c r="E1148">
        <v>2019</v>
      </c>
      <c r="F1148">
        <v>1</v>
      </c>
      <c r="G1148">
        <v>16429</v>
      </c>
      <c r="H1148" s="1">
        <v>4</v>
      </c>
      <c r="I1148">
        <v>14</v>
      </c>
      <c r="J1148">
        <f>IF($H1148=0,1,IF($I1148&lt;=1,2,0))</f>
        <v>0</v>
      </c>
      <c r="K1148">
        <v>0</v>
      </c>
      <c r="L1148">
        <f>IF(AND($J1148=0,$K1148=0),0,1)</f>
        <v>0</v>
      </c>
    </row>
    <row r="1149" spans="1:13" x14ac:dyDescent="0.2">
      <c r="A1149" t="s">
        <v>431</v>
      </c>
      <c r="B1149" t="s">
        <v>6</v>
      </c>
      <c r="C1149" t="s">
        <v>9</v>
      </c>
      <c r="D1149">
        <v>3298</v>
      </c>
      <c r="E1149">
        <v>2019</v>
      </c>
      <c r="F1149">
        <v>1</v>
      </c>
      <c r="G1149">
        <v>17308</v>
      </c>
      <c r="H1149" s="1">
        <v>4</v>
      </c>
      <c r="I1149">
        <v>6</v>
      </c>
      <c r="J1149">
        <f>IF($H1149=0,1,IF($I1149&lt;=1,2,0))</f>
        <v>0</v>
      </c>
      <c r="K1149">
        <v>0</v>
      </c>
      <c r="L1149">
        <f>IF(AND($J1149=0,$K1149=0),0,1)</f>
        <v>0</v>
      </c>
    </row>
    <row r="1150" spans="1:13" x14ac:dyDescent="0.2">
      <c r="A1150" t="s">
        <v>431</v>
      </c>
      <c r="B1150" t="s">
        <v>6</v>
      </c>
      <c r="C1150" t="s">
        <v>34</v>
      </c>
      <c r="D1150">
        <v>3335</v>
      </c>
      <c r="E1150">
        <v>2019</v>
      </c>
      <c r="F1150">
        <v>2</v>
      </c>
      <c r="G1150">
        <v>13381</v>
      </c>
      <c r="H1150" s="1">
        <v>4</v>
      </c>
      <c r="I1150">
        <v>18</v>
      </c>
      <c r="J1150">
        <f>IF($H1150=0,1,IF($I1150&lt;=1,2,0))</f>
        <v>0</v>
      </c>
      <c r="K1150">
        <v>0</v>
      </c>
      <c r="L1150">
        <f>IF(AND($J1150=0,$K1150=0),0,1)</f>
        <v>0</v>
      </c>
      <c r="M1150" t="s">
        <v>449</v>
      </c>
    </row>
    <row r="1151" spans="1:13" x14ac:dyDescent="0.2">
      <c r="A1151" t="s">
        <v>431</v>
      </c>
      <c r="B1151" t="s">
        <v>6</v>
      </c>
      <c r="C1151" t="s">
        <v>34</v>
      </c>
      <c r="D1151">
        <v>3335</v>
      </c>
      <c r="E1151">
        <v>2019</v>
      </c>
      <c r="F1151">
        <v>1</v>
      </c>
      <c r="G1151">
        <v>36497</v>
      </c>
      <c r="H1151" s="1">
        <v>4</v>
      </c>
      <c r="I1151">
        <v>13</v>
      </c>
      <c r="J1151">
        <f>IF($H1151=0,1,IF($I1151&lt;=1,2,0))</f>
        <v>0</v>
      </c>
      <c r="K1151">
        <v>0</v>
      </c>
      <c r="L1151">
        <f>IF(AND($J1151=0,$K1151=0),0,1)</f>
        <v>0</v>
      </c>
    </row>
    <row r="1152" spans="1:13" x14ac:dyDescent="0.2">
      <c r="A1152" t="s">
        <v>431</v>
      </c>
      <c r="B1152" t="s">
        <v>6</v>
      </c>
      <c r="C1152" t="s">
        <v>9</v>
      </c>
      <c r="D1152">
        <v>3562</v>
      </c>
      <c r="E1152">
        <v>2019</v>
      </c>
      <c r="F1152">
        <v>1</v>
      </c>
      <c r="G1152">
        <v>10351</v>
      </c>
      <c r="H1152" s="1">
        <v>4</v>
      </c>
      <c r="I1152">
        <v>10</v>
      </c>
      <c r="J1152">
        <f>IF($H1152=0,1,IF($I1152&lt;=1,2,0))</f>
        <v>0</v>
      </c>
      <c r="K1152">
        <v>0</v>
      </c>
      <c r="L1152">
        <f>IF(AND($J1152=0,$K1152=0),0,1)</f>
        <v>0</v>
      </c>
      <c r="M1152" t="s">
        <v>449</v>
      </c>
    </row>
    <row r="1153" spans="1:13" x14ac:dyDescent="0.2">
      <c r="A1153" t="s">
        <v>431</v>
      </c>
      <c r="B1153" t="s">
        <v>6</v>
      </c>
      <c r="C1153" t="s">
        <v>9</v>
      </c>
      <c r="D1153">
        <v>3815</v>
      </c>
      <c r="E1153">
        <v>2019</v>
      </c>
      <c r="F1153">
        <v>1</v>
      </c>
      <c r="G1153">
        <v>16431</v>
      </c>
      <c r="H1153" s="1">
        <v>4</v>
      </c>
      <c r="I1153">
        <v>10</v>
      </c>
      <c r="J1153">
        <f>IF($H1153=0,1,IF($I1153&lt;=1,2,0))</f>
        <v>0</v>
      </c>
      <c r="K1153">
        <v>0</v>
      </c>
      <c r="L1153">
        <f>IF(AND($J1153=0,$K1153=0),0,1)</f>
        <v>0</v>
      </c>
    </row>
    <row r="1154" spans="1:13" x14ac:dyDescent="0.2">
      <c r="A1154" t="s">
        <v>431</v>
      </c>
      <c r="B1154" t="s">
        <v>6</v>
      </c>
      <c r="C1154" t="s">
        <v>7</v>
      </c>
      <c r="D1154">
        <v>3838</v>
      </c>
      <c r="E1154">
        <v>2019</v>
      </c>
      <c r="F1154">
        <v>1</v>
      </c>
      <c r="G1154">
        <v>36498</v>
      </c>
      <c r="H1154" s="1">
        <v>4</v>
      </c>
      <c r="I1154">
        <v>12</v>
      </c>
      <c r="J1154">
        <f>IF($H1154=0,1,IF($I1154&lt;=1,2,0))</f>
        <v>0</v>
      </c>
      <c r="K1154">
        <v>0</v>
      </c>
      <c r="L1154">
        <f>IF(AND($J1154=0,$K1154=0),0,1)</f>
        <v>0</v>
      </c>
      <c r="M1154" t="s">
        <v>455</v>
      </c>
    </row>
    <row r="1155" spans="1:13" x14ac:dyDescent="0.2">
      <c r="A1155" t="s">
        <v>431</v>
      </c>
      <c r="B1155" t="s">
        <v>6</v>
      </c>
      <c r="C1155" t="s">
        <v>7</v>
      </c>
      <c r="D1155">
        <v>3838</v>
      </c>
      <c r="E1155">
        <v>2019</v>
      </c>
      <c r="F1155">
        <v>4</v>
      </c>
      <c r="G1155">
        <v>36501</v>
      </c>
      <c r="H1155" s="1">
        <v>4</v>
      </c>
      <c r="I1155">
        <v>11</v>
      </c>
      <c r="J1155">
        <f>IF($H1155=0,1,IF($I1155&lt;=1,2,0))</f>
        <v>0</v>
      </c>
      <c r="K1155">
        <v>0</v>
      </c>
      <c r="L1155">
        <f>IF(AND($J1155=0,$K1155=0),0,1)</f>
        <v>0</v>
      </c>
      <c r="M1155" t="s">
        <v>456</v>
      </c>
    </row>
    <row r="1156" spans="1:13" x14ac:dyDescent="0.2">
      <c r="A1156" t="s">
        <v>431</v>
      </c>
      <c r="B1156" t="s">
        <v>6</v>
      </c>
      <c r="C1156" t="s">
        <v>7</v>
      </c>
      <c r="D1156">
        <v>3838</v>
      </c>
      <c r="E1156">
        <v>2019</v>
      </c>
      <c r="F1156">
        <v>3</v>
      </c>
      <c r="G1156">
        <v>36500</v>
      </c>
      <c r="H1156" s="1">
        <v>4</v>
      </c>
      <c r="I1156">
        <v>8</v>
      </c>
      <c r="J1156">
        <f>IF($H1156=0,1,IF($I1156&lt;=1,2,0))</f>
        <v>0</v>
      </c>
      <c r="K1156">
        <v>0</v>
      </c>
      <c r="L1156">
        <f>IF(AND($J1156=0,$K1156=0),0,1)</f>
        <v>0</v>
      </c>
      <c r="M1156" t="s">
        <v>456</v>
      </c>
    </row>
    <row r="1157" spans="1:13" x14ac:dyDescent="0.2">
      <c r="A1157" t="s">
        <v>431</v>
      </c>
      <c r="B1157" t="s">
        <v>6</v>
      </c>
      <c r="C1157" t="s">
        <v>7</v>
      </c>
      <c r="D1157">
        <v>3838</v>
      </c>
      <c r="E1157">
        <v>2019</v>
      </c>
      <c r="F1157">
        <v>2</v>
      </c>
      <c r="G1157">
        <v>36499</v>
      </c>
      <c r="H1157" s="1">
        <v>4</v>
      </c>
      <c r="I1157">
        <v>7</v>
      </c>
      <c r="J1157">
        <f>IF($H1157=0,1,IF($I1157&lt;=1,2,0))</f>
        <v>0</v>
      </c>
      <c r="K1157">
        <v>0</v>
      </c>
      <c r="L1157">
        <f>IF(AND($J1157=0,$K1157=0),0,1)</f>
        <v>0</v>
      </c>
      <c r="M1157" t="s">
        <v>456</v>
      </c>
    </row>
    <row r="1158" spans="1:13" x14ac:dyDescent="0.2">
      <c r="A1158" t="s">
        <v>431</v>
      </c>
      <c r="B1158" t="s">
        <v>6</v>
      </c>
      <c r="C1158" t="s">
        <v>9</v>
      </c>
      <c r="D1158">
        <v>3897</v>
      </c>
      <c r="E1158">
        <v>2019</v>
      </c>
      <c r="F1158">
        <v>1</v>
      </c>
      <c r="G1158">
        <v>16430</v>
      </c>
      <c r="H1158" s="1">
        <v>4</v>
      </c>
      <c r="I1158">
        <v>12</v>
      </c>
      <c r="J1158">
        <f>IF($H1158=0,1,IF($I1158&lt;=1,2,0))</f>
        <v>0</v>
      </c>
      <c r="K1158">
        <v>0</v>
      </c>
      <c r="L1158">
        <f>IF(AND($J1158=0,$K1158=0),0,1)</f>
        <v>0</v>
      </c>
    </row>
    <row r="1159" spans="1:13" x14ac:dyDescent="0.2">
      <c r="A1159" t="s">
        <v>431</v>
      </c>
      <c r="B1159" t="s">
        <v>6</v>
      </c>
      <c r="C1159" t="s">
        <v>34</v>
      </c>
      <c r="D1159">
        <v>3930</v>
      </c>
      <c r="E1159">
        <v>2019</v>
      </c>
      <c r="F1159">
        <v>1</v>
      </c>
      <c r="G1159">
        <v>36502</v>
      </c>
      <c r="H1159" s="1">
        <v>4</v>
      </c>
      <c r="I1159">
        <v>6</v>
      </c>
      <c r="J1159">
        <f>IF($H1159=0,1,IF($I1159&lt;=1,2,0))</f>
        <v>0</v>
      </c>
      <c r="K1159">
        <v>0</v>
      </c>
      <c r="L1159">
        <f>IF(AND($J1159=0,$K1159=0),0,1)</f>
        <v>0</v>
      </c>
      <c r="M1159" t="s">
        <v>449</v>
      </c>
    </row>
    <row r="1160" spans="1:13" x14ac:dyDescent="0.2">
      <c r="A1160" t="s">
        <v>431</v>
      </c>
      <c r="B1160" t="s">
        <v>6</v>
      </c>
      <c r="C1160" t="s">
        <v>33</v>
      </c>
      <c r="D1160">
        <v>3991</v>
      </c>
      <c r="E1160">
        <v>2019</v>
      </c>
      <c r="F1160">
        <v>1</v>
      </c>
      <c r="G1160">
        <v>19287</v>
      </c>
      <c r="H1160" s="1">
        <v>3</v>
      </c>
      <c r="I1160">
        <v>2</v>
      </c>
      <c r="J1160">
        <f>IF($H1160=0,1,IF($I1160&lt;=1,2,0))</f>
        <v>0</v>
      </c>
      <c r="K1160">
        <v>0</v>
      </c>
      <c r="L1160">
        <f>IF(AND($J1160=0,$K1160=0),0,1)</f>
        <v>0</v>
      </c>
    </row>
    <row r="1161" spans="1:13" x14ac:dyDescent="0.2">
      <c r="A1161" t="s">
        <v>431</v>
      </c>
      <c r="B1161" t="s">
        <v>6</v>
      </c>
      <c r="C1161" t="s">
        <v>33</v>
      </c>
      <c r="D1161">
        <v>3991</v>
      </c>
      <c r="E1161">
        <v>2019</v>
      </c>
      <c r="F1161">
        <v>2</v>
      </c>
      <c r="G1161">
        <v>19288</v>
      </c>
      <c r="H1161" s="1">
        <v>3</v>
      </c>
      <c r="I1161">
        <v>2</v>
      </c>
      <c r="J1161">
        <f>IF($H1161=0,1,IF($I1161&lt;=1,2,0))</f>
        <v>0</v>
      </c>
      <c r="K1161">
        <v>0</v>
      </c>
      <c r="L1161">
        <f>IF(AND($J1161=0,$K1161=0),0,1)</f>
        <v>0</v>
      </c>
    </row>
    <row r="1162" spans="1:13" x14ac:dyDescent="0.2">
      <c r="A1162" t="s">
        <v>431</v>
      </c>
      <c r="B1162" t="s">
        <v>6</v>
      </c>
      <c r="C1162" t="s">
        <v>33</v>
      </c>
      <c r="D1162">
        <v>3991</v>
      </c>
      <c r="E1162">
        <v>2019</v>
      </c>
      <c r="F1162">
        <v>3</v>
      </c>
      <c r="G1162">
        <v>19289</v>
      </c>
      <c r="H1162" s="1">
        <v>3</v>
      </c>
      <c r="I1162">
        <v>2</v>
      </c>
      <c r="J1162">
        <f>IF($H1162=0,1,IF($I1162&lt;=1,2,0))</f>
        <v>0</v>
      </c>
      <c r="K1162">
        <v>0</v>
      </c>
      <c r="L1162">
        <f>IF(AND($J1162=0,$K1162=0),0,1)</f>
        <v>0</v>
      </c>
    </row>
    <row r="1163" spans="1:13" x14ac:dyDescent="0.2">
      <c r="A1163" t="s">
        <v>431</v>
      </c>
      <c r="B1163" t="s">
        <v>6</v>
      </c>
      <c r="C1163" t="s">
        <v>183</v>
      </c>
      <c r="D1163">
        <v>3992</v>
      </c>
      <c r="E1163">
        <v>2019</v>
      </c>
      <c r="F1163">
        <v>1</v>
      </c>
      <c r="G1163">
        <v>19381</v>
      </c>
      <c r="H1163" s="1">
        <v>4</v>
      </c>
      <c r="I1163">
        <v>2</v>
      </c>
      <c r="J1163">
        <f>IF($H1163=0,1,IF($I1163&lt;=1,2,0))</f>
        <v>0</v>
      </c>
      <c r="K1163">
        <v>0</v>
      </c>
      <c r="L1163">
        <f>IF(AND($J1163=0,$K1163=0),0,1)</f>
        <v>0</v>
      </c>
    </row>
    <row r="1164" spans="1:13" x14ac:dyDescent="0.2">
      <c r="A1164" t="s">
        <v>431</v>
      </c>
      <c r="B1164" t="s">
        <v>6</v>
      </c>
      <c r="C1164" t="s">
        <v>9</v>
      </c>
      <c r="D1164">
        <v>4085</v>
      </c>
      <c r="E1164">
        <v>2019</v>
      </c>
      <c r="F1164">
        <v>1</v>
      </c>
      <c r="G1164">
        <v>14024</v>
      </c>
      <c r="H1164" s="1">
        <v>4</v>
      </c>
      <c r="I1164">
        <v>9</v>
      </c>
      <c r="J1164">
        <f>IF($H1164=0,1,IF($I1164&lt;=1,2,0))</f>
        <v>0</v>
      </c>
      <c r="K1164">
        <v>0</v>
      </c>
      <c r="L1164">
        <f>IF(AND($J1164=0,$K1164=0),0,1)</f>
        <v>0</v>
      </c>
    </row>
    <row r="1165" spans="1:13" x14ac:dyDescent="0.2">
      <c r="A1165" t="s">
        <v>431</v>
      </c>
      <c r="B1165" t="s">
        <v>6</v>
      </c>
      <c r="C1165" t="s">
        <v>9</v>
      </c>
      <c r="D1165">
        <v>4121</v>
      </c>
      <c r="E1165">
        <v>2019</v>
      </c>
      <c r="F1165">
        <v>1</v>
      </c>
      <c r="G1165">
        <v>36527</v>
      </c>
      <c r="H1165" s="1">
        <v>4</v>
      </c>
      <c r="I1165">
        <v>16</v>
      </c>
      <c r="J1165">
        <f>IF($H1165=0,1,IF($I1165&lt;=1,2,0))</f>
        <v>0</v>
      </c>
      <c r="K1165">
        <v>0</v>
      </c>
      <c r="L1165">
        <f>IF(AND($J1165=0,$K1165=0),0,1)</f>
        <v>0</v>
      </c>
    </row>
    <row r="1166" spans="1:13" x14ac:dyDescent="0.2">
      <c r="A1166" t="s">
        <v>431</v>
      </c>
      <c r="B1166" t="s">
        <v>6</v>
      </c>
      <c r="C1166" t="s">
        <v>9</v>
      </c>
      <c r="D1166">
        <v>4217</v>
      </c>
      <c r="E1166">
        <v>2019</v>
      </c>
      <c r="F1166">
        <v>1</v>
      </c>
      <c r="G1166">
        <v>10358</v>
      </c>
      <c r="H1166" s="1">
        <v>4</v>
      </c>
      <c r="I1166">
        <v>10</v>
      </c>
      <c r="J1166">
        <f>IF($H1166=0,1,IF($I1166&lt;=1,2,0))</f>
        <v>0</v>
      </c>
      <c r="K1166">
        <v>0</v>
      </c>
      <c r="L1166">
        <f>IF(AND($J1166=0,$K1166=0),0,1)</f>
        <v>0</v>
      </c>
      <c r="M1166" t="s">
        <v>449</v>
      </c>
    </row>
    <row r="1167" spans="1:13" x14ac:dyDescent="0.2">
      <c r="A1167" t="s">
        <v>431</v>
      </c>
      <c r="B1167" t="s">
        <v>6</v>
      </c>
      <c r="C1167" t="s">
        <v>9</v>
      </c>
      <c r="D1167">
        <v>4231</v>
      </c>
      <c r="E1167">
        <v>2019</v>
      </c>
      <c r="F1167">
        <v>1</v>
      </c>
      <c r="G1167">
        <v>14019</v>
      </c>
      <c r="H1167" s="1">
        <v>4</v>
      </c>
      <c r="I1167">
        <v>16</v>
      </c>
      <c r="J1167">
        <f>IF($H1167=0,1,IF($I1167&lt;=1,2,0))</f>
        <v>0</v>
      </c>
      <c r="K1167">
        <v>0</v>
      </c>
      <c r="L1167">
        <f>IF(AND($J1167=0,$K1167=0),0,1)</f>
        <v>0</v>
      </c>
    </row>
    <row r="1168" spans="1:13" x14ac:dyDescent="0.2">
      <c r="A1168" t="s">
        <v>431</v>
      </c>
      <c r="B1168" t="s">
        <v>6</v>
      </c>
      <c r="C1168" t="s">
        <v>9</v>
      </c>
      <c r="D1168">
        <v>4235</v>
      </c>
      <c r="E1168">
        <v>2019</v>
      </c>
      <c r="F1168">
        <v>1</v>
      </c>
      <c r="G1168">
        <v>14020</v>
      </c>
      <c r="H1168" s="1">
        <v>4</v>
      </c>
      <c r="I1168">
        <v>3</v>
      </c>
      <c r="J1168">
        <f>IF($H1168=0,1,IF($I1168&lt;=1,2,0))</f>
        <v>0</v>
      </c>
      <c r="K1168">
        <v>0</v>
      </c>
      <c r="L1168">
        <f>IF(AND($J1168=0,$K1168=0),0,1)</f>
        <v>0</v>
      </c>
    </row>
    <row r="1169" spans="1:13" x14ac:dyDescent="0.2">
      <c r="A1169" t="s">
        <v>431</v>
      </c>
      <c r="B1169" t="s">
        <v>6</v>
      </c>
      <c r="C1169" t="s">
        <v>9</v>
      </c>
      <c r="D1169">
        <v>4253</v>
      </c>
      <c r="E1169">
        <v>2019</v>
      </c>
      <c r="F1169">
        <v>1</v>
      </c>
      <c r="G1169">
        <v>13310</v>
      </c>
      <c r="H1169" s="1">
        <v>4</v>
      </c>
      <c r="I1169">
        <v>2</v>
      </c>
      <c r="J1169">
        <f>IF($H1169=0,1,IF($I1169&lt;=1,2,0))</f>
        <v>0</v>
      </c>
      <c r="K1169">
        <v>0</v>
      </c>
      <c r="L1169">
        <f>IF(AND($J1169=0,$K1169=0),0,1)</f>
        <v>0</v>
      </c>
    </row>
    <row r="1170" spans="1:13" x14ac:dyDescent="0.2">
      <c r="A1170" t="s">
        <v>431</v>
      </c>
      <c r="B1170" t="s">
        <v>6</v>
      </c>
      <c r="C1170" t="s">
        <v>9</v>
      </c>
      <c r="D1170">
        <v>4426</v>
      </c>
      <c r="E1170">
        <v>2019</v>
      </c>
      <c r="F1170">
        <v>1</v>
      </c>
      <c r="G1170">
        <v>36504</v>
      </c>
      <c r="H1170" s="1">
        <v>4</v>
      </c>
      <c r="I1170">
        <v>8</v>
      </c>
      <c r="J1170">
        <f>IF($H1170=0,1,IF($I1170&lt;=1,2,0))</f>
        <v>0</v>
      </c>
      <c r="K1170">
        <v>0</v>
      </c>
      <c r="L1170">
        <f>IF(AND($J1170=0,$K1170=0),0,1)</f>
        <v>0</v>
      </c>
      <c r="M1170" t="s">
        <v>449</v>
      </c>
    </row>
    <row r="1171" spans="1:13" x14ac:dyDescent="0.2">
      <c r="A1171" t="s">
        <v>431</v>
      </c>
      <c r="B1171" t="s">
        <v>6</v>
      </c>
      <c r="C1171" t="s">
        <v>9</v>
      </c>
      <c r="D1171">
        <v>4470</v>
      </c>
      <c r="E1171">
        <v>2019</v>
      </c>
      <c r="F1171">
        <v>1</v>
      </c>
      <c r="G1171">
        <v>10359</v>
      </c>
      <c r="H1171" s="1">
        <v>4</v>
      </c>
      <c r="I1171">
        <v>12</v>
      </c>
      <c r="J1171">
        <f>IF($H1171=0,1,IF($I1171&lt;=1,2,0))</f>
        <v>0</v>
      </c>
      <c r="K1171">
        <v>0</v>
      </c>
      <c r="L1171">
        <f>IF(AND($J1171=0,$K1171=0),0,1)</f>
        <v>0</v>
      </c>
      <c r="M1171" t="s">
        <v>449</v>
      </c>
    </row>
    <row r="1172" spans="1:13" x14ac:dyDescent="0.2">
      <c r="A1172" t="s">
        <v>431</v>
      </c>
      <c r="B1172" t="s">
        <v>6</v>
      </c>
      <c r="C1172" t="s">
        <v>9</v>
      </c>
      <c r="D1172">
        <v>4568</v>
      </c>
      <c r="E1172">
        <v>2019</v>
      </c>
      <c r="F1172">
        <v>1</v>
      </c>
      <c r="G1172">
        <v>36475</v>
      </c>
      <c r="H1172" s="1">
        <v>4</v>
      </c>
      <c r="I1172">
        <v>9</v>
      </c>
      <c r="J1172">
        <f>IF($H1172=0,1,IF($I1172&lt;=1,2,0))</f>
        <v>0</v>
      </c>
      <c r="K1172">
        <v>0</v>
      </c>
      <c r="L1172">
        <f>IF(AND($J1172=0,$K1172=0),0,1)</f>
        <v>0</v>
      </c>
      <c r="M1172" t="s">
        <v>449</v>
      </c>
    </row>
    <row r="1173" spans="1:13" x14ac:dyDescent="0.2">
      <c r="A1173" t="s">
        <v>431</v>
      </c>
      <c r="B1173" t="s">
        <v>6</v>
      </c>
      <c r="C1173" t="s">
        <v>9</v>
      </c>
      <c r="D1173">
        <v>4588</v>
      </c>
      <c r="E1173">
        <v>2019</v>
      </c>
      <c r="F1173">
        <v>1</v>
      </c>
      <c r="G1173">
        <v>36506</v>
      </c>
      <c r="H1173" s="1">
        <v>4</v>
      </c>
      <c r="I1173">
        <v>15</v>
      </c>
      <c r="J1173">
        <f>IF($H1173=0,1,IF($I1173&lt;=1,2,0))</f>
        <v>0</v>
      </c>
      <c r="K1173">
        <v>0</v>
      </c>
      <c r="L1173">
        <f>IF(AND($J1173=0,$K1173=0),0,1)</f>
        <v>0</v>
      </c>
      <c r="M1173" t="s">
        <v>449</v>
      </c>
    </row>
    <row r="1174" spans="1:13" x14ac:dyDescent="0.2">
      <c r="A1174" t="s">
        <v>431</v>
      </c>
      <c r="B1174" t="s">
        <v>6</v>
      </c>
      <c r="C1174" t="s">
        <v>9</v>
      </c>
      <c r="D1174">
        <v>4924</v>
      </c>
      <c r="E1174">
        <v>2019</v>
      </c>
      <c r="F1174">
        <v>1</v>
      </c>
      <c r="G1174">
        <v>10352</v>
      </c>
      <c r="H1174" s="1">
        <v>4</v>
      </c>
      <c r="I1174">
        <v>6</v>
      </c>
      <c r="J1174">
        <f>IF($H1174=0,1,IF($I1174&lt;=1,2,0))</f>
        <v>0</v>
      </c>
      <c r="K1174">
        <v>0</v>
      </c>
      <c r="L1174">
        <f>IF(AND($J1174=0,$K1174=0),0,1)</f>
        <v>0</v>
      </c>
    </row>
    <row r="1175" spans="1:13" x14ac:dyDescent="0.2">
      <c r="A1175" t="s">
        <v>431</v>
      </c>
      <c r="B1175" t="s">
        <v>6</v>
      </c>
      <c r="C1175" t="s">
        <v>9</v>
      </c>
      <c r="D1175">
        <v>4924</v>
      </c>
      <c r="E1175">
        <v>2019</v>
      </c>
      <c r="F1175">
        <v>2</v>
      </c>
      <c r="G1175">
        <v>18715</v>
      </c>
      <c r="H1175" s="1">
        <v>4</v>
      </c>
      <c r="I1175">
        <v>4</v>
      </c>
      <c r="J1175">
        <f>IF($H1175=0,1,IF($I1175&lt;=1,2,0))</f>
        <v>0</v>
      </c>
      <c r="K1175">
        <v>0</v>
      </c>
      <c r="L1175">
        <f>IF(AND($J1175=0,$K1175=0),0,1)</f>
        <v>0</v>
      </c>
      <c r="M1175" t="s">
        <v>457</v>
      </c>
    </row>
    <row r="1176" spans="1:13" x14ac:dyDescent="0.2">
      <c r="A1176" t="s">
        <v>431</v>
      </c>
      <c r="B1176" t="s">
        <v>6</v>
      </c>
      <c r="C1176" t="s">
        <v>11</v>
      </c>
      <c r="D1176">
        <v>5000</v>
      </c>
      <c r="E1176">
        <v>2019</v>
      </c>
      <c r="F1176">
        <v>1</v>
      </c>
      <c r="G1176">
        <v>17778</v>
      </c>
      <c r="H1176" s="1">
        <v>2</v>
      </c>
      <c r="I1176">
        <v>26</v>
      </c>
      <c r="J1176">
        <f>IF($H1176=0,1,IF($I1176&lt;=1,2,0))</f>
        <v>0</v>
      </c>
      <c r="K1176">
        <v>0</v>
      </c>
      <c r="L1176">
        <f>IF(AND($J1176=0,$K1176=0),0,1)</f>
        <v>0</v>
      </c>
    </row>
    <row r="1177" spans="1:13" x14ac:dyDescent="0.2">
      <c r="A1177" t="s">
        <v>431</v>
      </c>
      <c r="B1177" t="s">
        <v>6</v>
      </c>
      <c r="C1177" t="s">
        <v>11</v>
      </c>
      <c r="D1177">
        <v>6998</v>
      </c>
      <c r="E1177">
        <v>2019</v>
      </c>
      <c r="F1177">
        <v>7</v>
      </c>
      <c r="G1177">
        <v>13361</v>
      </c>
      <c r="H1177" s="1">
        <v>4</v>
      </c>
      <c r="I1177">
        <v>4</v>
      </c>
      <c r="J1177">
        <f>IF($H1177=0,1,IF($I1177&lt;=1,2,0))</f>
        <v>0</v>
      </c>
      <c r="K1177">
        <v>0</v>
      </c>
      <c r="L1177">
        <f>IF(AND($J1177=0,$K1177=0),0,1)</f>
        <v>0</v>
      </c>
    </row>
    <row r="1178" spans="1:13" x14ac:dyDescent="0.2">
      <c r="A1178" t="s">
        <v>431</v>
      </c>
      <c r="B1178" t="s">
        <v>6</v>
      </c>
      <c r="C1178" t="s">
        <v>11</v>
      </c>
      <c r="D1178">
        <v>6998</v>
      </c>
      <c r="E1178">
        <v>2019</v>
      </c>
      <c r="F1178">
        <v>23</v>
      </c>
      <c r="G1178">
        <v>18804</v>
      </c>
      <c r="H1178" s="1">
        <v>4</v>
      </c>
      <c r="I1178">
        <v>4</v>
      </c>
      <c r="J1178">
        <f>IF($H1178=0,1,IF($I1178&lt;=1,2,0))</f>
        <v>0</v>
      </c>
      <c r="K1178">
        <v>0</v>
      </c>
      <c r="L1178">
        <f>IF(AND($J1178=0,$K1178=0),0,1)</f>
        <v>0</v>
      </c>
      <c r="M1178" t="s">
        <v>460</v>
      </c>
    </row>
    <row r="1179" spans="1:13" x14ac:dyDescent="0.2">
      <c r="A1179" t="s">
        <v>431</v>
      </c>
      <c r="B1179" t="s">
        <v>6</v>
      </c>
      <c r="C1179" t="s">
        <v>11</v>
      </c>
      <c r="D1179">
        <v>8013</v>
      </c>
      <c r="E1179">
        <v>2019</v>
      </c>
      <c r="F1179">
        <v>1</v>
      </c>
      <c r="G1179">
        <v>36512</v>
      </c>
      <c r="H1179" s="1">
        <v>4</v>
      </c>
      <c r="I1179">
        <v>7</v>
      </c>
      <c r="J1179">
        <f>IF($H1179=0,1,IF($I1179&lt;=1,2,0))</f>
        <v>0</v>
      </c>
      <c r="K1179">
        <v>0</v>
      </c>
      <c r="L1179">
        <f>IF(AND($J1179=0,$K1179=0),0,1)</f>
        <v>0</v>
      </c>
      <c r="M1179" t="s">
        <v>449</v>
      </c>
    </row>
    <row r="1180" spans="1:13" x14ac:dyDescent="0.2">
      <c r="A1180" t="s">
        <v>431</v>
      </c>
      <c r="B1180" t="s">
        <v>6</v>
      </c>
      <c r="C1180" t="s">
        <v>11</v>
      </c>
      <c r="D1180">
        <v>8096</v>
      </c>
      <c r="E1180">
        <v>2019</v>
      </c>
      <c r="F1180">
        <v>1</v>
      </c>
      <c r="G1180">
        <v>13500</v>
      </c>
      <c r="H1180" s="1">
        <v>4</v>
      </c>
      <c r="I1180">
        <v>7</v>
      </c>
      <c r="J1180">
        <f>IF($H1180=0,1,IF($I1180&lt;=1,2,0))</f>
        <v>0</v>
      </c>
      <c r="K1180">
        <v>0</v>
      </c>
      <c r="L1180">
        <f>IF(AND($J1180=0,$K1180=0),0,1)</f>
        <v>0</v>
      </c>
      <c r="M1180" t="s">
        <v>449</v>
      </c>
    </row>
    <row r="1181" spans="1:13" x14ac:dyDescent="0.2">
      <c r="A1181" t="s">
        <v>431</v>
      </c>
      <c r="B1181" t="s">
        <v>6</v>
      </c>
      <c r="C1181" t="s">
        <v>11</v>
      </c>
      <c r="D1181">
        <v>8100</v>
      </c>
      <c r="E1181">
        <v>2019</v>
      </c>
      <c r="F1181">
        <v>1</v>
      </c>
      <c r="G1181">
        <v>36519</v>
      </c>
      <c r="H1181" s="1">
        <v>4</v>
      </c>
      <c r="I1181">
        <v>7</v>
      </c>
      <c r="J1181">
        <f>IF($H1181=0,1,IF($I1181&lt;=1,2,0))</f>
        <v>0</v>
      </c>
      <c r="K1181">
        <v>0</v>
      </c>
      <c r="L1181">
        <f>IF(AND($J1181=0,$K1181=0),0,1)</f>
        <v>0</v>
      </c>
      <c r="M1181" t="s">
        <v>449</v>
      </c>
    </row>
    <row r="1182" spans="1:13" x14ac:dyDescent="0.2">
      <c r="A1182" t="s">
        <v>431</v>
      </c>
      <c r="B1182" t="s">
        <v>6</v>
      </c>
      <c r="C1182" t="s">
        <v>11</v>
      </c>
      <c r="D1182">
        <v>8121</v>
      </c>
      <c r="E1182">
        <v>2019</v>
      </c>
      <c r="F1182">
        <v>1</v>
      </c>
      <c r="G1182">
        <v>36523</v>
      </c>
      <c r="H1182" s="1">
        <v>4</v>
      </c>
      <c r="I1182">
        <v>9</v>
      </c>
      <c r="J1182">
        <f>IF($H1182=0,1,IF($I1182&lt;=1,2,0))</f>
        <v>0</v>
      </c>
      <c r="K1182">
        <v>0</v>
      </c>
      <c r="L1182">
        <f>IF(AND($J1182=0,$K1182=0),0,1)</f>
        <v>0</v>
      </c>
      <c r="M1182" t="s">
        <v>449</v>
      </c>
    </row>
    <row r="1183" spans="1:13" x14ac:dyDescent="0.2">
      <c r="A1183" t="s">
        <v>431</v>
      </c>
      <c r="B1183" t="s">
        <v>6</v>
      </c>
      <c r="C1183" t="s">
        <v>11</v>
      </c>
      <c r="D1183">
        <v>8176</v>
      </c>
      <c r="E1183">
        <v>2019</v>
      </c>
      <c r="F1183">
        <v>1</v>
      </c>
      <c r="G1183">
        <v>36476</v>
      </c>
      <c r="H1183" s="1">
        <v>4</v>
      </c>
      <c r="I1183">
        <v>17</v>
      </c>
      <c r="J1183">
        <f>IF($H1183=0,1,IF($I1183&lt;=1,2,0))</f>
        <v>0</v>
      </c>
      <c r="K1183">
        <v>0</v>
      </c>
      <c r="L1183">
        <f>IF(AND($J1183=0,$K1183=0),0,1)</f>
        <v>0</v>
      </c>
      <c r="M1183" t="s">
        <v>449</v>
      </c>
    </row>
    <row r="1184" spans="1:13" x14ac:dyDescent="0.2">
      <c r="A1184" t="s">
        <v>431</v>
      </c>
      <c r="B1184" t="s">
        <v>6</v>
      </c>
      <c r="C1184" t="s">
        <v>11</v>
      </c>
      <c r="D1184">
        <v>8421</v>
      </c>
      <c r="E1184">
        <v>2019</v>
      </c>
      <c r="F1184">
        <v>1</v>
      </c>
      <c r="G1184">
        <v>36522</v>
      </c>
      <c r="H1184" s="1">
        <v>4</v>
      </c>
      <c r="I1184">
        <v>10</v>
      </c>
      <c r="J1184">
        <f>IF($H1184=0,1,IF($I1184&lt;=1,2,0))</f>
        <v>0</v>
      </c>
      <c r="K1184">
        <v>0</v>
      </c>
      <c r="L1184">
        <f>IF(AND($J1184=0,$K1184=0),0,1)</f>
        <v>0</v>
      </c>
      <c r="M1184" t="s">
        <v>449</v>
      </c>
    </row>
    <row r="1185" spans="1:13" x14ac:dyDescent="0.2">
      <c r="A1185" t="s">
        <v>431</v>
      </c>
      <c r="B1185" t="s">
        <v>6</v>
      </c>
      <c r="C1185" t="s">
        <v>11</v>
      </c>
      <c r="D1185">
        <v>8495</v>
      </c>
      <c r="E1185">
        <v>2019</v>
      </c>
      <c r="F1185">
        <v>1</v>
      </c>
      <c r="G1185">
        <v>36465</v>
      </c>
      <c r="H1185" s="1">
        <v>4</v>
      </c>
      <c r="I1185">
        <v>14</v>
      </c>
      <c r="J1185">
        <f>IF($H1185=0,1,IF($I1185&lt;=1,2,0))</f>
        <v>0</v>
      </c>
      <c r="K1185">
        <v>0</v>
      </c>
      <c r="L1185">
        <f>IF(AND($J1185=0,$K1185=0),0,1)</f>
        <v>0</v>
      </c>
      <c r="M1185" t="s">
        <v>461</v>
      </c>
    </row>
    <row r="1186" spans="1:13" x14ac:dyDescent="0.2">
      <c r="A1186" t="s">
        <v>431</v>
      </c>
      <c r="B1186" t="s">
        <v>6</v>
      </c>
      <c r="C1186" t="s">
        <v>11</v>
      </c>
      <c r="D1186">
        <v>8531</v>
      </c>
      <c r="E1186">
        <v>2019</v>
      </c>
      <c r="F1186">
        <v>1</v>
      </c>
      <c r="G1186">
        <v>36477</v>
      </c>
      <c r="H1186" s="1">
        <v>4</v>
      </c>
      <c r="I1186">
        <v>4</v>
      </c>
      <c r="J1186">
        <f>IF($H1186=0,1,IF($I1186&lt;=1,2,0))</f>
        <v>0</v>
      </c>
      <c r="K1186">
        <v>0</v>
      </c>
      <c r="L1186">
        <f>IF(AND($J1186=0,$K1186=0),0,1)</f>
        <v>0</v>
      </c>
      <c r="M1186" t="s">
        <v>449</v>
      </c>
    </row>
    <row r="1187" spans="1:13" x14ac:dyDescent="0.2">
      <c r="A1187" t="s">
        <v>431</v>
      </c>
      <c r="B1187" t="s">
        <v>6</v>
      </c>
      <c r="C1187" t="s">
        <v>11</v>
      </c>
      <c r="D1187">
        <v>8538</v>
      </c>
      <c r="E1187">
        <v>2019</v>
      </c>
      <c r="F1187">
        <v>1</v>
      </c>
      <c r="G1187">
        <v>36478</v>
      </c>
      <c r="H1187" s="1">
        <v>4</v>
      </c>
      <c r="I1187">
        <v>7</v>
      </c>
      <c r="J1187">
        <f>IF($H1187=0,1,IF($I1187&lt;=1,2,0))</f>
        <v>0</v>
      </c>
      <c r="K1187">
        <v>0</v>
      </c>
      <c r="L1187">
        <f>IF(AND($J1187=0,$K1187=0),0,1)</f>
        <v>0</v>
      </c>
      <c r="M1187" t="s">
        <v>449</v>
      </c>
    </row>
    <row r="1188" spans="1:13" x14ac:dyDescent="0.2">
      <c r="A1188" t="s">
        <v>431</v>
      </c>
      <c r="B1188" t="s">
        <v>6</v>
      </c>
      <c r="C1188" t="s">
        <v>11</v>
      </c>
      <c r="D1188">
        <v>8674</v>
      </c>
      <c r="E1188">
        <v>2019</v>
      </c>
      <c r="F1188">
        <v>1</v>
      </c>
      <c r="G1188">
        <v>8610</v>
      </c>
      <c r="H1188" s="1">
        <v>4</v>
      </c>
      <c r="I1188">
        <v>12</v>
      </c>
      <c r="J1188">
        <f>IF($H1188=0,1,IF($I1188&lt;=1,2,0))</f>
        <v>0</v>
      </c>
      <c r="K1188">
        <v>0</v>
      </c>
      <c r="L1188">
        <f>IF(AND($J1188=0,$K1188=0),0,1)</f>
        <v>0</v>
      </c>
      <c r="M1188" t="s">
        <v>462</v>
      </c>
    </row>
    <row r="1189" spans="1:13" x14ac:dyDescent="0.2">
      <c r="A1189" t="s">
        <v>431</v>
      </c>
      <c r="B1189" t="s">
        <v>6</v>
      </c>
      <c r="C1189" t="s">
        <v>11</v>
      </c>
      <c r="D1189">
        <v>8910</v>
      </c>
      <c r="E1189">
        <v>2019</v>
      </c>
      <c r="F1189">
        <v>1</v>
      </c>
      <c r="G1189">
        <v>36513</v>
      </c>
      <c r="H1189" s="1">
        <v>4</v>
      </c>
      <c r="I1189">
        <v>13</v>
      </c>
      <c r="J1189">
        <f>IF($H1189=0,1,IF($I1189&lt;=1,2,0))</f>
        <v>0</v>
      </c>
      <c r="K1189">
        <v>0</v>
      </c>
      <c r="L1189">
        <f>IF(AND($J1189=0,$K1189=0),0,1)</f>
        <v>0</v>
      </c>
      <c r="M1189" t="s">
        <v>449</v>
      </c>
    </row>
    <row r="1190" spans="1:13" x14ac:dyDescent="0.2">
      <c r="A1190" t="s">
        <v>431</v>
      </c>
      <c r="B1190" t="s">
        <v>6</v>
      </c>
      <c r="C1190" t="s">
        <v>11</v>
      </c>
      <c r="D1190">
        <v>8910</v>
      </c>
      <c r="E1190">
        <v>2019</v>
      </c>
      <c r="F1190">
        <v>2</v>
      </c>
      <c r="G1190">
        <v>36514</v>
      </c>
      <c r="H1190" s="1">
        <v>4</v>
      </c>
      <c r="I1190">
        <v>12</v>
      </c>
      <c r="J1190">
        <f>IF($H1190=0,1,IF($I1190&lt;=1,2,0))</f>
        <v>0</v>
      </c>
      <c r="K1190">
        <v>0</v>
      </c>
      <c r="L1190">
        <f>IF(AND($J1190=0,$K1190=0),0,1)</f>
        <v>0</v>
      </c>
      <c r="M1190" t="s">
        <v>449</v>
      </c>
    </row>
    <row r="1191" spans="1:13" x14ac:dyDescent="0.2">
      <c r="A1191" t="s">
        <v>431</v>
      </c>
      <c r="B1191" t="s">
        <v>6</v>
      </c>
      <c r="C1191" t="s">
        <v>11</v>
      </c>
      <c r="D1191">
        <v>8913</v>
      </c>
      <c r="E1191">
        <v>2019</v>
      </c>
      <c r="F1191">
        <v>1</v>
      </c>
      <c r="G1191">
        <v>36508</v>
      </c>
      <c r="H1191" s="1">
        <v>4</v>
      </c>
      <c r="I1191">
        <v>16</v>
      </c>
      <c r="J1191">
        <f>IF($H1191=0,1,IF($I1191&lt;=1,2,0))</f>
        <v>0</v>
      </c>
      <c r="K1191">
        <v>0</v>
      </c>
      <c r="L1191">
        <f>IF(AND($J1191=0,$K1191=0),0,1)</f>
        <v>0</v>
      </c>
      <c r="M1191" t="s">
        <v>449</v>
      </c>
    </row>
    <row r="1192" spans="1:13" x14ac:dyDescent="0.2">
      <c r="A1192" t="s">
        <v>431</v>
      </c>
      <c r="B1192" t="s">
        <v>6</v>
      </c>
      <c r="C1192" t="s">
        <v>11</v>
      </c>
      <c r="D1192">
        <v>8930</v>
      </c>
      <c r="E1192">
        <v>2019</v>
      </c>
      <c r="F1192">
        <v>1</v>
      </c>
      <c r="G1192">
        <v>36525</v>
      </c>
      <c r="H1192" s="1">
        <v>4</v>
      </c>
      <c r="I1192">
        <v>16</v>
      </c>
      <c r="J1192">
        <f>IF($H1192=0,1,IF($I1192&lt;=1,2,0))</f>
        <v>0</v>
      </c>
      <c r="K1192">
        <v>0</v>
      </c>
      <c r="L1192">
        <f>IF(AND($J1192=0,$K1192=0),0,1)</f>
        <v>0</v>
      </c>
      <c r="M1192" t="s">
        <v>449</v>
      </c>
    </row>
    <row r="1193" spans="1:13" x14ac:dyDescent="0.2">
      <c r="A1193" t="s">
        <v>431</v>
      </c>
      <c r="B1193" t="s">
        <v>6</v>
      </c>
      <c r="C1193" t="s">
        <v>11</v>
      </c>
      <c r="D1193">
        <v>8930</v>
      </c>
      <c r="E1193">
        <v>2019</v>
      </c>
      <c r="F1193">
        <v>2</v>
      </c>
      <c r="G1193">
        <v>36526</v>
      </c>
      <c r="H1193" s="1">
        <v>4</v>
      </c>
      <c r="I1193">
        <v>11</v>
      </c>
      <c r="J1193">
        <f>IF($H1193=0,1,IF($I1193&lt;=1,2,0))</f>
        <v>0</v>
      </c>
      <c r="K1193">
        <v>0</v>
      </c>
      <c r="L1193">
        <f>IF(AND($J1193=0,$K1193=0),0,1)</f>
        <v>0</v>
      </c>
      <c r="M1193" t="s">
        <v>449</v>
      </c>
    </row>
    <row r="1194" spans="1:13" x14ac:dyDescent="0.2">
      <c r="A1194" t="s">
        <v>431</v>
      </c>
      <c r="B1194" t="s">
        <v>6</v>
      </c>
      <c r="C1194" t="s">
        <v>11</v>
      </c>
      <c r="D1194">
        <v>8944</v>
      </c>
      <c r="E1194">
        <v>2019</v>
      </c>
      <c r="F1194">
        <v>1</v>
      </c>
      <c r="G1194">
        <v>8611</v>
      </c>
      <c r="H1194" s="1">
        <v>4</v>
      </c>
      <c r="I1194">
        <v>5</v>
      </c>
      <c r="J1194">
        <f>IF($H1194=0,1,IF($I1194&lt;=1,2,0))</f>
        <v>0</v>
      </c>
      <c r="K1194">
        <v>0</v>
      </c>
      <c r="L1194">
        <f>IF(AND($J1194=0,$K1194=0),0,1)</f>
        <v>0</v>
      </c>
    </row>
    <row r="1195" spans="1:13" x14ac:dyDescent="0.2">
      <c r="A1195" t="s">
        <v>431</v>
      </c>
      <c r="B1195" t="s">
        <v>6</v>
      </c>
      <c r="C1195" t="s">
        <v>11</v>
      </c>
      <c r="D1195">
        <v>8991</v>
      </c>
      <c r="E1195">
        <v>2019</v>
      </c>
      <c r="F1195">
        <v>1</v>
      </c>
      <c r="G1195">
        <v>36515</v>
      </c>
      <c r="H1195" s="1">
        <v>3</v>
      </c>
      <c r="I1195">
        <v>6</v>
      </c>
      <c r="J1195">
        <f>IF($H1195=0,1,IF($I1195&lt;=1,2,0))</f>
        <v>0</v>
      </c>
      <c r="K1195">
        <v>0</v>
      </c>
      <c r="L1195">
        <f>IF(AND($J1195=0,$K1195=0),0,1)</f>
        <v>0</v>
      </c>
      <c r="M1195" t="s">
        <v>449</v>
      </c>
    </row>
    <row r="1196" spans="1:13" x14ac:dyDescent="0.2">
      <c r="A1196" t="s">
        <v>463</v>
      </c>
      <c r="B1196" t="s">
        <v>17</v>
      </c>
      <c r="C1196" t="s">
        <v>9</v>
      </c>
      <c r="D1196">
        <v>1101</v>
      </c>
      <c r="E1196">
        <v>2019</v>
      </c>
      <c r="F1196">
        <v>1</v>
      </c>
      <c r="G1196">
        <v>98242</v>
      </c>
      <c r="H1196" s="1">
        <v>4</v>
      </c>
      <c r="I1196">
        <v>7</v>
      </c>
      <c r="J1196">
        <f>IF($H1196=0,1,IF($I1196&lt;=1,2,0))</f>
        <v>0</v>
      </c>
      <c r="K1196">
        <v>0</v>
      </c>
      <c r="L1196">
        <f>IF(AND($J1196=0,$K1196=0),0,1)</f>
        <v>0</v>
      </c>
    </row>
    <row r="1197" spans="1:13" x14ac:dyDescent="0.2">
      <c r="A1197" t="s">
        <v>464</v>
      </c>
      <c r="B1197" t="s">
        <v>6</v>
      </c>
      <c r="C1197" t="s">
        <v>11</v>
      </c>
      <c r="D1197">
        <v>5555</v>
      </c>
      <c r="E1197">
        <v>2019</v>
      </c>
      <c r="F1197">
        <v>1</v>
      </c>
      <c r="G1197">
        <v>63273</v>
      </c>
      <c r="H1197" s="1">
        <v>4</v>
      </c>
      <c r="I1197">
        <v>16</v>
      </c>
      <c r="J1197">
        <f>IF($H1197=0,1,IF($I1197&lt;=1,2,0))</f>
        <v>0</v>
      </c>
      <c r="K1197">
        <v>0</v>
      </c>
      <c r="L1197">
        <f>IF(AND($J1197=0,$K1197=0),0,1)</f>
        <v>0</v>
      </c>
    </row>
    <row r="1198" spans="1:13" x14ac:dyDescent="0.2">
      <c r="A1198" t="s">
        <v>465</v>
      </c>
      <c r="B1198" t="s">
        <v>6</v>
      </c>
      <c r="C1198" t="s">
        <v>21</v>
      </c>
      <c r="D1198">
        <v>3001</v>
      </c>
      <c r="E1198">
        <v>2019</v>
      </c>
      <c r="F1198">
        <v>1</v>
      </c>
      <c r="G1198">
        <v>57007</v>
      </c>
      <c r="H1198" s="1">
        <v>3</v>
      </c>
      <c r="I1198">
        <v>132</v>
      </c>
      <c r="J1198">
        <f>IF($H1198=0,1,IF($I1198&lt;=1,2,0))</f>
        <v>0</v>
      </c>
      <c r="K1198">
        <v>0</v>
      </c>
      <c r="L1198">
        <f>IF(AND($J1198=0,$K1198=0),0,1)</f>
        <v>0</v>
      </c>
    </row>
    <row r="1199" spans="1:13" x14ac:dyDescent="0.2">
      <c r="A1199" t="s">
        <v>465</v>
      </c>
      <c r="B1199" t="s">
        <v>6</v>
      </c>
      <c r="C1199" t="s">
        <v>21</v>
      </c>
      <c r="D1199">
        <v>3190</v>
      </c>
      <c r="E1199">
        <v>2019</v>
      </c>
      <c r="F1199">
        <v>1</v>
      </c>
      <c r="G1199">
        <v>56979</v>
      </c>
      <c r="H1199" s="1">
        <v>3</v>
      </c>
      <c r="I1199">
        <v>22</v>
      </c>
      <c r="J1199">
        <f>IF($H1199=0,1,IF($I1199&lt;=1,2,0))</f>
        <v>0</v>
      </c>
      <c r="K1199">
        <v>0</v>
      </c>
      <c r="L1199">
        <f>IF(AND($J1199=0,$K1199=0),0,1)</f>
        <v>0</v>
      </c>
      <c r="M1199" t="s">
        <v>466</v>
      </c>
    </row>
    <row r="1200" spans="1:13" x14ac:dyDescent="0.2">
      <c r="A1200" t="s">
        <v>465</v>
      </c>
      <c r="B1200" t="s">
        <v>6</v>
      </c>
      <c r="C1200" t="s">
        <v>9</v>
      </c>
      <c r="D1200">
        <v>3994</v>
      </c>
      <c r="E1200">
        <v>2019</v>
      </c>
      <c r="F1200">
        <v>1</v>
      </c>
      <c r="G1200">
        <v>57008</v>
      </c>
      <c r="H1200" s="1">
        <v>4</v>
      </c>
      <c r="I1200">
        <v>5</v>
      </c>
      <c r="J1200">
        <f>IF($H1200=0,1,IF($I1200&lt;=1,2,0))</f>
        <v>0</v>
      </c>
      <c r="K1200">
        <v>0</v>
      </c>
      <c r="L1200">
        <f>IF(AND($J1200=0,$K1200=0),0,1)</f>
        <v>0</v>
      </c>
      <c r="M1200" t="s">
        <v>467</v>
      </c>
    </row>
    <row r="1201" spans="1:13" x14ac:dyDescent="0.2">
      <c r="A1201" t="s">
        <v>465</v>
      </c>
      <c r="B1201" t="s">
        <v>6</v>
      </c>
      <c r="C1201" t="s">
        <v>9</v>
      </c>
      <c r="D1201">
        <v>3995</v>
      </c>
      <c r="E1201">
        <v>2019</v>
      </c>
      <c r="F1201">
        <v>1</v>
      </c>
      <c r="G1201">
        <v>56988</v>
      </c>
      <c r="H1201" s="1">
        <v>4</v>
      </c>
      <c r="I1201">
        <v>12</v>
      </c>
      <c r="J1201">
        <f>IF($H1201=0,1,IF($I1201&lt;=1,2,0))</f>
        <v>0</v>
      </c>
      <c r="K1201">
        <v>0</v>
      </c>
      <c r="L1201">
        <f>IF(AND($J1201=0,$K1201=0),0,1)</f>
        <v>0</v>
      </c>
      <c r="M1201" t="s">
        <v>467</v>
      </c>
    </row>
    <row r="1202" spans="1:13" x14ac:dyDescent="0.2">
      <c r="A1202" t="s">
        <v>465</v>
      </c>
      <c r="B1202" t="s">
        <v>6</v>
      </c>
      <c r="C1202" t="s">
        <v>11</v>
      </c>
      <c r="D1202">
        <v>4215</v>
      </c>
      <c r="E1202">
        <v>2019</v>
      </c>
      <c r="F1202">
        <v>1</v>
      </c>
      <c r="G1202">
        <v>56990</v>
      </c>
      <c r="H1202" s="1">
        <v>3</v>
      </c>
      <c r="I1202">
        <v>17</v>
      </c>
      <c r="J1202">
        <f>IF($H1202=0,1,IF($I1202&lt;=1,2,0))</f>
        <v>0</v>
      </c>
      <c r="K1202">
        <v>0</v>
      </c>
      <c r="L1202">
        <f>IF(AND($J1202=0,$K1202=0),0,1)</f>
        <v>0</v>
      </c>
      <c r="M1202" t="s">
        <v>1935</v>
      </c>
    </row>
    <row r="1203" spans="1:13" x14ac:dyDescent="0.2">
      <c r="A1203" t="s">
        <v>465</v>
      </c>
      <c r="B1203" t="s">
        <v>6</v>
      </c>
      <c r="C1203" t="s">
        <v>9</v>
      </c>
      <c r="D1203">
        <v>4230</v>
      </c>
      <c r="E1203">
        <v>2019</v>
      </c>
      <c r="F1203">
        <v>1</v>
      </c>
      <c r="G1203">
        <v>56984</v>
      </c>
      <c r="H1203" s="1">
        <v>3</v>
      </c>
      <c r="I1203">
        <v>20</v>
      </c>
      <c r="J1203">
        <f>IF($H1203=0,1,IF($I1203&lt;=1,2,0))</f>
        <v>0</v>
      </c>
      <c r="K1203">
        <v>0</v>
      </c>
      <c r="L1203">
        <f>IF(AND($J1203=0,$K1203=0),0,1)</f>
        <v>0</v>
      </c>
      <c r="M1203" t="s">
        <v>1935</v>
      </c>
    </row>
    <row r="1204" spans="1:13" x14ac:dyDescent="0.2">
      <c r="A1204" t="s">
        <v>465</v>
      </c>
      <c r="B1204" t="s">
        <v>6</v>
      </c>
      <c r="C1204" t="s">
        <v>11</v>
      </c>
      <c r="D1204">
        <v>4400</v>
      </c>
      <c r="E1204">
        <v>2019</v>
      </c>
      <c r="F1204">
        <v>1</v>
      </c>
      <c r="G1204">
        <v>57009</v>
      </c>
      <c r="H1204" s="1">
        <v>3</v>
      </c>
      <c r="I1204">
        <v>7</v>
      </c>
      <c r="J1204">
        <f>IF($H1204=0,1,IF($I1204&lt;=1,2,0))</f>
        <v>0</v>
      </c>
      <c r="K1204">
        <v>0</v>
      </c>
      <c r="L1204">
        <f>IF(AND($J1204=0,$K1204=0),0,1)</f>
        <v>0</v>
      </c>
      <c r="M1204" t="s">
        <v>1935</v>
      </c>
    </row>
    <row r="1205" spans="1:13" x14ac:dyDescent="0.2">
      <c r="A1205" t="s">
        <v>465</v>
      </c>
      <c r="B1205" t="s">
        <v>6</v>
      </c>
      <c r="C1205" t="s">
        <v>9</v>
      </c>
      <c r="D1205">
        <v>4500</v>
      </c>
      <c r="E1205">
        <v>2019</v>
      </c>
      <c r="F1205">
        <v>1</v>
      </c>
      <c r="G1205">
        <v>10461</v>
      </c>
      <c r="H1205" s="1">
        <v>3</v>
      </c>
      <c r="I1205">
        <v>14</v>
      </c>
      <c r="J1205">
        <f>IF($H1205=0,1,IF($I1205&lt;=1,2,0))</f>
        <v>0</v>
      </c>
      <c r="K1205">
        <v>0</v>
      </c>
      <c r="L1205">
        <f>IF(AND($J1205=0,$K1205=0),0,1)</f>
        <v>0</v>
      </c>
      <c r="M1205" t="s">
        <v>1935</v>
      </c>
    </row>
    <row r="1206" spans="1:13" x14ac:dyDescent="0.2">
      <c r="A1206" t="s">
        <v>465</v>
      </c>
      <c r="B1206" t="s">
        <v>6</v>
      </c>
      <c r="C1206" t="s">
        <v>9</v>
      </c>
      <c r="D1206">
        <v>4650</v>
      </c>
      <c r="E1206">
        <v>2019</v>
      </c>
      <c r="F1206">
        <v>1</v>
      </c>
      <c r="G1206">
        <v>56980</v>
      </c>
      <c r="H1206" s="1">
        <v>3</v>
      </c>
      <c r="I1206">
        <v>14</v>
      </c>
      <c r="J1206">
        <f>IF($H1206=0,1,IF($I1206&lt;=1,2,0))</f>
        <v>0</v>
      </c>
      <c r="K1206">
        <v>0</v>
      </c>
      <c r="L1206">
        <f>IF(AND($J1206=0,$K1206=0),0,1)</f>
        <v>0</v>
      </c>
      <c r="M1206" t="s">
        <v>1935</v>
      </c>
    </row>
    <row r="1207" spans="1:13" x14ac:dyDescent="0.2">
      <c r="A1207" t="s">
        <v>465</v>
      </c>
      <c r="B1207" t="s">
        <v>6</v>
      </c>
      <c r="C1207" t="s">
        <v>9</v>
      </c>
      <c r="D1207">
        <v>4915</v>
      </c>
      <c r="E1207">
        <v>2019</v>
      </c>
      <c r="F1207">
        <v>1</v>
      </c>
      <c r="G1207">
        <v>56981</v>
      </c>
      <c r="H1207" s="1">
        <v>3</v>
      </c>
      <c r="I1207">
        <v>21</v>
      </c>
      <c r="J1207">
        <f>IF($H1207=0,1,IF($I1207&lt;=1,2,0))</f>
        <v>0</v>
      </c>
      <c r="K1207">
        <v>0</v>
      </c>
      <c r="L1207">
        <f>IF(AND($J1207=0,$K1207=0),0,1)</f>
        <v>0</v>
      </c>
      <c r="M1207" t="s">
        <v>1935</v>
      </c>
    </row>
    <row r="1208" spans="1:13" x14ac:dyDescent="0.2">
      <c r="A1208" t="s">
        <v>465</v>
      </c>
      <c r="B1208" t="s">
        <v>6</v>
      </c>
      <c r="C1208" t="s">
        <v>11</v>
      </c>
      <c r="D1208">
        <v>4950</v>
      </c>
      <c r="E1208">
        <v>2019</v>
      </c>
      <c r="F1208">
        <v>1</v>
      </c>
      <c r="G1208">
        <v>56986</v>
      </c>
      <c r="H1208" s="1">
        <v>3</v>
      </c>
      <c r="I1208">
        <v>15</v>
      </c>
      <c r="J1208">
        <f>IF($H1208=0,1,IF($I1208&lt;=1,2,0))</f>
        <v>0</v>
      </c>
      <c r="K1208">
        <v>0</v>
      </c>
      <c r="L1208">
        <f>IF(AND($J1208=0,$K1208=0),0,1)</f>
        <v>0</v>
      </c>
      <c r="M1208" t="s">
        <v>468</v>
      </c>
    </row>
    <row r="1209" spans="1:13" x14ac:dyDescent="0.2">
      <c r="A1209" t="s">
        <v>465</v>
      </c>
      <c r="B1209" t="s">
        <v>6</v>
      </c>
      <c r="C1209" t="s">
        <v>11</v>
      </c>
      <c r="D1209">
        <v>5404</v>
      </c>
      <c r="E1209">
        <v>2019</v>
      </c>
      <c r="F1209">
        <v>1</v>
      </c>
      <c r="G1209">
        <v>56992</v>
      </c>
      <c r="H1209" s="1">
        <v>3</v>
      </c>
      <c r="I1209">
        <v>12</v>
      </c>
      <c r="J1209">
        <f>IF($H1209=0,1,IF($I1209&lt;=1,2,0))</f>
        <v>0</v>
      </c>
      <c r="K1209">
        <v>0</v>
      </c>
      <c r="L1209">
        <f>IF(AND($J1209=0,$K1209=0),0,1)</f>
        <v>0</v>
      </c>
      <c r="M1209" t="s">
        <v>1935</v>
      </c>
    </row>
    <row r="1210" spans="1:13" x14ac:dyDescent="0.2">
      <c r="A1210" t="s">
        <v>465</v>
      </c>
      <c r="B1210" t="s">
        <v>6</v>
      </c>
      <c r="C1210" t="s">
        <v>11</v>
      </c>
      <c r="D1210">
        <v>6800</v>
      </c>
      <c r="E1210">
        <v>2019</v>
      </c>
      <c r="F1210">
        <v>2</v>
      </c>
      <c r="G1210">
        <v>15119</v>
      </c>
      <c r="H1210" s="1">
        <v>3</v>
      </c>
      <c r="I1210">
        <v>16</v>
      </c>
      <c r="J1210">
        <f>IF($H1210=0,1,IF($I1210&lt;=1,2,0))</f>
        <v>0</v>
      </c>
      <c r="K1210">
        <v>0</v>
      </c>
      <c r="L1210">
        <f>IF(AND($J1210=0,$K1210=0),0,1)</f>
        <v>0</v>
      </c>
    </row>
    <row r="1211" spans="1:13" x14ac:dyDescent="0.2">
      <c r="A1211" t="s">
        <v>470</v>
      </c>
      <c r="B1211" t="s">
        <v>6</v>
      </c>
      <c r="C1211" t="s">
        <v>9</v>
      </c>
      <c r="D1211">
        <v>3871</v>
      </c>
      <c r="E1211">
        <v>2019</v>
      </c>
      <c r="F1211">
        <v>1</v>
      </c>
      <c r="G1211">
        <v>44516</v>
      </c>
      <c r="H1211" s="1">
        <v>3</v>
      </c>
      <c r="I1211">
        <v>5</v>
      </c>
      <c r="J1211">
        <f>IF($H1211=0,1,IF($I1211&lt;=1,2,0))</f>
        <v>0</v>
      </c>
      <c r="K1211">
        <v>0</v>
      </c>
      <c r="L1211">
        <f>IF(AND($J1211=0,$K1211=0),0,1)</f>
        <v>0</v>
      </c>
      <c r="M1211" t="s">
        <v>471</v>
      </c>
    </row>
    <row r="1212" spans="1:13" x14ac:dyDescent="0.2">
      <c r="A1212" t="s">
        <v>470</v>
      </c>
      <c r="B1212" t="s">
        <v>6</v>
      </c>
      <c r="C1212" t="s">
        <v>9</v>
      </c>
      <c r="D1212">
        <v>4222</v>
      </c>
      <c r="E1212">
        <v>2019</v>
      </c>
      <c r="F1212">
        <v>1</v>
      </c>
      <c r="G1212">
        <v>13405</v>
      </c>
      <c r="H1212" s="1">
        <v>4</v>
      </c>
      <c r="I1212">
        <v>6</v>
      </c>
      <c r="J1212">
        <f>IF($H1212=0,1,IF($I1212&lt;=1,2,0))</f>
        <v>0</v>
      </c>
      <c r="K1212">
        <v>0</v>
      </c>
      <c r="L1212">
        <f>IF(AND($J1212=0,$K1212=0),0,1)</f>
        <v>0</v>
      </c>
    </row>
    <row r="1213" spans="1:13" x14ac:dyDescent="0.2">
      <c r="A1213" t="s">
        <v>470</v>
      </c>
      <c r="B1213" t="s">
        <v>6</v>
      </c>
      <c r="C1213" t="s">
        <v>9</v>
      </c>
      <c r="D1213">
        <v>4814</v>
      </c>
      <c r="E1213">
        <v>2019</v>
      </c>
      <c r="F1213">
        <v>1</v>
      </c>
      <c r="G1213">
        <v>10212</v>
      </c>
      <c r="H1213" s="1">
        <v>4</v>
      </c>
      <c r="I1213">
        <v>5</v>
      </c>
      <c r="J1213">
        <f>IF($H1213=0,1,IF($I1213&lt;=1,2,0))</f>
        <v>0</v>
      </c>
      <c r="K1213">
        <v>0</v>
      </c>
      <c r="L1213">
        <f>IF(AND($J1213=0,$K1213=0),0,1)</f>
        <v>0</v>
      </c>
    </row>
    <row r="1214" spans="1:13" x14ac:dyDescent="0.2">
      <c r="A1214" t="s">
        <v>470</v>
      </c>
      <c r="B1214" t="s">
        <v>6</v>
      </c>
      <c r="C1214" t="s">
        <v>9</v>
      </c>
      <c r="D1214">
        <v>4815</v>
      </c>
      <c r="E1214">
        <v>2019</v>
      </c>
      <c r="F1214">
        <v>1</v>
      </c>
      <c r="G1214">
        <v>13425</v>
      </c>
      <c r="H1214" s="1">
        <v>4</v>
      </c>
      <c r="I1214">
        <v>10</v>
      </c>
      <c r="J1214">
        <f>IF($H1214=0,1,IF($I1214&lt;=1,2,0))</f>
        <v>0</v>
      </c>
      <c r="K1214">
        <v>0</v>
      </c>
      <c r="L1214">
        <f>IF(AND($J1214=0,$K1214=0),0,1)</f>
        <v>0</v>
      </c>
    </row>
    <row r="1215" spans="1:13" x14ac:dyDescent="0.2">
      <c r="A1215" t="s">
        <v>470</v>
      </c>
      <c r="B1215" t="s">
        <v>6</v>
      </c>
      <c r="C1215" t="s">
        <v>9</v>
      </c>
      <c r="D1215">
        <v>4860</v>
      </c>
      <c r="E1215">
        <v>2019</v>
      </c>
      <c r="F1215">
        <v>1</v>
      </c>
      <c r="G1215">
        <v>17742</v>
      </c>
      <c r="H1215" s="1">
        <v>4</v>
      </c>
      <c r="I1215">
        <v>14</v>
      </c>
      <c r="J1215">
        <f>IF($H1215=0,1,IF($I1215&lt;=1,2,0))</f>
        <v>0</v>
      </c>
      <c r="K1215">
        <v>0</v>
      </c>
      <c r="L1215">
        <f>IF(AND($J1215=0,$K1215=0),0,1)</f>
        <v>0</v>
      </c>
    </row>
    <row r="1216" spans="1:13" x14ac:dyDescent="0.2">
      <c r="A1216" t="s">
        <v>470</v>
      </c>
      <c r="B1216" t="s">
        <v>6</v>
      </c>
      <c r="C1216" t="s">
        <v>9</v>
      </c>
      <c r="D1216">
        <v>4875</v>
      </c>
      <c r="E1216">
        <v>2019</v>
      </c>
      <c r="F1216">
        <v>1</v>
      </c>
      <c r="G1216">
        <v>13421</v>
      </c>
      <c r="H1216" s="1">
        <v>4</v>
      </c>
      <c r="I1216">
        <v>16</v>
      </c>
      <c r="J1216">
        <f>IF($H1216=0,1,IF($I1216&lt;=1,2,0))</f>
        <v>0</v>
      </c>
      <c r="K1216">
        <v>0</v>
      </c>
      <c r="L1216">
        <f>IF(AND($J1216=0,$K1216=0),0,1)</f>
        <v>0</v>
      </c>
    </row>
    <row r="1217" spans="1:12" x14ac:dyDescent="0.2">
      <c r="A1217" t="s">
        <v>470</v>
      </c>
      <c r="B1217" t="s">
        <v>6</v>
      </c>
      <c r="C1217" t="s">
        <v>9</v>
      </c>
      <c r="D1217">
        <v>4880</v>
      </c>
      <c r="E1217">
        <v>2019</v>
      </c>
      <c r="F1217">
        <v>1</v>
      </c>
      <c r="G1217">
        <v>44472</v>
      </c>
      <c r="H1217" s="1">
        <v>3</v>
      </c>
      <c r="I1217">
        <v>41</v>
      </c>
      <c r="J1217">
        <f>IF($H1217=0,1,IF($I1217&lt;=1,2,0))</f>
        <v>0</v>
      </c>
      <c r="K1217">
        <v>0</v>
      </c>
      <c r="L1217">
        <f>IF(AND($J1217=0,$K1217=0),0,1)</f>
        <v>0</v>
      </c>
    </row>
    <row r="1218" spans="1:12" x14ac:dyDescent="0.2">
      <c r="A1218" t="s">
        <v>470</v>
      </c>
      <c r="B1218" t="s">
        <v>6</v>
      </c>
      <c r="C1218" t="s">
        <v>11</v>
      </c>
      <c r="D1218">
        <v>6832</v>
      </c>
      <c r="E1218">
        <v>2019</v>
      </c>
      <c r="F1218">
        <v>1</v>
      </c>
      <c r="G1218">
        <v>44526</v>
      </c>
      <c r="H1218" s="1">
        <v>4</v>
      </c>
      <c r="I1218">
        <v>8</v>
      </c>
      <c r="J1218">
        <f>IF($H1218=0,1,IF($I1218&lt;=1,2,0))</f>
        <v>0</v>
      </c>
      <c r="K1218">
        <v>0</v>
      </c>
      <c r="L1218">
        <f>IF(AND($J1218=0,$K1218=0),0,1)</f>
        <v>0</v>
      </c>
    </row>
    <row r="1219" spans="1:12" x14ac:dyDescent="0.2">
      <c r="A1219" t="s">
        <v>470</v>
      </c>
      <c r="B1219" t="s">
        <v>6</v>
      </c>
      <c r="C1219" t="s">
        <v>11</v>
      </c>
      <c r="D1219">
        <v>8861</v>
      </c>
      <c r="E1219">
        <v>2019</v>
      </c>
      <c r="F1219">
        <v>1</v>
      </c>
      <c r="G1219">
        <v>44528</v>
      </c>
      <c r="H1219" s="1">
        <v>4</v>
      </c>
      <c r="I1219">
        <v>5</v>
      </c>
      <c r="J1219">
        <f>IF($H1219=0,1,IF($I1219&lt;=1,2,0))</f>
        <v>0</v>
      </c>
      <c r="K1219">
        <v>0</v>
      </c>
      <c r="L1219">
        <f>IF(AND($J1219=0,$K1219=0),0,1)</f>
        <v>0</v>
      </c>
    </row>
    <row r="1220" spans="1:12" x14ac:dyDescent="0.2">
      <c r="A1220" t="s">
        <v>470</v>
      </c>
      <c r="B1220" t="s">
        <v>6</v>
      </c>
      <c r="C1220" t="s">
        <v>11</v>
      </c>
      <c r="D1220">
        <v>8882</v>
      </c>
      <c r="E1220">
        <v>2019</v>
      </c>
      <c r="F1220">
        <v>1</v>
      </c>
      <c r="G1220">
        <v>44529</v>
      </c>
      <c r="H1220" s="1">
        <v>4</v>
      </c>
      <c r="I1220">
        <v>13</v>
      </c>
      <c r="J1220">
        <f>IF($H1220=0,1,IF($I1220&lt;=1,2,0))</f>
        <v>0</v>
      </c>
      <c r="K1220">
        <v>0</v>
      </c>
      <c r="L1220">
        <f>IF(AND($J1220=0,$K1220=0),0,1)</f>
        <v>0</v>
      </c>
    </row>
    <row r="1221" spans="1:12" x14ac:dyDescent="0.2">
      <c r="A1221" t="s">
        <v>470</v>
      </c>
      <c r="B1221" t="s">
        <v>6</v>
      </c>
      <c r="C1221" t="s">
        <v>11</v>
      </c>
      <c r="D1221">
        <v>8884</v>
      </c>
      <c r="E1221">
        <v>2019</v>
      </c>
      <c r="F1221">
        <v>1</v>
      </c>
      <c r="G1221">
        <v>44533</v>
      </c>
      <c r="H1221" s="1">
        <v>4</v>
      </c>
      <c r="I1221">
        <v>11</v>
      </c>
      <c r="J1221">
        <f>IF($H1221=0,1,IF($I1221&lt;=1,2,0))</f>
        <v>0</v>
      </c>
      <c r="K1221">
        <v>0</v>
      </c>
      <c r="L1221">
        <f>IF(AND($J1221=0,$K1221=0),0,1)</f>
        <v>0</v>
      </c>
    </row>
    <row r="1222" spans="1:12" x14ac:dyDescent="0.2">
      <c r="A1222" t="s">
        <v>472</v>
      </c>
      <c r="B1222" t="s">
        <v>6</v>
      </c>
      <c r="C1222" t="s">
        <v>11</v>
      </c>
      <c r="D1222">
        <v>8569</v>
      </c>
      <c r="E1222">
        <v>2019</v>
      </c>
      <c r="F1222">
        <v>1</v>
      </c>
      <c r="G1222">
        <v>13194</v>
      </c>
      <c r="H1222" s="1">
        <v>4</v>
      </c>
      <c r="I1222">
        <v>6</v>
      </c>
      <c r="J1222">
        <f>IF($H1222=0,1,IF($I1222&lt;=1,2,0))</f>
        <v>0</v>
      </c>
      <c r="K1222">
        <v>0</v>
      </c>
      <c r="L1222">
        <f>IF(AND($J1222=0,$K1222=0),0,1)</f>
        <v>0</v>
      </c>
    </row>
    <row r="1223" spans="1:12" x14ac:dyDescent="0.2">
      <c r="A1223" t="s">
        <v>473</v>
      </c>
      <c r="B1223" t="s">
        <v>6</v>
      </c>
      <c r="C1223" t="s">
        <v>9</v>
      </c>
      <c r="D1223">
        <v>2810</v>
      </c>
      <c r="E1223">
        <v>2019</v>
      </c>
      <c r="F1223">
        <v>1</v>
      </c>
      <c r="G1223">
        <v>36464</v>
      </c>
      <c r="H1223" s="1">
        <v>3</v>
      </c>
      <c r="I1223">
        <v>58</v>
      </c>
      <c r="J1223">
        <f>IF($H1223=0,1,IF($I1223&lt;=1,2,0))</f>
        <v>0</v>
      </c>
      <c r="K1223">
        <v>0</v>
      </c>
      <c r="L1223">
        <f>IF(AND($J1223=0,$K1223=0),0,1)</f>
        <v>0</v>
      </c>
    </row>
    <row r="1224" spans="1:12" x14ac:dyDescent="0.2">
      <c r="A1224" t="s">
        <v>473</v>
      </c>
      <c r="B1224" t="s">
        <v>6</v>
      </c>
      <c r="C1224" t="s">
        <v>9</v>
      </c>
      <c r="D1224">
        <v>2915</v>
      </c>
      <c r="E1224">
        <v>2019</v>
      </c>
      <c r="F1224">
        <v>1</v>
      </c>
      <c r="G1224">
        <v>41063</v>
      </c>
      <c r="H1224" s="1">
        <v>4</v>
      </c>
      <c r="I1224">
        <v>13</v>
      </c>
      <c r="J1224">
        <f>IF($H1224=0,1,IF($I1224&lt;=1,2,0))</f>
        <v>0</v>
      </c>
      <c r="K1224">
        <v>0</v>
      </c>
      <c r="L1224">
        <f>IF(AND($J1224=0,$K1224=0),0,1)</f>
        <v>0</v>
      </c>
    </row>
    <row r="1225" spans="1:12" x14ac:dyDescent="0.2">
      <c r="A1225" t="s">
        <v>476</v>
      </c>
      <c r="B1225" t="s">
        <v>6</v>
      </c>
      <c r="C1225" t="s">
        <v>33</v>
      </c>
      <c r="D1225">
        <v>3240</v>
      </c>
      <c r="E1225">
        <v>2019</v>
      </c>
      <c r="F1225">
        <v>1</v>
      </c>
      <c r="G1225">
        <v>19249</v>
      </c>
      <c r="H1225" s="1">
        <v>3</v>
      </c>
      <c r="I1225">
        <v>4</v>
      </c>
      <c r="J1225">
        <f>IF($H1225=0,1,IF($I1225&lt;=1,2,0))</f>
        <v>0</v>
      </c>
      <c r="K1225">
        <v>0</v>
      </c>
      <c r="L1225">
        <f>IF(AND($J1225=0,$K1225=0),0,1)</f>
        <v>0</v>
      </c>
    </row>
    <row r="1226" spans="1:12" x14ac:dyDescent="0.2">
      <c r="A1226" t="s">
        <v>476</v>
      </c>
      <c r="B1226" t="s">
        <v>6</v>
      </c>
      <c r="C1226" t="s">
        <v>11</v>
      </c>
      <c r="D1226">
        <v>8445</v>
      </c>
      <c r="E1226">
        <v>2019</v>
      </c>
      <c r="F1226">
        <v>1</v>
      </c>
      <c r="G1226">
        <v>13404</v>
      </c>
      <c r="H1226" s="1">
        <v>4</v>
      </c>
      <c r="I1226">
        <v>16</v>
      </c>
      <c r="J1226">
        <f>IF($H1226=0,1,IF($I1226&lt;=1,2,0))</f>
        <v>0</v>
      </c>
      <c r="K1226">
        <v>0</v>
      </c>
      <c r="L1226">
        <f>IF(AND($J1226=0,$K1226=0),0,1)</f>
        <v>0</v>
      </c>
    </row>
    <row r="1227" spans="1:12" x14ac:dyDescent="0.2">
      <c r="A1227" t="s">
        <v>477</v>
      </c>
      <c r="B1227" t="s">
        <v>241</v>
      </c>
      <c r="C1227" t="s">
        <v>7</v>
      </c>
      <c r="D1227">
        <v>1001</v>
      </c>
      <c r="E1227">
        <v>2019</v>
      </c>
      <c r="F1227">
        <v>1</v>
      </c>
      <c r="G1227">
        <v>85414</v>
      </c>
      <c r="H1227" s="1">
        <v>4</v>
      </c>
      <c r="I1227">
        <v>22</v>
      </c>
      <c r="J1227">
        <f>IF($H1227=0,1,IF($I1227&lt;=1,2,0))</f>
        <v>0</v>
      </c>
      <c r="K1227">
        <v>0</v>
      </c>
      <c r="L1227">
        <f>IF(AND($J1227=0,$K1227=0),0,1)</f>
        <v>0</v>
      </c>
    </row>
    <row r="1228" spans="1:12" x14ac:dyDescent="0.2">
      <c r="A1228" t="s">
        <v>477</v>
      </c>
      <c r="B1228" t="s">
        <v>241</v>
      </c>
      <c r="C1228" t="s">
        <v>7</v>
      </c>
      <c r="D1228">
        <v>1001</v>
      </c>
      <c r="E1228">
        <v>2019</v>
      </c>
      <c r="F1228">
        <v>3</v>
      </c>
      <c r="G1228">
        <v>85416</v>
      </c>
      <c r="H1228" s="1">
        <v>4</v>
      </c>
      <c r="I1228">
        <v>22</v>
      </c>
      <c r="J1228">
        <f>IF($H1228=0,1,IF($I1228&lt;=1,2,0))</f>
        <v>0</v>
      </c>
      <c r="K1228">
        <v>0</v>
      </c>
      <c r="L1228">
        <f>IF(AND($J1228=0,$K1228=0),0,1)</f>
        <v>0</v>
      </c>
    </row>
    <row r="1229" spans="1:12" x14ac:dyDescent="0.2">
      <c r="A1229" t="s">
        <v>477</v>
      </c>
      <c r="B1229" t="s">
        <v>241</v>
      </c>
      <c r="C1229" t="s">
        <v>7</v>
      </c>
      <c r="D1229">
        <v>1001</v>
      </c>
      <c r="E1229">
        <v>2019</v>
      </c>
      <c r="F1229">
        <v>5</v>
      </c>
      <c r="G1229">
        <v>85418</v>
      </c>
      <c r="H1229" s="1">
        <v>4</v>
      </c>
      <c r="I1229">
        <v>22</v>
      </c>
      <c r="J1229">
        <f>IF($H1229=0,1,IF($I1229&lt;=1,2,0))</f>
        <v>0</v>
      </c>
      <c r="K1229">
        <v>0</v>
      </c>
      <c r="L1229">
        <f>IF(AND($J1229=0,$K1229=0),0,1)</f>
        <v>0</v>
      </c>
    </row>
    <row r="1230" spans="1:12" x14ac:dyDescent="0.2">
      <c r="A1230" t="s">
        <v>477</v>
      </c>
      <c r="B1230" t="s">
        <v>241</v>
      </c>
      <c r="C1230" t="s">
        <v>7</v>
      </c>
      <c r="D1230">
        <v>1001</v>
      </c>
      <c r="E1230">
        <v>2019</v>
      </c>
      <c r="F1230">
        <v>6</v>
      </c>
      <c r="G1230">
        <v>85419</v>
      </c>
      <c r="H1230" s="1">
        <v>4</v>
      </c>
      <c r="I1230">
        <v>22</v>
      </c>
      <c r="J1230">
        <f>IF($H1230=0,1,IF($I1230&lt;=1,2,0))</f>
        <v>0</v>
      </c>
      <c r="K1230">
        <v>0</v>
      </c>
      <c r="L1230">
        <f>IF(AND($J1230=0,$K1230=0),0,1)</f>
        <v>0</v>
      </c>
    </row>
    <row r="1231" spans="1:12" x14ac:dyDescent="0.2">
      <c r="A1231" t="s">
        <v>477</v>
      </c>
      <c r="B1231" t="s">
        <v>241</v>
      </c>
      <c r="C1231" t="s">
        <v>7</v>
      </c>
      <c r="D1231">
        <v>1001</v>
      </c>
      <c r="E1231">
        <v>2019</v>
      </c>
      <c r="F1231">
        <v>7</v>
      </c>
      <c r="G1231">
        <v>85420</v>
      </c>
      <c r="H1231" s="1">
        <v>4</v>
      </c>
      <c r="I1231">
        <v>22</v>
      </c>
      <c r="J1231">
        <f>IF($H1231=0,1,IF($I1231&lt;=1,2,0))</f>
        <v>0</v>
      </c>
      <c r="K1231">
        <v>0</v>
      </c>
      <c r="L1231">
        <f>IF(AND($J1231=0,$K1231=0),0,1)</f>
        <v>0</v>
      </c>
    </row>
    <row r="1232" spans="1:12" x14ac:dyDescent="0.2">
      <c r="A1232" t="s">
        <v>477</v>
      </c>
      <c r="B1232" t="s">
        <v>241</v>
      </c>
      <c r="C1232" t="s">
        <v>7</v>
      </c>
      <c r="D1232">
        <v>1001</v>
      </c>
      <c r="E1232">
        <v>2019</v>
      </c>
      <c r="F1232">
        <v>8</v>
      </c>
      <c r="G1232">
        <v>85421</v>
      </c>
      <c r="H1232" s="1">
        <v>4</v>
      </c>
      <c r="I1232">
        <v>22</v>
      </c>
      <c r="J1232">
        <f>IF($H1232=0,1,IF($I1232&lt;=1,2,0))</f>
        <v>0</v>
      </c>
      <c r="K1232">
        <v>0</v>
      </c>
      <c r="L1232">
        <f>IF(AND($J1232=0,$K1232=0),0,1)</f>
        <v>0</v>
      </c>
    </row>
    <row r="1233" spans="1:12" x14ac:dyDescent="0.2">
      <c r="A1233" t="s">
        <v>477</v>
      </c>
      <c r="B1233" t="s">
        <v>241</v>
      </c>
      <c r="C1233" t="s">
        <v>7</v>
      </c>
      <c r="D1233">
        <v>1001</v>
      </c>
      <c r="E1233">
        <v>2019</v>
      </c>
      <c r="F1233">
        <v>10</v>
      </c>
      <c r="G1233">
        <v>85423</v>
      </c>
      <c r="H1233" s="1">
        <v>4</v>
      </c>
      <c r="I1233">
        <v>22</v>
      </c>
      <c r="J1233">
        <f>IF($H1233=0,1,IF($I1233&lt;=1,2,0))</f>
        <v>0</v>
      </c>
      <c r="K1233">
        <v>0</v>
      </c>
      <c r="L1233">
        <f>IF(AND($J1233=0,$K1233=0),0,1)</f>
        <v>0</v>
      </c>
    </row>
    <row r="1234" spans="1:12" x14ac:dyDescent="0.2">
      <c r="A1234" t="s">
        <v>477</v>
      </c>
      <c r="B1234" t="s">
        <v>241</v>
      </c>
      <c r="C1234" t="s">
        <v>7</v>
      </c>
      <c r="D1234">
        <v>1001</v>
      </c>
      <c r="E1234">
        <v>2019</v>
      </c>
      <c r="F1234">
        <v>11</v>
      </c>
      <c r="G1234">
        <v>85424</v>
      </c>
      <c r="H1234" s="1">
        <v>4</v>
      </c>
      <c r="I1234">
        <v>22</v>
      </c>
      <c r="J1234">
        <f>IF($H1234=0,1,IF($I1234&lt;=1,2,0))</f>
        <v>0</v>
      </c>
      <c r="K1234">
        <v>0</v>
      </c>
      <c r="L1234">
        <f>IF(AND($J1234=0,$K1234=0),0,1)</f>
        <v>0</v>
      </c>
    </row>
    <row r="1235" spans="1:12" x14ac:dyDescent="0.2">
      <c r="A1235" t="s">
        <v>477</v>
      </c>
      <c r="B1235" t="s">
        <v>241</v>
      </c>
      <c r="C1235" t="s">
        <v>7</v>
      </c>
      <c r="D1235">
        <v>1001</v>
      </c>
      <c r="E1235">
        <v>2019</v>
      </c>
      <c r="F1235">
        <v>13</v>
      </c>
      <c r="G1235">
        <v>85426</v>
      </c>
      <c r="H1235" s="1">
        <v>4</v>
      </c>
      <c r="I1235">
        <v>22</v>
      </c>
      <c r="J1235">
        <f>IF($H1235=0,1,IF($I1235&lt;=1,2,0))</f>
        <v>0</v>
      </c>
      <c r="K1235">
        <v>0</v>
      </c>
      <c r="L1235">
        <f>IF(AND($J1235=0,$K1235=0),0,1)</f>
        <v>0</v>
      </c>
    </row>
    <row r="1236" spans="1:12" x14ac:dyDescent="0.2">
      <c r="A1236" t="s">
        <v>477</v>
      </c>
      <c r="B1236" t="s">
        <v>241</v>
      </c>
      <c r="C1236" t="s">
        <v>7</v>
      </c>
      <c r="D1236">
        <v>1001</v>
      </c>
      <c r="E1236">
        <v>2019</v>
      </c>
      <c r="F1236">
        <v>16</v>
      </c>
      <c r="G1236">
        <v>85429</v>
      </c>
      <c r="H1236" s="1">
        <v>4</v>
      </c>
      <c r="I1236">
        <v>22</v>
      </c>
      <c r="J1236">
        <f>IF($H1236=0,1,IF($I1236&lt;=1,2,0))</f>
        <v>0</v>
      </c>
      <c r="K1236">
        <v>0</v>
      </c>
      <c r="L1236">
        <f>IF(AND($J1236=0,$K1236=0),0,1)</f>
        <v>0</v>
      </c>
    </row>
    <row r="1237" spans="1:12" x14ac:dyDescent="0.2">
      <c r="A1237" t="s">
        <v>477</v>
      </c>
      <c r="B1237" t="s">
        <v>241</v>
      </c>
      <c r="C1237" t="s">
        <v>7</v>
      </c>
      <c r="D1237">
        <v>1001</v>
      </c>
      <c r="E1237">
        <v>2019</v>
      </c>
      <c r="F1237">
        <v>19</v>
      </c>
      <c r="G1237">
        <v>85432</v>
      </c>
      <c r="H1237" s="1">
        <v>4</v>
      </c>
      <c r="I1237">
        <v>22</v>
      </c>
      <c r="J1237">
        <f>IF($H1237=0,1,IF($I1237&lt;=1,2,0))</f>
        <v>0</v>
      </c>
      <c r="K1237">
        <v>0</v>
      </c>
      <c r="L1237">
        <f>IF(AND($J1237=0,$K1237=0),0,1)</f>
        <v>0</v>
      </c>
    </row>
    <row r="1238" spans="1:12" x14ac:dyDescent="0.2">
      <c r="A1238" t="s">
        <v>477</v>
      </c>
      <c r="B1238" t="s">
        <v>241</v>
      </c>
      <c r="C1238" t="s">
        <v>7</v>
      </c>
      <c r="D1238">
        <v>1001</v>
      </c>
      <c r="E1238">
        <v>2019</v>
      </c>
      <c r="F1238">
        <v>20</v>
      </c>
      <c r="G1238">
        <v>85433</v>
      </c>
      <c r="H1238" s="1">
        <v>4</v>
      </c>
      <c r="I1238">
        <v>22</v>
      </c>
      <c r="J1238">
        <f>IF($H1238=0,1,IF($I1238&lt;=1,2,0))</f>
        <v>0</v>
      </c>
      <c r="K1238">
        <v>0</v>
      </c>
      <c r="L1238">
        <f>IF(AND($J1238=0,$K1238=0),0,1)</f>
        <v>0</v>
      </c>
    </row>
    <row r="1239" spans="1:12" x14ac:dyDescent="0.2">
      <c r="A1239" t="s">
        <v>477</v>
      </c>
      <c r="B1239" t="s">
        <v>241</v>
      </c>
      <c r="C1239" t="s">
        <v>7</v>
      </c>
      <c r="D1239">
        <v>1001</v>
      </c>
      <c r="E1239">
        <v>2019</v>
      </c>
      <c r="F1239">
        <v>21</v>
      </c>
      <c r="G1239">
        <v>85434</v>
      </c>
      <c r="H1239" s="1">
        <v>4</v>
      </c>
      <c r="I1239">
        <v>22</v>
      </c>
      <c r="J1239">
        <f>IF($H1239=0,1,IF($I1239&lt;=1,2,0))</f>
        <v>0</v>
      </c>
      <c r="K1239">
        <v>0</v>
      </c>
      <c r="L1239">
        <f>IF(AND($J1239=0,$K1239=0),0,1)</f>
        <v>0</v>
      </c>
    </row>
    <row r="1240" spans="1:12" x14ac:dyDescent="0.2">
      <c r="A1240" t="s">
        <v>477</v>
      </c>
      <c r="B1240" t="s">
        <v>241</v>
      </c>
      <c r="C1240" t="s">
        <v>7</v>
      </c>
      <c r="D1240">
        <v>1001</v>
      </c>
      <c r="E1240">
        <v>2019</v>
      </c>
      <c r="F1240">
        <v>22</v>
      </c>
      <c r="G1240">
        <v>85435</v>
      </c>
      <c r="H1240" s="1">
        <v>4</v>
      </c>
      <c r="I1240">
        <v>22</v>
      </c>
      <c r="J1240">
        <f>IF($H1240=0,1,IF($I1240&lt;=1,2,0))</f>
        <v>0</v>
      </c>
      <c r="K1240">
        <v>0</v>
      </c>
      <c r="L1240">
        <f>IF(AND($J1240=0,$K1240=0),0,1)</f>
        <v>0</v>
      </c>
    </row>
    <row r="1241" spans="1:12" x14ac:dyDescent="0.2">
      <c r="A1241" t="s">
        <v>477</v>
      </c>
      <c r="B1241" t="s">
        <v>241</v>
      </c>
      <c r="C1241" t="s">
        <v>7</v>
      </c>
      <c r="D1241">
        <v>1001</v>
      </c>
      <c r="E1241">
        <v>2019</v>
      </c>
      <c r="F1241">
        <v>25</v>
      </c>
      <c r="G1241">
        <v>85438</v>
      </c>
      <c r="H1241" s="1">
        <v>4</v>
      </c>
      <c r="I1241">
        <v>22</v>
      </c>
      <c r="J1241">
        <f>IF($H1241=0,1,IF($I1241&lt;=1,2,0))</f>
        <v>0</v>
      </c>
      <c r="K1241">
        <v>0</v>
      </c>
      <c r="L1241">
        <f>IF(AND($J1241=0,$K1241=0),0,1)</f>
        <v>0</v>
      </c>
    </row>
    <row r="1242" spans="1:12" x14ac:dyDescent="0.2">
      <c r="A1242" t="s">
        <v>477</v>
      </c>
      <c r="B1242" t="s">
        <v>241</v>
      </c>
      <c r="C1242" t="s">
        <v>7</v>
      </c>
      <c r="D1242">
        <v>1001</v>
      </c>
      <c r="E1242">
        <v>2019</v>
      </c>
      <c r="F1242">
        <v>28</v>
      </c>
      <c r="G1242">
        <v>85441</v>
      </c>
      <c r="H1242" s="1">
        <v>4</v>
      </c>
      <c r="I1242">
        <v>22</v>
      </c>
      <c r="J1242">
        <f>IF($H1242=0,1,IF($I1242&lt;=1,2,0))</f>
        <v>0</v>
      </c>
      <c r="K1242">
        <v>0</v>
      </c>
      <c r="L1242">
        <f>IF(AND($J1242=0,$K1242=0),0,1)</f>
        <v>0</v>
      </c>
    </row>
    <row r="1243" spans="1:12" x14ac:dyDescent="0.2">
      <c r="A1243" t="s">
        <v>477</v>
      </c>
      <c r="B1243" t="s">
        <v>241</v>
      </c>
      <c r="C1243" t="s">
        <v>7</v>
      </c>
      <c r="D1243">
        <v>1001</v>
      </c>
      <c r="E1243">
        <v>2019</v>
      </c>
      <c r="F1243">
        <v>30</v>
      </c>
      <c r="G1243">
        <v>85443</v>
      </c>
      <c r="H1243" s="1">
        <v>4</v>
      </c>
      <c r="I1243">
        <v>22</v>
      </c>
      <c r="J1243">
        <f>IF($H1243=0,1,IF($I1243&lt;=1,2,0))</f>
        <v>0</v>
      </c>
      <c r="K1243">
        <v>0</v>
      </c>
      <c r="L1243">
        <f>IF(AND($J1243=0,$K1243=0),0,1)</f>
        <v>0</v>
      </c>
    </row>
    <row r="1244" spans="1:12" x14ac:dyDescent="0.2">
      <c r="A1244" t="s">
        <v>477</v>
      </c>
      <c r="B1244" t="s">
        <v>241</v>
      </c>
      <c r="C1244" t="s">
        <v>7</v>
      </c>
      <c r="D1244">
        <v>1001</v>
      </c>
      <c r="E1244">
        <v>2019</v>
      </c>
      <c r="F1244">
        <v>32</v>
      </c>
      <c r="G1244">
        <v>85445</v>
      </c>
      <c r="H1244" s="1">
        <v>4</v>
      </c>
      <c r="I1244">
        <v>22</v>
      </c>
      <c r="J1244">
        <f>IF($H1244=0,1,IF($I1244&lt;=1,2,0))</f>
        <v>0</v>
      </c>
      <c r="K1244">
        <v>0</v>
      </c>
      <c r="L1244">
        <f>IF(AND($J1244=0,$K1244=0),0,1)</f>
        <v>0</v>
      </c>
    </row>
    <row r="1245" spans="1:12" x14ac:dyDescent="0.2">
      <c r="A1245" t="s">
        <v>477</v>
      </c>
      <c r="B1245" t="s">
        <v>241</v>
      </c>
      <c r="C1245" t="s">
        <v>7</v>
      </c>
      <c r="D1245">
        <v>1001</v>
      </c>
      <c r="E1245">
        <v>2019</v>
      </c>
      <c r="F1245">
        <v>34</v>
      </c>
      <c r="G1245">
        <v>85447</v>
      </c>
      <c r="H1245" s="1">
        <v>4</v>
      </c>
      <c r="I1245">
        <v>22</v>
      </c>
      <c r="J1245">
        <f>IF($H1245=0,1,IF($I1245&lt;=1,2,0))</f>
        <v>0</v>
      </c>
      <c r="K1245">
        <v>0</v>
      </c>
      <c r="L1245">
        <f>IF(AND($J1245=0,$K1245=0),0,1)</f>
        <v>0</v>
      </c>
    </row>
    <row r="1246" spans="1:12" x14ac:dyDescent="0.2">
      <c r="A1246" t="s">
        <v>477</v>
      </c>
      <c r="B1246" t="s">
        <v>241</v>
      </c>
      <c r="C1246" t="s">
        <v>7</v>
      </c>
      <c r="D1246">
        <v>1001</v>
      </c>
      <c r="E1246">
        <v>2019</v>
      </c>
      <c r="F1246">
        <v>36</v>
      </c>
      <c r="G1246">
        <v>85449</v>
      </c>
      <c r="H1246" s="1">
        <v>4</v>
      </c>
      <c r="I1246">
        <v>22</v>
      </c>
      <c r="J1246">
        <f>IF($H1246=0,1,IF($I1246&lt;=1,2,0))</f>
        <v>0</v>
      </c>
      <c r="K1246">
        <v>0</v>
      </c>
      <c r="L1246">
        <f>IF(AND($J1246=0,$K1246=0),0,1)</f>
        <v>0</v>
      </c>
    </row>
    <row r="1247" spans="1:12" x14ac:dyDescent="0.2">
      <c r="A1247" t="s">
        <v>477</v>
      </c>
      <c r="B1247" t="s">
        <v>241</v>
      </c>
      <c r="C1247" t="s">
        <v>7</v>
      </c>
      <c r="D1247">
        <v>1001</v>
      </c>
      <c r="E1247">
        <v>2019</v>
      </c>
      <c r="F1247">
        <v>37</v>
      </c>
      <c r="G1247">
        <v>85450</v>
      </c>
      <c r="H1247" s="1">
        <v>4</v>
      </c>
      <c r="I1247">
        <v>22</v>
      </c>
      <c r="J1247">
        <f>IF($H1247=0,1,IF($I1247&lt;=1,2,0))</f>
        <v>0</v>
      </c>
      <c r="K1247">
        <v>0</v>
      </c>
      <c r="L1247">
        <f>IF(AND($J1247=0,$K1247=0),0,1)</f>
        <v>0</v>
      </c>
    </row>
    <row r="1248" spans="1:12" x14ac:dyDescent="0.2">
      <c r="A1248" t="s">
        <v>477</v>
      </c>
      <c r="B1248" t="s">
        <v>241</v>
      </c>
      <c r="C1248" t="s">
        <v>7</v>
      </c>
      <c r="D1248">
        <v>1001</v>
      </c>
      <c r="E1248">
        <v>2019</v>
      </c>
      <c r="F1248">
        <v>44</v>
      </c>
      <c r="G1248">
        <v>85457</v>
      </c>
      <c r="H1248" s="1">
        <v>4</v>
      </c>
      <c r="I1248">
        <v>22</v>
      </c>
      <c r="J1248">
        <f>IF($H1248=0,1,IF($I1248&lt;=1,2,0))</f>
        <v>0</v>
      </c>
      <c r="K1248">
        <v>0</v>
      </c>
      <c r="L1248">
        <f>IF(AND($J1248=0,$K1248=0),0,1)</f>
        <v>0</v>
      </c>
    </row>
    <row r="1249" spans="1:12" x14ac:dyDescent="0.2">
      <c r="A1249" t="s">
        <v>477</v>
      </c>
      <c r="B1249" t="s">
        <v>241</v>
      </c>
      <c r="C1249" t="s">
        <v>7</v>
      </c>
      <c r="D1249">
        <v>1001</v>
      </c>
      <c r="E1249">
        <v>2019</v>
      </c>
      <c r="F1249">
        <v>46</v>
      </c>
      <c r="G1249">
        <v>85459</v>
      </c>
      <c r="H1249" s="1">
        <v>4</v>
      </c>
      <c r="I1249">
        <v>22</v>
      </c>
      <c r="J1249">
        <f>IF($H1249=0,1,IF($I1249&lt;=1,2,0))</f>
        <v>0</v>
      </c>
      <c r="K1249">
        <v>0</v>
      </c>
      <c r="L1249">
        <f>IF(AND($J1249=0,$K1249=0),0,1)</f>
        <v>0</v>
      </c>
    </row>
    <row r="1250" spans="1:12" x14ac:dyDescent="0.2">
      <c r="A1250" t="s">
        <v>477</v>
      </c>
      <c r="B1250" t="s">
        <v>241</v>
      </c>
      <c r="C1250" t="s">
        <v>7</v>
      </c>
      <c r="D1250">
        <v>1001</v>
      </c>
      <c r="E1250">
        <v>2019</v>
      </c>
      <c r="F1250">
        <v>47</v>
      </c>
      <c r="G1250">
        <v>85460</v>
      </c>
      <c r="H1250" s="1">
        <v>4</v>
      </c>
      <c r="I1250">
        <v>22</v>
      </c>
      <c r="J1250">
        <f>IF($H1250=0,1,IF($I1250&lt;=1,2,0))</f>
        <v>0</v>
      </c>
      <c r="K1250">
        <v>0</v>
      </c>
      <c r="L1250">
        <f>IF(AND($J1250=0,$K1250=0),0,1)</f>
        <v>0</v>
      </c>
    </row>
    <row r="1251" spans="1:12" x14ac:dyDescent="0.2">
      <c r="A1251" t="s">
        <v>477</v>
      </c>
      <c r="B1251" t="s">
        <v>241</v>
      </c>
      <c r="C1251" t="s">
        <v>7</v>
      </c>
      <c r="D1251">
        <v>1001</v>
      </c>
      <c r="E1251">
        <v>2019</v>
      </c>
      <c r="F1251">
        <v>49</v>
      </c>
      <c r="G1251">
        <v>85462</v>
      </c>
      <c r="H1251" s="1">
        <v>4</v>
      </c>
      <c r="I1251">
        <v>22</v>
      </c>
      <c r="J1251">
        <f>IF($H1251=0,1,IF($I1251&lt;=1,2,0))</f>
        <v>0</v>
      </c>
      <c r="K1251">
        <v>0</v>
      </c>
      <c r="L1251">
        <f>IF(AND($J1251=0,$K1251=0),0,1)</f>
        <v>0</v>
      </c>
    </row>
    <row r="1252" spans="1:12" x14ac:dyDescent="0.2">
      <c r="A1252" t="s">
        <v>477</v>
      </c>
      <c r="B1252" t="s">
        <v>241</v>
      </c>
      <c r="C1252" t="s">
        <v>7</v>
      </c>
      <c r="D1252">
        <v>1001</v>
      </c>
      <c r="E1252">
        <v>2019</v>
      </c>
      <c r="F1252">
        <v>50</v>
      </c>
      <c r="G1252">
        <v>85463</v>
      </c>
      <c r="H1252" s="1">
        <v>4</v>
      </c>
      <c r="I1252">
        <v>22</v>
      </c>
      <c r="J1252">
        <f>IF($H1252=0,1,IF($I1252&lt;=1,2,0))</f>
        <v>0</v>
      </c>
      <c r="K1252">
        <v>0</v>
      </c>
      <c r="L1252">
        <f>IF(AND($J1252=0,$K1252=0),0,1)</f>
        <v>0</v>
      </c>
    </row>
    <row r="1253" spans="1:12" x14ac:dyDescent="0.2">
      <c r="A1253" t="s">
        <v>477</v>
      </c>
      <c r="B1253" t="s">
        <v>241</v>
      </c>
      <c r="C1253" t="s">
        <v>7</v>
      </c>
      <c r="D1253">
        <v>1001</v>
      </c>
      <c r="E1253">
        <v>2019</v>
      </c>
      <c r="F1253">
        <v>52</v>
      </c>
      <c r="G1253">
        <v>85465</v>
      </c>
      <c r="H1253" s="1">
        <v>4</v>
      </c>
      <c r="I1253">
        <v>22</v>
      </c>
      <c r="J1253">
        <f>IF($H1253=0,1,IF($I1253&lt;=1,2,0))</f>
        <v>0</v>
      </c>
      <c r="K1253">
        <v>0</v>
      </c>
      <c r="L1253">
        <f>IF(AND($J1253=0,$K1253=0),0,1)</f>
        <v>0</v>
      </c>
    </row>
    <row r="1254" spans="1:12" x14ac:dyDescent="0.2">
      <c r="A1254" t="s">
        <v>477</v>
      </c>
      <c r="B1254" t="s">
        <v>241</v>
      </c>
      <c r="C1254" t="s">
        <v>7</v>
      </c>
      <c r="D1254">
        <v>1001</v>
      </c>
      <c r="E1254">
        <v>2019</v>
      </c>
      <c r="F1254">
        <v>57</v>
      </c>
      <c r="G1254">
        <v>85470</v>
      </c>
      <c r="H1254" s="1">
        <v>4</v>
      </c>
      <c r="I1254">
        <v>22</v>
      </c>
      <c r="J1254">
        <f>IF($H1254=0,1,IF($I1254&lt;=1,2,0))</f>
        <v>0</v>
      </c>
      <c r="K1254">
        <v>0</v>
      </c>
      <c r="L1254">
        <f>IF(AND($J1254=0,$K1254=0),0,1)</f>
        <v>0</v>
      </c>
    </row>
    <row r="1255" spans="1:12" x14ac:dyDescent="0.2">
      <c r="A1255" t="s">
        <v>477</v>
      </c>
      <c r="B1255" t="s">
        <v>241</v>
      </c>
      <c r="C1255" t="s">
        <v>7</v>
      </c>
      <c r="D1255">
        <v>1001</v>
      </c>
      <c r="E1255">
        <v>2019</v>
      </c>
      <c r="F1255">
        <v>61</v>
      </c>
      <c r="G1255">
        <v>85504</v>
      </c>
      <c r="H1255" s="1">
        <v>4</v>
      </c>
      <c r="I1255">
        <v>22</v>
      </c>
      <c r="J1255">
        <f>IF($H1255=0,1,IF($I1255&lt;=1,2,0))</f>
        <v>0</v>
      </c>
      <c r="K1255">
        <v>0</v>
      </c>
      <c r="L1255">
        <f>IF(AND($J1255=0,$K1255=0),0,1)</f>
        <v>0</v>
      </c>
    </row>
    <row r="1256" spans="1:12" x14ac:dyDescent="0.2">
      <c r="A1256" t="s">
        <v>477</v>
      </c>
      <c r="B1256" t="s">
        <v>241</v>
      </c>
      <c r="C1256" t="s">
        <v>7</v>
      </c>
      <c r="D1256">
        <v>1001</v>
      </c>
      <c r="E1256">
        <v>2019</v>
      </c>
      <c r="F1256">
        <v>12</v>
      </c>
      <c r="G1256">
        <v>85425</v>
      </c>
      <c r="H1256" s="1">
        <v>4</v>
      </c>
      <c r="I1256">
        <v>21</v>
      </c>
      <c r="J1256">
        <f>IF($H1256=0,1,IF($I1256&lt;=1,2,0))</f>
        <v>0</v>
      </c>
      <c r="K1256">
        <v>0</v>
      </c>
      <c r="L1256">
        <f>IF(AND($J1256=0,$K1256=0),0,1)</f>
        <v>0</v>
      </c>
    </row>
    <row r="1257" spans="1:12" x14ac:dyDescent="0.2">
      <c r="A1257" t="s">
        <v>477</v>
      </c>
      <c r="B1257" t="s">
        <v>241</v>
      </c>
      <c r="C1257" t="s">
        <v>7</v>
      </c>
      <c r="D1257">
        <v>1001</v>
      </c>
      <c r="E1257">
        <v>2019</v>
      </c>
      <c r="F1257">
        <v>14</v>
      </c>
      <c r="G1257">
        <v>85427</v>
      </c>
      <c r="H1257" s="1">
        <v>4</v>
      </c>
      <c r="I1257">
        <v>21</v>
      </c>
      <c r="J1257">
        <f>IF($H1257=0,1,IF($I1257&lt;=1,2,0))</f>
        <v>0</v>
      </c>
      <c r="K1257">
        <v>0</v>
      </c>
      <c r="L1257">
        <f>IF(AND($J1257=0,$K1257=0),0,1)</f>
        <v>0</v>
      </c>
    </row>
    <row r="1258" spans="1:12" x14ac:dyDescent="0.2">
      <c r="A1258" t="s">
        <v>477</v>
      </c>
      <c r="B1258" t="s">
        <v>241</v>
      </c>
      <c r="C1258" t="s">
        <v>7</v>
      </c>
      <c r="D1258">
        <v>1001</v>
      </c>
      <c r="E1258">
        <v>2019</v>
      </c>
      <c r="F1258">
        <v>17</v>
      </c>
      <c r="G1258">
        <v>85430</v>
      </c>
      <c r="H1258" s="1">
        <v>4</v>
      </c>
      <c r="I1258">
        <v>21</v>
      </c>
      <c r="J1258">
        <f>IF($H1258=0,1,IF($I1258&lt;=1,2,0))</f>
        <v>0</v>
      </c>
      <c r="K1258">
        <v>0</v>
      </c>
      <c r="L1258">
        <f>IF(AND($J1258=0,$K1258=0),0,1)</f>
        <v>0</v>
      </c>
    </row>
    <row r="1259" spans="1:12" x14ac:dyDescent="0.2">
      <c r="A1259" t="s">
        <v>477</v>
      </c>
      <c r="B1259" t="s">
        <v>241</v>
      </c>
      <c r="C1259" t="s">
        <v>7</v>
      </c>
      <c r="D1259">
        <v>1001</v>
      </c>
      <c r="E1259">
        <v>2019</v>
      </c>
      <c r="F1259">
        <v>18</v>
      </c>
      <c r="G1259">
        <v>85431</v>
      </c>
      <c r="H1259" s="1">
        <v>4</v>
      </c>
      <c r="I1259">
        <v>21</v>
      </c>
      <c r="J1259">
        <f>IF($H1259=0,1,IF($I1259&lt;=1,2,0))</f>
        <v>0</v>
      </c>
      <c r="K1259">
        <v>0</v>
      </c>
      <c r="L1259">
        <f>IF(AND($J1259=0,$K1259=0),0,1)</f>
        <v>0</v>
      </c>
    </row>
    <row r="1260" spans="1:12" x14ac:dyDescent="0.2">
      <c r="A1260" t="s">
        <v>477</v>
      </c>
      <c r="B1260" t="s">
        <v>241</v>
      </c>
      <c r="C1260" t="s">
        <v>7</v>
      </c>
      <c r="D1260">
        <v>1001</v>
      </c>
      <c r="E1260">
        <v>2019</v>
      </c>
      <c r="F1260">
        <v>23</v>
      </c>
      <c r="G1260">
        <v>85436</v>
      </c>
      <c r="H1260" s="1">
        <v>4</v>
      </c>
      <c r="I1260">
        <v>21</v>
      </c>
      <c r="J1260">
        <f>IF($H1260=0,1,IF($I1260&lt;=1,2,0))</f>
        <v>0</v>
      </c>
      <c r="K1260">
        <v>0</v>
      </c>
      <c r="L1260">
        <f>IF(AND($J1260=0,$K1260=0),0,1)</f>
        <v>0</v>
      </c>
    </row>
    <row r="1261" spans="1:12" x14ac:dyDescent="0.2">
      <c r="A1261" t="s">
        <v>477</v>
      </c>
      <c r="B1261" t="s">
        <v>241</v>
      </c>
      <c r="C1261" t="s">
        <v>7</v>
      </c>
      <c r="D1261">
        <v>1001</v>
      </c>
      <c r="E1261">
        <v>2019</v>
      </c>
      <c r="F1261">
        <v>26</v>
      </c>
      <c r="G1261">
        <v>85439</v>
      </c>
      <c r="H1261" s="1">
        <v>4</v>
      </c>
      <c r="I1261">
        <v>21</v>
      </c>
      <c r="J1261">
        <f>IF($H1261=0,1,IF($I1261&lt;=1,2,0))</f>
        <v>0</v>
      </c>
      <c r="K1261">
        <v>0</v>
      </c>
      <c r="L1261">
        <f>IF(AND($J1261=0,$K1261=0),0,1)</f>
        <v>0</v>
      </c>
    </row>
    <row r="1262" spans="1:12" x14ac:dyDescent="0.2">
      <c r="A1262" t="s">
        <v>477</v>
      </c>
      <c r="B1262" t="s">
        <v>241</v>
      </c>
      <c r="C1262" t="s">
        <v>7</v>
      </c>
      <c r="D1262">
        <v>1001</v>
      </c>
      <c r="E1262">
        <v>2019</v>
      </c>
      <c r="F1262">
        <v>27</v>
      </c>
      <c r="G1262">
        <v>85440</v>
      </c>
      <c r="H1262" s="1">
        <v>4</v>
      </c>
      <c r="I1262">
        <v>21</v>
      </c>
      <c r="J1262">
        <f>IF($H1262=0,1,IF($I1262&lt;=1,2,0))</f>
        <v>0</v>
      </c>
      <c r="K1262">
        <v>0</v>
      </c>
      <c r="L1262">
        <f>IF(AND($J1262=0,$K1262=0),0,1)</f>
        <v>0</v>
      </c>
    </row>
    <row r="1263" spans="1:12" x14ac:dyDescent="0.2">
      <c r="A1263" t="s">
        <v>477</v>
      </c>
      <c r="B1263" t="s">
        <v>241</v>
      </c>
      <c r="C1263" t="s">
        <v>7</v>
      </c>
      <c r="D1263">
        <v>1001</v>
      </c>
      <c r="E1263">
        <v>2019</v>
      </c>
      <c r="F1263">
        <v>31</v>
      </c>
      <c r="G1263">
        <v>85444</v>
      </c>
      <c r="H1263" s="1">
        <v>4</v>
      </c>
      <c r="I1263">
        <v>21</v>
      </c>
      <c r="J1263">
        <f>IF($H1263=0,1,IF($I1263&lt;=1,2,0))</f>
        <v>0</v>
      </c>
      <c r="K1263">
        <v>0</v>
      </c>
      <c r="L1263">
        <f>IF(AND($J1263=0,$K1263=0),0,1)</f>
        <v>0</v>
      </c>
    </row>
    <row r="1264" spans="1:12" x14ac:dyDescent="0.2">
      <c r="A1264" t="s">
        <v>477</v>
      </c>
      <c r="B1264" t="s">
        <v>241</v>
      </c>
      <c r="C1264" t="s">
        <v>7</v>
      </c>
      <c r="D1264">
        <v>1001</v>
      </c>
      <c r="E1264">
        <v>2019</v>
      </c>
      <c r="F1264">
        <v>33</v>
      </c>
      <c r="G1264">
        <v>85446</v>
      </c>
      <c r="H1264" s="1">
        <v>4</v>
      </c>
      <c r="I1264">
        <v>21</v>
      </c>
      <c r="J1264">
        <f>IF($H1264=0,1,IF($I1264&lt;=1,2,0))</f>
        <v>0</v>
      </c>
      <c r="K1264">
        <v>0</v>
      </c>
      <c r="L1264">
        <f>IF(AND($J1264=0,$K1264=0),0,1)</f>
        <v>0</v>
      </c>
    </row>
    <row r="1265" spans="1:12" x14ac:dyDescent="0.2">
      <c r="A1265" t="s">
        <v>477</v>
      </c>
      <c r="B1265" t="s">
        <v>241</v>
      </c>
      <c r="C1265" t="s">
        <v>7</v>
      </c>
      <c r="D1265">
        <v>1001</v>
      </c>
      <c r="E1265">
        <v>2019</v>
      </c>
      <c r="F1265">
        <v>40</v>
      </c>
      <c r="G1265">
        <v>85453</v>
      </c>
      <c r="H1265" s="1">
        <v>4</v>
      </c>
      <c r="I1265">
        <v>21</v>
      </c>
      <c r="J1265">
        <f>IF($H1265=0,1,IF($I1265&lt;=1,2,0))</f>
        <v>0</v>
      </c>
      <c r="K1265">
        <v>0</v>
      </c>
      <c r="L1265">
        <f>IF(AND($J1265=0,$K1265=0),0,1)</f>
        <v>0</v>
      </c>
    </row>
    <row r="1266" spans="1:12" x14ac:dyDescent="0.2">
      <c r="A1266" t="s">
        <v>477</v>
      </c>
      <c r="B1266" t="s">
        <v>241</v>
      </c>
      <c r="C1266" t="s">
        <v>7</v>
      </c>
      <c r="D1266">
        <v>1001</v>
      </c>
      <c r="E1266">
        <v>2019</v>
      </c>
      <c r="F1266">
        <v>42</v>
      </c>
      <c r="G1266">
        <v>85455</v>
      </c>
      <c r="H1266" s="1">
        <v>4</v>
      </c>
      <c r="I1266">
        <v>21</v>
      </c>
      <c r="J1266">
        <f>IF($H1266=0,1,IF($I1266&lt;=1,2,0))</f>
        <v>0</v>
      </c>
      <c r="K1266">
        <v>0</v>
      </c>
      <c r="L1266">
        <f>IF(AND($J1266=0,$K1266=0),0,1)</f>
        <v>0</v>
      </c>
    </row>
    <row r="1267" spans="1:12" x14ac:dyDescent="0.2">
      <c r="A1267" t="s">
        <v>477</v>
      </c>
      <c r="B1267" t="s">
        <v>241</v>
      </c>
      <c r="C1267" t="s">
        <v>7</v>
      </c>
      <c r="D1267">
        <v>1001</v>
      </c>
      <c r="E1267">
        <v>2019</v>
      </c>
      <c r="F1267">
        <v>43</v>
      </c>
      <c r="G1267">
        <v>85456</v>
      </c>
      <c r="H1267" s="1">
        <v>4</v>
      </c>
      <c r="I1267">
        <v>21</v>
      </c>
      <c r="J1267">
        <f>IF($H1267=0,1,IF($I1267&lt;=1,2,0))</f>
        <v>0</v>
      </c>
      <c r="K1267">
        <v>0</v>
      </c>
      <c r="L1267">
        <f>IF(AND($J1267=0,$K1267=0),0,1)</f>
        <v>0</v>
      </c>
    </row>
    <row r="1268" spans="1:12" x14ac:dyDescent="0.2">
      <c r="A1268" t="s">
        <v>477</v>
      </c>
      <c r="B1268" t="s">
        <v>241</v>
      </c>
      <c r="C1268" t="s">
        <v>7</v>
      </c>
      <c r="D1268">
        <v>1001</v>
      </c>
      <c r="E1268">
        <v>2019</v>
      </c>
      <c r="F1268">
        <v>55</v>
      </c>
      <c r="G1268">
        <v>85468</v>
      </c>
      <c r="H1268" s="1">
        <v>4</v>
      </c>
      <c r="I1268">
        <v>21</v>
      </c>
      <c r="J1268">
        <f>IF($H1268=0,1,IF($I1268&lt;=1,2,0))</f>
        <v>0</v>
      </c>
      <c r="K1268">
        <v>0</v>
      </c>
      <c r="L1268">
        <f>IF(AND($J1268=0,$K1268=0),0,1)</f>
        <v>0</v>
      </c>
    </row>
    <row r="1269" spans="1:12" x14ac:dyDescent="0.2">
      <c r="A1269" t="s">
        <v>477</v>
      </c>
      <c r="B1269" t="s">
        <v>241</v>
      </c>
      <c r="C1269" t="s">
        <v>7</v>
      </c>
      <c r="D1269">
        <v>1001</v>
      </c>
      <c r="E1269">
        <v>2019</v>
      </c>
      <c r="F1269">
        <v>63</v>
      </c>
      <c r="G1269">
        <v>85506</v>
      </c>
      <c r="H1269" s="1">
        <v>4</v>
      </c>
      <c r="I1269">
        <v>21</v>
      </c>
      <c r="J1269">
        <f>IF($H1269=0,1,IF($I1269&lt;=1,2,0))</f>
        <v>0</v>
      </c>
      <c r="K1269">
        <v>0</v>
      </c>
      <c r="L1269">
        <f>IF(AND($J1269=0,$K1269=0),0,1)</f>
        <v>0</v>
      </c>
    </row>
    <row r="1270" spans="1:12" x14ac:dyDescent="0.2">
      <c r="A1270" t="s">
        <v>477</v>
      </c>
      <c r="B1270" t="s">
        <v>241</v>
      </c>
      <c r="C1270" t="s">
        <v>7</v>
      </c>
      <c r="D1270">
        <v>1001</v>
      </c>
      <c r="E1270">
        <v>2019</v>
      </c>
      <c r="F1270">
        <v>4</v>
      </c>
      <c r="G1270">
        <v>85417</v>
      </c>
      <c r="H1270" s="1">
        <v>4</v>
      </c>
      <c r="I1270">
        <v>20</v>
      </c>
      <c r="J1270">
        <f>IF($H1270=0,1,IF($I1270&lt;=1,2,0))</f>
        <v>0</v>
      </c>
      <c r="K1270">
        <v>0</v>
      </c>
      <c r="L1270">
        <f>IF(AND($J1270=0,$K1270=0),0,1)</f>
        <v>0</v>
      </c>
    </row>
    <row r="1271" spans="1:12" x14ac:dyDescent="0.2">
      <c r="A1271" t="s">
        <v>477</v>
      </c>
      <c r="B1271" t="s">
        <v>241</v>
      </c>
      <c r="C1271" t="s">
        <v>7</v>
      </c>
      <c r="D1271">
        <v>1001</v>
      </c>
      <c r="E1271">
        <v>2019</v>
      </c>
      <c r="F1271">
        <v>35</v>
      </c>
      <c r="G1271">
        <v>85448</v>
      </c>
      <c r="H1271" s="1">
        <v>4</v>
      </c>
      <c r="I1271">
        <v>20</v>
      </c>
      <c r="J1271">
        <f>IF($H1271=0,1,IF($I1271&lt;=1,2,0))</f>
        <v>0</v>
      </c>
      <c r="K1271">
        <v>0</v>
      </c>
      <c r="L1271">
        <f>IF(AND($J1271=0,$K1271=0),0,1)</f>
        <v>0</v>
      </c>
    </row>
    <row r="1272" spans="1:12" x14ac:dyDescent="0.2">
      <c r="A1272" t="s">
        <v>477</v>
      </c>
      <c r="B1272" t="s">
        <v>241</v>
      </c>
      <c r="C1272" t="s">
        <v>7</v>
      </c>
      <c r="D1272">
        <v>1001</v>
      </c>
      <c r="E1272">
        <v>2019</v>
      </c>
      <c r="F1272">
        <v>38</v>
      </c>
      <c r="G1272">
        <v>85451</v>
      </c>
      <c r="H1272" s="1">
        <v>4</v>
      </c>
      <c r="I1272">
        <v>20</v>
      </c>
      <c r="J1272">
        <f>IF($H1272=0,1,IF($I1272&lt;=1,2,0))</f>
        <v>0</v>
      </c>
      <c r="K1272">
        <v>0</v>
      </c>
      <c r="L1272">
        <f>IF(AND($J1272=0,$K1272=0),0,1)</f>
        <v>0</v>
      </c>
    </row>
    <row r="1273" spans="1:12" x14ac:dyDescent="0.2">
      <c r="A1273" t="s">
        <v>477</v>
      </c>
      <c r="B1273" t="s">
        <v>241</v>
      </c>
      <c r="C1273" t="s">
        <v>7</v>
      </c>
      <c r="D1273">
        <v>1001</v>
      </c>
      <c r="E1273">
        <v>2019</v>
      </c>
      <c r="F1273">
        <v>41</v>
      </c>
      <c r="G1273">
        <v>85454</v>
      </c>
      <c r="H1273" s="1">
        <v>4</v>
      </c>
      <c r="I1273">
        <v>20</v>
      </c>
      <c r="J1273">
        <f>IF($H1273=0,1,IF($I1273&lt;=1,2,0))</f>
        <v>0</v>
      </c>
      <c r="K1273">
        <v>0</v>
      </c>
      <c r="L1273">
        <f>IF(AND($J1273=0,$K1273=0),0,1)</f>
        <v>0</v>
      </c>
    </row>
    <row r="1274" spans="1:12" x14ac:dyDescent="0.2">
      <c r="A1274" t="s">
        <v>477</v>
      </c>
      <c r="B1274" t="s">
        <v>241</v>
      </c>
      <c r="C1274" t="s">
        <v>7</v>
      </c>
      <c r="D1274">
        <v>1001</v>
      </c>
      <c r="E1274">
        <v>2019</v>
      </c>
      <c r="F1274">
        <v>48</v>
      </c>
      <c r="G1274">
        <v>85461</v>
      </c>
      <c r="H1274" s="1">
        <v>4</v>
      </c>
      <c r="I1274">
        <v>20</v>
      </c>
      <c r="J1274">
        <f>IF($H1274=0,1,IF($I1274&lt;=1,2,0))</f>
        <v>0</v>
      </c>
      <c r="K1274">
        <v>0</v>
      </c>
      <c r="L1274">
        <f>IF(AND($J1274=0,$K1274=0),0,1)</f>
        <v>0</v>
      </c>
    </row>
    <row r="1275" spans="1:12" x14ac:dyDescent="0.2">
      <c r="A1275" t="s">
        <v>477</v>
      </c>
      <c r="B1275" t="s">
        <v>241</v>
      </c>
      <c r="C1275" t="s">
        <v>7</v>
      </c>
      <c r="D1275">
        <v>1001</v>
      </c>
      <c r="E1275">
        <v>2019</v>
      </c>
      <c r="F1275">
        <v>15</v>
      </c>
      <c r="G1275">
        <v>85428</v>
      </c>
      <c r="H1275" s="1">
        <v>4</v>
      </c>
      <c r="I1275">
        <v>19</v>
      </c>
      <c r="J1275">
        <f>IF($H1275=0,1,IF($I1275&lt;=1,2,0))</f>
        <v>0</v>
      </c>
      <c r="K1275">
        <v>0</v>
      </c>
      <c r="L1275">
        <f>IF(AND($J1275=0,$K1275=0),0,1)</f>
        <v>0</v>
      </c>
    </row>
    <row r="1276" spans="1:12" x14ac:dyDescent="0.2">
      <c r="A1276" t="s">
        <v>477</v>
      </c>
      <c r="B1276" t="s">
        <v>241</v>
      </c>
      <c r="C1276" t="s">
        <v>7</v>
      </c>
      <c r="D1276">
        <v>1001</v>
      </c>
      <c r="E1276">
        <v>2019</v>
      </c>
      <c r="F1276">
        <v>39</v>
      </c>
      <c r="G1276">
        <v>85452</v>
      </c>
      <c r="H1276" s="1">
        <v>4</v>
      </c>
      <c r="I1276">
        <v>19</v>
      </c>
      <c r="J1276">
        <f>IF($H1276=0,1,IF($I1276&lt;=1,2,0))</f>
        <v>0</v>
      </c>
      <c r="K1276">
        <v>0</v>
      </c>
      <c r="L1276">
        <f>IF(AND($J1276=0,$K1276=0),0,1)</f>
        <v>0</v>
      </c>
    </row>
    <row r="1277" spans="1:12" x14ac:dyDescent="0.2">
      <c r="A1277" t="s">
        <v>477</v>
      </c>
      <c r="B1277" t="s">
        <v>241</v>
      </c>
      <c r="C1277" t="s">
        <v>7</v>
      </c>
      <c r="D1277">
        <v>1001</v>
      </c>
      <c r="E1277">
        <v>2019</v>
      </c>
      <c r="F1277">
        <v>9</v>
      </c>
      <c r="G1277">
        <v>85422</v>
      </c>
      <c r="H1277" s="1">
        <v>4</v>
      </c>
      <c r="I1277">
        <v>18</v>
      </c>
      <c r="J1277">
        <f>IF($H1277=0,1,IF($I1277&lt;=1,2,0))</f>
        <v>0</v>
      </c>
      <c r="K1277">
        <v>0</v>
      </c>
      <c r="L1277">
        <f>IF(AND($J1277=0,$K1277=0),0,1)</f>
        <v>0</v>
      </c>
    </row>
    <row r="1278" spans="1:12" x14ac:dyDescent="0.2">
      <c r="A1278" t="s">
        <v>477</v>
      </c>
      <c r="B1278" t="s">
        <v>241</v>
      </c>
      <c r="C1278" t="s">
        <v>7</v>
      </c>
      <c r="D1278">
        <v>1001</v>
      </c>
      <c r="E1278">
        <v>2019</v>
      </c>
      <c r="F1278">
        <v>24</v>
      </c>
      <c r="G1278">
        <v>85437</v>
      </c>
      <c r="H1278" s="1">
        <v>4</v>
      </c>
      <c r="I1278">
        <v>18</v>
      </c>
      <c r="J1278">
        <f>IF($H1278=0,1,IF($I1278&lt;=1,2,0))</f>
        <v>0</v>
      </c>
      <c r="K1278">
        <v>0</v>
      </c>
      <c r="L1278">
        <f>IF(AND($J1278=0,$K1278=0),0,1)</f>
        <v>0</v>
      </c>
    </row>
    <row r="1279" spans="1:12" x14ac:dyDescent="0.2">
      <c r="A1279" t="s">
        <v>477</v>
      </c>
      <c r="B1279" t="s">
        <v>241</v>
      </c>
      <c r="C1279" t="s">
        <v>7</v>
      </c>
      <c r="D1279">
        <v>1001</v>
      </c>
      <c r="E1279">
        <v>2019</v>
      </c>
      <c r="F1279">
        <v>29</v>
      </c>
      <c r="G1279">
        <v>85442</v>
      </c>
      <c r="H1279" s="1">
        <v>4</v>
      </c>
      <c r="I1279">
        <v>18</v>
      </c>
      <c r="J1279">
        <f>IF($H1279=0,1,IF($I1279&lt;=1,2,0))</f>
        <v>0</v>
      </c>
      <c r="K1279">
        <v>0</v>
      </c>
      <c r="L1279">
        <f>IF(AND($J1279=0,$K1279=0),0,1)</f>
        <v>0</v>
      </c>
    </row>
    <row r="1280" spans="1:12" x14ac:dyDescent="0.2">
      <c r="A1280" t="s">
        <v>477</v>
      </c>
      <c r="B1280" t="s">
        <v>241</v>
      </c>
      <c r="C1280" t="s">
        <v>7</v>
      </c>
      <c r="D1280">
        <v>1001</v>
      </c>
      <c r="E1280">
        <v>2019</v>
      </c>
      <c r="F1280">
        <v>2</v>
      </c>
      <c r="G1280">
        <v>85415</v>
      </c>
      <c r="H1280" s="1">
        <v>4</v>
      </c>
      <c r="I1280">
        <v>17</v>
      </c>
      <c r="J1280">
        <f>IF($H1280=0,1,IF($I1280&lt;=1,2,0))</f>
        <v>0</v>
      </c>
      <c r="K1280">
        <v>0</v>
      </c>
      <c r="L1280">
        <f>IF(AND($J1280=0,$K1280=0),0,1)</f>
        <v>0</v>
      </c>
    </row>
    <row r="1281" spans="1:12" x14ac:dyDescent="0.2">
      <c r="A1281" t="s">
        <v>477</v>
      </c>
      <c r="B1281" t="s">
        <v>241</v>
      </c>
      <c r="C1281" t="s">
        <v>7</v>
      </c>
      <c r="D1281">
        <v>1001</v>
      </c>
      <c r="E1281">
        <v>2019</v>
      </c>
      <c r="F1281">
        <v>54</v>
      </c>
      <c r="G1281">
        <v>85467</v>
      </c>
      <c r="H1281" s="1">
        <v>4</v>
      </c>
      <c r="I1281">
        <v>17</v>
      </c>
      <c r="J1281">
        <f>IF($H1281=0,1,IF($I1281&lt;=1,2,0))</f>
        <v>0</v>
      </c>
      <c r="K1281">
        <v>0</v>
      </c>
      <c r="L1281">
        <f>IF(AND($J1281=0,$K1281=0),0,1)</f>
        <v>0</v>
      </c>
    </row>
    <row r="1282" spans="1:12" x14ac:dyDescent="0.2">
      <c r="A1282" t="s">
        <v>477</v>
      </c>
      <c r="B1282" t="s">
        <v>241</v>
      </c>
      <c r="C1282" t="s">
        <v>7</v>
      </c>
      <c r="D1282">
        <v>1001</v>
      </c>
      <c r="E1282">
        <v>2019</v>
      </c>
      <c r="F1282">
        <v>45</v>
      </c>
      <c r="G1282">
        <v>85458</v>
      </c>
      <c r="H1282" s="1">
        <v>4</v>
      </c>
      <c r="I1282">
        <v>16</v>
      </c>
      <c r="J1282">
        <f>IF($H1282=0,1,IF($I1282&lt;=1,2,0))</f>
        <v>0</v>
      </c>
      <c r="K1282">
        <v>0</v>
      </c>
      <c r="L1282">
        <f>IF(AND($J1282=0,$K1282=0),0,1)</f>
        <v>0</v>
      </c>
    </row>
    <row r="1283" spans="1:12" x14ac:dyDescent="0.2">
      <c r="A1283" t="s">
        <v>477</v>
      </c>
      <c r="B1283" t="s">
        <v>241</v>
      </c>
      <c r="C1283" t="s">
        <v>153</v>
      </c>
      <c r="D1283">
        <v>1001</v>
      </c>
      <c r="E1283">
        <v>2019</v>
      </c>
      <c r="F1283">
        <v>59</v>
      </c>
      <c r="G1283">
        <v>85472</v>
      </c>
      <c r="H1283" s="1">
        <v>4</v>
      </c>
      <c r="I1283">
        <v>15</v>
      </c>
      <c r="J1283">
        <f>IF($H1283=0,1,IF($I1283&lt;=1,2,0))</f>
        <v>0</v>
      </c>
      <c r="K1283">
        <v>0</v>
      </c>
      <c r="L1283">
        <f>IF(AND($J1283=0,$K1283=0),0,1)</f>
        <v>0</v>
      </c>
    </row>
    <row r="1284" spans="1:12" x14ac:dyDescent="0.2">
      <c r="A1284" t="s">
        <v>477</v>
      </c>
      <c r="B1284" t="s">
        <v>241</v>
      </c>
      <c r="C1284" t="s">
        <v>7</v>
      </c>
      <c r="D1284">
        <v>1001</v>
      </c>
      <c r="E1284">
        <v>2019</v>
      </c>
      <c r="F1284">
        <v>51</v>
      </c>
      <c r="G1284">
        <v>85464</v>
      </c>
      <c r="H1284" s="1">
        <v>4</v>
      </c>
      <c r="I1284">
        <v>14</v>
      </c>
      <c r="J1284">
        <f>IF($H1284=0,1,IF($I1284&lt;=1,2,0))</f>
        <v>0</v>
      </c>
      <c r="K1284">
        <v>0</v>
      </c>
      <c r="L1284">
        <f>IF(AND($J1284=0,$K1284=0),0,1)</f>
        <v>0</v>
      </c>
    </row>
    <row r="1285" spans="1:12" x14ac:dyDescent="0.2">
      <c r="A1285" t="s">
        <v>477</v>
      </c>
      <c r="B1285" t="s">
        <v>241</v>
      </c>
      <c r="C1285" t="s">
        <v>153</v>
      </c>
      <c r="D1285">
        <v>1001</v>
      </c>
      <c r="E1285">
        <v>2019</v>
      </c>
      <c r="F1285">
        <v>58</v>
      </c>
      <c r="G1285">
        <v>85471</v>
      </c>
      <c r="H1285" s="1">
        <v>4</v>
      </c>
      <c r="I1285">
        <v>14</v>
      </c>
      <c r="J1285">
        <f>IF($H1285=0,1,IF($I1285&lt;=1,2,0))</f>
        <v>0</v>
      </c>
      <c r="K1285">
        <v>0</v>
      </c>
      <c r="L1285">
        <f>IF(AND($J1285=0,$K1285=0),0,1)</f>
        <v>0</v>
      </c>
    </row>
    <row r="1286" spans="1:12" x14ac:dyDescent="0.2">
      <c r="A1286" t="s">
        <v>477</v>
      </c>
      <c r="B1286" t="s">
        <v>241</v>
      </c>
      <c r="C1286" t="s">
        <v>153</v>
      </c>
      <c r="D1286">
        <v>1001</v>
      </c>
      <c r="E1286">
        <v>2019</v>
      </c>
      <c r="F1286">
        <v>60</v>
      </c>
      <c r="G1286">
        <v>85473</v>
      </c>
      <c r="H1286" s="1">
        <v>4</v>
      </c>
      <c r="I1286">
        <v>13</v>
      </c>
      <c r="J1286">
        <f>IF($H1286=0,1,IF($I1286&lt;=1,2,0))</f>
        <v>0</v>
      </c>
      <c r="K1286">
        <v>0</v>
      </c>
      <c r="L1286">
        <f>IF(AND($J1286=0,$K1286=0),0,1)</f>
        <v>0</v>
      </c>
    </row>
    <row r="1287" spans="1:12" x14ac:dyDescent="0.2">
      <c r="A1287" t="s">
        <v>477</v>
      </c>
      <c r="B1287" t="s">
        <v>241</v>
      </c>
      <c r="C1287" t="s">
        <v>7</v>
      </c>
      <c r="D1287">
        <v>1001</v>
      </c>
      <c r="E1287">
        <v>2019</v>
      </c>
      <c r="F1287">
        <v>62</v>
      </c>
      <c r="G1287">
        <v>85505</v>
      </c>
      <c r="H1287" s="1">
        <v>4</v>
      </c>
      <c r="I1287">
        <v>13</v>
      </c>
      <c r="J1287">
        <f>IF($H1287=0,1,IF($I1287&lt;=1,2,0))</f>
        <v>0</v>
      </c>
      <c r="K1287">
        <v>0</v>
      </c>
      <c r="L1287">
        <f>IF(AND($J1287=0,$K1287=0),0,1)</f>
        <v>0</v>
      </c>
    </row>
    <row r="1288" spans="1:12" x14ac:dyDescent="0.2">
      <c r="A1288" t="s">
        <v>477</v>
      </c>
      <c r="B1288" t="s">
        <v>241</v>
      </c>
      <c r="C1288" t="s">
        <v>7</v>
      </c>
      <c r="D1288">
        <v>1001</v>
      </c>
      <c r="E1288">
        <v>2019</v>
      </c>
      <c r="F1288">
        <v>53</v>
      </c>
      <c r="G1288">
        <v>85466</v>
      </c>
      <c r="H1288" s="1">
        <v>4</v>
      </c>
      <c r="I1288">
        <v>11</v>
      </c>
      <c r="J1288">
        <f>IF($H1288=0,1,IF($I1288&lt;=1,2,0))</f>
        <v>0</v>
      </c>
      <c r="K1288">
        <v>0</v>
      </c>
      <c r="L1288">
        <f>IF(AND($J1288=0,$K1288=0),0,1)</f>
        <v>0</v>
      </c>
    </row>
    <row r="1289" spans="1:12" x14ac:dyDescent="0.2">
      <c r="A1289" t="s">
        <v>477</v>
      </c>
      <c r="B1289" t="s">
        <v>241</v>
      </c>
      <c r="C1289" t="s">
        <v>7</v>
      </c>
      <c r="D1289">
        <v>1001</v>
      </c>
      <c r="E1289">
        <v>2019</v>
      </c>
      <c r="F1289">
        <v>56</v>
      </c>
      <c r="G1289">
        <v>85469</v>
      </c>
      <c r="H1289" s="1">
        <v>4</v>
      </c>
      <c r="I1289">
        <v>10</v>
      </c>
      <c r="J1289">
        <f>IF($H1289=0,1,IF($I1289&lt;=1,2,0))</f>
        <v>0</v>
      </c>
      <c r="K1289">
        <v>0</v>
      </c>
      <c r="L1289">
        <f>IF(AND($J1289=0,$K1289=0),0,1)</f>
        <v>0</v>
      </c>
    </row>
    <row r="1290" spans="1:12" x14ac:dyDescent="0.2">
      <c r="A1290" t="s">
        <v>477</v>
      </c>
      <c r="B1290" t="s">
        <v>241</v>
      </c>
      <c r="C1290" t="s">
        <v>9</v>
      </c>
      <c r="D1290">
        <v>1121</v>
      </c>
      <c r="E1290">
        <v>2019</v>
      </c>
      <c r="F1290">
        <v>7</v>
      </c>
      <c r="G1290">
        <v>10380</v>
      </c>
      <c r="H1290" s="1">
        <v>3</v>
      </c>
      <c r="I1290">
        <v>22</v>
      </c>
      <c r="J1290">
        <f>IF($H1290=0,1,IF($I1290&lt;=1,2,0))</f>
        <v>0</v>
      </c>
      <c r="K1290">
        <v>0</v>
      </c>
      <c r="L1290">
        <f>IF(AND($J1290=0,$K1290=0),0,1)</f>
        <v>0</v>
      </c>
    </row>
    <row r="1291" spans="1:12" x14ac:dyDescent="0.2">
      <c r="A1291" t="s">
        <v>477</v>
      </c>
      <c r="B1291" t="s">
        <v>241</v>
      </c>
      <c r="C1291" t="s">
        <v>9</v>
      </c>
      <c r="D1291">
        <v>1121</v>
      </c>
      <c r="E1291">
        <v>2019</v>
      </c>
      <c r="F1291">
        <v>8</v>
      </c>
      <c r="G1291">
        <v>10381</v>
      </c>
      <c r="H1291" s="1">
        <v>3</v>
      </c>
      <c r="I1291">
        <v>22</v>
      </c>
      <c r="J1291">
        <f>IF($H1291=0,1,IF($I1291&lt;=1,2,0))</f>
        <v>0</v>
      </c>
      <c r="K1291">
        <v>0</v>
      </c>
      <c r="L1291">
        <f>IF(AND($J1291=0,$K1291=0),0,1)</f>
        <v>0</v>
      </c>
    </row>
    <row r="1292" spans="1:12" x14ac:dyDescent="0.2">
      <c r="A1292" t="s">
        <v>477</v>
      </c>
      <c r="B1292" t="s">
        <v>241</v>
      </c>
      <c r="C1292" t="s">
        <v>9</v>
      </c>
      <c r="D1292">
        <v>1121</v>
      </c>
      <c r="E1292">
        <v>2019</v>
      </c>
      <c r="F1292">
        <v>9</v>
      </c>
      <c r="G1292">
        <v>10382</v>
      </c>
      <c r="H1292" s="1">
        <v>3</v>
      </c>
      <c r="I1292">
        <v>22</v>
      </c>
      <c r="J1292">
        <f>IF($H1292=0,1,IF($I1292&lt;=1,2,0))</f>
        <v>0</v>
      </c>
      <c r="K1292">
        <v>0</v>
      </c>
      <c r="L1292">
        <f>IF(AND($J1292=0,$K1292=0),0,1)</f>
        <v>0</v>
      </c>
    </row>
    <row r="1293" spans="1:12" x14ac:dyDescent="0.2">
      <c r="A1293" t="s">
        <v>477</v>
      </c>
      <c r="B1293" t="s">
        <v>241</v>
      </c>
      <c r="C1293" t="s">
        <v>9</v>
      </c>
      <c r="D1293">
        <v>1121</v>
      </c>
      <c r="E1293">
        <v>2019</v>
      </c>
      <c r="F1293">
        <v>12</v>
      </c>
      <c r="G1293">
        <v>10385</v>
      </c>
      <c r="H1293" s="1">
        <v>3</v>
      </c>
      <c r="I1293">
        <v>22</v>
      </c>
      <c r="J1293">
        <f>IF($H1293=0,1,IF($I1293&lt;=1,2,0))</f>
        <v>0</v>
      </c>
      <c r="K1293">
        <v>0</v>
      </c>
      <c r="L1293">
        <f>IF(AND($J1293=0,$K1293=0),0,1)</f>
        <v>0</v>
      </c>
    </row>
    <row r="1294" spans="1:12" x14ac:dyDescent="0.2">
      <c r="A1294" t="s">
        <v>477</v>
      </c>
      <c r="B1294" t="s">
        <v>241</v>
      </c>
      <c r="C1294" t="s">
        <v>9</v>
      </c>
      <c r="D1294">
        <v>1121</v>
      </c>
      <c r="E1294">
        <v>2019</v>
      </c>
      <c r="F1294">
        <v>17</v>
      </c>
      <c r="G1294">
        <v>10405</v>
      </c>
      <c r="H1294" s="1">
        <v>3</v>
      </c>
      <c r="I1294">
        <v>22</v>
      </c>
      <c r="J1294">
        <f>IF($H1294=0,1,IF($I1294&lt;=1,2,0))</f>
        <v>0</v>
      </c>
      <c r="K1294">
        <v>0</v>
      </c>
      <c r="L1294">
        <f>IF(AND($J1294=0,$K1294=0),0,1)</f>
        <v>0</v>
      </c>
    </row>
    <row r="1295" spans="1:12" x14ac:dyDescent="0.2">
      <c r="A1295" t="s">
        <v>477</v>
      </c>
      <c r="B1295" t="s">
        <v>241</v>
      </c>
      <c r="C1295" t="s">
        <v>9</v>
      </c>
      <c r="D1295">
        <v>1121</v>
      </c>
      <c r="E1295">
        <v>2019</v>
      </c>
      <c r="F1295">
        <v>18</v>
      </c>
      <c r="G1295">
        <v>10406</v>
      </c>
      <c r="H1295" s="1">
        <v>3</v>
      </c>
      <c r="I1295">
        <v>22</v>
      </c>
      <c r="J1295">
        <f>IF($H1295=0,1,IF($I1295&lt;=1,2,0))</f>
        <v>0</v>
      </c>
      <c r="K1295">
        <v>0</v>
      </c>
      <c r="L1295">
        <f>IF(AND($J1295=0,$K1295=0),0,1)</f>
        <v>0</v>
      </c>
    </row>
    <row r="1296" spans="1:12" x14ac:dyDescent="0.2">
      <c r="A1296" t="s">
        <v>477</v>
      </c>
      <c r="B1296" t="s">
        <v>241</v>
      </c>
      <c r="C1296" t="s">
        <v>9</v>
      </c>
      <c r="D1296">
        <v>1121</v>
      </c>
      <c r="E1296">
        <v>2019</v>
      </c>
      <c r="F1296">
        <v>19</v>
      </c>
      <c r="G1296">
        <v>10580</v>
      </c>
      <c r="H1296" s="1">
        <v>3</v>
      </c>
      <c r="I1296">
        <v>22</v>
      </c>
      <c r="J1296">
        <f>IF($H1296=0,1,IF($I1296&lt;=1,2,0))</f>
        <v>0</v>
      </c>
      <c r="K1296">
        <v>0</v>
      </c>
      <c r="L1296">
        <f>IF(AND($J1296=0,$K1296=0),0,1)</f>
        <v>0</v>
      </c>
    </row>
    <row r="1297" spans="1:12" x14ac:dyDescent="0.2">
      <c r="A1297" t="s">
        <v>477</v>
      </c>
      <c r="B1297" t="s">
        <v>241</v>
      </c>
      <c r="C1297" t="s">
        <v>9</v>
      </c>
      <c r="D1297">
        <v>1121</v>
      </c>
      <c r="E1297">
        <v>2019</v>
      </c>
      <c r="F1297">
        <v>20</v>
      </c>
      <c r="G1297">
        <v>10408</v>
      </c>
      <c r="H1297" s="1">
        <v>3</v>
      </c>
      <c r="I1297">
        <v>22</v>
      </c>
      <c r="J1297">
        <f>IF($H1297=0,1,IF($I1297&lt;=1,2,0))</f>
        <v>0</v>
      </c>
      <c r="K1297">
        <v>0</v>
      </c>
      <c r="L1297">
        <f>IF(AND($J1297=0,$K1297=0),0,1)</f>
        <v>0</v>
      </c>
    </row>
    <row r="1298" spans="1:12" x14ac:dyDescent="0.2">
      <c r="A1298" t="s">
        <v>477</v>
      </c>
      <c r="B1298" t="s">
        <v>241</v>
      </c>
      <c r="C1298" t="s">
        <v>9</v>
      </c>
      <c r="D1298">
        <v>1121</v>
      </c>
      <c r="E1298">
        <v>2019</v>
      </c>
      <c r="F1298">
        <v>21</v>
      </c>
      <c r="G1298">
        <v>10409</v>
      </c>
      <c r="H1298" s="1">
        <v>3</v>
      </c>
      <c r="I1298">
        <v>22</v>
      </c>
      <c r="J1298">
        <f>IF($H1298=0,1,IF($I1298&lt;=1,2,0))</f>
        <v>0</v>
      </c>
      <c r="K1298">
        <v>0</v>
      </c>
      <c r="L1298">
        <f>IF(AND($J1298=0,$K1298=0),0,1)</f>
        <v>0</v>
      </c>
    </row>
    <row r="1299" spans="1:12" x14ac:dyDescent="0.2">
      <c r="A1299" t="s">
        <v>477</v>
      </c>
      <c r="B1299" t="s">
        <v>241</v>
      </c>
      <c r="C1299" t="s">
        <v>9</v>
      </c>
      <c r="D1299">
        <v>1121</v>
      </c>
      <c r="E1299">
        <v>2019</v>
      </c>
      <c r="F1299">
        <v>22</v>
      </c>
      <c r="G1299">
        <v>10410</v>
      </c>
      <c r="H1299" s="1">
        <v>3</v>
      </c>
      <c r="I1299">
        <v>22</v>
      </c>
      <c r="J1299">
        <f>IF($H1299=0,1,IF($I1299&lt;=1,2,0))</f>
        <v>0</v>
      </c>
      <c r="K1299">
        <v>0</v>
      </c>
      <c r="L1299">
        <f>IF(AND($J1299=0,$K1299=0),0,1)</f>
        <v>0</v>
      </c>
    </row>
    <row r="1300" spans="1:12" x14ac:dyDescent="0.2">
      <c r="A1300" t="s">
        <v>477</v>
      </c>
      <c r="B1300" t="s">
        <v>241</v>
      </c>
      <c r="C1300" t="s">
        <v>9</v>
      </c>
      <c r="D1300">
        <v>1121</v>
      </c>
      <c r="E1300">
        <v>2019</v>
      </c>
      <c r="F1300">
        <v>32</v>
      </c>
      <c r="G1300">
        <v>16194</v>
      </c>
      <c r="H1300" s="1">
        <v>3</v>
      </c>
      <c r="I1300">
        <v>22</v>
      </c>
      <c r="J1300">
        <f>IF($H1300=0,1,IF($I1300&lt;=1,2,0))</f>
        <v>0</v>
      </c>
      <c r="K1300">
        <v>0</v>
      </c>
      <c r="L1300">
        <f>IF(AND($J1300=0,$K1300=0),0,1)</f>
        <v>0</v>
      </c>
    </row>
    <row r="1301" spans="1:12" x14ac:dyDescent="0.2">
      <c r="A1301" t="s">
        <v>477</v>
      </c>
      <c r="B1301" t="s">
        <v>241</v>
      </c>
      <c r="C1301" t="s">
        <v>9</v>
      </c>
      <c r="D1301">
        <v>1121</v>
      </c>
      <c r="E1301">
        <v>2019</v>
      </c>
      <c r="F1301">
        <v>33</v>
      </c>
      <c r="G1301">
        <v>16195</v>
      </c>
      <c r="H1301" s="1">
        <v>3</v>
      </c>
      <c r="I1301">
        <v>22</v>
      </c>
      <c r="J1301">
        <f>IF($H1301=0,1,IF($I1301&lt;=1,2,0))</f>
        <v>0</v>
      </c>
      <c r="K1301">
        <v>0</v>
      </c>
      <c r="L1301">
        <f>IF(AND($J1301=0,$K1301=0),0,1)</f>
        <v>0</v>
      </c>
    </row>
    <row r="1302" spans="1:12" x14ac:dyDescent="0.2">
      <c r="A1302" t="s">
        <v>477</v>
      </c>
      <c r="B1302" t="s">
        <v>241</v>
      </c>
      <c r="C1302" t="s">
        <v>9</v>
      </c>
      <c r="D1302">
        <v>1121</v>
      </c>
      <c r="E1302">
        <v>2019</v>
      </c>
      <c r="F1302">
        <v>35</v>
      </c>
      <c r="G1302">
        <v>16197</v>
      </c>
      <c r="H1302" s="1">
        <v>3</v>
      </c>
      <c r="I1302">
        <v>22</v>
      </c>
      <c r="J1302">
        <f>IF($H1302=0,1,IF($I1302&lt;=1,2,0))</f>
        <v>0</v>
      </c>
      <c r="K1302">
        <v>0</v>
      </c>
      <c r="L1302">
        <f>IF(AND($J1302=0,$K1302=0),0,1)</f>
        <v>0</v>
      </c>
    </row>
    <row r="1303" spans="1:12" x14ac:dyDescent="0.2">
      <c r="A1303" t="s">
        <v>477</v>
      </c>
      <c r="B1303" t="s">
        <v>241</v>
      </c>
      <c r="C1303" t="s">
        <v>9</v>
      </c>
      <c r="D1303">
        <v>1121</v>
      </c>
      <c r="E1303">
        <v>2019</v>
      </c>
      <c r="F1303">
        <v>37</v>
      </c>
      <c r="G1303">
        <v>16199</v>
      </c>
      <c r="H1303" s="1">
        <v>3</v>
      </c>
      <c r="I1303">
        <v>22</v>
      </c>
      <c r="J1303">
        <f>IF($H1303=0,1,IF($I1303&lt;=1,2,0))</f>
        <v>0</v>
      </c>
      <c r="K1303">
        <v>0</v>
      </c>
      <c r="L1303">
        <f>IF(AND($J1303=0,$K1303=0),0,1)</f>
        <v>0</v>
      </c>
    </row>
    <row r="1304" spans="1:12" x14ac:dyDescent="0.2">
      <c r="A1304" t="s">
        <v>477</v>
      </c>
      <c r="B1304" t="s">
        <v>241</v>
      </c>
      <c r="C1304" t="s">
        <v>9</v>
      </c>
      <c r="D1304">
        <v>1121</v>
      </c>
      <c r="E1304">
        <v>2019</v>
      </c>
      <c r="F1304">
        <v>2</v>
      </c>
      <c r="G1304">
        <v>10374</v>
      </c>
      <c r="H1304" s="1">
        <v>3</v>
      </c>
      <c r="I1304">
        <v>21</v>
      </c>
      <c r="J1304">
        <f>IF($H1304=0,1,IF($I1304&lt;=1,2,0))</f>
        <v>0</v>
      </c>
      <c r="K1304">
        <v>0</v>
      </c>
      <c r="L1304">
        <f>IF(AND($J1304=0,$K1304=0),0,1)</f>
        <v>0</v>
      </c>
    </row>
    <row r="1305" spans="1:12" x14ac:dyDescent="0.2">
      <c r="A1305" t="s">
        <v>477</v>
      </c>
      <c r="B1305" t="s">
        <v>241</v>
      </c>
      <c r="C1305" t="s">
        <v>9</v>
      </c>
      <c r="D1305">
        <v>1121</v>
      </c>
      <c r="E1305">
        <v>2019</v>
      </c>
      <c r="F1305">
        <v>5</v>
      </c>
      <c r="G1305">
        <v>10378</v>
      </c>
      <c r="H1305" s="1">
        <v>3</v>
      </c>
      <c r="I1305">
        <v>21</v>
      </c>
      <c r="J1305">
        <f>IF($H1305=0,1,IF($I1305&lt;=1,2,0))</f>
        <v>0</v>
      </c>
      <c r="K1305">
        <v>0</v>
      </c>
      <c r="L1305">
        <f>IF(AND($J1305=0,$K1305=0),0,1)</f>
        <v>0</v>
      </c>
    </row>
    <row r="1306" spans="1:12" x14ac:dyDescent="0.2">
      <c r="A1306" t="s">
        <v>477</v>
      </c>
      <c r="B1306" t="s">
        <v>241</v>
      </c>
      <c r="C1306" t="s">
        <v>9</v>
      </c>
      <c r="D1306">
        <v>1121</v>
      </c>
      <c r="E1306">
        <v>2019</v>
      </c>
      <c r="F1306">
        <v>10</v>
      </c>
      <c r="G1306">
        <v>10383</v>
      </c>
      <c r="H1306" s="1">
        <v>3</v>
      </c>
      <c r="I1306">
        <v>21</v>
      </c>
      <c r="J1306">
        <f>IF($H1306=0,1,IF($I1306&lt;=1,2,0))</f>
        <v>0</v>
      </c>
      <c r="K1306">
        <v>0</v>
      </c>
      <c r="L1306">
        <f>IF(AND($J1306=0,$K1306=0),0,1)</f>
        <v>0</v>
      </c>
    </row>
    <row r="1307" spans="1:12" x14ac:dyDescent="0.2">
      <c r="A1307" t="s">
        <v>477</v>
      </c>
      <c r="B1307" t="s">
        <v>241</v>
      </c>
      <c r="C1307" t="s">
        <v>9</v>
      </c>
      <c r="D1307">
        <v>1121</v>
      </c>
      <c r="E1307">
        <v>2019</v>
      </c>
      <c r="F1307">
        <v>11</v>
      </c>
      <c r="G1307">
        <v>10384</v>
      </c>
      <c r="H1307" s="1">
        <v>3</v>
      </c>
      <c r="I1307">
        <v>21</v>
      </c>
      <c r="J1307">
        <f>IF($H1307=0,1,IF($I1307&lt;=1,2,0))</f>
        <v>0</v>
      </c>
      <c r="K1307">
        <v>0</v>
      </c>
      <c r="L1307">
        <f>IF(AND($J1307=0,$K1307=0),0,1)</f>
        <v>0</v>
      </c>
    </row>
    <row r="1308" spans="1:12" x14ac:dyDescent="0.2">
      <c r="A1308" t="s">
        <v>477</v>
      </c>
      <c r="B1308" t="s">
        <v>241</v>
      </c>
      <c r="C1308" t="s">
        <v>9</v>
      </c>
      <c r="D1308">
        <v>1121</v>
      </c>
      <c r="E1308">
        <v>2019</v>
      </c>
      <c r="F1308">
        <v>14</v>
      </c>
      <c r="G1308">
        <v>10387</v>
      </c>
      <c r="H1308" s="1">
        <v>3</v>
      </c>
      <c r="I1308">
        <v>21</v>
      </c>
      <c r="J1308">
        <f>IF($H1308=0,1,IF($I1308&lt;=1,2,0))</f>
        <v>0</v>
      </c>
      <c r="K1308">
        <v>0</v>
      </c>
      <c r="L1308">
        <f>IF(AND($J1308=0,$K1308=0),0,1)</f>
        <v>0</v>
      </c>
    </row>
    <row r="1309" spans="1:12" x14ac:dyDescent="0.2">
      <c r="A1309" t="s">
        <v>477</v>
      </c>
      <c r="B1309" t="s">
        <v>241</v>
      </c>
      <c r="C1309" t="s">
        <v>9</v>
      </c>
      <c r="D1309">
        <v>1121</v>
      </c>
      <c r="E1309">
        <v>2019</v>
      </c>
      <c r="F1309">
        <v>15</v>
      </c>
      <c r="G1309">
        <v>10388</v>
      </c>
      <c r="H1309" s="1">
        <v>3</v>
      </c>
      <c r="I1309">
        <v>21</v>
      </c>
      <c r="J1309">
        <f>IF($H1309=0,1,IF($I1309&lt;=1,2,0))</f>
        <v>0</v>
      </c>
      <c r="K1309">
        <v>0</v>
      </c>
      <c r="L1309">
        <f>IF(AND($J1309=0,$K1309=0),0,1)</f>
        <v>0</v>
      </c>
    </row>
    <row r="1310" spans="1:12" x14ac:dyDescent="0.2">
      <c r="A1310" t="s">
        <v>477</v>
      </c>
      <c r="B1310" t="s">
        <v>241</v>
      </c>
      <c r="C1310" t="s">
        <v>9</v>
      </c>
      <c r="D1310">
        <v>1121</v>
      </c>
      <c r="E1310">
        <v>2019</v>
      </c>
      <c r="F1310">
        <v>16</v>
      </c>
      <c r="G1310">
        <v>10404</v>
      </c>
      <c r="H1310" s="1">
        <v>3</v>
      </c>
      <c r="I1310">
        <v>21</v>
      </c>
      <c r="J1310">
        <f>IF($H1310=0,1,IF($I1310&lt;=1,2,0))</f>
        <v>0</v>
      </c>
      <c r="K1310">
        <v>0</v>
      </c>
      <c r="L1310">
        <f>IF(AND($J1310=0,$K1310=0),0,1)</f>
        <v>0</v>
      </c>
    </row>
    <row r="1311" spans="1:12" x14ac:dyDescent="0.2">
      <c r="A1311" t="s">
        <v>477</v>
      </c>
      <c r="B1311" t="s">
        <v>241</v>
      </c>
      <c r="C1311" t="s">
        <v>9</v>
      </c>
      <c r="D1311">
        <v>1121</v>
      </c>
      <c r="E1311">
        <v>2019</v>
      </c>
      <c r="F1311">
        <v>23</v>
      </c>
      <c r="G1311">
        <v>10411</v>
      </c>
      <c r="H1311" s="1">
        <v>3</v>
      </c>
      <c r="I1311">
        <v>21</v>
      </c>
      <c r="J1311">
        <f>IF($H1311=0,1,IF($I1311&lt;=1,2,0))</f>
        <v>0</v>
      </c>
      <c r="K1311">
        <v>0</v>
      </c>
      <c r="L1311">
        <f>IF(AND($J1311=0,$K1311=0),0,1)</f>
        <v>0</v>
      </c>
    </row>
    <row r="1312" spans="1:12" x14ac:dyDescent="0.2">
      <c r="A1312" t="s">
        <v>477</v>
      </c>
      <c r="B1312" t="s">
        <v>241</v>
      </c>
      <c r="C1312" t="s">
        <v>9</v>
      </c>
      <c r="D1312">
        <v>1121</v>
      </c>
      <c r="E1312">
        <v>2019</v>
      </c>
      <c r="F1312">
        <v>26</v>
      </c>
      <c r="G1312">
        <v>10414</v>
      </c>
      <c r="H1312" s="1">
        <v>3</v>
      </c>
      <c r="I1312">
        <v>21</v>
      </c>
      <c r="J1312">
        <f>IF($H1312=0,1,IF($I1312&lt;=1,2,0))</f>
        <v>0</v>
      </c>
      <c r="K1312">
        <v>0</v>
      </c>
      <c r="L1312">
        <f>IF(AND($J1312=0,$K1312=0),0,1)</f>
        <v>0</v>
      </c>
    </row>
    <row r="1313" spans="1:12" x14ac:dyDescent="0.2">
      <c r="A1313" t="s">
        <v>477</v>
      </c>
      <c r="B1313" t="s">
        <v>241</v>
      </c>
      <c r="C1313" t="s">
        <v>9</v>
      </c>
      <c r="D1313">
        <v>1121</v>
      </c>
      <c r="E1313">
        <v>2019</v>
      </c>
      <c r="F1313">
        <v>39</v>
      </c>
      <c r="G1313">
        <v>16193</v>
      </c>
      <c r="H1313" s="1">
        <v>3</v>
      </c>
      <c r="I1313">
        <v>21</v>
      </c>
      <c r="J1313">
        <f>IF($H1313=0,1,IF($I1313&lt;=1,2,0))</f>
        <v>0</v>
      </c>
      <c r="K1313">
        <v>0</v>
      </c>
      <c r="L1313">
        <f>IF(AND($J1313=0,$K1313=0),0,1)</f>
        <v>0</v>
      </c>
    </row>
    <row r="1314" spans="1:12" x14ac:dyDescent="0.2">
      <c r="A1314" t="s">
        <v>477</v>
      </c>
      <c r="B1314" t="s">
        <v>241</v>
      </c>
      <c r="C1314" t="s">
        <v>9</v>
      </c>
      <c r="D1314">
        <v>1121</v>
      </c>
      <c r="E1314">
        <v>2019</v>
      </c>
      <c r="F1314">
        <v>40</v>
      </c>
      <c r="G1314">
        <v>16215</v>
      </c>
      <c r="H1314" s="1">
        <v>3</v>
      </c>
      <c r="I1314">
        <v>21</v>
      </c>
      <c r="J1314">
        <f>IF($H1314=0,1,IF($I1314&lt;=1,2,0))</f>
        <v>0</v>
      </c>
      <c r="K1314">
        <v>0</v>
      </c>
      <c r="L1314">
        <f>IF(AND($J1314=0,$K1314=0),0,1)</f>
        <v>0</v>
      </c>
    </row>
    <row r="1315" spans="1:12" x14ac:dyDescent="0.2">
      <c r="A1315" t="s">
        <v>477</v>
      </c>
      <c r="B1315" t="s">
        <v>241</v>
      </c>
      <c r="C1315" t="s">
        <v>9</v>
      </c>
      <c r="D1315">
        <v>1121</v>
      </c>
      <c r="E1315">
        <v>2019</v>
      </c>
      <c r="F1315">
        <v>1</v>
      </c>
      <c r="G1315">
        <v>10578</v>
      </c>
      <c r="H1315" s="1">
        <v>3</v>
      </c>
      <c r="I1315">
        <v>20</v>
      </c>
      <c r="J1315">
        <f>IF($H1315=0,1,IF($I1315&lt;=1,2,0))</f>
        <v>0</v>
      </c>
      <c r="K1315">
        <v>0</v>
      </c>
      <c r="L1315">
        <f>IF(AND($J1315=0,$K1315=0),0,1)</f>
        <v>0</v>
      </c>
    </row>
    <row r="1316" spans="1:12" x14ac:dyDescent="0.2">
      <c r="A1316" t="s">
        <v>477</v>
      </c>
      <c r="B1316" t="s">
        <v>241</v>
      </c>
      <c r="C1316" t="s">
        <v>9</v>
      </c>
      <c r="D1316">
        <v>1121</v>
      </c>
      <c r="E1316">
        <v>2019</v>
      </c>
      <c r="F1316">
        <v>4</v>
      </c>
      <c r="G1316">
        <v>10579</v>
      </c>
      <c r="H1316" s="1">
        <v>3</v>
      </c>
      <c r="I1316">
        <v>20</v>
      </c>
      <c r="J1316">
        <f>IF($H1316=0,1,IF($I1316&lt;=1,2,0))</f>
        <v>0</v>
      </c>
      <c r="K1316">
        <v>0</v>
      </c>
      <c r="L1316">
        <f>IF(AND($J1316=0,$K1316=0),0,1)</f>
        <v>0</v>
      </c>
    </row>
    <row r="1317" spans="1:12" x14ac:dyDescent="0.2">
      <c r="A1317" t="s">
        <v>477</v>
      </c>
      <c r="B1317" t="s">
        <v>241</v>
      </c>
      <c r="C1317" t="s">
        <v>9</v>
      </c>
      <c r="D1317">
        <v>1121</v>
      </c>
      <c r="E1317">
        <v>2019</v>
      </c>
      <c r="F1317">
        <v>6</v>
      </c>
      <c r="G1317">
        <v>10379</v>
      </c>
      <c r="H1317" s="1">
        <v>3</v>
      </c>
      <c r="I1317">
        <v>20</v>
      </c>
      <c r="J1317">
        <f>IF($H1317=0,1,IF($I1317&lt;=1,2,0))</f>
        <v>0</v>
      </c>
      <c r="K1317">
        <v>0</v>
      </c>
      <c r="L1317">
        <f>IF(AND($J1317=0,$K1317=0),0,1)</f>
        <v>0</v>
      </c>
    </row>
    <row r="1318" spans="1:12" x14ac:dyDescent="0.2">
      <c r="A1318" t="s">
        <v>477</v>
      </c>
      <c r="B1318" t="s">
        <v>241</v>
      </c>
      <c r="C1318" t="s">
        <v>9</v>
      </c>
      <c r="D1318">
        <v>1121</v>
      </c>
      <c r="E1318">
        <v>2019</v>
      </c>
      <c r="F1318">
        <v>27</v>
      </c>
      <c r="G1318">
        <v>10415</v>
      </c>
      <c r="H1318" s="1">
        <v>3</v>
      </c>
      <c r="I1318">
        <v>20</v>
      </c>
      <c r="J1318">
        <f>IF($H1318=0,1,IF($I1318&lt;=1,2,0))</f>
        <v>0</v>
      </c>
      <c r="K1318">
        <v>0</v>
      </c>
      <c r="L1318">
        <f>IF(AND($J1318=0,$K1318=0),0,1)</f>
        <v>0</v>
      </c>
    </row>
    <row r="1319" spans="1:12" x14ac:dyDescent="0.2">
      <c r="A1319" t="s">
        <v>477</v>
      </c>
      <c r="B1319" t="s">
        <v>241</v>
      </c>
      <c r="C1319" t="s">
        <v>9</v>
      </c>
      <c r="D1319">
        <v>1121</v>
      </c>
      <c r="E1319">
        <v>2019</v>
      </c>
      <c r="F1319">
        <v>3</v>
      </c>
      <c r="G1319">
        <v>10376</v>
      </c>
      <c r="H1319" s="1">
        <v>3</v>
      </c>
      <c r="I1319">
        <v>19</v>
      </c>
      <c r="J1319">
        <f>IF($H1319=0,1,IF($I1319&lt;=1,2,0))</f>
        <v>0</v>
      </c>
      <c r="K1319">
        <v>0</v>
      </c>
      <c r="L1319">
        <f>IF(AND($J1319=0,$K1319=0),0,1)</f>
        <v>0</v>
      </c>
    </row>
    <row r="1320" spans="1:12" x14ac:dyDescent="0.2">
      <c r="A1320" t="s">
        <v>477</v>
      </c>
      <c r="B1320" t="s">
        <v>241</v>
      </c>
      <c r="C1320" t="s">
        <v>9</v>
      </c>
      <c r="D1320">
        <v>1121</v>
      </c>
      <c r="E1320">
        <v>2019</v>
      </c>
      <c r="F1320">
        <v>13</v>
      </c>
      <c r="G1320">
        <v>10386</v>
      </c>
      <c r="H1320" s="1">
        <v>3</v>
      </c>
      <c r="I1320">
        <v>19</v>
      </c>
      <c r="J1320">
        <f>IF($H1320=0,1,IF($I1320&lt;=1,2,0))</f>
        <v>0</v>
      </c>
      <c r="K1320">
        <v>0</v>
      </c>
      <c r="L1320">
        <f>IF(AND($J1320=0,$K1320=0),0,1)</f>
        <v>0</v>
      </c>
    </row>
    <row r="1321" spans="1:12" x14ac:dyDescent="0.2">
      <c r="A1321" t="s">
        <v>477</v>
      </c>
      <c r="B1321" t="s">
        <v>241</v>
      </c>
      <c r="C1321" t="s">
        <v>9</v>
      </c>
      <c r="D1321">
        <v>1121</v>
      </c>
      <c r="E1321">
        <v>2019</v>
      </c>
      <c r="F1321">
        <v>24</v>
      </c>
      <c r="G1321">
        <v>10412</v>
      </c>
      <c r="H1321" s="1">
        <v>3</v>
      </c>
      <c r="I1321">
        <v>19</v>
      </c>
      <c r="J1321">
        <f>IF($H1321=0,1,IF($I1321&lt;=1,2,0))</f>
        <v>0</v>
      </c>
      <c r="K1321">
        <v>0</v>
      </c>
      <c r="L1321">
        <f>IF(AND($J1321=0,$K1321=0),0,1)</f>
        <v>0</v>
      </c>
    </row>
    <row r="1322" spans="1:12" x14ac:dyDescent="0.2">
      <c r="A1322" t="s">
        <v>477</v>
      </c>
      <c r="B1322" t="s">
        <v>241</v>
      </c>
      <c r="C1322" t="s">
        <v>9</v>
      </c>
      <c r="D1322">
        <v>1121</v>
      </c>
      <c r="E1322">
        <v>2019</v>
      </c>
      <c r="F1322">
        <v>28</v>
      </c>
      <c r="G1322">
        <v>10416</v>
      </c>
      <c r="H1322" s="1">
        <v>3</v>
      </c>
      <c r="I1322">
        <v>18</v>
      </c>
      <c r="J1322">
        <f>IF($H1322=0,1,IF($I1322&lt;=1,2,0))</f>
        <v>0</v>
      </c>
      <c r="K1322">
        <v>0</v>
      </c>
      <c r="L1322">
        <f>IF(AND($J1322=0,$K1322=0),0,1)</f>
        <v>0</v>
      </c>
    </row>
    <row r="1323" spans="1:12" x14ac:dyDescent="0.2">
      <c r="A1323" t="s">
        <v>477</v>
      </c>
      <c r="B1323" t="s">
        <v>241</v>
      </c>
      <c r="C1323" t="s">
        <v>9</v>
      </c>
      <c r="D1323">
        <v>1121</v>
      </c>
      <c r="E1323">
        <v>2019</v>
      </c>
      <c r="F1323">
        <v>29</v>
      </c>
      <c r="G1323">
        <v>10417</v>
      </c>
      <c r="H1323" s="1">
        <v>3</v>
      </c>
      <c r="I1323">
        <v>18</v>
      </c>
      <c r="J1323">
        <f>IF($H1323=0,1,IF($I1323&lt;=1,2,0))</f>
        <v>0</v>
      </c>
      <c r="K1323">
        <v>0</v>
      </c>
      <c r="L1323">
        <f>IF(AND($J1323=0,$K1323=0),0,1)</f>
        <v>0</v>
      </c>
    </row>
    <row r="1324" spans="1:12" x14ac:dyDescent="0.2">
      <c r="A1324" t="s">
        <v>477</v>
      </c>
      <c r="B1324" t="s">
        <v>241</v>
      </c>
      <c r="C1324" t="s">
        <v>9</v>
      </c>
      <c r="D1324">
        <v>1121</v>
      </c>
      <c r="E1324">
        <v>2019</v>
      </c>
      <c r="F1324">
        <v>25</v>
      </c>
      <c r="G1324">
        <v>10413</v>
      </c>
      <c r="H1324" s="1">
        <v>3</v>
      </c>
      <c r="I1324">
        <v>17</v>
      </c>
      <c r="J1324">
        <f>IF($H1324=0,1,IF($I1324&lt;=1,2,0))</f>
        <v>0</v>
      </c>
      <c r="K1324">
        <v>0</v>
      </c>
      <c r="L1324">
        <f>IF(AND($J1324=0,$K1324=0),0,1)</f>
        <v>0</v>
      </c>
    </row>
    <row r="1325" spans="1:12" x14ac:dyDescent="0.2">
      <c r="A1325" t="s">
        <v>477</v>
      </c>
      <c r="B1325" t="s">
        <v>241</v>
      </c>
      <c r="C1325" t="s">
        <v>9</v>
      </c>
      <c r="D1325">
        <v>1121</v>
      </c>
      <c r="E1325">
        <v>2019</v>
      </c>
      <c r="F1325">
        <v>38</v>
      </c>
      <c r="G1325">
        <v>16200</v>
      </c>
      <c r="H1325" s="1">
        <v>3</v>
      </c>
      <c r="I1325">
        <v>16</v>
      </c>
      <c r="J1325">
        <f>IF($H1325=0,1,IF($I1325&lt;=1,2,0))</f>
        <v>0</v>
      </c>
      <c r="K1325">
        <v>0</v>
      </c>
      <c r="L1325">
        <f>IF(AND($J1325=0,$K1325=0),0,1)</f>
        <v>0</v>
      </c>
    </row>
    <row r="1326" spans="1:12" x14ac:dyDescent="0.2">
      <c r="A1326" t="s">
        <v>477</v>
      </c>
      <c r="B1326" t="s">
        <v>241</v>
      </c>
      <c r="C1326" t="s">
        <v>9</v>
      </c>
      <c r="D1326">
        <v>1121</v>
      </c>
      <c r="E1326">
        <v>2019</v>
      </c>
      <c r="F1326">
        <v>31</v>
      </c>
      <c r="G1326">
        <v>16192</v>
      </c>
      <c r="H1326" s="1">
        <v>3</v>
      </c>
      <c r="I1326">
        <v>14</v>
      </c>
      <c r="J1326">
        <f>IF($H1326=0,1,IF($I1326&lt;=1,2,0))</f>
        <v>0</v>
      </c>
      <c r="K1326">
        <v>0</v>
      </c>
      <c r="L1326">
        <f>IF(AND($J1326=0,$K1326=0),0,1)</f>
        <v>0</v>
      </c>
    </row>
    <row r="1327" spans="1:12" x14ac:dyDescent="0.2">
      <c r="A1327" t="s">
        <v>477</v>
      </c>
      <c r="B1327" t="s">
        <v>241</v>
      </c>
      <c r="C1327" t="s">
        <v>9</v>
      </c>
      <c r="D1327">
        <v>1123</v>
      </c>
      <c r="E1327">
        <v>2019</v>
      </c>
      <c r="F1327">
        <v>1</v>
      </c>
      <c r="G1327">
        <v>10418</v>
      </c>
      <c r="H1327" s="1">
        <v>3</v>
      </c>
      <c r="I1327">
        <v>25</v>
      </c>
      <c r="J1327">
        <f>IF($H1327=0,1,IF($I1327&lt;=1,2,0))</f>
        <v>0</v>
      </c>
      <c r="K1327">
        <v>0</v>
      </c>
      <c r="L1327">
        <f>IF(AND($J1327=0,$K1327=0),0,1)</f>
        <v>0</v>
      </c>
    </row>
    <row r="1328" spans="1:12" x14ac:dyDescent="0.2">
      <c r="A1328" t="s">
        <v>477</v>
      </c>
      <c r="B1328" t="s">
        <v>241</v>
      </c>
      <c r="C1328" t="s">
        <v>9</v>
      </c>
      <c r="D1328">
        <v>1123</v>
      </c>
      <c r="E1328">
        <v>2019</v>
      </c>
      <c r="F1328">
        <v>4</v>
      </c>
      <c r="G1328">
        <v>10421</v>
      </c>
      <c r="H1328" s="1">
        <v>3</v>
      </c>
      <c r="I1328">
        <v>25</v>
      </c>
      <c r="J1328">
        <f>IF($H1328=0,1,IF($I1328&lt;=1,2,0))</f>
        <v>0</v>
      </c>
      <c r="K1328">
        <v>0</v>
      </c>
      <c r="L1328">
        <f>IF(AND($J1328=0,$K1328=0),0,1)</f>
        <v>0</v>
      </c>
    </row>
    <row r="1329" spans="1:12" x14ac:dyDescent="0.2">
      <c r="A1329" t="s">
        <v>477</v>
      </c>
      <c r="B1329" t="s">
        <v>241</v>
      </c>
      <c r="C1329" t="s">
        <v>9</v>
      </c>
      <c r="D1329">
        <v>1123</v>
      </c>
      <c r="E1329">
        <v>2019</v>
      </c>
      <c r="F1329">
        <v>6</v>
      </c>
      <c r="G1329">
        <v>10423</v>
      </c>
      <c r="H1329" s="1">
        <v>3</v>
      </c>
      <c r="I1329">
        <v>25</v>
      </c>
      <c r="J1329">
        <f>IF($H1329=0,1,IF($I1329&lt;=1,2,0))</f>
        <v>0</v>
      </c>
      <c r="K1329">
        <v>0</v>
      </c>
      <c r="L1329">
        <f>IF(AND($J1329=0,$K1329=0),0,1)</f>
        <v>0</v>
      </c>
    </row>
    <row r="1330" spans="1:12" x14ac:dyDescent="0.2">
      <c r="A1330" t="s">
        <v>477</v>
      </c>
      <c r="B1330" t="s">
        <v>241</v>
      </c>
      <c r="C1330" t="s">
        <v>9</v>
      </c>
      <c r="D1330">
        <v>1123</v>
      </c>
      <c r="E1330">
        <v>2019</v>
      </c>
      <c r="F1330">
        <v>8</v>
      </c>
      <c r="G1330">
        <v>10425</v>
      </c>
      <c r="H1330" s="1">
        <v>3</v>
      </c>
      <c r="I1330">
        <v>25</v>
      </c>
      <c r="J1330">
        <f>IF($H1330=0,1,IF($I1330&lt;=1,2,0))</f>
        <v>0</v>
      </c>
      <c r="K1330">
        <v>0</v>
      </c>
      <c r="L1330">
        <f>IF(AND($J1330=0,$K1330=0),0,1)</f>
        <v>0</v>
      </c>
    </row>
    <row r="1331" spans="1:12" x14ac:dyDescent="0.2">
      <c r="A1331" t="s">
        <v>477</v>
      </c>
      <c r="B1331" t="s">
        <v>241</v>
      </c>
      <c r="C1331" t="s">
        <v>9</v>
      </c>
      <c r="D1331">
        <v>1123</v>
      </c>
      <c r="E1331">
        <v>2019</v>
      </c>
      <c r="F1331">
        <v>10</v>
      </c>
      <c r="G1331">
        <v>10427</v>
      </c>
      <c r="H1331" s="1">
        <v>3</v>
      </c>
      <c r="I1331">
        <v>25</v>
      </c>
      <c r="J1331">
        <f>IF($H1331=0,1,IF($I1331&lt;=1,2,0))</f>
        <v>0</v>
      </c>
      <c r="K1331">
        <v>0</v>
      </c>
      <c r="L1331">
        <f>IF(AND($J1331=0,$K1331=0),0,1)</f>
        <v>0</v>
      </c>
    </row>
    <row r="1332" spans="1:12" x14ac:dyDescent="0.2">
      <c r="A1332" t="s">
        <v>477</v>
      </c>
      <c r="B1332" t="s">
        <v>241</v>
      </c>
      <c r="C1332" t="s">
        <v>9</v>
      </c>
      <c r="D1332">
        <v>1123</v>
      </c>
      <c r="E1332">
        <v>2019</v>
      </c>
      <c r="F1332">
        <v>20</v>
      </c>
      <c r="G1332">
        <v>10437</v>
      </c>
      <c r="H1332" s="1">
        <v>3</v>
      </c>
      <c r="I1332">
        <v>25</v>
      </c>
      <c r="J1332">
        <f>IF($H1332=0,1,IF($I1332&lt;=1,2,0))</f>
        <v>0</v>
      </c>
      <c r="K1332">
        <v>0</v>
      </c>
      <c r="L1332">
        <f>IF(AND($J1332=0,$K1332=0),0,1)</f>
        <v>0</v>
      </c>
    </row>
    <row r="1333" spans="1:12" x14ac:dyDescent="0.2">
      <c r="A1333" t="s">
        <v>477</v>
      </c>
      <c r="B1333" t="s">
        <v>241</v>
      </c>
      <c r="C1333" t="s">
        <v>9</v>
      </c>
      <c r="D1333">
        <v>1123</v>
      </c>
      <c r="E1333">
        <v>2019</v>
      </c>
      <c r="F1333">
        <v>21</v>
      </c>
      <c r="G1333">
        <v>10438</v>
      </c>
      <c r="H1333" s="1">
        <v>3</v>
      </c>
      <c r="I1333">
        <v>25</v>
      </c>
      <c r="J1333">
        <f>IF($H1333=0,1,IF($I1333&lt;=1,2,0))</f>
        <v>0</v>
      </c>
      <c r="K1333">
        <v>0</v>
      </c>
      <c r="L1333">
        <f>IF(AND($J1333=0,$K1333=0),0,1)</f>
        <v>0</v>
      </c>
    </row>
    <row r="1334" spans="1:12" x14ac:dyDescent="0.2">
      <c r="A1334" t="s">
        <v>477</v>
      </c>
      <c r="B1334" t="s">
        <v>241</v>
      </c>
      <c r="C1334" t="s">
        <v>9</v>
      </c>
      <c r="D1334">
        <v>1123</v>
      </c>
      <c r="E1334">
        <v>2019</v>
      </c>
      <c r="F1334">
        <v>23</v>
      </c>
      <c r="G1334">
        <v>10440</v>
      </c>
      <c r="H1334" s="1">
        <v>3</v>
      </c>
      <c r="I1334">
        <v>25</v>
      </c>
      <c r="J1334">
        <f>IF($H1334=0,1,IF($I1334&lt;=1,2,0))</f>
        <v>0</v>
      </c>
      <c r="K1334">
        <v>0</v>
      </c>
      <c r="L1334">
        <f>IF(AND($J1334=0,$K1334=0),0,1)</f>
        <v>0</v>
      </c>
    </row>
    <row r="1335" spans="1:12" x14ac:dyDescent="0.2">
      <c r="A1335" t="s">
        <v>477</v>
      </c>
      <c r="B1335" t="s">
        <v>241</v>
      </c>
      <c r="C1335" t="s">
        <v>9</v>
      </c>
      <c r="D1335">
        <v>1123</v>
      </c>
      <c r="E1335">
        <v>2019</v>
      </c>
      <c r="F1335">
        <v>25</v>
      </c>
      <c r="G1335">
        <v>10442</v>
      </c>
      <c r="H1335" s="1">
        <v>3</v>
      </c>
      <c r="I1335">
        <v>25</v>
      </c>
      <c r="J1335">
        <f>IF($H1335=0,1,IF($I1335&lt;=1,2,0))</f>
        <v>0</v>
      </c>
      <c r="K1335">
        <v>0</v>
      </c>
      <c r="L1335">
        <f>IF(AND($J1335=0,$K1335=0),0,1)</f>
        <v>0</v>
      </c>
    </row>
    <row r="1336" spans="1:12" x14ac:dyDescent="0.2">
      <c r="A1336" t="s">
        <v>477</v>
      </c>
      <c r="B1336" t="s">
        <v>241</v>
      </c>
      <c r="C1336" t="s">
        <v>9</v>
      </c>
      <c r="D1336">
        <v>1123</v>
      </c>
      <c r="E1336">
        <v>2019</v>
      </c>
      <c r="F1336">
        <v>28</v>
      </c>
      <c r="G1336">
        <v>10445</v>
      </c>
      <c r="H1336" s="1">
        <v>3</v>
      </c>
      <c r="I1336">
        <v>25</v>
      </c>
      <c r="J1336">
        <f>IF($H1336=0,1,IF($I1336&lt;=1,2,0))</f>
        <v>0</v>
      </c>
      <c r="K1336">
        <v>0</v>
      </c>
      <c r="L1336">
        <f>IF(AND($J1336=0,$K1336=0),0,1)</f>
        <v>0</v>
      </c>
    </row>
    <row r="1337" spans="1:12" x14ac:dyDescent="0.2">
      <c r="A1337" t="s">
        <v>477</v>
      </c>
      <c r="B1337" t="s">
        <v>241</v>
      </c>
      <c r="C1337" t="s">
        <v>9</v>
      </c>
      <c r="D1337">
        <v>1123</v>
      </c>
      <c r="E1337">
        <v>2019</v>
      </c>
      <c r="F1337">
        <v>2</v>
      </c>
      <c r="G1337">
        <v>10419</v>
      </c>
      <c r="H1337" s="1">
        <v>3</v>
      </c>
      <c r="I1337">
        <v>24</v>
      </c>
      <c r="J1337">
        <f>IF($H1337=0,1,IF($I1337&lt;=1,2,0))</f>
        <v>0</v>
      </c>
      <c r="K1337">
        <v>0</v>
      </c>
      <c r="L1337">
        <f>IF(AND($J1337=0,$K1337=0),0,1)</f>
        <v>0</v>
      </c>
    </row>
    <row r="1338" spans="1:12" x14ac:dyDescent="0.2">
      <c r="A1338" t="s">
        <v>477</v>
      </c>
      <c r="B1338" t="s">
        <v>241</v>
      </c>
      <c r="C1338" t="s">
        <v>9</v>
      </c>
      <c r="D1338">
        <v>1123</v>
      </c>
      <c r="E1338">
        <v>2019</v>
      </c>
      <c r="F1338">
        <v>3</v>
      </c>
      <c r="G1338">
        <v>10420</v>
      </c>
      <c r="H1338" s="1">
        <v>3</v>
      </c>
      <c r="I1338">
        <v>24</v>
      </c>
      <c r="J1338">
        <f>IF($H1338=0,1,IF($I1338&lt;=1,2,0))</f>
        <v>0</v>
      </c>
      <c r="K1338">
        <v>0</v>
      </c>
      <c r="L1338">
        <f>IF(AND($J1338=0,$K1338=0),0,1)</f>
        <v>0</v>
      </c>
    </row>
    <row r="1339" spans="1:12" x14ac:dyDescent="0.2">
      <c r="A1339" t="s">
        <v>477</v>
      </c>
      <c r="B1339" t="s">
        <v>241</v>
      </c>
      <c r="C1339" t="s">
        <v>9</v>
      </c>
      <c r="D1339">
        <v>1123</v>
      </c>
      <c r="E1339">
        <v>2019</v>
      </c>
      <c r="F1339">
        <v>5</v>
      </c>
      <c r="G1339">
        <v>10422</v>
      </c>
      <c r="H1339" s="1">
        <v>3</v>
      </c>
      <c r="I1339">
        <v>24</v>
      </c>
      <c r="J1339">
        <f>IF($H1339=0,1,IF($I1339&lt;=1,2,0))</f>
        <v>0</v>
      </c>
      <c r="K1339">
        <v>0</v>
      </c>
      <c r="L1339">
        <f>IF(AND($J1339=0,$K1339=0),0,1)</f>
        <v>0</v>
      </c>
    </row>
    <row r="1340" spans="1:12" x14ac:dyDescent="0.2">
      <c r="A1340" t="s">
        <v>477</v>
      </c>
      <c r="B1340" t="s">
        <v>241</v>
      </c>
      <c r="C1340" t="s">
        <v>9</v>
      </c>
      <c r="D1340">
        <v>1123</v>
      </c>
      <c r="E1340">
        <v>2019</v>
      </c>
      <c r="F1340">
        <v>7</v>
      </c>
      <c r="G1340">
        <v>10424</v>
      </c>
      <c r="H1340" s="1">
        <v>3</v>
      </c>
      <c r="I1340">
        <v>24</v>
      </c>
      <c r="J1340">
        <f>IF($H1340=0,1,IF($I1340&lt;=1,2,0))</f>
        <v>0</v>
      </c>
      <c r="K1340">
        <v>0</v>
      </c>
      <c r="L1340">
        <f>IF(AND($J1340=0,$K1340=0),0,1)</f>
        <v>0</v>
      </c>
    </row>
    <row r="1341" spans="1:12" x14ac:dyDescent="0.2">
      <c r="A1341" t="s">
        <v>477</v>
      </c>
      <c r="B1341" t="s">
        <v>241</v>
      </c>
      <c r="C1341" t="s">
        <v>9</v>
      </c>
      <c r="D1341">
        <v>1123</v>
      </c>
      <c r="E1341">
        <v>2019</v>
      </c>
      <c r="F1341">
        <v>15</v>
      </c>
      <c r="G1341">
        <v>10432</v>
      </c>
      <c r="H1341" s="1">
        <v>3</v>
      </c>
      <c r="I1341">
        <v>24</v>
      </c>
      <c r="J1341">
        <f>IF($H1341=0,1,IF($I1341&lt;=1,2,0))</f>
        <v>0</v>
      </c>
      <c r="K1341">
        <v>0</v>
      </c>
      <c r="L1341">
        <f>IF(AND($J1341=0,$K1341=0),0,1)</f>
        <v>0</v>
      </c>
    </row>
    <row r="1342" spans="1:12" x14ac:dyDescent="0.2">
      <c r="A1342" t="s">
        <v>477</v>
      </c>
      <c r="B1342" t="s">
        <v>241</v>
      </c>
      <c r="C1342" t="s">
        <v>9</v>
      </c>
      <c r="D1342">
        <v>1123</v>
      </c>
      <c r="E1342">
        <v>2019</v>
      </c>
      <c r="F1342">
        <v>18</v>
      </c>
      <c r="G1342">
        <v>10435</v>
      </c>
      <c r="H1342" s="1">
        <v>3</v>
      </c>
      <c r="I1342">
        <v>24</v>
      </c>
      <c r="J1342">
        <f>IF($H1342=0,1,IF($I1342&lt;=1,2,0))</f>
        <v>0</v>
      </c>
      <c r="K1342">
        <v>0</v>
      </c>
      <c r="L1342">
        <f>IF(AND($J1342=0,$K1342=0),0,1)</f>
        <v>0</v>
      </c>
    </row>
    <row r="1343" spans="1:12" x14ac:dyDescent="0.2">
      <c r="A1343" t="s">
        <v>477</v>
      </c>
      <c r="B1343" t="s">
        <v>241</v>
      </c>
      <c r="C1343" t="s">
        <v>9</v>
      </c>
      <c r="D1343">
        <v>1123</v>
      </c>
      <c r="E1343">
        <v>2019</v>
      </c>
      <c r="F1343">
        <v>22</v>
      </c>
      <c r="G1343">
        <v>10439</v>
      </c>
      <c r="H1343" s="1">
        <v>3</v>
      </c>
      <c r="I1343">
        <v>24</v>
      </c>
      <c r="J1343">
        <f>IF($H1343=0,1,IF($I1343&lt;=1,2,0))</f>
        <v>0</v>
      </c>
      <c r="K1343">
        <v>0</v>
      </c>
      <c r="L1343">
        <f>IF(AND($J1343=0,$K1343=0),0,1)</f>
        <v>0</v>
      </c>
    </row>
    <row r="1344" spans="1:12" x14ac:dyDescent="0.2">
      <c r="A1344" t="s">
        <v>477</v>
      </c>
      <c r="B1344" t="s">
        <v>241</v>
      </c>
      <c r="C1344" t="s">
        <v>9</v>
      </c>
      <c r="D1344">
        <v>1123</v>
      </c>
      <c r="E1344">
        <v>2019</v>
      </c>
      <c r="F1344">
        <v>24</v>
      </c>
      <c r="G1344">
        <v>10441</v>
      </c>
      <c r="H1344" s="1">
        <v>3</v>
      </c>
      <c r="I1344">
        <v>24</v>
      </c>
      <c r="J1344">
        <f>IF($H1344=0,1,IF($I1344&lt;=1,2,0))</f>
        <v>0</v>
      </c>
      <c r="K1344">
        <v>0</v>
      </c>
      <c r="L1344">
        <f>IF(AND($J1344=0,$K1344=0),0,1)</f>
        <v>0</v>
      </c>
    </row>
    <row r="1345" spans="1:13" x14ac:dyDescent="0.2">
      <c r="A1345" t="s">
        <v>477</v>
      </c>
      <c r="B1345" t="s">
        <v>241</v>
      </c>
      <c r="C1345" t="s">
        <v>9</v>
      </c>
      <c r="D1345">
        <v>1123</v>
      </c>
      <c r="E1345">
        <v>2019</v>
      </c>
      <c r="F1345">
        <v>32</v>
      </c>
      <c r="G1345">
        <v>10449</v>
      </c>
      <c r="H1345" s="1">
        <v>3</v>
      </c>
      <c r="I1345">
        <v>24</v>
      </c>
      <c r="J1345">
        <f>IF($H1345=0,1,IF($I1345&lt;=1,2,0))</f>
        <v>0</v>
      </c>
      <c r="K1345">
        <v>0</v>
      </c>
      <c r="L1345">
        <f>IF(AND($J1345=0,$K1345=0),0,1)</f>
        <v>0</v>
      </c>
    </row>
    <row r="1346" spans="1:13" x14ac:dyDescent="0.2">
      <c r="A1346" t="s">
        <v>477</v>
      </c>
      <c r="B1346" t="s">
        <v>241</v>
      </c>
      <c r="C1346" t="s">
        <v>9</v>
      </c>
      <c r="D1346">
        <v>1123</v>
      </c>
      <c r="E1346">
        <v>2019</v>
      </c>
      <c r="F1346">
        <v>14</v>
      </c>
      <c r="G1346">
        <v>10431</v>
      </c>
      <c r="H1346" s="1">
        <v>3</v>
      </c>
      <c r="I1346">
        <v>23</v>
      </c>
      <c r="J1346">
        <f>IF($H1346=0,1,IF($I1346&lt;=1,2,0))</f>
        <v>0</v>
      </c>
      <c r="K1346">
        <v>0</v>
      </c>
      <c r="L1346">
        <f>IF(AND($J1346=0,$K1346=0),0,1)</f>
        <v>0</v>
      </c>
    </row>
    <row r="1347" spans="1:13" x14ac:dyDescent="0.2">
      <c r="A1347" t="s">
        <v>477</v>
      </c>
      <c r="B1347" t="s">
        <v>241</v>
      </c>
      <c r="C1347" t="s">
        <v>9</v>
      </c>
      <c r="D1347">
        <v>1123</v>
      </c>
      <c r="E1347">
        <v>2019</v>
      </c>
      <c r="F1347">
        <v>19</v>
      </c>
      <c r="G1347">
        <v>10436</v>
      </c>
      <c r="H1347" s="1">
        <v>3</v>
      </c>
      <c r="I1347">
        <v>23</v>
      </c>
      <c r="J1347">
        <f>IF($H1347=0,1,IF($I1347&lt;=1,2,0))</f>
        <v>0</v>
      </c>
      <c r="K1347">
        <v>0</v>
      </c>
      <c r="L1347">
        <f>IF(AND($J1347=0,$K1347=0),0,1)</f>
        <v>0</v>
      </c>
    </row>
    <row r="1348" spans="1:13" x14ac:dyDescent="0.2">
      <c r="A1348" t="s">
        <v>477</v>
      </c>
      <c r="B1348" t="s">
        <v>241</v>
      </c>
      <c r="C1348" t="s">
        <v>9</v>
      </c>
      <c r="D1348">
        <v>1123</v>
      </c>
      <c r="E1348">
        <v>2019</v>
      </c>
      <c r="F1348">
        <v>26</v>
      </c>
      <c r="G1348">
        <v>10443</v>
      </c>
      <c r="H1348" s="1">
        <v>3</v>
      </c>
      <c r="I1348">
        <v>23</v>
      </c>
      <c r="J1348">
        <f>IF($H1348=0,1,IF($I1348&lt;=1,2,0))</f>
        <v>0</v>
      </c>
      <c r="K1348">
        <v>0</v>
      </c>
      <c r="L1348">
        <f>IF(AND($J1348=0,$K1348=0),0,1)</f>
        <v>0</v>
      </c>
    </row>
    <row r="1349" spans="1:13" x14ac:dyDescent="0.2">
      <c r="A1349" t="s">
        <v>477</v>
      </c>
      <c r="B1349" t="s">
        <v>241</v>
      </c>
      <c r="C1349" t="s">
        <v>9</v>
      </c>
      <c r="D1349">
        <v>1123</v>
      </c>
      <c r="E1349">
        <v>2019</v>
      </c>
      <c r="F1349">
        <v>27</v>
      </c>
      <c r="G1349">
        <v>10444</v>
      </c>
      <c r="H1349" s="1">
        <v>3</v>
      </c>
      <c r="I1349">
        <v>23</v>
      </c>
      <c r="J1349">
        <f>IF($H1349=0,1,IF($I1349&lt;=1,2,0))</f>
        <v>0</v>
      </c>
      <c r="K1349">
        <v>0</v>
      </c>
      <c r="L1349">
        <f>IF(AND($J1349=0,$K1349=0),0,1)</f>
        <v>0</v>
      </c>
    </row>
    <row r="1350" spans="1:13" x14ac:dyDescent="0.2">
      <c r="A1350" t="s">
        <v>477</v>
      </c>
      <c r="B1350" t="s">
        <v>241</v>
      </c>
      <c r="C1350" t="s">
        <v>9</v>
      </c>
      <c r="D1350">
        <v>1123</v>
      </c>
      <c r="E1350">
        <v>2019</v>
      </c>
      <c r="F1350">
        <v>29</v>
      </c>
      <c r="G1350">
        <v>10446</v>
      </c>
      <c r="H1350" s="1">
        <v>3</v>
      </c>
      <c r="I1350">
        <v>23</v>
      </c>
      <c r="J1350">
        <f>IF($H1350=0,1,IF($I1350&lt;=1,2,0))</f>
        <v>0</v>
      </c>
      <c r="K1350">
        <v>0</v>
      </c>
      <c r="L1350">
        <f>IF(AND($J1350=0,$K1350=0),0,1)</f>
        <v>0</v>
      </c>
    </row>
    <row r="1351" spans="1:13" x14ac:dyDescent="0.2">
      <c r="A1351" t="s">
        <v>477</v>
      </c>
      <c r="B1351" t="s">
        <v>241</v>
      </c>
      <c r="C1351" t="s">
        <v>9</v>
      </c>
      <c r="D1351">
        <v>1123</v>
      </c>
      <c r="E1351">
        <v>2019</v>
      </c>
      <c r="F1351">
        <v>9</v>
      </c>
      <c r="G1351">
        <v>10426</v>
      </c>
      <c r="H1351" s="1">
        <v>3</v>
      </c>
      <c r="I1351">
        <v>22</v>
      </c>
      <c r="J1351">
        <f>IF($H1351=0,1,IF($I1351&lt;=1,2,0))</f>
        <v>0</v>
      </c>
      <c r="K1351">
        <v>0</v>
      </c>
      <c r="L1351">
        <f>IF(AND($J1351=0,$K1351=0),0,1)</f>
        <v>0</v>
      </c>
    </row>
    <row r="1352" spans="1:13" x14ac:dyDescent="0.2">
      <c r="A1352" t="s">
        <v>477</v>
      </c>
      <c r="B1352" t="s">
        <v>241</v>
      </c>
      <c r="C1352" t="s">
        <v>9</v>
      </c>
      <c r="D1352">
        <v>1123</v>
      </c>
      <c r="E1352">
        <v>2019</v>
      </c>
      <c r="F1352">
        <v>11</v>
      </c>
      <c r="G1352">
        <v>10428</v>
      </c>
      <c r="H1352" s="1">
        <v>3</v>
      </c>
      <c r="I1352">
        <v>22</v>
      </c>
      <c r="J1352">
        <f>IF($H1352=0,1,IF($I1352&lt;=1,2,0))</f>
        <v>0</v>
      </c>
      <c r="K1352">
        <v>0</v>
      </c>
      <c r="L1352">
        <f>IF(AND($J1352=0,$K1352=0),0,1)</f>
        <v>0</v>
      </c>
    </row>
    <row r="1353" spans="1:13" x14ac:dyDescent="0.2">
      <c r="A1353" t="s">
        <v>477</v>
      </c>
      <c r="B1353" t="s">
        <v>241</v>
      </c>
      <c r="C1353" t="s">
        <v>9</v>
      </c>
      <c r="D1353">
        <v>1123</v>
      </c>
      <c r="E1353">
        <v>2019</v>
      </c>
      <c r="F1353">
        <v>12</v>
      </c>
      <c r="G1353">
        <v>10429</v>
      </c>
      <c r="H1353" s="1">
        <v>3</v>
      </c>
      <c r="I1353">
        <v>22</v>
      </c>
      <c r="J1353">
        <f>IF($H1353=0,1,IF($I1353&lt;=1,2,0))</f>
        <v>0</v>
      </c>
      <c r="K1353">
        <v>0</v>
      </c>
      <c r="L1353">
        <f>IF(AND($J1353=0,$K1353=0),0,1)</f>
        <v>0</v>
      </c>
    </row>
    <row r="1354" spans="1:13" x14ac:dyDescent="0.2">
      <c r="A1354" t="s">
        <v>477</v>
      </c>
      <c r="B1354" t="s">
        <v>241</v>
      </c>
      <c r="C1354" t="s">
        <v>9</v>
      </c>
      <c r="D1354">
        <v>1123</v>
      </c>
      <c r="E1354">
        <v>2019</v>
      </c>
      <c r="F1354">
        <v>30</v>
      </c>
      <c r="G1354">
        <v>10447</v>
      </c>
      <c r="H1354" s="1">
        <v>3</v>
      </c>
      <c r="I1354">
        <v>22</v>
      </c>
      <c r="J1354">
        <f>IF($H1354=0,1,IF($I1354&lt;=1,2,0))</f>
        <v>0</v>
      </c>
      <c r="K1354">
        <v>0</v>
      </c>
      <c r="L1354">
        <f>IF(AND($J1354=0,$K1354=0),0,1)</f>
        <v>0</v>
      </c>
    </row>
    <row r="1355" spans="1:13" x14ac:dyDescent="0.2">
      <c r="A1355" t="s">
        <v>477</v>
      </c>
      <c r="B1355" t="s">
        <v>241</v>
      </c>
      <c r="C1355" t="s">
        <v>9</v>
      </c>
      <c r="D1355">
        <v>1123</v>
      </c>
      <c r="E1355">
        <v>2019</v>
      </c>
      <c r="F1355">
        <v>13</v>
      </c>
      <c r="G1355">
        <v>10430</v>
      </c>
      <c r="H1355" s="1">
        <v>3</v>
      </c>
      <c r="I1355">
        <v>21</v>
      </c>
      <c r="J1355">
        <f>IF($H1355=0,1,IF($I1355&lt;=1,2,0))</f>
        <v>0</v>
      </c>
      <c r="K1355">
        <v>0</v>
      </c>
      <c r="L1355">
        <f>IF(AND($J1355=0,$K1355=0),0,1)</f>
        <v>0</v>
      </c>
    </row>
    <row r="1356" spans="1:13" x14ac:dyDescent="0.2">
      <c r="A1356" t="s">
        <v>477</v>
      </c>
      <c r="B1356" t="s">
        <v>241</v>
      </c>
      <c r="C1356" t="s">
        <v>9</v>
      </c>
      <c r="D1356">
        <v>1123</v>
      </c>
      <c r="E1356">
        <v>2019</v>
      </c>
      <c r="F1356">
        <v>16</v>
      </c>
      <c r="G1356">
        <v>10433</v>
      </c>
      <c r="H1356" s="1">
        <v>3</v>
      </c>
      <c r="I1356">
        <v>21</v>
      </c>
      <c r="J1356">
        <f>IF($H1356=0,1,IF($I1356&lt;=1,2,0))</f>
        <v>0</v>
      </c>
      <c r="K1356">
        <v>0</v>
      </c>
      <c r="L1356">
        <f>IF(AND($J1356=0,$K1356=0),0,1)</f>
        <v>0</v>
      </c>
    </row>
    <row r="1357" spans="1:13" x14ac:dyDescent="0.2">
      <c r="A1357" t="s">
        <v>477</v>
      </c>
      <c r="B1357" t="s">
        <v>241</v>
      </c>
      <c r="C1357" t="s">
        <v>9</v>
      </c>
      <c r="D1357">
        <v>1123</v>
      </c>
      <c r="E1357">
        <v>2019</v>
      </c>
      <c r="F1357">
        <v>31</v>
      </c>
      <c r="G1357">
        <v>10448</v>
      </c>
      <c r="H1357" s="1">
        <v>3</v>
      </c>
      <c r="I1357">
        <v>21</v>
      </c>
      <c r="J1357">
        <f>IF($H1357=0,1,IF($I1357&lt;=1,2,0))</f>
        <v>0</v>
      </c>
      <c r="K1357">
        <v>0</v>
      </c>
      <c r="L1357">
        <f>IF(AND($J1357=0,$K1357=0),0,1)</f>
        <v>0</v>
      </c>
    </row>
    <row r="1358" spans="1:13" x14ac:dyDescent="0.2">
      <c r="A1358" t="s">
        <v>477</v>
      </c>
      <c r="B1358" t="s">
        <v>241</v>
      </c>
      <c r="C1358" t="s">
        <v>9</v>
      </c>
      <c r="D1358">
        <v>1123</v>
      </c>
      <c r="E1358">
        <v>2019</v>
      </c>
      <c r="F1358">
        <v>17</v>
      </c>
      <c r="G1358">
        <v>10434</v>
      </c>
      <c r="H1358" s="1">
        <v>3</v>
      </c>
      <c r="I1358">
        <v>15</v>
      </c>
      <c r="J1358">
        <f>IF($H1358=0,1,IF($I1358&lt;=1,2,0))</f>
        <v>0</v>
      </c>
      <c r="K1358">
        <v>0</v>
      </c>
      <c r="L1358">
        <f>IF(AND($J1358=0,$K1358=0),0,1)</f>
        <v>0</v>
      </c>
    </row>
    <row r="1359" spans="1:13" x14ac:dyDescent="0.2">
      <c r="A1359" t="s">
        <v>477</v>
      </c>
      <c r="B1359" t="s">
        <v>241</v>
      </c>
      <c r="C1359" t="s">
        <v>11</v>
      </c>
      <c r="D1359">
        <v>6911</v>
      </c>
      <c r="E1359">
        <v>2019</v>
      </c>
      <c r="F1359">
        <v>1</v>
      </c>
      <c r="G1359">
        <v>16209</v>
      </c>
      <c r="H1359" s="1">
        <v>3</v>
      </c>
      <c r="I1359">
        <v>14</v>
      </c>
      <c r="J1359">
        <f>IF($H1359=0,1,IF($I1359&lt;=1,2,0))</f>
        <v>0</v>
      </c>
      <c r="K1359">
        <v>0</v>
      </c>
      <c r="L1359">
        <f>IF(AND($J1359=0,$K1359=0),0,1)</f>
        <v>0</v>
      </c>
    </row>
    <row r="1360" spans="1:13" x14ac:dyDescent="0.2">
      <c r="A1360" t="s">
        <v>477</v>
      </c>
      <c r="B1360" t="s">
        <v>241</v>
      </c>
      <c r="C1360" t="s">
        <v>11</v>
      </c>
      <c r="D1360">
        <v>6913</v>
      </c>
      <c r="E1360">
        <v>2019</v>
      </c>
      <c r="F1360">
        <v>1</v>
      </c>
      <c r="G1360">
        <v>99176</v>
      </c>
      <c r="H1360" s="1">
        <v>3</v>
      </c>
      <c r="I1360">
        <v>12</v>
      </c>
      <c r="J1360">
        <f>IF($H1360=0,1,IF($I1360&lt;=1,2,0))</f>
        <v>0</v>
      </c>
      <c r="K1360">
        <v>0</v>
      </c>
      <c r="L1360">
        <f>IF(AND($J1360=0,$K1360=0),0,1)</f>
        <v>0</v>
      </c>
      <c r="M1360" t="s">
        <v>478</v>
      </c>
    </row>
    <row r="1361" spans="1:13" x14ac:dyDescent="0.2">
      <c r="A1361" t="s">
        <v>482</v>
      </c>
      <c r="B1361" t="s">
        <v>71</v>
      </c>
      <c r="C1361" t="s">
        <v>72</v>
      </c>
      <c r="D1361">
        <v>4200</v>
      </c>
      <c r="E1361">
        <v>2019</v>
      </c>
      <c r="F1361">
        <v>1</v>
      </c>
      <c r="G1361">
        <v>17746</v>
      </c>
      <c r="H1361" s="1">
        <v>3</v>
      </c>
      <c r="I1361">
        <v>38</v>
      </c>
      <c r="J1361">
        <f>IF($H1361=0,1,IF($I1361&lt;=1,2,0))</f>
        <v>0</v>
      </c>
      <c r="K1361">
        <v>0</v>
      </c>
      <c r="L1361">
        <f>IF(AND($J1361=0,$K1361=0),0,1)</f>
        <v>0</v>
      </c>
    </row>
    <row r="1362" spans="1:13" x14ac:dyDescent="0.2">
      <c r="A1362" t="s">
        <v>483</v>
      </c>
      <c r="B1362" t="s">
        <v>71</v>
      </c>
      <c r="C1362" t="s">
        <v>72</v>
      </c>
      <c r="D1362">
        <v>2261</v>
      </c>
      <c r="E1362">
        <v>2019</v>
      </c>
      <c r="F1362">
        <v>1</v>
      </c>
      <c r="G1362">
        <v>10246</v>
      </c>
      <c r="H1362" s="1">
        <v>3</v>
      </c>
      <c r="I1362">
        <v>63</v>
      </c>
      <c r="J1362">
        <f>IF($H1362=0,1,IF($I1362&lt;=1,2,0))</f>
        <v>0</v>
      </c>
      <c r="K1362">
        <v>0</v>
      </c>
      <c r="L1362">
        <f>IF(AND($J1362=0,$K1362=0),0,1)</f>
        <v>0</v>
      </c>
    </row>
    <row r="1363" spans="1:13" x14ac:dyDescent="0.2">
      <c r="A1363" t="s">
        <v>483</v>
      </c>
      <c r="B1363" t="s">
        <v>71</v>
      </c>
      <c r="C1363" t="s">
        <v>72</v>
      </c>
      <c r="D1363">
        <v>3106</v>
      </c>
      <c r="E1363">
        <v>2019</v>
      </c>
      <c r="F1363">
        <v>1</v>
      </c>
      <c r="G1363">
        <v>10248</v>
      </c>
      <c r="H1363" s="1">
        <v>3</v>
      </c>
      <c r="I1363">
        <v>76</v>
      </c>
      <c r="J1363">
        <f>IF($H1363=0,1,IF($I1363&lt;=1,2,0))</f>
        <v>0</v>
      </c>
      <c r="K1363">
        <v>0</v>
      </c>
      <c r="L1363">
        <f>IF(AND($J1363=0,$K1363=0),0,1)</f>
        <v>0</v>
      </c>
    </row>
    <row r="1364" spans="1:13" x14ac:dyDescent="0.2">
      <c r="A1364" t="s">
        <v>483</v>
      </c>
      <c r="B1364" t="s">
        <v>71</v>
      </c>
      <c r="C1364" t="s">
        <v>72</v>
      </c>
      <c r="D1364">
        <v>3608</v>
      </c>
      <c r="E1364">
        <v>2019</v>
      </c>
      <c r="F1364">
        <v>1</v>
      </c>
      <c r="G1364">
        <v>10249</v>
      </c>
      <c r="H1364" s="1">
        <v>3</v>
      </c>
      <c r="I1364">
        <v>71</v>
      </c>
      <c r="J1364">
        <f>IF($H1364=0,1,IF($I1364&lt;=1,2,0))</f>
        <v>0</v>
      </c>
      <c r="K1364">
        <v>0</v>
      </c>
      <c r="L1364">
        <f>IF(AND($J1364=0,$K1364=0),0,1)</f>
        <v>0</v>
      </c>
    </row>
    <row r="1365" spans="1:13" x14ac:dyDescent="0.2">
      <c r="A1365" t="s">
        <v>483</v>
      </c>
      <c r="B1365" t="s">
        <v>71</v>
      </c>
      <c r="C1365" t="s">
        <v>72</v>
      </c>
      <c r="D1365">
        <v>3658</v>
      </c>
      <c r="E1365">
        <v>2019</v>
      </c>
      <c r="F1365">
        <v>1</v>
      </c>
      <c r="G1365">
        <v>10250</v>
      </c>
      <c r="H1365" s="1">
        <v>3</v>
      </c>
      <c r="I1365">
        <v>99</v>
      </c>
      <c r="J1365">
        <f>IF($H1365=0,1,IF($I1365&lt;=1,2,0))</f>
        <v>0</v>
      </c>
      <c r="K1365">
        <v>0</v>
      </c>
      <c r="L1365">
        <f>IF(AND($J1365=0,$K1365=0),0,1)</f>
        <v>0</v>
      </c>
    </row>
    <row r="1366" spans="1:13" x14ac:dyDescent="0.2">
      <c r="A1366" t="s">
        <v>483</v>
      </c>
      <c r="B1366" t="s">
        <v>71</v>
      </c>
      <c r="C1366" t="s">
        <v>72</v>
      </c>
      <c r="D1366">
        <v>4003</v>
      </c>
      <c r="E1366">
        <v>2019</v>
      </c>
      <c r="F1366">
        <v>1</v>
      </c>
      <c r="G1366">
        <v>10251</v>
      </c>
      <c r="H1366" s="1">
        <v>3</v>
      </c>
      <c r="I1366">
        <v>78</v>
      </c>
      <c r="J1366">
        <f>IF($H1366=0,1,IF($I1366&lt;=1,2,0))</f>
        <v>0</v>
      </c>
      <c r="K1366">
        <v>0</v>
      </c>
      <c r="L1366">
        <f>IF(AND($J1366=0,$K1366=0),0,1)</f>
        <v>0</v>
      </c>
      <c r="M1366" t="s">
        <v>484</v>
      </c>
    </row>
    <row r="1367" spans="1:13" x14ac:dyDescent="0.2">
      <c r="A1367" t="s">
        <v>483</v>
      </c>
      <c r="B1367" t="s">
        <v>71</v>
      </c>
      <c r="C1367" t="s">
        <v>72</v>
      </c>
      <c r="D1367">
        <v>4004</v>
      </c>
      <c r="E1367">
        <v>2019</v>
      </c>
      <c r="F1367">
        <v>4</v>
      </c>
      <c r="G1367">
        <v>10255</v>
      </c>
      <c r="H1367" s="1">
        <v>3</v>
      </c>
      <c r="I1367">
        <v>158</v>
      </c>
      <c r="J1367">
        <f>IF($H1367=0,1,IF($I1367&lt;=1,2,0))</f>
        <v>0</v>
      </c>
      <c r="K1367">
        <v>0</v>
      </c>
      <c r="L1367">
        <f>IF(AND($J1367=0,$K1367=0),0,1)</f>
        <v>0</v>
      </c>
    </row>
    <row r="1368" spans="1:13" x14ac:dyDescent="0.2">
      <c r="A1368" t="s">
        <v>483</v>
      </c>
      <c r="B1368" t="s">
        <v>71</v>
      </c>
      <c r="C1368" t="s">
        <v>72</v>
      </c>
      <c r="D1368">
        <v>4004</v>
      </c>
      <c r="E1368">
        <v>2019</v>
      </c>
      <c r="F1368">
        <v>3</v>
      </c>
      <c r="G1368">
        <v>10254</v>
      </c>
      <c r="H1368" s="1">
        <v>3</v>
      </c>
      <c r="I1368">
        <v>67</v>
      </c>
      <c r="J1368">
        <f>IF($H1368=0,1,IF($I1368&lt;=1,2,0))</f>
        <v>0</v>
      </c>
      <c r="K1368">
        <v>0</v>
      </c>
      <c r="L1368">
        <f>IF(AND($J1368=0,$K1368=0),0,1)</f>
        <v>0</v>
      </c>
    </row>
    <row r="1369" spans="1:13" x14ac:dyDescent="0.2">
      <c r="A1369" t="s">
        <v>483</v>
      </c>
      <c r="B1369" t="s">
        <v>71</v>
      </c>
      <c r="C1369" t="s">
        <v>72</v>
      </c>
      <c r="D1369">
        <v>4004</v>
      </c>
      <c r="E1369">
        <v>2019</v>
      </c>
      <c r="F1369" t="s">
        <v>84</v>
      </c>
      <c r="G1369">
        <v>16402</v>
      </c>
      <c r="H1369" s="1">
        <v>3</v>
      </c>
      <c r="I1369">
        <v>25</v>
      </c>
      <c r="J1369">
        <f>IF($H1369=0,1,IF($I1369&lt;=1,2,0))</f>
        <v>0</v>
      </c>
      <c r="K1369">
        <v>0</v>
      </c>
      <c r="L1369">
        <f>IF(AND($J1369=0,$K1369=0),0,1)</f>
        <v>0</v>
      </c>
      <c r="M1369" t="s">
        <v>85</v>
      </c>
    </row>
    <row r="1370" spans="1:13" x14ac:dyDescent="0.2">
      <c r="A1370" t="s">
        <v>483</v>
      </c>
      <c r="B1370" t="s">
        <v>71</v>
      </c>
      <c r="C1370" t="s">
        <v>72</v>
      </c>
      <c r="D1370">
        <v>4100</v>
      </c>
      <c r="E1370">
        <v>2019</v>
      </c>
      <c r="F1370">
        <v>1</v>
      </c>
      <c r="G1370">
        <v>10298</v>
      </c>
      <c r="H1370" s="1">
        <v>1.5</v>
      </c>
      <c r="I1370">
        <v>21</v>
      </c>
      <c r="J1370">
        <f>IF($H1370=0,1,IF($I1370&lt;=1,2,0))</f>
        <v>0</v>
      </c>
      <c r="K1370">
        <v>0</v>
      </c>
      <c r="L1370">
        <f>IF(AND($J1370=0,$K1370=0),0,1)</f>
        <v>0</v>
      </c>
      <c r="M1370" t="s">
        <v>487</v>
      </c>
    </row>
    <row r="1371" spans="1:13" x14ac:dyDescent="0.2">
      <c r="A1371" t="s">
        <v>483</v>
      </c>
      <c r="B1371" t="s">
        <v>71</v>
      </c>
      <c r="C1371" t="s">
        <v>72</v>
      </c>
      <c r="D1371">
        <v>4100</v>
      </c>
      <c r="E1371">
        <v>2019</v>
      </c>
      <c r="F1371">
        <v>2</v>
      </c>
      <c r="G1371">
        <v>10299</v>
      </c>
      <c r="H1371" s="1">
        <v>1.5</v>
      </c>
      <c r="I1371">
        <v>11</v>
      </c>
      <c r="J1371">
        <f>IF($H1371=0,1,IF($I1371&lt;=1,2,0))</f>
        <v>0</v>
      </c>
      <c r="K1371">
        <v>0</v>
      </c>
      <c r="L1371">
        <f>IF(AND($J1371=0,$K1371=0),0,1)</f>
        <v>0</v>
      </c>
      <c r="M1371" t="s">
        <v>488</v>
      </c>
    </row>
    <row r="1372" spans="1:13" x14ac:dyDescent="0.2">
      <c r="A1372" t="s">
        <v>483</v>
      </c>
      <c r="B1372" t="s">
        <v>71</v>
      </c>
      <c r="C1372" t="s">
        <v>72</v>
      </c>
      <c r="D1372">
        <v>4106</v>
      </c>
      <c r="E1372">
        <v>2019</v>
      </c>
      <c r="F1372">
        <v>1</v>
      </c>
      <c r="G1372">
        <v>10256</v>
      </c>
      <c r="H1372" s="1">
        <v>3</v>
      </c>
      <c r="I1372">
        <v>159</v>
      </c>
      <c r="J1372">
        <f>IF($H1372=0,1,IF($I1372&lt;=1,2,0))</f>
        <v>0</v>
      </c>
      <c r="K1372">
        <v>0</v>
      </c>
      <c r="L1372">
        <f>IF(AND($J1372=0,$K1372=0),0,1)</f>
        <v>0</v>
      </c>
    </row>
    <row r="1373" spans="1:13" x14ac:dyDescent="0.2">
      <c r="A1373" t="s">
        <v>483</v>
      </c>
      <c r="B1373" t="s">
        <v>71</v>
      </c>
      <c r="C1373" t="s">
        <v>72</v>
      </c>
      <c r="D1373">
        <v>4106</v>
      </c>
      <c r="E1373">
        <v>2019</v>
      </c>
      <c r="F1373" t="s">
        <v>87</v>
      </c>
      <c r="G1373">
        <v>16404</v>
      </c>
      <c r="H1373" s="1">
        <v>3</v>
      </c>
      <c r="I1373">
        <v>4</v>
      </c>
      <c r="J1373">
        <f>IF($H1373=0,1,IF($I1373&lt;=1,2,0))</f>
        <v>0</v>
      </c>
      <c r="K1373">
        <v>0</v>
      </c>
      <c r="L1373">
        <f>IF(AND($J1373=0,$K1373=0),0,1)</f>
        <v>0</v>
      </c>
      <c r="M1373" t="s">
        <v>85</v>
      </c>
    </row>
    <row r="1374" spans="1:13" x14ac:dyDescent="0.2">
      <c r="A1374" t="s">
        <v>483</v>
      </c>
      <c r="B1374" t="s">
        <v>71</v>
      </c>
      <c r="C1374" t="s">
        <v>72</v>
      </c>
      <c r="D1374">
        <v>4150</v>
      </c>
      <c r="E1374">
        <v>2019</v>
      </c>
      <c r="F1374">
        <v>1</v>
      </c>
      <c r="G1374">
        <v>10257</v>
      </c>
      <c r="H1374" s="1">
        <v>3</v>
      </c>
      <c r="I1374">
        <v>134</v>
      </c>
      <c r="J1374">
        <f>IF($H1374=0,1,IF($I1374&lt;=1,2,0))</f>
        <v>0</v>
      </c>
      <c r="K1374">
        <v>0</v>
      </c>
      <c r="L1374">
        <f>IF(AND($J1374=0,$K1374=0),0,1)</f>
        <v>0</v>
      </c>
    </row>
    <row r="1375" spans="1:13" x14ac:dyDescent="0.2">
      <c r="A1375" t="s">
        <v>483</v>
      </c>
      <c r="B1375" t="s">
        <v>71</v>
      </c>
      <c r="C1375" t="s">
        <v>72</v>
      </c>
      <c r="D1375">
        <v>4150</v>
      </c>
      <c r="E1375">
        <v>2019</v>
      </c>
      <c r="F1375" t="s">
        <v>87</v>
      </c>
      <c r="G1375">
        <v>17243</v>
      </c>
      <c r="H1375" s="1">
        <v>3</v>
      </c>
      <c r="I1375">
        <v>25</v>
      </c>
      <c r="J1375">
        <f>IF($H1375=0,1,IF($I1375&lt;=1,2,0))</f>
        <v>0</v>
      </c>
      <c r="K1375">
        <v>0</v>
      </c>
      <c r="L1375">
        <f>IF(AND($J1375=0,$K1375=0),0,1)</f>
        <v>0</v>
      </c>
      <c r="M1375" t="s">
        <v>85</v>
      </c>
    </row>
    <row r="1376" spans="1:13" x14ac:dyDescent="0.2">
      <c r="A1376" t="s">
        <v>483</v>
      </c>
      <c r="B1376" t="s">
        <v>71</v>
      </c>
      <c r="C1376" t="s">
        <v>72</v>
      </c>
      <c r="D1376">
        <v>4207</v>
      </c>
      <c r="E1376">
        <v>2019</v>
      </c>
      <c r="F1376">
        <v>1</v>
      </c>
      <c r="G1376">
        <v>10258</v>
      </c>
      <c r="H1376" s="1">
        <v>3</v>
      </c>
      <c r="I1376">
        <v>29</v>
      </c>
      <c r="J1376">
        <f>IF($H1376=0,1,IF($I1376&lt;=1,2,0))</f>
        <v>0</v>
      </c>
      <c r="K1376">
        <v>0</v>
      </c>
      <c r="L1376">
        <f>IF(AND($J1376=0,$K1376=0),0,1)</f>
        <v>0</v>
      </c>
    </row>
    <row r="1377" spans="1:13" x14ac:dyDescent="0.2">
      <c r="A1377" t="s">
        <v>483</v>
      </c>
      <c r="B1377" t="s">
        <v>71</v>
      </c>
      <c r="C1377" t="s">
        <v>72</v>
      </c>
      <c r="D1377">
        <v>4212</v>
      </c>
      <c r="E1377">
        <v>2019</v>
      </c>
      <c r="F1377">
        <v>1</v>
      </c>
      <c r="G1377">
        <v>14023</v>
      </c>
      <c r="H1377" s="1">
        <v>3</v>
      </c>
      <c r="I1377">
        <v>40</v>
      </c>
      <c r="J1377">
        <f>IF($H1377=0,1,IF($I1377&lt;=1,2,0))</f>
        <v>0</v>
      </c>
      <c r="K1377">
        <v>0</v>
      </c>
      <c r="L1377">
        <f>IF(AND($J1377=0,$K1377=0),0,1)</f>
        <v>0</v>
      </c>
      <c r="M1377" t="s">
        <v>484</v>
      </c>
    </row>
    <row r="1378" spans="1:13" x14ac:dyDescent="0.2">
      <c r="A1378" t="s">
        <v>483</v>
      </c>
      <c r="B1378" t="s">
        <v>71</v>
      </c>
      <c r="C1378" t="s">
        <v>72</v>
      </c>
      <c r="D1378">
        <v>4403</v>
      </c>
      <c r="E1378">
        <v>2019</v>
      </c>
      <c r="F1378">
        <v>1</v>
      </c>
      <c r="G1378">
        <v>10259</v>
      </c>
      <c r="H1378" s="1">
        <v>3</v>
      </c>
      <c r="I1378">
        <v>34</v>
      </c>
      <c r="J1378">
        <f>IF($H1378=0,1,IF($I1378&lt;=1,2,0))</f>
        <v>0</v>
      </c>
      <c r="K1378">
        <v>0</v>
      </c>
      <c r="L1378">
        <f>IF(AND($J1378=0,$K1378=0),0,1)</f>
        <v>0</v>
      </c>
      <c r="M1378" t="s">
        <v>490</v>
      </c>
    </row>
    <row r="1379" spans="1:13" x14ac:dyDescent="0.2">
      <c r="A1379" t="s">
        <v>483</v>
      </c>
      <c r="B1379" t="s">
        <v>71</v>
      </c>
      <c r="C1379" t="s">
        <v>72</v>
      </c>
      <c r="D1379">
        <v>4403</v>
      </c>
      <c r="E1379">
        <v>2019</v>
      </c>
      <c r="F1379" t="s">
        <v>84</v>
      </c>
      <c r="G1379">
        <v>16406</v>
      </c>
      <c r="H1379" s="1">
        <v>3</v>
      </c>
      <c r="I1379">
        <v>6</v>
      </c>
      <c r="J1379">
        <f>IF($H1379=0,1,IF($I1379&lt;=1,2,0))</f>
        <v>0</v>
      </c>
      <c r="K1379">
        <v>0</v>
      </c>
      <c r="L1379">
        <f>IF(AND($J1379=0,$K1379=0),0,1)</f>
        <v>0</v>
      </c>
      <c r="M1379" t="s">
        <v>85</v>
      </c>
    </row>
    <row r="1380" spans="1:13" x14ac:dyDescent="0.2">
      <c r="A1380" t="s">
        <v>483</v>
      </c>
      <c r="B1380" t="s">
        <v>71</v>
      </c>
      <c r="C1380" t="s">
        <v>72</v>
      </c>
      <c r="D1380">
        <v>4404</v>
      </c>
      <c r="E1380">
        <v>2019</v>
      </c>
      <c r="F1380">
        <v>1</v>
      </c>
      <c r="G1380">
        <v>10260</v>
      </c>
      <c r="H1380" s="1">
        <v>3</v>
      </c>
      <c r="I1380">
        <v>82</v>
      </c>
      <c r="J1380">
        <f>IF($H1380=0,1,IF($I1380&lt;=1,2,0))</f>
        <v>0</v>
      </c>
      <c r="K1380">
        <v>0</v>
      </c>
      <c r="L1380">
        <f>IF(AND($J1380=0,$K1380=0),0,1)</f>
        <v>0</v>
      </c>
    </row>
    <row r="1381" spans="1:13" x14ac:dyDescent="0.2">
      <c r="A1381" t="s">
        <v>483</v>
      </c>
      <c r="B1381" t="s">
        <v>71</v>
      </c>
      <c r="C1381" t="s">
        <v>72</v>
      </c>
      <c r="D1381">
        <v>4404</v>
      </c>
      <c r="E1381">
        <v>2019</v>
      </c>
      <c r="F1381" t="s">
        <v>87</v>
      </c>
      <c r="G1381">
        <v>17328</v>
      </c>
      <c r="H1381" s="1">
        <v>3</v>
      </c>
      <c r="I1381">
        <v>2</v>
      </c>
      <c r="J1381">
        <f>IF($H1381=0,1,IF($I1381&lt;=1,2,0))</f>
        <v>0</v>
      </c>
      <c r="K1381">
        <v>0</v>
      </c>
      <c r="L1381">
        <f>IF(AND($J1381=0,$K1381=0),0,1)</f>
        <v>0</v>
      </c>
      <c r="M1381" t="s">
        <v>85</v>
      </c>
    </row>
    <row r="1382" spans="1:13" x14ac:dyDescent="0.2">
      <c r="A1382" t="s">
        <v>483</v>
      </c>
      <c r="B1382" t="s">
        <v>71</v>
      </c>
      <c r="C1382" t="s">
        <v>72</v>
      </c>
      <c r="D1382">
        <v>4407</v>
      </c>
      <c r="E1382">
        <v>2019</v>
      </c>
      <c r="F1382">
        <v>1</v>
      </c>
      <c r="G1382">
        <v>10261</v>
      </c>
      <c r="H1382" s="1">
        <v>3</v>
      </c>
      <c r="I1382">
        <v>71</v>
      </c>
      <c r="J1382">
        <f>IF($H1382=0,1,IF($I1382&lt;=1,2,0))</f>
        <v>0</v>
      </c>
      <c r="K1382">
        <v>0</v>
      </c>
      <c r="L1382">
        <f>IF(AND($J1382=0,$K1382=0),0,1)</f>
        <v>0</v>
      </c>
    </row>
    <row r="1383" spans="1:13" x14ac:dyDescent="0.2">
      <c r="A1383" t="s">
        <v>483</v>
      </c>
      <c r="B1383" t="s">
        <v>71</v>
      </c>
      <c r="C1383" t="s">
        <v>72</v>
      </c>
      <c r="D1383">
        <v>4500</v>
      </c>
      <c r="E1383">
        <v>2019</v>
      </c>
      <c r="F1383">
        <v>1</v>
      </c>
      <c r="G1383">
        <v>10262</v>
      </c>
      <c r="H1383" s="1">
        <v>3</v>
      </c>
      <c r="I1383">
        <v>93</v>
      </c>
      <c r="J1383">
        <f>IF($H1383=0,1,IF($I1383&lt;=1,2,0))</f>
        <v>0</v>
      </c>
      <c r="K1383">
        <v>0</v>
      </c>
      <c r="L1383">
        <f>IF(AND($J1383=0,$K1383=0),0,1)</f>
        <v>0</v>
      </c>
    </row>
    <row r="1384" spans="1:13" x14ac:dyDescent="0.2">
      <c r="A1384" t="s">
        <v>483</v>
      </c>
      <c r="B1384" t="s">
        <v>71</v>
      </c>
      <c r="C1384" t="s">
        <v>72</v>
      </c>
      <c r="D1384">
        <v>4501</v>
      </c>
      <c r="E1384">
        <v>2019</v>
      </c>
      <c r="F1384">
        <v>2</v>
      </c>
      <c r="G1384">
        <v>18072</v>
      </c>
      <c r="H1384" s="1">
        <v>3</v>
      </c>
      <c r="I1384">
        <v>172</v>
      </c>
      <c r="J1384">
        <f>IF($H1384=0,1,IF($I1384&lt;=1,2,0))</f>
        <v>0</v>
      </c>
      <c r="K1384">
        <v>0</v>
      </c>
      <c r="L1384">
        <f>IF(AND($J1384=0,$K1384=0),0,1)</f>
        <v>0</v>
      </c>
    </row>
    <row r="1385" spans="1:13" x14ac:dyDescent="0.2">
      <c r="A1385" t="s">
        <v>483</v>
      </c>
      <c r="B1385" t="s">
        <v>71</v>
      </c>
      <c r="C1385" t="s">
        <v>72</v>
      </c>
      <c r="D1385">
        <v>4501</v>
      </c>
      <c r="E1385">
        <v>2019</v>
      </c>
      <c r="F1385">
        <v>1</v>
      </c>
      <c r="G1385">
        <v>10308</v>
      </c>
      <c r="H1385" s="1">
        <v>3</v>
      </c>
      <c r="I1385">
        <v>125</v>
      </c>
      <c r="J1385">
        <f>IF($H1385=0,1,IF($I1385&lt;=1,2,0))</f>
        <v>0</v>
      </c>
      <c r="K1385">
        <v>0</v>
      </c>
      <c r="L1385">
        <f>IF(AND($J1385=0,$K1385=0),0,1)</f>
        <v>0</v>
      </c>
    </row>
    <row r="1386" spans="1:13" x14ac:dyDescent="0.2">
      <c r="A1386" t="s">
        <v>483</v>
      </c>
      <c r="B1386" t="s">
        <v>71</v>
      </c>
      <c r="C1386" t="s">
        <v>72</v>
      </c>
      <c r="D1386">
        <v>4506</v>
      </c>
      <c r="E1386">
        <v>2019</v>
      </c>
      <c r="F1386">
        <v>1</v>
      </c>
      <c r="G1386">
        <v>10263</v>
      </c>
      <c r="H1386" s="1">
        <v>3</v>
      </c>
      <c r="I1386">
        <v>45</v>
      </c>
      <c r="J1386">
        <f>IF($H1386=0,1,IF($I1386&lt;=1,2,0))</f>
        <v>0</v>
      </c>
      <c r="K1386">
        <v>0</v>
      </c>
      <c r="L1386">
        <f>IF(AND($J1386=0,$K1386=0),0,1)</f>
        <v>0</v>
      </c>
    </row>
    <row r="1387" spans="1:13" x14ac:dyDescent="0.2">
      <c r="A1387" t="s">
        <v>483</v>
      </c>
      <c r="B1387" t="s">
        <v>71</v>
      </c>
      <c r="C1387" t="s">
        <v>72</v>
      </c>
      <c r="D1387">
        <v>4525</v>
      </c>
      <c r="E1387">
        <v>2019</v>
      </c>
      <c r="F1387">
        <v>1</v>
      </c>
      <c r="G1387">
        <v>10268</v>
      </c>
      <c r="H1387" s="1">
        <v>3</v>
      </c>
      <c r="I1387">
        <v>102</v>
      </c>
      <c r="J1387">
        <f>IF($H1387=0,1,IF($I1387&lt;=1,2,0))</f>
        <v>0</v>
      </c>
      <c r="K1387">
        <v>0</v>
      </c>
      <c r="L1387">
        <f>IF(AND($J1387=0,$K1387=0),0,1)</f>
        <v>0</v>
      </c>
    </row>
    <row r="1388" spans="1:13" x14ac:dyDescent="0.2">
      <c r="A1388" t="s">
        <v>483</v>
      </c>
      <c r="B1388" t="s">
        <v>71</v>
      </c>
      <c r="C1388" t="s">
        <v>72</v>
      </c>
      <c r="D1388">
        <v>4525</v>
      </c>
      <c r="E1388">
        <v>2019</v>
      </c>
      <c r="F1388" t="s">
        <v>84</v>
      </c>
      <c r="G1388">
        <v>16408</v>
      </c>
      <c r="H1388" s="1">
        <v>3</v>
      </c>
      <c r="I1388">
        <v>2</v>
      </c>
      <c r="J1388">
        <f>IF($H1388=0,1,IF($I1388&lt;=1,2,0))</f>
        <v>0</v>
      </c>
      <c r="K1388">
        <v>0</v>
      </c>
      <c r="L1388">
        <f>IF(AND($J1388=0,$K1388=0),0,1)</f>
        <v>0</v>
      </c>
      <c r="M1388" t="s">
        <v>85</v>
      </c>
    </row>
    <row r="1389" spans="1:13" x14ac:dyDescent="0.2">
      <c r="A1389" t="s">
        <v>483</v>
      </c>
      <c r="B1389" t="s">
        <v>71</v>
      </c>
      <c r="C1389" t="s">
        <v>72</v>
      </c>
      <c r="D1389">
        <v>4540</v>
      </c>
      <c r="E1389">
        <v>2019</v>
      </c>
      <c r="F1389">
        <v>1</v>
      </c>
      <c r="G1389">
        <v>10269</v>
      </c>
      <c r="H1389" s="1">
        <v>3</v>
      </c>
      <c r="I1389">
        <v>34</v>
      </c>
      <c r="J1389">
        <f>IF($H1389=0,1,IF($I1389&lt;=1,2,0))</f>
        <v>0</v>
      </c>
      <c r="K1389">
        <v>0</v>
      </c>
      <c r="L1389">
        <f>IF(AND($J1389=0,$K1389=0),0,1)</f>
        <v>0</v>
      </c>
    </row>
    <row r="1390" spans="1:13" x14ac:dyDescent="0.2">
      <c r="A1390" t="s">
        <v>483</v>
      </c>
      <c r="B1390" t="s">
        <v>71</v>
      </c>
      <c r="C1390" t="s">
        <v>72</v>
      </c>
      <c r="D1390">
        <v>4550</v>
      </c>
      <c r="E1390">
        <v>2019</v>
      </c>
      <c r="F1390">
        <v>1</v>
      </c>
      <c r="G1390">
        <v>10270</v>
      </c>
      <c r="H1390" s="1">
        <v>3</v>
      </c>
      <c r="I1390">
        <v>33</v>
      </c>
      <c r="J1390">
        <f>IF($H1390=0,1,IF($I1390&lt;=1,2,0))</f>
        <v>0</v>
      </c>
      <c r="K1390">
        <v>0</v>
      </c>
      <c r="L1390">
        <f>IF(AND($J1390=0,$K1390=0),0,1)</f>
        <v>0</v>
      </c>
    </row>
    <row r="1391" spans="1:13" x14ac:dyDescent="0.2">
      <c r="A1391" t="s">
        <v>483</v>
      </c>
      <c r="B1391" t="s">
        <v>71</v>
      </c>
      <c r="C1391" t="s">
        <v>72</v>
      </c>
      <c r="D1391">
        <v>4550</v>
      </c>
      <c r="E1391">
        <v>2019</v>
      </c>
      <c r="F1391" t="s">
        <v>84</v>
      </c>
      <c r="G1391">
        <v>16409</v>
      </c>
      <c r="H1391" s="1">
        <v>3</v>
      </c>
      <c r="I1391">
        <v>9</v>
      </c>
      <c r="J1391">
        <f>IF($H1391=0,1,IF($I1391&lt;=1,2,0))</f>
        <v>0</v>
      </c>
      <c r="K1391">
        <v>0</v>
      </c>
      <c r="L1391">
        <f>IF(AND($J1391=0,$K1391=0),0,1)</f>
        <v>0</v>
      </c>
      <c r="M1391" t="s">
        <v>85</v>
      </c>
    </row>
    <row r="1392" spans="1:13" x14ac:dyDescent="0.2">
      <c r="A1392" t="s">
        <v>483</v>
      </c>
      <c r="B1392" t="s">
        <v>71</v>
      </c>
      <c r="C1392" t="s">
        <v>72</v>
      </c>
      <c r="D1392">
        <v>4570</v>
      </c>
      <c r="E1392">
        <v>2019</v>
      </c>
      <c r="F1392">
        <v>1</v>
      </c>
      <c r="G1392">
        <v>10369</v>
      </c>
      <c r="H1392" s="1">
        <v>1.5</v>
      </c>
      <c r="I1392">
        <v>33</v>
      </c>
      <c r="J1392">
        <f>IF($H1392=0,1,IF($I1392&lt;=1,2,0))</f>
        <v>0</v>
      </c>
      <c r="K1392">
        <v>0</v>
      </c>
      <c r="L1392">
        <f>IF(AND($J1392=0,$K1392=0),0,1)</f>
        <v>0</v>
      </c>
      <c r="M1392" t="s">
        <v>1936</v>
      </c>
    </row>
    <row r="1393" spans="1:13" x14ac:dyDescent="0.2">
      <c r="A1393" t="s">
        <v>483</v>
      </c>
      <c r="B1393" t="s">
        <v>71</v>
      </c>
      <c r="C1393" t="s">
        <v>72</v>
      </c>
      <c r="D1393">
        <v>4571</v>
      </c>
      <c r="E1393">
        <v>2019</v>
      </c>
      <c r="F1393">
        <v>1</v>
      </c>
      <c r="G1393">
        <v>14117</v>
      </c>
      <c r="H1393" s="1">
        <v>3</v>
      </c>
      <c r="I1393">
        <v>88</v>
      </c>
      <c r="J1393">
        <f>IF($H1393=0,1,IF($I1393&lt;=1,2,0))</f>
        <v>0</v>
      </c>
      <c r="K1393">
        <v>0</v>
      </c>
      <c r="L1393">
        <f>IF(AND($J1393=0,$K1393=0),0,1)</f>
        <v>0</v>
      </c>
    </row>
    <row r="1394" spans="1:13" x14ac:dyDescent="0.2">
      <c r="A1394" t="s">
        <v>483</v>
      </c>
      <c r="B1394" t="s">
        <v>71</v>
      </c>
      <c r="C1394" t="s">
        <v>72</v>
      </c>
      <c r="D1394">
        <v>4574</v>
      </c>
      <c r="E1394">
        <v>2019</v>
      </c>
      <c r="F1394">
        <v>1</v>
      </c>
      <c r="G1394">
        <v>18730</v>
      </c>
      <c r="H1394" s="1">
        <v>3</v>
      </c>
      <c r="I1394">
        <v>21</v>
      </c>
      <c r="J1394">
        <f>IF($H1394=0,1,IF($I1394&lt;=1,2,0))</f>
        <v>0</v>
      </c>
      <c r="K1394">
        <v>0</v>
      </c>
      <c r="L1394">
        <f>IF(AND($J1394=0,$K1394=0),0,1)</f>
        <v>0</v>
      </c>
    </row>
    <row r="1395" spans="1:13" x14ac:dyDescent="0.2">
      <c r="A1395" t="s">
        <v>483</v>
      </c>
      <c r="B1395" t="s">
        <v>71</v>
      </c>
      <c r="C1395" t="s">
        <v>72</v>
      </c>
      <c r="D1395">
        <v>4576</v>
      </c>
      <c r="E1395">
        <v>2019</v>
      </c>
      <c r="F1395">
        <v>1</v>
      </c>
      <c r="G1395">
        <v>10300</v>
      </c>
      <c r="H1395" s="1">
        <v>1.5</v>
      </c>
      <c r="I1395">
        <v>52</v>
      </c>
      <c r="J1395">
        <f>IF($H1395=0,1,IF($I1395&lt;=1,2,0))</f>
        <v>0</v>
      </c>
      <c r="K1395">
        <v>0</v>
      </c>
      <c r="L1395">
        <f>IF(AND($J1395=0,$K1395=0),0,1)</f>
        <v>0</v>
      </c>
      <c r="M1395" t="s">
        <v>492</v>
      </c>
    </row>
    <row r="1396" spans="1:13" x14ac:dyDescent="0.2">
      <c r="A1396" t="s">
        <v>483</v>
      </c>
      <c r="B1396" t="s">
        <v>71</v>
      </c>
      <c r="C1396" t="s">
        <v>72</v>
      </c>
      <c r="D1396">
        <v>4578</v>
      </c>
      <c r="E1396">
        <v>2019</v>
      </c>
      <c r="F1396">
        <v>1</v>
      </c>
      <c r="G1396">
        <v>10295</v>
      </c>
      <c r="H1396" s="1">
        <v>3</v>
      </c>
      <c r="I1396">
        <v>98</v>
      </c>
      <c r="J1396">
        <f>IF($H1396=0,1,IF($I1396&lt;=1,2,0))</f>
        <v>0</v>
      </c>
      <c r="K1396">
        <v>0</v>
      </c>
      <c r="L1396">
        <f>IF(AND($J1396=0,$K1396=0),0,1)</f>
        <v>0</v>
      </c>
      <c r="M1396" t="s">
        <v>490</v>
      </c>
    </row>
    <row r="1397" spans="1:13" x14ac:dyDescent="0.2">
      <c r="A1397" t="s">
        <v>483</v>
      </c>
      <c r="B1397" t="s">
        <v>71</v>
      </c>
      <c r="C1397" t="s">
        <v>72</v>
      </c>
      <c r="D1397">
        <v>4620</v>
      </c>
      <c r="E1397">
        <v>2019</v>
      </c>
      <c r="F1397">
        <v>1</v>
      </c>
      <c r="G1397">
        <v>10287</v>
      </c>
      <c r="H1397" s="1">
        <v>3</v>
      </c>
      <c r="I1397">
        <v>50</v>
      </c>
      <c r="J1397">
        <f>IF($H1397=0,1,IF($I1397&lt;=1,2,0))</f>
        <v>0</v>
      </c>
      <c r="K1397">
        <v>0</v>
      </c>
      <c r="L1397">
        <f>IF(AND($J1397=0,$K1397=0),0,1)</f>
        <v>0</v>
      </c>
    </row>
    <row r="1398" spans="1:13" x14ac:dyDescent="0.2">
      <c r="A1398" t="s">
        <v>483</v>
      </c>
      <c r="B1398" t="s">
        <v>71</v>
      </c>
      <c r="C1398" t="s">
        <v>72</v>
      </c>
      <c r="D1398">
        <v>4650</v>
      </c>
      <c r="E1398">
        <v>2019</v>
      </c>
      <c r="F1398">
        <v>1</v>
      </c>
      <c r="G1398">
        <v>10301</v>
      </c>
      <c r="H1398" s="1">
        <v>3</v>
      </c>
      <c r="I1398">
        <v>56</v>
      </c>
      <c r="J1398">
        <f>IF($H1398=0,1,IF($I1398&lt;=1,2,0))</f>
        <v>0</v>
      </c>
      <c r="K1398">
        <v>0</v>
      </c>
      <c r="L1398">
        <f>IF(AND($J1398=0,$K1398=0),0,1)</f>
        <v>0</v>
      </c>
    </row>
    <row r="1399" spans="1:13" x14ac:dyDescent="0.2">
      <c r="A1399" t="s">
        <v>483</v>
      </c>
      <c r="B1399" t="s">
        <v>71</v>
      </c>
      <c r="C1399" t="s">
        <v>72</v>
      </c>
      <c r="D1399">
        <v>4650</v>
      </c>
      <c r="E1399">
        <v>2019</v>
      </c>
      <c r="F1399">
        <v>2</v>
      </c>
      <c r="G1399">
        <v>10302</v>
      </c>
      <c r="H1399" s="1">
        <v>3</v>
      </c>
      <c r="I1399">
        <v>56</v>
      </c>
      <c r="J1399">
        <f>IF($H1399=0,1,IF($I1399&lt;=1,2,0))</f>
        <v>0</v>
      </c>
      <c r="K1399">
        <v>0</v>
      </c>
      <c r="L1399">
        <f>IF(AND($J1399=0,$K1399=0),0,1)</f>
        <v>0</v>
      </c>
    </row>
    <row r="1400" spans="1:13" x14ac:dyDescent="0.2">
      <c r="A1400" t="s">
        <v>483</v>
      </c>
      <c r="B1400" t="s">
        <v>71</v>
      </c>
      <c r="C1400" t="s">
        <v>72</v>
      </c>
      <c r="D1400">
        <v>4700</v>
      </c>
      <c r="E1400">
        <v>2019</v>
      </c>
      <c r="F1400">
        <v>1</v>
      </c>
      <c r="G1400">
        <v>10272</v>
      </c>
      <c r="H1400" s="1">
        <v>3</v>
      </c>
      <c r="I1400">
        <v>35</v>
      </c>
      <c r="J1400">
        <f>IF($H1400=0,1,IF($I1400&lt;=1,2,0))</f>
        <v>0</v>
      </c>
      <c r="K1400">
        <v>0</v>
      </c>
      <c r="L1400">
        <f>IF(AND($J1400=0,$K1400=0),0,1)</f>
        <v>0</v>
      </c>
    </row>
    <row r="1401" spans="1:13" x14ac:dyDescent="0.2">
      <c r="A1401" t="s">
        <v>483</v>
      </c>
      <c r="B1401" t="s">
        <v>71</v>
      </c>
      <c r="C1401" t="s">
        <v>72</v>
      </c>
      <c r="D1401">
        <v>4700</v>
      </c>
      <c r="E1401">
        <v>2019</v>
      </c>
      <c r="F1401" t="s">
        <v>84</v>
      </c>
      <c r="G1401">
        <v>16411</v>
      </c>
      <c r="H1401" s="1">
        <v>3</v>
      </c>
      <c r="I1401">
        <v>6</v>
      </c>
      <c r="J1401">
        <f>IF($H1401=0,1,IF($I1401&lt;=1,2,0))</f>
        <v>0</v>
      </c>
      <c r="K1401">
        <v>0</v>
      </c>
      <c r="L1401">
        <f>IF(AND($J1401=0,$K1401=0),0,1)</f>
        <v>0</v>
      </c>
      <c r="M1401" t="s">
        <v>85</v>
      </c>
    </row>
    <row r="1402" spans="1:13" x14ac:dyDescent="0.2">
      <c r="A1402" t="s">
        <v>483</v>
      </c>
      <c r="B1402" t="s">
        <v>71</v>
      </c>
      <c r="C1402" t="s">
        <v>72</v>
      </c>
      <c r="D1402">
        <v>4706</v>
      </c>
      <c r="E1402">
        <v>2019</v>
      </c>
      <c r="F1402">
        <v>1</v>
      </c>
      <c r="G1402">
        <v>10273</v>
      </c>
      <c r="H1402" s="1">
        <v>3</v>
      </c>
      <c r="I1402">
        <v>95</v>
      </c>
      <c r="J1402">
        <f>IF($H1402=0,1,IF($I1402&lt;=1,2,0))</f>
        <v>0</v>
      </c>
      <c r="K1402">
        <v>0</v>
      </c>
      <c r="L1402">
        <f>IF(AND($J1402=0,$K1402=0),0,1)</f>
        <v>0</v>
      </c>
    </row>
    <row r="1403" spans="1:13" x14ac:dyDescent="0.2">
      <c r="A1403" t="s">
        <v>483</v>
      </c>
      <c r="B1403" t="s">
        <v>71</v>
      </c>
      <c r="C1403" t="s">
        <v>72</v>
      </c>
      <c r="D1403">
        <v>4710</v>
      </c>
      <c r="E1403">
        <v>2019</v>
      </c>
      <c r="F1403">
        <v>1</v>
      </c>
      <c r="G1403">
        <v>10373</v>
      </c>
      <c r="H1403" s="1">
        <v>3</v>
      </c>
      <c r="I1403">
        <v>7</v>
      </c>
      <c r="J1403">
        <f>IF($H1403=0,1,IF($I1403&lt;=1,2,0))</f>
        <v>0</v>
      </c>
      <c r="K1403">
        <v>0</v>
      </c>
      <c r="L1403">
        <f>IF(AND($J1403=0,$K1403=0),0,1)</f>
        <v>0</v>
      </c>
    </row>
    <row r="1404" spans="1:13" x14ac:dyDescent="0.2">
      <c r="A1404" t="s">
        <v>483</v>
      </c>
      <c r="B1404" t="s">
        <v>71</v>
      </c>
      <c r="C1404" t="s">
        <v>72</v>
      </c>
      <c r="D1404">
        <v>4711</v>
      </c>
      <c r="E1404">
        <v>2019</v>
      </c>
      <c r="F1404">
        <v>1</v>
      </c>
      <c r="G1404">
        <v>10274</v>
      </c>
      <c r="H1404" s="1">
        <v>3</v>
      </c>
      <c r="I1404">
        <v>53</v>
      </c>
      <c r="J1404">
        <f>IF($H1404=0,1,IF($I1404&lt;=1,2,0))</f>
        <v>0</v>
      </c>
      <c r="K1404">
        <v>0</v>
      </c>
      <c r="L1404">
        <f>IF(AND($J1404=0,$K1404=0),0,1)</f>
        <v>0</v>
      </c>
    </row>
    <row r="1405" spans="1:13" x14ac:dyDescent="0.2">
      <c r="A1405" t="s">
        <v>483</v>
      </c>
      <c r="B1405" t="s">
        <v>71</v>
      </c>
      <c r="C1405" t="s">
        <v>72</v>
      </c>
      <c r="D1405">
        <v>4722</v>
      </c>
      <c r="E1405">
        <v>2019</v>
      </c>
      <c r="F1405">
        <v>1</v>
      </c>
      <c r="G1405">
        <v>10644</v>
      </c>
      <c r="H1405" s="1">
        <v>3</v>
      </c>
      <c r="I1405">
        <v>8</v>
      </c>
      <c r="J1405">
        <f>IF($H1405=0,1,IF($I1405&lt;=1,2,0))</f>
        <v>0</v>
      </c>
      <c r="K1405">
        <v>0</v>
      </c>
      <c r="L1405">
        <f>IF(AND($J1405=0,$K1405=0),0,1)</f>
        <v>0</v>
      </c>
      <c r="M1405" t="s">
        <v>493</v>
      </c>
    </row>
    <row r="1406" spans="1:13" x14ac:dyDescent="0.2">
      <c r="A1406" t="s">
        <v>483</v>
      </c>
      <c r="B1406" t="s">
        <v>71</v>
      </c>
      <c r="C1406" t="s">
        <v>72</v>
      </c>
      <c r="D1406">
        <v>4723</v>
      </c>
      <c r="E1406">
        <v>2019</v>
      </c>
      <c r="F1406">
        <v>1</v>
      </c>
      <c r="G1406">
        <v>15293</v>
      </c>
      <c r="H1406" s="1">
        <v>1.5</v>
      </c>
      <c r="I1406">
        <v>24</v>
      </c>
      <c r="J1406">
        <f>IF($H1406=0,1,IF($I1406&lt;=1,2,0))</f>
        <v>0</v>
      </c>
      <c r="K1406">
        <v>0</v>
      </c>
      <c r="L1406">
        <f>IF(AND($J1406=0,$K1406=0),0,1)</f>
        <v>0</v>
      </c>
      <c r="M1406" t="s">
        <v>494</v>
      </c>
    </row>
    <row r="1407" spans="1:13" x14ac:dyDescent="0.2">
      <c r="A1407" t="s">
        <v>483</v>
      </c>
      <c r="B1407" t="s">
        <v>71</v>
      </c>
      <c r="C1407" t="s">
        <v>72</v>
      </c>
      <c r="D1407">
        <v>4725</v>
      </c>
      <c r="E1407">
        <v>2019</v>
      </c>
      <c r="F1407">
        <v>1</v>
      </c>
      <c r="G1407">
        <v>17772</v>
      </c>
      <c r="H1407" s="1">
        <v>1.5</v>
      </c>
      <c r="I1407">
        <v>15</v>
      </c>
      <c r="J1407">
        <f>IF($H1407=0,1,IF($I1407&lt;=1,2,0))</f>
        <v>0</v>
      </c>
      <c r="K1407">
        <v>0</v>
      </c>
      <c r="L1407">
        <f>IF(AND($J1407=0,$K1407=0),0,1)</f>
        <v>0</v>
      </c>
      <c r="M1407" t="s">
        <v>495</v>
      </c>
    </row>
    <row r="1408" spans="1:13" x14ac:dyDescent="0.2">
      <c r="A1408" t="s">
        <v>483</v>
      </c>
      <c r="B1408" t="s">
        <v>71</v>
      </c>
      <c r="C1408" t="s">
        <v>72</v>
      </c>
      <c r="D1408">
        <v>4726</v>
      </c>
      <c r="E1408">
        <v>2019</v>
      </c>
      <c r="F1408">
        <v>1</v>
      </c>
      <c r="G1408">
        <v>10286</v>
      </c>
      <c r="H1408" s="1">
        <v>3</v>
      </c>
      <c r="I1408">
        <v>59</v>
      </c>
      <c r="J1408">
        <f>IF($H1408=0,1,IF($I1408&lt;=1,2,0))</f>
        <v>0</v>
      </c>
      <c r="K1408">
        <v>0</v>
      </c>
      <c r="L1408">
        <f>IF(AND($J1408=0,$K1408=0),0,1)</f>
        <v>0</v>
      </c>
    </row>
    <row r="1409" spans="1:13" x14ac:dyDescent="0.2">
      <c r="A1409" t="s">
        <v>483</v>
      </c>
      <c r="B1409" t="s">
        <v>71</v>
      </c>
      <c r="C1409" t="s">
        <v>72</v>
      </c>
      <c r="D1409">
        <v>4726</v>
      </c>
      <c r="E1409">
        <v>2019</v>
      </c>
      <c r="F1409" t="s">
        <v>84</v>
      </c>
      <c r="G1409">
        <v>16414</v>
      </c>
      <c r="H1409" s="1">
        <v>3</v>
      </c>
      <c r="I1409">
        <v>5</v>
      </c>
      <c r="J1409">
        <f>IF($H1409=0,1,IF($I1409&lt;=1,2,0))</f>
        <v>0</v>
      </c>
      <c r="K1409">
        <v>0</v>
      </c>
      <c r="L1409">
        <f>IF(AND($J1409=0,$K1409=0),0,1)</f>
        <v>0</v>
      </c>
      <c r="M1409" t="s">
        <v>85</v>
      </c>
    </row>
    <row r="1410" spans="1:13" x14ac:dyDescent="0.2">
      <c r="A1410" t="s">
        <v>483</v>
      </c>
      <c r="B1410" t="s">
        <v>71</v>
      </c>
      <c r="C1410" t="s">
        <v>72</v>
      </c>
      <c r="D1410">
        <v>4727</v>
      </c>
      <c r="E1410">
        <v>2019</v>
      </c>
      <c r="F1410">
        <v>1</v>
      </c>
      <c r="G1410">
        <v>10293</v>
      </c>
      <c r="H1410" s="1">
        <v>3</v>
      </c>
      <c r="I1410">
        <v>21</v>
      </c>
      <c r="J1410">
        <f>IF($H1410=0,1,IF($I1410&lt;=1,2,0))</f>
        <v>0</v>
      </c>
      <c r="K1410">
        <v>0</v>
      </c>
      <c r="L1410">
        <f>IF(AND($J1410=0,$K1410=0),0,1)</f>
        <v>0</v>
      </c>
    </row>
    <row r="1411" spans="1:13" x14ac:dyDescent="0.2">
      <c r="A1411" t="s">
        <v>483</v>
      </c>
      <c r="B1411" t="s">
        <v>71</v>
      </c>
      <c r="C1411" t="s">
        <v>72</v>
      </c>
      <c r="D1411">
        <v>4729</v>
      </c>
      <c r="E1411">
        <v>2019</v>
      </c>
      <c r="F1411">
        <v>1</v>
      </c>
      <c r="G1411">
        <v>10275</v>
      </c>
      <c r="H1411" s="1">
        <v>3</v>
      </c>
      <c r="I1411">
        <v>95</v>
      </c>
      <c r="J1411">
        <f>IF($H1411=0,1,IF($I1411&lt;=1,2,0))</f>
        <v>0</v>
      </c>
      <c r="K1411">
        <v>0</v>
      </c>
      <c r="L1411">
        <f>IF(AND($J1411=0,$K1411=0),0,1)</f>
        <v>0</v>
      </c>
    </row>
    <row r="1412" spans="1:13" x14ac:dyDescent="0.2">
      <c r="A1412" t="s">
        <v>483</v>
      </c>
      <c r="B1412" t="s">
        <v>71</v>
      </c>
      <c r="C1412" t="s">
        <v>72</v>
      </c>
      <c r="D1412">
        <v>4731</v>
      </c>
      <c r="E1412">
        <v>2019</v>
      </c>
      <c r="F1412">
        <v>1</v>
      </c>
      <c r="G1412">
        <v>10276</v>
      </c>
      <c r="H1412" s="1">
        <v>3</v>
      </c>
      <c r="I1412">
        <v>26</v>
      </c>
      <c r="J1412">
        <f>IF($H1412=0,1,IF($I1412&lt;=1,2,0))</f>
        <v>0</v>
      </c>
      <c r="K1412">
        <v>0</v>
      </c>
      <c r="L1412">
        <f>IF(AND($J1412=0,$K1412=0),0,1)</f>
        <v>0</v>
      </c>
    </row>
    <row r="1413" spans="1:13" x14ac:dyDescent="0.2">
      <c r="A1413" t="s">
        <v>483</v>
      </c>
      <c r="B1413" t="s">
        <v>71</v>
      </c>
      <c r="C1413" t="s">
        <v>72</v>
      </c>
      <c r="D1413">
        <v>4732</v>
      </c>
      <c r="E1413">
        <v>2019</v>
      </c>
      <c r="F1413">
        <v>1</v>
      </c>
      <c r="G1413">
        <v>10292</v>
      </c>
      <c r="H1413" s="1">
        <v>3</v>
      </c>
      <c r="I1413">
        <v>39</v>
      </c>
      <c r="J1413">
        <f>IF($H1413=0,1,IF($I1413&lt;=1,2,0))</f>
        <v>0</v>
      </c>
      <c r="K1413">
        <v>0</v>
      </c>
      <c r="L1413">
        <f>IF(AND($J1413=0,$K1413=0),0,1)</f>
        <v>0</v>
      </c>
    </row>
    <row r="1414" spans="1:13" x14ac:dyDescent="0.2">
      <c r="A1414" t="s">
        <v>483</v>
      </c>
      <c r="B1414" t="s">
        <v>71</v>
      </c>
      <c r="C1414" t="s">
        <v>72</v>
      </c>
      <c r="D1414">
        <v>4735</v>
      </c>
      <c r="E1414">
        <v>2019</v>
      </c>
      <c r="F1414">
        <v>1</v>
      </c>
      <c r="G1414">
        <v>10277</v>
      </c>
      <c r="H1414" s="1">
        <v>3</v>
      </c>
      <c r="I1414">
        <v>64</v>
      </c>
      <c r="J1414">
        <f>IF($H1414=0,1,IF($I1414&lt;=1,2,0))</f>
        <v>0</v>
      </c>
      <c r="K1414">
        <v>0</v>
      </c>
      <c r="L1414">
        <f>IF(AND($J1414=0,$K1414=0),0,1)</f>
        <v>0</v>
      </c>
    </row>
    <row r="1415" spans="1:13" x14ac:dyDescent="0.2">
      <c r="A1415" t="s">
        <v>483</v>
      </c>
      <c r="B1415" t="s">
        <v>71</v>
      </c>
      <c r="C1415" t="s">
        <v>72</v>
      </c>
      <c r="D1415">
        <v>4742</v>
      </c>
      <c r="E1415">
        <v>2019</v>
      </c>
      <c r="F1415">
        <v>1</v>
      </c>
      <c r="G1415">
        <v>14015</v>
      </c>
      <c r="H1415" s="1">
        <v>3</v>
      </c>
      <c r="I1415">
        <v>60</v>
      </c>
      <c r="J1415">
        <f>IF($H1415=0,1,IF($I1415&lt;=1,2,0))</f>
        <v>0</v>
      </c>
      <c r="K1415">
        <v>0</v>
      </c>
      <c r="L1415">
        <f>IF(AND($J1415=0,$K1415=0),0,1)</f>
        <v>0</v>
      </c>
    </row>
    <row r="1416" spans="1:13" x14ac:dyDescent="0.2">
      <c r="A1416" t="s">
        <v>483</v>
      </c>
      <c r="B1416" t="s">
        <v>71</v>
      </c>
      <c r="C1416" t="s">
        <v>72</v>
      </c>
      <c r="D1416">
        <v>4742</v>
      </c>
      <c r="E1416">
        <v>2019</v>
      </c>
      <c r="F1416" t="s">
        <v>84</v>
      </c>
      <c r="G1416">
        <v>18213</v>
      </c>
      <c r="H1416" s="1">
        <v>3</v>
      </c>
      <c r="I1416">
        <v>4</v>
      </c>
      <c r="J1416">
        <f>IF($H1416=0,1,IF($I1416&lt;=1,2,0))</f>
        <v>0</v>
      </c>
      <c r="K1416">
        <v>0</v>
      </c>
      <c r="L1416">
        <f>IF(AND($J1416=0,$K1416=0),0,1)</f>
        <v>0</v>
      </c>
    </row>
    <row r="1417" spans="1:13" x14ac:dyDescent="0.2">
      <c r="A1417" t="s">
        <v>483</v>
      </c>
      <c r="B1417" t="s">
        <v>71</v>
      </c>
      <c r="C1417" t="s">
        <v>72</v>
      </c>
      <c r="D1417">
        <v>6613</v>
      </c>
      <c r="E1417">
        <v>2019</v>
      </c>
      <c r="F1417">
        <v>1</v>
      </c>
      <c r="G1417">
        <v>10278</v>
      </c>
      <c r="H1417" s="1">
        <v>4.5</v>
      </c>
      <c r="I1417">
        <v>36</v>
      </c>
      <c r="J1417">
        <f>IF($H1417=0,1,IF($I1417&lt;=1,2,0))</f>
        <v>0</v>
      </c>
      <c r="K1417">
        <v>0</v>
      </c>
      <c r="L1417">
        <f>IF(AND($J1417=0,$K1417=0),0,1)</f>
        <v>0</v>
      </c>
    </row>
    <row r="1418" spans="1:13" x14ac:dyDescent="0.2">
      <c r="A1418" t="s">
        <v>483</v>
      </c>
      <c r="B1418" t="s">
        <v>71</v>
      </c>
      <c r="C1418" t="s">
        <v>72</v>
      </c>
      <c r="D1418">
        <v>6617</v>
      </c>
      <c r="E1418">
        <v>2019</v>
      </c>
      <c r="F1418">
        <v>1</v>
      </c>
      <c r="G1418">
        <v>14016</v>
      </c>
      <c r="H1418" s="1">
        <v>3</v>
      </c>
      <c r="I1418">
        <v>13</v>
      </c>
      <c r="J1418">
        <f>IF($H1418=0,1,IF($I1418&lt;=1,2,0))</f>
        <v>0</v>
      </c>
      <c r="K1418">
        <v>0</v>
      </c>
      <c r="L1418">
        <f>IF(AND($J1418=0,$K1418=0),0,1)</f>
        <v>0</v>
      </c>
    </row>
    <row r="1419" spans="1:13" x14ac:dyDescent="0.2">
      <c r="A1419" t="s">
        <v>483</v>
      </c>
      <c r="B1419" t="s">
        <v>71</v>
      </c>
      <c r="C1419" t="s">
        <v>72</v>
      </c>
      <c r="D1419">
        <v>6711</v>
      </c>
      <c r="E1419">
        <v>2019</v>
      </c>
      <c r="F1419">
        <v>1</v>
      </c>
      <c r="G1419">
        <v>10279</v>
      </c>
      <c r="H1419" s="1">
        <v>4.5</v>
      </c>
      <c r="I1419">
        <v>28</v>
      </c>
      <c r="J1419">
        <f>IF($H1419=0,1,IF($I1419&lt;=1,2,0))</f>
        <v>0</v>
      </c>
      <c r="K1419">
        <v>0</v>
      </c>
      <c r="L1419">
        <f>IF(AND($J1419=0,$K1419=0),0,1)</f>
        <v>0</v>
      </c>
    </row>
    <row r="1420" spans="1:13" x14ac:dyDescent="0.2">
      <c r="A1420" t="s">
        <v>483</v>
      </c>
      <c r="B1420" t="s">
        <v>71</v>
      </c>
      <c r="C1420" t="s">
        <v>72</v>
      </c>
      <c r="D1420">
        <v>8100</v>
      </c>
      <c r="E1420">
        <v>2019</v>
      </c>
      <c r="F1420">
        <v>5</v>
      </c>
      <c r="G1420">
        <v>13418</v>
      </c>
      <c r="H1420" s="1">
        <v>3</v>
      </c>
      <c r="I1420">
        <v>13</v>
      </c>
      <c r="J1420">
        <f>IF($H1420=0,1,IF($I1420&lt;=1,2,0))</f>
        <v>0</v>
      </c>
      <c r="K1420">
        <v>0</v>
      </c>
      <c r="L1420">
        <f>IF(AND($J1420=0,$K1420=0),0,1)</f>
        <v>0</v>
      </c>
    </row>
    <row r="1421" spans="1:13" x14ac:dyDescent="0.2">
      <c r="A1421" t="s">
        <v>483</v>
      </c>
      <c r="B1421" t="s">
        <v>71</v>
      </c>
      <c r="C1421" t="s">
        <v>72</v>
      </c>
      <c r="D1421">
        <v>8100</v>
      </c>
      <c r="E1421">
        <v>2019</v>
      </c>
      <c r="F1421">
        <v>4</v>
      </c>
      <c r="G1421">
        <v>10375</v>
      </c>
      <c r="H1421" s="1">
        <v>3</v>
      </c>
      <c r="I1421">
        <v>9</v>
      </c>
      <c r="J1421">
        <f>IF($H1421=0,1,IF($I1421&lt;=1,2,0))</f>
        <v>0</v>
      </c>
      <c r="K1421">
        <v>0</v>
      </c>
      <c r="L1421">
        <f>IF(AND($J1421=0,$K1421=0),0,1)</f>
        <v>0</v>
      </c>
    </row>
    <row r="1422" spans="1:13" x14ac:dyDescent="0.2">
      <c r="A1422" t="s">
        <v>483</v>
      </c>
      <c r="B1422" t="s">
        <v>71</v>
      </c>
      <c r="C1422" t="s">
        <v>72</v>
      </c>
      <c r="D1422">
        <v>8100</v>
      </c>
      <c r="E1422">
        <v>2019</v>
      </c>
      <c r="F1422">
        <v>1</v>
      </c>
      <c r="G1422">
        <v>10284</v>
      </c>
      <c r="H1422" s="1">
        <v>3</v>
      </c>
      <c r="I1422">
        <v>5</v>
      </c>
      <c r="J1422">
        <f>IF($H1422=0,1,IF($I1422&lt;=1,2,0))</f>
        <v>0</v>
      </c>
      <c r="K1422">
        <v>0</v>
      </c>
      <c r="L1422">
        <f>IF(AND($J1422=0,$K1422=0),0,1)</f>
        <v>0</v>
      </c>
    </row>
    <row r="1423" spans="1:13" x14ac:dyDescent="0.2">
      <c r="A1423" t="s">
        <v>498</v>
      </c>
      <c r="B1423" t="s">
        <v>6</v>
      </c>
      <c r="C1423" t="s">
        <v>382</v>
      </c>
      <c r="D1423">
        <v>4409</v>
      </c>
      <c r="E1423">
        <v>2019</v>
      </c>
      <c r="F1423">
        <v>1</v>
      </c>
      <c r="G1423">
        <v>14113</v>
      </c>
      <c r="H1423" s="1">
        <v>1.5</v>
      </c>
      <c r="I1423">
        <v>16</v>
      </c>
      <c r="J1423">
        <f>IF($H1423=0,1,IF($I1423&lt;=1,2,0))</f>
        <v>0</v>
      </c>
      <c r="K1423">
        <v>0</v>
      </c>
      <c r="L1423">
        <f>IF(AND($J1423=0,$K1423=0),0,1)</f>
        <v>0</v>
      </c>
      <c r="M1423" t="s">
        <v>499</v>
      </c>
    </row>
    <row r="1424" spans="1:13" x14ac:dyDescent="0.2">
      <c r="A1424" t="s">
        <v>522</v>
      </c>
      <c r="B1424" t="s">
        <v>17</v>
      </c>
      <c r="C1424" t="s">
        <v>9</v>
      </c>
      <c r="D1424">
        <v>1101</v>
      </c>
      <c r="E1424">
        <v>2019</v>
      </c>
      <c r="F1424">
        <v>1</v>
      </c>
      <c r="G1424">
        <v>55369</v>
      </c>
      <c r="H1424" s="1">
        <v>4</v>
      </c>
      <c r="I1424">
        <v>6</v>
      </c>
      <c r="J1424">
        <f>IF($H1424=0,1,IF($I1424&lt;=1,2,0))</f>
        <v>0</v>
      </c>
      <c r="K1424">
        <v>0</v>
      </c>
      <c r="L1424">
        <f>IF(AND($J1424=0,$K1424=0),0,1)</f>
        <v>0</v>
      </c>
    </row>
    <row r="1425" spans="1:13" x14ac:dyDescent="0.2">
      <c r="A1425" t="s">
        <v>522</v>
      </c>
      <c r="B1425" t="s">
        <v>17</v>
      </c>
      <c r="C1425" t="s">
        <v>9</v>
      </c>
      <c r="D1425">
        <v>2101</v>
      </c>
      <c r="E1425">
        <v>2019</v>
      </c>
      <c r="F1425">
        <v>1</v>
      </c>
      <c r="G1425">
        <v>55370</v>
      </c>
      <c r="H1425" s="1">
        <v>4</v>
      </c>
      <c r="I1425">
        <v>3</v>
      </c>
      <c r="J1425">
        <f>IF($H1425=0,1,IF($I1425&lt;=1,2,0))</f>
        <v>0</v>
      </c>
      <c r="K1425">
        <v>0</v>
      </c>
      <c r="L1425">
        <f>IF(AND($J1425=0,$K1425=0),0,1)</f>
        <v>0</v>
      </c>
    </row>
    <row r="1426" spans="1:13" x14ac:dyDescent="0.2">
      <c r="A1426" t="s">
        <v>523</v>
      </c>
      <c r="B1426" t="s">
        <v>17</v>
      </c>
      <c r="C1426" t="s">
        <v>9</v>
      </c>
      <c r="D1426">
        <v>3920</v>
      </c>
      <c r="E1426">
        <v>2019</v>
      </c>
      <c r="F1426">
        <v>1</v>
      </c>
      <c r="G1426">
        <v>85406</v>
      </c>
      <c r="H1426" s="1">
        <v>4</v>
      </c>
      <c r="I1426">
        <v>15</v>
      </c>
      <c r="J1426">
        <f>IF($H1426=0,1,IF($I1426&lt;=1,2,0))</f>
        <v>0</v>
      </c>
      <c r="K1426">
        <v>0</v>
      </c>
      <c r="L1426">
        <f>IF(AND($J1426=0,$K1426=0),0,1)</f>
        <v>0</v>
      </c>
    </row>
    <row r="1427" spans="1:13" x14ac:dyDescent="0.2">
      <c r="A1427" t="s">
        <v>524</v>
      </c>
      <c r="B1427" t="s">
        <v>6</v>
      </c>
      <c r="C1427" t="s">
        <v>11</v>
      </c>
      <c r="D1427">
        <v>5000</v>
      </c>
      <c r="E1427">
        <v>2019</v>
      </c>
      <c r="F1427">
        <v>1</v>
      </c>
      <c r="G1427">
        <v>13393</v>
      </c>
      <c r="H1427" s="1">
        <v>4</v>
      </c>
      <c r="I1427">
        <v>7</v>
      </c>
      <c r="J1427">
        <f>IF($H1427=0,1,IF($I1427&lt;=1,2,0))</f>
        <v>0</v>
      </c>
      <c r="K1427">
        <v>0</v>
      </c>
      <c r="L1427">
        <f>IF(AND($J1427=0,$K1427=0),0,1)</f>
        <v>0</v>
      </c>
    </row>
    <row r="1428" spans="1:13" x14ac:dyDescent="0.2">
      <c r="A1428" t="s">
        <v>525</v>
      </c>
      <c r="B1428" t="s">
        <v>17</v>
      </c>
      <c r="C1428" t="s">
        <v>9</v>
      </c>
      <c r="D1428">
        <v>1101</v>
      </c>
      <c r="E1428">
        <v>2019</v>
      </c>
      <c r="F1428">
        <v>6</v>
      </c>
      <c r="G1428">
        <v>98249</v>
      </c>
      <c r="H1428" s="1">
        <v>4</v>
      </c>
      <c r="I1428">
        <v>18</v>
      </c>
      <c r="J1428">
        <f>IF($H1428=0,1,IF($I1428&lt;=1,2,0))</f>
        <v>0</v>
      </c>
      <c r="K1428">
        <v>0</v>
      </c>
      <c r="L1428">
        <f>IF(AND($J1428=0,$K1428=0),0,1)</f>
        <v>0</v>
      </c>
    </row>
    <row r="1429" spans="1:13" x14ac:dyDescent="0.2">
      <c r="A1429" t="s">
        <v>525</v>
      </c>
      <c r="B1429" t="s">
        <v>17</v>
      </c>
      <c r="C1429" t="s">
        <v>9</v>
      </c>
      <c r="D1429">
        <v>1101</v>
      </c>
      <c r="E1429">
        <v>2019</v>
      </c>
      <c r="F1429">
        <v>5</v>
      </c>
      <c r="G1429">
        <v>55086</v>
      </c>
      <c r="H1429" s="1">
        <v>4</v>
      </c>
      <c r="I1429">
        <v>15</v>
      </c>
      <c r="J1429">
        <f>IF($H1429=0,1,IF($I1429&lt;=1,2,0))</f>
        <v>0</v>
      </c>
      <c r="K1429">
        <v>0</v>
      </c>
      <c r="L1429">
        <f>IF(AND($J1429=0,$K1429=0),0,1)</f>
        <v>0</v>
      </c>
    </row>
    <row r="1430" spans="1:13" x14ac:dyDescent="0.2">
      <c r="A1430" t="s">
        <v>525</v>
      </c>
      <c r="B1430" t="s">
        <v>17</v>
      </c>
      <c r="C1430" t="s">
        <v>9</v>
      </c>
      <c r="D1430">
        <v>1101</v>
      </c>
      <c r="E1430">
        <v>2019</v>
      </c>
      <c r="F1430">
        <v>8</v>
      </c>
      <c r="G1430">
        <v>98247</v>
      </c>
      <c r="H1430" s="1">
        <v>4</v>
      </c>
      <c r="I1430">
        <v>13</v>
      </c>
      <c r="J1430">
        <f>IF($H1430=0,1,IF($I1430&lt;=1,2,0))</f>
        <v>0</v>
      </c>
      <c r="K1430">
        <v>0</v>
      </c>
      <c r="L1430">
        <f>IF(AND($J1430=0,$K1430=0),0,1)</f>
        <v>0</v>
      </c>
    </row>
    <row r="1431" spans="1:13" x14ac:dyDescent="0.2">
      <c r="A1431" t="s">
        <v>525</v>
      </c>
      <c r="B1431" t="s">
        <v>17</v>
      </c>
      <c r="C1431" t="s">
        <v>9</v>
      </c>
      <c r="D1431">
        <v>1101</v>
      </c>
      <c r="E1431">
        <v>2019</v>
      </c>
      <c r="F1431">
        <v>1</v>
      </c>
      <c r="G1431">
        <v>55084</v>
      </c>
      <c r="H1431" s="1">
        <v>4</v>
      </c>
      <c r="I1431">
        <v>12</v>
      </c>
      <c r="J1431">
        <f>IF($H1431=0,1,IF($I1431&lt;=1,2,0))</f>
        <v>0</v>
      </c>
      <c r="K1431">
        <v>0</v>
      </c>
      <c r="L1431">
        <f>IF(AND($J1431=0,$K1431=0),0,1)</f>
        <v>0</v>
      </c>
    </row>
    <row r="1432" spans="1:13" x14ac:dyDescent="0.2">
      <c r="A1432" t="s">
        <v>525</v>
      </c>
      <c r="B1432" t="s">
        <v>17</v>
      </c>
      <c r="C1432" t="s">
        <v>9</v>
      </c>
      <c r="D1432">
        <v>1101</v>
      </c>
      <c r="E1432">
        <v>2019</v>
      </c>
      <c r="F1432">
        <v>4</v>
      </c>
      <c r="G1432">
        <v>55095</v>
      </c>
      <c r="H1432" s="1">
        <v>4</v>
      </c>
      <c r="I1432">
        <v>12</v>
      </c>
      <c r="J1432">
        <f>IF($H1432=0,1,IF($I1432&lt;=1,2,0))</f>
        <v>0</v>
      </c>
      <c r="K1432">
        <v>0</v>
      </c>
      <c r="L1432">
        <f>IF(AND($J1432=0,$K1432=0),0,1)</f>
        <v>0</v>
      </c>
    </row>
    <row r="1433" spans="1:13" x14ac:dyDescent="0.2">
      <c r="A1433" t="s">
        <v>525</v>
      </c>
      <c r="B1433" t="s">
        <v>17</v>
      </c>
      <c r="C1433" t="s">
        <v>9</v>
      </c>
      <c r="D1433">
        <v>1101</v>
      </c>
      <c r="E1433">
        <v>2019</v>
      </c>
      <c r="F1433">
        <v>7</v>
      </c>
      <c r="G1433">
        <v>98248</v>
      </c>
      <c r="H1433" s="1">
        <v>4</v>
      </c>
      <c r="I1433">
        <v>9</v>
      </c>
      <c r="J1433">
        <f>IF($H1433=0,1,IF($I1433&lt;=1,2,0))</f>
        <v>0</v>
      </c>
      <c r="K1433">
        <v>0</v>
      </c>
      <c r="L1433">
        <f>IF(AND($J1433=0,$K1433=0),0,1)</f>
        <v>0</v>
      </c>
    </row>
    <row r="1434" spans="1:13" x14ac:dyDescent="0.2">
      <c r="A1434" t="s">
        <v>525</v>
      </c>
      <c r="B1434" t="s">
        <v>17</v>
      </c>
      <c r="C1434" t="s">
        <v>9</v>
      </c>
      <c r="D1434">
        <v>1101</v>
      </c>
      <c r="E1434">
        <v>2019</v>
      </c>
      <c r="F1434">
        <v>2</v>
      </c>
      <c r="G1434">
        <v>55093</v>
      </c>
      <c r="H1434" s="1">
        <v>4</v>
      </c>
      <c r="I1434">
        <v>7</v>
      </c>
      <c r="J1434">
        <f>IF($H1434=0,1,IF($I1434&lt;=1,2,0))</f>
        <v>0</v>
      </c>
      <c r="K1434">
        <v>0</v>
      </c>
      <c r="L1434">
        <f>IF(AND($J1434=0,$K1434=0),0,1)</f>
        <v>0</v>
      </c>
    </row>
    <row r="1435" spans="1:13" x14ac:dyDescent="0.2">
      <c r="A1435" t="s">
        <v>525</v>
      </c>
      <c r="B1435" t="s">
        <v>17</v>
      </c>
      <c r="C1435" t="s">
        <v>9</v>
      </c>
      <c r="D1435">
        <v>1102</v>
      </c>
      <c r="E1435">
        <v>2019</v>
      </c>
      <c r="F1435">
        <v>1</v>
      </c>
      <c r="G1435">
        <v>55085</v>
      </c>
      <c r="H1435" s="1">
        <v>4</v>
      </c>
      <c r="I1435">
        <v>11</v>
      </c>
      <c r="J1435">
        <f>IF($H1435=0,1,IF($I1435&lt;=1,2,0))</f>
        <v>0</v>
      </c>
      <c r="K1435">
        <v>0</v>
      </c>
      <c r="L1435">
        <f>IF(AND($J1435=0,$K1435=0),0,1)</f>
        <v>0</v>
      </c>
      <c r="M1435" t="s">
        <v>526</v>
      </c>
    </row>
    <row r="1436" spans="1:13" x14ac:dyDescent="0.2">
      <c r="A1436" t="s">
        <v>525</v>
      </c>
      <c r="B1436" t="s">
        <v>17</v>
      </c>
      <c r="C1436" t="s">
        <v>9</v>
      </c>
      <c r="D1436">
        <v>1102</v>
      </c>
      <c r="E1436">
        <v>2019</v>
      </c>
      <c r="F1436">
        <v>2</v>
      </c>
      <c r="G1436">
        <v>55096</v>
      </c>
      <c r="H1436" s="1">
        <v>4</v>
      </c>
      <c r="I1436">
        <v>3</v>
      </c>
      <c r="J1436">
        <f>IF($H1436=0,1,IF($I1436&lt;=1,2,0))</f>
        <v>0</v>
      </c>
      <c r="K1436">
        <v>0</v>
      </c>
      <c r="L1436">
        <f>IF(AND($J1436=0,$K1436=0),0,1)</f>
        <v>0</v>
      </c>
      <c r="M1436" t="s">
        <v>526</v>
      </c>
    </row>
    <row r="1437" spans="1:13" x14ac:dyDescent="0.2">
      <c r="A1437" t="s">
        <v>525</v>
      </c>
      <c r="B1437" t="s">
        <v>17</v>
      </c>
      <c r="C1437" t="s">
        <v>21</v>
      </c>
      <c r="D1437">
        <v>1121</v>
      </c>
      <c r="E1437">
        <v>2019</v>
      </c>
      <c r="F1437">
        <v>1</v>
      </c>
      <c r="G1437">
        <v>98222</v>
      </c>
      <c r="H1437" s="1">
        <v>6</v>
      </c>
      <c r="I1437">
        <v>8</v>
      </c>
      <c r="J1437">
        <f>IF($H1437=0,1,IF($I1437&lt;=1,2,0))</f>
        <v>0</v>
      </c>
      <c r="K1437">
        <v>0</v>
      </c>
      <c r="L1437">
        <f>IF(AND($J1437=0,$K1437=0),0,1)</f>
        <v>0</v>
      </c>
    </row>
    <row r="1438" spans="1:13" x14ac:dyDescent="0.2">
      <c r="A1438" t="s">
        <v>525</v>
      </c>
      <c r="B1438" t="s">
        <v>17</v>
      </c>
      <c r="C1438" t="s">
        <v>9</v>
      </c>
      <c r="D1438">
        <v>1221</v>
      </c>
      <c r="E1438">
        <v>2019</v>
      </c>
      <c r="F1438">
        <v>1</v>
      </c>
      <c r="G1438">
        <v>98195</v>
      </c>
      <c r="H1438" s="1">
        <v>2</v>
      </c>
      <c r="I1438">
        <v>4</v>
      </c>
      <c r="J1438">
        <f>IF($H1438=0,1,IF($I1438&lt;=1,2,0))</f>
        <v>0</v>
      </c>
      <c r="K1438">
        <v>0</v>
      </c>
      <c r="L1438">
        <f>IF(AND($J1438=0,$K1438=0),0,1)</f>
        <v>0</v>
      </c>
    </row>
    <row r="1439" spans="1:13" x14ac:dyDescent="0.2">
      <c r="A1439" t="s">
        <v>525</v>
      </c>
      <c r="B1439" t="s">
        <v>17</v>
      </c>
      <c r="C1439" t="s">
        <v>9</v>
      </c>
      <c r="D1439">
        <v>1311</v>
      </c>
      <c r="E1439">
        <v>2019</v>
      </c>
      <c r="F1439">
        <v>1</v>
      </c>
      <c r="G1439">
        <v>98219</v>
      </c>
      <c r="H1439" s="1">
        <v>2</v>
      </c>
      <c r="I1439">
        <v>8</v>
      </c>
      <c r="J1439">
        <f>IF($H1439=0,1,IF($I1439&lt;=1,2,0))</f>
        <v>0</v>
      </c>
      <c r="K1439">
        <v>0</v>
      </c>
      <c r="L1439">
        <f>IF(AND($J1439=0,$K1439=0),0,1)</f>
        <v>0</v>
      </c>
    </row>
    <row r="1440" spans="1:13" x14ac:dyDescent="0.2">
      <c r="A1440" t="s">
        <v>525</v>
      </c>
      <c r="B1440" t="s">
        <v>17</v>
      </c>
      <c r="C1440" t="s">
        <v>9</v>
      </c>
      <c r="D1440">
        <v>2101</v>
      </c>
      <c r="E1440">
        <v>2019</v>
      </c>
      <c r="F1440">
        <v>5</v>
      </c>
      <c r="G1440">
        <v>98216</v>
      </c>
      <c r="H1440" s="1">
        <v>4</v>
      </c>
      <c r="I1440">
        <v>11</v>
      </c>
      <c r="J1440">
        <f>IF($H1440=0,1,IF($I1440&lt;=1,2,0))</f>
        <v>0</v>
      </c>
      <c r="K1440">
        <v>0</v>
      </c>
      <c r="L1440">
        <f>IF(AND($J1440=0,$K1440=0),0,1)</f>
        <v>0</v>
      </c>
      <c r="M1440" t="s">
        <v>526</v>
      </c>
    </row>
    <row r="1441" spans="1:13" x14ac:dyDescent="0.2">
      <c r="A1441" t="s">
        <v>525</v>
      </c>
      <c r="B1441" t="s">
        <v>17</v>
      </c>
      <c r="C1441" t="s">
        <v>9</v>
      </c>
      <c r="D1441">
        <v>2101</v>
      </c>
      <c r="E1441">
        <v>2019</v>
      </c>
      <c r="F1441">
        <v>1</v>
      </c>
      <c r="G1441">
        <v>55097</v>
      </c>
      <c r="H1441" s="1">
        <v>4</v>
      </c>
      <c r="I1441">
        <v>7</v>
      </c>
      <c r="J1441">
        <f>IF($H1441=0,1,IF($I1441&lt;=1,2,0))</f>
        <v>0</v>
      </c>
      <c r="K1441">
        <v>0</v>
      </c>
      <c r="L1441">
        <f>IF(AND($J1441=0,$K1441=0),0,1)</f>
        <v>0</v>
      </c>
      <c r="M1441" t="s">
        <v>527</v>
      </c>
    </row>
    <row r="1442" spans="1:13" x14ac:dyDescent="0.2">
      <c r="A1442" t="s">
        <v>525</v>
      </c>
      <c r="B1442" t="s">
        <v>17</v>
      </c>
      <c r="C1442" t="s">
        <v>9</v>
      </c>
      <c r="D1442">
        <v>2101</v>
      </c>
      <c r="E1442">
        <v>2019</v>
      </c>
      <c r="F1442">
        <v>3</v>
      </c>
      <c r="G1442">
        <v>55098</v>
      </c>
      <c r="H1442" s="1">
        <v>4</v>
      </c>
      <c r="I1442">
        <v>7</v>
      </c>
      <c r="J1442">
        <f>IF($H1442=0,1,IF($I1442&lt;=1,2,0))</f>
        <v>0</v>
      </c>
      <c r="K1442">
        <v>0</v>
      </c>
      <c r="L1442">
        <f>IF(AND($J1442=0,$K1442=0),0,1)</f>
        <v>0</v>
      </c>
      <c r="M1442" t="s">
        <v>526</v>
      </c>
    </row>
    <row r="1443" spans="1:13" x14ac:dyDescent="0.2">
      <c r="A1443" t="s">
        <v>525</v>
      </c>
      <c r="B1443" t="s">
        <v>17</v>
      </c>
      <c r="C1443" t="s">
        <v>9</v>
      </c>
      <c r="D1443">
        <v>2101</v>
      </c>
      <c r="E1443">
        <v>2019</v>
      </c>
      <c r="F1443">
        <v>6</v>
      </c>
      <c r="G1443">
        <v>98212</v>
      </c>
      <c r="H1443" s="1">
        <v>4</v>
      </c>
      <c r="I1443">
        <v>7</v>
      </c>
      <c r="J1443">
        <f>IF($H1443=0,1,IF($I1443&lt;=1,2,0))</f>
        <v>0</v>
      </c>
      <c r="K1443">
        <v>0</v>
      </c>
      <c r="L1443">
        <f>IF(AND($J1443=0,$K1443=0),0,1)</f>
        <v>0</v>
      </c>
      <c r="M1443" t="s">
        <v>526</v>
      </c>
    </row>
    <row r="1444" spans="1:13" x14ac:dyDescent="0.2">
      <c r="A1444" t="s">
        <v>525</v>
      </c>
      <c r="B1444" t="s">
        <v>17</v>
      </c>
      <c r="C1444" t="s">
        <v>9</v>
      </c>
      <c r="D1444">
        <v>2101</v>
      </c>
      <c r="E1444">
        <v>2019</v>
      </c>
      <c r="F1444">
        <v>2</v>
      </c>
      <c r="G1444">
        <v>55100</v>
      </c>
      <c r="H1444" s="1">
        <v>4</v>
      </c>
      <c r="I1444">
        <v>5</v>
      </c>
      <c r="J1444">
        <f>IF($H1444=0,1,IF($I1444&lt;=1,2,0))</f>
        <v>0</v>
      </c>
      <c r="K1444">
        <v>0</v>
      </c>
      <c r="L1444">
        <f>IF(AND($J1444=0,$K1444=0),0,1)</f>
        <v>0</v>
      </c>
      <c r="M1444" t="s">
        <v>526</v>
      </c>
    </row>
    <row r="1445" spans="1:13" x14ac:dyDescent="0.2">
      <c r="A1445" t="s">
        <v>525</v>
      </c>
      <c r="B1445" t="s">
        <v>17</v>
      </c>
      <c r="C1445" t="s">
        <v>9</v>
      </c>
      <c r="D1445">
        <v>2101</v>
      </c>
      <c r="E1445">
        <v>2019</v>
      </c>
      <c r="F1445">
        <v>4</v>
      </c>
      <c r="G1445">
        <v>55099</v>
      </c>
      <c r="H1445" s="1">
        <v>4</v>
      </c>
      <c r="I1445">
        <v>5</v>
      </c>
      <c r="J1445">
        <f>IF($H1445=0,1,IF($I1445&lt;=1,2,0))</f>
        <v>0</v>
      </c>
      <c r="K1445">
        <v>0</v>
      </c>
      <c r="L1445">
        <f>IF(AND($J1445=0,$K1445=0),0,1)</f>
        <v>0</v>
      </c>
      <c r="M1445" t="s">
        <v>526</v>
      </c>
    </row>
    <row r="1446" spans="1:13" x14ac:dyDescent="0.2">
      <c r="A1446" t="s">
        <v>525</v>
      </c>
      <c r="B1446" t="s">
        <v>17</v>
      </c>
      <c r="C1446" t="s">
        <v>9</v>
      </c>
      <c r="D1446">
        <v>2102</v>
      </c>
      <c r="E1446">
        <v>2019</v>
      </c>
      <c r="F1446">
        <v>1</v>
      </c>
      <c r="G1446">
        <v>98180</v>
      </c>
      <c r="H1446" s="1">
        <v>4</v>
      </c>
      <c r="I1446">
        <v>14</v>
      </c>
      <c r="J1446">
        <f>IF($H1446=0,1,IF($I1446&lt;=1,2,0))</f>
        <v>0</v>
      </c>
      <c r="K1446">
        <v>0</v>
      </c>
      <c r="L1446">
        <f>IF(AND($J1446=0,$K1446=0),0,1)</f>
        <v>0</v>
      </c>
      <c r="M1446" t="s">
        <v>526</v>
      </c>
    </row>
    <row r="1447" spans="1:13" x14ac:dyDescent="0.2">
      <c r="A1447" t="s">
        <v>525</v>
      </c>
      <c r="B1447" t="s">
        <v>17</v>
      </c>
      <c r="C1447" t="s">
        <v>9</v>
      </c>
      <c r="D1447">
        <v>2102</v>
      </c>
      <c r="E1447">
        <v>2019</v>
      </c>
      <c r="F1447">
        <v>2</v>
      </c>
      <c r="G1447">
        <v>98178</v>
      </c>
      <c r="H1447" s="1">
        <v>4</v>
      </c>
      <c r="I1447">
        <v>2</v>
      </c>
      <c r="J1447">
        <f>IF($H1447=0,1,IF($I1447&lt;=1,2,0))</f>
        <v>0</v>
      </c>
      <c r="K1447">
        <v>0</v>
      </c>
      <c r="L1447">
        <f>IF(AND($J1447=0,$K1447=0),0,1)</f>
        <v>0</v>
      </c>
      <c r="M1447" t="s">
        <v>526</v>
      </c>
    </row>
    <row r="1448" spans="1:13" x14ac:dyDescent="0.2">
      <c r="A1448" t="s">
        <v>525</v>
      </c>
      <c r="B1448" t="s">
        <v>17</v>
      </c>
      <c r="C1448" t="s">
        <v>21</v>
      </c>
      <c r="D1448">
        <v>2121</v>
      </c>
      <c r="E1448">
        <v>2019</v>
      </c>
      <c r="F1448">
        <v>1</v>
      </c>
      <c r="G1448">
        <v>55102</v>
      </c>
      <c r="H1448" s="1">
        <v>6</v>
      </c>
      <c r="I1448">
        <v>7</v>
      </c>
      <c r="J1448">
        <f>IF($H1448=0,1,IF($I1448&lt;=1,2,0))</f>
        <v>0</v>
      </c>
      <c r="K1448">
        <v>0</v>
      </c>
      <c r="L1448">
        <f>IF(AND($J1448=0,$K1448=0),0,1)</f>
        <v>0</v>
      </c>
      <c r="M1448" t="s">
        <v>526</v>
      </c>
    </row>
    <row r="1449" spans="1:13" x14ac:dyDescent="0.2">
      <c r="A1449" t="s">
        <v>525</v>
      </c>
      <c r="B1449" t="s">
        <v>17</v>
      </c>
      <c r="C1449" t="s">
        <v>21</v>
      </c>
      <c r="D1449">
        <v>3333</v>
      </c>
      <c r="E1449">
        <v>2019</v>
      </c>
      <c r="F1449">
        <v>1</v>
      </c>
      <c r="G1449">
        <v>98159</v>
      </c>
      <c r="H1449" s="1">
        <v>3</v>
      </c>
      <c r="I1449">
        <v>12</v>
      </c>
      <c r="J1449">
        <f>IF($H1449=0,1,IF($I1449&lt;=1,2,0))</f>
        <v>0</v>
      </c>
      <c r="K1449">
        <v>0</v>
      </c>
      <c r="L1449">
        <f>IF(AND($J1449=0,$K1449=0),0,1)</f>
        <v>0</v>
      </c>
    </row>
    <row r="1450" spans="1:13" x14ac:dyDescent="0.2">
      <c r="A1450" t="s">
        <v>525</v>
      </c>
      <c r="B1450" t="s">
        <v>17</v>
      </c>
      <c r="C1450" t="s">
        <v>21</v>
      </c>
      <c r="D1450">
        <v>3335</v>
      </c>
      <c r="E1450">
        <v>2019</v>
      </c>
      <c r="F1450">
        <v>1</v>
      </c>
      <c r="G1450">
        <v>98245</v>
      </c>
      <c r="H1450" s="1">
        <v>3</v>
      </c>
      <c r="I1450">
        <v>12</v>
      </c>
      <c r="J1450">
        <f>IF($H1450=0,1,IF($I1450&lt;=1,2,0))</f>
        <v>0</v>
      </c>
      <c r="K1450">
        <v>0</v>
      </c>
      <c r="L1450">
        <f>IF(AND($J1450=0,$K1450=0),0,1)</f>
        <v>0</v>
      </c>
      <c r="M1450" t="s">
        <v>526</v>
      </c>
    </row>
    <row r="1451" spans="1:13" x14ac:dyDescent="0.2">
      <c r="A1451" t="s">
        <v>525</v>
      </c>
      <c r="B1451" t="s">
        <v>17</v>
      </c>
      <c r="C1451" t="s">
        <v>21</v>
      </c>
      <c r="D1451">
        <v>3337</v>
      </c>
      <c r="E1451">
        <v>2019</v>
      </c>
      <c r="F1451">
        <v>1</v>
      </c>
      <c r="G1451">
        <v>55092</v>
      </c>
      <c r="H1451" s="1">
        <v>3</v>
      </c>
      <c r="I1451">
        <v>2</v>
      </c>
      <c r="J1451">
        <f>IF($H1451=0,1,IF($I1451&lt;=1,2,0))</f>
        <v>0</v>
      </c>
      <c r="K1451">
        <v>0</v>
      </c>
      <c r="L1451">
        <f>IF(AND($J1451=0,$K1451=0),0,1)</f>
        <v>0</v>
      </c>
      <c r="M1451" t="s">
        <v>526</v>
      </c>
    </row>
    <row r="1452" spans="1:13" x14ac:dyDescent="0.2">
      <c r="A1452" t="s">
        <v>525</v>
      </c>
      <c r="B1452" t="s">
        <v>17</v>
      </c>
      <c r="C1452" t="s">
        <v>9</v>
      </c>
      <c r="D1452">
        <v>3341</v>
      </c>
      <c r="E1452">
        <v>2019</v>
      </c>
      <c r="F1452">
        <v>1</v>
      </c>
      <c r="G1452">
        <v>10122</v>
      </c>
      <c r="H1452" s="1">
        <v>3</v>
      </c>
      <c r="I1452">
        <v>5</v>
      </c>
      <c r="J1452">
        <f>IF($H1452=0,1,IF($I1452&lt;=1,2,0))</f>
        <v>0</v>
      </c>
      <c r="K1452">
        <v>0</v>
      </c>
      <c r="L1452">
        <f>IF(AND($J1452=0,$K1452=0),0,1)</f>
        <v>0</v>
      </c>
      <c r="M1452" t="s">
        <v>526</v>
      </c>
    </row>
    <row r="1453" spans="1:13" x14ac:dyDescent="0.2">
      <c r="A1453" t="s">
        <v>525</v>
      </c>
      <c r="B1453" t="s">
        <v>17</v>
      </c>
      <c r="C1453" t="s">
        <v>9</v>
      </c>
      <c r="D1453">
        <v>3660</v>
      </c>
      <c r="E1453">
        <v>2019</v>
      </c>
      <c r="F1453">
        <v>1</v>
      </c>
      <c r="G1453">
        <v>10656</v>
      </c>
      <c r="H1453" s="1">
        <v>3</v>
      </c>
      <c r="I1453">
        <v>6</v>
      </c>
      <c r="J1453">
        <f>IF($H1453=0,1,IF($I1453&lt;=1,2,0))</f>
        <v>0</v>
      </c>
      <c r="K1453">
        <v>0</v>
      </c>
      <c r="L1453">
        <f>IF(AND($J1453=0,$K1453=0),0,1)</f>
        <v>0</v>
      </c>
      <c r="M1453" t="s">
        <v>528</v>
      </c>
    </row>
    <row r="1454" spans="1:13" x14ac:dyDescent="0.2">
      <c r="A1454" t="s">
        <v>525</v>
      </c>
      <c r="B1454" t="s">
        <v>17</v>
      </c>
      <c r="C1454" t="s">
        <v>9</v>
      </c>
      <c r="D1454">
        <v>3865</v>
      </c>
      <c r="E1454">
        <v>2019</v>
      </c>
      <c r="F1454">
        <v>1</v>
      </c>
      <c r="G1454">
        <v>13409</v>
      </c>
      <c r="H1454" s="1">
        <v>3</v>
      </c>
      <c r="I1454">
        <v>23</v>
      </c>
      <c r="J1454">
        <f>IF($H1454=0,1,IF($I1454&lt;=1,2,0))</f>
        <v>0</v>
      </c>
      <c r="K1454">
        <v>0</v>
      </c>
      <c r="L1454">
        <f>IF(AND($J1454=0,$K1454=0),0,1)</f>
        <v>0</v>
      </c>
    </row>
    <row r="1455" spans="1:13" x14ac:dyDescent="0.2">
      <c r="A1455" t="s">
        <v>525</v>
      </c>
      <c r="B1455" t="s">
        <v>17</v>
      </c>
      <c r="C1455" t="s">
        <v>9</v>
      </c>
      <c r="D1455">
        <v>4005</v>
      </c>
      <c r="E1455">
        <v>2019</v>
      </c>
      <c r="F1455">
        <v>1</v>
      </c>
      <c r="G1455">
        <v>98209</v>
      </c>
      <c r="H1455" s="1">
        <v>3</v>
      </c>
      <c r="I1455">
        <v>7</v>
      </c>
      <c r="J1455">
        <f>IF($H1455=0,1,IF($I1455&lt;=1,2,0))</f>
        <v>0</v>
      </c>
      <c r="K1455">
        <v>0</v>
      </c>
      <c r="L1455">
        <f>IF(AND($J1455=0,$K1455=0),0,1)</f>
        <v>0</v>
      </c>
      <c r="M1455" t="s">
        <v>529</v>
      </c>
    </row>
    <row r="1456" spans="1:13" x14ac:dyDescent="0.2">
      <c r="A1456" t="s">
        <v>525</v>
      </c>
      <c r="B1456" t="s">
        <v>17</v>
      </c>
      <c r="C1456" t="s">
        <v>9</v>
      </c>
      <c r="D1456">
        <v>4043</v>
      </c>
      <c r="E1456">
        <v>2019</v>
      </c>
      <c r="F1456">
        <v>1</v>
      </c>
      <c r="G1456">
        <v>55081</v>
      </c>
      <c r="H1456" s="1">
        <v>3</v>
      </c>
      <c r="I1456">
        <v>5</v>
      </c>
      <c r="J1456">
        <f>IF($H1456=0,1,IF($I1456&lt;=1,2,0))</f>
        <v>0</v>
      </c>
      <c r="K1456">
        <v>0</v>
      </c>
      <c r="L1456">
        <f>IF(AND($J1456=0,$K1456=0),0,1)</f>
        <v>0</v>
      </c>
    </row>
    <row r="1457" spans="1:12" x14ac:dyDescent="0.2">
      <c r="A1457" t="s">
        <v>525</v>
      </c>
      <c r="B1457" t="s">
        <v>17</v>
      </c>
      <c r="C1457" t="s">
        <v>11</v>
      </c>
      <c r="D1457">
        <v>4050</v>
      </c>
      <c r="E1457">
        <v>2019</v>
      </c>
      <c r="F1457">
        <v>1</v>
      </c>
      <c r="G1457">
        <v>55089</v>
      </c>
      <c r="H1457" s="1">
        <v>3</v>
      </c>
      <c r="I1457">
        <v>9</v>
      </c>
      <c r="J1457">
        <f>IF($H1457=0,1,IF($I1457&lt;=1,2,0))</f>
        <v>0</v>
      </c>
      <c r="K1457">
        <v>0</v>
      </c>
      <c r="L1457">
        <f>IF(AND($J1457=0,$K1457=0),0,1)</f>
        <v>0</v>
      </c>
    </row>
    <row r="1458" spans="1:12" x14ac:dyDescent="0.2">
      <c r="A1458" t="s">
        <v>525</v>
      </c>
      <c r="B1458" t="s">
        <v>17</v>
      </c>
      <c r="C1458" t="s">
        <v>9</v>
      </c>
      <c r="D1458">
        <v>4068</v>
      </c>
      <c r="E1458">
        <v>2019</v>
      </c>
      <c r="F1458">
        <v>1</v>
      </c>
      <c r="G1458">
        <v>13426</v>
      </c>
      <c r="H1458" s="1">
        <v>3</v>
      </c>
      <c r="I1458">
        <v>3</v>
      </c>
      <c r="J1458">
        <f>IF($H1458=0,1,IF($I1458&lt;=1,2,0))</f>
        <v>0</v>
      </c>
      <c r="K1458">
        <v>0</v>
      </c>
      <c r="L1458">
        <f>IF(AND($J1458=0,$K1458=0),0,1)</f>
        <v>0</v>
      </c>
    </row>
    <row r="1459" spans="1:12" x14ac:dyDescent="0.2">
      <c r="A1459" t="s">
        <v>525</v>
      </c>
      <c r="B1459" t="s">
        <v>17</v>
      </c>
      <c r="C1459" t="s">
        <v>11</v>
      </c>
      <c r="D1459">
        <v>4100</v>
      </c>
      <c r="E1459">
        <v>2019</v>
      </c>
      <c r="F1459">
        <v>1</v>
      </c>
      <c r="G1459">
        <v>55082</v>
      </c>
      <c r="H1459" s="1">
        <v>3</v>
      </c>
      <c r="I1459">
        <v>6</v>
      </c>
      <c r="J1459">
        <f>IF($H1459=0,1,IF($I1459&lt;=1,2,0))</f>
        <v>0</v>
      </c>
      <c r="K1459">
        <v>0</v>
      </c>
      <c r="L1459">
        <f>IF(AND($J1459=0,$K1459=0),0,1)</f>
        <v>0</v>
      </c>
    </row>
    <row r="1460" spans="1:12" x14ac:dyDescent="0.2">
      <c r="A1460" t="s">
        <v>525</v>
      </c>
      <c r="B1460" t="s">
        <v>17</v>
      </c>
      <c r="C1460" t="s">
        <v>9</v>
      </c>
      <c r="D1460">
        <v>4395</v>
      </c>
      <c r="E1460">
        <v>2019</v>
      </c>
      <c r="F1460">
        <v>1</v>
      </c>
      <c r="G1460">
        <v>55083</v>
      </c>
      <c r="H1460" s="1">
        <v>3</v>
      </c>
      <c r="I1460">
        <v>7</v>
      </c>
      <c r="J1460">
        <f>IF($H1460=0,1,IF($I1460&lt;=1,2,0))</f>
        <v>0</v>
      </c>
      <c r="K1460">
        <v>0</v>
      </c>
      <c r="L1460">
        <f>IF(AND($J1460=0,$K1460=0),0,1)</f>
        <v>0</v>
      </c>
    </row>
    <row r="1461" spans="1:12" x14ac:dyDescent="0.2">
      <c r="A1461" t="s">
        <v>525</v>
      </c>
      <c r="B1461" t="s">
        <v>17</v>
      </c>
      <c r="C1461" t="s">
        <v>9</v>
      </c>
      <c r="D1461">
        <v>4502</v>
      </c>
      <c r="E1461">
        <v>2019</v>
      </c>
      <c r="F1461">
        <v>1</v>
      </c>
      <c r="G1461">
        <v>8690</v>
      </c>
      <c r="H1461" s="1">
        <v>3</v>
      </c>
      <c r="I1461">
        <v>5</v>
      </c>
      <c r="J1461">
        <f>IF($H1461=0,1,IF($I1461&lt;=1,2,0))</f>
        <v>0</v>
      </c>
      <c r="K1461">
        <v>0</v>
      </c>
      <c r="L1461">
        <f>IF(AND($J1461=0,$K1461=0),0,1)</f>
        <v>0</v>
      </c>
    </row>
    <row r="1462" spans="1:12" x14ac:dyDescent="0.2">
      <c r="A1462" t="s">
        <v>525</v>
      </c>
      <c r="B1462" t="s">
        <v>17</v>
      </c>
      <c r="C1462" t="s">
        <v>11</v>
      </c>
      <c r="D1462">
        <v>6077</v>
      </c>
      <c r="E1462">
        <v>2019</v>
      </c>
      <c r="F1462">
        <v>1</v>
      </c>
      <c r="G1462">
        <v>13098</v>
      </c>
      <c r="H1462" s="1">
        <v>3</v>
      </c>
      <c r="I1462">
        <v>10</v>
      </c>
      <c r="J1462">
        <f>IF($H1462=0,1,IF($I1462&lt;=1,2,0))</f>
        <v>0</v>
      </c>
      <c r="K1462">
        <v>0</v>
      </c>
      <c r="L1462">
        <f>IF(AND($J1462=0,$K1462=0),0,1)</f>
        <v>0</v>
      </c>
    </row>
    <row r="1463" spans="1:12" x14ac:dyDescent="0.2">
      <c r="A1463" t="s">
        <v>531</v>
      </c>
      <c r="B1463" t="s">
        <v>17</v>
      </c>
      <c r="C1463" t="s">
        <v>9</v>
      </c>
      <c r="D1463">
        <v>1002</v>
      </c>
      <c r="E1463">
        <v>2019</v>
      </c>
      <c r="F1463">
        <v>1</v>
      </c>
      <c r="G1463">
        <v>44414</v>
      </c>
      <c r="H1463" s="1">
        <v>2.5</v>
      </c>
      <c r="I1463">
        <v>10</v>
      </c>
      <c r="J1463">
        <f>IF($H1463=0,1,IF($I1463&lt;=1,2,0))</f>
        <v>0</v>
      </c>
      <c r="K1463">
        <v>0</v>
      </c>
      <c r="L1463">
        <f>IF(AND($J1463=0,$K1463=0),0,1)</f>
        <v>0</v>
      </c>
    </row>
    <row r="1464" spans="1:12" x14ac:dyDescent="0.2">
      <c r="A1464" t="s">
        <v>531</v>
      </c>
      <c r="B1464" t="s">
        <v>17</v>
      </c>
      <c r="C1464" t="s">
        <v>9</v>
      </c>
      <c r="D1464">
        <v>1002</v>
      </c>
      <c r="E1464">
        <v>2019</v>
      </c>
      <c r="F1464">
        <v>2</v>
      </c>
      <c r="G1464">
        <v>44415</v>
      </c>
      <c r="H1464" s="1">
        <v>2.5</v>
      </c>
      <c r="I1464">
        <v>9</v>
      </c>
      <c r="J1464">
        <f>IF($H1464=0,1,IF($I1464&lt;=1,2,0))</f>
        <v>0</v>
      </c>
      <c r="K1464">
        <v>0</v>
      </c>
      <c r="L1464">
        <f>IF(AND($J1464=0,$K1464=0),0,1)</f>
        <v>0</v>
      </c>
    </row>
    <row r="1465" spans="1:12" x14ac:dyDescent="0.2">
      <c r="A1465" t="s">
        <v>531</v>
      </c>
      <c r="B1465" t="s">
        <v>17</v>
      </c>
      <c r="C1465" t="s">
        <v>7</v>
      </c>
      <c r="D1465">
        <v>1101</v>
      </c>
      <c r="E1465">
        <v>2019</v>
      </c>
      <c r="F1465">
        <v>4</v>
      </c>
      <c r="G1465">
        <v>44481</v>
      </c>
      <c r="H1465" s="1">
        <v>5</v>
      </c>
      <c r="I1465">
        <v>17</v>
      </c>
      <c r="J1465">
        <f>IF($H1465=0,1,IF($I1465&lt;=1,2,0))</f>
        <v>0</v>
      </c>
      <c r="K1465">
        <v>0</v>
      </c>
      <c r="L1465">
        <f>IF(AND($J1465=0,$K1465=0),0,1)</f>
        <v>0</v>
      </c>
    </row>
    <row r="1466" spans="1:12" x14ac:dyDescent="0.2">
      <c r="A1466" t="s">
        <v>531</v>
      </c>
      <c r="B1466" t="s">
        <v>17</v>
      </c>
      <c r="C1466" t="s">
        <v>7</v>
      </c>
      <c r="D1466">
        <v>1101</v>
      </c>
      <c r="E1466">
        <v>2019</v>
      </c>
      <c r="F1466">
        <v>5</v>
      </c>
      <c r="G1466">
        <v>44482</v>
      </c>
      <c r="H1466" s="1">
        <v>5</v>
      </c>
      <c r="I1466">
        <v>17</v>
      </c>
      <c r="J1466">
        <f>IF($H1466=0,1,IF($I1466&lt;=1,2,0))</f>
        <v>0</v>
      </c>
      <c r="K1466">
        <v>0</v>
      </c>
      <c r="L1466">
        <f>IF(AND($J1466=0,$K1466=0),0,1)</f>
        <v>0</v>
      </c>
    </row>
    <row r="1467" spans="1:12" x14ac:dyDescent="0.2">
      <c r="A1467" t="s">
        <v>531</v>
      </c>
      <c r="B1467" t="s">
        <v>17</v>
      </c>
      <c r="C1467" t="s">
        <v>7</v>
      </c>
      <c r="D1467">
        <v>1101</v>
      </c>
      <c r="E1467">
        <v>2019</v>
      </c>
      <c r="F1467">
        <v>2</v>
      </c>
      <c r="G1467">
        <v>44479</v>
      </c>
      <c r="H1467" s="1">
        <v>5</v>
      </c>
      <c r="I1467">
        <v>15</v>
      </c>
      <c r="J1467">
        <f>IF($H1467=0,1,IF($I1467&lt;=1,2,0))</f>
        <v>0</v>
      </c>
      <c r="K1467">
        <v>0</v>
      </c>
      <c r="L1467">
        <f>IF(AND($J1467=0,$K1467=0),0,1)</f>
        <v>0</v>
      </c>
    </row>
    <row r="1468" spans="1:12" x14ac:dyDescent="0.2">
      <c r="A1468" t="s">
        <v>531</v>
      </c>
      <c r="B1468" t="s">
        <v>17</v>
      </c>
      <c r="C1468" t="s">
        <v>7</v>
      </c>
      <c r="D1468">
        <v>1101</v>
      </c>
      <c r="E1468">
        <v>2019</v>
      </c>
      <c r="F1468">
        <v>1</v>
      </c>
      <c r="G1468">
        <v>44478</v>
      </c>
      <c r="H1468" s="1">
        <v>5</v>
      </c>
      <c r="I1468">
        <v>14</v>
      </c>
      <c r="J1468">
        <f>IF($H1468=0,1,IF($I1468&lt;=1,2,0))</f>
        <v>0</v>
      </c>
      <c r="K1468">
        <v>0</v>
      </c>
      <c r="L1468">
        <f>IF(AND($J1468=0,$K1468=0),0,1)</f>
        <v>0</v>
      </c>
    </row>
    <row r="1469" spans="1:12" x14ac:dyDescent="0.2">
      <c r="A1469" t="s">
        <v>531</v>
      </c>
      <c r="B1469" t="s">
        <v>17</v>
      </c>
      <c r="C1469" t="s">
        <v>7</v>
      </c>
      <c r="D1469">
        <v>1101</v>
      </c>
      <c r="E1469">
        <v>2019</v>
      </c>
      <c r="F1469">
        <v>3</v>
      </c>
      <c r="G1469">
        <v>44480</v>
      </c>
      <c r="H1469" s="1">
        <v>5</v>
      </c>
      <c r="I1469">
        <v>14</v>
      </c>
      <c r="J1469">
        <f>IF($H1469=0,1,IF($I1469&lt;=1,2,0))</f>
        <v>0</v>
      </c>
      <c r="K1469">
        <v>0</v>
      </c>
      <c r="L1469">
        <f>IF(AND($J1469=0,$K1469=0),0,1)</f>
        <v>0</v>
      </c>
    </row>
    <row r="1470" spans="1:12" x14ac:dyDescent="0.2">
      <c r="A1470" t="s">
        <v>531</v>
      </c>
      <c r="B1470" t="s">
        <v>17</v>
      </c>
      <c r="C1470" t="s">
        <v>7</v>
      </c>
      <c r="D1470">
        <v>1101</v>
      </c>
      <c r="E1470">
        <v>2019</v>
      </c>
      <c r="F1470">
        <v>6</v>
      </c>
      <c r="G1470">
        <v>18078</v>
      </c>
      <c r="H1470" s="1">
        <v>5</v>
      </c>
      <c r="I1470">
        <v>14</v>
      </c>
      <c r="J1470">
        <f>IF($H1470=0,1,IF($I1470&lt;=1,2,0))</f>
        <v>0</v>
      </c>
      <c r="K1470">
        <v>0</v>
      </c>
      <c r="L1470">
        <f>IF(AND($J1470=0,$K1470=0),0,1)</f>
        <v>0</v>
      </c>
    </row>
    <row r="1471" spans="1:12" x14ac:dyDescent="0.2">
      <c r="A1471" t="s">
        <v>531</v>
      </c>
      <c r="B1471" t="s">
        <v>17</v>
      </c>
      <c r="C1471" t="s">
        <v>7</v>
      </c>
      <c r="D1471">
        <v>2201</v>
      </c>
      <c r="E1471">
        <v>2019</v>
      </c>
      <c r="F1471">
        <v>4</v>
      </c>
      <c r="G1471">
        <v>44376</v>
      </c>
      <c r="H1471" s="1">
        <v>5</v>
      </c>
      <c r="I1471">
        <v>14</v>
      </c>
      <c r="J1471">
        <f>IF($H1471=0,1,IF($I1471&lt;=1,2,0))</f>
        <v>0</v>
      </c>
      <c r="K1471">
        <v>0</v>
      </c>
      <c r="L1471">
        <f>IF(AND($J1471=0,$K1471=0),0,1)</f>
        <v>0</v>
      </c>
    </row>
    <row r="1472" spans="1:12" x14ac:dyDescent="0.2">
      <c r="A1472" t="s">
        <v>531</v>
      </c>
      <c r="B1472" t="s">
        <v>17</v>
      </c>
      <c r="C1472" t="s">
        <v>7</v>
      </c>
      <c r="D1472">
        <v>2201</v>
      </c>
      <c r="E1472">
        <v>2019</v>
      </c>
      <c r="F1472">
        <v>1</v>
      </c>
      <c r="G1472">
        <v>44373</v>
      </c>
      <c r="H1472" s="1">
        <v>5</v>
      </c>
      <c r="I1472">
        <v>12</v>
      </c>
      <c r="J1472">
        <f>IF($H1472=0,1,IF($I1472&lt;=1,2,0))</f>
        <v>0</v>
      </c>
      <c r="K1472">
        <v>0</v>
      </c>
      <c r="L1472">
        <f>IF(AND($J1472=0,$K1472=0),0,1)</f>
        <v>0</v>
      </c>
    </row>
    <row r="1473" spans="1:13" x14ac:dyDescent="0.2">
      <c r="A1473" t="s">
        <v>531</v>
      </c>
      <c r="B1473" t="s">
        <v>17</v>
      </c>
      <c r="C1473" t="s">
        <v>7</v>
      </c>
      <c r="D1473">
        <v>2201</v>
      </c>
      <c r="E1473">
        <v>2019</v>
      </c>
      <c r="F1473">
        <v>2</v>
      </c>
      <c r="G1473">
        <v>44374</v>
      </c>
      <c r="H1473" s="1">
        <v>5</v>
      </c>
      <c r="I1473">
        <v>7</v>
      </c>
      <c r="J1473">
        <f>IF($H1473=0,1,IF($I1473&lt;=1,2,0))</f>
        <v>0</v>
      </c>
      <c r="K1473">
        <v>0</v>
      </c>
      <c r="L1473">
        <f>IF(AND($J1473=0,$K1473=0),0,1)</f>
        <v>0</v>
      </c>
    </row>
    <row r="1474" spans="1:13" x14ac:dyDescent="0.2">
      <c r="A1474" t="s">
        <v>531</v>
      </c>
      <c r="B1474" t="s">
        <v>17</v>
      </c>
      <c r="C1474" t="s">
        <v>9</v>
      </c>
      <c r="D1474">
        <v>3005</v>
      </c>
      <c r="E1474">
        <v>2019</v>
      </c>
      <c r="F1474">
        <v>2</v>
      </c>
      <c r="G1474">
        <v>44417</v>
      </c>
      <c r="H1474" s="1">
        <v>5</v>
      </c>
      <c r="I1474">
        <v>10</v>
      </c>
      <c r="J1474">
        <f>IF($H1474=0,1,IF($I1474&lt;=1,2,0))</f>
        <v>0</v>
      </c>
      <c r="K1474">
        <v>0</v>
      </c>
      <c r="L1474">
        <f>IF(AND($J1474=0,$K1474=0),0,1)</f>
        <v>0</v>
      </c>
    </row>
    <row r="1475" spans="1:13" x14ac:dyDescent="0.2">
      <c r="A1475" t="s">
        <v>531</v>
      </c>
      <c r="B1475" t="s">
        <v>17</v>
      </c>
      <c r="C1475" t="s">
        <v>9</v>
      </c>
      <c r="D1475">
        <v>3005</v>
      </c>
      <c r="E1475">
        <v>2019</v>
      </c>
      <c r="F1475">
        <v>1</v>
      </c>
      <c r="G1475">
        <v>44416</v>
      </c>
      <c r="H1475" s="1">
        <v>5</v>
      </c>
      <c r="I1475">
        <v>7</v>
      </c>
      <c r="J1475">
        <f>IF($H1475=0,1,IF($I1475&lt;=1,2,0))</f>
        <v>0</v>
      </c>
      <c r="K1475">
        <v>0</v>
      </c>
      <c r="L1475">
        <f>IF(AND($J1475=0,$K1475=0),0,1)</f>
        <v>0</v>
      </c>
    </row>
    <row r="1476" spans="1:13" x14ac:dyDescent="0.2">
      <c r="A1476" t="s">
        <v>531</v>
      </c>
      <c r="B1476" t="s">
        <v>17</v>
      </c>
      <c r="C1476" t="s">
        <v>9</v>
      </c>
      <c r="D1476">
        <v>3610</v>
      </c>
      <c r="E1476">
        <v>2019</v>
      </c>
      <c r="F1476">
        <v>1</v>
      </c>
      <c r="G1476">
        <v>10208</v>
      </c>
      <c r="H1476" s="1">
        <v>2.5</v>
      </c>
      <c r="I1476">
        <v>3</v>
      </c>
      <c r="J1476">
        <f>IF($H1476=0,1,IF($I1476&lt;=1,2,0))</f>
        <v>0</v>
      </c>
      <c r="K1476">
        <v>0</v>
      </c>
      <c r="L1476">
        <f>IF(AND($J1476=0,$K1476=0),0,1)</f>
        <v>0</v>
      </c>
    </row>
    <row r="1477" spans="1:13" x14ac:dyDescent="0.2">
      <c r="A1477" t="s">
        <v>531</v>
      </c>
      <c r="B1477" t="s">
        <v>17</v>
      </c>
      <c r="C1477" t="s">
        <v>9</v>
      </c>
      <c r="D1477">
        <v>4007</v>
      </c>
      <c r="E1477">
        <v>2019</v>
      </c>
      <c r="F1477">
        <v>1</v>
      </c>
      <c r="G1477">
        <v>44427</v>
      </c>
      <c r="H1477" s="1">
        <v>3</v>
      </c>
      <c r="I1477">
        <v>7</v>
      </c>
      <c r="J1477">
        <f>IF($H1477=0,1,IF($I1477&lt;=1,2,0))</f>
        <v>0</v>
      </c>
      <c r="K1477">
        <v>0</v>
      </c>
      <c r="L1477">
        <f>IF(AND($J1477=0,$K1477=0),0,1)</f>
        <v>0</v>
      </c>
    </row>
    <row r="1478" spans="1:13" x14ac:dyDescent="0.2">
      <c r="A1478" t="s">
        <v>531</v>
      </c>
      <c r="B1478" t="s">
        <v>17</v>
      </c>
      <c r="C1478" t="s">
        <v>9</v>
      </c>
      <c r="D1478">
        <v>4012</v>
      </c>
      <c r="E1478">
        <v>2019</v>
      </c>
      <c r="F1478">
        <v>1</v>
      </c>
      <c r="G1478">
        <v>10228</v>
      </c>
      <c r="H1478" s="1">
        <v>4</v>
      </c>
      <c r="I1478">
        <v>9</v>
      </c>
      <c r="J1478">
        <f>IF($H1478=0,1,IF($I1478&lt;=1,2,0))</f>
        <v>0</v>
      </c>
      <c r="K1478">
        <v>0</v>
      </c>
      <c r="L1478">
        <f>IF(AND($J1478=0,$K1478=0),0,1)</f>
        <v>0</v>
      </c>
    </row>
    <row r="1479" spans="1:13" x14ac:dyDescent="0.2">
      <c r="A1479" t="s">
        <v>531</v>
      </c>
      <c r="B1479" t="s">
        <v>17</v>
      </c>
      <c r="C1479" t="s">
        <v>9</v>
      </c>
      <c r="D1479">
        <v>4017</v>
      </c>
      <c r="E1479">
        <v>2019</v>
      </c>
      <c r="F1479">
        <v>1</v>
      </c>
      <c r="G1479">
        <v>44483</v>
      </c>
      <c r="H1479" s="1">
        <v>4</v>
      </c>
      <c r="I1479">
        <v>13</v>
      </c>
      <c r="J1479">
        <f>IF($H1479=0,1,IF($I1479&lt;=1,2,0))</f>
        <v>0</v>
      </c>
      <c r="K1479">
        <v>0</v>
      </c>
      <c r="L1479">
        <f>IF(AND($J1479=0,$K1479=0),0,1)</f>
        <v>0</v>
      </c>
    </row>
    <row r="1480" spans="1:13" x14ac:dyDescent="0.2">
      <c r="A1480" t="s">
        <v>531</v>
      </c>
      <c r="B1480" t="s">
        <v>17</v>
      </c>
      <c r="C1480" t="s">
        <v>9</v>
      </c>
      <c r="D1480">
        <v>4610</v>
      </c>
      <c r="E1480">
        <v>2019</v>
      </c>
      <c r="F1480">
        <v>1</v>
      </c>
      <c r="G1480">
        <v>10130</v>
      </c>
      <c r="H1480" s="1">
        <v>2.5</v>
      </c>
      <c r="I1480">
        <v>6</v>
      </c>
      <c r="J1480">
        <f>IF($H1480=0,1,IF($I1480&lt;=1,2,0))</f>
        <v>0</v>
      </c>
      <c r="K1480">
        <v>0</v>
      </c>
      <c r="L1480">
        <f>IF(AND($J1480=0,$K1480=0),0,1)</f>
        <v>0</v>
      </c>
    </row>
    <row r="1481" spans="1:13" x14ac:dyDescent="0.2">
      <c r="A1481" t="s">
        <v>531</v>
      </c>
      <c r="B1481" t="s">
        <v>17</v>
      </c>
      <c r="C1481" t="s">
        <v>11</v>
      </c>
      <c r="D1481">
        <v>5016</v>
      </c>
      <c r="E1481">
        <v>2019</v>
      </c>
      <c r="F1481">
        <v>1</v>
      </c>
      <c r="G1481">
        <v>44419</v>
      </c>
      <c r="H1481" s="1">
        <v>4</v>
      </c>
      <c r="I1481">
        <v>6</v>
      </c>
      <c r="J1481">
        <f>IF($H1481=0,1,IF($I1481&lt;=1,2,0))</f>
        <v>0</v>
      </c>
      <c r="K1481">
        <v>0</v>
      </c>
      <c r="L1481">
        <f>IF(AND($J1481=0,$K1481=0),0,1)</f>
        <v>0</v>
      </c>
    </row>
    <row r="1482" spans="1:13" x14ac:dyDescent="0.2">
      <c r="A1482" t="s">
        <v>531</v>
      </c>
      <c r="B1482" t="s">
        <v>17</v>
      </c>
      <c r="C1482" t="s">
        <v>11</v>
      </c>
      <c r="D1482">
        <v>8020</v>
      </c>
      <c r="E1482">
        <v>2019</v>
      </c>
      <c r="F1482">
        <v>1</v>
      </c>
      <c r="G1482">
        <v>44486</v>
      </c>
      <c r="H1482" s="1">
        <v>4</v>
      </c>
      <c r="I1482">
        <v>12</v>
      </c>
      <c r="J1482">
        <f>IF($H1482=0,1,IF($I1482&lt;=1,2,0))</f>
        <v>0</v>
      </c>
      <c r="K1482">
        <v>0</v>
      </c>
      <c r="L1482">
        <f>IF(AND($J1482=0,$K1482=0),0,1)</f>
        <v>0</v>
      </c>
      <c r="M1482" t="s">
        <v>532</v>
      </c>
    </row>
    <row r="1483" spans="1:13" x14ac:dyDescent="0.2">
      <c r="A1483" t="s">
        <v>531</v>
      </c>
      <c r="B1483" t="s">
        <v>17</v>
      </c>
      <c r="C1483" t="s">
        <v>11</v>
      </c>
      <c r="D1483">
        <v>8040</v>
      </c>
      <c r="E1483">
        <v>2019</v>
      </c>
      <c r="F1483">
        <v>1</v>
      </c>
      <c r="G1483">
        <v>44510</v>
      </c>
      <c r="H1483" s="1">
        <v>4</v>
      </c>
      <c r="I1483">
        <v>13</v>
      </c>
      <c r="J1483">
        <f>IF($H1483=0,1,IF($I1483&lt;=1,2,0))</f>
        <v>0</v>
      </c>
      <c r="K1483">
        <v>0</v>
      </c>
      <c r="L1483">
        <f>IF(AND($J1483=0,$K1483=0),0,1)</f>
        <v>0</v>
      </c>
      <c r="M1483" t="s">
        <v>53</v>
      </c>
    </row>
    <row r="1484" spans="1:13" x14ac:dyDescent="0.2">
      <c r="A1484" t="s">
        <v>533</v>
      </c>
      <c r="B1484" t="s">
        <v>6</v>
      </c>
      <c r="C1484" t="s">
        <v>9</v>
      </c>
      <c r="D1484">
        <v>4510</v>
      </c>
      <c r="E1484">
        <v>2019</v>
      </c>
      <c r="F1484">
        <v>1</v>
      </c>
      <c r="G1484">
        <v>29215</v>
      </c>
      <c r="H1484" s="1">
        <v>4</v>
      </c>
      <c r="I1484">
        <v>8</v>
      </c>
      <c r="J1484">
        <f>IF($H1484=0,1,IF($I1484&lt;=1,2,0))</f>
        <v>0</v>
      </c>
      <c r="K1484">
        <v>0</v>
      </c>
      <c r="L1484">
        <f>IF(AND($J1484=0,$K1484=0),0,1)</f>
        <v>0</v>
      </c>
    </row>
    <row r="1485" spans="1:13" x14ac:dyDescent="0.2">
      <c r="A1485" t="s">
        <v>534</v>
      </c>
      <c r="B1485" t="s">
        <v>17</v>
      </c>
      <c r="C1485" t="s">
        <v>9</v>
      </c>
      <c r="D1485">
        <v>1002</v>
      </c>
      <c r="E1485">
        <v>2019</v>
      </c>
      <c r="F1485">
        <v>1</v>
      </c>
      <c r="G1485">
        <v>44377</v>
      </c>
      <c r="H1485" s="1">
        <v>2.5</v>
      </c>
      <c r="I1485">
        <v>12</v>
      </c>
      <c r="J1485">
        <f>IF($H1485=0,1,IF($I1485&lt;=1,2,0))</f>
        <v>0</v>
      </c>
      <c r="K1485">
        <v>0</v>
      </c>
      <c r="L1485">
        <f>IF(AND($J1485=0,$K1485=0),0,1)</f>
        <v>0</v>
      </c>
    </row>
    <row r="1486" spans="1:13" x14ac:dyDescent="0.2">
      <c r="A1486" t="s">
        <v>534</v>
      </c>
      <c r="B1486" t="s">
        <v>17</v>
      </c>
      <c r="C1486" t="s">
        <v>9</v>
      </c>
      <c r="D1486">
        <v>1002</v>
      </c>
      <c r="E1486">
        <v>2019</v>
      </c>
      <c r="F1486">
        <v>2</v>
      </c>
      <c r="G1486">
        <v>44378</v>
      </c>
      <c r="H1486" s="1">
        <v>2.5</v>
      </c>
      <c r="I1486">
        <v>8</v>
      </c>
      <c r="J1486">
        <f>IF($H1486=0,1,IF($I1486&lt;=1,2,0))</f>
        <v>0</v>
      </c>
      <c r="K1486">
        <v>0</v>
      </c>
      <c r="L1486">
        <f>IF(AND($J1486=0,$K1486=0),0,1)</f>
        <v>0</v>
      </c>
    </row>
    <row r="1487" spans="1:13" x14ac:dyDescent="0.2">
      <c r="A1487" t="s">
        <v>534</v>
      </c>
      <c r="B1487" t="s">
        <v>17</v>
      </c>
      <c r="C1487" t="s">
        <v>9</v>
      </c>
      <c r="D1487">
        <v>1002</v>
      </c>
      <c r="E1487">
        <v>2019</v>
      </c>
      <c r="F1487">
        <v>3</v>
      </c>
      <c r="G1487">
        <v>44517</v>
      </c>
      <c r="H1487" s="1">
        <v>2.5</v>
      </c>
      <c r="I1487">
        <v>6</v>
      </c>
      <c r="J1487">
        <f>IF($H1487=0,1,IF($I1487&lt;=1,2,0))</f>
        <v>0</v>
      </c>
      <c r="K1487">
        <v>0</v>
      </c>
      <c r="L1487">
        <f>IF(AND($J1487=0,$K1487=0),0,1)</f>
        <v>0</v>
      </c>
    </row>
    <row r="1488" spans="1:13" x14ac:dyDescent="0.2">
      <c r="A1488" t="s">
        <v>534</v>
      </c>
      <c r="B1488" t="s">
        <v>17</v>
      </c>
      <c r="C1488" t="s">
        <v>9</v>
      </c>
      <c r="D1488">
        <v>1101</v>
      </c>
      <c r="E1488">
        <v>2019</v>
      </c>
      <c r="F1488">
        <v>3</v>
      </c>
      <c r="G1488">
        <v>44422</v>
      </c>
      <c r="H1488" s="1">
        <v>5</v>
      </c>
      <c r="I1488">
        <v>14</v>
      </c>
      <c r="J1488">
        <f>IF($H1488=0,1,IF($I1488&lt;=1,2,0))</f>
        <v>0</v>
      </c>
      <c r="K1488">
        <v>0</v>
      </c>
      <c r="L1488">
        <f>IF(AND($J1488=0,$K1488=0),0,1)</f>
        <v>0</v>
      </c>
    </row>
    <row r="1489" spans="1:13" x14ac:dyDescent="0.2">
      <c r="A1489" t="s">
        <v>534</v>
      </c>
      <c r="B1489" t="s">
        <v>17</v>
      </c>
      <c r="C1489" t="s">
        <v>9</v>
      </c>
      <c r="D1489">
        <v>1101</v>
      </c>
      <c r="E1489">
        <v>2019</v>
      </c>
      <c r="F1489">
        <v>2</v>
      </c>
      <c r="G1489">
        <v>44421</v>
      </c>
      <c r="H1489" s="1">
        <v>5</v>
      </c>
      <c r="I1489">
        <v>13</v>
      </c>
      <c r="J1489">
        <f>IF($H1489=0,1,IF($I1489&lt;=1,2,0))</f>
        <v>0</v>
      </c>
      <c r="K1489">
        <v>0</v>
      </c>
      <c r="L1489">
        <f>IF(AND($J1489=0,$K1489=0),0,1)</f>
        <v>0</v>
      </c>
    </row>
    <row r="1490" spans="1:13" x14ac:dyDescent="0.2">
      <c r="A1490" t="s">
        <v>534</v>
      </c>
      <c r="B1490" t="s">
        <v>17</v>
      </c>
      <c r="C1490" t="s">
        <v>9</v>
      </c>
      <c r="D1490">
        <v>1101</v>
      </c>
      <c r="E1490">
        <v>2019</v>
      </c>
      <c r="F1490">
        <v>5</v>
      </c>
      <c r="G1490">
        <v>44518</v>
      </c>
      <c r="H1490" s="1">
        <v>5</v>
      </c>
      <c r="I1490">
        <v>11</v>
      </c>
      <c r="J1490">
        <f>IF($H1490=0,1,IF($I1490&lt;=1,2,0))</f>
        <v>0</v>
      </c>
      <c r="K1490">
        <v>0</v>
      </c>
      <c r="L1490">
        <f>IF(AND($J1490=0,$K1490=0),0,1)</f>
        <v>0</v>
      </c>
    </row>
    <row r="1491" spans="1:13" x14ac:dyDescent="0.2">
      <c r="A1491" t="s">
        <v>534</v>
      </c>
      <c r="B1491" t="s">
        <v>17</v>
      </c>
      <c r="C1491" t="s">
        <v>9</v>
      </c>
      <c r="D1491">
        <v>1101</v>
      </c>
      <c r="E1491">
        <v>2019</v>
      </c>
      <c r="F1491">
        <v>4</v>
      </c>
      <c r="G1491">
        <v>44423</v>
      </c>
      <c r="H1491" s="1">
        <v>5</v>
      </c>
      <c r="I1491">
        <v>10</v>
      </c>
      <c r="J1491">
        <f>IF($H1491=0,1,IF($I1491&lt;=1,2,0))</f>
        <v>0</v>
      </c>
      <c r="K1491">
        <v>0</v>
      </c>
      <c r="L1491">
        <f>IF(AND($J1491=0,$K1491=0),0,1)</f>
        <v>0</v>
      </c>
    </row>
    <row r="1492" spans="1:13" x14ac:dyDescent="0.2">
      <c r="A1492" t="s">
        <v>534</v>
      </c>
      <c r="B1492" t="s">
        <v>17</v>
      </c>
      <c r="C1492" t="s">
        <v>9</v>
      </c>
      <c r="D1492">
        <v>2201</v>
      </c>
      <c r="E1492">
        <v>2019</v>
      </c>
      <c r="F1492">
        <v>1</v>
      </c>
      <c r="G1492">
        <v>44429</v>
      </c>
      <c r="H1492" s="1">
        <v>5</v>
      </c>
      <c r="I1492">
        <v>14</v>
      </c>
      <c r="J1492">
        <f>IF($H1492=0,1,IF($I1492&lt;=1,2,0))</f>
        <v>0</v>
      </c>
      <c r="K1492">
        <v>0</v>
      </c>
      <c r="L1492">
        <f>IF(AND($J1492=0,$K1492=0),0,1)</f>
        <v>0</v>
      </c>
      <c r="M1492" t="s">
        <v>535</v>
      </c>
    </row>
    <row r="1493" spans="1:13" x14ac:dyDescent="0.2">
      <c r="A1493" t="s">
        <v>534</v>
      </c>
      <c r="B1493" t="s">
        <v>17</v>
      </c>
      <c r="C1493" t="s">
        <v>9</v>
      </c>
      <c r="D1493">
        <v>2201</v>
      </c>
      <c r="E1493">
        <v>2019</v>
      </c>
      <c r="F1493">
        <v>3</v>
      </c>
      <c r="G1493">
        <v>44431</v>
      </c>
      <c r="H1493" s="1">
        <v>5</v>
      </c>
      <c r="I1493">
        <v>13</v>
      </c>
      <c r="J1493">
        <f>IF($H1493=0,1,IF($I1493&lt;=1,2,0))</f>
        <v>0</v>
      </c>
      <c r="K1493">
        <v>0</v>
      </c>
      <c r="L1493">
        <f>IF(AND($J1493=0,$K1493=0),0,1)</f>
        <v>0</v>
      </c>
      <c r="M1493" t="s">
        <v>536</v>
      </c>
    </row>
    <row r="1494" spans="1:13" x14ac:dyDescent="0.2">
      <c r="A1494" t="s">
        <v>534</v>
      </c>
      <c r="B1494" t="s">
        <v>17</v>
      </c>
      <c r="C1494" t="s">
        <v>9</v>
      </c>
      <c r="D1494">
        <v>2201</v>
      </c>
      <c r="E1494">
        <v>2019</v>
      </c>
      <c r="F1494">
        <v>2</v>
      </c>
      <c r="G1494">
        <v>44430</v>
      </c>
      <c r="H1494" s="1">
        <v>5</v>
      </c>
      <c r="I1494">
        <v>11</v>
      </c>
      <c r="J1494">
        <f>IF($H1494=0,1,IF($I1494&lt;=1,2,0))</f>
        <v>0</v>
      </c>
      <c r="K1494">
        <v>0</v>
      </c>
      <c r="L1494">
        <f>IF(AND($J1494=0,$K1494=0),0,1)</f>
        <v>0</v>
      </c>
      <c r="M1494" t="s">
        <v>535</v>
      </c>
    </row>
    <row r="1495" spans="1:13" x14ac:dyDescent="0.2">
      <c r="A1495" t="s">
        <v>534</v>
      </c>
      <c r="B1495" t="s">
        <v>17</v>
      </c>
      <c r="C1495" t="s">
        <v>9</v>
      </c>
      <c r="D1495">
        <v>2201</v>
      </c>
      <c r="E1495">
        <v>2019</v>
      </c>
      <c r="F1495">
        <v>4</v>
      </c>
      <c r="G1495">
        <v>44519</v>
      </c>
      <c r="H1495" s="1">
        <v>5</v>
      </c>
      <c r="I1495">
        <v>4</v>
      </c>
      <c r="J1495">
        <f>IF($H1495=0,1,IF($I1495&lt;=1,2,0))</f>
        <v>0</v>
      </c>
      <c r="K1495">
        <v>0</v>
      </c>
      <c r="L1495">
        <f>IF(AND($J1495=0,$K1495=0),0,1)</f>
        <v>0</v>
      </c>
      <c r="M1495" t="s">
        <v>535</v>
      </c>
    </row>
    <row r="1496" spans="1:13" x14ac:dyDescent="0.2">
      <c r="A1496" t="s">
        <v>534</v>
      </c>
      <c r="B1496" t="s">
        <v>17</v>
      </c>
      <c r="C1496" t="s">
        <v>9</v>
      </c>
      <c r="D1496">
        <v>3005</v>
      </c>
      <c r="E1496">
        <v>2019</v>
      </c>
      <c r="F1496">
        <v>1</v>
      </c>
      <c r="G1496">
        <v>44424</v>
      </c>
      <c r="H1496" s="1">
        <v>5</v>
      </c>
      <c r="I1496">
        <v>12</v>
      </c>
      <c r="J1496">
        <f>IF($H1496=0,1,IF($I1496&lt;=1,2,0))</f>
        <v>0</v>
      </c>
      <c r="K1496">
        <v>0</v>
      </c>
      <c r="L1496">
        <f>IF(AND($J1496=0,$K1496=0),0,1)</f>
        <v>0</v>
      </c>
      <c r="M1496" t="s">
        <v>535</v>
      </c>
    </row>
    <row r="1497" spans="1:13" x14ac:dyDescent="0.2">
      <c r="A1497" t="s">
        <v>534</v>
      </c>
      <c r="B1497" t="s">
        <v>17</v>
      </c>
      <c r="C1497" t="s">
        <v>9</v>
      </c>
      <c r="D1497">
        <v>3005</v>
      </c>
      <c r="E1497">
        <v>2019</v>
      </c>
      <c r="F1497">
        <v>2</v>
      </c>
      <c r="G1497">
        <v>44425</v>
      </c>
      <c r="H1497" s="1">
        <v>5</v>
      </c>
      <c r="I1497">
        <v>12</v>
      </c>
      <c r="J1497">
        <f>IF($H1497=0,1,IF($I1497&lt;=1,2,0))</f>
        <v>0</v>
      </c>
      <c r="K1497">
        <v>0</v>
      </c>
      <c r="L1497">
        <f>IF(AND($J1497=0,$K1497=0),0,1)</f>
        <v>0</v>
      </c>
      <c r="M1497" t="s">
        <v>536</v>
      </c>
    </row>
    <row r="1498" spans="1:13" x14ac:dyDescent="0.2">
      <c r="A1498" t="s">
        <v>534</v>
      </c>
      <c r="B1498" t="s">
        <v>17</v>
      </c>
      <c r="C1498" t="s">
        <v>9</v>
      </c>
      <c r="D1498">
        <v>4105</v>
      </c>
      <c r="E1498">
        <v>2019</v>
      </c>
      <c r="F1498">
        <v>1</v>
      </c>
      <c r="G1498">
        <v>44379</v>
      </c>
      <c r="H1498" s="1">
        <v>4</v>
      </c>
      <c r="I1498">
        <v>12</v>
      </c>
      <c r="J1498">
        <f>IF($H1498=0,1,IF($I1498&lt;=1,2,0))</f>
        <v>0</v>
      </c>
      <c r="K1498">
        <v>0</v>
      </c>
      <c r="L1498">
        <f>IF(AND($J1498=0,$K1498=0),0,1)</f>
        <v>0</v>
      </c>
    </row>
    <row r="1499" spans="1:13" x14ac:dyDescent="0.2">
      <c r="A1499" t="s">
        <v>534</v>
      </c>
      <c r="B1499" t="s">
        <v>17</v>
      </c>
      <c r="C1499" t="s">
        <v>11</v>
      </c>
      <c r="D1499">
        <v>4511</v>
      </c>
      <c r="E1499">
        <v>2019</v>
      </c>
      <c r="F1499">
        <v>1</v>
      </c>
      <c r="G1499">
        <v>44487</v>
      </c>
      <c r="H1499" s="1">
        <v>4</v>
      </c>
      <c r="I1499">
        <v>4</v>
      </c>
      <c r="J1499">
        <f>IF($H1499=0,1,IF($I1499&lt;=1,2,0))</f>
        <v>0</v>
      </c>
      <c r="K1499">
        <v>0</v>
      </c>
      <c r="L1499">
        <f>IF(AND($J1499=0,$K1499=0),0,1)</f>
        <v>0</v>
      </c>
    </row>
    <row r="1500" spans="1:13" x14ac:dyDescent="0.2">
      <c r="A1500" t="s">
        <v>534</v>
      </c>
      <c r="B1500" t="s">
        <v>17</v>
      </c>
      <c r="C1500" t="s">
        <v>11</v>
      </c>
      <c r="D1500">
        <v>8010</v>
      </c>
      <c r="E1500">
        <v>2019</v>
      </c>
      <c r="F1500">
        <v>1</v>
      </c>
      <c r="G1500">
        <v>44520</v>
      </c>
      <c r="H1500" s="1">
        <v>4</v>
      </c>
      <c r="I1500">
        <v>2</v>
      </c>
      <c r="J1500">
        <f>IF($H1500=0,1,IF($I1500&lt;=1,2,0))</f>
        <v>0</v>
      </c>
      <c r="K1500">
        <v>0</v>
      </c>
      <c r="L1500">
        <f>IF(AND($J1500=0,$K1500=0),0,1)</f>
        <v>0</v>
      </c>
    </row>
    <row r="1501" spans="1:13" x14ac:dyDescent="0.2">
      <c r="A1501" t="s">
        <v>537</v>
      </c>
      <c r="B1501" t="s">
        <v>17</v>
      </c>
      <c r="C1501" t="s">
        <v>7</v>
      </c>
      <c r="D1501">
        <v>1020</v>
      </c>
      <c r="E1501">
        <v>2019</v>
      </c>
      <c r="F1501">
        <v>1</v>
      </c>
      <c r="G1501">
        <v>13533</v>
      </c>
      <c r="H1501" s="1">
        <v>4</v>
      </c>
      <c r="I1501">
        <v>8</v>
      </c>
      <c r="J1501">
        <f>IF($H1501=0,1,IF($I1501&lt;=1,2,0))</f>
        <v>0</v>
      </c>
      <c r="K1501">
        <v>0</v>
      </c>
      <c r="L1501">
        <f>IF(AND($J1501=0,$K1501=0),0,1)</f>
        <v>0</v>
      </c>
    </row>
    <row r="1502" spans="1:13" x14ac:dyDescent="0.2">
      <c r="A1502" t="s">
        <v>537</v>
      </c>
      <c r="B1502" t="s">
        <v>17</v>
      </c>
      <c r="C1502" t="s">
        <v>7</v>
      </c>
      <c r="D1502">
        <v>1020</v>
      </c>
      <c r="E1502">
        <v>2019</v>
      </c>
      <c r="F1502">
        <v>2</v>
      </c>
      <c r="G1502">
        <v>14928</v>
      </c>
      <c r="H1502" s="1">
        <v>4</v>
      </c>
      <c r="I1502">
        <v>7</v>
      </c>
      <c r="J1502">
        <f>IF($H1502=0,1,IF($I1502&lt;=1,2,0))</f>
        <v>0</v>
      </c>
      <c r="K1502">
        <v>0</v>
      </c>
      <c r="L1502">
        <f>IF(AND($J1502=0,$K1502=0),0,1)</f>
        <v>0</v>
      </c>
    </row>
    <row r="1503" spans="1:13" x14ac:dyDescent="0.2">
      <c r="A1503" t="s">
        <v>538</v>
      </c>
      <c r="B1503" t="s">
        <v>17</v>
      </c>
      <c r="C1503" t="s">
        <v>21</v>
      </c>
      <c r="D1503">
        <v>1101</v>
      </c>
      <c r="E1503">
        <v>2019</v>
      </c>
      <c r="F1503">
        <v>2</v>
      </c>
      <c r="G1503">
        <v>48700</v>
      </c>
      <c r="H1503" s="1">
        <v>4</v>
      </c>
      <c r="I1503">
        <v>14</v>
      </c>
      <c r="J1503">
        <f>IF($H1503=0,1,IF($I1503&lt;=1,2,0))</f>
        <v>0</v>
      </c>
      <c r="K1503">
        <v>0</v>
      </c>
      <c r="L1503">
        <f>IF(AND($J1503=0,$K1503=0),0,1)</f>
        <v>0</v>
      </c>
    </row>
    <row r="1504" spans="1:13" x14ac:dyDescent="0.2">
      <c r="A1504" t="s">
        <v>538</v>
      </c>
      <c r="B1504" t="s">
        <v>17</v>
      </c>
      <c r="C1504" t="s">
        <v>21</v>
      </c>
      <c r="D1504">
        <v>1101</v>
      </c>
      <c r="E1504">
        <v>2019</v>
      </c>
      <c r="F1504">
        <v>1</v>
      </c>
      <c r="G1504">
        <v>48699</v>
      </c>
      <c r="H1504" s="1">
        <v>4</v>
      </c>
      <c r="I1504">
        <v>9</v>
      </c>
      <c r="J1504">
        <f>IF($H1504=0,1,IF($I1504&lt;=1,2,0))</f>
        <v>0</v>
      </c>
      <c r="K1504">
        <v>0</v>
      </c>
      <c r="L1504">
        <f>IF(AND($J1504=0,$K1504=0),0,1)</f>
        <v>0</v>
      </c>
    </row>
    <row r="1505" spans="1:13" x14ac:dyDescent="0.2">
      <c r="A1505" t="s">
        <v>538</v>
      </c>
      <c r="B1505" t="s">
        <v>17</v>
      </c>
      <c r="C1505" t="s">
        <v>21</v>
      </c>
      <c r="D1505">
        <v>1102</v>
      </c>
      <c r="E1505">
        <v>2019</v>
      </c>
      <c r="F1505">
        <v>1</v>
      </c>
      <c r="G1505">
        <v>48626</v>
      </c>
      <c r="H1505" s="1">
        <v>4</v>
      </c>
      <c r="I1505">
        <v>5</v>
      </c>
      <c r="J1505">
        <f>IF($H1505=0,1,IF($I1505&lt;=1,2,0))</f>
        <v>0</v>
      </c>
      <c r="K1505">
        <v>0</v>
      </c>
      <c r="L1505">
        <f>IF(AND($J1505=0,$K1505=0),0,1)</f>
        <v>0</v>
      </c>
    </row>
    <row r="1506" spans="1:13" x14ac:dyDescent="0.2">
      <c r="A1506" t="s">
        <v>538</v>
      </c>
      <c r="B1506" t="s">
        <v>17</v>
      </c>
      <c r="C1506" t="s">
        <v>21</v>
      </c>
      <c r="D1506">
        <v>1121</v>
      </c>
      <c r="E1506">
        <v>2019</v>
      </c>
      <c r="F1506">
        <v>1</v>
      </c>
      <c r="G1506">
        <v>48612</v>
      </c>
      <c r="H1506" s="1">
        <v>4</v>
      </c>
      <c r="I1506">
        <v>11</v>
      </c>
      <c r="J1506">
        <f>IF($H1506=0,1,IF($I1506&lt;=1,2,0))</f>
        <v>0</v>
      </c>
      <c r="K1506">
        <v>0</v>
      </c>
      <c r="L1506">
        <f>IF(AND($J1506=0,$K1506=0),0,1)</f>
        <v>0</v>
      </c>
    </row>
    <row r="1507" spans="1:13" x14ac:dyDescent="0.2">
      <c r="A1507" t="s">
        <v>538</v>
      </c>
      <c r="B1507" t="s">
        <v>17</v>
      </c>
      <c r="C1507" t="s">
        <v>21</v>
      </c>
      <c r="D1507">
        <v>2101</v>
      </c>
      <c r="E1507">
        <v>2019</v>
      </c>
      <c r="F1507">
        <v>2</v>
      </c>
      <c r="G1507">
        <v>48719</v>
      </c>
      <c r="H1507" s="1">
        <v>4</v>
      </c>
      <c r="I1507">
        <v>13</v>
      </c>
      <c r="J1507">
        <f>IF($H1507=0,1,IF($I1507&lt;=1,2,0))</f>
        <v>0</v>
      </c>
      <c r="K1507">
        <v>0</v>
      </c>
      <c r="L1507">
        <f>IF(AND($J1507=0,$K1507=0),0,1)</f>
        <v>0</v>
      </c>
    </row>
    <row r="1508" spans="1:13" x14ac:dyDescent="0.2">
      <c r="A1508" t="s">
        <v>538</v>
      </c>
      <c r="B1508" t="s">
        <v>17</v>
      </c>
      <c r="C1508" t="s">
        <v>21</v>
      </c>
      <c r="D1508">
        <v>2101</v>
      </c>
      <c r="E1508">
        <v>2019</v>
      </c>
      <c r="F1508">
        <v>1</v>
      </c>
      <c r="G1508">
        <v>48627</v>
      </c>
      <c r="H1508" s="1">
        <v>4</v>
      </c>
      <c r="I1508">
        <v>11</v>
      </c>
      <c r="J1508">
        <f>IF($H1508=0,1,IF($I1508&lt;=1,2,0))</f>
        <v>0</v>
      </c>
      <c r="K1508">
        <v>0</v>
      </c>
      <c r="L1508">
        <f>IF(AND($J1508=0,$K1508=0),0,1)</f>
        <v>0</v>
      </c>
    </row>
    <row r="1509" spans="1:13" x14ac:dyDescent="0.2">
      <c r="A1509" t="s">
        <v>538</v>
      </c>
      <c r="B1509" t="s">
        <v>17</v>
      </c>
      <c r="C1509" t="s">
        <v>21</v>
      </c>
      <c r="D1509">
        <v>2102</v>
      </c>
      <c r="E1509">
        <v>2019</v>
      </c>
      <c r="F1509">
        <v>3</v>
      </c>
      <c r="G1509">
        <v>48613</v>
      </c>
      <c r="H1509" s="1">
        <v>4</v>
      </c>
      <c r="I1509">
        <v>11</v>
      </c>
      <c r="J1509">
        <f>IF($H1509=0,1,IF($I1509&lt;=1,2,0))</f>
        <v>0</v>
      </c>
      <c r="K1509">
        <v>0</v>
      </c>
      <c r="L1509">
        <f>IF(AND($J1509=0,$K1509=0),0,1)</f>
        <v>0</v>
      </c>
    </row>
    <row r="1510" spans="1:13" x14ac:dyDescent="0.2">
      <c r="A1510" t="s">
        <v>538</v>
      </c>
      <c r="B1510" t="s">
        <v>17</v>
      </c>
      <c r="C1510" t="s">
        <v>21</v>
      </c>
      <c r="D1510">
        <v>3012</v>
      </c>
      <c r="E1510">
        <v>2019</v>
      </c>
      <c r="F1510">
        <v>1</v>
      </c>
      <c r="G1510">
        <v>48640</v>
      </c>
      <c r="H1510" s="1">
        <v>3</v>
      </c>
      <c r="I1510">
        <v>7</v>
      </c>
      <c r="J1510">
        <f>IF($H1510=0,1,IF($I1510&lt;=1,2,0))</f>
        <v>0</v>
      </c>
      <c r="K1510">
        <v>0</v>
      </c>
      <c r="L1510">
        <f>IF(AND($J1510=0,$K1510=0),0,1)</f>
        <v>0</v>
      </c>
    </row>
    <row r="1511" spans="1:13" x14ac:dyDescent="0.2">
      <c r="A1511" t="s">
        <v>538</v>
      </c>
      <c r="B1511" t="s">
        <v>17</v>
      </c>
      <c r="C1511" t="s">
        <v>21</v>
      </c>
      <c r="D1511">
        <v>3309</v>
      </c>
      <c r="E1511">
        <v>2019</v>
      </c>
      <c r="F1511">
        <v>20</v>
      </c>
      <c r="G1511">
        <v>172</v>
      </c>
      <c r="H1511" s="1">
        <v>3</v>
      </c>
      <c r="I1511">
        <v>8</v>
      </c>
      <c r="J1511">
        <f>IF($H1511=0,1,IF($I1511&lt;=1,2,0))</f>
        <v>0</v>
      </c>
      <c r="K1511">
        <v>0</v>
      </c>
      <c r="L1511">
        <f>IF(AND($J1511=0,$K1511=0),0,1)</f>
        <v>0</v>
      </c>
    </row>
    <row r="1512" spans="1:13" x14ac:dyDescent="0.2">
      <c r="A1512" t="s">
        <v>538</v>
      </c>
      <c r="B1512" t="s">
        <v>17</v>
      </c>
      <c r="C1512" t="s">
        <v>21</v>
      </c>
      <c r="D1512">
        <v>3996</v>
      </c>
      <c r="E1512">
        <v>2019</v>
      </c>
      <c r="F1512">
        <v>1</v>
      </c>
      <c r="G1512">
        <v>10370</v>
      </c>
      <c r="H1512" s="1">
        <v>3</v>
      </c>
      <c r="I1512">
        <v>6</v>
      </c>
      <c r="J1512">
        <f>IF($H1512=0,1,IF($I1512&lt;=1,2,0))</f>
        <v>0</v>
      </c>
      <c r="K1512">
        <v>0</v>
      </c>
      <c r="L1512">
        <f>IF(AND($J1512=0,$K1512=0),0,1)</f>
        <v>0</v>
      </c>
    </row>
    <row r="1513" spans="1:13" x14ac:dyDescent="0.2">
      <c r="A1513" t="s">
        <v>538</v>
      </c>
      <c r="B1513" t="s">
        <v>17</v>
      </c>
      <c r="C1513" t="s">
        <v>9</v>
      </c>
      <c r="D1513">
        <v>4009</v>
      </c>
      <c r="E1513">
        <v>2019</v>
      </c>
      <c r="F1513">
        <v>1</v>
      </c>
      <c r="G1513">
        <v>48717</v>
      </c>
      <c r="H1513" s="1">
        <v>3</v>
      </c>
      <c r="I1513">
        <v>6</v>
      </c>
      <c r="J1513">
        <f>IF($H1513=0,1,IF($I1513&lt;=1,2,0))</f>
        <v>0</v>
      </c>
      <c r="K1513">
        <v>0</v>
      </c>
      <c r="L1513">
        <f>IF(AND($J1513=0,$K1513=0),0,1)</f>
        <v>0</v>
      </c>
      <c r="M1513" t="s">
        <v>539</v>
      </c>
    </row>
    <row r="1514" spans="1:13" x14ac:dyDescent="0.2">
      <c r="A1514" t="s">
        <v>538</v>
      </c>
      <c r="B1514" t="s">
        <v>17</v>
      </c>
      <c r="C1514" t="s">
        <v>9</v>
      </c>
      <c r="D1514">
        <v>4105</v>
      </c>
      <c r="E1514">
        <v>2019</v>
      </c>
      <c r="F1514">
        <v>1</v>
      </c>
      <c r="G1514">
        <v>48637</v>
      </c>
      <c r="H1514" s="1">
        <v>4</v>
      </c>
      <c r="I1514">
        <v>15</v>
      </c>
      <c r="J1514">
        <f>IF($H1514=0,1,IF($I1514&lt;=1,2,0))</f>
        <v>0</v>
      </c>
      <c r="K1514">
        <v>0</v>
      </c>
      <c r="L1514">
        <f>IF(AND($J1514=0,$K1514=0),0,1)</f>
        <v>0</v>
      </c>
    </row>
    <row r="1515" spans="1:13" x14ac:dyDescent="0.2">
      <c r="A1515" t="s">
        <v>538</v>
      </c>
      <c r="B1515" t="s">
        <v>17</v>
      </c>
      <c r="C1515" t="s">
        <v>11</v>
      </c>
      <c r="D1515">
        <v>5139</v>
      </c>
      <c r="E1515">
        <v>2019</v>
      </c>
      <c r="F1515">
        <v>1</v>
      </c>
      <c r="G1515">
        <v>48638</v>
      </c>
      <c r="H1515" s="1">
        <v>3</v>
      </c>
      <c r="I1515">
        <v>18</v>
      </c>
      <c r="J1515">
        <f>IF($H1515=0,1,IF($I1515&lt;=1,2,0))</f>
        <v>0</v>
      </c>
      <c r="K1515">
        <v>0</v>
      </c>
      <c r="L1515">
        <f>IF(AND($J1515=0,$K1515=0),0,1)</f>
        <v>0</v>
      </c>
      <c r="M1515" t="s">
        <v>540</v>
      </c>
    </row>
    <row r="1516" spans="1:13" x14ac:dyDescent="0.2">
      <c r="A1516" t="s">
        <v>538</v>
      </c>
      <c r="B1516" t="s">
        <v>17</v>
      </c>
      <c r="C1516" t="s">
        <v>11</v>
      </c>
      <c r="D1516">
        <v>6340</v>
      </c>
      <c r="E1516">
        <v>2019</v>
      </c>
      <c r="F1516">
        <v>1</v>
      </c>
      <c r="G1516">
        <v>48720</v>
      </c>
      <c r="H1516" s="1">
        <v>3</v>
      </c>
      <c r="I1516">
        <v>5</v>
      </c>
      <c r="J1516">
        <f>IF($H1516=0,1,IF($I1516&lt;=1,2,0))</f>
        <v>0</v>
      </c>
      <c r="K1516">
        <v>0</v>
      </c>
      <c r="L1516">
        <f>IF(AND($J1516=0,$K1516=0),0,1)</f>
        <v>0</v>
      </c>
    </row>
    <row r="1517" spans="1:13" x14ac:dyDescent="0.2">
      <c r="A1517" t="s">
        <v>538</v>
      </c>
      <c r="B1517" t="s">
        <v>17</v>
      </c>
      <c r="C1517" t="s">
        <v>11</v>
      </c>
      <c r="D1517">
        <v>8006</v>
      </c>
      <c r="E1517">
        <v>2019</v>
      </c>
      <c r="F1517">
        <v>1</v>
      </c>
      <c r="G1517">
        <v>14224</v>
      </c>
      <c r="H1517" s="1">
        <v>3</v>
      </c>
      <c r="I1517">
        <v>7</v>
      </c>
      <c r="J1517">
        <f>IF($H1517=0,1,IF($I1517&lt;=1,2,0))</f>
        <v>0</v>
      </c>
      <c r="K1517">
        <v>0</v>
      </c>
      <c r="L1517">
        <f>IF(AND($J1517=0,$K1517=0),0,1)</f>
        <v>0</v>
      </c>
    </row>
    <row r="1518" spans="1:13" x14ac:dyDescent="0.2">
      <c r="A1518" t="s">
        <v>541</v>
      </c>
      <c r="B1518" t="s">
        <v>6</v>
      </c>
      <c r="C1518" t="s">
        <v>9</v>
      </c>
      <c r="D1518">
        <v>4415</v>
      </c>
      <c r="E1518">
        <v>2019</v>
      </c>
      <c r="F1518">
        <v>1</v>
      </c>
      <c r="G1518">
        <v>13592</v>
      </c>
      <c r="H1518" s="1">
        <v>4</v>
      </c>
      <c r="I1518">
        <v>2</v>
      </c>
      <c r="J1518">
        <f>IF($H1518=0,1,IF($I1518&lt;=1,2,0))</f>
        <v>0</v>
      </c>
      <c r="K1518">
        <v>0</v>
      </c>
      <c r="L1518">
        <f>IF(AND($J1518=0,$K1518=0),0,1)</f>
        <v>0</v>
      </c>
    </row>
    <row r="1519" spans="1:13" x14ac:dyDescent="0.2">
      <c r="A1519" t="s">
        <v>544</v>
      </c>
      <c r="B1519" t="s">
        <v>6</v>
      </c>
      <c r="C1519" t="s">
        <v>9</v>
      </c>
      <c r="D1519">
        <v>3101</v>
      </c>
      <c r="E1519">
        <v>2019</v>
      </c>
      <c r="F1519">
        <v>1</v>
      </c>
      <c r="G1519">
        <v>53924</v>
      </c>
      <c r="H1519" s="1">
        <v>3</v>
      </c>
      <c r="I1519">
        <v>147</v>
      </c>
      <c r="J1519">
        <f>IF($H1519=0,1,IF($I1519&lt;=1,2,0))</f>
        <v>0</v>
      </c>
      <c r="K1519">
        <v>0</v>
      </c>
      <c r="L1519">
        <f>IF(AND($J1519=0,$K1519=0),0,1)</f>
        <v>0</v>
      </c>
    </row>
    <row r="1520" spans="1:13" x14ac:dyDescent="0.2">
      <c r="A1520" t="s">
        <v>544</v>
      </c>
      <c r="B1520" t="s">
        <v>6</v>
      </c>
      <c r="C1520" t="s">
        <v>9</v>
      </c>
      <c r="D1520">
        <v>3102</v>
      </c>
      <c r="E1520">
        <v>2019</v>
      </c>
      <c r="F1520">
        <v>1</v>
      </c>
      <c r="G1520">
        <v>10171</v>
      </c>
      <c r="H1520" s="1">
        <v>3</v>
      </c>
      <c r="I1520">
        <v>24</v>
      </c>
      <c r="J1520">
        <f>IF($H1520=0,1,IF($I1520&lt;=1,2,0))</f>
        <v>0</v>
      </c>
      <c r="K1520">
        <v>0</v>
      </c>
      <c r="L1520">
        <f>IF(AND($J1520=0,$K1520=0),0,1)</f>
        <v>0</v>
      </c>
    </row>
    <row r="1521" spans="1:12" x14ac:dyDescent="0.2">
      <c r="A1521" t="s">
        <v>544</v>
      </c>
      <c r="B1521" t="s">
        <v>6</v>
      </c>
      <c r="C1521" t="s">
        <v>9</v>
      </c>
      <c r="D1521">
        <v>3993</v>
      </c>
      <c r="E1521">
        <v>2019</v>
      </c>
      <c r="F1521">
        <v>1</v>
      </c>
      <c r="G1521">
        <v>53943</v>
      </c>
      <c r="H1521" s="1" t="s">
        <v>1823</v>
      </c>
      <c r="I1521">
        <v>7</v>
      </c>
      <c r="J1521">
        <f>IF($H1521=0,1,IF($I1521&lt;=1,2,0))</f>
        <v>0</v>
      </c>
      <c r="K1521">
        <v>0</v>
      </c>
      <c r="L1521">
        <f>IF(AND($J1521=0,$K1521=0),0,1)</f>
        <v>0</v>
      </c>
    </row>
    <row r="1522" spans="1:12" x14ac:dyDescent="0.2">
      <c r="A1522" t="s">
        <v>544</v>
      </c>
      <c r="B1522" t="s">
        <v>6</v>
      </c>
      <c r="C1522" t="s">
        <v>9</v>
      </c>
      <c r="D1522">
        <v>4108</v>
      </c>
      <c r="E1522">
        <v>2019</v>
      </c>
      <c r="F1522">
        <v>1</v>
      </c>
      <c r="G1522">
        <v>53926</v>
      </c>
      <c r="H1522" s="1">
        <v>3</v>
      </c>
      <c r="I1522">
        <v>12</v>
      </c>
      <c r="J1522">
        <f>IF($H1522=0,1,IF($I1522&lt;=1,2,0))</f>
        <v>0</v>
      </c>
      <c r="K1522">
        <v>0</v>
      </c>
      <c r="L1522">
        <f>IF(AND($J1522=0,$K1522=0),0,1)</f>
        <v>0</v>
      </c>
    </row>
    <row r="1523" spans="1:12" x14ac:dyDescent="0.2">
      <c r="A1523" t="s">
        <v>544</v>
      </c>
      <c r="B1523" t="s">
        <v>6</v>
      </c>
      <c r="C1523" t="s">
        <v>9</v>
      </c>
      <c r="D1523">
        <v>4903</v>
      </c>
      <c r="E1523">
        <v>2019</v>
      </c>
      <c r="F1523">
        <v>1</v>
      </c>
      <c r="G1523">
        <v>53925</v>
      </c>
      <c r="H1523" s="1">
        <v>3</v>
      </c>
      <c r="I1523">
        <v>19</v>
      </c>
      <c r="J1523">
        <f>IF($H1523=0,1,IF($I1523&lt;=1,2,0))</f>
        <v>0</v>
      </c>
      <c r="K1523">
        <v>0</v>
      </c>
      <c r="L1523">
        <f>IF(AND($J1523=0,$K1523=0),0,1)</f>
        <v>0</v>
      </c>
    </row>
    <row r="1524" spans="1:12" x14ac:dyDescent="0.2">
      <c r="A1524" t="s">
        <v>545</v>
      </c>
      <c r="B1524" t="s">
        <v>133</v>
      </c>
      <c r="C1524" t="s">
        <v>9</v>
      </c>
      <c r="D1524">
        <v>1003</v>
      </c>
      <c r="E1524">
        <v>2019</v>
      </c>
      <c r="F1524">
        <v>2</v>
      </c>
      <c r="G1524">
        <v>50642</v>
      </c>
      <c r="H1524" s="1">
        <v>3</v>
      </c>
      <c r="I1524">
        <v>29</v>
      </c>
      <c r="J1524">
        <f>IF($H1524=0,1,IF($I1524&lt;=1,2,0))</f>
        <v>0</v>
      </c>
      <c r="K1524">
        <v>0</v>
      </c>
      <c r="L1524">
        <f>IF(AND($J1524=0,$K1524=0),0,1)</f>
        <v>0</v>
      </c>
    </row>
    <row r="1525" spans="1:12" x14ac:dyDescent="0.2">
      <c r="A1525" t="s">
        <v>545</v>
      </c>
      <c r="B1525" t="s">
        <v>133</v>
      </c>
      <c r="C1525" t="s">
        <v>9</v>
      </c>
      <c r="D1525">
        <v>1003</v>
      </c>
      <c r="E1525">
        <v>2019</v>
      </c>
      <c r="F1525">
        <v>1</v>
      </c>
      <c r="G1525">
        <v>50641</v>
      </c>
      <c r="H1525" s="1">
        <v>3</v>
      </c>
      <c r="I1525">
        <v>28</v>
      </c>
      <c r="J1525">
        <f>IF($H1525=0,1,IF($I1525&lt;=1,2,0))</f>
        <v>0</v>
      </c>
      <c r="K1525">
        <v>0</v>
      </c>
      <c r="L1525">
        <f>IF(AND($J1525=0,$K1525=0),0,1)</f>
        <v>0</v>
      </c>
    </row>
    <row r="1526" spans="1:12" x14ac:dyDescent="0.2">
      <c r="A1526" t="s">
        <v>545</v>
      </c>
      <c r="B1526" t="s">
        <v>133</v>
      </c>
      <c r="C1526" t="s">
        <v>21</v>
      </c>
      <c r="D1526">
        <v>1101</v>
      </c>
      <c r="E1526">
        <v>2019</v>
      </c>
      <c r="F1526">
        <v>4</v>
      </c>
      <c r="G1526">
        <v>50796</v>
      </c>
      <c r="H1526" s="1">
        <v>3</v>
      </c>
      <c r="I1526">
        <v>110</v>
      </c>
      <c r="J1526">
        <f>IF($H1526=0,1,IF($I1526&lt;=1,2,0))</f>
        <v>0</v>
      </c>
      <c r="K1526">
        <v>0</v>
      </c>
      <c r="L1526">
        <f>IF(AND($J1526=0,$K1526=0),0,1)</f>
        <v>0</v>
      </c>
    </row>
    <row r="1527" spans="1:12" x14ac:dyDescent="0.2">
      <c r="A1527" t="s">
        <v>545</v>
      </c>
      <c r="B1527" t="s">
        <v>133</v>
      </c>
      <c r="C1527" t="s">
        <v>21</v>
      </c>
      <c r="D1527">
        <v>1101</v>
      </c>
      <c r="E1527">
        <v>2019</v>
      </c>
      <c r="F1527">
        <v>8</v>
      </c>
      <c r="G1527">
        <v>50800</v>
      </c>
      <c r="H1527" s="1">
        <v>3</v>
      </c>
      <c r="I1527">
        <v>79</v>
      </c>
      <c r="J1527">
        <f>IF($H1527=0,1,IF($I1527&lt;=1,2,0))</f>
        <v>0</v>
      </c>
      <c r="K1527">
        <v>0</v>
      </c>
      <c r="L1527">
        <f>IF(AND($J1527=0,$K1527=0),0,1)</f>
        <v>0</v>
      </c>
    </row>
    <row r="1528" spans="1:12" x14ac:dyDescent="0.2">
      <c r="A1528" t="s">
        <v>545</v>
      </c>
      <c r="B1528" t="s">
        <v>133</v>
      </c>
      <c r="C1528" t="s">
        <v>21</v>
      </c>
      <c r="D1528">
        <v>1101</v>
      </c>
      <c r="E1528">
        <v>2019</v>
      </c>
      <c r="F1528">
        <v>6</v>
      </c>
      <c r="G1528">
        <v>50798</v>
      </c>
      <c r="H1528" s="1">
        <v>3</v>
      </c>
      <c r="I1528">
        <v>69</v>
      </c>
      <c r="J1528">
        <f>IF($H1528=0,1,IF($I1528&lt;=1,2,0))</f>
        <v>0</v>
      </c>
      <c r="K1528">
        <v>0</v>
      </c>
      <c r="L1528">
        <f>IF(AND($J1528=0,$K1528=0),0,1)</f>
        <v>0</v>
      </c>
    </row>
    <row r="1529" spans="1:12" x14ac:dyDescent="0.2">
      <c r="A1529" t="s">
        <v>545</v>
      </c>
      <c r="B1529" t="s">
        <v>133</v>
      </c>
      <c r="C1529" t="s">
        <v>21</v>
      </c>
      <c r="D1529">
        <v>1101</v>
      </c>
      <c r="E1529">
        <v>2019</v>
      </c>
      <c r="F1529">
        <v>3</v>
      </c>
      <c r="G1529">
        <v>50795</v>
      </c>
      <c r="H1529" s="1">
        <v>3</v>
      </c>
      <c r="I1529">
        <v>63</v>
      </c>
      <c r="J1529">
        <f>IF($H1529=0,1,IF($I1529&lt;=1,2,0))</f>
        <v>0</v>
      </c>
      <c r="K1529">
        <v>0</v>
      </c>
      <c r="L1529">
        <f>IF(AND($J1529=0,$K1529=0),0,1)</f>
        <v>0</v>
      </c>
    </row>
    <row r="1530" spans="1:12" x14ac:dyDescent="0.2">
      <c r="A1530" t="s">
        <v>545</v>
      </c>
      <c r="B1530" t="s">
        <v>133</v>
      </c>
      <c r="C1530" t="s">
        <v>21</v>
      </c>
      <c r="D1530">
        <v>1101</v>
      </c>
      <c r="E1530">
        <v>2019</v>
      </c>
      <c r="F1530">
        <v>7</v>
      </c>
      <c r="G1530">
        <v>50799</v>
      </c>
      <c r="H1530" s="1">
        <v>3</v>
      </c>
      <c r="I1530">
        <v>63</v>
      </c>
      <c r="J1530">
        <f>IF($H1530=0,1,IF($I1530&lt;=1,2,0))</f>
        <v>0</v>
      </c>
      <c r="K1530">
        <v>0</v>
      </c>
      <c r="L1530">
        <f>IF(AND($J1530=0,$K1530=0),0,1)</f>
        <v>0</v>
      </c>
    </row>
    <row r="1531" spans="1:12" x14ac:dyDescent="0.2">
      <c r="A1531" t="s">
        <v>545</v>
      </c>
      <c r="B1531" t="s">
        <v>133</v>
      </c>
      <c r="C1531" t="s">
        <v>21</v>
      </c>
      <c r="D1531">
        <v>1101</v>
      </c>
      <c r="E1531">
        <v>2019</v>
      </c>
      <c r="F1531">
        <v>5</v>
      </c>
      <c r="G1531">
        <v>50797</v>
      </c>
      <c r="H1531" s="1">
        <v>3</v>
      </c>
      <c r="I1531">
        <v>54</v>
      </c>
      <c r="J1531">
        <f>IF($H1531=0,1,IF($I1531&lt;=1,2,0))</f>
        <v>0</v>
      </c>
      <c r="K1531">
        <v>0</v>
      </c>
      <c r="L1531">
        <f>IF(AND($J1531=0,$K1531=0),0,1)</f>
        <v>0</v>
      </c>
    </row>
    <row r="1532" spans="1:12" x14ac:dyDescent="0.2">
      <c r="A1532" t="s">
        <v>545</v>
      </c>
      <c r="B1532" t="s">
        <v>133</v>
      </c>
      <c r="C1532" t="s">
        <v>21</v>
      </c>
      <c r="D1532">
        <v>1101</v>
      </c>
      <c r="E1532">
        <v>2019</v>
      </c>
      <c r="F1532">
        <v>2</v>
      </c>
      <c r="G1532">
        <v>50794</v>
      </c>
      <c r="H1532" s="1">
        <v>3</v>
      </c>
      <c r="I1532">
        <v>46</v>
      </c>
      <c r="J1532">
        <f>IF($H1532=0,1,IF($I1532&lt;=1,2,0))</f>
        <v>0</v>
      </c>
      <c r="K1532">
        <v>0</v>
      </c>
      <c r="L1532">
        <f>IF(AND($J1532=0,$K1532=0),0,1)</f>
        <v>0</v>
      </c>
    </row>
    <row r="1533" spans="1:12" x14ac:dyDescent="0.2">
      <c r="A1533" t="s">
        <v>545</v>
      </c>
      <c r="B1533" t="s">
        <v>133</v>
      </c>
      <c r="C1533" t="s">
        <v>21</v>
      </c>
      <c r="D1533">
        <v>1101</v>
      </c>
      <c r="E1533">
        <v>2019</v>
      </c>
      <c r="F1533">
        <v>1</v>
      </c>
      <c r="G1533">
        <v>29218</v>
      </c>
      <c r="H1533" s="1">
        <v>3</v>
      </c>
      <c r="I1533">
        <v>41</v>
      </c>
      <c r="J1533">
        <f>IF($H1533=0,1,IF($I1533&lt;=1,2,0))</f>
        <v>0</v>
      </c>
      <c r="K1533">
        <v>0</v>
      </c>
      <c r="L1533">
        <f>IF(AND($J1533=0,$K1533=0),0,1)</f>
        <v>0</v>
      </c>
    </row>
    <row r="1534" spans="1:12" x14ac:dyDescent="0.2">
      <c r="A1534" t="s">
        <v>545</v>
      </c>
      <c r="B1534" t="s">
        <v>133</v>
      </c>
      <c r="C1534" t="s">
        <v>21</v>
      </c>
      <c r="D1534">
        <v>1101</v>
      </c>
      <c r="E1534">
        <v>2019</v>
      </c>
      <c r="F1534">
        <v>10</v>
      </c>
      <c r="G1534">
        <v>50802</v>
      </c>
      <c r="H1534" s="1">
        <v>3</v>
      </c>
      <c r="I1534">
        <v>31</v>
      </c>
      <c r="J1534">
        <f>IF($H1534=0,1,IF($I1534&lt;=1,2,0))</f>
        <v>0</v>
      </c>
      <c r="K1534">
        <v>0</v>
      </c>
      <c r="L1534">
        <f>IF(AND($J1534=0,$K1534=0),0,1)</f>
        <v>0</v>
      </c>
    </row>
    <row r="1535" spans="1:12" x14ac:dyDescent="0.2">
      <c r="A1535" t="s">
        <v>545</v>
      </c>
      <c r="B1535" t="s">
        <v>133</v>
      </c>
      <c r="C1535" t="s">
        <v>21</v>
      </c>
      <c r="D1535">
        <v>1101</v>
      </c>
      <c r="E1535">
        <v>2019</v>
      </c>
      <c r="F1535">
        <v>9</v>
      </c>
      <c r="G1535">
        <v>50801</v>
      </c>
      <c r="H1535" s="1">
        <v>3</v>
      </c>
      <c r="I1535">
        <v>23</v>
      </c>
      <c r="J1535">
        <f>IF($H1535=0,1,IF($I1535&lt;=1,2,0))</f>
        <v>0</v>
      </c>
      <c r="K1535">
        <v>0</v>
      </c>
      <c r="L1535">
        <f>IF(AND($J1535=0,$K1535=0),0,1)</f>
        <v>0</v>
      </c>
    </row>
    <row r="1536" spans="1:12" x14ac:dyDescent="0.2">
      <c r="A1536" t="s">
        <v>545</v>
      </c>
      <c r="B1536" t="s">
        <v>133</v>
      </c>
      <c r="C1536" t="s">
        <v>21</v>
      </c>
      <c r="D1536">
        <v>1102</v>
      </c>
      <c r="E1536">
        <v>2019</v>
      </c>
      <c r="F1536">
        <v>3</v>
      </c>
      <c r="G1536">
        <v>50789</v>
      </c>
      <c r="H1536" s="1">
        <v>3</v>
      </c>
      <c r="I1536">
        <v>95</v>
      </c>
      <c r="J1536">
        <f>IF($H1536=0,1,IF($I1536&lt;=1,2,0))</f>
        <v>0</v>
      </c>
      <c r="K1536">
        <v>0</v>
      </c>
      <c r="L1536">
        <f>IF(AND($J1536=0,$K1536=0),0,1)</f>
        <v>0</v>
      </c>
    </row>
    <row r="1537" spans="1:12" x14ac:dyDescent="0.2">
      <c r="A1537" t="s">
        <v>545</v>
      </c>
      <c r="B1537" t="s">
        <v>133</v>
      </c>
      <c r="C1537" t="s">
        <v>21</v>
      </c>
      <c r="D1537">
        <v>1102</v>
      </c>
      <c r="E1537">
        <v>2019</v>
      </c>
      <c r="F1537">
        <v>1</v>
      </c>
      <c r="G1537">
        <v>29219</v>
      </c>
      <c r="H1537" s="1">
        <v>3</v>
      </c>
      <c r="I1537">
        <v>55</v>
      </c>
      <c r="J1537">
        <f>IF($H1537=0,1,IF($I1537&lt;=1,2,0))</f>
        <v>0</v>
      </c>
      <c r="K1537">
        <v>0</v>
      </c>
      <c r="L1537">
        <f>IF(AND($J1537=0,$K1537=0),0,1)</f>
        <v>0</v>
      </c>
    </row>
    <row r="1538" spans="1:12" x14ac:dyDescent="0.2">
      <c r="A1538" t="s">
        <v>545</v>
      </c>
      <c r="B1538" t="s">
        <v>133</v>
      </c>
      <c r="C1538" t="s">
        <v>21</v>
      </c>
      <c r="D1538">
        <v>1102</v>
      </c>
      <c r="E1538">
        <v>2019</v>
      </c>
      <c r="F1538">
        <v>4</v>
      </c>
      <c r="G1538">
        <v>50790</v>
      </c>
      <c r="H1538" s="1">
        <v>3</v>
      </c>
      <c r="I1538">
        <v>45</v>
      </c>
      <c r="J1538">
        <f>IF($H1538=0,1,IF($I1538&lt;=1,2,0))</f>
        <v>0</v>
      </c>
      <c r="K1538">
        <v>0</v>
      </c>
      <c r="L1538">
        <f>IF(AND($J1538=0,$K1538=0),0,1)</f>
        <v>0</v>
      </c>
    </row>
    <row r="1539" spans="1:12" x14ac:dyDescent="0.2">
      <c r="A1539" t="s">
        <v>545</v>
      </c>
      <c r="B1539" t="s">
        <v>133</v>
      </c>
      <c r="C1539" t="s">
        <v>21</v>
      </c>
      <c r="D1539">
        <v>1102</v>
      </c>
      <c r="E1539">
        <v>2019</v>
      </c>
      <c r="F1539">
        <v>6</v>
      </c>
      <c r="G1539">
        <v>50792</v>
      </c>
      <c r="H1539" s="1">
        <v>3</v>
      </c>
      <c r="I1539">
        <v>33</v>
      </c>
      <c r="J1539">
        <f>IF($H1539=0,1,IF($I1539&lt;=1,2,0))</f>
        <v>0</v>
      </c>
      <c r="K1539">
        <v>0</v>
      </c>
      <c r="L1539">
        <f>IF(AND($J1539=0,$K1539=0),0,1)</f>
        <v>0</v>
      </c>
    </row>
    <row r="1540" spans="1:12" x14ac:dyDescent="0.2">
      <c r="A1540" t="s">
        <v>545</v>
      </c>
      <c r="B1540" t="s">
        <v>133</v>
      </c>
      <c r="C1540" t="s">
        <v>21</v>
      </c>
      <c r="D1540">
        <v>1102</v>
      </c>
      <c r="E1540">
        <v>2019</v>
      </c>
      <c r="F1540">
        <v>2</v>
      </c>
      <c r="G1540">
        <v>50788</v>
      </c>
      <c r="H1540" s="1">
        <v>3</v>
      </c>
      <c r="I1540">
        <v>19</v>
      </c>
      <c r="J1540">
        <f>IF($H1540=0,1,IF($I1540&lt;=1,2,0))</f>
        <v>0</v>
      </c>
      <c r="K1540">
        <v>0</v>
      </c>
      <c r="L1540">
        <f>IF(AND($J1540=0,$K1540=0),0,1)</f>
        <v>0</v>
      </c>
    </row>
    <row r="1541" spans="1:12" x14ac:dyDescent="0.2">
      <c r="A1541" t="s">
        <v>545</v>
      </c>
      <c r="B1541" t="s">
        <v>133</v>
      </c>
      <c r="C1541" t="s">
        <v>21</v>
      </c>
      <c r="D1541">
        <v>1102</v>
      </c>
      <c r="E1541">
        <v>2019</v>
      </c>
      <c r="F1541">
        <v>5</v>
      </c>
      <c r="G1541">
        <v>50791</v>
      </c>
      <c r="H1541" s="1">
        <v>3</v>
      </c>
      <c r="I1541">
        <v>18</v>
      </c>
      <c r="J1541">
        <f>IF($H1541=0,1,IF($I1541&lt;=1,2,0))</f>
        <v>0</v>
      </c>
      <c r="K1541">
        <v>0</v>
      </c>
      <c r="L1541">
        <f>IF(AND($J1541=0,$K1541=0),0,1)</f>
        <v>0</v>
      </c>
    </row>
    <row r="1542" spans="1:12" x14ac:dyDescent="0.2">
      <c r="A1542" t="s">
        <v>545</v>
      </c>
      <c r="B1542" t="s">
        <v>133</v>
      </c>
      <c r="C1542" t="s">
        <v>21</v>
      </c>
      <c r="D1542">
        <v>1201</v>
      </c>
      <c r="E1542">
        <v>2019</v>
      </c>
      <c r="F1542">
        <v>7</v>
      </c>
      <c r="G1542">
        <v>50771</v>
      </c>
      <c r="H1542" s="1">
        <v>3</v>
      </c>
      <c r="I1542">
        <v>109</v>
      </c>
      <c r="J1542">
        <f>IF($H1542=0,1,IF($I1542&lt;=1,2,0))</f>
        <v>0</v>
      </c>
      <c r="K1542">
        <v>0</v>
      </c>
      <c r="L1542">
        <f>IF(AND($J1542=0,$K1542=0),0,1)</f>
        <v>0</v>
      </c>
    </row>
    <row r="1543" spans="1:12" x14ac:dyDescent="0.2">
      <c r="A1543" t="s">
        <v>545</v>
      </c>
      <c r="B1543" t="s">
        <v>133</v>
      </c>
      <c r="C1543" t="s">
        <v>21</v>
      </c>
      <c r="D1543">
        <v>1201</v>
      </c>
      <c r="E1543">
        <v>2019</v>
      </c>
      <c r="F1543">
        <v>6</v>
      </c>
      <c r="G1543">
        <v>50770</v>
      </c>
      <c r="H1543" s="1">
        <v>3</v>
      </c>
      <c r="I1543">
        <v>85</v>
      </c>
      <c r="J1543">
        <f>IF($H1543=0,1,IF($I1543&lt;=1,2,0))</f>
        <v>0</v>
      </c>
      <c r="K1543">
        <v>0</v>
      </c>
      <c r="L1543">
        <f>IF(AND($J1543=0,$K1543=0),0,1)</f>
        <v>0</v>
      </c>
    </row>
    <row r="1544" spans="1:12" x14ac:dyDescent="0.2">
      <c r="A1544" t="s">
        <v>545</v>
      </c>
      <c r="B1544" t="s">
        <v>133</v>
      </c>
      <c r="C1544" t="s">
        <v>21</v>
      </c>
      <c r="D1544">
        <v>1201</v>
      </c>
      <c r="E1544">
        <v>2019</v>
      </c>
      <c r="F1544">
        <v>5</v>
      </c>
      <c r="G1544">
        <v>50769</v>
      </c>
      <c r="H1544" s="1">
        <v>3</v>
      </c>
      <c r="I1544">
        <v>84</v>
      </c>
      <c r="J1544">
        <f>IF($H1544=0,1,IF($I1544&lt;=1,2,0))</f>
        <v>0</v>
      </c>
      <c r="K1544">
        <v>0</v>
      </c>
      <c r="L1544">
        <f>IF(AND($J1544=0,$K1544=0),0,1)</f>
        <v>0</v>
      </c>
    </row>
    <row r="1545" spans="1:12" x14ac:dyDescent="0.2">
      <c r="A1545" t="s">
        <v>545</v>
      </c>
      <c r="B1545" t="s">
        <v>133</v>
      </c>
      <c r="C1545" t="s">
        <v>21</v>
      </c>
      <c r="D1545">
        <v>1201</v>
      </c>
      <c r="E1545">
        <v>2019</v>
      </c>
      <c r="F1545">
        <v>1</v>
      </c>
      <c r="G1545">
        <v>50765</v>
      </c>
      <c r="H1545" s="1">
        <v>3</v>
      </c>
      <c r="I1545">
        <v>60</v>
      </c>
      <c r="J1545">
        <f>IF($H1545=0,1,IF($I1545&lt;=1,2,0))</f>
        <v>0</v>
      </c>
      <c r="K1545">
        <v>0</v>
      </c>
      <c r="L1545">
        <f>IF(AND($J1545=0,$K1545=0),0,1)</f>
        <v>0</v>
      </c>
    </row>
    <row r="1546" spans="1:12" x14ac:dyDescent="0.2">
      <c r="A1546" t="s">
        <v>545</v>
      </c>
      <c r="B1546" t="s">
        <v>133</v>
      </c>
      <c r="C1546" t="s">
        <v>21</v>
      </c>
      <c r="D1546">
        <v>1201</v>
      </c>
      <c r="E1546">
        <v>2019</v>
      </c>
      <c r="F1546">
        <v>3</v>
      </c>
      <c r="G1546">
        <v>50767</v>
      </c>
      <c r="H1546" s="1">
        <v>3</v>
      </c>
      <c r="I1546">
        <v>57</v>
      </c>
      <c r="J1546">
        <f>IF($H1546=0,1,IF($I1546&lt;=1,2,0))</f>
        <v>0</v>
      </c>
      <c r="K1546">
        <v>0</v>
      </c>
      <c r="L1546">
        <f>IF(AND($J1546=0,$K1546=0),0,1)</f>
        <v>0</v>
      </c>
    </row>
    <row r="1547" spans="1:12" x14ac:dyDescent="0.2">
      <c r="A1547" t="s">
        <v>545</v>
      </c>
      <c r="B1547" t="s">
        <v>133</v>
      </c>
      <c r="C1547" t="s">
        <v>21</v>
      </c>
      <c r="D1547">
        <v>1201</v>
      </c>
      <c r="E1547">
        <v>2019</v>
      </c>
      <c r="F1547">
        <v>2</v>
      </c>
      <c r="G1547">
        <v>50766</v>
      </c>
      <c r="H1547" s="1">
        <v>3</v>
      </c>
      <c r="I1547">
        <v>37</v>
      </c>
      <c r="J1547">
        <f>IF($H1547=0,1,IF($I1547&lt;=1,2,0))</f>
        <v>0</v>
      </c>
      <c r="K1547">
        <v>0</v>
      </c>
      <c r="L1547">
        <f>IF(AND($J1547=0,$K1547=0),0,1)</f>
        <v>0</v>
      </c>
    </row>
    <row r="1548" spans="1:12" x14ac:dyDescent="0.2">
      <c r="A1548" t="s">
        <v>545</v>
      </c>
      <c r="B1548" t="s">
        <v>133</v>
      </c>
      <c r="C1548" t="s">
        <v>21</v>
      </c>
      <c r="D1548">
        <v>1201</v>
      </c>
      <c r="E1548">
        <v>2019</v>
      </c>
      <c r="F1548">
        <v>8</v>
      </c>
      <c r="G1548">
        <v>50772</v>
      </c>
      <c r="H1548" s="1">
        <v>3</v>
      </c>
      <c r="I1548">
        <v>29</v>
      </c>
      <c r="J1548">
        <f>IF($H1548=0,1,IF($I1548&lt;=1,2,0))</f>
        <v>0</v>
      </c>
      <c r="K1548">
        <v>0</v>
      </c>
      <c r="L1548">
        <f>IF(AND($J1548=0,$K1548=0),0,1)</f>
        <v>0</v>
      </c>
    </row>
    <row r="1549" spans="1:12" x14ac:dyDescent="0.2">
      <c r="A1549" t="s">
        <v>545</v>
      </c>
      <c r="B1549" t="s">
        <v>133</v>
      </c>
      <c r="C1549" t="s">
        <v>21</v>
      </c>
      <c r="D1549">
        <v>1201</v>
      </c>
      <c r="E1549">
        <v>2019</v>
      </c>
      <c r="F1549">
        <v>4</v>
      </c>
      <c r="G1549">
        <v>50768</v>
      </c>
      <c r="H1549" s="1">
        <v>3</v>
      </c>
      <c r="I1549">
        <v>22</v>
      </c>
      <c r="J1549">
        <f>IF($H1549=0,1,IF($I1549&lt;=1,2,0))</f>
        <v>0</v>
      </c>
      <c r="K1549">
        <v>0</v>
      </c>
      <c r="L1549">
        <f>IF(AND($J1549=0,$K1549=0),0,1)</f>
        <v>0</v>
      </c>
    </row>
    <row r="1550" spans="1:12" x14ac:dyDescent="0.2">
      <c r="A1550" t="s">
        <v>545</v>
      </c>
      <c r="B1550" t="s">
        <v>133</v>
      </c>
      <c r="C1550" t="s">
        <v>21</v>
      </c>
      <c r="D1550">
        <v>1202</v>
      </c>
      <c r="E1550">
        <v>2019</v>
      </c>
      <c r="F1550">
        <v>2</v>
      </c>
      <c r="G1550">
        <v>50786</v>
      </c>
      <c r="H1550" s="1">
        <v>3</v>
      </c>
      <c r="I1550">
        <v>36</v>
      </c>
      <c r="J1550">
        <f>IF($H1550=0,1,IF($I1550&lt;=1,2,0))</f>
        <v>0</v>
      </c>
      <c r="K1550">
        <v>0</v>
      </c>
      <c r="L1550">
        <f>IF(AND($J1550=0,$K1550=0),0,1)</f>
        <v>0</v>
      </c>
    </row>
    <row r="1551" spans="1:12" x14ac:dyDescent="0.2">
      <c r="A1551" t="s">
        <v>545</v>
      </c>
      <c r="B1551" t="s">
        <v>133</v>
      </c>
      <c r="C1551" t="s">
        <v>21</v>
      </c>
      <c r="D1551">
        <v>1202</v>
      </c>
      <c r="E1551">
        <v>2019</v>
      </c>
      <c r="F1551">
        <v>1</v>
      </c>
      <c r="G1551">
        <v>29220</v>
      </c>
      <c r="H1551" s="1">
        <v>3</v>
      </c>
      <c r="I1551">
        <v>28</v>
      </c>
      <c r="J1551">
        <f>IF($H1551=0,1,IF($I1551&lt;=1,2,0))</f>
        <v>0</v>
      </c>
      <c r="K1551">
        <v>0</v>
      </c>
      <c r="L1551">
        <f>IF(AND($J1551=0,$K1551=0),0,1)</f>
        <v>0</v>
      </c>
    </row>
    <row r="1552" spans="1:12" x14ac:dyDescent="0.2">
      <c r="A1552" t="s">
        <v>545</v>
      </c>
      <c r="B1552" t="s">
        <v>133</v>
      </c>
      <c r="C1552" t="s">
        <v>9</v>
      </c>
      <c r="D1552">
        <v>1205</v>
      </c>
      <c r="E1552">
        <v>2019</v>
      </c>
      <c r="F1552">
        <v>1</v>
      </c>
      <c r="G1552">
        <v>50701</v>
      </c>
      <c r="H1552" s="1">
        <v>4</v>
      </c>
      <c r="I1552">
        <v>37</v>
      </c>
      <c r="J1552">
        <f>IF($H1552=0,1,IF($I1552&lt;=1,2,0))</f>
        <v>0</v>
      </c>
      <c r="K1552">
        <v>0</v>
      </c>
      <c r="L1552">
        <f>IF(AND($J1552=0,$K1552=0),0,1)</f>
        <v>0</v>
      </c>
    </row>
    <row r="1553" spans="1:12" x14ac:dyDescent="0.2">
      <c r="A1553" t="s">
        <v>545</v>
      </c>
      <c r="B1553" t="s">
        <v>133</v>
      </c>
      <c r="C1553" t="s">
        <v>21</v>
      </c>
      <c r="D1553">
        <v>1207</v>
      </c>
      <c r="E1553">
        <v>2019</v>
      </c>
      <c r="F1553">
        <v>1</v>
      </c>
      <c r="G1553">
        <v>50643</v>
      </c>
      <c r="H1553" s="1">
        <v>4</v>
      </c>
      <c r="I1553">
        <v>50</v>
      </c>
      <c r="J1553">
        <f>IF($H1553=0,1,IF($I1553&lt;=1,2,0))</f>
        <v>0</v>
      </c>
      <c r="K1553">
        <v>0</v>
      </c>
      <c r="L1553">
        <f>IF(AND($J1553=0,$K1553=0),0,1)</f>
        <v>0</v>
      </c>
    </row>
    <row r="1554" spans="1:12" x14ac:dyDescent="0.2">
      <c r="A1554" t="s">
        <v>545</v>
      </c>
      <c r="B1554" t="s">
        <v>133</v>
      </c>
      <c r="C1554" t="s">
        <v>21</v>
      </c>
      <c r="D1554">
        <v>2000</v>
      </c>
      <c r="E1554">
        <v>2019</v>
      </c>
      <c r="F1554">
        <v>1</v>
      </c>
      <c r="G1554">
        <v>50764</v>
      </c>
      <c r="H1554" s="1">
        <v>3</v>
      </c>
      <c r="I1554">
        <v>31</v>
      </c>
      <c r="J1554">
        <f>IF($H1554=0,1,IF($I1554&lt;=1,2,0))</f>
        <v>0</v>
      </c>
      <c r="K1554">
        <v>0</v>
      </c>
      <c r="L1554">
        <f>IF(AND($J1554=0,$K1554=0),0,1)</f>
        <v>0</v>
      </c>
    </row>
    <row r="1555" spans="1:12" x14ac:dyDescent="0.2">
      <c r="A1555" t="s">
        <v>545</v>
      </c>
      <c r="B1555" t="s">
        <v>133</v>
      </c>
      <c r="C1555" t="s">
        <v>21</v>
      </c>
      <c r="D1555">
        <v>2010</v>
      </c>
      <c r="E1555">
        <v>2019</v>
      </c>
      <c r="F1555">
        <v>2</v>
      </c>
      <c r="G1555">
        <v>50781</v>
      </c>
      <c r="H1555" s="1">
        <v>3</v>
      </c>
      <c r="I1555">
        <v>100</v>
      </c>
      <c r="J1555">
        <f>IF($H1555=0,1,IF($I1555&lt;=1,2,0))</f>
        <v>0</v>
      </c>
      <c r="K1555">
        <v>0</v>
      </c>
      <c r="L1555">
        <f>IF(AND($J1555=0,$K1555=0),0,1)</f>
        <v>0</v>
      </c>
    </row>
    <row r="1556" spans="1:12" x14ac:dyDescent="0.2">
      <c r="A1556" t="s">
        <v>545</v>
      </c>
      <c r="B1556" t="s">
        <v>133</v>
      </c>
      <c r="C1556" t="s">
        <v>21</v>
      </c>
      <c r="D1556">
        <v>2010</v>
      </c>
      <c r="E1556">
        <v>2019</v>
      </c>
      <c r="F1556">
        <v>1</v>
      </c>
      <c r="G1556">
        <v>50780</v>
      </c>
      <c r="H1556" s="1">
        <v>3</v>
      </c>
      <c r="I1556">
        <v>87</v>
      </c>
      <c r="J1556">
        <f>IF($H1556=0,1,IF($I1556&lt;=1,2,0))</f>
        <v>0</v>
      </c>
      <c r="K1556">
        <v>0</v>
      </c>
      <c r="L1556">
        <f>IF(AND($J1556=0,$K1556=0),0,1)</f>
        <v>0</v>
      </c>
    </row>
    <row r="1557" spans="1:12" x14ac:dyDescent="0.2">
      <c r="A1557" t="s">
        <v>545</v>
      </c>
      <c r="B1557" t="s">
        <v>133</v>
      </c>
      <c r="C1557" t="s">
        <v>21</v>
      </c>
      <c r="D1557">
        <v>2010</v>
      </c>
      <c r="E1557">
        <v>2019</v>
      </c>
      <c r="F1557">
        <v>5</v>
      </c>
      <c r="G1557">
        <v>50784</v>
      </c>
      <c r="H1557" s="1">
        <v>3</v>
      </c>
      <c r="I1557">
        <v>60</v>
      </c>
      <c r="J1557">
        <f>IF($H1557=0,1,IF($I1557&lt;=1,2,0))</f>
        <v>0</v>
      </c>
      <c r="K1557">
        <v>0</v>
      </c>
      <c r="L1557">
        <f>IF(AND($J1557=0,$K1557=0),0,1)</f>
        <v>0</v>
      </c>
    </row>
    <row r="1558" spans="1:12" x14ac:dyDescent="0.2">
      <c r="A1558" t="s">
        <v>545</v>
      </c>
      <c r="B1558" t="s">
        <v>133</v>
      </c>
      <c r="C1558" t="s">
        <v>21</v>
      </c>
      <c r="D1558">
        <v>2010</v>
      </c>
      <c r="E1558">
        <v>2019</v>
      </c>
      <c r="F1558">
        <v>4</v>
      </c>
      <c r="G1558">
        <v>50783</v>
      </c>
      <c r="H1558" s="1">
        <v>3</v>
      </c>
      <c r="I1558">
        <v>54</v>
      </c>
      <c r="J1558">
        <f>IF($H1558=0,1,IF($I1558&lt;=1,2,0))</f>
        <v>0</v>
      </c>
      <c r="K1558">
        <v>0</v>
      </c>
      <c r="L1558">
        <f>IF(AND($J1558=0,$K1558=0),0,1)</f>
        <v>0</v>
      </c>
    </row>
    <row r="1559" spans="1:12" x14ac:dyDescent="0.2">
      <c r="A1559" t="s">
        <v>545</v>
      </c>
      <c r="B1559" t="s">
        <v>133</v>
      </c>
      <c r="C1559" t="s">
        <v>21</v>
      </c>
      <c r="D1559">
        <v>2010</v>
      </c>
      <c r="E1559">
        <v>2019</v>
      </c>
      <c r="F1559">
        <v>3</v>
      </c>
      <c r="G1559">
        <v>50782</v>
      </c>
      <c r="H1559" s="1">
        <v>3</v>
      </c>
      <c r="I1559">
        <v>17</v>
      </c>
      <c r="J1559">
        <f>IF($H1559=0,1,IF($I1559&lt;=1,2,0))</f>
        <v>0</v>
      </c>
      <c r="K1559">
        <v>0</v>
      </c>
      <c r="L1559">
        <f>IF(AND($J1559=0,$K1559=0),0,1)</f>
        <v>0</v>
      </c>
    </row>
    <row r="1560" spans="1:12" x14ac:dyDescent="0.2">
      <c r="A1560" t="s">
        <v>545</v>
      </c>
      <c r="B1560" t="s">
        <v>133</v>
      </c>
      <c r="C1560" t="s">
        <v>21</v>
      </c>
      <c r="D1560">
        <v>2030</v>
      </c>
      <c r="E1560">
        <v>2019</v>
      </c>
      <c r="F1560">
        <v>1</v>
      </c>
      <c r="G1560">
        <v>50778</v>
      </c>
      <c r="H1560" s="1">
        <v>3</v>
      </c>
      <c r="I1560">
        <v>57</v>
      </c>
      <c r="J1560">
        <f>IF($H1560=0,1,IF($I1560&lt;=1,2,0))</f>
        <v>0</v>
      </c>
      <c r="K1560">
        <v>0</v>
      </c>
      <c r="L1560">
        <f>IF(AND($J1560=0,$K1560=0),0,1)</f>
        <v>0</v>
      </c>
    </row>
    <row r="1561" spans="1:12" x14ac:dyDescent="0.2">
      <c r="A1561" t="s">
        <v>545</v>
      </c>
      <c r="B1561" t="s">
        <v>133</v>
      </c>
      <c r="C1561" t="s">
        <v>21</v>
      </c>
      <c r="D1561">
        <v>2030</v>
      </c>
      <c r="E1561">
        <v>2019</v>
      </c>
      <c r="F1561">
        <v>2</v>
      </c>
      <c r="G1561">
        <v>50779</v>
      </c>
      <c r="H1561" s="1">
        <v>3</v>
      </c>
      <c r="I1561">
        <v>36</v>
      </c>
      <c r="J1561">
        <f>IF($H1561=0,1,IF($I1561&lt;=1,2,0))</f>
        <v>0</v>
      </c>
      <c r="K1561">
        <v>0</v>
      </c>
      <c r="L1561">
        <f>IF(AND($J1561=0,$K1561=0),0,1)</f>
        <v>0</v>
      </c>
    </row>
    <row r="1562" spans="1:12" x14ac:dyDescent="0.2">
      <c r="A1562" t="s">
        <v>545</v>
      </c>
      <c r="B1562" t="s">
        <v>133</v>
      </c>
      <c r="C1562" t="s">
        <v>21</v>
      </c>
      <c r="D1562">
        <v>2500</v>
      </c>
      <c r="E1562">
        <v>2019</v>
      </c>
      <c r="F1562">
        <v>1</v>
      </c>
      <c r="G1562">
        <v>50776</v>
      </c>
      <c r="H1562" s="1">
        <v>3</v>
      </c>
      <c r="I1562">
        <v>58</v>
      </c>
      <c r="J1562">
        <f>IF($H1562=0,1,IF($I1562&lt;=1,2,0))</f>
        <v>0</v>
      </c>
      <c r="K1562">
        <v>0</v>
      </c>
      <c r="L1562">
        <f>IF(AND($J1562=0,$K1562=0),0,1)</f>
        <v>0</v>
      </c>
    </row>
    <row r="1563" spans="1:12" x14ac:dyDescent="0.2">
      <c r="A1563" t="s">
        <v>545</v>
      </c>
      <c r="B1563" t="s">
        <v>133</v>
      </c>
      <c r="C1563" t="s">
        <v>21</v>
      </c>
      <c r="D1563">
        <v>2500</v>
      </c>
      <c r="E1563">
        <v>2019</v>
      </c>
      <c r="F1563">
        <v>2</v>
      </c>
      <c r="G1563">
        <v>50777</v>
      </c>
      <c r="H1563" s="1">
        <v>3</v>
      </c>
      <c r="I1563">
        <v>44</v>
      </c>
      <c r="J1563">
        <f>IF($H1563=0,1,IF($I1563&lt;=1,2,0))</f>
        <v>0</v>
      </c>
      <c r="K1563">
        <v>0</v>
      </c>
      <c r="L1563">
        <f>IF(AND($J1563=0,$K1563=0),0,1)</f>
        <v>0</v>
      </c>
    </row>
    <row r="1564" spans="1:12" x14ac:dyDescent="0.2">
      <c r="A1564" t="s">
        <v>545</v>
      </c>
      <c r="B1564" t="s">
        <v>133</v>
      </c>
      <c r="C1564" t="s">
        <v>21</v>
      </c>
      <c r="D1564">
        <v>3007</v>
      </c>
      <c r="E1564">
        <v>2019</v>
      </c>
      <c r="F1564">
        <v>1</v>
      </c>
      <c r="G1564">
        <v>50755</v>
      </c>
      <c r="H1564" s="1">
        <v>3</v>
      </c>
      <c r="I1564">
        <v>39</v>
      </c>
      <c r="J1564">
        <f>IF($H1564=0,1,IF($I1564&lt;=1,2,0))</f>
        <v>0</v>
      </c>
      <c r="K1564">
        <v>0</v>
      </c>
      <c r="L1564">
        <f>IF(AND($J1564=0,$K1564=0),0,1)</f>
        <v>0</v>
      </c>
    </row>
    <row r="1565" spans="1:12" x14ac:dyDescent="0.2">
      <c r="A1565" t="s">
        <v>545</v>
      </c>
      <c r="B1565" t="s">
        <v>133</v>
      </c>
      <c r="C1565" t="s">
        <v>21</v>
      </c>
      <c r="D1565">
        <v>3025</v>
      </c>
      <c r="E1565">
        <v>2019</v>
      </c>
      <c r="F1565">
        <v>1</v>
      </c>
      <c r="G1565">
        <v>50708</v>
      </c>
      <c r="H1565" s="1">
        <v>3</v>
      </c>
      <c r="I1565">
        <v>75</v>
      </c>
      <c r="J1565">
        <f>IF($H1565=0,1,IF($I1565&lt;=1,2,0))</f>
        <v>0</v>
      </c>
      <c r="K1565">
        <v>0</v>
      </c>
      <c r="L1565">
        <f>IF(AND($J1565=0,$K1565=0),0,1)</f>
        <v>0</v>
      </c>
    </row>
    <row r="1566" spans="1:12" x14ac:dyDescent="0.2">
      <c r="A1566" t="s">
        <v>545</v>
      </c>
      <c r="B1566" t="s">
        <v>133</v>
      </c>
      <c r="C1566" t="s">
        <v>21</v>
      </c>
      <c r="D1566">
        <v>3027</v>
      </c>
      <c r="E1566">
        <v>2019</v>
      </c>
      <c r="F1566">
        <v>1</v>
      </c>
      <c r="G1566">
        <v>50723</v>
      </c>
      <c r="H1566" s="1">
        <v>3</v>
      </c>
      <c r="I1566">
        <v>39</v>
      </c>
      <c r="J1566">
        <f>IF($H1566=0,1,IF($I1566&lt;=1,2,0))</f>
        <v>0</v>
      </c>
      <c r="K1566">
        <v>0</v>
      </c>
      <c r="L1566">
        <f>IF(AND($J1566=0,$K1566=0),0,1)</f>
        <v>0</v>
      </c>
    </row>
    <row r="1567" spans="1:12" x14ac:dyDescent="0.2">
      <c r="A1567" t="s">
        <v>545</v>
      </c>
      <c r="B1567" t="s">
        <v>133</v>
      </c>
      <c r="C1567" t="s">
        <v>21</v>
      </c>
      <c r="D1567">
        <v>3951</v>
      </c>
      <c r="E1567">
        <v>2019</v>
      </c>
      <c r="F1567">
        <v>1</v>
      </c>
      <c r="G1567">
        <v>8781</v>
      </c>
      <c r="H1567" s="1">
        <v>3</v>
      </c>
      <c r="I1567">
        <v>48</v>
      </c>
      <c r="J1567">
        <f>IF($H1567=0,1,IF($I1567&lt;=1,2,0))</f>
        <v>0</v>
      </c>
      <c r="K1567">
        <v>0</v>
      </c>
      <c r="L1567">
        <f>IF(AND($J1567=0,$K1567=0),0,1)</f>
        <v>0</v>
      </c>
    </row>
    <row r="1568" spans="1:12" x14ac:dyDescent="0.2">
      <c r="A1568" t="s">
        <v>545</v>
      </c>
      <c r="B1568" t="s">
        <v>133</v>
      </c>
      <c r="C1568" t="s">
        <v>9</v>
      </c>
      <c r="D1568">
        <v>4041</v>
      </c>
      <c r="E1568">
        <v>2019</v>
      </c>
      <c r="F1568">
        <v>1</v>
      </c>
      <c r="G1568">
        <v>50674</v>
      </c>
      <c r="H1568" s="1">
        <v>3</v>
      </c>
      <c r="I1568">
        <v>64</v>
      </c>
      <c r="J1568">
        <f>IF($H1568=0,1,IF($I1568&lt;=1,2,0))</f>
        <v>0</v>
      </c>
      <c r="K1568">
        <v>0</v>
      </c>
      <c r="L1568">
        <f>IF(AND($J1568=0,$K1568=0),0,1)</f>
        <v>0</v>
      </c>
    </row>
    <row r="1569" spans="1:13" x14ac:dyDescent="0.2">
      <c r="A1569" t="s">
        <v>545</v>
      </c>
      <c r="B1569" t="s">
        <v>133</v>
      </c>
      <c r="C1569" t="s">
        <v>9</v>
      </c>
      <c r="D1569">
        <v>4042</v>
      </c>
      <c r="E1569">
        <v>2019</v>
      </c>
      <c r="F1569">
        <v>1</v>
      </c>
      <c r="G1569">
        <v>50644</v>
      </c>
      <c r="H1569" s="1">
        <v>3</v>
      </c>
      <c r="I1569">
        <v>20</v>
      </c>
      <c r="J1569">
        <f>IF($H1569=0,1,IF($I1569&lt;=1,2,0))</f>
        <v>0</v>
      </c>
      <c r="K1569">
        <v>0</v>
      </c>
      <c r="L1569">
        <f>IF(AND($J1569=0,$K1569=0),0,1)</f>
        <v>0</v>
      </c>
    </row>
    <row r="1570" spans="1:13" x14ac:dyDescent="0.2">
      <c r="A1570" t="s">
        <v>545</v>
      </c>
      <c r="B1570" t="s">
        <v>133</v>
      </c>
      <c r="C1570" t="s">
        <v>9</v>
      </c>
      <c r="D1570">
        <v>4043</v>
      </c>
      <c r="E1570">
        <v>2019</v>
      </c>
      <c r="F1570">
        <v>1</v>
      </c>
      <c r="G1570">
        <v>50710</v>
      </c>
      <c r="H1570" s="1">
        <v>3</v>
      </c>
      <c r="I1570">
        <v>4</v>
      </c>
      <c r="J1570">
        <f>IF($H1570=0,1,IF($I1570&lt;=1,2,0))</f>
        <v>0</v>
      </c>
      <c r="K1570">
        <v>0</v>
      </c>
      <c r="L1570">
        <f>IF(AND($J1570=0,$K1570=0),0,1)</f>
        <v>0</v>
      </c>
    </row>
    <row r="1571" spans="1:13" x14ac:dyDescent="0.2">
      <c r="A1571" t="s">
        <v>545</v>
      </c>
      <c r="B1571" t="s">
        <v>133</v>
      </c>
      <c r="C1571" t="s">
        <v>9</v>
      </c>
      <c r="D1571">
        <v>4044</v>
      </c>
      <c r="E1571">
        <v>2019</v>
      </c>
      <c r="F1571">
        <v>1</v>
      </c>
      <c r="G1571">
        <v>50758</v>
      </c>
      <c r="H1571" s="1">
        <v>3</v>
      </c>
      <c r="I1571">
        <v>6</v>
      </c>
      <c r="J1571">
        <f>IF($H1571=0,1,IF($I1571&lt;=1,2,0))</f>
        <v>0</v>
      </c>
      <c r="K1571">
        <v>0</v>
      </c>
      <c r="L1571">
        <f>IF(AND($J1571=0,$K1571=0),0,1)</f>
        <v>0</v>
      </c>
    </row>
    <row r="1572" spans="1:13" x14ac:dyDescent="0.2">
      <c r="A1572" t="s">
        <v>545</v>
      </c>
      <c r="B1572" t="s">
        <v>133</v>
      </c>
      <c r="C1572" t="s">
        <v>9</v>
      </c>
      <c r="D1572">
        <v>4051</v>
      </c>
      <c r="E1572">
        <v>2019</v>
      </c>
      <c r="F1572">
        <v>1</v>
      </c>
      <c r="G1572">
        <v>50759</v>
      </c>
      <c r="H1572" s="1">
        <v>3</v>
      </c>
      <c r="I1572">
        <v>22</v>
      </c>
      <c r="J1572">
        <f>IF($H1572=0,1,IF($I1572&lt;=1,2,0))</f>
        <v>0</v>
      </c>
      <c r="K1572">
        <v>0</v>
      </c>
      <c r="L1572">
        <f>IF(AND($J1572=0,$K1572=0),0,1)</f>
        <v>0</v>
      </c>
    </row>
    <row r="1573" spans="1:13" x14ac:dyDescent="0.2">
      <c r="A1573" t="s">
        <v>545</v>
      </c>
      <c r="B1573" t="s">
        <v>133</v>
      </c>
      <c r="C1573" t="s">
        <v>9</v>
      </c>
      <c r="D1573">
        <v>4061</v>
      </c>
      <c r="E1573">
        <v>2019</v>
      </c>
      <c r="F1573">
        <v>1</v>
      </c>
      <c r="G1573">
        <v>50775</v>
      </c>
      <c r="H1573" s="1">
        <v>3</v>
      </c>
      <c r="I1573">
        <v>44</v>
      </c>
      <c r="J1573">
        <f>IF($H1573=0,1,IF($I1573&lt;=1,2,0))</f>
        <v>0</v>
      </c>
      <c r="K1573">
        <v>0</v>
      </c>
      <c r="L1573">
        <f>IF(AND($J1573=0,$K1573=0),0,1)</f>
        <v>0</v>
      </c>
    </row>
    <row r="1574" spans="1:13" x14ac:dyDescent="0.2">
      <c r="A1574" t="s">
        <v>545</v>
      </c>
      <c r="B1574" t="s">
        <v>133</v>
      </c>
      <c r="C1574" t="s">
        <v>9</v>
      </c>
      <c r="D1574">
        <v>4061</v>
      </c>
      <c r="E1574">
        <v>2019</v>
      </c>
      <c r="F1574">
        <v>2</v>
      </c>
      <c r="G1574">
        <v>50774</v>
      </c>
      <c r="H1574" s="1">
        <v>3</v>
      </c>
      <c r="I1574">
        <v>21</v>
      </c>
      <c r="J1574">
        <f>IF($H1574=0,1,IF($I1574&lt;=1,2,0))</f>
        <v>0</v>
      </c>
      <c r="K1574">
        <v>0</v>
      </c>
      <c r="L1574">
        <f>IF(AND($J1574=0,$K1574=0),0,1)</f>
        <v>0</v>
      </c>
    </row>
    <row r="1575" spans="1:13" x14ac:dyDescent="0.2">
      <c r="A1575" t="s">
        <v>545</v>
      </c>
      <c r="B1575" t="s">
        <v>133</v>
      </c>
      <c r="C1575" t="s">
        <v>9</v>
      </c>
      <c r="D1575">
        <v>4062</v>
      </c>
      <c r="E1575">
        <v>2019</v>
      </c>
      <c r="F1575">
        <v>1</v>
      </c>
      <c r="G1575">
        <v>50645</v>
      </c>
      <c r="H1575" s="1">
        <v>3</v>
      </c>
      <c r="I1575">
        <v>22</v>
      </c>
      <c r="J1575">
        <f>IF($H1575=0,1,IF($I1575&lt;=1,2,0))</f>
        <v>0</v>
      </c>
      <c r="K1575">
        <v>0</v>
      </c>
      <c r="L1575">
        <f>IF(AND($J1575=0,$K1575=0),0,1)</f>
        <v>0</v>
      </c>
    </row>
    <row r="1576" spans="1:13" x14ac:dyDescent="0.2">
      <c r="A1576" t="s">
        <v>545</v>
      </c>
      <c r="B1576" t="s">
        <v>133</v>
      </c>
      <c r="C1576" t="s">
        <v>9</v>
      </c>
      <c r="D1576">
        <v>4065</v>
      </c>
      <c r="E1576">
        <v>2019</v>
      </c>
      <c r="F1576">
        <v>1</v>
      </c>
      <c r="G1576">
        <v>50691</v>
      </c>
      <c r="H1576" s="1">
        <v>3</v>
      </c>
      <c r="I1576">
        <v>12</v>
      </c>
      <c r="J1576">
        <f>IF($H1576=0,1,IF($I1576&lt;=1,2,0))</f>
        <v>0</v>
      </c>
      <c r="K1576">
        <v>0</v>
      </c>
      <c r="L1576">
        <f>IF(AND($J1576=0,$K1576=0),0,1)</f>
        <v>0</v>
      </c>
    </row>
    <row r="1577" spans="1:13" x14ac:dyDescent="0.2">
      <c r="A1577" t="s">
        <v>545</v>
      </c>
      <c r="B1577" t="s">
        <v>133</v>
      </c>
      <c r="C1577" t="s">
        <v>9</v>
      </c>
      <c r="D1577">
        <v>4081</v>
      </c>
      <c r="E1577">
        <v>2019</v>
      </c>
      <c r="F1577">
        <v>1</v>
      </c>
      <c r="G1577">
        <v>8792</v>
      </c>
      <c r="H1577" s="1">
        <v>3</v>
      </c>
      <c r="I1577">
        <v>9</v>
      </c>
      <c r="J1577">
        <f>IF($H1577=0,1,IF($I1577&lt;=1,2,0))</f>
        <v>0</v>
      </c>
      <c r="K1577">
        <v>0</v>
      </c>
      <c r="L1577">
        <f>IF(AND($J1577=0,$K1577=0),0,1)</f>
        <v>0</v>
      </c>
    </row>
    <row r="1578" spans="1:13" x14ac:dyDescent="0.2">
      <c r="A1578" t="s">
        <v>545</v>
      </c>
      <c r="B1578" t="s">
        <v>133</v>
      </c>
      <c r="C1578" t="s">
        <v>9</v>
      </c>
      <c r="D1578">
        <v>5010</v>
      </c>
      <c r="E1578">
        <v>2019</v>
      </c>
      <c r="F1578">
        <v>1</v>
      </c>
      <c r="G1578">
        <v>50715</v>
      </c>
      <c r="H1578" s="1">
        <v>3</v>
      </c>
      <c r="I1578">
        <v>128</v>
      </c>
      <c r="J1578">
        <f>IF($H1578=0,1,IF($I1578&lt;=1,2,0))</f>
        <v>0</v>
      </c>
      <c r="K1578">
        <v>0</v>
      </c>
      <c r="L1578">
        <f>IF(AND($J1578=0,$K1578=0),0,1)</f>
        <v>0</v>
      </c>
      <c r="M1578" t="s">
        <v>1943</v>
      </c>
    </row>
    <row r="1579" spans="1:13" x14ac:dyDescent="0.2">
      <c r="A1579" t="s">
        <v>545</v>
      </c>
      <c r="B1579" t="s">
        <v>133</v>
      </c>
      <c r="C1579" t="s">
        <v>11</v>
      </c>
      <c r="D1579">
        <v>5220</v>
      </c>
      <c r="E1579">
        <v>2019</v>
      </c>
      <c r="F1579">
        <v>1</v>
      </c>
      <c r="G1579">
        <v>50716</v>
      </c>
      <c r="H1579" s="1">
        <v>3</v>
      </c>
      <c r="I1579">
        <v>62</v>
      </c>
      <c r="J1579">
        <f>IF($H1579=0,1,IF($I1579&lt;=1,2,0))</f>
        <v>0</v>
      </c>
      <c r="K1579">
        <v>0</v>
      </c>
      <c r="L1579">
        <f>IF(AND($J1579=0,$K1579=0),0,1)</f>
        <v>0</v>
      </c>
      <c r="M1579" t="s">
        <v>547</v>
      </c>
    </row>
    <row r="1580" spans="1:13" x14ac:dyDescent="0.2">
      <c r="A1580" t="s">
        <v>545</v>
      </c>
      <c r="B1580" t="s">
        <v>133</v>
      </c>
      <c r="C1580" t="s">
        <v>11</v>
      </c>
      <c r="D1580">
        <v>5260</v>
      </c>
      <c r="E1580">
        <v>2019</v>
      </c>
      <c r="F1580">
        <v>1</v>
      </c>
      <c r="G1580">
        <v>50646</v>
      </c>
      <c r="H1580" s="1">
        <v>3</v>
      </c>
      <c r="I1580">
        <v>22</v>
      </c>
      <c r="J1580">
        <f>IF($H1580=0,1,IF($I1580&lt;=1,2,0))</f>
        <v>0</v>
      </c>
      <c r="K1580">
        <v>0</v>
      </c>
      <c r="L1580">
        <f>IF(AND($J1580=0,$K1580=0),0,1)</f>
        <v>0</v>
      </c>
      <c r="M1580" t="s">
        <v>548</v>
      </c>
    </row>
    <row r="1581" spans="1:13" x14ac:dyDescent="0.2">
      <c r="A1581" t="s">
        <v>545</v>
      </c>
      <c r="B1581" t="s">
        <v>133</v>
      </c>
      <c r="C1581" t="s">
        <v>11</v>
      </c>
      <c r="D1581">
        <v>5280</v>
      </c>
      <c r="E1581">
        <v>2019</v>
      </c>
      <c r="F1581">
        <v>1</v>
      </c>
      <c r="G1581">
        <v>50717</v>
      </c>
      <c r="H1581" s="1">
        <v>3</v>
      </c>
      <c r="I1581">
        <v>110</v>
      </c>
      <c r="J1581">
        <f>IF($H1581=0,1,IF($I1581&lt;=1,2,0))</f>
        <v>0</v>
      </c>
      <c r="K1581">
        <v>0</v>
      </c>
      <c r="L1581">
        <f>IF(AND($J1581=0,$K1581=0),0,1)</f>
        <v>0</v>
      </c>
      <c r="M1581" t="s">
        <v>547</v>
      </c>
    </row>
    <row r="1582" spans="1:13" x14ac:dyDescent="0.2">
      <c r="A1582" t="s">
        <v>545</v>
      </c>
      <c r="B1582" t="s">
        <v>133</v>
      </c>
      <c r="C1582" t="s">
        <v>11</v>
      </c>
      <c r="D1582">
        <v>5320</v>
      </c>
      <c r="E1582">
        <v>2019</v>
      </c>
      <c r="F1582">
        <v>1</v>
      </c>
      <c r="G1582">
        <v>50722</v>
      </c>
      <c r="H1582" s="1">
        <v>3</v>
      </c>
      <c r="I1582">
        <v>48</v>
      </c>
      <c r="J1582">
        <f>IF($H1582=0,1,IF($I1582&lt;=1,2,0))</f>
        <v>0</v>
      </c>
      <c r="K1582">
        <v>0</v>
      </c>
      <c r="L1582">
        <f>IF(AND($J1582=0,$K1582=0),0,1)</f>
        <v>0</v>
      </c>
      <c r="M1582" t="s">
        <v>1943</v>
      </c>
    </row>
    <row r="1583" spans="1:13" x14ac:dyDescent="0.2">
      <c r="A1583" t="s">
        <v>545</v>
      </c>
      <c r="B1583" t="s">
        <v>133</v>
      </c>
      <c r="C1583" t="s">
        <v>11</v>
      </c>
      <c r="D1583">
        <v>5340</v>
      </c>
      <c r="E1583">
        <v>2019</v>
      </c>
      <c r="F1583">
        <v>1</v>
      </c>
      <c r="G1583">
        <v>50718</v>
      </c>
      <c r="H1583" s="1">
        <v>3</v>
      </c>
      <c r="I1583">
        <v>20</v>
      </c>
      <c r="J1583">
        <f>IF($H1583=0,1,IF($I1583&lt;=1,2,0))</f>
        <v>0</v>
      </c>
      <c r="K1583">
        <v>0</v>
      </c>
      <c r="L1583">
        <f>IF(AND($J1583=0,$K1583=0),0,1)</f>
        <v>0</v>
      </c>
      <c r="M1583" t="s">
        <v>547</v>
      </c>
    </row>
    <row r="1584" spans="1:13" x14ac:dyDescent="0.2">
      <c r="A1584" t="s">
        <v>545</v>
      </c>
      <c r="B1584" t="s">
        <v>133</v>
      </c>
      <c r="C1584" t="s">
        <v>11</v>
      </c>
      <c r="D1584">
        <v>5420</v>
      </c>
      <c r="E1584">
        <v>2019</v>
      </c>
      <c r="F1584">
        <v>1</v>
      </c>
      <c r="G1584">
        <v>50719</v>
      </c>
      <c r="H1584" s="1">
        <v>3</v>
      </c>
      <c r="I1584">
        <v>55</v>
      </c>
      <c r="J1584">
        <f>IF($H1584=0,1,IF($I1584&lt;=1,2,0))</f>
        <v>0</v>
      </c>
      <c r="K1584">
        <v>0</v>
      </c>
      <c r="L1584">
        <f>IF(AND($J1584=0,$K1584=0),0,1)</f>
        <v>0</v>
      </c>
      <c r="M1584" t="s">
        <v>547</v>
      </c>
    </row>
    <row r="1585" spans="1:12" x14ac:dyDescent="0.2">
      <c r="A1585" t="s">
        <v>545</v>
      </c>
      <c r="B1585" t="s">
        <v>133</v>
      </c>
      <c r="C1585" t="s">
        <v>11</v>
      </c>
      <c r="D1585">
        <v>6151</v>
      </c>
      <c r="E1585">
        <v>2019</v>
      </c>
      <c r="F1585">
        <v>1</v>
      </c>
      <c r="G1585">
        <v>50724</v>
      </c>
      <c r="H1585" s="1">
        <v>4.5</v>
      </c>
      <c r="I1585">
        <v>21</v>
      </c>
      <c r="J1585">
        <f>IF($H1585=0,1,IF($I1585&lt;=1,2,0))</f>
        <v>0</v>
      </c>
      <c r="K1585">
        <v>0</v>
      </c>
      <c r="L1585">
        <f>IF(AND($J1585=0,$K1585=0),0,1)</f>
        <v>0</v>
      </c>
    </row>
    <row r="1586" spans="1:12" x14ac:dyDescent="0.2">
      <c r="A1586" t="s">
        <v>545</v>
      </c>
      <c r="B1586" t="s">
        <v>133</v>
      </c>
      <c r="C1586" t="s">
        <v>11</v>
      </c>
      <c r="D1586">
        <v>6175</v>
      </c>
      <c r="E1586">
        <v>2019</v>
      </c>
      <c r="F1586">
        <v>1</v>
      </c>
      <c r="G1586">
        <v>50720</v>
      </c>
      <c r="H1586" s="1">
        <v>4.5</v>
      </c>
      <c r="I1586">
        <v>15</v>
      </c>
      <c r="J1586">
        <f>IF($H1586=0,1,IF($I1586&lt;=1,2,0))</f>
        <v>0</v>
      </c>
      <c r="K1586">
        <v>0</v>
      </c>
      <c r="L1586">
        <f>IF(AND($J1586=0,$K1586=0),0,1)</f>
        <v>0</v>
      </c>
    </row>
    <row r="1587" spans="1:12" x14ac:dyDescent="0.2">
      <c r="A1587" t="s">
        <v>545</v>
      </c>
      <c r="B1587" t="s">
        <v>133</v>
      </c>
      <c r="C1587" t="s">
        <v>11</v>
      </c>
      <c r="D1587">
        <v>6261</v>
      </c>
      <c r="E1587">
        <v>2019</v>
      </c>
      <c r="F1587">
        <v>1</v>
      </c>
      <c r="G1587">
        <v>50725</v>
      </c>
      <c r="H1587" s="1">
        <v>4.5</v>
      </c>
      <c r="I1587">
        <v>11</v>
      </c>
      <c r="J1587">
        <f>IF($H1587=0,1,IF($I1587&lt;=1,2,0))</f>
        <v>0</v>
      </c>
      <c r="K1587">
        <v>0</v>
      </c>
      <c r="L1587">
        <f>IF(AND($J1587=0,$K1587=0),0,1)</f>
        <v>0</v>
      </c>
    </row>
    <row r="1588" spans="1:12" x14ac:dyDescent="0.2">
      <c r="A1588" t="s">
        <v>545</v>
      </c>
      <c r="B1588" t="s">
        <v>133</v>
      </c>
      <c r="C1588" t="s">
        <v>11</v>
      </c>
      <c r="D1588">
        <v>6307</v>
      </c>
      <c r="E1588">
        <v>2019</v>
      </c>
      <c r="F1588">
        <v>1</v>
      </c>
      <c r="G1588">
        <v>50721</v>
      </c>
      <c r="H1588" s="1">
        <v>4.5</v>
      </c>
      <c r="I1588">
        <v>14</v>
      </c>
      <c r="J1588">
        <f>IF($H1588=0,1,IF($I1588&lt;=1,2,0))</f>
        <v>0</v>
      </c>
      <c r="K1588">
        <v>0</v>
      </c>
      <c r="L1588">
        <f>IF(AND($J1588=0,$K1588=0),0,1)</f>
        <v>0</v>
      </c>
    </row>
    <row r="1589" spans="1:12" x14ac:dyDescent="0.2">
      <c r="A1589" t="s">
        <v>545</v>
      </c>
      <c r="B1589" t="s">
        <v>133</v>
      </c>
      <c r="C1589" t="s">
        <v>11</v>
      </c>
      <c r="D1589">
        <v>6343</v>
      </c>
      <c r="E1589">
        <v>2019</v>
      </c>
      <c r="F1589">
        <v>1</v>
      </c>
      <c r="G1589">
        <v>50692</v>
      </c>
      <c r="H1589" s="1">
        <v>4.5</v>
      </c>
      <c r="I1589">
        <v>11</v>
      </c>
      <c r="J1589">
        <f>IF($H1589=0,1,IF($I1589&lt;=1,2,0))</f>
        <v>0</v>
      </c>
      <c r="K1589">
        <v>0</v>
      </c>
      <c r="L1589">
        <f>IF(AND($J1589=0,$K1589=0),0,1)</f>
        <v>0</v>
      </c>
    </row>
    <row r="1590" spans="1:12" x14ac:dyDescent="0.2">
      <c r="A1590" t="s">
        <v>545</v>
      </c>
      <c r="B1590" t="s">
        <v>133</v>
      </c>
      <c r="C1590" t="s">
        <v>11</v>
      </c>
      <c r="D1590">
        <v>6402</v>
      </c>
      <c r="E1590">
        <v>2019</v>
      </c>
      <c r="F1590">
        <v>1</v>
      </c>
      <c r="G1590">
        <v>50677</v>
      </c>
      <c r="H1590" s="1">
        <v>4.5</v>
      </c>
      <c r="I1590">
        <v>8</v>
      </c>
      <c r="J1590">
        <f>IF($H1590=0,1,IF($I1590&lt;=1,2,0))</f>
        <v>0</v>
      </c>
      <c r="K1590">
        <v>0</v>
      </c>
      <c r="L1590">
        <f>IF(AND($J1590=0,$K1590=0),0,1)</f>
        <v>0</v>
      </c>
    </row>
    <row r="1591" spans="1:12" x14ac:dyDescent="0.2">
      <c r="A1591" t="s">
        <v>545</v>
      </c>
      <c r="B1591" t="s">
        <v>133</v>
      </c>
      <c r="C1591" t="s">
        <v>34</v>
      </c>
      <c r="D1591">
        <v>8210</v>
      </c>
      <c r="E1591">
        <v>2019</v>
      </c>
      <c r="F1591">
        <v>1</v>
      </c>
      <c r="G1591">
        <v>50761</v>
      </c>
      <c r="H1591" s="1">
        <v>4.5</v>
      </c>
      <c r="I1591">
        <v>2</v>
      </c>
      <c r="J1591">
        <f>IF($H1591=0,1,IF($I1591&lt;=1,2,0))</f>
        <v>0</v>
      </c>
      <c r="K1591">
        <v>0</v>
      </c>
      <c r="L1591">
        <f>IF(AND($J1591=0,$K1591=0),0,1)</f>
        <v>0</v>
      </c>
    </row>
    <row r="1592" spans="1:12" x14ac:dyDescent="0.2">
      <c r="A1592" t="s">
        <v>545</v>
      </c>
      <c r="B1592" t="s">
        <v>133</v>
      </c>
      <c r="C1592" t="s">
        <v>11</v>
      </c>
      <c r="D1592">
        <v>8255</v>
      </c>
      <c r="E1592">
        <v>2019</v>
      </c>
      <c r="F1592">
        <v>1</v>
      </c>
      <c r="G1592">
        <v>50647</v>
      </c>
      <c r="H1592" s="1">
        <v>4.5</v>
      </c>
      <c r="I1592">
        <v>7</v>
      </c>
      <c r="J1592">
        <f>IF($H1592=0,1,IF($I1592&lt;=1,2,0))</f>
        <v>0</v>
      </c>
      <c r="K1592">
        <v>0</v>
      </c>
      <c r="L1592">
        <f>IF(AND($J1592=0,$K1592=0),0,1)</f>
        <v>0</v>
      </c>
    </row>
    <row r="1593" spans="1:12" x14ac:dyDescent="0.2">
      <c r="A1593" t="s">
        <v>545</v>
      </c>
      <c r="B1593" t="s">
        <v>133</v>
      </c>
      <c r="C1593" t="s">
        <v>11</v>
      </c>
      <c r="D1593">
        <v>8480</v>
      </c>
      <c r="E1593">
        <v>2019</v>
      </c>
      <c r="F1593">
        <v>1</v>
      </c>
      <c r="G1593">
        <v>50763</v>
      </c>
      <c r="H1593" s="1">
        <v>4.5</v>
      </c>
      <c r="I1593">
        <v>7</v>
      </c>
      <c r="J1593">
        <f>IF($H1593=0,1,IF($I1593&lt;=1,2,0))</f>
        <v>0</v>
      </c>
      <c r="K1593">
        <v>0</v>
      </c>
      <c r="L1593">
        <f>IF(AND($J1593=0,$K1593=0),0,1)</f>
        <v>0</v>
      </c>
    </row>
    <row r="1594" spans="1:12" x14ac:dyDescent="0.2">
      <c r="A1594" t="s">
        <v>545</v>
      </c>
      <c r="B1594" t="s">
        <v>133</v>
      </c>
      <c r="C1594" t="s">
        <v>11</v>
      </c>
      <c r="D1594">
        <v>8674</v>
      </c>
      <c r="E1594">
        <v>2019</v>
      </c>
      <c r="F1594">
        <v>1</v>
      </c>
      <c r="G1594">
        <v>50678</v>
      </c>
      <c r="H1594" s="1">
        <v>4.5</v>
      </c>
      <c r="I1594">
        <v>6</v>
      </c>
      <c r="J1594">
        <f>IF($H1594=0,1,IF($I1594&lt;=1,2,0))</f>
        <v>0</v>
      </c>
      <c r="K1594">
        <v>0</v>
      </c>
      <c r="L1594">
        <f>IF(AND($J1594=0,$K1594=0),0,1)</f>
        <v>0</v>
      </c>
    </row>
    <row r="1595" spans="1:12" x14ac:dyDescent="0.2">
      <c r="A1595" t="s">
        <v>551</v>
      </c>
      <c r="B1595" t="s">
        <v>133</v>
      </c>
      <c r="C1595" t="s">
        <v>11</v>
      </c>
      <c r="D1595">
        <v>8260</v>
      </c>
      <c r="E1595">
        <v>2019</v>
      </c>
      <c r="F1595">
        <v>1</v>
      </c>
      <c r="G1595">
        <v>50762</v>
      </c>
      <c r="H1595" s="1">
        <v>3</v>
      </c>
      <c r="I1595">
        <v>12</v>
      </c>
      <c r="J1595">
        <f>IF($H1595=0,1,IF($I1595&lt;=1,2,0))</f>
        <v>0</v>
      </c>
      <c r="K1595">
        <v>0</v>
      </c>
      <c r="L1595">
        <f>IF(AND($J1595=0,$K1595=0),0,1)</f>
        <v>0</v>
      </c>
    </row>
    <row r="1596" spans="1:12" x14ac:dyDescent="0.2">
      <c r="A1596" t="s">
        <v>552</v>
      </c>
      <c r="B1596" t="s">
        <v>17</v>
      </c>
      <c r="C1596" t="s">
        <v>9</v>
      </c>
      <c r="D1596">
        <v>1210</v>
      </c>
      <c r="E1596">
        <v>2019</v>
      </c>
      <c r="F1596">
        <v>2</v>
      </c>
      <c r="G1596">
        <v>41136</v>
      </c>
      <c r="H1596" s="1">
        <v>5</v>
      </c>
      <c r="I1596">
        <v>12</v>
      </c>
      <c r="J1596">
        <f>IF($H1596=0,1,IF($I1596&lt;=1,2,0))</f>
        <v>0</v>
      </c>
      <c r="K1596">
        <v>0</v>
      </c>
      <c r="L1596">
        <f>IF(AND($J1596=0,$K1596=0),0,1)</f>
        <v>0</v>
      </c>
    </row>
    <row r="1597" spans="1:12" x14ac:dyDescent="0.2">
      <c r="A1597" t="s">
        <v>552</v>
      </c>
      <c r="B1597" t="s">
        <v>17</v>
      </c>
      <c r="C1597" t="s">
        <v>9</v>
      </c>
      <c r="D1597">
        <v>1210</v>
      </c>
      <c r="E1597">
        <v>2019</v>
      </c>
      <c r="F1597">
        <v>1</v>
      </c>
      <c r="G1597">
        <v>41135</v>
      </c>
      <c r="H1597" s="1">
        <v>5</v>
      </c>
      <c r="I1597">
        <v>10</v>
      </c>
      <c r="J1597">
        <f>IF($H1597=0,1,IF($I1597&lt;=1,2,0))</f>
        <v>0</v>
      </c>
      <c r="K1597">
        <v>0</v>
      </c>
      <c r="L1597">
        <f>IF(AND($J1597=0,$K1597=0),0,1)</f>
        <v>0</v>
      </c>
    </row>
    <row r="1598" spans="1:12" x14ac:dyDescent="0.2">
      <c r="A1598" t="s">
        <v>552</v>
      </c>
      <c r="B1598" t="s">
        <v>17</v>
      </c>
      <c r="C1598" t="s">
        <v>9</v>
      </c>
      <c r="D1598">
        <v>1210</v>
      </c>
      <c r="E1598">
        <v>2019</v>
      </c>
      <c r="F1598">
        <v>4</v>
      </c>
      <c r="G1598">
        <v>41138</v>
      </c>
      <c r="H1598" s="1">
        <v>5</v>
      </c>
      <c r="I1598">
        <v>9</v>
      </c>
      <c r="J1598">
        <f>IF($H1598=0,1,IF($I1598&lt;=1,2,0))</f>
        <v>0</v>
      </c>
      <c r="K1598">
        <v>0</v>
      </c>
      <c r="L1598">
        <f>IF(AND($J1598=0,$K1598=0),0,1)</f>
        <v>0</v>
      </c>
    </row>
    <row r="1599" spans="1:12" x14ac:dyDescent="0.2">
      <c r="A1599" t="s">
        <v>552</v>
      </c>
      <c r="B1599" t="s">
        <v>17</v>
      </c>
      <c r="C1599" t="s">
        <v>9</v>
      </c>
      <c r="D1599">
        <v>1210</v>
      </c>
      <c r="E1599">
        <v>2019</v>
      </c>
      <c r="F1599">
        <v>3</v>
      </c>
      <c r="G1599">
        <v>41137</v>
      </c>
      <c r="H1599" s="1">
        <v>5</v>
      </c>
      <c r="I1599">
        <v>6</v>
      </c>
      <c r="J1599">
        <f>IF($H1599=0,1,IF($I1599&lt;=1,2,0))</f>
        <v>0</v>
      </c>
      <c r="K1599">
        <v>0</v>
      </c>
      <c r="L1599">
        <f>IF(AND($J1599=0,$K1599=0),0,1)</f>
        <v>0</v>
      </c>
    </row>
    <row r="1600" spans="1:12" x14ac:dyDescent="0.2">
      <c r="A1600" t="s">
        <v>552</v>
      </c>
      <c r="B1600" t="s">
        <v>17</v>
      </c>
      <c r="C1600" t="s">
        <v>9</v>
      </c>
      <c r="D1600">
        <v>1211</v>
      </c>
      <c r="E1600">
        <v>2019</v>
      </c>
      <c r="F1600">
        <v>1</v>
      </c>
      <c r="G1600">
        <v>41162</v>
      </c>
      <c r="H1600" s="1">
        <v>5</v>
      </c>
      <c r="I1600">
        <v>5</v>
      </c>
      <c r="J1600">
        <f>IF($H1600=0,1,IF($I1600&lt;=1,2,0))</f>
        <v>0</v>
      </c>
      <c r="K1600">
        <v>0</v>
      </c>
      <c r="L1600">
        <f>IF(AND($J1600=0,$K1600=0),0,1)</f>
        <v>0</v>
      </c>
    </row>
    <row r="1601" spans="1:12" x14ac:dyDescent="0.2">
      <c r="A1601" t="s">
        <v>552</v>
      </c>
      <c r="B1601" t="s">
        <v>17</v>
      </c>
      <c r="C1601" t="s">
        <v>9</v>
      </c>
      <c r="D1601">
        <v>1310</v>
      </c>
      <c r="E1601">
        <v>2019</v>
      </c>
      <c r="F1601">
        <v>1</v>
      </c>
      <c r="G1601">
        <v>10364</v>
      </c>
      <c r="H1601" s="1">
        <v>4</v>
      </c>
      <c r="I1601">
        <v>4</v>
      </c>
      <c r="J1601">
        <f>IF($H1601=0,1,IF($I1601&lt;=1,2,0))</f>
        <v>0</v>
      </c>
      <c r="K1601">
        <v>0</v>
      </c>
      <c r="L1601">
        <f>IF(AND($J1601=0,$K1601=0),0,1)</f>
        <v>0</v>
      </c>
    </row>
    <row r="1602" spans="1:12" x14ac:dyDescent="0.2">
      <c r="A1602" t="s">
        <v>552</v>
      </c>
      <c r="B1602" t="s">
        <v>17</v>
      </c>
      <c r="C1602" t="s">
        <v>9</v>
      </c>
      <c r="D1602">
        <v>1401</v>
      </c>
      <c r="E1602">
        <v>2019</v>
      </c>
      <c r="F1602">
        <v>1</v>
      </c>
      <c r="G1602">
        <v>41178</v>
      </c>
      <c r="H1602" s="1">
        <v>4</v>
      </c>
      <c r="I1602">
        <v>6</v>
      </c>
      <c r="J1602">
        <f>IF($H1602=0,1,IF($I1602&lt;=1,2,0))</f>
        <v>0</v>
      </c>
      <c r="K1602">
        <v>0</v>
      </c>
      <c r="L1602">
        <f>IF(AND($J1602=0,$K1602=0),0,1)</f>
        <v>0</v>
      </c>
    </row>
    <row r="1603" spans="1:12" x14ac:dyDescent="0.2">
      <c r="A1603" t="s">
        <v>552</v>
      </c>
      <c r="B1603" t="s">
        <v>17</v>
      </c>
      <c r="C1603" t="s">
        <v>9</v>
      </c>
      <c r="D1603">
        <v>1501</v>
      </c>
      <c r="E1603">
        <v>2019</v>
      </c>
      <c r="F1603">
        <v>2</v>
      </c>
      <c r="G1603">
        <v>41180</v>
      </c>
      <c r="H1603" s="1">
        <v>5</v>
      </c>
      <c r="I1603">
        <v>14</v>
      </c>
      <c r="J1603">
        <f>IF($H1603=0,1,IF($I1603&lt;=1,2,0))</f>
        <v>0</v>
      </c>
      <c r="K1603">
        <v>0</v>
      </c>
      <c r="L1603">
        <f>IF(AND($J1603=0,$K1603=0),0,1)</f>
        <v>0</v>
      </c>
    </row>
    <row r="1604" spans="1:12" x14ac:dyDescent="0.2">
      <c r="A1604" t="s">
        <v>552</v>
      </c>
      <c r="B1604" t="s">
        <v>17</v>
      </c>
      <c r="C1604" t="s">
        <v>9</v>
      </c>
      <c r="D1604">
        <v>1501</v>
      </c>
      <c r="E1604">
        <v>2019</v>
      </c>
      <c r="F1604">
        <v>1</v>
      </c>
      <c r="G1604">
        <v>41179</v>
      </c>
      <c r="H1604" s="1">
        <v>5</v>
      </c>
      <c r="I1604">
        <v>13</v>
      </c>
      <c r="J1604">
        <f>IF($H1604=0,1,IF($I1604&lt;=1,2,0))</f>
        <v>0</v>
      </c>
      <c r="K1604">
        <v>0</v>
      </c>
      <c r="L1604">
        <f>IF(AND($J1604=0,$K1604=0),0,1)</f>
        <v>0</v>
      </c>
    </row>
    <row r="1605" spans="1:12" x14ac:dyDescent="0.2">
      <c r="A1605" t="s">
        <v>552</v>
      </c>
      <c r="B1605" t="s">
        <v>17</v>
      </c>
      <c r="C1605" t="s">
        <v>9</v>
      </c>
      <c r="D1605">
        <v>1601</v>
      </c>
      <c r="E1605">
        <v>2019</v>
      </c>
      <c r="F1605">
        <v>2</v>
      </c>
      <c r="G1605">
        <v>41182</v>
      </c>
      <c r="H1605" s="1">
        <v>5</v>
      </c>
      <c r="I1605">
        <v>12</v>
      </c>
      <c r="J1605">
        <f>IF($H1605=0,1,IF($I1605&lt;=1,2,0))</f>
        <v>0</v>
      </c>
      <c r="K1605">
        <v>0</v>
      </c>
      <c r="L1605">
        <f>IF(AND($J1605=0,$K1605=0),0,1)</f>
        <v>0</v>
      </c>
    </row>
    <row r="1606" spans="1:12" x14ac:dyDescent="0.2">
      <c r="A1606" t="s">
        <v>552</v>
      </c>
      <c r="B1606" t="s">
        <v>17</v>
      </c>
      <c r="C1606" t="s">
        <v>9</v>
      </c>
      <c r="D1606">
        <v>1601</v>
      </c>
      <c r="E1606">
        <v>2019</v>
      </c>
      <c r="F1606">
        <v>1</v>
      </c>
      <c r="G1606">
        <v>41181</v>
      </c>
      <c r="H1606" s="1">
        <v>5</v>
      </c>
      <c r="I1606">
        <v>4</v>
      </c>
      <c r="J1606">
        <f>IF($H1606=0,1,IF($I1606&lt;=1,2,0))</f>
        <v>0</v>
      </c>
      <c r="K1606">
        <v>0</v>
      </c>
      <c r="L1606">
        <f>IF(AND($J1606=0,$K1606=0),0,1)</f>
        <v>0</v>
      </c>
    </row>
    <row r="1607" spans="1:12" x14ac:dyDescent="0.2">
      <c r="A1607" t="s">
        <v>552</v>
      </c>
      <c r="B1607" t="s">
        <v>17</v>
      </c>
      <c r="C1607" t="s">
        <v>9</v>
      </c>
      <c r="D1607">
        <v>1608</v>
      </c>
      <c r="E1607">
        <v>2019</v>
      </c>
      <c r="F1607">
        <v>1</v>
      </c>
      <c r="G1607">
        <v>41184</v>
      </c>
      <c r="H1607" s="1">
        <v>5</v>
      </c>
      <c r="I1607">
        <v>12</v>
      </c>
      <c r="J1607">
        <f>IF($H1607=0,1,IF($I1607&lt;=1,2,0))</f>
        <v>0</v>
      </c>
      <c r="K1607">
        <v>0</v>
      </c>
      <c r="L1607">
        <f>IF(AND($J1607=0,$K1607=0),0,1)</f>
        <v>0</v>
      </c>
    </row>
    <row r="1608" spans="1:12" x14ac:dyDescent="0.2">
      <c r="A1608" t="s">
        <v>552</v>
      </c>
      <c r="B1608" t="s">
        <v>17</v>
      </c>
      <c r="C1608" t="s">
        <v>9</v>
      </c>
      <c r="D1608">
        <v>1614</v>
      </c>
      <c r="E1608">
        <v>2019</v>
      </c>
      <c r="F1608">
        <v>1</v>
      </c>
      <c r="G1608">
        <v>41114</v>
      </c>
      <c r="H1608" s="1">
        <v>5</v>
      </c>
      <c r="I1608">
        <v>10</v>
      </c>
      <c r="J1608">
        <f>IF($H1608=0,1,IF($I1608&lt;=1,2,0))</f>
        <v>0</v>
      </c>
      <c r="K1608">
        <v>0</v>
      </c>
      <c r="L1608">
        <f>IF(AND($J1608=0,$K1608=0),0,1)</f>
        <v>0</v>
      </c>
    </row>
    <row r="1609" spans="1:12" x14ac:dyDescent="0.2">
      <c r="A1609" t="s">
        <v>552</v>
      </c>
      <c r="B1609" t="s">
        <v>17</v>
      </c>
      <c r="C1609" t="s">
        <v>9</v>
      </c>
      <c r="D1609">
        <v>1701</v>
      </c>
      <c r="E1609">
        <v>2019</v>
      </c>
      <c r="F1609">
        <v>1</v>
      </c>
      <c r="G1609">
        <v>41115</v>
      </c>
      <c r="H1609" s="1">
        <v>4</v>
      </c>
      <c r="I1609">
        <v>9</v>
      </c>
      <c r="J1609">
        <f>IF($H1609=0,1,IF($I1609&lt;=1,2,0))</f>
        <v>0</v>
      </c>
      <c r="K1609">
        <v>0</v>
      </c>
      <c r="L1609">
        <f>IF(AND($J1609=0,$K1609=0),0,1)</f>
        <v>0</v>
      </c>
    </row>
    <row r="1610" spans="1:12" x14ac:dyDescent="0.2">
      <c r="A1610" t="s">
        <v>552</v>
      </c>
      <c r="B1610" t="s">
        <v>17</v>
      </c>
      <c r="C1610" t="s">
        <v>9</v>
      </c>
      <c r="D1610">
        <v>1701</v>
      </c>
      <c r="E1610">
        <v>2019</v>
      </c>
      <c r="F1610">
        <v>2</v>
      </c>
      <c r="G1610">
        <v>41116</v>
      </c>
      <c r="H1610" s="1">
        <v>4</v>
      </c>
      <c r="I1610">
        <v>9</v>
      </c>
      <c r="J1610">
        <f>IF($H1610=0,1,IF($I1610&lt;=1,2,0))</f>
        <v>0</v>
      </c>
      <c r="K1610">
        <v>0</v>
      </c>
      <c r="L1610">
        <f>IF(AND($J1610=0,$K1610=0),0,1)</f>
        <v>0</v>
      </c>
    </row>
    <row r="1611" spans="1:12" x14ac:dyDescent="0.2">
      <c r="A1611" t="s">
        <v>552</v>
      </c>
      <c r="B1611" t="s">
        <v>17</v>
      </c>
      <c r="C1611" t="s">
        <v>9</v>
      </c>
      <c r="D1611">
        <v>1901</v>
      </c>
      <c r="E1611">
        <v>2019</v>
      </c>
      <c r="F1611">
        <v>1</v>
      </c>
      <c r="G1611">
        <v>41186</v>
      </c>
      <c r="H1611" s="1">
        <v>4</v>
      </c>
      <c r="I1611">
        <v>4</v>
      </c>
      <c r="J1611">
        <f>IF($H1611=0,1,IF($I1611&lt;=1,2,0))</f>
        <v>0</v>
      </c>
      <c r="K1611">
        <v>0</v>
      </c>
      <c r="L1611">
        <f>IF(AND($J1611=0,$K1611=0),0,1)</f>
        <v>0</v>
      </c>
    </row>
    <row r="1612" spans="1:12" x14ac:dyDescent="0.2">
      <c r="A1612" t="s">
        <v>552</v>
      </c>
      <c r="B1612" t="s">
        <v>17</v>
      </c>
      <c r="C1612" t="s">
        <v>9</v>
      </c>
      <c r="D1612">
        <v>2101</v>
      </c>
      <c r="E1612">
        <v>2019</v>
      </c>
      <c r="F1612">
        <v>1</v>
      </c>
      <c r="G1612">
        <v>10633</v>
      </c>
      <c r="H1612" s="1">
        <v>4</v>
      </c>
      <c r="I1612">
        <v>6</v>
      </c>
      <c r="J1612">
        <f>IF($H1612=0,1,IF($I1612&lt;=1,2,0))</f>
        <v>0</v>
      </c>
      <c r="K1612">
        <v>0</v>
      </c>
      <c r="L1612">
        <f>IF(AND($J1612=0,$K1612=0),0,1)</f>
        <v>0</v>
      </c>
    </row>
    <row r="1613" spans="1:12" x14ac:dyDescent="0.2">
      <c r="A1613" t="s">
        <v>552</v>
      </c>
      <c r="B1613" t="s">
        <v>17</v>
      </c>
      <c r="C1613" t="s">
        <v>9</v>
      </c>
      <c r="D1613">
        <v>2201</v>
      </c>
      <c r="E1613">
        <v>2019</v>
      </c>
      <c r="F1613">
        <v>1</v>
      </c>
      <c r="G1613">
        <v>41055</v>
      </c>
      <c r="H1613" s="1">
        <v>5</v>
      </c>
      <c r="I1613">
        <v>14</v>
      </c>
      <c r="J1613">
        <f>IF($H1613=0,1,IF($I1613&lt;=1,2,0))</f>
        <v>0</v>
      </c>
      <c r="K1613">
        <v>0</v>
      </c>
      <c r="L1613">
        <f>IF(AND($J1613=0,$K1613=0),0,1)</f>
        <v>0</v>
      </c>
    </row>
    <row r="1614" spans="1:12" x14ac:dyDescent="0.2">
      <c r="A1614" t="s">
        <v>552</v>
      </c>
      <c r="B1614" t="s">
        <v>17</v>
      </c>
      <c r="C1614" t="s">
        <v>9</v>
      </c>
      <c r="D1614">
        <v>2201</v>
      </c>
      <c r="E1614">
        <v>2019</v>
      </c>
      <c r="F1614">
        <v>2</v>
      </c>
      <c r="G1614">
        <v>41056</v>
      </c>
      <c r="H1614" s="1">
        <v>5</v>
      </c>
      <c r="I1614">
        <v>12</v>
      </c>
      <c r="J1614">
        <f>IF($H1614=0,1,IF($I1614&lt;=1,2,0))</f>
        <v>0</v>
      </c>
      <c r="K1614">
        <v>0</v>
      </c>
      <c r="L1614">
        <f>IF(AND($J1614=0,$K1614=0),0,1)</f>
        <v>0</v>
      </c>
    </row>
    <row r="1615" spans="1:12" x14ac:dyDescent="0.2">
      <c r="A1615" t="s">
        <v>552</v>
      </c>
      <c r="B1615" t="s">
        <v>17</v>
      </c>
      <c r="C1615" t="s">
        <v>9</v>
      </c>
      <c r="D1615">
        <v>2202</v>
      </c>
      <c r="E1615">
        <v>2019</v>
      </c>
      <c r="F1615">
        <v>1</v>
      </c>
      <c r="G1615">
        <v>41188</v>
      </c>
      <c r="H1615" s="1">
        <v>5</v>
      </c>
      <c r="I1615">
        <v>11</v>
      </c>
      <c r="J1615">
        <f>IF($H1615=0,1,IF($I1615&lt;=1,2,0))</f>
        <v>0</v>
      </c>
      <c r="K1615">
        <v>0</v>
      </c>
      <c r="L1615">
        <f>IF(AND($J1615=0,$K1615=0),0,1)</f>
        <v>0</v>
      </c>
    </row>
    <row r="1616" spans="1:12" x14ac:dyDescent="0.2">
      <c r="A1616" t="s">
        <v>552</v>
      </c>
      <c r="B1616" t="s">
        <v>17</v>
      </c>
      <c r="C1616" t="s">
        <v>9</v>
      </c>
      <c r="D1616">
        <v>2208</v>
      </c>
      <c r="E1616">
        <v>2019</v>
      </c>
      <c r="F1616">
        <v>1</v>
      </c>
      <c r="G1616">
        <v>41123</v>
      </c>
      <c r="H1616" s="1">
        <v>5</v>
      </c>
      <c r="I1616">
        <v>9</v>
      </c>
      <c r="J1616">
        <f>IF($H1616=0,1,IF($I1616&lt;=1,2,0))</f>
        <v>0</v>
      </c>
      <c r="K1616">
        <v>0</v>
      </c>
      <c r="L1616">
        <f>IF(AND($J1616=0,$K1616=0),0,1)</f>
        <v>0</v>
      </c>
    </row>
    <row r="1617" spans="1:13" x14ac:dyDescent="0.2">
      <c r="A1617" t="s">
        <v>552</v>
      </c>
      <c r="B1617" t="s">
        <v>17</v>
      </c>
      <c r="C1617" t="s">
        <v>9</v>
      </c>
      <c r="D1617">
        <v>2301</v>
      </c>
      <c r="E1617">
        <v>2019</v>
      </c>
      <c r="F1617">
        <v>1</v>
      </c>
      <c r="G1617">
        <v>41058</v>
      </c>
      <c r="H1617" s="1">
        <v>4</v>
      </c>
      <c r="I1617">
        <v>3</v>
      </c>
      <c r="J1617">
        <f>IF($H1617=0,1,IF($I1617&lt;=1,2,0))</f>
        <v>0</v>
      </c>
      <c r="K1617">
        <v>0</v>
      </c>
      <c r="L1617">
        <f>IF(AND($J1617=0,$K1617=0),0,1)</f>
        <v>0</v>
      </c>
    </row>
    <row r="1618" spans="1:13" x14ac:dyDescent="0.2">
      <c r="A1618" t="s">
        <v>552</v>
      </c>
      <c r="B1618" t="s">
        <v>17</v>
      </c>
      <c r="C1618" t="s">
        <v>9</v>
      </c>
      <c r="D1618">
        <v>2401</v>
      </c>
      <c r="E1618">
        <v>2019</v>
      </c>
      <c r="F1618">
        <v>1</v>
      </c>
      <c r="G1618">
        <v>41124</v>
      </c>
      <c r="H1618" s="1">
        <v>4</v>
      </c>
      <c r="I1618">
        <v>4</v>
      </c>
      <c r="J1618">
        <f>IF($H1618=0,1,IF($I1618&lt;=1,2,0))</f>
        <v>0</v>
      </c>
      <c r="K1618">
        <v>0</v>
      </c>
      <c r="L1618">
        <f>IF(AND($J1618=0,$K1618=0),0,1)</f>
        <v>0</v>
      </c>
    </row>
    <row r="1619" spans="1:13" x14ac:dyDescent="0.2">
      <c r="A1619" t="s">
        <v>552</v>
      </c>
      <c r="B1619" t="s">
        <v>17</v>
      </c>
      <c r="C1619" t="s">
        <v>9</v>
      </c>
      <c r="D1619">
        <v>2501</v>
      </c>
      <c r="E1619">
        <v>2019</v>
      </c>
      <c r="F1619">
        <v>2</v>
      </c>
      <c r="G1619">
        <v>41190</v>
      </c>
      <c r="H1619" s="1">
        <v>5</v>
      </c>
      <c r="I1619">
        <v>10</v>
      </c>
      <c r="J1619">
        <f>IF($H1619=0,1,IF($I1619&lt;=1,2,0))</f>
        <v>0</v>
      </c>
      <c r="K1619">
        <v>0</v>
      </c>
      <c r="L1619">
        <f>IF(AND($J1619=0,$K1619=0),0,1)</f>
        <v>0</v>
      </c>
    </row>
    <row r="1620" spans="1:13" x14ac:dyDescent="0.2">
      <c r="A1620" t="s">
        <v>552</v>
      </c>
      <c r="B1620" t="s">
        <v>17</v>
      </c>
      <c r="C1620" t="s">
        <v>9</v>
      </c>
      <c r="D1620">
        <v>2501</v>
      </c>
      <c r="E1620">
        <v>2019</v>
      </c>
      <c r="F1620">
        <v>1</v>
      </c>
      <c r="G1620">
        <v>41189</v>
      </c>
      <c r="H1620" s="1">
        <v>5</v>
      </c>
      <c r="I1620">
        <v>5</v>
      </c>
      <c r="J1620">
        <f>IF($H1620=0,1,IF($I1620&lt;=1,2,0))</f>
        <v>0</v>
      </c>
      <c r="K1620">
        <v>0</v>
      </c>
      <c r="L1620">
        <f>IF(AND($J1620=0,$K1620=0),0,1)</f>
        <v>0</v>
      </c>
    </row>
    <row r="1621" spans="1:13" x14ac:dyDescent="0.2">
      <c r="A1621" t="s">
        <v>552</v>
      </c>
      <c r="B1621" t="s">
        <v>17</v>
      </c>
      <c r="C1621" t="s">
        <v>9</v>
      </c>
      <c r="D1621">
        <v>2517</v>
      </c>
      <c r="E1621">
        <v>2019</v>
      </c>
      <c r="F1621">
        <v>1</v>
      </c>
      <c r="G1621">
        <v>41059</v>
      </c>
      <c r="H1621" s="1">
        <v>4</v>
      </c>
      <c r="I1621">
        <v>9</v>
      </c>
      <c r="J1621">
        <f>IF($H1621=0,1,IF($I1621&lt;=1,2,0))</f>
        <v>0</v>
      </c>
      <c r="K1621">
        <v>0</v>
      </c>
      <c r="L1621">
        <f>IF(AND($J1621=0,$K1621=0),0,1)</f>
        <v>0</v>
      </c>
    </row>
    <row r="1622" spans="1:13" x14ac:dyDescent="0.2">
      <c r="A1622" t="s">
        <v>552</v>
      </c>
      <c r="B1622" t="s">
        <v>17</v>
      </c>
      <c r="C1622" t="s">
        <v>9</v>
      </c>
      <c r="D1622">
        <v>2601</v>
      </c>
      <c r="E1622">
        <v>2019</v>
      </c>
      <c r="F1622">
        <v>1</v>
      </c>
      <c r="G1622">
        <v>41125</v>
      </c>
      <c r="H1622" s="1">
        <v>5</v>
      </c>
      <c r="I1622">
        <v>6</v>
      </c>
      <c r="J1622">
        <f>IF($H1622=0,1,IF($I1622&lt;=1,2,0))</f>
        <v>0</v>
      </c>
      <c r="K1622">
        <v>0</v>
      </c>
      <c r="L1622">
        <f>IF(AND($J1622=0,$K1622=0),0,1)</f>
        <v>0</v>
      </c>
    </row>
    <row r="1623" spans="1:13" x14ac:dyDescent="0.2">
      <c r="A1623" t="s">
        <v>552</v>
      </c>
      <c r="B1623" t="s">
        <v>17</v>
      </c>
      <c r="C1623" t="s">
        <v>9</v>
      </c>
      <c r="D1623">
        <v>2650</v>
      </c>
      <c r="E1623">
        <v>2019</v>
      </c>
      <c r="F1623">
        <v>1</v>
      </c>
      <c r="G1623">
        <v>10367</v>
      </c>
      <c r="H1623" s="1">
        <v>4</v>
      </c>
      <c r="I1623">
        <v>19</v>
      </c>
      <c r="J1623">
        <f>IF($H1623=0,1,IF($I1623&lt;=1,2,0))</f>
        <v>0</v>
      </c>
      <c r="K1623">
        <v>0</v>
      </c>
      <c r="L1623">
        <f>IF(AND($J1623=0,$K1623=0),0,1)</f>
        <v>0</v>
      </c>
    </row>
    <row r="1624" spans="1:13" x14ac:dyDescent="0.2">
      <c r="A1624" t="s">
        <v>552</v>
      </c>
      <c r="B1624" t="s">
        <v>17</v>
      </c>
      <c r="C1624" t="s">
        <v>9</v>
      </c>
      <c r="D1624">
        <v>2701</v>
      </c>
      <c r="E1624">
        <v>2019</v>
      </c>
      <c r="F1624">
        <v>2</v>
      </c>
      <c r="G1624">
        <v>14781</v>
      </c>
      <c r="H1624" s="1">
        <v>4</v>
      </c>
      <c r="I1624">
        <v>6</v>
      </c>
      <c r="J1624">
        <f>IF($H1624=0,1,IF($I1624&lt;=1,2,0))</f>
        <v>0</v>
      </c>
      <c r="K1624">
        <v>0</v>
      </c>
      <c r="L1624">
        <f>IF(AND($J1624=0,$K1624=0),0,1)</f>
        <v>0</v>
      </c>
    </row>
    <row r="1625" spans="1:13" x14ac:dyDescent="0.2">
      <c r="A1625" t="s">
        <v>552</v>
      </c>
      <c r="B1625" t="s">
        <v>17</v>
      </c>
      <c r="C1625" t="s">
        <v>9</v>
      </c>
      <c r="D1625">
        <v>2701</v>
      </c>
      <c r="E1625">
        <v>2019</v>
      </c>
      <c r="F1625">
        <v>1</v>
      </c>
      <c r="G1625">
        <v>41126</v>
      </c>
      <c r="H1625" s="1">
        <v>4</v>
      </c>
      <c r="I1625">
        <v>5</v>
      </c>
      <c r="J1625">
        <f>IF($H1625=0,1,IF($I1625&lt;=1,2,0))</f>
        <v>0</v>
      </c>
      <c r="K1625">
        <v>0</v>
      </c>
      <c r="L1625">
        <f>IF(AND($J1625=0,$K1625=0),0,1)</f>
        <v>0</v>
      </c>
    </row>
    <row r="1626" spans="1:13" x14ac:dyDescent="0.2">
      <c r="A1626" t="s">
        <v>552</v>
      </c>
      <c r="B1626" t="s">
        <v>17</v>
      </c>
      <c r="C1626" t="s">
        <v>9</v>
      </c>
      <c r="D1626">
        <v>2901</v>
      </c>
      <c r="E1626">
        <v>2019</v>
      </c>
      <c r="F1626">
        <v>1</v>
      </c>
      <c r="G1626">
        <v>41128</v>
      </c>
      <c r="H1626" s="1">
        <v>4</v>
      </c>
      <c r="I1626">
        <v>9</v>
      </c>
      <c r="J1626">
        <f>IF($H1626=0,1,IF($I1626&lt;=1,2,0))</f>
        <v>0</v>
      </c>
      <c r="K1626">
        <v>0</v>
      </c>
      <c r="L1626">
        <f>IF(AND($J1626=0,$K1626=0),0,1)</f>
        <v>0</v>
      </c>
    </row>
    <row r="1627" spans="1:13" x14ac:dyDescent="0.2">
      <c r="A1627" t="s">
        <v>552</v>
      </c>
      <c r="B1627" t="s">
        <v>17</v>
      </c>
      <c r="C1627" t="s">
        <v>9</v>
      </c>
      <c r="D1627">
        <v>3000</v>
      </c>
      <c r="E1627">
        <v>2019</v>
      </c>
      <c r="F1627">
        <v>1</v>
      </c>
      <c r="G1627">
        <v>41191</v>
      </c>
      <c r="H1627" s="1">
        <v>4</v>
      </c>
      <c r="I1627">
        <v>64</v>
      </c>
      <c r="J1627">
        <f>IF($H1627=0,1,IF($I1627&lt;=1,2,0))</f>
        <v>0</v>
      </c>
      <c r="K1627">
        <v>0</v>
      </c>
      <c r="L1627">
        <f>IF(AND($J1627=0,$K1627=0),0,1)</f>
        <v>0</v>
      </c>
      <c r="M1627" t="s">
        <v>1944</v>
      </c>
    </row>
    <row r="1628" spans="1:13" x14ac:dyDescent="0.2">
      <c r="A1628" t="s">
        <v>552</v>
      </c>
      <c r="B1628" t="s">
        <v>17</v>
      </c>
      <c r="C1628" t="s">
        <v>9</v>
      </c>
      <c r="D1628">
        <v>3131</v>
      </c>
      <c r="E1628">
        <v>2019</v>
      </c>
      <c r="F1628">
        <v>1</v>
      </c>
      <c r="G1628">
        <v>17923</v>
      </c>
      <c r="H1628" s="1">
        <v>3</v>
      </c>
      <c r="I1628">
        <v>3</v>
      </c>
      <c r="J1628">
        <f>IF($H1628=0,1,IF($I1628&lt;=1,2,0))</f>
        <v>0</v>
      </c>
      <c r="K1628">
        <v>0</v>
      </c>
      <c r="L1628">
        <f>IF(AND($J1628=0,$K1628=0),0,1)</f>
        <v>0</v>
      </c>
    </row>
    <row r="1629" spans="1:13" x14ac:dyDescent="0.2">
      <c r="A1629" t="s">
        <v>552</v>
      </c>
      <c r="B1629" t="s">
        <v>17</v>
      </c>
      <c r="C1629" t="s">
        <v>9</v>
      </c>
      <c r="D1629">
        <v>3263</v>
      </c>
      <c r="E1629">
        <v>2019</v>
      </c>
      <c r="F1629">
        <v>1</v>
      </c>
      <c r="G1629">
        <v>13455</v>
      </c>
      <c r="H1629" s="1">
        <v>3</v>
      </c>
      <c r="I1629">
        <v>5</v>
      </c>
      <c r="J1629">
        <f>IF($H1629=0,1,IF($I1629&lt;=1,2,0))</f>
        <v>0</v>
      </c>
      <c r="K1629">
        <v>0</v>
      </c>
      <c r="L1629">
        <f>IF(AND($J1629=0,$K1629=0),0,1)</f>
        <v>0</v>
      </c>
    </row>
    <row r="1630" spans="1:13" x14ac:dyDescent="0.2">
      <c r="A1630" t="s">
        <v>552</v>
      </c>
      <c r="B1630" t="s">
        <v>17</v>
      </c>
      <c r="C1630" t="s">
        <v>9</v>
      </c>
      <c r="D1630">
        <v>3445</v>
      </c>
      <c r="E1630">
        <v>2019</v>
      </c>
      <c r="F1630">
        <v>1</v>
      </c>
      <c r="G1630">
        <v>41261</v>
      </c>
      <c r="H1630" s="1">
        <v>3</v>
      </c>
      <c r="I1630">
        <v>19</v>
      </c>
      <c r="J1630">
        <f>IF($H1630=0,1,IF($I1630&lt;=1,2,0))</f>
        <v>0</v>
      </c>
      <c r="K1630">
        <v>0</v>
      </c>
      <c r="L1630">
        <f>IF(AND($J1630=0,$K1630=0),0,1)</f>
        <v>0</v>
      </c>
    </row>
    <row r="1631" spans="1:13" x14ac:dyDescent="0.2">
      <c r="A1631" t="s">
        <v>552</v>
      </c>
      <c r="B1631" t="s">
        <v>17</v>
      </c>
      <c r="C1631" t="s">
        <v>9</v>
      </c>
      <c r="D1631">
        <v>3644</v>
      </c>
      <c r="E1631">
        <v>2019</v>
      </c>
      <c r="F1631">
        <v>1</v>
      </c>
      <c r="G1631">
        <v>10371</v>
      </c>
      <c r="H1631" s="1">
        <v>3</v>
      </c>
      <c r="I1631">
        <v>4</v>
      </c>
      <c r="J1631">
        <f>IF($H1631=0,1,IF($I1631&lt;=1,2,0))</f>
        <v>0</v>
      </c>
      <c r="K1631">
        <v>0</v>
      </c>
      <c r="L1631">
        <f>IF(AND($J1631=0,$K1631=0),0,1)</f>
        <v>0</v>
      </c>
    </row>
    <row r="1632" spans="1:13" x14ac:dyDescent="0.2">
      <c r="A1632" t="s">
        <v>552</v>
      </c>
      <c r="B1632" t="s">
        <v>17</v>
      </c>
      <c r="C1632" t="s">
        <v>9</v>
      </c>
      <c r="D1632">
        <v>3920</v>
      </c>
      <c r="E1632">
        <v>2019</v>
      </c>
      <c r="F1632">
        <v>1</v>
      </c>
      <c r="G1632">
        <v>41198</v>
      </c>
      <c r="H1632" s="1">
        <v>3</v>
      </c>
      <c r="I1632">
        <v>5</v>
      </c>
      <c r="J1632">
        <f>IF($H1632=0,1,IF($I1632&lt;=1,2,0))</f>
        <v>0</v>
      </c>
      <c r="K1632">
        <v>0</v>
      </c>
      <c r="L1632">
        <f>IF(AND($J1632=0,$K1632=0),0,1)</f>
        <v>0</v>
      </c>
    </row>
    <row r="1633" spans="1:13" x14ac:dyDescent="0.2">
      <c r="A1633" t="s">
        <v>552</v>
      </c>
      <c r="B1633" t="s">
        <v>17</v>
      </c>
      <c r="C1633" t="s">
        <v>9</v>
      </c>
      <c r="D1633">
        <v>3923</v>
      </c>
      <c r="E1633">
        <v>2019</v>
      </c>
      <c r="F1633">
        <v>1</v>
      </c>
      <c r="G1633">
        <v>10230</v>
      </c>
      <c r="H1633" s="1">
        <v>3</v>
      </c>
      <c r="I1633">
        <v>12</v>
      </c>
      <c r="J1633">
        <f>IF($H1633=0,1,IF($I1633&lt;=1,2,0))</f>
        <v>0</v>
      </c>
      <c r="K1633">
        <v>0</v>
      </c>
      <c r="L1633">
        <f>IF(AND($J1633=0,$K1633=0),0,1)</f>
        <v>0</v>
      </c>
    </row>
    <row r="1634" spans="1:13" x14ac:dyDescent="0.2">
      <c r="A1634" t="s">
        <v>552</v>
      </c>
      <c r="B1634" t="s">
        <v>17</v>
      </c>
      <c r="C1634" t="s">
        <v>9</v>
      </c>
      <c r="D1634">
        <v>3960</v>
      </c>
      <c r="E1634">
        <v>2019</v>
      </c>
      <c r="F1634">
        <v>1</v>
      </c>
      <c r="G1634">
        <v>41129</v>
      </c>
      <c r="H1634" s="1">
        <v>1</v>
      </c>
      <c r="I1634">
        <v>7</v>
      </c>
      <c r="J1634">
        <f>IF($H1634=0,1,IF($I1634&lt;=1,2,0))</f>
        <v>0</v>
      </c>
      <c r="K1634">
        <v>0</v>
      </c>
      <c r="L1634">
        <f>IF(AND($J1634=0,$K1634=0),0,1)</f>
        <v>0</v>
      </c>
    </row>
    <row r="1635" spans="1:13" x14ac:dyDescent="0.2">
      <c r="A1635" t="s">
        <v>552</v>
      </c>
      <c r="B1635" t="s">
        <v>17</v>
      </c>
      <c r="C1635" t="s">
        <v>9</v>
      </c>
      <c r="D1635">
        <v>4160</v>
      </c>
      <c r="E1635">
        <v>2019</v>
      </c>
      <c r="F1635">
        <v>1</v>
      </c>
      <c r="G1635">
        <v>10651</v>
      </c>
      <c r="H1635" s="1">
        <v>4</v>
      </c>
      <c r="I1635">
        <v>8</v>
      </c>
      <c r="J1635">
        <f>IF($H1635=0,1,IF($I1635&lt;=1,2,0))</f>
        <v>0</v>
      </c>
      <c r="K1635">
        <v>0</v>
      </c>
      <c r="L1635">
        <f>IF(AND($J1635=0,$K1635=0),0,1)</f>
        <v>0</v>
      </c>
      <c r="M1635" t="s">
        <v>554</v>
      </c>
    </row>
    <row r="1636" spans="1:13" x14ac:dyDescent="0.2">
      <c r="A1636" t="s">
        <v>552</v>
      </c>
      <c r="B1636" t="s">
        <v>17</v>
      </c>
      <c r="C1636" t="s">
        <v>9</v>
      </c>
      <c r="D1636">
        <v>4210</v>
      </c>
      <c r="E1636">
        <v>2019</v>
      </c>
      <c r="F1636">
        <v>1</v>
      </c>
      <c r="G1636">
        <v>41130</v>
      </c>
      <c r="H1636" s="1">
        <v>5</v>
      </c>
      <c r="I1636">
        <v>5</v>
      </c>
      <c r="J1636">
        <f>IF($H1636=0,1,IF($I1636&lt;=1,2,0))</f>
        <v>0</v>
      </c>
      <c r="K1636">
        <v>0</v>
      </c>
      <c r="L1636">
        <f>IF(AND($J1636=0,$K1636=0),0,1)</f>
        <v>0</v>
      </c>
    </row>
    <row r="1637" spans="1:13" x14ac:dyDescent="0.2">
      <c r="A1637" t="s">
        <v>552</v>
      </c>
      <c r="B1637" t="s">
        <v>17</v>
      </c>
      <c r="C1637" t="s">
        <v>9</v>
      </c>
      <c r="D1637">
        <v>4212</v>
      </c>
      <c r="E1637">
        <v>2019</v>
      </c>
      <c r="F1637">
        <v>1</v>
      </c>
      <c r="G1637">
        <v>41201</v>
      </c>
      <c r="H1637" s="1">
        <v>4</v>
      </c>
      <c r="I1637">
        <v>5</v>
      </c>
      <c r="J1637">
        <f>IF($H1637=0,1,IF($I1637&lt;=1,2,0))</f>
        <v>0</v>
      </c>
      <c r="K1637">
        <v>0</v>
      </c>
      <c r="L1637">
        <f>IF(AND($J1637=0,$K1637=0),0,1)</f>
        <v>0</v>
      </c>
    </row>
    <row r="1638" spans="1:13" x14ac:dyDescent="0.2">
      <c r="A1638" t="s">
        <v>552</v>
      </c>
      <c r="B1638" t="s">
        <v>17</v>
      </c>
      <c r="C1638" t="s">
        <v>9</v>
      </c>
      <c r="D1638">
        <v>4218</v>
      </c>
      <c r="E1638">
        <v>2019</v>
      </c>
      <c r="F1638">
        <v>1</v>
      </c>
      <c r="G1638">
        <v>41131</v>
      </c>
      <c r="H1638" s="1">
        <v>4</v>
      </c>
      <c r="I1638">
        <v>7</v>
      </c>
      <c r="J1638">
        <f>IF($H1638=0,1,IF($I1638&lt;=1,2,0))</f>
        <v>0</v>
      </c>
      <c r="K1638">
        <v>0</v>
      </c>
      <c r="L1638">
        <f>IF(AND($J1638=0,$K1638=0),0,1)</f>
        <v>0</v>
      </c>
    </row>
    <row r="1639" spans="1:13" x14ac:dyDescent="0.2">
      <c r="A1639" t="s">
        <v>552</v>
      </c>
      <c r="B1639" t="s">
        <v>17</v>
      </c>
      <c r="C1639" t="s">
        <v>9</v>
      </c>
      <c r="D1639">
        <v>4238</v>
      </c>
      <c r="E1639">
        <v>2019</v>
      </c>
      <c r="F1639">
        <v>1</v>
      </c>
      <c r="G1639">
        <v>14871</v>
      </c>
      <c r="H1639" s="1">
        <v>4</v>
      </c>
      <c r="I1639">
        <v>9</v>
      </c>
      <c r="J1639">
        <f>IF($H1639=0,1,IF($I1639&lt;=1,2,0))</f>
        <v>0</v>
      </c>
      <c r="K1639">
        <v>0</v>
      </c>
      <c r="L1639">
        <f>IF(AND($J1639=0,$K1639=0),0,1)</f>
        <v>0</v>
      </c>
    </row>
    <row r="1640" spans="1:13" x14ac:dyDescent="0.2">
      <c r="A1640" t="s">
        <v>552</v>
      </c>
      <c r="B1640" t="s">
        <v>17</v>
      </c>
      <c r="C1640" t="s">
        <v>9</v>
      </c>
      <c r="D1640">
        <v>4349</v>
      </c>
      <c r="E1640">
        <v>2019</v>
      </c>
      <c r="F1640">
        <v>1</v>
      </c>
      <c r="G1640">
        <v>41132</v>
      </c>
      <c r="H1640" s="1">
        <v>3</v>
      </c>
      <c r="I1640">
        <v>20</v>
      </c>
      <c r="J1640">
        <f>IF($H1640=0,1,IF($I1640&lt;=1,2,0))</f>
        <v>0</v>
      </c>
      <c r="K1640">
        <v>0</v>
      </c>
      <c r="L1640">
        <f>IF(AND($J1640=0,$K1640=0),0,1)</f>
        <v>0</v>
      </c>
    </row>
    <row r="1641" spans="1:13" x14ac:dyDescent="0.2">
      <c r="A1641" t="s">
        <v>552</v>
      </c>
      <c r="B1641" t="s">
        <v>17</v>
      </c>
      <c r="C1641" t="s">
        <v>9</v>
      </c>
      <c r="D1641">
        <v>4358</v>
      </c>
      <c r="E1641">
        <v>2019</v>
      </c>
      <c r="F1641">
        <v>1</v>
      </c>
      <c r="G1641">
        <v>10610</v>
      </c>
      <c r="H1641" s="1">
        <v>3</v>
      </c>
      <c r="I1641">
        <v>9</v>
      </c>
      <c r="J1641">
        <f>IF($H1641=0,1,IF($I1641&lt;=1,2,0))</f>
        <v>0</v>
      </c>
      <c r="K1641">
        <v>0</v>
      </c>
      <c r="L1641">
        <f>IF(AND($J1641=0,$K1641=0),0,1)</f>
        <v>0</v>
      </c>
    </row>
    <row r="1642" spans="1:13" x14ac:dyDescent="0.2">
      <c r="A1642" t="s">
        <v>552</v>
      </c>
      <c r="B1642" t="s">
        <v>17</v>
      </c>
      <c r="C1642" t="s">
        <v>9</v>
      </c>
      <c r="D1642">
        <v>4501</v>
      </c>
      <c r="E1642">
        <v>2019</v>
      </c>
      <c r="F1642">
        <v>1</v>
      </c>
      <c r="G1642">
        <v>41165</v>
      </c>
      <c r="H1642" s="1">
        <v>4</v>
      </c>
      <c r="I1642">
        <v>15</v>
      </c>
      <c r="J1642">
        <f>IF($H1642=0,1,IF($I1642&lt;=1,2,0))</f>
        <v>0</v>
      </c>
      <c r="K1642">
        <v>0</v>
      </c>
      <c r="L1642">
        <f>IF(AND($J1642=0,$K1642=0),0,1)</f>
        <v>0</v>
      </c>
    </row>
    <row r="1643" spans="1:13" x14ac:dyDescent="0.2">
      <c r="A1643" t="s">
        <v>552</v>
      </c>
      <c r="B1643" t="s">
        <v>17</v>
      </c>
      <c r="C1643" t="s">
        <v>9</v>
      </c>
      <c r="D1643">
        <v>4510</v>
      </c>
      <c r="E1643">
        <v>2019</v>
      </c>
      <c r="F1643">
        <v>1</v>
      </c>
      <c r="G1643">
        <v>41166</v>
      </c>
      <c r="H1643" s="1">
        <v>4</v>
      </c>
      <c r="I1643">
        <v>12</v>
      </c>
      <c r="J1643">
        <f>IF($H1643=0,1,IF($I1643&lt;=1,2,0))</f>
        <v>0</v>
      </c>
      <c r="K1643">
        <v>0</v>
      </c>
      <c r="L1643">
        <f>IF(AND($J1643=0,$K1643=0),0,1)</f>
        <v>0</v>
      </c>
    </row>
    <row r="1644" spans="1:13" x14ac:dyDescent="0.2">
      <c r="A1644" t="s">
        <v>552</v>
      </c>
      <c r="B1644" t="s">
        <v>17</v>
      </c>
      <c r="C1644" t="s">
        <v>9</v>
      </c>
      <c r="D1644">
        <v>4624</v>
      </c>
      <c r="E1644">
        <v>2019</v>
      </c>
      <c r="F1644">
        <v>1</v>
      </c>
      <c r="G1644">
        <v>41168</v>
      </c>
      <c r="H1644" s="1">
        <v>5</v>
      </c>
      <c r="I1644">
        <v>5</v>
      </c>
      <c r="J1644">
        <f>IF($H1644=0,1,IF($I1644&lt;=1,2,0))</f>
        <v>0</v>
      </c>
      <c r="K1644">
        <v>0</v>
      </c>
      <c r="L1644">
        <f>IF(AND($J1644=0,$K1644=0),0,1)</f>
        <v>0</v>
      </c>
    </row>
    <row r="1645" spans="1:13" x14ac:dyDescent="0.2">
      <c r="A1645" t="s">
        <v>552</v>
      </c>
      <c r="B1645" t="s">
        <v>17</v>
      </c>
      <c r="C1645" t="s">
        <v>9</v>
      </c>
      <c r="D1645">
        <v>4640</v>
      </c>
      <c r="E1645">
        <v>2019</v>
      </c>
      <c r="F1645">
        <v>1</v>
      </c>
      <c r="G1645">
        <v>10179</v>
      </c>
      <c r="H1645" s="1">
        <v>4</v>
      </c>
      <c r="I1645">
        <v>3</v>
      </c>
      <c r="J1645">
        <f>IF($H1645=0,1,IF($I1645&lt;=1,2,0))</f>
        <v>0</v>
      </c>
      <c r="K1645">
        <v>0</v>
      </c>
      <c r="L1645">
        <f>IF(AND($J1645=0,$K1645=0),0,1)</f>
        <v>0</v>
      </c>
    </row>
    <row r="1646" spans="1:13" x14ac:dyDescent="0.2">
      <c r="A1646" t="s">
        <v>552</v>
      </c>
      <c r="B1646" t="s">
        <v>17</v>
      </c>
      <c r="C1646" t="s">
        <v>9</v>
      </c>
      <c r="D1646">
        <v>4653</v>
      </c>
      <c r="E1646">
        <v>2019</v>
      </c>
      <c r="F1646">
        <v>1</v>
      </c>
      <c r="G1646">
        <v>10497</v>
      </c>
      <c r="H1646" s="1">
        <v>4</v>
      </c>
      <c r="I1646">
        <v>9</v>
      </c>
      <c r="J1646">
        <f>IF($H1646=0,1,IF($I1646&lt;=1,2,0))</f>
        <v>0</v>
      </c>
      <c r="K1646">
        <v>0</v>
      </c>
      <c r="L1646">
        <f>IF(AND($J1646=0,$K1646=0),0,1)</f>
        <v>0</v>
      </c>
    </row>
    <row r="1647" spans="1:13" x14ac:dyDescent="0.2">
      <c r="A1647" t="s">
        <v>552</v>
      </c>
      <c r="B1647" t="s">
        <v>17</v>
      </c>
      <c r="C1647" t="s">
        <v>9</v>
      </c>
      <c r="D1647">
        <v>4710</v>
      </c>
      <c r="E1647">
        <v>2019</v>
      </c>
      <c r="F1647">
        <v>1</v>
      </c>
      <c r="G1647">
        <v>41170</v>
      </c>
      <c r="H1647" s="1">
        <v>3</v>
      </c>
      <c r="I1647">
        <v>6</v>
      </c>
      <c r="J1647">
        <f>IF($H1647=0,1,IF($I1647&lt;=1,2,0))</f>
        <v>0</v>
      </c>
      <c r="K1647">
        <v>0</v>
      </c>
      <c r="L1647">
        <f>IF(AND($J1647=0,$K1647=0),0,1)</f>
        <v>0</v>
      </c>
    </row>
    <row r="1648" spans="1:13" x14ac:dyDescent="0.2">
      <c r="A1648" t="s">
        <v>552</v>
      </c>
      <c r="B1648" t="s">
        <v>17</v>
      </c>
      <c r="C1648" t="s">
        <v>9</v>
      </c>
      <c r="D1648">
        <v>4712</v>
      </c>
      <c r="E1648">
        <v>2019</v>
      </c>
      <c r="F1648">
        <v>1</v>
      </c>
      <c r="G1648">
        <v>16207</v>
      </c>
      <c r="H1648" s="1">
        <v>4</v>
      </c>
      <c r="I1648">
        <v>3</v>
      </c>
      <c r="J1648">
        <f>IF($H1648=0,1,IF($I1648&lt;=1,2,0))</f>
        <v>0</v>
      </c>
      <c r="K1648">
        <v>0</v>
      </c>
      <c r="L1648">
        <f>IF(AND($J1648=0,$K1648=0),0,1)</f>
        <v>0</v>
      </c>
    </row>
    <row r="1649" spans="1:13" x14ac:dyDescent="0.2">
      <c r="A1649" t="s">
        <v>552</v>
      </c>
      <c r="B1649" t="s">
        <v>17</v>
      </c>
      <c r="C1649" t="s">
        <v>9</v>
      </c>
      <c r="D1649">
        <v>4810</v>
      </c>
      <c r="E1649">
        <v>2019</v>
      </c>
      <c r="F1649">
        <v>1</v>
      </c>
      <c r="G1649">
        <v>41207</v>
      </c>
      <c r="H1649" s="1">
        <v>4</v>
      </c>
      <c r="I1649">
        <v>3</v>
      </c>
      <c r="J1649">
        <f>IF($H1649=0,1,IF($I1649&lt;=1,2,0))</f>
        <v>0</v>
      </c>
      <c r="K1649">
        <v>0</v>
      </c>
      <c r="L1649">
        <f>IF(AND($J1649=0,$K1649=0),0,1)</f>
        <v>0</v>
      </c>
    </row>
    <row r="1650" spans="1:13" x14ac:dyDescent="0.2">
      <c r="A1650" t="s">
        <v>552</v>
      </c>
      <c r="B1650" t="s">
        <v>17</v>
      </c>
      <c r="C1650" t="s">
        <v>9</v>
      </c>
      <c r="D1650">
        <v>4910</v>
      </c>
      <c r="E1650">
        <v>2019</v>
      </c>
      <c r="F1650">
        <v>1</v>
      </c>
      <c r="G1650">
        <v>41141</v>
      </c>
      <c r="H1650" s="1">
        <v>3</v>
      </c>
      <c r="I1650">
        <v>5</v>
      </c>
      <c r="J1650">
        <f>IF($H1650=0,1,IF($I1650&lt;=1,2,0))</f>
        <v>0</v>
      </c>
      <c r="K1650">
        <v>0</v>
      </c>
      <c r="L1650">
        <f>IF(AND($J1650=0,$K1650=0),0,1)</f>
        <v>0</v>
      </c>
    </row>
    <row r="1651" spans="1:13" x14ac:dyDescent="0.2">
      <c r="A1651" t="s">
        <v>552</v>
      </c>
      <c r="B1651" t="s">
        <v>17</v>
      </c>
      <c r="C1651" t="s">
        <v>9</v>
      </c>
      <c r="D1651">
        <v>4921</v>
      </c>
      <c r="E1651">
        <v>2019</v>
      </c>
      <c r="F1651">
        <v>1</v>
      </c>
      <c r="G1651">
        <v>41142</v>
      </c>
      <c r="H1651" s="1">
        <v>3</v>
      </c>
      <c r="I1651">
        <v>10</v>
      </c>
      <c r="J1651">
        <f>IF($H1651=0,1,IF($I1651&lt;=1,2,0))</f>
        <v>0</v>
      </c>
      <c r="K1651">
        <v>0</v>
      </c>
      <c r="L1651">
        <f>IF(AND($J1651=0,$K1651=0),0,1)</f>
        <v>0</v>
      </c>
    </row>
    <row r="1652" spans="1:13" x14ac:dyDescent="0.2">
      <c r="A1652" t="s">
        <v>552</v>
      </c>
      <c r="B1652" t="s">
        <v>17</v>
      </c>
      <c r="C1652" t="s">
        <v>11</v>
      </c>
      <c r="D1652">
        <v>5000</v>
      </c>
      <c r="E1652">
        <v>2019</v>
      </c>
      <c r="F1652">
        <v>1</v>
      </c>
      <c r="G1652">
        <v>41172</v>
      </c>
      <c r="H1652" s="1">
        <v>4</v>
      </c>
      <c r="I1652">
        <v>8</v>
      </c>
      <c r="J1652">
        <f>IF($H1652=0,1,IF($I1652&lt;=1,2,0))</f>
        <v>0</v>
      </c>
      <c r="K1652">
        <v>0</v>
      </c>
      <c r="L1652">
        <f>IF(AND($J1652=0,$K1652=0),0,1)</f>
        <v>0</v>
      </c>
    </row>
    <row r="1653" spans="1:13" x14ac:dyDescent="0.2">
      <c r="A1653" t="s">
        <v>552</v>
      </c>
      <c r="B1653" t="s">
        <v>17</v>
      </c>
      <c r="C1653" t="s">
        <v>11</v>
      </c>
      <c r="D1653">
        <v>5644</v>
      </c>
      <c r="E1653">
        <v>2019</v>
      </c>
      <c r="F1653">
        <v>1</v>
      </c>
      <c r="G1653">
        <v>18972</v>
      </c>
      <c r="H1653" s="1">
        <v>4</v>
      </c>
      <c r="I1653">
        <v>5</v>
      </c>
      <c r="J1653">
        <f>IF($H1653=0,1,IF($I1653&lt;=1,2,0))</f>
        <v>0</v>
      </c>
      <c r="K1653">
        <v>0</v>
      </c>
      <c r="L1653">
        <f>IF(AND($J1653=0,$K1653=0),0,1)</f>
        <v>0</v>
      </c>
    </row>
    <row r="1654" spans="1:13" x14ac:dyDescent="0.2">
      <c r="A1654" t="s">
        <v>552</v>
      </c>
      <c r="B1654" t="s">
        <v>17</v>
      </c>
      <c r="C1654" t="s">
        <v>11</v>
      </c>
      <c r="D1654">
        <v>6008</v>
      </c>
      <c r="E1654">
        <v>2019</v>
      </c>
      <c r="F1654">
        <v>1</v>
      </c>
      <c r="G1654">
        <v>41174</v>
      </c>
      <c r="H1654" s="1">
        <v>2</v>
      </c>
      <c r="I1654">
        <v>10</v>
      </c>
      <c r="J1654">
        <f>IF($H1654=0,1,IF($I1654&lt;=1,2,0))</f>
        <v>0</v>
      </c>
      <c r="K1654">
        <v>0</v>
      </c>
      <c r="L1654">
        <f>IF(AND($J1654=0,$K1654=0),0,1)</f>
        <v>0</v>
      </c>
    </row>
    <row r="1655" spans="1:13" x14ac:dyDescent="0.2">
      <c r="A1655" t="s">
        <v>552</v>
      </c>
      <c r="B1655" t="s">
        <v>17</v>
      </c>
      <c r="C1655" t="s">
        <v>11</v>
      </c>
      <c r="D1655">
        <v>6031</v>
      </c>
      <c r="E1655">
        <v>2019</v>
      </c>
      <c r="F1655">
        <v>1</v>
      </c>
      <c r="G1655">
        <v>41259</v>
      </c>
      <c r="H1655" s="1">
        <v>4</v>
      </c>
      <c r="I1655">
        <v>13</v>
      </c>
      <c r="J1655">
        <f>IF($H1655=0,1,IF($I1655&lt;=1,2,0))</f>
        <v>0</v>
      </c>
      <c r="K1655">
        <v>0</v>
      </c>
      <c r="L1655">
        <f>IF(AND($J1655=0,$K1655=0),0,1)</f>
        <v>0</v>
      </c>
    </row>
    <row r="1656" spans="1:13" x14ac:dyDescent="0.2">
      <c r="A1656" t="s">
        <v>552</v>
      </c>
      <c r="B1656" t="s">
        <v>17</v>
      </c>
      <c r="C1656" t="s">
        <v>11</v>
      </c>
      <c r="D1656">
        <v>6232</v>
      </c>
      <c r="E1656">
        <v>2019</v>
      </c>
      <c r="F1656">
        <v>1</v>
      </c>
      <c r="G1656">
        <v>41208</v>
      </c>
      <c r="H1656" s="1">
        <v>4</v>
      </c>
      <c r="I1656">
        <v>9</v>
      </c>
      <c r="J1656">
        <f>IF($H1656=0,1,IF($I1656&lt;=1,2,0))</f>
        <v>0</v>
      </c>
      <c r="K1656">
        <v>0</v>
      </c>
      <c r="L1656">
        <f>IF(AND($J1656=0,$K1656=0),0,1)</f>
        <v>0</v>
      </c>
    </row>
    <row r="1657" spans="1:13" x14ac:dyDescent="0.2">
      <c r="A1657" t="s">
        <v>552</v>
      </c>
      <c r="B1657" t="s">
        <v>17</v>
      </c>
      <c r="C1657" t="s">
        <v>11</v>
      </c>
      <c r="D1657">
        <v>6631</v>
      </c>
      <c r="E1657">
        <v>2019</v>
      </c>
      <c r="F1657">
        <v>1</v>
      </c>
      <c r="G1657">
        <v>13389</v>
      </c>
      <c r="H1657" s="1">
        <v>4</v>
      </c>
      <c r="I1657">
        <v>14</v>
      </c>
      <c r="J1657">
        <f>IF($H1657=0,1,IF($I1657&lt;=1,2,0))</f>
        <v>0</v>
      </c>
      <c r="K1657">
        <v>0</v>
      </c>
      <c r="L1657">
        <f>IF(AND($J1657=0,$K1657=0),0,1)</f>
        <v>0</v>
      </c>
    </row>
    <row r="1658" spans="1:13" x14ac:dyDescent="0.2">
      <c r="A1658" t="s">
        <v>555</v>
      </c>
      <c r="B1658" t="s">
        <v>71</v>
      </c>
      <c r="C1658" t="s">
        <v>72</v>
      </c>
      <c r="D1658">
        <v>4439</v>
      </c>
      <c r="E1658">
        <v>2019</v>
      </c>
      <c r="F1658">
        <v>1</v>
      </c>
      <c r="G1658">
        <v>44657</v>
      </c>
      <c r="H1658" s="1">
        <v>3</v>
      </c>
      <c r="I1658">
        <v>21</v>
      </c>
      <c r="J1658">
        <f>IF($H1658=0,1,IF($I1658&lt;=1,2,0))</f>
        <v>0</v>
      </c>
      <c r="K1658">
        <v>0</v>
      </c>
      <c r="L1658">
        <f>IF(AND($J1658=0,$K1658=0),0,1)</f>
        <v>0</v>
      </c>
    </row>
    <row r="1659" spans="1:13" x14ac:dyDescent="0.2">
      <c r="A1659" t="s">
        <v>556</v>
      </c>
      <c r="B1659" t="s">
        <v>71</v>
      </c>
      <c r="C1659" t="s">
        <v>72</v>
      </c>
      <c r="D1659">
        <v>1008</v>
      </c>
      <c r="E1659">
        <v>2019</v>
      </c>
      <c r="F1659">
        <v>2</v>
      </c>
      <c r="G1659">
        <v>44622</v>
      </c>
      <c r="H1659" s="1">
        <v>1</v>
      </c>
      <c r="I1659">
        <v>6</v>
      </c>
      <c r="J1659">
        <f>IF($H1659=0,1,IF($I1659&lt;=1,2,0))</f>
        <v>0</v>
      </c>
      <c r="K1659">
        <v>0</v>
      </c>
      <c r="L1659">
        <f>IF(AND($J1659=0,$K1659=0),0,1)</f>
        <v>0</v>
      </c>
      <c r="M1659" t="s">
        <v>557</v>
      </c>
    </row>
    <row r="1660" spans="1:13" x14ac:dyDescent="0.2">
      <c r="A1660" t="s">
        <v>556</v>
      </c>
      <c r="B1660" t="s">
        <v>71</v>
      </c>
      <c r="C1660" t="s">
        <v>72</v>
      </c>
      <c r="D1660">
        <v>1008</v>
      </c>
      <c r="E1660">
        <v>2019</v>
      </c>
      <c r="F1660">
        <v>3</v>
      </c>
      <c r="G1660">
        <v>44623</v>
      </c>
      <c r="H1660" s="1">
        <v>1</v>
      </c>
      <c r="I1660">
        <v>6</v>
      </c>
      <c r="J1660">
        <f>IF($H1660=0,1,IF($I1660&lt;=1,2,0))</f>
        <v>0</v>
      </c>
      <c r="K1660">
        <v>0</v>
      </c>
      <c r="L1660">
        <f>IF(AND($J1660=0,$K1660=0),0,1)</f>
        <v>0</v>
      </c>
      <c r="M1660" t="s">
        <v>557</v>
      </c>
    </row>
    <row r="1661" spans="1:13" x14ac:dyDescent="0.2">
      <c r="A1661" t="s">
        <v>556</v>
      </c>
      <c r="B1661" t="s">
        <v>71</v>
      </c>
      <c r="C1661" t="s">
        <v>72</v>
      </c>
      <c r="D1661">
        <v>1008</v>
      </c>
      <c r="E1661">
        <v>2019</v>
      </c>
      <c r="F1661">
        <v>4</v>
      </c>
      <c r="G1661">
        <v>44624</v>
      </c>
      <c r="H1661" s="1">
        <v>1</v>
      </c>
      <c r="I1661">
        <v>6</v>
      </c>
      <c r="J1661">
        <f>IF($H1661=0,1,IF($I1661&lt;=1,2,0))</f>
        <v>0</v>
      </c>
      <c r="K1661">
        <v>0</v>
      </c>
      <c r="L1661">
        <f>IF(AND($J1661=0,$K1661=0),0,1)</f>
        <v>0</v>
      </c>
      <c r="M1661" t="s">
        <v>558</v>
      </c>
    </row>
    <row r="1662" spans="1:13" x14ac:dyDescent="0.2">
      <c r="A1662" t="s">
        <v>556</v>
      </c>
      <c r="B1662" t="s">
        <v>71</v>
      </c>
      <c r="C1662" t="s">
        <v>72</v>
      </c>
      <c r="D1662">
        <v>1008</v>
      </c>
      <c r="E1662">
        <v>2019</v>
      </c>
      <c r="F1662">
        <v>5</v>
      </c>
      <c r="G1662">
        <v>44625</v>
      </c>
      <c r="H1662" s="1">
        <v>1</v>
      </c>
      <c r="I1662">
        <v>6</v>
      </c>
      <c r="J1662">
        <f>IF($H1662=0,1,IF($I1662&lt;=1,2,0))</f>
        <v>0</v>
      </c>
      <c r="K1662">
        <v>0</v>
      </c>
      <c r="L1662">
        <f>IF(AND($J1662=0,$K1662=0),0,1)</f>
        <v>0</v>
      </c>
      <c r="M1662" t="s">
        <v>558</v>
      </c>
    </row>
    <row r="1663" spans="1:13" x14ac:dyDescent="0.2">
      <c r="A1663" t="s">
        <v>556</v>
      </c>
      <c r="B1663" t="s">
        <v>71</v>
      </c>
      <c r="C1663" t="s">
        <v>72</v>
      </c>
      <c r="D1663">
        <v>1008</v>
      </c>
      <c r="E1663">
        <v>2019</v>
      </c>
      <c r="F1663">
        <v>1</v>
      </c>
      <c r="G1663">
        <v>44621</v>
      </c>
      <c r="H1663" s="1">
        <v>1</v>
      </c>
      <c r="I1663">
        <v>5</v>
      </c>
      <c r="J1663">
        <f>IF($H1663=0,1,IF($I1663&lt;=1,2,0))</f>
        <v>0</v>
      </c>
      <c r="K1663">
        <v>0</v>
      </c>
      <c r="L1663">
        <f>IF(AND($J1663=0,$K1663=0),0,1)</f>
        <v>0</v>
      </c>
      <c r="M1663" t="s">
        <v>557</v>
      </c>
    </row>
    <row r="1664" spans="1:13" x14ac:dyDescent="0.2">
      <c r="A1664" t="s">
        <v>556</v>
      </c>
      <c r="B1664" t="s">
        <v>71</v>
      </c>
      <c r="C1664" t="s">
        <v>72</v>
      </c>
      <c r="D1664">
        <v>1008</v>
      </c>
      <c r="E1664">
        <v>2019</v>
      </c>
      <c r="F1664">
        <v>6</v>
      </c>
      <c r="G1664">
        <v>44626</v>
      </c>
      <c r="H1664" s="1">
        <v>1</v>
      </c>
      <c r="I1664">
        <v>5</v>
      </c>
      <c r="J1664">
        <f>IF($H1664=0,1,IF($I1664&lt;=1,2,0))</f>
        <v>0</v>
      </c>
      <c r="K1664">
        <v>0</v>
      </c>
      <c r="L1664">
        <f>IF(AND($J1664=0,$K1664=0),0,1)</f>
        <v>0</v>
      </c>
      <c r="M1664" t="s">
        <v>558</v>
      </c>
    </row>
    <row r="1665" spans="1:13" x14ac:dyDescent="0.2">
      <c r="A1665" t="s">
        <v>556</v>
      </c>
      <c r="B1665" t="s">
        <v>71</v>
      </c>
      <c r="C1665" t="s">
        <v>72</v>
      </c>
      <c r="D1665">
        <v>3018</v>
      </c>
      <c r="E1665">
        <v>2019</v>
      </c>
      <c r="F1665">
        <v>1</v>
      </c>
      <c r="G1665">
        <v>44658</v>
      </c>
      <c r="H1665" s="1">
        <v>3</v>
      </c>
      <c r="I1665">
        <v>53</v>
      </c>
      <c r="J1665">
        <f>IF($H1665=0,1,IF($I1665&lt;=1,2,0))</f>
        <v>0</v>
      </c>
      <c r="K1665">
        <v>0</v>
      </c>
      <c r="L1665">
        <f>IF(AND($J1665=0,$K1665=0),0,1)</f>
        <v>0</v>
      </c>
    </row>
    <row r="1666" spans="1:13" x14ac:dyDescent="0.2">
      <c r="A1666" t="s">
        <v>556</v>
      </c>
      <c r="B1666" t="s">
        <v>71</v>
      </c>
      <c r="C1666" t="s">
        <v>72</v>
      </c>
      <c r="D1666">
        <v>3100</v>
      </c>
      <c r="E1666">
        <v>2019</v>
      </c>
      <c r="F1666">
        <v>1</v>
      </c>
      <c r="G1666">
        <v>44742</v>
      </c>
      <c r="H1666" s="1">
        <v>3</v>
      </c>
      <c r="I1666">
        <v>55</v>
      </c>
      <c r="J1666">
        <f>IF($H1666=0,1,IF($I1666&lt;=1,2,0))</f>
        <v>0</v>
      </c>
      <c r="K1666">
        <v>0</v>
      </c>
      <c r="L1666">
        <f>IF(AND($J1666=0,$K1666=0),0,1)</f>
        <v>0</v>
      </c>
    </row>
    <row r="1667" spans="1:13" x14ac:dyDescent="0.2">
      <c r="A1667" t="s">
        <v>556</v>
      </c>
      <c r="B1667" t="s">
        <v>71</v>
      </c>
      <c r="C1667" t="s">
        <v>72</v>
      </c>
      <c r="D1667">
        <v>3301</v>
      </c>
      <c r="E1667">
        <v>2019</v>
      </c>
      <c r="F1667">
        <v>1</v>
      </c>
      <c r="G1667">
        <v>44612</v>
      </c>
      <c r="H1667" s="1">
        <v>3</v>
      </c>
      <c r="I1667">
        <v>53</v>
      </c>
      <c r="J1667">
        <f>IF($H1667=0,1,IF($I1667&lt;=1,2,0))</f>
        <v>0</v>
      </c>
      <c r="K1667">
        <v>0</v>
      </c>
      <c r="L1667">
        <f>IF(AND($J1667=0,$K1667=0),0,1)</f>
        <v>0</v>
      </c>
    </row>
    <row r="1668" spans="1:13" x14ac:dyDescent="0.2">
      <c r="A1668" t="s">
        <v>556</v>
      </c>
      <c r="B1668" t="s">
        <v>71</v>
      </c>
      <c r="C1668" t="s">
        <v>72</v>
      </c>
      <c r="D1668">
        <v>3408</v>
      </c>
      <c r="E1668">
        <v>2019</v>
      </c>
      <c r="F1668">
        <v>1</v>
      </c>
      <c r="G1668">
        <v>44633</v>
      </c>
      <c r="H1668" s="1">
        <v>3</v>
      </c>
      <c r="I1668">
        <v>22</v>
      </c>
      <c r="J1668">
        <f>IF($H1668=0,1,IF($I1668&lt;=1,2,0))</f>
        <v>0</v>
      </c>
      <c r="K1668">
        <v>0</v>
      </c>
      <c r="L1668">
        <f>IF(AND($J1668=0,$K1668=0),0,1)</f>
        <v>0</v>
      </c>
    </row>
    <row r="1669" spans="1:13" x14ac:dyDescent="0.2">
      <c r="A1669" t="s">
        <v>556</v>
      </c>
      <c r="B1669" t="s">
        <v>71</v>
      </c>
      <c r="C1669" t="s">
        <v>72</v>
      </c>
      <c r="D1669">
        <v>3408</v>
      </c>
      <c r="E1669">
        <v>2019</v>
      </c>
      <c r="F1669">
        <v>2</v>
      </c>
      <c r="G1669">
        <v>44634</v>
      </c>
      <c r="H1669" s="1">
        <v>3</v>
      </c>
      <c r="I1669">
        <v>18</v>
      </c>
      <c r="J1669">
        <f>IF($H1669=0,1,IF($I1669&lt;=1,2,0))</f>
        <v>0</v>
      </c>
      <c r="K1669">
        <v>0</v>
      </c>
      <c r="L1669">
        <f>IF(AND($J1669=0,$K1669=0),0,1)</f>
        <v>0</v>
      </c>
    </row>
    <row r="1670" spans="1:13" x14ac:dyDescent="0.2">
      <c r="A1670" t="s">
        <v>556</v>
      </c>
      <c r="B1670" t="s">
        <v>71</v>
      </c>
      <c r="C1670" t="s">
        <v>72</v>
      </c>
      <c r="D1670">
        <v>3409</v>
      </c>
      <c r="E1670">
        <v>2019</v>
      </c>
      <c r="F1670">
        <v>1</v>
      </c>
      <c r="G1670">
        <v>44659</v>
      </c>
      <c r="H1670" s="1">
        <v>3</v>
      </c>
      <c r="I1670">
        <v>62</v>
      </c>
      <c r="J1670">
        <f>IF($H1670=0,1,IF($I1670&lt;=1,2,0))</f>
        <v>0</v>
      </c>
      <c r="K1670">
        <v>0</v>
      </c>
      <c r="L1670">
        <f>IF(AND($J1670=0,$K1670=0),0,1)</f>
        <v>0</v>
      </c>
    </row>
    <row r="1671" spans="1:13" x14ac:dyDescent="0.2">
      <c r="A1671" t="s">
        <v>556</v>
      </c>
      <c r="B1671" t="s">
        <v>71</v>
      </c>
      <c r="C1671" t="s">
        <v>72</v>
      </c>
      <c r="D1671">
        <v>3420</v>
      </c>
      <c r="E1671">
        <v>2019</v>
      </c>
      <c r="F1671">
        <v>1</v>
      </c>
      <c r="G1671">
        <v>44660</v>
      </c>
      <c r="H1671" s="1">
        <v>1</v>
      </c>
      <c r="I1671">
        <v>59</v>
      </c>
      <c r="J1671">
        <f>IF($H1671=0,1,IF($I1671&lt;=1,2,0))</f>
        <v>0</v>
      </c>
      <c r="K1671">
        <v>0</v>
      </c>
      <c r="L1671">
        <f>IF(AND($J1671=0,$K1671=0),0,1)</f>
        <v>0</v>
      </c>
    </row>
    <row r="1672" spans="1:13" x14ac:dyDescent="0.2">
      <c r="A1672" t="s">
        <v>556</v>
      </c>
      <c r="B1672" t="s">
        <v>71</v>
      </c>
      <c r="C1672" t="s">
        <v>72</v>
      </c>
      <c r="D1672">
        <v>4058</v>
      </c>
      <c r="E1672">
        <v>2019</v>
      </c>
      <c r="F1672">
        <v>1</v>
      </c>
      <c r="G1672">
        <v>44627</v>
      </c>
      <c r="H1672" s="1">
        <v>3</v>
      </c>
      <c r="I1672">
        <v>26</v>
      </c>
      <c r="J1672">
        <f>IF($H1672=0,1,IF($I1672&lt;=1,2,0))</f>
        <v>0</v>
      </c>
      <c r="K1672">
        <v>0</v>
      </c>
      <c r="L1672">
        <f>IF(AND($J1672=0,$K1672=0),0,1)</f>
        <v>0</v>
      </c>
    </row>
    <row r="1673" spans="1:13" x14ac:dyDescent="0.2">
      <c r="A1673" t="s">
        <v>556</v>
      </c>
      <c r="B1673" t="s">
        <v>71</v>
      </c>
      <c r="C1673" t="s">
        <v>72</v>
      </c>
      <c r="D1673">
        <v>4058</v>
      </c>
      <c r="E1673">
        <v>2019</v>
      </c>
      <c r="F1673">
        <v>2</v>
      </c>
      <c r="G1673">
        <v>44628</v>
      </c>
      <c r="H1673" s="1">
        <v>3</v>
      </c>
      <c r="I1673">
        <v>11</v>
      </c>
      <c r="J1673">
        <f>IF($H1673=0,1,IF($I1673&lt;=1,2,0))</f>
        <v>0</v>
      </c>
      <c r="K1673">
        <v>0</v>
      </c>
      <c r="L1673">
        <f>IF(AND($J1673=0,$K1673=0),0,1)</f>
        <v>0</v>
      </c>
    </row>
    <row r="1674" spans="1:13" x14ac:dyDescent="0.2">
      <c r="A1674" t="s">
        <v>556</v>
      </c>
      <c r="B1674" t="s">
        <v>71</v>
      </c>
      <c r="C1674" t="s">
        <v>72</v>
      </c>
      <c r="D1674">
        <v>4211</v>
      </c>
      <c r="E1674">
        <v>2019</v>
      </c>
      <c r="F1674">
        <v>1</v>
      </c>
      <c r="G1674">
        <v>44614</v>
      </c>
      <c r="H1674" s="1">
        <v>3</v>
      </c>
      <c r="I1674">
        <v>48</v>
      </c>
      <c r="J1674">
        <f>IF($H1674=0,1,IF($I1674&lt;=1,2,0))</f>
        <v>0</v>
      </c>
      <c r="K1674">
        <v>0</v>
      </c>
      <c r="L1674">
        <f>IF(AND($J1674=0,$K1674=0),0,1)</f>
        <v>0</v>
      </c>
    </row>
    <row r="1675" spans="1:13" x14ac:dyDescent="0.2">
      <c r="A1675" t="s">
        <v>556</v>
      </c>
      <c r="B1675" t="s">
        <v>71</v>
      </c>
      <c r="C1675" t="s">
        <v>72</v>
      </c>
      <c r="D1675">
        <v>4212</v>
      </c>
      <c r="E1675">
        <v>2019</v>
      </c>
      <c r="F1675">
        <v>1</v>
      </c>
      <c r="G1675">
        <v>44700</v>
      </c>
      <c r="H1675" s="1">
        <v>3</v>
      </c>
      <c r="I1675">
        <v>16</v>
      </c>
      <c r="J1675">
        <f>IF($H1675=0,1,IF($I1675&lt;=1,2,0))</f>
        <v>0</v>
      </c>
      <c r="K1675">
        <v>0</v>
      </c>
      <c r="L1675">
        <f>IF(AND($J1675=0,$K1675=0),0,1)</f>
        <v>0</v>
      </c>
    </row>
    <row r="1676" spans="1:13" x14ac:dyDescent="0.2">
      <c r="A1676" t="s">
        <v>556</v>
      </c>
      <c r="B1676" t="s">
        <v>71</v>
      </c>
      <c r="C1676" t="s">
        <v>72</v>
      </c>
      <c r="D1676">
        <v>4213</v>
      </c>
      <c r="E1676">
        <v>2019</v>
      </c>
      <c r="F1676">
        <v>1</v>
      </c>
      <c r="G1676">
        <v>14354</v>
      </c>
      <c r="H1676" s="1">
        <v>3</v>
      </c>
      <c r="I1676">
        <v>8</v>
      </c>
      <c r="J1676">
        <f>IF($H1676=0,1,IF($I1676&lt;=1,2,0))</f>
        <v>0</v>
      </c>
      <c r="K1676">
        <v>0</v>
      </c>
      <c r="L1676">
        <f>IF(AND($J1676=0,$K1676=0),0,1)</f>
        <v>0</v>
      </c>
    </row>
    <row r="1677" spans="1:13" x14ac:dyDescent="0.2">
      <c r="A1677" t="s">
        <v>556</v>
      </c>
      <c r="B1677" t="s">
        <v>71</v>
      </c>
      <c r="C1677" t="s">
        <v>72</v>
      </c>
      <c r="D1677">
        <v>4312</v>
      </c>
      <c r="E1677">
        <v>2019</v>
      </c>
      <c r="F1677">
        <v>1</v>
      </c>
      <c r="G1677">
        <v>44629</v>
      </c>
      <c r="H1677" s="1">
        <v>3</v>
      </c>
      <c r="I1677">
        <v>19</v>
      </c>
      <c r="J1677">
        <f>IF($H1677=0,1,IF($I1677&lt;=1,2,0))</f>
        <v>0</v>
      </c>
      <c r="K1677">
        <v>0</v>
      </c>
      <c r="L1677">
        <f>IF(AND($J1677=0,$K1677=0),0,1)</f>
        <v>0</v>
      </c>
    </row>
    <row r="1678" spans="1:13" x14ac:dyDescent="0.2">
      <c r="A1678" t="s">
        <v>556</v>
      </c>
      <c r="B1678" t="s">
        <v>71</v>
      </c>
      <c r="C1678" t="s">
        <v>72</v>
      </c>
      <c r="D1678">
        <v>4330</v>
      </c>
      <c r="E1678">
        <v>2019</v>
      </c>
      <c r="F1678">
        <v>1</v>
      </c>
      <c r="G1678">
        <v>44701</v>
      </c>
      <c r="H1678" s="1">
        <v>3</v>
      </c>
      <c r="I1678">
        <v>26</v>
      </c>
      <c r="J1678">
        <f>IF($H1678=0,1,IF($I1678&lt;=1,2,0))</f>
        <v>0</v>
      </c>
      <c r="K1678">
        <v>0</v>
      </c>
      <c r="L1678">
        <f>IF(AND($J1678=0,$K1678=0),0,1)</f>
        <v>0</v>
      </c>
    </row>
    <row r="1679" spans="1:13" x14ac:dyDescent="0.2">
      <c r="A1679" t="s">
        <v>556</v>
      </c>
      <c r="B1679" t="s">
        <v>71</v>
      </c>
      <c r="C1679" t="s">
        <v>72</v>
      </c>
      <c r="D1679">
        <v>4430</v>
      </c>
      <c r="E1679">
        <v>2019</v>
      </c>
      <c r="F1679">
        <v>1</v>
      </c>
      <c r="G1679">
        <v>44615</v>
      </c>
      <c r="H1679" s="1">
        <v>3</v>
      </c>
      <c r="I1679">
        <v>10</v>
      </c>
      <c r="J1679">
        <f>IF($H1679=0,1,IF($I1679&lt;=1,2,0))</f>
        <v>0</v>
      </c>
      <c r="K1679">
        <v>0</v>
      </c>
      <c r="L1679">
        <f>IF(AND($J1679=0,$K1679=0),0,1)</f>
        <v>0</v>
      </c>
    </row>
    <row r="1680" spans="1:13" x14ac:dyDescent="0.2">
      <c r="A1680" t="s">
        <v>556</v>
      </c>
      <c r="B1680" t="s">
        <v>71</v>
      </c>
      <c r="C1680" t="s">
        <v>72</v>
      </c>
      <c r="D1680">
        <v>4431</v>
      </c>
      <c r="E1680">
        <v>2019</v>
      </c>
      <c r="F1680" t="s">
        <v>87</v>
      </c>
      <c r="G1680">
        <v>17770</v>
      </c>
      <c r="H1680" s="1">
        <v>3</v>
      </c>
      <c r="I1680">
        <v>3</v>
      </c>
      <c r="J1680">
        <f>IF($H1680=0,1,IF($I1680&lt;=1,2,0))</f>
        <v>0</v>
      </c>
      <c r="K1680">
        <v>0</v>
      </c>
      <c r="L1680">
        <f>IF(AND($J1680=0,$K1680=0),0,1)</f>
        <v>0</v>
      </c>
      <c r="M1680" t="s">
        <v>85</v>
      </c>
    </row>
    <row r="1681" spans="1:13" x14ac:dyDescent="0.2">
      <c r="A1681" t="s">
        <v>556</v>
      </c>
      <c r="B1681" t="s">
        <v>71</v>
      </c>
      <c r="C1681" t="s">
        <v>72</v>
      </c>
      <c r="D1681">
        <v>4602</v>
      </c>
      <c r="E1681">
        <v>2019</v>
      </c>
      <c r="F1681">
        <v>1</v>
      </c>
      <c r="G1681">
        <v>44702</v>
      </c>
      <c r="H1681" s="1">
        <v>3</v>
      </c>
      <c r="I1681">
        <v>106</v>
      </c>
      <c r="J1681">
        <f>IF($H1681=0,1,IF($I1681&lt;=1,2,0))</f>
        <v>0</v>
      </c>
      <c r="K1681">
        <v>0</v>
      </c>
      <c r="L1681">
        <f>IF(AND($J1681=0,$K1681=0),0,1)</f>
        <v>0</v>
      </c>
    </row>
    <row r="1682" spans="1:13" x14ac:dyDescent="0.2">
      <c r="A1682" t="s">
        <v>556</v>
      </c>
      <c r="B1682" t="s">
        <v>71</v>
      </c>
      <c r="C1682" t="s">
        <v>72</v>
      </c>
      <c r="D1682">
        <v>4602</v>
      </c>
      <c r="E1682">
        <v>2019</v>
      </c>
      <c r="F1682" t="s">
        <v>84</v>
      </c>
      <c r="G1682">
        <v>16417</v>
      </c>
      <c r="H1682" s="1">
        <v>3</v>
      </c>
      <c r="I1682">
        <v>3</v>
      </c>
      <c r="J1682">
        <f>IF($H1682=0,1,IF($I1682&lt;=1,2,0))</f>
        <v>0</v>
      </c>
      <c r="K1682">
        <v>0</v>
      </c>
      <c r="L1682">
        <f>IF(AND($J1682=0,$K1682=0),0,1)</f>
        <v>0</v>
      </c>
      <c r="M1682" t="s">
        <v>85</v>
      </c>
    </row>
    <row r="1683" spans="1:13" x14ac:dyDescent="0.2">
      <c r="A1683" t="s">
        <v>556</v>
      </c>
      <c r="B1683" t="s">
        <v>71</v>
      </c>
      <c r="C1683" t="s">
        <v>72</v>
      </c>
      <c r="D1683">
        <v>4604</v>
      </c>
      <c r="E1683">
        <v>2019</v>
      </c>
      <c r="F1683">
        <v>1</v>
      </c>
      <c r="G1683">
        <v>44635</v>
      </c>
      <c r="H1683" s="1">
        <v>3</v>
      </c>
      <c r="I1683">
        <v>52</v>
      </c>
      <c r="J1683">
        <f>IF($H1683=0,1,IF($I1683&lt;=1,2,0))</f>
        <v>0</v>
      </c>
      <c r="K1683">
        <v>0</v>
      </c>
      <c r="L1683">
        <f>IF(AND($J1683=0,$K1683=0),0,1)</f>
        <v>0</v>
      </c>
    </row>
    <row r="1684" spans="1:13" x14ac:dyDescent="0.2">
      <c r="A1684" t="s">
        <v>556</v>
      </c>
      <c r="B1684" t="s">
        <v>71</v>
      </c>
      <c r="C1684" t="s">
        <v>72</v>
      </c>
      <c r="D1684">
        <v>4604</v>
      </c>
      <c r="E1684">
        <v>2019</v>
      </c>
      <c r="F1684" t="s">
        <v>84</v>
      </c>
      <c r="G1684">
        <v>16418</v>
      </c>
      <c r="H1684" s="1">
        <v>3</v>
      </c>
      <c r="I1684">
        <v>6</v>
      </c>
      <c r="J1684">
        <f>IF($H1684=0,1,IF($I1684&lt;=1,2,0))</f>
        <v>0</v>
      </c>
      <c r="K1684">
        <v>0</v>
      </c>
      <c r="L1684">
        <f>IF(AND($J1684=0,$K1684=0),0,1)</f>
        <v>0</v>
      </c>
      <c r="M1684" t="s">
        <v>85</v>
      </c>
    </row>
    <row r="1685" spans="1:13" x14ac:dyDescent="0.2">
      <c r="A1685" t="s">
        <v>556</v>
      </c>
      <c r="B1685" t="s">
        <v>71</v>
      </c>
      <c r="C1685" t="s">
        <v>72</v>
      </c>
      <c r="D1685">
        <v>4610</v>
      </c>
      <c r="E1685">
        <v>2019</v>
      </c>
      <c r="F1685">
        <v>1</v>
      </c>
      <c r="G1685">
        <v>44631</v>
      </c>
      <c r="H1685" s="1">
        <v>3</v>
      </c>
      <c r="I1685">
        <v>27</v>
      </c>
      <c r="J1685">
        <f>IF($H1685=0,1,IF($I1685&lt;=1,2,0))</f>
        <v>0</v>
      </c>
      <c r="K1685">
        <v>0</v>
      </c>
      <c r="L1685">
        <f>IF(AND($J1685=0,$K1685=0),0,1)</f>
        <v>0</v>
      </c>
    </row>
    <row r="1686" spans="1:13" x14ac:dyDescent="0.2">
      <c r="A1686" t="s">
        <v>556</v>
      </c>
      <c r="B1686" t="s">
        <v>71</v>
      </c>
      <c r="C1686" t="s">
        <v>72</v>
      </c>
      <c r="D1686">
        <v>6100</v>
      </c>
      <c r="E1686">
        <v>2019</v>
      </c>
      <c r="F1686">
        <v>1</v>
      </c>
      <c r="G1686">
        <v>44632</v>
      </c>
      <c r="H1686" s="1">
        <v>3</v>
      </c>
      <c r="I1686">
        <v>23</v>
      </c>
      <c r="J1686">
        <f>IF($H1686=0,1,IF($I1686&lt;=1,2,0))</f>
        <v>0</v>
      </c>
      <c r="K1686">
        <v>0</v>
      </c>
      <c r="L1686">
        <f>IF(AND($J1686=0,$K1686=0),0,1)</f>
        <v>0</v>
      </c>
    </row>
    <row r="1687" spans="1:13" x14ac:dyDescent="0.2">
      <c r="A1687" t="s">
        <v>556</v>
      </c>
      <c r="B1687" t="s">
        <v>71</v>
      </c>
      <c r="C1687" t="s">
        <v>72</v>
      </c>
      <c r="D1687">
        <v>6104</v>
      </c>
      <c r="E1687">
        <v>2019</v>
      </c>
      <c r="F1687">
        <v>1</v>
      </c>
      <c r="G1687">
        <v>44618</v>
      </c>
      <c r="H1687" s="1">
        <v>3</v>
      </c>
      <c r="I1687">
        <v>19</v>
      </c>
      <c r="J1687">
        <f>IF($H1687=0,1,IF($I1687&lt;=1,2,0))</f>
        <v>0</v>
      </c>
      <c r="K1687">
        <v>0</v>
      </c>
      <c r="L1687">
        <f>IF(AND($J1687=0,$K1687=0),0,1)</f>
        <v>0</v>
      </c>
    </row>
    <row r="1688" spans="1:13" x14ac:dyDescent="0.2">
      <c r="A1688" t="s">
        <v>556</v>
      </c>
      <c r="B1688" t="s">
        <v>71</v>
      </c>
      <c r="C1688" t="s">
        <v>72</v>
      </c>
      <c r="D1688">
        <v>6422</v>
      </c>
      <c r="E1688">
        <v>2019</v>
      </c>
      <c r="F1688">
        <v>1</v>
      </c>
      <c r="G1688">
        <v>44619</v>
      </c>
      <c r="H1688" s="1">
        <v>3</v>
      </c>
      <c r="I1688">
        <v>20</v>
      </c>
      <c r="J1688">
        <f>IF($H1688=0,1,IF($I1688&lt;=1,2,0))</f>
        <v>0</v>
      </c>
      <c r="K1688">
        <v>0</v>
      </c>
      <c r="L1688">
        <f>IF(AND($J1688=0,$K1688=0),0,1)</f>
        <v>0</v>
      </c>
    </row>
    <row r="1689" spans="1:13" x14ac:dyDescent="0.2">
      <c r="A1689" t="s">
        <v>556</v>
      </c>
      <c r="B1689" t="s">
        <v>71</v>
      </c>
      <c r="C1689" t="s">
        <v>72</v>
      </c>
      <c r="D1689">
        <v>6424</v>
      </c>
      <c r="E1689">
        <v>2019</v>
      </c>
      <c r="F1689">
        <v>1</v>
      </c>
      <c r="G1689">
        <v>44704</v>
      </c>
      <c r="H1689" s="1">
        <v>3</v>
      </c>
      <c r="I1689">
        <v>7</v>
      </c>
      <c r="J1689">
        <f>IF($H1689=0,1,IF($I1689&lt;=1,2,0))</f>
        <v>0</v>
      </c>
      <c r="K1689">
        <v>0</v>
      </c>
      <c r="L1689">
        <f>IF(AND($J1689=0,$K1689=0),0,1)</f>
        <v>0</v>
      </c>
    </row>
    <row r="1690" spans="1:13" x14ac:dyDescent="0.2">
      <c r="A1690" t="s">
        <v>556</v>
      </c>
      <c r="B1690" t="s">
        <v>71</v>
      </c>
      <c r="C1690" t="s">
        <v>72</v>
      </c>
      <c r="D1690">
        <v>6432</v>
      </c>
      <c r="E1690">
        <v>2019</v>
      </c>
      <c r="F1690">
        <v>1</v>
      </c>
      <c r="G1690">
        <v>14057</v>
      </c>
      <c r="H1690" s="1">
        <v>3</v>
      </c>
      <c r="I1690">
        <v>2</v>
      </c>
      <c r="J1690">
        <f>IF($H1690=0,1,IF($I1690&lt;=1,2,0))</f>
        <v>0</v>
      </c>
      <c r="K1690">
        <v>0</v>
      </c>
      <c r="L1690">
        <f>IF(AND($J1690=0,$K1690=0),0,1)</f>
        <v>0</v>
      </c>
    </row>
    <row r="1691" spans="1:13" x14ac:dyDescent="0.2">
      <c r="A1691" t="s">
        <v>556</v>
      </c>
      <c r="B1691" t="s">
        <v>71</v>
      </c>
      <c r="C1691" t="s">
        <v>72</v>
      </c>
      <c r="D1691">
        <v>8990</v>
      </c>
      <c r="E1691">
        <v>2019</v>
      </c>
      <c r="F1691">
        <v>1</v>
      </c>
      <c r="G1691">
        <v>44616</v>
      </c>
      <c r="H1691" s="1">
        <v>3</v>
      </c>
      <c r="I1691">
        <v>6</v>
      </c>
      <c r="J1691">
        <f>IF($H1691=0,1,IF($I1691&lt;=1,2,0))</f>
        <v>0</v>
      </c>
      <c r="K1691">
        <v>0</v>
      </c>
      <c r="L1691">
        <f>IF(AND($J1691=0,$K1691=0),0,1)</f>
        <v>0</v>
      </c>
    </row>
    <row r="1692" spans="1:13" x14ac:dyDescent="0.2">
      <c r="A1692" t="s">
        <v>556</v>
      </c>
      <c r="B1692" t="s">
        <v>71</v>
      </c>
      <c r="C1692" t="s">
        <v>72</v>
      </c>
      <c r="D1692">
        <v>8990</v>
      </c>
      <c r="E1692">
        <v>2019</v>
      </c>
      <c r="F1692">
        <v>3</v>
      </c>
      <c r="G1692">
        <v>44617</v>
      </c>
      <c r="H1692" s="1">
        <v>3</v>
      </c>
      <c r="I1692">
        <v>2</v>
      </c>
      <c r="J1692">
        <f>IF($H1692=0,1,IF($I1692&lt;=1,2,0))</f>
        <v>0</v>
      </c>
      <c r="K1692">
        <v>0</v>
      </c>
      <c r="L1692">
        <f>IF(AND($J1692=0,$K1692=0),0,1)</f>
        <v>0</v>
      </c>
    </row>
    <row r="1693" spans="1:13" x14ac:dyDescent="0.2">
      <c r="A1693" t="s">
        <v>559</v>
      </c>
      <c r="B1693" t="s">
        <v>71</v>
      </c>
      <c r="C1693" t="s">
        <v>72</v>
      </c>
      <c r="D1693">
        <v>4320</v>
      </c>
      <c r="E1693">
        <v>2019</v>
      </c>
      <c r="F1693">
        <v>1</v>
      </c>
      <c r="G1693">
        <v>44744</v>
      </c>
      <c r="H1693" s="1">
        <v>3</v>
      </c>
      <c r="I1693">
        <v>10</v>
      </c>
      <c r="J1693">
        <f>IF($H1693=0,1,IF($I1693&lt;=1,2,0))</f>
        <v>0</v>
      </c>
      <c r="K1693">
        <v>0</v>
      </c>
      <c r="L1693">
        <f>IF(AND($J1693=0,$K1693=0),0,1)</f>
        <v>0</v>
      </c>
    </row>
    <row r="1694" spans="1:13" x14ac:dyDescent="0.2">
      <c r="A1694" t="s">
        <v>560</v>
      </c>
      <c r="B1694" t="s">
        <v>71</v>
      </c>
      <c r="C1694" t="s">
        <v>72</v>
      </c>
      <c r="D1694">
        <v>4510</v>
      </c>
      <c r="E1694">
        <v>2019</v>
      </c>
      <c r="F1694">
        <v>1</v>
      </c>
      <c r="G1694">
        <v>44741</v>
      </c>
      <c r="H1694" s="1">
        <v>3</v>
      </c>
      <c r="I1694">
        <v>60</v>
      </c>
      <c r="J1694">
        <f>IF($H1694=0,1,IF($I1694&lt;=1,2,0))</f>
        <v>0</v>
      </c>
      <c r="K1694">
        <v>0</v>
      </c>
      <c r="L1694">
        <f>IF(AND($J1694=0,$K1694=0),0,1)</f>
        <v>0</v>
      </c>
    </row>
    <row r="1695" spans="1:13" x14ac:dyDescent="0.2">
      <c r="A1695" t="s">
        <v>562</v>
      </c>
      <c r="B1695" t="s">
        <v>17</v>
      </c>
      <c r="C1695" t="s">
        <v>21</v>
      </c>
      <c r="D1695">
        <v>1511</v>
      </c>
      <c r="E1695">
        <v>2019</v>
      </c>
      <c r="F1695">
        <v>1</v>
      </c>
      <c r="G1695">
        <v>99550</v>
      </c>
      <c r="H1695" s="1">
        <v>1</v>
      </c>
      <c r="I1695">
        <v>6</v>
      </c>
      <c r="J1695">
        <f>IF($H1695=0,1,IF($I1695&lt;=1,2,0))</f>
        <v>0</v>
      </c>
      <c r="K1695">
        <v>0</v>
      </c>
      <c r="L1695">
        <f>IF(AND($J1695=0,$K1695=0),0,1)</f>
        <v>0</v>
      </c>
      <c r="M1695" t="s">
        <v>566</v>
      </c>
    </row>
    <row r="1696" spans="1:13" x14ac:dyDescent="0.2">
      <c r="A1696" t="s">
        <v>562</v>
      </c>
      <c r="B1696" t="s">
        <v>17</v>
      </c>
      <c r="C1696" t="s">
        <v>21</v>
      </c>
      <c r="D1696">
        <v>1521</v>
      </c>
      <c r="E1696">
        <v>2019</v>
      </c>
      <c r="F1696">
        <v>1</v>
      </c>
      <c r="G1696">
        <v>99479</v>
      </c>
      <c r="H1696" s="1">
        <v>2</v>
      </c>
      <c r="I1696">
        <v>71</v>
      </c>
      <c r="J1696">
        <f>IF($H1696=0,1,IF($I1696&lt;=1,2,0))</f>
        <v>0</v>
      </c>
      <c r="K1696">
        <v>0</v>
      </c>
      <c r="L1696">
        <f>IF(AND($J1696=0,$K1696=0),0,1)</f>
        <v>0</v>
      </c>
      <c r="M1696" t="s">
        <v>567</v>
      </c>
    </row>
    <row r="1697" spans="1:13" x14ac:dyDescent="0.2">
      <c r="A1697" t="s">
        <v>562</v>
      </c>
      <c r="B1697" t="s">
        <v>17</v>
      </c>
      <c r="C1697" t="s">
        <v>21</v>
      </c>
      <c r="D1697">
        <v>1531</v>
      </c>
      <c r="E1697">
        <v>2019</v>
      </c>
      <c r="F1697">
        <v>4</v>
      </c>
      <c r="G1697">
        <v>99621</v>
      </c>
      <c r="H1697" s="1">
        <v>1</v>
      </c>
      <c r="I1697">
        <v>14</v>
      </c>
      <c r="J1697">
        <f>IF($H1697=0,1,IF($I1697&lt;=1,2,0))</f>
        <v>0</v>
      </c>
      <c r="K1697">
        <v>0</v>
      </c>
      <c r="L1697">
        <f>IF(AND($J1697=0,$K1697=0),0,1)</f>
        <v>0</v>
      </c>
      <c r="M1697" t="s">
        <v>567</v>
      </c>
    </row>
    <row r="1698" spans="1:13" x14ac:dyDescent="0.2">
      <c r="A1698" t="s">
        <v>562</v>
      </c>
      <c r="B1698" t="s">
        <v>17</v>
      </c>
      <c r="C1698" t="s">
        <v>21</v>
      </c>
      <c r="D1698">
        <v>1531</v>
      </c>
      <c r="E1698">
        <v>2019</v>
      </c>
      <c r="F1698">
        <v>16</v>
      </c>
      <c r="G1698">
        <v>99609</v>
      </c>
      <c r="H1698" s="1">
        <v>1</v>
      </c>
      <c r="I1698">
        <v>13</v>
      </c>
      <c r="J1698">
        <f>IF($H1698=0,1,IF($I1698&lt;=1,2,0))</f>
        <v>0</v>
      </c>
      <c r="K1698">
        <v>0</v>
      </c>
      <c r="L1698">
        <f>IF(AND($J1698=0,$K1698=0),0,1)</f>
        <v>0</v>
      </c>
      <c r="M1698" t="s">
        <v>567</v>
      </c>
    </row>
    <row r="1699" spans="1:13" x14ac:dyDescent="0.2">
      <c r="A1699" t="s">
        <v>562</v>
      </c>
      <c r="B1699" t="s">
        <v>17</v>
      </c>
      <c r="C1699" t="s">
        <v>21</v>
      </c>
      <c r="D1699">
        <v>1531</v>
      </c>
      <c r="E1699">
        <v>2019</v>
      </c>
      <c r="F1699">
        <v>6</v>
      </c>
      <c r="G1699">
        <v>99619</v>
      </c>
      <c r="H1699" s="1">
        <v>1</v>
      </c>
      <c r="I1699">
        <v>8</v>
      </c>
      <c r="J1699">
        <f>IF($H1699=0,1,IF($I1699&lt;=1,2,0))</f>
        <v>0</v>
      </c>
      <c r="K1699">
        <v>0</v>
      </c>
      <c r="L1699">
        <f>IF(AND($J1699=0,$K1699=0),0,1)</f>
        <v>0</v>
      </c>
      <c r="M1699" t="s">
        <v>567</v>
      </c>
    </row>
    <row r="1700" spans="1:13" x14ac:dyDescent="0.2">
      <c r="A1700" t="s">
        <v>562</v>
      </c>
      <c r="B1700" t="s">
        <v>17</v>
      </c>
      <c r="C1700" t="s">
        <v>21</v>
      </c>
      <c r="D1700">
        <v>1531</v>
      </c>
      <c r="E1700">
        <v>2019</v>
      </c>
      <c r="F1700">
        <v>7</v>
      </c>
      <c r="G1700">
        <v>99618</v>
      </c>
      <c r="H1700" s="1">
        <v>1</v>
      </c>
      <c r="I1700">
        <v>8</v>
      </c>
      <c r="J1700">
        <f>IF($H1700=0,1,IF($I1700&lt;=1,2,0))</f>
        <v>0</v>
      </c>
      <c r="K1700">
        <v>0</v>
      </c>
      <c r="L1700">
        <f>IF(AND($J1700=0,$K1700=0),0,1)</f>
        <v>0</v>
      </c>
      <c r="M1700" t="s">
        <v>567</v>
      </c>
    </row>
    <row r="1701" spans="1:13" x14ac:dyDescent="0.2">
      <c r="A1701" t="s">
        <v>562</v>
      </c>
      <c r="B1701" t="s">
        <v>17</v>
      </c>
      <c r="C1701" t="s">
        <v>21</v>
      </c>
      <c r="D1701">
        <v>1531</v>
      </c>
      <c r="E1701">
        <v>2019</v>
      </c>
      <c r="F1701">
        <v>18</v>
      </c>
      <c r="G1701">
        <v>99607</v>
      </c>
      <c r="H1701" s="1">
        <v>1</v>
      </c>
      <c r="I1701">
        <v>6</v>
      </c>
      <c r="J1701">
        <f>IF($H1701=0,1,IF($I1701&lt;=1,2,0))</f>
        <v>0</v>
      </c>
      <c r="K1701">
        <v>0</v>
      </c>
      <c r="L1701">
        <f>IF(AND($J1701=0,$K1701=0),0,1)</f>
        <v>0</v>
      </c>
      <c r="M1701" t="s">
        <v>567</v>
      </c>
    </row>
    <row r="1702" spans="1:13" x14ac:dyDescent="0.2">
      <c r="A1702" t="s">
        <v>562</v>
      </c>
      <c r="B1702" t="s">
        <v>17</v>
      </c>
      <c r="C1702" t="s">
        <v>21</v>
      </c>
      <c r="D1702">
        <v>1531</v>
      </c>
      <c r="E1702">
        <v>2019</v>
      </c>
      <c r="F1702">
        <v>19</v>
      </c>
      <c r="G1702">
        <v>99606</v>
      </c>
      <c r="H1702" s="1">
        <v>1</v>
      </c>
      <c r="I1702">
        <v>6</v>
      </c>
      <c r="J1702">
        <f>IF($H1702=0,1,IF($I1702&lt;=1,2,0))</f>
        <v>0</v>
      </c>
      <c r="K1702">
        <v>0</v>
      </c>
      <c r="L1702">
        <f>IF(AND($J1702=0,$K1702=0),0,1)</f>
        <v>0</v>
      </c>
      <c r="M1702" t="s">
        <v>567</v>
      </c>
    </row>
    <row r="1703" spans="1:13" x14ac:dyDescent="0.2">
      <c r="A1703" t="s">
        <v>562</v>
      </c>
      <c r="B1703" t="s">
        <v>17</v>
      </c>
      <c r="C1703" t="s">
        <v>21</v>
      </c>
      <c r="D1703">
        <v>1531</v>
      </c>
      <c r="E1703">
        <v>2019</v>
      </c>
      <c r="F1703">
        <v>21</v>
      </c>
      <c r="G1703">
        <v>99604</v>
      </c>
      <c r="H1703" s="1">
        <v>1</v>
      </c>
      <c r="I1703">
        <v>6</v>
      </c>
      <c r="J1703">
        <f>IF($H1703=0,1,IF($I1703&lt;=1,2,0))</f>
        <v>0</v>
      </c>
      <c r="K1703">
        <v>0</v>
      </c>
      <c r="L1703">
        <f>IF(AND($J1703=0,$K1703=0),0,1)</f>
        <v>0</v>
      </c>
      <c r="M1703" t="s">
        <v>567</v>
      </c>
    </row>
    <row r="1704" spans="1:13" x14ac:dyDescent="0.2">
      <c r="A1704" t="s">
        <v>562</v>
      </c>
      <c r="B1704" t="s">
        <v>17</v>
      </c>
      <c r="C1704" t="s">
        <v>21</v>
      </c>
      <c r="D1704">
        <v>1531</v>
      </c>
      <c r="E1704">
        <v>2019</v>
      </c>
      <c r="F1704">
        <v>8</v>
      </c>
      <c r="G1704">
        <v>99617</v>
      </c>
      <c r="H1704" s="1">
        <v>1</v>
      </c>
      <c r="I1704">
        <v>5</v>
      </c>
      <c r="J1704">
        <f>IF($H1704=0,1,IF($I1704&lt;=1,2,0))</f>
        <v>0</v>
      </c>
      <c r="K1704">
        <v>0</v>
      </c>
      <c r="L1704">
        <f>IF(AND($J1704=0,$K1704=0),0,1)</f>
        <v>0</v>
      </c>
      <c r="M1704" t="s">
        <v>567</v>
      </c>
    </row>
    <row r="1705" spans="1:13" x14ac:dyDescent="0.2">
      <c r="A1705" t="s">
        <v>562</v>
      </c>
      <c r="B1705" t="s">
        <v>17</v>
      </c>
      <c r="C1705" t="s">
        <v>21</v>
      </c>
      <c r="D1705">
        <v>1531</v>
      </c>
      <c r="E1705">
        <v>2019</v>
      </c>
      <c r="F1705">
        <v>12</v>
      </c>
      <c r="G1705">
        <v>99613</v>
      </c>
      <c r="H1705" s="1">
        <v>1</v>
      </c>
      <c r="I1705">
        <v>4</v>
      </c>
      <c r="J1705">
        <f>IF($H1705=0,1,IF($I1705&lt;=1,2,0))</f>
        <v>0</v>
      </c>
      <c r="K1705">
        <v>0</v>
      </c>
      <c r="L1705">
        <f>IF(AND($J1705=0,$K1705=0),0,1)</f>
        <v>0</v>
      </c>
      <c r="M1705" t="s">
        <v>567</v>
      </c>
    </row>
    <row r="1706" spans="1:13" x14ac:dyDescent="0.2">
      <c r="A1706" t="s">
        <v>562</v>
      </c>
      <c r="B1706" t="s">
        <v>17</v>
      </c>
      <c r="C1706" t="s">
        <v>21</v>
      </c>
      <c r="D1706">
        <v>1531</v>
      </c>
      <c r="E1706">
        <v>2019</v>
      </c>
      <c r="F1706">
        <v>14</v>
      </c>
      <c r="G1706">
        <v>99611</v>
      </c>
      <c r="H1706" s="1">
        <v>1</v>
      </c>
      <c r="I1706">
        <v>4</v>
      </c>
      <c r="J1706">
        <f>IF($H1706=0,1,IF($I1706&lt;=1,2,0))</f>
        <v>0</v>
      </c>
      <c r="K1706">
        <v>0</v>
      </c>
      <c r="L1706">
        <f>IF(AND($J1706=0,$K1706=0),0,1)</f>
        <v>0</v>
      </c>
      <c r="M1706" t="s">
        <v>567</v>
      </c>
    </row>
    <row r="1707" spans="1:13" x14ac:dyDescent="0.2">
      <c r="A1707" t="s">
        <v>562</v>
      </c>
      <c r="B1707" t="s">
        <v>17</v>
      </c>
      <c r="C1707" t="s">
        <v>21</v>
      </c>
      <c r="D1707">
        <v>1531</v>
      </c>
      <c r="E1707">
        <v>2019</v>
      </c>
      <c r="F1707">
        <v>22</v>
      </c>
      <c r="G1707">
        <v>18778</v>
      </c>
      <c r="H1707" s="1">
        <v>1</v>
      </c>
      <c r="I1707">
        <v>4</v>
      </c>
      <c r="J1707">
        <f>IF($H1707=0,1,IF($I1707&lt;=1,2,0))</f>
        <v>0</v>
      </c>
      <c r="K1707">
        <v>0</v>
      </c>
      <c r="L1707">
        <f>IF(AND($J1707=0,$K1707=0),0,1)</f>
        <v>0</v>
      </c>
    </row>
    <row r="1708" spans="1:13" x14ac:dyDescent="0.2">
      <c r="A1708" t="s">
        <v>562</v>
      </c>
      <c r="B1708" t="s">
        <v>17</v>
      </c>
      <c r="C1708" t="s">
        <v>21</v>
      </c>
      <c r="D1708">
        <v>1531</v>
      </c>
      <c r="E1708">
        <v>2019</v>
      </c>
      <c r="F1708">
        <v>10</v>
      </c>
      <c r="G1708">
        <v>99615</v>
      </c>
      <c r="H1708" s="1">
        <v>1</v>
      </c>
      <c r="I1708">
        <v>3</v>
      </c>
      <c r="J1708">
        <f>IF($H1708=0,1,IF($I1708&lt;=1,2,0))</f>
        <v>0</v>
      </c>
      <c r="K1708">
        <v>0</v>
      </c>
      <c r="L1708">
        <f>IF(AND($J1708=0,$K1708=0),0,1)</f>
        <v>0</v>
      </c>
      <c r="M1708" t="s">
        <v>567</v>
      </c>
    </row>
    <row r="1709" spans="1:13" x14ac:dyDescent="0.2">
      <c r="A1709" t="s">
        <v>562</v>
      </c>
      <c r="B1709" t="s">
        <v>17</v>
      </c>
      <c r="C1709" t="s">
        <v>21</v>
      </c>
      <c r="D1709">
        <v>1531</v>
      </c>
      <c r="E1709">
        <v>2019</v>
      </c>
      <c r="F1709">
        <v>11</v>
      </c>
      <c r="G1709">
        <v>99614</v>
      </c>
      <c r="H1709" s="1">
        <v>1</v>
      </c>
      <c r="I1709">
        <v>2</v>
      </c>
      <c r="J1709">
        <f>IF($H1709=0,1,IF($I1709&lt;=1,2,0))</f>
        <v>0</v>
      </c>
      <c r="K1709">
        <v>0</v>
      </c>
      <c r="L1709">
        <f>IF(AND($J1709=0,$K1709=0),0,1)</f>
        <v>0</v>
      </c>
      <c r="M1709" t="s">
        <v>567</v>
      </c>
    </row>
    <row r="1710" spans="1:13" x14ac:dyDescent="0.2">
      <c r="A1710" t="s">
        <v>562</v>
      </c>
      <c r="B1710" t="s">
        <v>17</v>
      </c>
      <c r="C1710" t="s">
        <v>21</v>
      </c>
      <c r="D1710">
        <v>1531</v>
      </c>
      <c r="E1710">
        <v>2019</v>
      </c>
      <c r="F1710">
        <v>17</v>
      </c>
      <c r="G1710">
        <v>99608</v>
      </c>
      <c r="H1710" s="1">
        <v>1</v>
      </c>
      <c r="I1710">
        <v>2</v>
      </c>
      <c r="J1710">
        <f>IF($H1710=0,1,IF($I1710&lt;=1,2,0))</f>
        <v>0</v>
      </c>
      <c r="K1710">
        <v>0</v>
      </c>
      <c r="L1710">
        <f>IF(AND($J1710=0,$K1710=0),0,1)</f>
        <v>0</v>
      </c>
      <c r="M1710" t="s">
        <v>567</v>
      </c>
    </row>
    <row r="1711" spans="1:13" x14ac:dyDescent="0.2">
      <c r="A1711" t="s">
        <v>562</v>
      </c>
      <c r="B1711" t="s">
        <v>17</v>
      </c>
      <c r="C1711" t="s">
        <v>21</v>
      </c>
      <c r="D1711">
        <v>1541</v>
      </c>
      <c r="E1711">
        <v>2019</v>
      </c>
      <c r="F1711">
        <v>8</v>
      </c>
      <c r="G1711">
        <v>99471</v>
      </c>
      <c r="H1711" s="1">
        <v>1</v>
      </c>
      <c r="I1711">
        <v>17</v>
      </c>
      <c r="J1711">
        <f>IF($H1711=0,1,IF($I1711&lt;=1,2,0))</f>
        <v>0</v>
      </c>
      <c r="K1711">
        <v>0</v>
      </c>
      <c r="L1711">
        <f>IF(AND($J1711=0,$K1711=0),0,1)</f>
        <v>0</v>
      </c>
      <c r="M1711" t="s">
        <v>567</v>
      </c>
    </row>
    <row r="1712" spans="1:13" x14ac:dyDescent="0.2">
      <c r="A1712" t="s">
        <v>562</v>
      </c>
      <c r="B1712" t="s">
        <v>17</v>
      </c>
      <c r="C1712" t="s">
        <v>21</v>
      </c>
      <c r="D1712">
        <v>1541</v>
      </c>
      <c r="E1712">
        <v>2019</v>
      </c>
      <c r="F1712">
        <v>4</v>
      </c>
      <c r="G1712">
        <v>99475</v>
      </c>
      <c r="H1712" s="1">
        <v>1</v>
      </c>
      <c r="I1712">
        <v>11</v>
      </c>
      <c r="J1712">
        <f>IF($H1712=0,1,IF($I1712&lt;=1,2,0))</f>
        <v>0</v>
      </c>
      <c r="K1712">
        <v>0</v>
      </c>
      <c r="L1712">
        <f>IF(AND($J1712=0,$K1712=0),0,1)</f>
        <v>0</v>
      </c>
      <c r="M1712" t="s">
        <v>567</v>
      </c>
    </row>
    <row r="1713" spans="1:13" x14ac:dyDescent="0.2">
      <c r="A1713" t="s">
        <v>562</v>
      </c>
      <c r="B1713" t="s">
        <v>17</v>
      </c>
      <c r="C1713" t="s">
        <v>21</v>
      </c>
      <c r="D1713">
        <v>1541</v>
      </c>
      <c r="E1713">
        <v>2019</v>
      </c>
      <c r="F1713">
        <v>1</v>
      </c>
      <c r="G1713">
        <v>99478</v>
      </c>
      <c r="H1713" s="1">
        <v>1</v>
      </c>
      <c r="I1713">
        <v>10</v>
      </c>
      <c r="J1713">
        <f>IF($H1713=0,1,IF($I1713&lt;=1,2,0))</f>
        <v>0</v>
      </c>
      <c r="K1713">
        <v>0</v>
      </c>
      <c r="L1713">
        <f>IF(AND($J1713=0,$K1713=0),0,1)</f>
        <v>0</v>
      </c>
      <c r="M1713" t="s">
        <v>567</v>
      </c>
    </row>
    <row r="1714" spans="1:13" x14ac:dyDescent="0.2">
      <c r="A1714" t="s">
        <v>562</v>
      </c>
      <c r="B1714" t="s">
        <v>17</v>
      </c>
      <c r="C1714" t="s">
        <v>21</v>
      </c>
      <c r="D1714">
        <v>1541</v>
      </c>
      <c r="E1714">
        <v>2019</v>
      </c>
      <c r="F1714">
        <v>9</v>
      </c>
      <c r="G1714">
        <v>99470</v>
      </c>
      <c r="H1714" s="1">
        <v>1</v>
      </c>
      <c r="I1714">
        <v>10</v>
      </c>
      <c r="J1714">
        <f>IF($H1714=0,1,IF($I1714&lt;=1,2,0))</f>
        <v>0</v>
      </c>
      <c r="K1714">
        <v>0</v>
      </c>
      <c r="L1714">
        <f>IF(AND($J1714=0,$K1714=0),0,1)</f>
        <v>0</v>
      </c>
      <c r="M1714" t="s">
        <v>567</v>
      </c>
    </row>
    <row r="1715" spans="1:13" x14ac:dyDescent="0.2">
      <c r="A1715" t="s">
        <v>562</v>
      </c>
      <c r="B1715" t="s">
        <v>17</v>
      </c>
      <c r="C1715" t="s">
        <v>21</v>
      </c>
      <c r="D1715">
        <v>1541</v>
      </c>
      <c r="E1715">
        <v>2019</v>
      </c>
      <c r="F1715">
        <v>2</v>
      </c>
      <c r="G1715">
        <v>99477</v>
      </c>
      <c r="H1715" s="1">
        <v>1</v>
      </c>
      <c r="I1715">
        <v>4</v>
      </c>
      <c r="J1715">
        <f>IF($H1715=0,1,IF($I1715&lt;=1,2,0))</f>
        <v>0</v>
      </c>
      <c r="K1715">
        <v>0</v>
      </c>
      <c r="L1715">
        <f>IF(AND($J1715=0,$K1715=0),0,1)</f>
        <v>0</v>
      </c>
      <c r="M1715" t="s">
        <v>567</v>
      </c>
    </row>
    <row r="1716" spans="1:13" x14ac:dyDescent="0.2">
      <c r="A1716" t="s">
        <v>562</v>
      </c>
      <c r="B1716" t="s">
        <v>17</v>
      </c>
      <c r="C1716" t="s">
        <v>21</v>
      </c>
      <c r="D1716">
        <v>1541</v>
      </c>
      <c r="E1716">
        <v>2019</v>
      </c>
      <c r="F1716">
        <v>5</v>
      </c>
      <c r="G1716">
        <v>99474</v>
      </c>
      <c r="H1716" s="1">
        <v>1</v>
      </c>
      <c r="I1716">
        <v>4</v>
      </c>
      <c r="J1716">
        <f>IF($H1716=0,1,IF($I1716&lt;=1,2,0))</f>
        <v>0</v>
      </c>
      <c r="K1716">
        <v>0</v>
      </c>
      <c r="L1716">
        <f>IF(AND($J1716=0,$K1716=0),0,1)</f>
        <v>0</v>
      </c>
      <c r="M1716" t="s">
        <v>567</v>
      </c>
    </row>
    <row r="1717" spans="1:13" x14ac:dyDescent="0.2">
      <c r="A1717" t="s">
        <v>562</v>
      </c>
      <c r="B1717" t="s">
        <v>17</v>
      </c>
      <c r="C1717" t="s">
        <v>21</v>
      </c>
      <c r="D1717">
        <v>1541</v>
      </c>
      <c r="E1717">
        <v>2019</v>
      </c>
      <c r="F1717">
        <v>6</v>
      </c>
      <c r="G1717">
        <v>99473</v>
      </c>
      <c r="H1717" s="1">
        <v>1</v>
      </c>
      <c r="I1717">
        <v>4</v>
      </c>
      <c r="J1717">
        <f>IF($H1717=0,1,IF($I1717&lt;=1,2,0))</f>
        <v>0</v>
      </c>
      <c r="K1717">
        <v>0</v>
      </c>
      <c r="L1717">
        <f>IF(AND($J1717=0,$K1717=0),0,1)</f>
        <v>0</v>
      </c>
      <c r="M1717" t="s">
        <v>567</v>
      </c>
    </row>
    <row r="1718" spans="1:13" x14ac:dyDescent="0.2">
      <c r="A1718" t="s">
        <v>562</v>
      </c>
      <c r="B1718" t="s">
        <v>17</v>
      </c>
      <c r="C1718" t="s">
        <v>21</v>
      </c>
      <c r="D1718">
        <v>1541</v>
      </c>
      <c r="E1718">
        <v>2019</v>
      </c>
      <c r="F1718">
        <v>7</v>
      </c>
      <c r="G1718">
        <v>99472</v>
      </c>
      <c r="H1718" s="1">
        <v>1</v>
      </c>
      <c r="I1718">
        <v>4</v>
      </c>
      <c r="J1718">
        <f>IF($H1718=0,1,IF($I1718&lt;=1,2,0))</f>
        <v>0</v>
      </c>
      <c r="K1718">
        <v>0</v>
      </c>
      <c r="L1718">
        <f>IF(AND($J1718=0,$K1718=0),0,1)</f>
        <v>0</v>
      </c>
      <c r="M1718" t="s">
        <v>567</v>
      </c>
    </row>
    <row r="1719" spans="1:13" x14ac:dyDescent="0.2">
      <c r="A1719" t="s">
        <v>562</v>
      </c>
      <c r="B1719" t="s">
        <v>17</v>
      </c>
      <c r="C1719" t="s">
        <v>21</v>
      </c>
      <c r="D1719">
        <v>1541</v>
      </c>
      <c r="E1719">
        <v>2019</v>
      </c>
      <c r="F1719">
        <v>3</v>
      </c>
      <c r="G1719">
        <v>99476</v>
      </c>
      <c r="H1719" s="1">
        <v>1</v>
      </c>
      <c r="I1719">
        <v>3</v>
      </c>
      <c r="J1719">
        <f>IF($H1719=0,1,IF($I1719&lt;=1,2,0))</f>
        <v>0</v>
      </c>
      <c r="K1719">
        <v>0</v>
      </c>
      <c r="L1719">
        <f>IF(AND($J1719=0,$K1719=0),0,1)</f>
        <v>0</v>
      </c>
      <c r="M1719" t="s">
        <v>567</v>
      </c>
    </row>
    <row r="1720" spans="1:13" x14ac:dyDescent="0.2">
      <c r="A1720" t="s">
        <v>562</v>
      </c>
      <c r="B1720" t="s">
        <v>17</v>
      </c>
      <c r="C1720" t="s">
        <v>21</v>
      </c>
      <c r="D1720">
        <v>1551</v>
      </c>
      <c r="E1720">
        <v>2019</v>
      </c>
      <c r="F1720">
        <v>6</v>
      </c>
      <c r="G1720">
        <v>99544</v>
      </c>
      <c r="H1720" s="1">
        <v>1</v>
      </c>
      <c r="I1720">
        <v>7</v>
      </c>
      <c r="J1720">
        <f>IF($H1720=0,1,IF($I1720&lt;=1,2,0))</f>
        <v>0</v>
      </c>
      <c r="K1720">
        <v>0</v>
      </c>
      <c r="L1720">
        <f>IF(AND($J1720=0,$K1720=0),0,1)</f>
        <v>0</v>
      </c>
      <c r="M1720" t="s">
        <v>567</v>
      </c>
    </row>
    <row r="1721" spans="1:13" x14ac:dyDescent="0.2">
      <c r="A1721" t="s">
        <v>562</v>
      </c>
      <c r="B1721" t="s">
        <v>17</v>
      </c>
      <c r="C1721" t="s">
        <v>21</v>
      </c>
      <c r="D1721">
        <v>1551</v>
      </c>
      <c r="E1721">
        <v>2019</v>
      </c>
      <c r="F1721">
        <v>1</v>
      </c>
      <c r="G1721">
        <v>99549</v>
      </c>
      <c r="H1721" s="1">
        <v>1</v>
      </c>
      <c r="I1721">
        <v>4</v>
      </c>
      <c r="J1721">
        <f>IF($H1721=0,1,IF($I1721&lt;=1,2,0))</f>
        <v>0</v>
      </c>
      <c r="K1721">
        <v>0</v>
      </c>
      <c r="L1721">
        <f>IF(AND($J1721=0,$K1721=0),0,1)</f>
        <v>0</v>
      </c>
      <c r="M1721" t="s">
        <v>566</v>
      </c>
    </row>
    <row r="1722" spans="1:13" x14ac:dyDescent="0.2">
      <c r="A1722" t="s">
        <v>562</v>
      </c>
      <c r="B1722" t="s">
        <v>17</v>
      </c>
      <c r="C1722" t="s">
        <v>21</v>
      </c>
      <c r="D1722">
        <v>1551</v>
      </c>
      <c r="E1722">
        <v>2019</v>
      </c>
      <c r="F1722">
        <v>2</v>
      </c>
      <c r="G1722">
        <v>99548</v>
      </c>
      <c r="H1722" s="1">
        <v>1</v>
      </c>
      <c r="I1722">
        <v>3</v>
      </c>
      <c r="J1722">
        <f>IF($H1722=0,1,IF($I1722&lt;=1,2,0))</f>
        <v>0</v>
      </c>
      <c r="K1722">
        <v>0</v>
      </c>
      <c r="L1722">
        <f>IF(AND($J1722=0,$K1722=0),0,1)</f>
        <v>0</v>
      </c>
      <c r="M1722" t="s">
        <v>566</v>
      </c>
    </row>
    <row r="1723" spans="1:13" x14ac:dyDescent="0.2">
      <c r="A1723" t="s">
        <v>562</v>
      </c>
      <c r="B1723" t="s">
        <v>17</v>
      </c>
      <c r="C1723" t="s">
        <v>21</v>
      </c>
      <c r="D1723">
        <v>1551</v>
      </c>
      <c r="E1723">
        <v>2019</v>
      </c>
      <c r="F1723">
        <v>4</v>
      </c>
      <c r="G1723">
        <v>99546</v>
      </c>
      <c r="H1723" s="1">
        <v>1</v>
      </c>
      <c r="I1723">
        <v>2</v>
      </c>
      <c r="J1723">
        <f>IF($H1723=0,1,IF($I1723&lt;=1,2,0))</f>
        <v>0</v>
      </c>
      <c r="K1723">
        <v>0</v>
      </c>
      <c r="L1723">
        <f>IF(AND($J1723=0,$K1723=0),0,1)</f>
        <v>0</v>
      </c>
      <c r="M1723" t="s">
        <v>566</v>
      </c>
    </row>
    <row r="1724" spans="1:13" x14ac:dyDescent="0.2">
      <c r="A1724" t="s">
        <v>568</v>
      </c>
      <c r="B1724" t="s">
        <v>17</v>
      </c>
      <c r="C1724" t="s">
        <v>11</v>
      </c>
      <c r="D1724">
        <v>6021</v>
      </c>
      <c r="E1724">
        <v>2019</v>
      </c>
      <c r="F1724">
        <v>1</v>
      </c>
      <c r="G1724">
        <v>13278</v>
      </c>
      <c r="H1724" s="1" t="s">
        <v>1824</v>
      </c>
      <c r="I1724">
        <v>3</v>
      </c>
      <c r="J1724">
        <f>IF($H1724=0,1,IF($I1724&lt;=1,2,0))</f>
        <v>0</v>
      </c>
      <c r="K1724">
        <v>0</v>
      </c>
      <c r="L1724">
        <f>IF(AND($J1724=0,$K1724=0),0,1)</f>
        <v>0</v>
      </c>
    </row>
    <row r="1725" spans="1:13" x14ac:dyDescent="0.2">
      <c r="A1725" t="s">
        <v>569</v>
      </c>
      <c r="B1725" t="s">
        <v>71</v>
      </c>
      <c r="C1725" t="s">
        <v>72</v>
      </c>
      <c r="D1725">
        <v>3010</v>
      </c>
      <c r="E1725">
        <v>2019</v>
      </c>
      <c r="F1725">
        <v>1</v>
      </c>
      <c r="G1725">
        <v>20054</v>
      </c>
      <c r="H1725" s="1">
        <v>3</v>
      </c>
      <c r="I1725">
        <v>18</v>
      </c>
      <c r="J1725">
        <f>IF($H1725=0,1,IF($I1725&lt;=1,2,0))</f>
        <v>0</v>
      </c>
      <c r="K1725">
        <v>0</v>
      </c>
      <c r="L1725">
        <f>IF(AND($J1725=0,$K1725=0),0,1)</f>
        <v>0</v>
      </c>
    </row>
    <row r="1726" spans="1:13" x14ac:dyDescent="0.2">
      <c r="A1726" t="s">
        <v>569</v>
      </c>
      <c r="B1726" t="s">
        <v>71</v>
      </c>
      <c r="C1726" t="s">
        <v>72</v>
      </c>
      <c r="D1726">
        <v>3012</v>
      </c>
      <c r="E1726">
        <v>2019</v>
      </c>
      <c r="F1726">
        <v>1</v>
      </c>
      <c r="G1726">
        <v>99937</v>
      </c>
      <c r="H1726" s="1">
        <v>3</v>
      </c>
      <c r="I1726">
        <v>7</v>
      </c>
      <c r="J1726">
        <f>IF($H1726=0,1,IF($I1726&lt;=1,2,0))</f>
        <v>0</v>
      </c>
      <c r="K1726">
        <v>0</v>
      </c>
      <c r="L1726">
        <f>IF(AND($J1726=0,$K1726=0),0,1)</f>
        <v>0</v>
      </c>
    </row>
    <row r="1727" spans="1:13" x14ac:dyDescent="0.2">
      <c r="A1727" t="s">
        <v>569</v>
      </c>
      <c r="B1727" t="s">
        <v>71</v>
      </c>
      <c r="C1727" t="s">
        <v>72</v>
      </c>
      <c r="D1727">
        <v>3111</v>
      </c>
      <c r="E1727">
        <v>2019</v>
      </c>
      <c r="F1727">
        <v>1</v>
      </c>
      <c r="G1727">
        <v>99936</v>
      </c>
      <c r="H1727" s="1">
        <v>3</v>
      </c>
      <c r="I1727">
        <v>13</v>
      </c>
      <c r="J1727">
        <f>IF($H1727=0,1,IF($I1727&lt;=1,2,0))</f>
        <v>0</v>
      </c>
      <c r="K1727">
        <v>0</v>
      </c>
      <c r="L1727">
        <f>IF(AND($J1727=0,$K1727=0),0,1)</f>
        <v>0</v>
      </c>
    </row>
    <row r="1728" spans="1:13" x14ac:dyDescent="0.2">
      <c r="A1728" t="s">
        <v>569</v>
      </c>
      <c r="B1728" t="s">
        <v>71</v>
      </c>
      <c r="C1728" t="s">
        <v>72</v>
      </c>
      <c r="D1728">
        <v>3156</v>
      </c>
      <c r="E1728">
        <v>2019</v>
      </c>
      <c r="F1728">
        <v>1</v>
      </c>
      <c r="G1728">
        <v>20172</v>
      </c>
      <c r="H1728" s="1">
        <v>3</v>
      </c>
      <c r="I1728">
        <v>6</v>
      </c>
      <c r="J1728">
        <f>IF($H1728=0,1,IF($I1728&lt;=1,2,0))</f>
        <v>0</v>
      </c>
      <c r="K1728">
        <v>0</v>
      </c>
      <c r="L1728">
        <f>IF(AND($J1728=0,$K1728=0),0,1)</f>
        <v>0</v>
      </c>
    </row>
    <row r="1729" spans="1:13" x14ac:dyDescent="0.2">
      <c r="A1729" t="s">
        <v>569</v>
      </c>
      <c r="B1729" t="s">
        <v>71</v>
      </c>
      <c r="C1729" t="s">
        <v>72</v>
      </c>
      <c r="D1729">
        <v>4100</v>
      </c>
      <c r="E1729">
        <v>2019</v>
      </c>
      <c r="F1729">
        <v>1</v>
      </c>
      <c r="G1729">
        <v>20053</v>
      </c>
      <c r="H1729" s="1">
        <v>3</v>
      </c>
      <c r="I1729">
        <v>42</v>
      </c>
      <c r="J1729">
        <f>IF($H1729=0,1,IF($I1729&lt;=1,2,0))</f>
        <v>0</v>
      </c>
      <c r="K1729">
        <v>0</v>
      </c>
      <c r="L1729">
        <f>IF(AND($J1729=0,$K1729=0),0,1)</f>
        <v>0</v>
      </c>
    </row>
    <row r="1730" spans="1:13" x14ac:dyDescent="0.2">
      <c r="A1730" t="s">
        <v>569</v>
      </c>
      <c r="B1730" t="s">
        <v>71</v>
      </c>
      <c r="C1730" t="s">
        <v>72</v>
      </c>
      <c r="D1730">
        <v>4102</v>
      </c>
      <c r="E1730">
        <v>2019</v>
      </c>
      <c r="F1730">
        <v>1</v>
      </c>
      <c r="G1730">
        <v>20171</v>
      </c>
      <c r="H1730" s="1">
        <v>3</v>
      </c>
      <c r="I1730">
        <v>8</v>
      </c>
      <c r="J1730">
        <f>IF($H1730=0,1,IF($I1730&lt;=1,2,0))</f>
        <v>0</v>
      </c>
      <c r="K1730">
        <v>0</v>
      </c>
      <c r="L1730">
        <f>IF(AND($J1730=0,$K1730=0),0,1)</f>
        <v>0</v>
      </c>
    </row>
    <row r="1731" spans="1:13" x14ac:dyDescent="0.2">
      <c r="A1731" t="s">
        <v>569</v>
      </c>
      <c r="B1731" t="s">
        <v>71</v>
      </c>
      <c r="C1731" t="s">
        <v>72</v>
      </c>
      <c r="D1731">
        <v>4102</v>
      </c>
      <c r="E1731">
        <v>2019</v>
      </c>
      <c r="F1731" t="s">
        <v>84</v>
      </c>
      <c r="G1731">
        <v>16420</v>
      </c>
      <c r="H1731" s="1">
        <v>3</v>
      </c>
      <c r="I1731">
        <v>5</v>
      </c>
      <c r="J1731">
        <f>IF($H1731=0,1,IF($I1731&lt;=1,2,0))</f>
        <v>0</v>
      </c>
      <c r="K1731">
        <v>0</v>
      </c>
      <c r="L1731">
        <f>IF(AND($J1731=0,$K1731=0),0,1)</f>
        <v>0</v>
      </c>
      <c r="M1731" t="s">
        <v>85</v>
      </c>
    </row>
    <row r="1732" spans="1:13" x14ac:dyDescent="0.2">
      <c r="A1732" t="s">
        <v>569</v>
      </c>
      <c r="B1732" t="s">
        <v>71</v>
      </c>
      <c r="C1732" t="s">
        <v>72</v>
      </c>
      <c r="D1732">
        <v>4105</v>
      </c>
      <c r="E1732">
        <v>2019</v>
      </c>
      <c r="F1732">
        <v>0</v>
      </c>
      <c r="G1732">
        <v>10577</v>
      </c>
      <c r="H1732" s="1">
        <v>3</v>
      </c>
      <c r="I1732">
        <v>9</v>
      </c>
      <c r="J1732">
        <f>IF($H1732=0,1,IF($I1732&lt;=1,2,0))</f>
        <v>0</v>
      </c>
      <c r="K1732">
        <v>0</v>
      </c>
      <c r="L1732">
        <f>IF(AND($J1732=0,$K1732=0),0,1)</f>
        <v>0</v>
      </c>
    </row>
    <row r="1733" spans="1:13" x14ac:dyDescent="0.2">
      <c r="A1733" t="s">
        <v>569</v>
      </c>
      <c r="B1733" t="s">
        <v>71</v>
      </c>
      <c r="C1733" t="s">
        <v>72</v>
      </c>
      <c r="D1733">
        <v>4105</v>
      </c>
      <c r="E1733">
        <v>2019</v>
      </c>
      <c r="F1733" t="s">
        <v>84</v>
      </c>
      <c r="G1733">
        <v>17237</v>
      </c>
      <c r="H1733" s="1">
        <v>3</v>
      </c>
      <c r="I1733">
        <v>3</v>
      </c>
      <c r="J1733">
        <f>IF($H1733=0,1,IF($I1733&lt;=1,2,0))</f>
        <v>0</v>
      </c>
      <c r="K1733">
        <v>0</v>
      </c>
      <c r="L1733">
        <f>IF(AND($J1733=0,$K1733=0),0,1)</f>
        <v>0</v>
      </c>
      <c r="M1733" t="s">
        <v>85</v>
      </c>
    </row>
    <row r="1734" spans="1:13" x14ac:dyDescent="0.2">
      <c r="A1734" t="s">
        <v>569</v>
      </c>
      <c r="B1734" t="s">
        <v>71</v>
      </c>
      <c r="C1734" t="s">
        <v>72</v>
      </c>
      <c r="D1734">
        <v>4200</v>
      </c>
      <c r="E1734">
        <v>2019</v>
      </c>
      <c r="F1734">
        <v>1</v>
      </c>
      <c r="G1734">
        <v>20052</v>
      </c>
      <c r="H1734" s="1">
        <v>3</v>
      </c>
      <c r="I1734">
        <v>39</v>
      </c>
      <c r="J1734">
        <f>IF($H1734=0,1,IF($I1734&lt;=1,2,0))</f>
        <v>0</v>
      </c>
      <c r="K1734">
        <v>0</v>
      </c>
      <c r="L1734">
        <f>IF(AND($J1734=0,$K1734=0),0,1)</f>
        <v>0</v>
      </c>
    </row>
    <row r="1735" spans="1:13" x14ac:dyDescent="0.2">
      <c r="A1735" t="s">
        <v>569</v>
      </c>
      <c r="B1735" t="s">
        <v>71</v>
      </c>
      <c r="C1735" t="s">
        <v>72</v>
      </c>
      <c r="D1735">
        <v>4200</v>
      </c>
      <c r="E1735">
        <v>2019</v>
      </c>
      <c r="F1735" t="s">
        <v>84</v>
      </c>
      <c r="G1735">
        <v>16421</v>
      </c>
      <c r="H1735" s="1">
        <v>3</v>
      </c>
      <c r="I1735">
        <v>3</v>
      </c>
      <c r="J1735">
        <f>IF($H1735=0,1,IF($I1735&lt;=1,2,0))</f>
        <v>0</v>
      </c>
      <c r="K1735">
        <v>0</v>
      </c>
      <c r="L1735">
        <f>IF(AND($J1735=0,$K1735=0),0,1)</f>
        <v>0</v>
      </c>
      <c r="M1735" t="s">
        <v>85</v>
      </c>
    </row>
    <row r="1736" spans="1:13" x14ac:dyDescent="0.2">
      <c r="A1736" t="s">
        <v>569</v>
      </c>
      <c r="B1736" t="s">
        <v>71</v>
      </c>
      <c r="C1736" t="s">
        <v>72</v>
      </c>
      <c r="D1736">
        <v>4206</v>
      </c>
      <c r="E1736">
        <v>2019</v>
      </c>
      <c r="F1736">
        <v>1</v>
      </c>
      <c r="G1736">
        <v>99935</v>
      </c>
      <c r="H1736" s="1">
        <v>3</v>
      </c>
      <c r="I1736">
        <v>27</v>
      </c>
      <c r="J1736">
        <f>IF($H1736=0,1,IF($I1736&lt;=1,2,0))</f>
        <v>0</v>
      </c>
      <c r="K1736">
        <v>0</v>
      </c>
      <c r="L1736">
        <f>IF(AND($J1736=0,$K1736=0),0,1)</f>
        <v>0</v>
      </c>
    </row>
    <row r="1737" spans="1:13" x14ac:dyDescent="0.2">
      <c r="A1737" t="s">
        <v>569</v>
      </c>
      <c r="B1737" t="s">
        <v>71</v>
      </c>
      <c r="C1737" t="s">
        <v>72</v>
      </c>
      <c r="D1737">
        <v>4206</v>
      </c>
      <c r="E1737">
        <v>2019</v>
      </c>
      <c r="F1737" t="s">
        <v>84</v>
      </c>
      <c r="G1737">
        <v>16422</v>
      </c>
      <c r="H1737" s="1">
        <v>3</v>
      </c>
      <c r="I1737">
        <v>4</v>
      </c>
      <c r="J1737">
        <f>IF($H1737=0,1,IF($I1737&lt;=1,2,0))</f>
        <v>0</v>
      </c>
      <c r="K1737">
        <v>0</v>
      </c>
      <c r="L1737">
        <f>IF(AND($J1737=0,$K1737=0),0,1)</f>
        <v>0</v>
      </c>
      <c r="M1737" t="s">
        <v>85</v>
      </c>
    </row>
    <row r="1738" spans="1:13" x14ac:dyDescent="0.2">
      <c r="A1738" t="s">
        <v>569</v>
      </c>
      <c r="B1738" t="s">
        <v>71</v>
      </c>
      <c r="C1738" t="s">
        <v>72</v>
      </c>
      <c r="D1738">
        <v>4301</v>
      </c>
      <c r="E1738">
        <v>2019</v>
      </c>
      <c r="F1738">
        <v>1</v>
      </c>
      <c r="G1738">
        <v>20051</v>
      </c>
      <c r="H1738" s="1">
        <v>3</v>
      </c>
      <c r="I1738">
        <v>12</v>
      </c>
      <c r="J1738">
        <f>IF($H1738=0,1,IF($I1738&lt;=1,2,0))</f>
        <v>0</v>
      </c>
      <c r="K1738">
        <v>0</v>
      </c>
      <c r="L1738">
        <f>IF(AND($J1738=0,$K1738=0),0,1)</f>
        <v>0</v>
      </c>
      <c r="M1738" t="s">
        <v>1945</v>
      </c>
    </row>
    <row r="1739" spans="1:13" x14ac:dyDescent="0.2">
      <c r="A1739" t="s">
        <v>569</v>
      </c>
      <c r="B1739" t="s">
        <v>71</v>
      </c>
      <c r="C1739" t="s">
        <v>72</v>
      </c>
      <c r="D1739">
        <v>6273</v>
      </c>
      <c r="E1739">
        <v>2019</v>
      </c>
      <c r="F1739">
        <v>14</v>
      </c>
      <c r="G1739">
        <v>99921</v>
      </c>
      <c r="H1739" s="1" t="s">
        <v>1836</v>
      </c>
      <c r="I1739">
        <v>3</v>
      </c>
      <c r="J1739">
        <f>IF($H1739=0,1,IF($I1739&lt;=1,2,0))</f>
        <v>0</v>
      </c>
      <c r="K1739">
        <v>0</v>
      </c>
      <c r="L1739">
        <f>IF(AND($J1739=0,$K1739=0),0,1)</f>
        <v>0</v>
      </c>
    </row>
    <row r="1740" spans="1:13" x14ac:dyDescent="0.2">
      <c r="A1740" t="s">
        <v>570</v>
      </c>
      <c r="B1740" t="s">
        <v>17</v>
      </c>
      <c r="C1740" t="s">
        <v>21</v>
      </c>
      <c r="D1740">
        <v>1002</v>
      </c>
      <c r="E1740">
        <v>2019</v>
      </c>
      <c r="F1740">
        <v>1</v>
      </c>
      <c r="G1740">
        <v>99603</v>
      </c>
      <c r="H1740" s="1">
        <v>3</v>
      </c>
      <c r="I1740">
        <v>25</v>
      </c>
      <c r="J1740">
        <f>IF($H1740=0,1,IF($I1740&lt;=1,2,0))</f>
        <v>0</v>
      </c>
      <c r="K1740">
        <v>0</v>
      </c>
      <c r="L1740">
        <f>IF(AND($J1740=0,$K1740=0),0,1)</f>
        <v>0</v>
      </c>
    </row>
    <row r="1741" spans="1:13" x14ac:dyDescent="0.2">
      <c r="A1741" t="s">
        <v>570</v>
      </c>
      <c r="B1741" t="s">
        <v>17</v>
      </c>
      <c r="C1741" t="s">
        <v>21</v>
      </c>
      <c r="D1741">
        <v>1002</v>
      </c>
      <c r="E1741">
        <v>2019</v>
      </c>
      <c r="F1741">
        <v>2</v>
      </c>
      <c r="G1741">
        <v>99602</v>
      </c>
      <c r="H1741" s="1">
        <v>3</v>
      </c>
      <c r="I1741">
        <v>10</v>
      </c>
      <c r="J1741">
        <f>IF($H1741=0,1,IF($I1741&lt;=1,2,0))</f>
        <v>0</v>
      </c>
      <c r="K1741">
        <v>0</v>
      </c>
      <c r="L1741">
        <f>IF(AND($J1741=0,$K1741=0),0,1)</f>
        <v>0</v>
      </c>
    </row>
    <row r="1742" spans="1:13" x14ac:dyDescent="0.2">
      <c r="A1742" t="s">
        <v>570</v>
      </c>
      <c r="B1742" t="s">
        <v>17</v>
      </c>
      <c r="C1742" t="s">
        <v>21</v>
      </c>
      <c r="D1742">
        <v>1312</v>
      </c>
      <c r="E1742">
        <v>2019</v>
      </c>
      <c r="F1742">
        <v>1</v>
      </c>
      <c r="G1742">
        <v>99463</v>
      </c>
      <c r="H1742" s="1">
        <v>1</v>
      </c>
      <c r="I1742">
        <v>7</v>
      </c>
      <c r="J1742">
        <f>IF($H1742=0,1,IF($I1742&lt;=1,2,0))</f>
        <v>0</v>
      </c>
      <c r="K1742">
        <v>0</v>
      </c>
      <c r="L1742">
        <f>IF(AND($J1742=0,$K1742=0),0,1)</f>
        <v>0</v>
      </c>
      <c r="M1742" t="s">
        <v>571</v>
      </c>
    </row>
    <row r="1743" spans="1:13" x14ac:dyDescent="0.2">
      <c r="A1743" t="s">
        <v>570</v>
      </c>
      <c r="B1743" t="s">
        <v>17</v>
      </c>
      <c r="C1743" t="s">
        <v>21</v>
      </c>
      <c r="D1743">
        <v>1312</v>
      </c>
      <c r="E1743">
        <v>2019</v>
      </c>
      <c r="F1743">
        <v>2</v>
      </c>
      <c r="G1743">
        <v>99462</v>
      </c>
      <c r="H1743" s="1">
        <v>1</v>
      </c>
      <c r="I1743">
        <v>5</v>
      </c>
      <c r="J1743">
        <f>IF($H1743=0,1,IF($I1743&lt;=1,2,0))</f>
        <v>0</v>
      </c>
      <c r="K1743">
        <v>0</v>
      </c>
      <c r="L1743">
        <f>IF(AND($J1743=0,$K1743=0),0,1)</f>
        <v>0</v>
      </c>
      <c r="M1743" t="s">
        <v>571</v>
      </c>
    </row>
    <row r="1744" spans="1:13" x14ac:dyDescent="0.2">
      <c r="A1744" t="s">
        <v>570</v>
      </c>
      <c r="B1744" t="s">
        <v>17</v>
      </c>
      <c r="C1744" t="s">
        <v>9</v>
      </c>
      <c r="D1744">
        <v>1518</v>
      </c>
      <c r="E1744">
        <v>2019</v>
      </c>
      <c r="F1744">
        <v>1</v>
      </c>
      <c r="G1744">
        <v>99601</v>
      </c>
      <c r="H1744" s="1">
        <v>1</v>
      </c>
      <c r="I1744">
        <v>3</v>
      </c>
      <c r="J1744">
        <f>IF($H1744=0,1,IF($I1744&lt;=1,2,0))</f>
        <v>0</v>
      </c>
      <c r="K1744">
        <v>0</v>
      </c>
      <c r="L1744">
        <f>IF(AND($J1744=0,$K1744=0),0,1)</f>
        <v>0</v>
      </c>
    </row>
    <row r="1745" spans="1:13" x14ac:dyDescent="0.2">
      <c r="A1745" t="s">
        <v>570</v>
      </c>
      <c r="B1745" t="s">
        <v>17</v>
      </c>
      <c r="C1745" t="s">
        <v>21</v>
      </c>
      <c r="D1745">
        <v>1593</v>
      </c>
      <c r="E1745">
        <v>2019</v>
      </c>
      <c r="F1745">
        <v>1</v>
      </c>
      <c r="G1745">
        <v>8858</v>
      </c>
      <c r="H1745" s="1">
        <v>1</v>
      </c>
      <c r="I1745">
        <v>18</v>
      </c>
      <c r="J1745">
        <f>IF($H1745=0,1,IF($I1745&lt;=1,2,0))</f>
        <v>0</v>
      </c>
      <c r="K1745">
        <v>0</v>
      </c>
      <c r="L1745">
        <f>IF(AND($J1745=0,$K1745=0),0,1)</f>
        <v>0</v>
      </c>
      <c r="M1745" t="s">
        <v>573</v>
      </c>
    </row>
    <row r="1746" spans="1:13" x14ac:dyDescent="0.2">
      <c r="A1746" t="s">
        <v>570</v>
      </c>
      <c r="B1746" t="s">
        <v>17</v>
      </c>
      <c r="C1746" t="s">
        <v>21</v>
      </c>
      <c r="D1746">
        <v>1595</v>
      </c>
      <c r="E1746">
        <v>2019</v>
      </c>
      <c r="F1746">
        <v>1</v>
      </c>
      <c r="G1746">
        <v>8852</v>
      </c>
      <c r="H1746" s="1">
        <v>1</v>
      </c>
      <c r="I1746">
        <v>5</v>
      </c>
      <c r="J1746">
        <f>IF($H1746=0,1,IF($I1746&lt;=1,2,0))</f>
        <v>0</v>
      </c>
      <c r="K1746">
        <v>0</v>
      </c>
      <c r="L1746">
        <f>IF(AND($J1746=0,$K1746=0),0,1)</f>
        <v>0</v>
      </c>
      <c r="M1746" t="s">
        <v>574</v>
      </c>
    </row>
    <row r="1747" spans="1:13" x14ac:dyDescent="0.2">
      <c r="A1747" t="s">
        <v>570</v>
      </c>
      <c r="B1747" t="s">
        <v>17</v>
      </c>
      <c r="C1747" t="s">
        <v>21</v>
      </c>
      <c r="D1747">
        <v>2021</v>
      </c>
      <c r="E1747">
        <v>2019</v>
      </c>
      <c r="F1747">
        <v>1</v>
      </c>
      <c r="G1747">
        <v>99461</v>
      </c>
      <c r="H1747" s="1">
        <v>3</v>
      </c>
      <c r="I1747">
        <v>5</v>
      </c>
      <c r="J1747">
        <f>IF($H1747=0,1,IF($I1747&lt;=1,2,0))</f>
        <v>0</v>
      </c>
      <c r="K1747">
        <v>0</v>
      </c>
      <c r="L1747">
        <f>IF(AND($J1747=0,$K1747=0),0,1)</f>
        <v>0</v>
      </c>
    </row>
    <row r="1748" spans="1:13" x14ac:dyDescent="0.2">
      <c r="A1748" t="s">
        <v>570</v>
      </c>
      <c r="B1748" t="s">
        <v>17</v>
      </c>
      <c r="C1748" t="s">
        <v>21</v>
      </c>
      <c r="D1748">
        <v>2030</v>
      </c>
      <c r="E1748">
        <v>2019</v>
      </c>
      <c r="F1748">
        <v>1</v>
      </c>
      <c r="G1748">
        <v>99460</v>
      </c>
      <c r="H1748" s="1">
        <v>3</v>
      </c>
      <c r="I1748">
        <v>16</v>
      </c>
      <c r="J1748">
        <f>IF($H1748=0,1,IF($I1748&lt;=1,2,0))</f>
        <v>0</v>
      </c>
      <c r="K1748">
        <v>0</v>
      </c>
      <c r="L1748">
        <f>IF(AND($J1748=0,$K1748=0),0,1)</f>
        <v>0</v>
      </c>
    </row>
    <row r="1749" spans="1:13" x14ac:dyDescent="0.2">
      <c r="A1749" t="s">
        <v>570</v>
      </c>
      <c r="B1749" t="s">
        <v>17</v>
      </c>
      <c r="C1749" t="s">
        <v>21</v>
      </c>
      <c r="D1749">
        <v>2205</v>
      </c>
      <c r="E1749">
        <v>2019</v>
      </c>
      <c r="F1749">
        <v>1</v>
      </c>
      <c r="G1749">
        <v>99542</v>
      </c>
      <c r="H1749" s="1">
        <v>3</v>
      </c>
      <c r="I1749">
        <v>15</v>
      </c>
      <c r="J1749">
        <f>IF($H1749=0,1,IF($I1749&lt;=1,2,0))</f>
        <v>0</v>
      </c>
      <c r="K1749">
        <v>0</v>
      </c>
      <c r="L1749">
        <f>IF(AND($J1749=0,$K1749=0),0,1)</f>
        <v>0</v>
      </c>
    </row>
    <row r="1750" spans="1:13" x14ac:dyDescent="0.2">
      <c r="A1750" t="s">
        <v>570</v>
      </c>
      <c r="B1750" t="s">
        <v>17</v>
      </c>
      <c r="C1750" t="s">
        <v>21</v>
      </c>
      <c r="D1750">
        <v>2314</v>
      </c>
      <c r="E1750">
        <v>2019</v>
      </c>
      <c r="F1750">
        <v>1</v>
      </c>
      <c r="G1750">
        <v>99459</v>
      </c>
      <c r="H1750" s="1">
        <v>1</v>
      </c>
      <c r="I1750">
        <v>9</v>
      </c>
      <c r="J1750">
        <f>IF($H1750=0,1,IF($I1750&lt;=1,2,0))</f>
        <v>0</v>
      </c>
      <c r="K1750">
        <v>0</v>
      </c>
      <c r="L1750">
        <f>IF(AND($J1750=0,$K1750=0),0,1)</f>
        <v>0</v>
      </c>
      <c r="M1750" t="s">
        <v>571</v>
      </c>
    </row>
    <row r="1751" spans="1:13" x14ac:dyDescent="0.2">
      <c r="A1751" t="s">
        <v>570</v>
      </c>
      <c r="B1751" t="s">
        <v>17</v>
      </c>
      <c r="C1751" t="s">
        <v>21</v>
      </c>
      <c r="D1751">
        <v>2314</v>
      </c>
      <c r="E1751">
        <v>2019</v>
      </c>
      <c r="F1751">
        <v>2</v>
      </c>
      <c r="G1751">
        <v>99458</v>
      </c>
      <c r="H1751" s="1">
        <v>1</v>
      </c>
      <c r="I1751">
        <v>7</v>
      </c>
      <c r="J1751">
        <f>IF($H1751=0,1,IF($I1751&lt;=1,2,0))</f>
        <v>0</v>
      </c>
      <c r="K1751">
        <v>0</v>
      </c>
      <c r="L1751">
        <f>IF(AND($J1751=0,$K1751=0),0,1)</f>
        <v>0</v>
      </c>
      <c r="M1751" t="s">
        <v>571</v>
      </c>
    </row>
    <row r="1752" spans="1:13" x14ac:dyDescent="0.2">
      <c r="A1752" t="s">
        <v>570</v>
      </c>
      <c r="B1752" t="s">
        <v>17</v>
      </c>
      <c r="C1752" t="s">
        <v>21</v>
      </c>
      <c r="D1752">
        <v>2315</v>
      </c>
      <c r="E1752">
        <v>2019</v>
      </c>
      <c r="F1752">
        <v>1</v>
      </c>
      <c r="G1752">
        <v>99541</v>
      </c>
      <c r="H1752" s="1">
        <v>1</v>
      </c>
      <c r="I1752">
        <v>8</v>
      </c>
      <c r="J1752">
        <f>IF($H1752=0,1,IF($I1752&lt;=1,2,0))</f>
        <v>0</v>
      </c>
      <c r="K1752">
        <v>0</v>
      </c>
      <c r="L1752">
        <f>IF(AND($J1752=0,$K1752=0),0,1)</f>
        <v>0</v>
      </c>
      <c r="M1752" t="s">
        <v>571</v>
      </c>
    </row>
    <row r="1753" spans="1:13" x14ac:dyDescent="0.2">
      <c r="A1753" t="s">
        <v>570</v>
      </c>
      <c r="B1753" t="s">
        <v>17</v>
      </c>
      <c r="C1753" t="s">
        <v>21</v>
      </c>
      <c r="D1753">
        <v>2315</v>
      </c>
      <c r="E1753">
        <v>2019</v>
      </c>
      <c r="F1753">
        <v>2</v>
      </c>
      <c r="G1753">
        <v>99540</v>
      </c>
      <c r="H1753" s="1">
        <v>1</v>
      </c>
      <c r="I1753">
        <v>5</v>
      </c>
      <c r="J1753">
        <f>IF($H1753=0,1,IF($I1753&lt;=1,2,0))</f>
        <v>0</v>
      </c>
      <c r="K1753">
        <v>0</v>
      </c>
      <c r="L1753">
        <f>IF(AND($J1753=0,$K1753=0),0,1)</f>
        <v>0</v>
      </c>
      <c r="M1753" t="s">
        <v>571</v>
      </c>
    </row>
    <row r="1754" spans="1:13" x14ac:dyDescent="0.2">
      <c r="A1754" t="s">
        <v>570</v>
      </c>
      <c r="B1754" t="s">
        <v>17</v>
      </c>
      <c r="C1754" t="s">
        <v>21</v>
      </c>
      <c r="D1754">
        <v>2318</v>
      </c>
      <c r="E1754">
        <v>2019</v>
      </c>
      <c r="F1754">
        <v>1</v>
      </c>
      <c r="G1754">
        <v>99457</v>
      </c>
      <c r="H1754" s="1">
        <v>3</v>
      </c>
      <c r="I1754">
        <v>12</v>
      </c>
      <c r="J1754">
        <f>IF($H1754=0,1,IF($I1754&lt;=1,2,0))</f>
        <v>0</v>
      </c>
      <c r="K1754">
        <v>0</v>
      </c>
      <c r="L1754">
        <f>IF(AND($J1754=0,$K1754=0),0,1)</f>
        <v>0</v>
      </c>
      <c r="M1754" t="s">
        <v>575</v>
      </c>
    </row>
    <row r="1755" spans="1:13" x14ac:dyDescent="0.2">
      <c r="A1755" t="s">
        <v>570</v>
      </c>
      <c r="B1755" t="s">
        <v>17</v>
      </c>
      <c r="C1755" t="s">
        <v>21</v>
      </c>
      <c r="D1755">
        <v>2318</v>
      </c>
      <c r="E1755">
        <v>2019</v>
      </c>
      <c r="F1755">
        <v>2</v>
      </c>
      <c r="G1755">
        <v>99456</v>
      </c>
      <c r="H1755" s="1">
        <v>3</v>
      </c>
      <c r="I1755">
        <v>9</v>
      </c>
      <c r="J1755">
        <f>IF($H1755=0,1,IF($I1755&lt;=1,2,0))</f>
        <v>0</v>
      </c>
      <c r="K1755">
        <v>0</v>
      </c>
      <c r="L1755">
        <f>IF(AND($J1755=0,$K1755=0),0,1)</f>
        <v>0</v>
      </c>
      <c r="M1755" t="s">
        <v>575</v>
      </c>
    </row>
    <row r="1756" spans="1:13" x14ac:dyDescent="0.2">
      <c r="A1756" t="s">
        <v>570</v>
      </c>
      <c r="B1756" t="s">
        <v>17</v>
      </c>
      <c r="C1756" t="s">
        <v>21</v>
      </c>
      <c r="D1756">
        <v>2319</v>
      </c>
      <c r="E1756">
        <v>2019</v>
      </c>
      <c r="F1756">
        <v>1</v>
      </c>
      <c r="G1756">
        <v>99502</v>
      </c>
      <c r="H1756" s="1">
        <v>3</v>
      </c>
      <c r="I1756">
        <v>11</v>
      </c>
      <c r="J1756">
        <f>IF($H1756=0,1,IF($I1756&lt;=1,2,0))</f>
        <v>0</v>
      </c>
      <c r="K1756">
        <v>0</v>
      </c>
      <c r="L1756">
        <f>IF(AND($J1756=0,$K1756=0),0,1)</f>
        <v>0</v>
      </c>
    </row>
    <row r="1757" spans="1:13" x14ac:dyDescent="0.2">
      <c r="A1757" t="s">
        <v>570</v>
      </c>
      <c r="B1757" t="s">
        <v>17</v>
      </c>
      <c r="C1757" t="s">
        <v>21</v>
      </c>
      <c r="D1757">
        <v>2582</v>
      </c>
      <c r="E1757">
        <v>2019</v>
      </c>
      <c r="F1757">
        <v>1</v>
      </c>
      <c r="G1757">
        <v>39501</v>
      </c>
      <c r="H1757" s="1">
        <v>3</v>
      </c>
      <c r="I1757">
        <v>11</v>
      </c>
      <c r="J1757">
        <f>IF($H1757=0,1,IF($I1757&lt;=1,2,0))</f>
        <v>0</v>
      </c>
      <c r="K1757">
        <v>0</v>
      </c>
      <c r="L1757">
        <f>IF(AND($J1757=0,$K1757=0),0,1)</f>
        <v>0</v>
      </c>
    </row>
    <row r="1758" spans="1:13" x14ac:dyDescent="0.2">
      <c r="A1758" t="s">
        <v>570</v>
      </c>
      <c r="B1758" t="s">
        <v>17</v>
      </c>
      <c r="C1758" t="s">
        <v>21</v>
      </c>
      <c r="D1758">
        <v>3023</v>
      </c>
      <c r="E1758">
        <v>2019</v>
      </c>
      <c r="F1758">
        <v>1</v>
      </c>
      <c r="G1758">
        <v>39502</v>
      </c>
      <c r="H1758" s="1">
        <v>3</v>
      </c>
      <c r="I1758">
        <v>5</v>
      </c>
      <c r="J1758">
        <f>IF($H1758=0,1,IF($I1758&lt;=1,2,0))</f>
        <v>0</v>
      </c>
      <c r="K1758">
        <v>0</v>
      </c>
      <c r="L1758">
        <f>IF(AND($J1758=0,$K1758=0),0,1)</f>
        <v>0</v>
      </c>
    </row>
    <row r="1759" spans="1:13" x14ac:dyDescent="0.2">
      <c r="A1759" t="s">
        <v>570</v>
      </c>
      <c r="B1759" t="s">
        <v>17</v>
      </c>
      <c r="C1759" t="s">
        <v>21</v>
      </c>
      <c r="D1759">
        <v>3128</v>
      </c>
      <c r="E1759">
        <v>2019</v>
      </c>
      <c r="F1759">
        <v>1</v>
      </c>
      <c r="G1759">
        <v>99539</v>
      </c>
      <c r="H1759" s="1">
        <v>3</v>
      </c>
      <c r="I1759">
        <v>17</v>
      </c>
      <c r="J1759">
        <f>IF($H1759=0,1,IF($I1759&lt;=1,2,0))</f>
        <v>0</v>
      </c>
      <c r="K1759">
        <v>0</v>
      </c>
      <c r="L1759">
        <f>IF(AND($J1759=0,$K1759=0),0,1)</f>
        <v>0</v>
      </c>
    </row>
    <row r="1760" spans="1:13" x14ac:dyDescent="0.2">
      <c r="A1760" t="s">
        <v>570</v>
      </c>
      <c r="B1760" t="s">
        <v>17</v>
      </c>
      <c r="C1760" t="s">
        <v>21</v>
      </c>
      <c r="D1760">
        <v>3171</v>
      </c>
      <c r="E1760">
        <v>2019</v>
      </c>
      <c r="F1760">
        <v>1</v>
      </c>
      <c r="G1760">
        <v>39503</v>
      </c>
      <c r="H1760" s="1">
        <v>3</v>
      </c>
      <c r="I1760">
        <v>10</v>
      </c>
      <c r="J1760">
        <f>IF($H1760=0,1,IF($I1760&lt;=1,2,0))</f>
        <v>0</v>
      </c>
      <c r="K1760">
        <v>0</v>
      </c>
      <c r="L1760">
        <f>IF(AND($J1760=0,$K1760=0),0,1)</f>
        <v>0</v>
      </c>
    </row>
    <row r="1761" spans="1:13" x14ac:dyDescent="0.2">
      <c r="A1761" t="s">
        <v>570</v>
      </c>
      <c r="B1761" t="s">
        <v>17</v>
      </c>
      <c r="C1761" t="s">
        <v>21</v>
      </c>
      <c r="D1761">
        <v>3241</v>
      </c>
      <c r="E1761">
        <v>2019</v>
      </c>
      <c r="F1761">
        <v>1</v>
      </c>
      <c r="G1761">
        <v>99455</v>
      </c>
      <c r="H1761" s="1">
        <v>3</v>
      </c>
      <c r="I1761">
        <v>5</v>
      </c>
      <c r="J1761">
        <f>IF($H1761=0,1,IF($I1761&lt;=1,2,0))</f>
        <v>0</v>
      </c>
      <c r="K1761">
        <v>0</v>
      </c>
      <c r="L1761">
        <f>IF(AND($J1761=0,$K1761=0),0,1)</f>
        <v>0</v>
      </c>
    </row>
    <row r="1762" spans="1:13" x14ac:dyDescent="0.2">
      <c r="A1762" t="s">
        <v>570</v>
      </c>
      <c r="B1762" t="s">
        <v>17</v>
      </c>
      <c r="C1762" t="s">
        <v>21</v>
      </c>
      <c r="D1762">
        <v>3310</v>
      </c>
      <c r="E1762">
        <v>2019</v>
      </c>
      <c r="F1762">
        <v>1</v>
      </c>
      <c r="G1762">
        <v>10655</v>
      </c>
      <c r="H1762" s="1">
        <v>3</v>
      </c>
      <c r="I1762">
        <v>2</v>
      </c>
      <c r="J1762">
        <f>IF($H1762=0,1,IF($I1762&lt;=1,2,0))</f>
        <v>0</v>
      </c>
      <c r="K1762">
        <v>0</v>
      </c>
      <c r="L1762">
        <f>IF(AND($J1762=0,$K1762=0),0,1)</f>
        <v>0</v>
      </c>
    </row>
    <row r="1763" spans="1:13" x14ac:dyDescent="0.2">
      <c r="A1763" t="s">
        <v>570</v>
      </c>
      <c r="B1763" t="s">
        <v>17</v>
      </c>
      <c r="C1763" t="s">
        <v>21</v>
      </c>
      <c r="D1763">
        <v>3316</v>
      </c>
      <c r="E1763">
        <v>2019</v>
      </c>
      <c r="F1763">
        <v>1</v>
      </c>
      <c r="G1763">
        <v>99598</v>
      </c>
      <c r="H1763" s="1">
        <v>1</v>
      </c>
      <c r="I1763">
        <v>10</v>
      </c>
      <c r="J1763">
        <f>IF($H1763=0,1,IF($I1763&lt;=1,2,0))</f>
        <v>0</v>
      </c>
      <c r="K1763">
        <v>0</v>
      </c>
      <c r="L1763">
        <f>IF(AND($J1763=0,$K1763=0),0,1)</f>
        <v>0</v>
      </c>
      <c r="M1763" t="s">
        <v>571</v>
      </c>
    </row>
    <row r="1764" spans="1:13" x14ac:dyDescent="0.2">
      <c r="A1764" t="s">
        <v>570</v>
      </c>
      <c r="B1764" t="s">
        <v>17</v>
      </c>
      <c r="C1764" t="s">
        <v>21</v>
      </c>
      <c r="D1764">
        <v>3316</v>
      </c>
      <c r="E1764">
        <v>2019</v>
      </c>
      <c r="F1764">
        <v>2</v>
      </c>
      <c r="G1764">
        <v>99597</v>
      </c>
      <c r="H1764" s="1">
        <v>1</v>
      </c>
      <c r="I1764">
        <v>8</v>
      </c>
      <c r="J1764">
        <f>IF($H1764=0,1,IF($I1764&lt;=1,2,0))</f>
        <v>0</v>
      </c>
      <c r="K1764">
        <v>0</v>
      </c>
      <c r="L1764">
        <f>IF(AND($J1764=0,$K1764=0),0,1)</f>
        <v>0</v>
      </c>
      <c r="M1764" t="s">
        <v>571</v>
      </c>
    </row>
    <row r="1765" spans="1:13" x14ac:dyDescent="0.2">
      <c r="A1765" t="s">
        <v>570</v>
      </c>
      <c r="B1765" t="s">
        <v>17</v>
      </c>
      <c r="C1765" t="s">
        <v>21</v>
      </c>
      <c r="D1765">
        <v>3317</v>
      </c>
      <c r="E1765">
        <v>2019</v>
      </c>
      <c r="F1765">
        <v>1</v>
      </c>
      <c r="G1765">
        <v>99538</v>
      </c>
      <c r="H1765" s="1">
        <v>1</v>
      </c>
      <c r="I1765">
        <v>6</v>
      </c>
      <c r="J1765">
        <f>IF($H1765=0,1,IF($I1765&lt;=1,2,0))</f>
        <v>0</v>
      </c>
      <c r="K1765">
        <v>0</v>
      </c>
      <c r="L1765">
        <f>IF(AND($J1765=0,$K1765=0),0,1)</f>
        <v>0</v>
      </c>
      <c r="M1765" t="s">
        <v>571</v>
      </c>
    </row>
    <row r="1766" spans="1:13" x14ac:dyDescent="0.2">
      <c r="A1766" t="s">
        <v>570</v>
      </c>
      <c r="B1766" t="s">
        <v>17</v>
      </c>
      <c r="C1766" t="s">
        <v>21</v>
      </c>
      <c r="D1766">
        <v>3317</v>
      </c>
      <c r="E1766">
        <v>2019</v>
      </c>
      <c r="F1766">
        <v>2</v>
      </c>
      <c r="G1766">
        <v>99537</v>
      </c>
      <c r="H1766" s="1">
        <v>1</v>
      </c>
      <c r="I1766">
        <v>3</v>
      </c>
      <c r="J1766">
        <f>IF($H1766=0,1,IF($I1766&lt;=1,2,0))</f>
        <v>0</v>
      </c>
      <c r="K1766">
        <v>0</v>
      </c>
      <c r="L1766">
        <f>IF(AND($J1766=0,$K1766=0),0,1)</f>
        <v>0</v>
      </c>
      <c r="M1766" t="s">
        <v>571</v>
      </c>
    </row>
    <row r="1767" spans="1:13" x14ac:dyDescent="0.2">
      <c r="A1767" t="s">
        <v>570</v>
      </c>
      <c r="B1767" t="s">
        <v>17</v>
      </c>
      <c r="C1767" t="s">
        <v>21</v>
      </c>
      <c r="D1767">
        <v>3321</v>
      </c>
      <c r="E1767">
        <v>2019</v>
      </c>
      <c r="F1767">
        <v>1</v>
      </c>
      <c r="G1767">
        <v>99448</v>
      </c>
      <c r="H1767" s="1">
        <v>3</v>
      </c>
      <c r="I1767">
        <v>5</v>
      </c>
      <c r="J1767">
        <f>IF($H1767=0,1,IF($I1767&lt;=1,2,0))</f>
        <v>0</v>
      </c>
      <c r="K1767">
        <v>0</v>
      </c>
      <c r="L1767">
        <f>IF(AND($J1767=0,$K1767=0),0,1)</f>
        <v>0</v>
      </c>
    </row>
    <row r="1768" spans="1:13" x14ac:dyDescent="0.2">
      <c r="A1768" t="s">
        <v>570</v>
      </c>
      <c r="B1768" t="s">
        <v>17</v>
      </c>
      <c r="C1768" t="s">
        <v>21</v>
      </c>
      <c r="D1768">
        <v>3322</v>
      </c>
      <c r="E1768">
        <v>2019</v>
      </c>
      <c r="F1768">
        <v>1</v>
      </c>
      <c r="G1768">
        <v>99453</v>
      </c>
      <c r="H1768" s="1">
        <v>3</v>
      </c>
      <c r="I1768">
        <v>11</v>
      </c>
      <c r="J1768">
        <f>IF($H1768=0,1,IF($I1768&lt;=1,2,0))</f>
        <v>0</v>
      </c>
      <c r="K1768">
        <v>0</v>
      </c>
      <c r="L1768">
        <f>IF(AND($J1768=0,$K1768=0),0,1)</f>
        <v>0</v>
      </c>
    </row>
    <row r="1769" spans="1:13" x14ac:dyDescent="0.2">
      <c r="A1769" t="s">
        <v>570</v>
      </c>
      <c r="B1769" t="s">
        <v>17</v>
      </c>
      <c r="C1769" t="s">
        <v>9</v>
      </c>
      <c r="D1769">
        <v>3344</v>
      </c>
      <c r="E1769">
        <v>2019</v>
      </c>
      <c r="F1769">
        <v>1</v>
      </c>
      <c r="G1769">
        <v>29208</v>
      </c>
      <c r="H1769" s="1">
        <v>3</v>
      </c>
      <c r="I1769">
        <v>10</v>
      </c>
      <c r="J1769">
        <f>IF($H1769=0,1,IF($I1769&lt;=1,2,0))</f>
        <v>0</v>
      </c>
      <c r="K1769">
        <v>0</v>
      </c>
      <c r="L1769">
        <f>IF(AND($J1769=0,$K1769=0),0,1)</f>
        <v>0</v>
      </c>
    </row>
    <row r="1770" spans="1:13" x14ac:dyDescent="0.2">
      <c r="A1770" t="s">
        <v>570</v>
      </c>
      <c r="B1770" t="s">
        <v>17</v>
      </c>
      <c r="C1770" t="s">
        <v>21</v>
      </c>
      <c r="D1770">
        <v>3400</v>
      </c>
      <c r="E1770">
        <v>2019</v>
      </c>
      <c r="F1770">
        <v>1</v>
      </c>
      <c r="G1770">
        <v>99469</v>
      </c>
      <c r="H1770" s="1">
        <v>3</v>
      </c>
      <c r="I1770">
        <v>11</v>
      </c>
      <c r="J1770">
        <f>IF($H1770=0,1,IF($I1770&lt;=1,2,0))</f>
        <v>0</v>
      </c>
      <c r="K1770">
        <v>0</v>
      </c>
      <c r="L1770">
        <f>IF(AND($J1770=0,$K1770=0),0,1)</f>
        <v>0</v>
      </c>
    </row>
    <row r="1771" spans="1:13" x14ac:dyDescent="0.2">
      <c r="A1771" t="s">
        <v>570</v>
      </c>
      <c r="B1771" t="s">
        <v>17</v>
      </c>
      <c r="C1771" t="s">
        <v>9</v>
      </c>
      <c r="D1771">
        <v>4318</v>
      </c>
      <c r="E1771">
        <v>2019</v>
      </c>
      <c r="F1771">
        <v>1</v>
      </c>
      <c r="G1771">
        <v>99570</v>
      </c>
      <c r="H1771" s="1">
        <v>1</v>
      </c>
      <c r="I1771">
        <v>5</v>
      </c>
      <c r="J1771">
        <f>IF($H1771=0,1,IF($I1771&lt;=1,2,0))</f>
        <v>0</v>
      </c>
      <c r="K1771">
        <v>0</v>
      </c>
      <c r="L1771">
        <f>IF(AND($J1771=0,$K1771=0),0,1)</f>
        <v>0</v>
      </c>
      <c r="M1771" t="s">
        <v>571</v>
      </c>
    </row>
    <row r="1772" spans="1:13" x14ac:dyDescent="0.2">
      <c r="A1772" t="s">
        <v>570</v>
      </c>
      <c r="B1772" t="s">
        <v>17</v>
      </c>
      <c r="C1772" t="s">
        <v>11</v>
      </c>
      <c r="D1772">
        <v>4360</v>
      </c>
      <c r="E1772">
        <v>2019</v>
      </c>
      <c r="F1772">
        <v>1</v>
      </c>
      <c r="G1772">
        <v>99583</v>
      </c>
      <c r="H1772" s="1">
        <v>3</v>
      </c>
      <c r="I1772">
        <v>7</v>
      </c>
      <c r="J1772">
        <f>IF($H1772=0,1,IF($I1772&lt;=1,2,0))</f>
        <v>0</v>
      </c>
      <c r="K1772">
        <v>0</v>
      </c>
      <c r="L1772">
        <f>IF(AND($J1772=0,$K1772=0),0,1)</f>
        <v>0</v>
      </c>
    </row>
    <row r="1773" spans="1:13" x14ac:dyDescent="0.2">
      <c r="A1773" t="s">
        <v>570</v>
      </c>
      <c r="B1773" t="s">
        <v>17</v>
      </c>
      <c r="C1773" t="s">
        <v>9</v>
      </c>
      <c r="D1773">
        <v>4525</v>
      </c>
      <c r="E1773">
        <v>2019</v>
      </c>
      <c r="F1773">
        <v>1</v>
      </c>
      <c r="G1773">
        <v>99569</v>
      </c>
      <c r="H1773" s="1">
        <v>3</v>
      </c>
      <c r="I1773">
        <v>3</v>
      </c>
      <c r="J1773">
        <f>IF($H1773=0,1,IF($I1773&lt;=1,2,0))</f>
        <v>0</v>
      </c>
      <c r="K1773">
        <v>0</v>
      </c>
      <c r="L1773">
        <f>IF(AND($J1773=0,$K1773=0),0,1)</f>
        <v>0</v>
      </c>
    </row>
    <row r="1774" spans="1:13" x14ac:dyDescent="0.2">
      <c r="A1774" t="s">
        <v>570</v>
      </c>
      <c r="B1774" t="s">
        <v>17</v>
      </c>
      <c r="C1774" t="s">
        <v>9</v>
      </c>
      <c r="D1774">
        <v>4630</v>
      </c>
      <c r="E1774">
        <v>2019</v>
      </c>
      <c r="F1774">
        <v>1</v>
      </c>
      <c r="G1774">
        <v>39504</v>
      </c>
      <c r="H1774" s="1">
        <v>3</v>
      </c>
      <c r="I1774">
        <v>12</v>
      </c>
      <c r="J1774">
        <f>IF($H1774=0,1,IF($I1774&lt;=1,2,0))</f>
        <v>0</v>
      </c>
      <c r="K1774">
        <v>0</v>
      </c>
      <c r="L1774">
        <f>IF(AND($J1774=0,$K1774=0),0,1)</f>
        <v>0</v>
      </c>
    </row>
    <row r="1775" spans="1:13" x14ac:dyDescent="0.2">
      <c r="A1775" t="s">
        <v>570</v>
      </c>
      <c r="B1775" t="s">
        <v>17</v>
      </c>
      <c r="C1775" t="s">
        <v>9</v>
      </c>
      <c r="D1775">
        <v>4802</v>
      </c>
      <c r="E1775">
        <v>2019</v>
      </c>
      <c r="F1775">
        <v>1</v>
      </c>
      <c r="G1775">
        <v>29209</v>
      </c>
      <c r="H1775" s="1">
        <v>3</v>
      </c>
      <c r="I1775">
        <v>11</v>
      </c>
      <c r="J1775">
        <f>IF($H1775=0,1,IF($I1775&lt;=1,2,0))</f>
        <v>0</v>
      </c>
      <c r="K1775">
        <v>0</v>
      </c>
      <c r="L1775">
        <f>IF(AND($J1775=0,$K1775=0),0,1)</f>
        <v>0</v>
      </c>
    </row>
    <row r="1776" spans="1:13" x14ac:dyDescent="0.2">
      <c r="A1776" t="s">
        <v>570</v>
      </c>
      <c r="B1776" t="s">
        <v>17</v>
      </c>
      <c r="C1776" t="s">
        <v>9</v>
      </c>
      <c r="D1776">
        <v>4810</v>
      </c>
      <c r="E1776">
        <v>2019</v>
      </c>
      <c r="F1776">
        <v>1</v>
      </c>
      <c r="G1776">
        <v>39510</v>
      </c>
      <c r="H1776" s="1">
        <v>3</v>
      </c>
      <c r="I1776">
        <v>12</v>
      </c>
      <c r="J1776">
        <f>IF($H1776=0,1,IF($I1776&lt;=1,2,0))</f>
        <v>0</v>
      </c>
      <c r="K1776">
        <v>0</v>
      </c>
      <c r="L1776">
        <f>IF(AND($J1776=0,$K1776=0),0,1)</f>
        <v>0</v>
      </c>
    </row>
    <row r="1777" spans="1:13" x14ac:dyDescent="0.2">
      <c r="A1777" t="s">
        <v>570</v>
      </c>
      <c r="B1777" t="s">
        <v>17</v>
      </c>
      <c r="C1777" t="s">
        <v>11</v>
      </c>
      <c r="D1777">
        <v>6379</v>
      </c>
      <c r="E1777">
        <v>2019</v>
      </c>
      <c r="F1777">
        <v>1</v>
      </c>
      <c r="G1777">
        <v>39505</v>
      </c>
      <c r="H1777" s="1">
        <v>3</v>
      </c>
      <c r="I1777">
        <v>9</v>
      </c>
      <c r="J1777">
        <f>IF($H1777=0,1,IF($I1777&lt;=1,2,0))</f>
        <v>0</v>
      </c>
      <c r="K1777">
        <v>0</v>
      </c>
      <c r="L1777">
        <f>IF(AND($J1777=0,$K1777=0),0,1)</f>
        <v>0</v>
      </c>
    </row>
    <row r="1778" spans="1:13" x14ac:dyDescent="0.2">
      <c r="A1778" t="s">
        <v>570</v>
      </c>
      <c r="B1778" t="s">
        <v>17</v>
      </c>
      <c r="C1778" t="s">
        <v>11</v>
      </c>
      <c r="D1778">
        <v>6411</v>
      </c>
      <c r="E1778">
        <v>2019</v>
      </c>
      <c r="F1778">
        <v>1</v>
      </c>
      <c r="G1778">
        <v>39506</v>
      </c>
      <c r="H1778" s="1">
        <v>3</v>
      </c>
      <c r="I1778">
        <v>10</v>
      </c>
      <c r="J1778">
        <f>IF($H1778=0,1,IF($I1778&lt;=1,2,0))</f>
        <v>0</v>
      </c>
      <c r="K1778">
        <v>0</v>
      </c>
      <c r="L1778">
        <f>IF(AND($J1778=0,$K1778=0),0,1)</f>
        <v>0</v>
      </c>
    </row>
    <row r="1779" spans="1:13" x14ac:dyDescent="0.2">
      <c r="A1779" t="s">
        <v>570</v>
      </c>
      <c r="B1779" t="s">
        <v>17</v>
      </c>
      <c r="C1779" t="s">
        <v>11</v>
      </c>
      <c r="D1779">
        <v>6610</v>
      </c>
      <c r="E1779">
        <v>2019</v>
      </c>
      <c r="F1779">
        <v>1</v>
      </c>
      <c r="G1779">
        <v>99465</v>
      </c>
      <c r="H1779" s="1">
        <v>3</v>
      </c>
      <c r="I1779">
        <v>12</v>
      </c>
      <c r="J1779">
        <f>IF($H1779=0,1,IF($I1779&lt;=1,2,0))</f>
        <v>0</v>
      </c>
      <c r="K1779">
        <v>0</v>
      </c>
      <c r="L1779">
        <f>IF(AND($J1779=0,$K1779=0),0,1)</f>
        <v>0</v>
      </c>
    </row>
    <row r="1780" spans="1:13" x14ac:dyDescent="0.2">
      <c r="A1780" t="s">
        <v>570</v>
      </c>
      <c r="B1780" t="s">
        <v>17</v>
      </c>
      <c r="C1780" t="s">
        <v>11</v>
      </c>
      <c r="D1780">
        <v>8109</v>
      </c>
      <c r="E1780">
        <v>2019</v>
      </c>
      <c r="F1780">
        <v>1</v>
      </c>
      <c r="G1780">
        <v>39507</v>
      </c>
      <c r="H1780" s="1">
        <v>3</v>
      </c>
      <c r="I1780">
        <v>6</v>
      </c>
      <c r="J1780">
        <f>IF($H1780=0,1,IF($I1780&lt;=1,2,0))</f>
        <v>0</v>
      </c>
      <c r="K1780">
        <v>0</v>
      </c>
      <c r="L1780">
        <f>IF(AND($J1780=0,$K1780=0),0,1)</f>
        <v>0</v>
      </c>
    </row>
    <row r="1781" spans="1:13" x14ac:dyDescent="0.2">
      <c r="A1781" t="s">
        <v>570</v>
      </c>
      <c r="B1781" t="s">
        <v>17</v>
      </c>
      <c r="C1781" t="s">
        <v>11</v>
      </c>
      <c r="D1781">
        <v>8231</v>
      </c>
      <c r="E1781">
        <v>2019</v>
      </c>
      <c r="F1781">
        <v>1</v>
      </c>
      <c r="G1781">
        <v>99500</v>
      </c>
      <c r="H1781" s="1">
        <v>3</v>
      </c>
      <c r="I1781">
        <v>13</v>
      </c>
      <c r="J1781">
        <f>IF($H1781=0,1,IF($I1781&lt;=1,2,0))</f>
        <v>0</v>
      </c>
      <c r="K1781">
        <v>0</v>
      </c>
      <c r="L1781">
        <f>IF(AND($J1781=0,$K1781=0),0,1)</f>
        <v>0</v>
      </c>
    </row>
    <row r="1782" spans="1:13" x14ac:dyDescent="0.2">
      <c r="A1782" t="s">
        <v>570</v>
      </c>
      <c r="B1782" t="s">
        <v>17</v>
      </c>
      <c r="C1782" t="s">
        <v>11</v>
      </c>
      <c r="D1782">
        <v>8340</v>
      </c>
      <c r="E1782">
        <v>2019</v>
      </c>
      <c r="F1782">
        <v>1</v>
      </c>
      <c r="G1782">
        <v>39508</v>
      </c>
      <c r="H1782" s="1">
        <v>3</v>
      </c>
      <c r="I1782">
        <v>5</v>
      </c>
      <c r="J1782">
        <f>IF($H1782=0,1,IF($I1782&lt;=1,2,0))</f>
        <v>0</v>
      </c>
      <c r="K1782">
        <v>0</v>
      </c>
      <c r="L1782">
        <f>IF(AND($J1782=0,$K1782=0),0,1)</f>
        <v>0</v>
      </c>
    </row>
    <row r="1783" spans="1:13" x14ac:dyDescent="0.2">
      <c r="A1783" t="s">
        <v>570</v>
      </c>
      <c r="B1783" t="s">
        <v>17</v>
      </c>
      <c r="C1783" t="s">
        <v>11</v>
      </c>
      <c r="D1783">
        <v>8412</v>
      </c>
      <c r="E1783">
        <v>2019</v>
      </c>
      <c r="F1783">
        <v>1</v>
      </c>
      <c r="G1783">
        <v>39509</v>
      </c>
      <c r="H1783" s="1">
        <v>3</v>
      </c>
      <c r="I1783">
        <v>4</v>
      </c>
      <c r="J1783">
        <f>IF($H1783=0,1,IF($I1783&lt;=1,2,0))</f>
        <v>0</v>
      </c>
      <c r="K1783">
        <v>0</v>
      </c>
      <c r="L1783">
        <f>IF(AND($J1783=0,$K1783=0),0,1)</f>
        <v>0</v>
      </c>
    </row>
    <row r="1784" spans="1:13" x14ac:dyDescent="0.2">
      <c r="A1784" t="s">
        <v>570</v>
      </c>
      <c r="B1784" t="s">
        <v>17</v>
      </c>
      <c r="C1784" t="s">
        <v>11</v>
      </c>
      <c r="D1784">
        <v>8419</v>
      </c>
      <c r="E1784">
        <v>2019</v>
      </c>
      <c r="F1784">
        <v>1</v>
      </c>
      <c r="G1784">
        <v>14188</v>
      </c>
      <c r="H1784" s="1">
        <v>4</v>
      </c>
      <c r="I1784">
        <v>3</v>
      </c>
      <c r="J1784">
        <f>IF($H1784=0,1,IF($I1784&lt;=1,2,0))</f>
        <v>0</v>
      </c>
      <c r="K1784">
        <v>0</v>
      </c>
      <c r="L1784">
        <f>IF(AND($J1784=0,$K1784=0),0,1)</f>
        <v>0</v>
      </c>
    </row>
    <row r="1785" spans="1:13" x14ac:dyDescent="0.2">
      <c r="A1785" t="s">
        <v>570</v>
      </c>
      <c r="B1785" t="s">
        <v>17</v>
      </c>
      <c r="C1785" t="s">
        <v>11</v>
      </c>
      <c r="D1785">
        <v>8480</v>
      </c>
      <c r="E1785">
        <v>2019</v>
      </c>
      <c r="F1785">
        <v>1</v>
      </c>
      <c r="G1785">
        <v>39513</v>
      </c>
      <c r="H1785" s="1">
        <v>3</v>
      </c>
      <c r="I1785">
        <v>9</v>
      </c>
      <c r="J1785">
        <f>IF($H1785=0,1,IF($I1785&lt;=1,2,0))</f>
        <v>0</v>
      </c>
      <c r="K1785">
        <v>0</v>
      </c>
      <c r="L1785">
        <f>IF(AND($J1785=0,$K1785=0),0,1)</f>
        <v>0</v>
      </c>
    </row>
    <row r="1786" spans="1:13" x14ac:dyDescent="0.2">
      <c r="A1786" t="s">
        <v>578</v>
      </c>
      <c r="B1786" t="s">
        <v>71</v>
      </c>
      <c r="C1786" t="s">
        <v>72</v>
      </c>
      <c r="D1786">
        <v>4500</v>
      </c>
      <c r="E1786">
        <v>2019</v>
      </c>
      <c r="F1786">
        <v>1</v>
      </c>
      <c r="G1786">
        <v>10289</v>
      </c>
      <c r="H1786" s="1">
        <v>3</v>
      </c>
      <c r="I1786">
        <v>48</v>
      </c>
      <c r="J1786">
        <f>IF($H1786=0,1,IF($I1786&lt;=1,2,0))</f>
        <v>0</v>
      </c>
      <c r="K1786">
        <v>0</v>
      </c>
      <c r="L1786">
        <f>IF(AND($J1786=0,$K1786=0),0,1)</f>
        <v>0</v>
      </c>
      <c r="M1786" t="s">
        <v>579</v>
      </c>
    </row>
    <row r="1787" spans="1:13" x14ac:dyDescent="0.2">
      <c r="A1787" t="s">
        <v>580</v>
      </c>
      <c r="B1787" t="s">
        <v>581</v>
      </c>
      <c r="C1787" t="s">
        <v>7</v>
      </c>
      <c r="D1787">
        <v>1001</v>
      </c>
      <c r="E1787">
        <v>2019</v>
      </c>
      <c r="F1787">
        <v>73</v>
      </c>
      <c r="G1787">
        <v>98117</v>
      </c>
      <c r="H1787" s="1">
        <v>1</v>
      </c>
      <c r="I1787">
        <v>45</v>
      </c>
      <c r="J1787">
        <f>IF($H1787=0,1,IF($I1787&lt;=1,2,0))</f>
        <v>0</v>
      </c>
      <c r="K1787">
        <v>0</v>
      </c>
      <c r="L1787">
        <f>IF(AND($J1787=0,$K1787=0),0,1)</f>
        <v>0</v>
      </c>
      <c r="M1787" t="s">
        <v>582</v>
      </c>
    </row>
    <row r="1788" spans="1:13" x14ac:dyDescent="0.2">
      <c r="A1788" t="s">
        <v>580</v>
      </c>
      <c r="B1788" t="s">
        <v>581</v>
      </c>
      <c r="C1788" t="s">
        <v>7</v>
      </c>
      <c r="D1788">
        <v>1001</v>
      </c>
      <c r="E1788">
        <v>2019</v>
      </c>
      <c r="F1788">
        <v>75</v>
      </c>
      <c r="G1788">
        <v>98115</v>
      </c>
      <c r="H1788" s="1">
        <v>1</v>
      </c>
      <c r="I1788">
        <v>36</v>
      </c>
      <c r="J1788">
        <f>IF($H1788=0,1,IF($I1788&lt;=1,2,0))</f>
        <v>0</v>
      </c>
      <c r="K1788">
        <v>0</v>
      </c>
      <c r="L1788">
        <f>IF(AND($J1788=0,$K1788=0),0,1)</f>
        <v>0</v>
      </c>
      <c r="M1788" t="s">
        <v>582</v>
      </c>
    </row>
    <row r="1789" spans="1:13" x14ac:dyDescent="0.2">
      <c r="A1789" t="s">
        <v>580</v>
      </c>
      <c r="B1789" t="s">
        <v>581</v>
      </c>
      <c r="C1789" t="s">
        <v>7</v>
      </c>
      <c r="D1789">
        <v>1001</v>
      </c>
      <c r="E1789">
        <v>2019</v>
      </c>
      <c r="F1789">
        <v>76</v>
      </c>
      <c r="G1789">
        <v>98114</v>
      </c>
      <c r="H1789" s="1">
        <v>1</v>
      </c>
      <c r="I1789">
        <v>33</v>
      </c>
      <c r="J1789">
        <f>IF($H1789=0,1,IF($I1789&lt;=1,2,0))</f>
        <v>0</v>
      </c>
      <c r="K1789">
        <v>0</v>
      </c>
      <c r="L1789">
        <f>IF(AND($J1789=0,$K1789=0),0,1)</f>
        <v>0</v>
      </c>
      <c r="M1789" t="s">
        <v>582</v>
      </c>
    </row>
    <row r="1790" spans="1:13" x14ac:dyDescent="0.2">
      <c r="A1790" t="s">
        <v>580</v>
      </c>
      <c r="B1790" t="s">
        <v>581</v>
      </c>
      <c r="C1790" t="s">
        <v>7</v>
      </c>
      <c r="D1790">
        <v>1001</v>
      </c>
      <c r="E1790">
        <v>2019</v>
      </c>
      <c r="F1790">
        <v>71</v>
      </c>
      <c r="G1790">
        <v>98119</v>
      </c>
      <c r="H1790" s="1">
        <v>1</v>
      </c>
      <c r="I1790">
        <v>29</v>
      </c>
      <c r="J1790">
        <f>IF($H1790=0,1,IF($I1790&lt;=1,2,0))</f>
        <v>0</v>
      </c>
      <c r="K1790">
        <v>0</v>
      </c>
      <c r="L1790">
        <f>IF(AND($J1790=0,$K1790=0),0,1)</f>
        <v>0</v>
      </c>
      <c r="M1790" t="s">
        <v>582</v>
      </c>
    </row>
    <row r="1791" spans="1:13" x14ac:dyDescent="0.2">
      <c r="A1791" t="s">
        <v>580</v>
      </c>
      <c r="B1791" t="s">
        <v>581</v>
      </c>
      <c r="C1791" t="s">
        <v>7</v>
      </c>
      <c r="D1791">
        <v>1001</v>
      </c>
      <c r="E1791">
        <v>2019</v>
      </c>
      <c r="F1791">
        <v>8</v>
      </c>
      <c r="G1791">
        <v>98179</v>
      </c>
      <c r="H1791" s="1">
        <v>1</v>
      </c>
      <c r="I1791">
        <v>28</v>
      </c>
      <c r="J1791">
        <f>IF($H1791=0,1,IF($I1791&lt;=1,2,0))</f>
        <v>0</v>
      </c>
      <c r="K1791">
        <v>0</v>
      </c>
      <c r="L1791">
        <f>IF(AND($J1791=0,$K1791=0),0,1)</f>
        <v>0</v>
      </c>
      <c r="M1791" t="s">
        <v>582</v>
      </c>
    </row>
    <row r="1792" spans="1:13" x14ac:dyDescent="0.2">
      <c r="A1792" t="s">
        <v>580</v>
      </c>
      <c r="B1792" t="s">
        <v>581</v>
      </c>
      <c r="C1792" t="s">
        <v>7</v>
      </c>
      <c r="D1792">
        <v>1001</v>
      </c>
      <c r="E1792">
        <v>2019</v>
      </c>
      <c r="F1792">
        <v>5</v>
      </c>
      <c r="G1792">
        <v>98184</v>
      </c>
      <c r="H1792" s="1">
        <v>1</v>
      </c>
      <c r="I1792">
        <v>27</v>
      </c>
      <c r="J1792">
        <f>IF($H1792=0,1,IF($I1792&lt;=1,2,0))</f>
        <v>0</v>
      </c>
      <c r="K1792">
        <v>0</v>
      </c>
      <c r="L1792">
        <f>IF(AND($J1792=0,$K1792=0),0,1)</f>
        <v>0</v>
      </c>
      <c r="M1792" t="s">
        <v>582</v>
      </c>
    </row>
    <row r="1793" spans="1:13" x14ac:dyDescent="0.2">
      <c r="A1793" t="s">
        <v>580</v>
      </c>
      <c r="B1793" t="s">
        <v>581</v>
      </c>
      <c r="C1793" t="s">
        <v>7</v>
      </c>
      <c r="D1793">
        <v>1001</v>
      </c>
      <c r="E1793">
        <v>2019</v>
      </c>
      <c r="F1793">
        <v>41</v>
      </c>
      <c r="G1793">
        <v>98142</v>
      </c>
      <c r="H1793" s="1">
        <v>1</v>
      </c>
      <c r="I1793">
        <v>27</v>
      </c>
      <c r="J1793">
        <f>IF($H1793=0,1,IF($I1793&lt;=1,2,0))</f>
        <v>0</v>
      </c>
      <c r="K1793">
        <v>0</v>
      </c>
      <c r="L1793">
        <f>IF(AND($J1793=0,$K1793=0),0,1)</f>
        <v>0</v>
      </c>
      <c r="M1793" t="s">
        <v>582</v>
      </c>
    </row>
    <row r="1794" spans="1:13" x14ac:dyDescent="0.2">
      <c r="A1794" t="s">
        <v>580</v>
      </c>
      <c r="B1794" t="s">
        <v>581</v>
      </c>
      <c r="C1794" t="s">
        <v>7</v>
      </c>
      <c r="D1794">
        <v>1001</v>
      </c>
      <c r="E1794">
        <v>2019</v>
      </c>
      <c r="F1794">
        <v>26</v>
      </c>
      <c r="G1794">
        <v>98155</v>
      </c>
      <c r="H1794" s="1">
        <v>1</v>
      </c>
      <c r="I1794">
        <v>26</v>
      </c>
      <c r="J1794">
        <f>IF($H1794=0,1,IF($I1794&lt;=1,2,0))</f>
        <v>0</v>
      </c>
      <c r="K1794">
        <v>0</v>
      </c>
      <c r="L1794">
        <f>IF(AND($J1794=0,$K1794=0),0,1)</f>
        <v>0</v>
      </c>
      <c r="M1794" t="s">
        <v>582</v>
      </c>
    </row>
    <row r="1795" spans="1:13" x14ac:dyDescent="0.2">
      <c r="A1795" t="s">
        <v>580</v>
      </c>
      <c r="B1795" t="s">
        <v>581</v>
      </c>
      <c r="C1795" t="s">
        <v>7</v>
      </c>
      <c r="D1795">
        <v>1001</v>
      </c>
      <c r="E1795">
        <v>2019</v>
      </c>
      <c r="F1795">
        <v>31</v>
      </c>
      <c r="G1795">
        <v>98151</v>
      </c>
      <c r="H1795" s="1">
        <v>1</v>
      </c>
      <c r="I1795">
        <v>26</v>
      </c>
      <c r="J1795">
        <f>IF($H1795=0,1,IF($I1795&lt;=1,2,0))</f>
        <v>0</v>
      </c>
      <c r="K1795">
        <v>0</v>
      </c>
      <c r="L1795">
        <f>IF(AND($J1795=0,$K1795=0),0,1)</f>
        <v>0</v>
      </c>
      <c r="M1795" t="s">
        <v>582</v>
      </c>
    </row>
    <row r="1796" spans="1:13" x14ac:dyDescent="0.2">
      <c r="A1796" t="s">
        <v>580</v>
      </c>
      <c r="B1796" t="s">
        <v>581</v>
      </c>
      <c r="C1796" t="s">
        <v>7</v>
      </c>
      <c r="D1796">
        <v>1001</v>
      </c>
      <c r="E1796">
        <v>2019</v>
      </c>
      <c r="F1796">
        <v>35</v>
      </c>
      <c r="G1796">
        <v>98148</v>
      </c>
      <c r="H1796" s="1">
        <v>1</v>
      </c>
      <c r="I1796">
        <v>26</v>
      </c>
      <c r="J1796">
        <f>IF($H1796=0,1,IF($I1796&lt;=1,2,0))</f>
        <v>0</v>
      </c>
      <c r="K1796">
        <v>0</v>
      </c>
      <c r="L1796">
        <f>IF(AND($J1796=0,$K1796=0),0,1)</f>
        <v>0</v>
      </c>
      <c r="M1796" t="s">
        <v>582</v>
      </c>
    </row>
    <row r="1797" spans="1:13" x14ac:dyDescent="0.2">
      <c r="A1797" t="s">
        <v>580</v>
      </c>
      <c r="B1797" t="s">
        <v>581</v>
      </c>
      <c r="C1797" t="s">
        <v>7</v>
      </c>
      <c r="D1797">
        <v>1001</v>
      </c>
      <c r="E1797">
        <v>2019</v>
      </c>
      <c r="F1797">
        <v>53</v>
      </c>
      <c r="G1797">
        <v>98132</v>
      </c>
      <c r="H1797" s="1">
        <v>1</v>
      </c>
      <c r="I1797">
        <v>26</v>
      </c>
      <c r="J1797">
        <f>IF($H1797=0,1,IF($I1797&lt;=1,2,0))</f>
        <v>0</v>
      </c>
      <c r="K1797">
        <v>0</v>
      </c>
      <c r="L1797">
        <f>IF(AND($J1797=0,$K1797=0),0,1)</f>
        <v>0</v>
      </c>
      <c r="M1797" t="s">
        <v>582</v>
      </c>
    </row>
    <row r="1798" spans="1:13" x14ac:dyDescent="0.2">
      <c r="A1798" t="s">
        <v>580</v>
      </c>
      <c r="B1798" t="s">
        <v>581</v>
      </c>
      <c r="C1798" t="s">
        <v>7</v>
      </c>
      <c r="D1798">
        <v>1001</v>
      </c>
      <c r="E1798">
        <v>2019</v>
      </c>
      <c r="F1798">
        <v>60</v>
      </c>
      <c r="G1798">
        <v>98126</v>
      </c>
      <c r="H1798" s="1">
        <v>1</v>
      </c>
      <c r="I1798">
        <v>26</v>
      </c>
      <c r="J1798">
        <f>IF($H1798=0,1,IF($I1798&lt;=1,2,0))</f>
        <v>0</v>
      </c>
      <c r="K1798">
        <v>0</v>
      </c>
      <c r="L1798">
        <f>IF(AND($J1798=0,$K1798=0),0,1)</f>
        <v>0</v>
      </c>
      <c r="M1798" t="s">
        <v>582</v>
      </c>
    </row>
    <row r="1799" spans="1:13" x14ac:dyDescent="0.2">
      <c r="A1799" t="s">
        <v>580</v>
      </c>
      <c r="B1799" t="s">
        <v>581</v>
      </c>
      <c r="C1799" t="s">
        <v>7</v>
      </c>
      <c r="D1799">
        <v>1001</v>
      </c>
      <c r="E1799">
        <v>2019</v>
      </c>
      <c r="F1799">
        <v>50</v>
      </c>
      <c r="G1799">
        <v>98134</v>
      </c>
      <c r="H1799" s="1">
        <v>1</v>
      </c>
      <c r="I1799">
        <v>25</v>
      </c>
      <c r="J1799">
        <f>IF($H1799=0,1,IF($I1799&lt;=1,2,0))</f>
        <v>0</v>
      </c>
      <c r="K1799">
        <v>0</v>
      </c>
      <c r="L1799">
        <f>IF(AND($J1799=0,$K1799=0),0,1)</f>
        <v>0</v>
      </c>
      <c r="M1799" t="s">
        <v>582</v>
      </c>
    </row>
    <row r="1800" spans="1:13" x14ac:dyDescent="0.2">
      <c r="A1800" t="s">
        <v>580</v>
      </c>
      <c r="B1800" t="s">
        <v>581</v>
      </c>
      <c r="C1800" t="s">
        <v>7</v>
      </c>
      <c r="D1800">
        <v>1001</v>
      </c>
      <c r="E1800">
        <v>2019</v>
      </c>
      <c r="F1800">
        <v>16</v>
      </c>
      <c r="G1800">
        <v>98169</v>
      </c>
      <c r="H1800" s="1">
        <v>1</v>
      </c>
      <c r="I1800">
        <v>24</v>
      </c>
      <c r="J1800">
        <f>IF($H1800=0,1,IF($I1800&lt;=1,2,0))</f>
        <v>0</v>
      </c>
      <c r="K1800">
        <v>0</v>
      </c>
      <c r="L1800">
        <f>IF(AND($J1800=0,$K1800=0),0,1)</f>
        <v>0</v>
      </c>
      <c r="M1800" t="s">
        <v>582</v>
      </c>
    </row>
    <row r="1801" spans="1:13" x14ac:dyDescent="0.2">
      <c r="A1801" t="s">
        <v>580</v>
      </c>
      <c r="B1801" t="s">
        <v>581</v>
      </c>
      <c r="C1801" t="s">
        <v>7</v>
      </c>
      <c r="D1801">
        <v>1001</v>
      </c>
      <c r="E1801">
        <v>2019</v>
      </c>
      <c r="F1801">
        <v>21</v>
      </c>
      <c r="G1801">
        <v>98160</v>
      </c>
      <c r="H1801" s="1">
        <v>1</v>
      </c>
      <c r="I1801">
        <v>24</v>
      </c>
      <c r="J1801">
        <f>IF($H1801=0,1,IF($I1801&lt;=1,2,0))</f>
        <v>0</v>
      </c>
      <c r="K1801">
        <v>0</v>
      </c>
      <c r="L1801">
        <f>IF(AND($J1801=0,$K1801=0),0,1)</f>
        <v>0</v>
      </c>
      <c r="M1801" t="s">
        <v>582</v>
      </c>
    </row>
    <row r="1802" spans="1:13" x14ac:dyDescent="0.2">
      <c r="A1802" t="s">
        <v>580</v>
      </c>
      <c r="B1802" t="s">
        <v>581</v>
      </c>
      <c r="C1802" t="s">
        <v>7</v>
      </c>
      <c r="D1802">
        <v>1001</v>
      </c>
      <c r="E1802">
        <v>2019</v>
      </c>
      <c r="F1802">
        <v>32</v>
      </c>
      <c r="G1802">
        <v>98150</v>
      </c>
      <c r="H1802" s="1">
        <v>1</v>
      </c>
      <c r="I1802">
        <v>24</v>
      </c>
      <c r="J1802">
        <f>IF($H1802=0,1,IF($I1802&lt;=1,2,0))</f>
        <v>0</v>
      </c>
      <c r="K1802">
        <v>0</v>
      </c>
      <c r="L1802">
        <f>IF(AND($J1802=0,$K1802=0),0,1)</f>
        <v>0</v>
      </c>
      <c r="M1802" t="s">
        <v>582</v>
      </c>
    </row>
    <row r="1803" spans="1:13" x14ac:dyDescent="0.2">
      <c r="A1803" t="s">
        <v>580</v>
      </c>
      <c r="B1803" t="s">
        <v>581</v>
      </c>
      <c r="C1803" t="s">
        <v>7</v>
      </c>
      <c r="D1803">
        <v>1001</v>
      </c>
      <c r="E1803">
        <v>2019</v>
      </c>
      <c r="F1803">
        <v>20</v>
      </c>
      <c r="G1803">
        <v>98162</v>
      </c>
      <c r="H1803" s="1">
        <v>1</v>
      </c>
      <c r="I1803">
        <v>23</v>
      </c>
      <c r="J1803">
        <f>IF($H1803=0,1,IF($I1803&lt;=1,2,0))</f>
        <v>0</v>
      </c>
      <c r="K1803">
        <v>0</v>
      </c>
      <c r="L1803">
        <f>IF(AND($J1803=0,$K1803=0),0,1)</f>
        <v>0</v>
      </c>
      <c r="M1803" t="s">
        <v>582</v>
      </c>
    </row>
    <row r="1804" spans="1:13" x14ac:dyDescent="0.2">
      <c r="A1804" t="s">
        <v>580</v>
      </c>
      <c r="B1804" t="s">
        <v>581</v>
      </c>
      <c r="C1804" t="s">
        <v>7</v>
      </c>
      <c r="D1804">
        <v>1001</v>
      </c>
      <c r="E1804">
        <v>2019</v>
      </c>
      <c r="F1804">
        <v>36</v>
      </c>
      <c r="G1804">
        <v>98147</v>
      </c>
      <c r="H1804" s="1">
        <v>1</v>
      </c>
      <c r="I1804">
        <v>23</v>
      </c>
      <c r="J1804">
        <f>IF($H1804=0,1,IF($I1804&lt;=1,2,0))</f>
        <v>0</v>
      </c>
      <c r="K1804">
        <v>0</v>
      </c>
      <c r="L1804">
        <f>IF(AND($J1804=0,$K1804=0),0,1)</f>
        <v>0</v>
      </c>
      <c r="M1804" t="s">
        <v>582</v>
      </c>
    </row>
    <row r="1805" spans="1:13" x14ac:dyDescent="0.2">
      <c r="A1805" t="s">
        <v>580</v>
      </c>
      <c r="B1805" t="s">
        <v>581</v>
      </c>
      <c r="C1805" t="s">
        <v>7</v>
      </c>
      <c r="D1805">
        <v>1001</v>
      </c>
      <c r="E1805">
        <v>2019</v>
      </c>
      <c r="F1805">
        <v>48</v>
      </c>
      <c r="G1805">
        <v>98136</v>
      </c>
      <c r="H1805" s="1">
        <v>1</v>
      </c>
      <c r="I1805">
        <v>23</v>
      </c>
      <c r="J1805">
        <f>IF($H1805=0,1,IF($I1805&lt;=1,2,0))</f>
        <v>0</v>
      </c>
      <c r="K1805">
        <v>0</v>
      </c>
      <c r="L1805">
        <f>IF(AND($J1805=0,$K1805=0),0,1)</f>
        <v>0</v>
      </c>
      <c r="M1805" t="s">
        <v>582</v>
      </c>
    </row>
    <row r="1806" spans="1:13" x14ac:dyDescent="0.2">
      <c r="A1806" t="s">
        <v>580</v>
      </c>
      <c r="B1806" t="s">
        <v>581</v>
      </c>
      <c r="C1806" t="s">
        <v>7</v>
      </c>
      <c r="D1806">
        <v>1001</v>
      </c>
      <c r="E1806">
        <v>2019</v>
      </c>
      <c r="F1806">
        <v>25</v>
      </c>
      <c r="G1806">
        <v>98156</v>
      </c>
      <c r="H1806" s="1">
        <v>1</v>
      </c>
      <c r="I1806">
        <v>22</v>
      </c>
      <c r="J1806">
        <f>IF($H1806=0,1,IF($I1806&lt;=1,2,0))</f>
        <v>0</v>
      </c>
      <c r="K1806">
        <v>0</v>
      </c>
      <c r="L1806">
        <f>IF(AND($J1806=0,$K1806=0),0,1)</f>
        <v>0</v>
      </c>
      <c r="M1806" t="s">
        <v>582</v>
      </c>
    </row>
    <row r="1807" spans="1:13" x14ac:dyDescent="0.2">
      <c r="A1807" t="s">
        <v>580</v>
      </c>
      <c r="B1807" t="s">
        <v>581</v>
      </c>
      <c r="C1807" t="s">
        <v>7</v>
      </c>
      <c r="D1807">
        <v>1001</v>
      </c>
      <c r="E1807">
        <v>2019</v>
      </c>
      <c r="F1807">
        <v>49</v>
      </c>
      <c r="G1807">
        <v>98135</v>
      </c>
      <c r="H1807" s="1">
        <v>1</v>
      </c>
      <c r="I1807">
        <v>22</v>
      </c>
      <c r="J1807">
        <f>IF($H1807=0,1,IF($I1807&lt;=1,2,0))</f>
        <v>0</v>
      </c>
      <c r="K1807">
        <v>0</v>
      </c>
      <c r="L1807">
        <f>IF(AND($J1807=0,$K1807=0),0,1)</f>
        <v>0</v>
      </c>
      <c r="M1807" t="s">
        <v>582</v>
      </c>
    </row>
    <row r="1808" spans="1:13" x14ac:dyDescent="0.2">
      <c r="A1808" t="s">
        <v>580</v>
      </c>
      <c r="B1808" t="s">
        <v>581</v>
      </c>
      <c r="C1808" t="s">
        <v>7</v>
      </c>
      <c r="D1808">
        <v>1001</v>
      </c>
      <c r="E1808">
        <v>2019</v>
      </c>
      <c r="F1808">
        <v>2</v>
      </c>
      <c r="G1808">
        <v>98189</v>
      </c>
      <c r="H1808" s="1">
        <v>1</v>
      </c>
      <c r="I1808">
        <v>21</v>
      </c>
      <c r="J1808">
        <f>IF($H1808=0,1,IF($I1808&lt;=1,2,0))</f>
        <v>0</v>
      </c>
      <c r="K1808">
        <v>0</v>
      </c>
      <c r="L1808">
        <f>IF(AND($J1808=0,$K1808=0),0,1)</f>
        <v>0</v>
      </c>
      <c r="M1808" t="s">
        <v>582</v>
      </c>
    </row>
    <row r="1809" spans="1:13" x14ac:dyDescent="0.2">
      <c r="A1809" t="s">
        <v>580</v>
      </c>
      <c r="B1809" t="s">
        <v>581</v>
      </c>
      <c r="C1809" t="s">
        <v>7</v>
      </c>
      <c r="D1809">
        <v>1001</v>
      </c>
      <c r="E1809">
        <v>2019</v>
      </c>
      <c r="F1809">
        <v>28</v>
      </c>
      <c r="G1809">
        <v>98153</v>
      </c>
      <c r="H1809" s="1">
        <v>1</v>
      </c>
      <c r="I1809">
        <v>21</v>
      </c>
      <c r="J1809">
        <f>IF($H1809=0,1,IF($I1809&lt;=1,2,0))</f>
        <v>0</v>
      </c>
      <c r="K1809">
        <v>0</v>
      </c>
      <c r="L1809">
        <f>IF(AND($J1809=0,$K1809=0),0,1)</f>
        <v>0</v>
      </c>
      <c r="M1809" t="s">
        <v>582</v>
      </c>
    </row>
    <row r="1810" spans="1:13" x14ac:dyDescent="0.2">
      <c r="A1810" t="s">
        <v>580</v>
      </c>
      <c r="B1810" t="s">
        <v>581</v>
      </c>
      <c r="C1810" t="s">
        <v>7</v>
      </c>
      <c r="D1810">
        <v>1001</v>
      </c>
      <c r="E1810">
        <v>2019</v>
      </c>
      <c r="F1810">
        <v>29</v>
      </c>
      <c r="G1810">
        <v>18202</v>
      </c>
      <c r="H1810" s="1">
        <v>1</v>
      </c>
      <c r="I1810">
        <v>21</v>
      </c>
      <c r="J1810">
        <f>IF($H1810=0,1,IF($I1810&lt;=1,2,0))</f>
        <v>0</v>
      </c>
      <c r="K1810">
        <v>0</v>
      </c>
      <c r="L1810">
        <f>IF(AND($J1810=0,$K1810=0),0,1)</f>
        <v>0</v>
      </c>
    </row>
    <row r="1811" spans="1:13" x14ac:dyDescent="0.2">
      <c r="A1811" t="s">
        <v>580</v>
      </c>
      <c r="B1811" t="s">
        <v>581</v>
      </c>
      <c r="C1811" t="s">
        <v>7</v>
      </c>
      <c r="D1811">
        <v>1001</v>
      </c>
      <c r="E1811">
        <v>2019</v>
      </c>
      <c r="F1811">
        <v>42</v>
      </c>
      <c r="G1811">
        <v>98141</v>
      </c>
      <c r="H1811" s="1">
        <v>1</v>
      </c>
      <c r="I1811">
        <v>21</v>
      </c>
      <c r="J1811">
        <f>IF($H1811=0,1,IF($I1811&lt;=1,2,0))</f>
        <v>0</v>
      </c>
      <c r="K1811">
        <v>0</v>
      </c>
      <c r="L1811">
        <f>IF(AND($J1811=0,$K1811=0),0,1)</f>
        <v>0</v>
      </c>
      <c r="M1811" t="s">
        <v>582</v>
      </c>
    </row>
    <row r="1812" spans="1:13" x14ac:dyDescent="0.2">
      <c r="A1812" t="s">
        <v>580</v>
      </c>
      <c r="B1812" t="s">
        <v>581</v>
      </c>
      <c r="C1812" t="s">
        <v>7</v>
      </c>
      <c r="D1812">
        <v>1001</v>
      </c>
      <c r="E1812">
        <v>2019</v>
      </c>
      <c r="F1812">
        <v>51</v>
      </c>
      <c r="G1812">
        <v>98133</v>
      </c>
      <c r="H1812" s="1">
        <v>1</v>
      </c>
      <c r="I1812">
        <v>21</v>
      </c>
      <c r="J1812">
        <f>IF($H1812=0,1,IF($I1812&lt;=1,2,0))</f>
        <v>0</v>
      </c>
      <c r="K1812">
        <v>0</v>
      </c>
      <c r="L1812">
        <f>IF(AND($J1812=0,$K1812=0),0,1)</f>
        <v>0</v>
      </c>
      <c r="M1812" t="s">
        <v>582</v>
      </c>
    </row>
    <row r="1813" spans="1:13" x14ac:dyDescent="0.2">
      <c r="A1813" t="s">
        <v>580</v>
      </c>
      <c r="B1813" t="s">
        <v>581</v>
      </c>
      <c r="C1813" t="s">
        <v>7</v>
      </c>
      <c r="D1813">
        <v>1001</v>
      </c>
      <c r="E1813">
        <v>2019</v>
      </c>
      <c r="F1813">
        <v>17</v>
      </c>
      <c r="G1813">
        <v>98166</v>
      </c>
      <c r="H1813" s="1">
        <v>1</v>
      </c>
      <c r="I1813">
        <v>20</v>
      </c>
      <c r="J1813">
        <f>IF($H1813=0,1,IF($I1813&lt;=1,2,0))</f>
        <v>0</v>
      </c>
      <c r="K1813">
        <v>0</v>
      </c>
      <c r="L1813">
        <f>IF(AND($J1813=0,$K1813=0),0,1)</f>
        <v>0</v>
      </c>
      <c r="M1813" t="s">
        <v>582</v>
      </c>
    </row>
    <row r="1814" spans="1:13" x14ac:dyDescent="0.2">
      <c r="A1814" t="s">
        <v>580</v>
      </c>
      <c r="B1814" t="s">
        <v>581</v>
      </c>
      <c r="C1814" t="s">
        <v>7</v>
      </c>
      <c r="D1814">
        <v>1001</v>
      </c>
      <c r="E1814">
        <v>2019</v>
      </c>
      <c r="F1814">
        <v>54</v>
      </c>
      <c r="G1814">
        <v>98131</v>
      </c>
      <c r="H1814" s="1">
        <v>1</v>
      </c>
      <c r="I1814">
        <v>20</v>
      </c>
      <c r="J1814">
        <f>IF($H1814=0,1,IF($I1814&lt;=1,2,0))</f>
        <v>0</v>
      </c>
      <c r="K1814">
        <v>0</v>
      </c>
      <c r="L1814">
        <f>IF(AND($J1814=0,$K1814=0),0,1)</f>
        <v>0</v>
      </c>
      <c r="M1814" t="s">
        <v>582</v>
      </c>
    </row>
    <row r="1815" spans="1:13" x14ac:dyDescent="0.2">
      <c r="A1815" t="s">
        <v>580</v>
      </c>
      <c r="B1815" t="s">
        <v>581</v>
      </c>
      <c r="C1815" t="s">
        <v>7</v>
      </c>
      <c r="D1815">
        <v>1001</v>
      </c>
      <c r="E1815">
        <v>2019</v>
      </c>
      <c r="F1815">
        <v>70</v>
      </c>
      <c r="G1815">
        <v>98120</v>
      </c>
      <c r="H1815" s="1">
        <v>1</v>
      </c>
      <c r="I1815">
        <v>20</v>
      </c>
      <c r="J1815">
        <f>IF($H1815=0,1,IF($I1815&lt;=1,2,0))</f>
        <v>0</v>
      </c>
      <c r="K1815">
        <v>0</v>
      </c>
      <c r="L1815">
        <f>IF(AND($J1815=0,$K1815=0),0,1)</f>
        <v>0</v>
      </c>
      <c r="M1815" t="s">
        <v>582</v>
      </c>
    </row>
    <row r="1816" spans="1:13" x14ac:dyDescent="0.2">
      <c r="A1816" t="s">
        <v>580</v>
      </c>
      <c r="B1816" t="s">
        <v>581</v>
      </c>
      <c r="C1816" t="s">
        <v>7</v>
      </c>
      <c r="D1816">
        <v>1001</v>
      </c>
      <c r="E1816">
        <v>2019</v>
      </c>
      <c r="F1816">
        <v>7</v>
      </c>
      <c r="G1816">
        <v>98181</v>
      </c>
      <c r="H1816" s="1">
        <v>1</v>
      </c>
      <c r="I1816">
        <v>18</v>
      </c>
      <c r="J1816">
        <f>IF($H1816=0,1,IF($I1816&lt;=1,2,0))</f>
        <v>0</v>
      </c>
      <c r="K1816">
        <v>0</v>
      </c>
      <c r="L1816">
        <f>IF(AND($J1816=0,$K1816=0),0,1)</f>
        <v>0</v>
      </c>
      <c r="M1816" t="s">
        <v>582</v>
      </c>
    </row>
    <row r="1817" spans="1:13" x14ac:dyDescent="0.2">
      <c r="A1817" t="s">
        <v>580</v>
      </c>
      <c r="B1817" t="s">
        <v>581</v>
      </c>
      <c r="C1817" t="s">
        <v>7</v>
      </c>
      <c r="D1817">
        <v>1001</v>
      </c>
      <c r="E1817">
        <v>2019</v>
      </c>
      <c r="F1817">
        <v>43</v>
      </c>
      <c r="G1817">
        <v>98140</v>
      </c>
      <c r="H1817" s="1">
        <v>1</v>
      </c>
      <c r="I1817">
        <v>18</v>
      </c>
      <c r="J1817">
        <f>IF($H1817=0,1,IF($I1817&lt;=1,2,0))</f>
        <v>0</v>
      </c>
      <c r="K1817">
        <v>0</v>
      </c>
      <c r="L1817">
        <f>IF(AND($J1817=0,$K1817=0),0,1)</f>
        <v>0</v>
      </c>
      <c r="M1817" t="s">
        <v>582</v>
      </c>
    </row>
    <row r="1818" spans="1:13" x14ac:dyDescent="0.2">
      <c r="A1818" t="s">
        <v>580</v>
      </c>
      <c r="B1818" t="s">
        <v>581</v>
      </c>
      <c r="C1818" t="s">
        <v>7</v>
      </c>
      <c r="D1818">
        <v>1001</v>
      </c>
      <c r="E1818">
        <v>2019</v>
      </c>
      <c r="F1818">
        <v>52</v>
      </c>
      <c r="G1818">
        <v>18205</v>
      </c>
      <c r="H1818" s="1">
        <v>1</v>
      </c>
      <c r="I1818">
        <v>18</v>
      </c>
      <c r="J1818">
        <f>IF($H1818=0,1,IF($I1818&lt;=1,2,0))</f>
        <v>0</v>
      </c>
      <c r="K1818">
        <v>0</v>
      </c>
      <c r="L1818">
        <f>IF(AND($J1818=0,$K1818=0),0,1)</f>
        <v>0</v>
      </c>
    </row>
    <row r="1819" spans="1:13" x14ac:dyDescent="0.2">
      <c r="A1819" t="s">
        <v>580</v>
      </c>
      <c r="B1819" t="s">
        <v>581</v>
      </c>
      <c r="C1819" t="s">
        <v>7</v>
      </c>
      <c r="D1819">
        <v>1001</v>
      </c>
      <c r="E1819">
        <v>2019</v>
      </c>
      <c r="F1819">
        <v>58</v>
      </c>
      <c r="G1819">
        <v>98127</v>
      </c>
      <c r="H1819" s="1">
        <v>1</v>
      </c>
      <c r="I1819">
        <v>18</v>
      </c>
      <c r="J1819">
        <f>IF($H1819=0,1,IF($I1819&lt;=1,2,0))</f>
        <v>0</v>
      </c>
      <c r="K1819">
        <v>0</v>
      </c>
      <c r="L1819">
        <f>IF(AND($J1819=0,$K1819=0),0,1)</f>
        <v>0</v>
      </c>
      <c r="M1819" t="s">
        <v>582</v>
      </c>
    </row>
    <row r="1820" spans="1:13" x14ac:dyDescent="0.2">
      <c r="A1820" t="s">
        <v>580</v>
      </c>
      <c r="B1820" t="s">
        <v>581</v>
      </c>
      <c r="C1820" t="s">
        <v>7</v>
      </c>
      <c r="D1820">
        <v>1001</v>
      </c>
      <c r="E1820">
        <v>2019</v>
      </c>
      <c r="F1820">
        <v>15</v>
      </c>
      <c r="G1820">
        <v>18198</v>
      </c>
      <c r="H1820" s="1">
        <v>1</v>
      </c>
      <c r="I1820">
        <v>17</v>
      </c>
      <c r="J1820">
        <f>IF($H1820=0,1,IF($I1820&lt;=1,2,0))</f>
        <v>0</v>
      </c>
      <c r="K1820">
        <v>0</v>
      </c>
      <c r="L1820">
        <f>IF(AND($J1820=0,$K1820=0),0,1)</f>
        <v>0</v>
      </c>
    </row>
    <row r="1821" spans="1:13" x14ac:dyDescent="0.2">
      <c r="A1821" t="s">
        <v>580</v>
      </c>
      <c r="B1821" t="s">
        <v>581</v>
      </c>
      <c r="C1821" t="s">
        <v>7</v>
      </c>
      <c r="D1821">
        <v>1001</v>
      </c>
      <c r="E1821">
        <v>2019</v>
      </c>
      <c r="F1821">
        <v>24</v>
      </c>
      <c r="G1821">
        <v>98157</v>
      </c>
      <c r="H1821" s="1">
        <v>1</v>
      </c>
      <c r="I1821">
        <v>17</v>
      </c>
      <c r="J1821">
        <f>IF($H1821=0,1,IF($I1821&lt;=1,2,0))</f>
        <v>0</v>
      </c>
      <c r="K1821">
        <v>0</v>
      </c>
      <c r="L1821">
        <f>IF(AND($J1821=0,$K1821=0),0,1)</f>
        <v>0</v>
      </c>
      <c r="M1821" t="s">
        <v>582</v>
      </c>
    </row>
    <row r="1822" spans="1:13" x14ac:dyDescent="0.2">
      <c r="A1822" t="s">
        <v>580</v>
      </c>
      <c r="B1822" t="s">
        <v>581</v>
      </c>
      <c r="C1822" t="s">
        <v>7</v>
      </c>
      <c r="D1822">
        <v>1001</v>
      </c>
      <c r="E1822">
        <v>2019</v>
      </c>
      <c r="F1822">
        <v>44</v>
      </c>
      <c r="G1822">
        <v>98139</v>
      </c>
      <c r="H1822" s="1">
        <v>1</v>
      </c>
      <c r="I1822">
        <v>17</v>
      </c>
      <c r="J1822">
        <f>IF($H1822=0,1,IF($I1822&lt;=1,2,0))</f>
        <v>0</v>
      </c>
      <c r="K1822">
        <v>0</v>
      </c>
      <c r="L1822">
        <f>IF(AND($J1822=0,$K1822=0),0,1)</f>
        <v>0</v>
      </c>
      <c r="M1822" t="s">
        <v>582</v>
      </c>
    </row>
    <row r="1823" spans="1:13" x14ac:dyDescent="0.2">
      <c r="A1823" t="s">
        <v>580</v>
      </c>
      <c r="B1823" t="s">
        <v>581</v>
      </c>
      <c r="C1823" t="s">
        <v>7</v>
      </c>
      <c r="D1823">
        <v>1001</v>
      </c>
      <c r="E1823">
        <v>2019</v>
      </c>
      <c r="F1823">
        <v>46</v>
      </c>
      <c r="G1823">
        <v>98138</v>
      </c>
      <c r="H1823" s="1">
        <v>1</v>
      </c>
      <c r="I1823">
        <v>17</v>
      </c>
      <c r="J1823">
        <f>IF($H1823=0,1,IF($I1823&lt;=1,2,0))</f>
        <v>0</v>
      </c>
      <c r="K1823">
        <v>0</v>
      </c>
      <c r="L1823">
        <f>IF(AND($J1823=0,$K1823=0),0,1)</f>
        <v>0</v>
      </c>
      <c r="M1823" t="s">
        <v>582</v>
      </c>
    </row>
    <row r="1824" spans="1:13" x14ac:dyDescent="0.2">
      <c r="A1824" t="s">
        <v>580</v>
      </c>
      <c r="B1824" t="s">
        <v>581</v>
      </c>
      <c r="C1824" t="s">
        <v>7</v>
      </c>
      <c r="D1824">
        <v>1001</v>
      </c>
      <c r="E1824">
        <v>2019</v>
      </c>
      <c r="F1824">
        <v>65</v>
      </c>
      <c r="G1824">
        <v>98124</v>
      </c>
      <c r="H1824" s="1">
        <v>1</v>
      </c>
      <c r="I1824">
        <v>17</v>
      </c>
      <c r="J1824">
        <f>IF($H1824=0,1,IF($I1824&lt;=1,2,0))</f>
        <v>0</v>
      </c>
      <c r="K1824">
        <v>0</v>
      </c>
      <c r="L1824">
        <f>IF(AND($J1824=0,$K1824=0),0,1)</f>
        <v>0</v>
      </c>
      <c r="M1824" t="s">
        <v>582</v>
      </c>
    </row>
    <row r="1825" spans="1:13" x14ac:dyDescent="0.2">
      <c r="A1825" t="s">
        <v>580</v>
      </c>
      <c r="B1825" t="s">
        <v>581</v>
      </c>
      <c r="C1825" t="s">
        <v>7</v>
      </c>
      <c r="D1825">
        <v>1001</v>
      </c>
      <c r="E1825">
        <v>2019</v>
      </c>
      <c r="F1825">
        <v>77</v>
      </c>
      <c r="G1825">
        <v>18199</v>
      </c>
      <c r="H1825" s="1">
        <v>1</v>
      </c>
      <c r="I1825">
        <v>17</v>
      </c>
      <c r="J1825">
        <f>IF($H1825=0,1,IF($I1825&lt;=1,2,0))</f>
        <v>0</v>
      </c>
      <c r="K1825">
        <v>0</v>
      </c>
      <c r="L1825">
        <f>IF(AND($J1825=0,$K1825=0),0,1)</f>
        <v>0</v>
      </c>
    </row>
    <row r="1826" spans="1:13" x14ac:dyDescent="0.2">
      <c r="A1826" t="s">
        <v>580</v>
      </c>
      <c r="B1826" t="s">
        <v>581</v>
      </c>
      <c r="C1826" t="s">
        <v>7</v>
      </c>
      <c r="D1826">
        <v>1001</v>
      </c>
      <c r="E1826">
        <v>2019</v>
      </c>
      <c r="F1826">
        <v>1</v>
      </c>
      <c r="G1826">
        <v>98190</v>
      </c>
      <c r="H1826" s="1">
        <v>1</v>
      </c>
      <c r="I1826">
        <v>16</v>
      </c>
      <c r="J1826">
        <f>IF($H1826=0,1,IF($I1826&lt;=1,2,0))</f>
        <v>0</v>
      </c>
      <c r="K1826">
        <v>0</v>
      </c>
      <c r="L1826">
        <f>IF(AND($J1826=0,$K1826=0),0,1)</f>
        <v>0</v>
      </c>
      <c r="M1826" t="s">
        <v>582</v>
      </c>
    </row>
    <row r="1827" spans="1:13" x14ac:dyDescent="0.2">
      <c r="A1827" t="s">
        <v>580</v>
      </c>
      <c r="B1827" t="s">
        <v>581</v>
      </c>
      <c r="C1827" t="s">
        <v>7</v>
      </c>
      <c r="D1827">
        <v>1001</v>
      </c>
      <c r="E1827">
        <v>2019</v>
      </c>
      <c r="F1827">
        <v>9</v>
      </c>
      <c r="G1827">
        <v>98177</v>
      </c>
      <c r="H1827" s="1">
        <v>1</v>
      </c>
      <c r="I1827">
        <v>16</v>
      </c>
      <c r="J1827">
        <f>IF($H1827=0,1,IF($I1827&lt;=1,2,0))</f>
        <v>0</v>
      </c>
      <c r="K1827">
        <v>0</v>
      </c>
      <c r="L1827">
        <f>IF(AND($J1827=0,$K1827=0),0,1)</f>
        <v>0</v>
      </c>
      <c r="M1827" t="s">
        <v>582</v>
      </c>
    </row>
    <row r="1828" spans="1:13" x14ac:dyDescent="0.2">
      <c r="A1828" t="s">
        <v>580</v>
      </c>
      <c r="B1828" t="s">
        <v>581</v>
      </c>
      <c r="C1828" t="s">
        <v>7</v>
      </c>
      <c r="D1828">
        <v>1001</v>
      </c>
      <c r="E1828">
        <v>2019</v>
      </c>
      <c r="F1828">
        <v>40</v>
      </c>
      <c r="G1828">
        <v>98143</v>
      </c>
      <c r="H1828" s="1">
        <v>1</v>
      </c>
      <c r="I1828">
        <v>16</v>
      </c>
      <c r="J1828">
        <f>IF($H1828=0,1,IF($I1828&lt;=1,2,0))</f>
        <v>0</v>
      </c>
      <c r="K1828">
        <v>0</v>
      </c>
      <c r="L1828">
        <f>IF(AND($J1828=0,$K1828=0),0,1)</f>
        <v>0</v>
      </c>
      <c r="M1828" t="s">
        <v>582</v>
      </c>
    </row>
    <row r="1829" spans="1:13" x14ac:dyDescent="0.2">
      <c r="A1829" t="s">
        <v>580</v>
      </c>
      <c r="B1829" t="s">
        <v>581</v>
      </c>
      <c r="C1829" t="s">
        <v>7</v>
      </c>
      <c r="D1829">
        <v>1001</v>
      </c>
      <c r="E1829">
        <v>2019</v>
      </c>
      <c r="F1829">
        <v>57</v>
      </c>
      <c r="G1829">
        <v>98128</v>
      </c>
      <c r="H1829" s="1">
        <v>1</v>
      </c>
      <c r="I1829">
        <v>16</v>
      </c>
      <c r="J1829">
        <f>IF($H1829=0,1,IF($I1829&lt;=1,2,0))</f>
        <v>0</v>
      </c>
      <c r="K1829">
        <v>0</v>
      </c>
      <c r="L1829">
        <f>IF(AND($J1829=0,$K1829=0),0,1)</f>
        <v>0</v>
      </c>
      <c r="M1829" t="s">
        <v>582</v>
      </c>
    </row>
    <row r="1830" spans="1:13" x14ac:dyDescent="0.2">
      <c r="A1830" t="s">
        <v>580</v>
      </c>
      <c r="B1830" t="s">
        <v>581</v>
      </c>
      <c r="C1830" t="s">
        <v>7</v>
      </c>
      <c r="D1830">
        <v>1001</v>
      </c>
      <c r="E1830">
        <v>2019</v>
      </c>
      <c r="F1830">
        <v>12</v>
      </c>
      <c r="G1830">
        <v>98174</v>
      </c>
      <c r="H1830" s="1">
        <v>1</v>
      </c>
      <c r="I1830">
        <v>15</v>
      </c>
      <c r="J1830">
        <f>IF($H1830=0,1,IF($I1830&lt;=1,2,0))</f>
        <v>0</v>
      </c>
      <c r="K1830">
        <v>0</v>
      </c>
      <c r="L1830">
        <f>IF(AND($J1830=0,$K1830=0),0,1)</f>
        <v>0</v>
      </c>
      <c r="M1830" t="s">
        <v>582</v>
      </c>
    </row>
    <row r="1831" spans="1:13" x14ac:dyDescent="0.2">
      <c r="A1831" t="s">
        <v>580</v>
      </c>
      <c r="B1831" t="s">
        <v>581</v>
      </c>
      <c r="C1831" t="s">
        <v>7</v>
      </c>
      <c r="D1831">
        <v>1001</v>
      </c>
      <c r="E1831">
        <v>2019</v>
      </c>
      <c r="F1831">
        <v>67</v>
      </c>
      <c r="G1831">
        <v>98123</v>
      </c>
      <c r="H1831" s="1">
        <v>1</v>
      </c>
      <c r="I1831">
        <v>15</v>
      </c>
      <c r="J1831">
        <f>IF($H1831=0,1,IF($I1831&lt;=1,2,0))</f>
        <v>0</v>
      </c>
      <c r="K1831">
        <v>0</v>
      </c>
      <c r="L1831">
        <f>IF(AND($J1831=0,$K1831=0),0,1)</f>
        <v>0</v>
      </c>
      <c r="M1831" t="s">
        <v>582</v>
      </c>
    </row>
    <row r="1832" spans="1:13" x14ac:dyDescent="0.2">
      <c r="A1832" t="s">
        <v>580</v>
      </c>
      <c r="B1832" t="s">
        <v>581</v>
      </c>
      <c r="C1832" t="s">
        <v>7</v>
      </c>
      <c r="D1832">
        <v>1001</v>
      </c>
      <c r="E1832">
        <v>2019</v>
      </c>
      <c r="F1832">
        <v>69</v>
      </c>
      <c r="G1832">
        <v>98121</v>
      </c>
      <c r="H1832" s="1">
        <v>1</v>
      </c>
      <c r="I1832">
        <v>15</v>
      </c>
      <c r="J1832">
        <f>IF($H1832=0,1,IF($I1832&lt;=1,2,0))</f>
        <v>0</v>
      </c>
      <c r="K1832">
        <v>0</v>
      </c>
      <c r="L1832">
        <f>IF(AND($J1832=0,$K1832=0),0,1)</f>
        <v>0</v>
      </c>
      <c r="M1832" t="s">
        <v>582</v>
      </c>
    </row>
    <row r="1833" spans="1:13" x14ac:dyDescent="0.2">
      <c r="A1833" t="s">
        <v>580</v>
      </c>
      <c r="B1833" t="s">
        <v>581</v>
      </c>
      <c r="C1833" t="s">
        <v>7</v>
      </c>
      <c r="D1833">
        <v>1001</v>
      </c>
      <c r="E1833">
        <v>2019</v>
      </c>
      <c r="F1833">
        <v>11</v>
      </c>
      <c r="G1833">
        <v>98175</v>
      </c>
      <c r="H1833" s="1">
        <v>1</v>
      </c>
      <c r="I1833">
        <v>14</v>
      </c>
      <c r="J1833">
        <f>IF($H1833=0,1,IF($I1833&lt;=1,2,0))</f>
        <v>0</v>
      </c>
      <c r="K1833">
        <v>0</v>
      </c>
      <c r="L1833">
        <f>IF(AND($J1833=0,$K1833=0),0,1)</f>
        <v>0</v>
      </c>
      <c r="M1833" t="s">
        <v>582</v>
      </c>
    </row>
    <row r="1834" spans="1:13" x14ac:dyDescent="0.2">
      <c r="A1834" t="s">
        <v>580</v>
      </c>
      <c r="B1834" t="s">
        <v>581</v>
      </c>
      <c r="C1834" t="s">
        <v>7</v>
      </c>
      <c r="D1834">
        <v>1001</v>
      </c>
      <c r="E1834">
        <v>2019</v>
      </c>
      <c r="F1834">
        <v>80</v>
      </c>
      <c r="G1834">
        <v>18746</v>
      </c>
      <c r="H1834" s="1">
        <v>1</v>
      </c>
      <c r="I1834">
        <v>14</v>
      </c>
      <c r="J1834">
        <f>IF($H1834=0,1,IF($I1834&lt;=1,2,0))</f>
        <v>0</v>
      </c>
      <c r="K1834">
        <v>0</v>
      </c>
      <c r="L1834">
        <f>IF(AND($J1834=0,$K1834=0),0,1)</f>
        <v>0</v>
      </c>
      <c r="M1834" t="s">
        <v>584</v>
      </c>
    </row>
    <row r="1835" spans="1:13" x14ac:dyDescent="0.2">
      <c r="A1835" t="s">
        <v>580</v>
      </c>
      <c r="B1835" t="s">
        <v>581</v>
      </c>
      <c r="C1835" t="s">
        <v>7</v>
      </c>
      <c r="D1835">
        <v>1001</v>
      </c>
      <c r="E1835">
        <v>2019</v>
      </c>
      <c r="F1835">
        <v>10</v>
      </c>
      <c r="G1835">
        <v>49996</v>
      </c>
      <c r="H1835" s="1">
        <v>1</v>
      </c>
      <c r="I1835">
        <v>13</v>
      </c>
      <c r="J1835">
        <f>IF($H1835=0,1,IF($I1835&lt;=1,2,0))</f>
        <v>0</v>
      </c>
      <c r="K1835">
        <v>0</v>
      </c>
      <c r="L1835">
        <f>IF(AND($J1835=0,$K1835=0),0,1)</f>
        <v>0</v>
      </c>
      <c r="M1835" t="s">
        <v>583</v>
      </c>
    </row>
    <row r="1836" spans="1:13" x14ac:dyDescent="0.2">
      <c r="A1836" t="s">
        <v>580</v>
      </c>
      <c r="B1836" t="s">
        <v>581</v>
      </c>
      <c r="C1836" t="s">
        <v>7</v>
      </c>
      <c r="D1836">
        <v>1001</v>
      </c>
      <c r="E1836">
        <v>2019</v>
      </c>
      <c r="F1836">
        <v>14</v>
      </c>
      <c r="G1836">
        <v>98171</v>
      </c>
      <c r="H1836" s="1">
        <v>1</v>
      </c>
      <c r="I1836">
        <v>13</v>
      </c>
      <c r="J1836">
        <f>IF($H1836=0,1,IF($I1836&lt;=1,2,0))</f>
        <v>0</v>
      </c>
      <c r="K1836">
        <v>0</v>
      </c>
      <c r="L1836">
        <f>IF(AND($J1836=0,$K1836=0),0,1)</f>
        <v>0</v>
      </c>
      <c r="M1836" t="s">
        <v>582</v>
      </c>
    </row>
    <row r="1837" spans="1:13" x14ac:dyDescent="0.2">
      <c r="A1837" t="s">
        <v>580</v>
      </c>
      <c r="B1837" t="s">
        <v>581</v>
      </c>
      <c r="C1837" t="s">
        <v>7</v>
      </c>
      <c r="D1837">
        <v>1001</v>
      </c>
      <c r="E1837">
        <v>2019</v>
      </c>
      <c r="F1837">
        <v>47</v>
      </c>
      <c r="G1837">
        <v>98137</v>
      </c>
      <c r="H1837" s="1">
        <v>1</v>
      </c>
      <c r="I1837">
        <v>13</v>
      </c>
      <c r="J1837">
        <f>IF($H1837=0,1,IF($I1837&lt;=1,2,0))</f>
        <v>0</v>
      </c>
      <c r="K1837">
        <v>0</v>
      </c>
      <c r="L1837">
        <f>IF(AND($J1837=0,$K1837=0),0,1)</f>
        <v>0</v>
      </c>
      <c r="M1837" t="s">
        <v>582</v>
      </c>
    </row>
    <row r="1838" spans="1:13" x14ac:dyDescent="0.2">
      <c r="A1838" t="s">
        <v>580</v>
      </c>
      <c r="B1838" t="s">
        <v>581</v>
      </c>
      <c r="C1838" t="s">
        <v>7</v>
      </c>
      <c r="D1838">
        <v>1001</v>
      </c>
      <c r="E1838">
        <v>2019</v>
      </c>
      <c r="F1838">
        <v>56</v>
      </c>
      <c r="G1838">
        <v>98129</v>
      </c>
      <c r="H1838" s="1">
        <v>1</v>
      </c>
      <c r="I1838">
        <v>13</v>
      </c>
      <c r="J1838">
        <f>IF($H1838=0,1,IF($I1838&lt;=1,2,0))</f>
        <v>0</v>
      </c>
      <c r="K1838">
        <v>0</v>
      </c>
      <c r="L1838">
        <f>IF(AND($J1838=0,$K1838=0),0,1)</f>
        <v>0</v>
      </c>
      <c r="M1838" t="s">
        <v>582</v>
      </c>
    </row>
    <row r="1839" spans="1:13" x14ac:dyDescent="0.2">
      <c r="A1839" t="s">
        <v>580</v>
      </c>
      <c r="B1839" t="s">
        <v>581</v>
      </c>
      <c r="C1839" t="s">
        <v>7</v>
      </c>
      <c r="D1839">
        <v>1001</v>
      </c>
      <c r="E1839">
        <v>2019</v>
      </c>
      <c r="F1839">
        <v>74</v>
      </c>
      <c r="G1839">
        <v>98116</v>
      </c>
      <c r="H1839" s="1">
        <v>1</v>
      </c>
      <c r="I1839">
        <v>13</v>
      </c>
      <c r="J1839">
        <f>IF($H1839=0,1,IF($I1839&lt;=1,2,0))</f>
        <v>0</v>
      </c>
      <c r="K1839">
        <v>0</v>
      </c>
      <c r="L1839">
        <f>IF(AND($J1839=0,$K1839=0),0,1)</f>
        <v>0</v>
      </c>
      <c r="M1839" t="s">
        <v>582</v>
      </c>
    </row>
    <row r="1840" spans="1:13" x14ac:dyDescent="0.2">
      <c r="A1840" t="s">
        <v>580</v>
      </c>
      <c r="B1840" t="s">
        <v>581</v>
      </c>
      <c r="C1840" t="s">
        <v>7</v>
      </c>
      <c r="D1840">
        <v>1001</v>
      </c>
      <c r="E1840">
        <v>2019</v>
      </c>
      <c r="F1840">
        <v>78</v>
      </c>
      <c r="G1840">
        <v>18200</v>
      </c>
      <c r="H1840" s="1">
        <v>1</v>
      </c>
      <c r="I1840">
        <v>13</v>
      </c>
      <c r="J1840">
        <f>IF($H1840=0,1,IF($I1840&lt;=1,2,0))</f>
        <v>0</v>
      </c>
      <c r="K1840">
        <v>0</v>
      </c>
      <c r="L1840">
        <f>IF(AND($J1840=0,$K1840=0),0,1)</f>
        <v>0</v>
      </c>
    </row>
    <row r="1841" spans="1:13" x14ac:dyDescent="0.2">
      <c r="A1841" t="s">
        <v>580</v>
      </c>
      <c r="B1841" t="s">
        <v>581</v>
      </c>
      <c r="C1841" t="s">
        <v>7</v>
      </c>
      <c r="D1841">
        <v>1001</v>
      </c>
      <c r="E1841">
        <v>2019</v>
      </c>
      <c r="F1841">
        <v>6</v>
      </c>
      <c r="G1841">
        <v>98182</v>
      </c>
      <c r="H1841" s="1">
        <v>1</v>
      </c>
      <c r="I1841">
        <v>12</v>
      </c>
      <c r="J1841">
        <f>IF($H1841=0,1,IF($I1841&lt;=1,2,0))</f>
        <v>0</v>
      </c>
      <c r="K1841">
        <v>0</v>
      </c>
      <c r="L1841">
        <f>IF(AND($J1841=0,$K1841=0),0,1)</f>
        <v>0</v>
      </c>
      <c r="M1841" t="s">
        <v>582</v>
      </c>
    </row>
    <row r="1842" spans="1:13" x14ac:dyDescent="0.2">
      <c r="A1842" t="s">
        <v>580</v>
      </c>
      <c r="B1842" t="s">
        <v>581</v>
      </c>
      <c r="C1842" t="s">
        <v>7</v>
      </c>
      <c r="D1842">
        <v>1001</v>
      </c>
      <c r="E1842">
        <v>2019</v>
      </c>
      <c r="F1842">
        <v>39</v>
      </c>
      <c r="G1842">
        <v>98144</v>
      </c>
      <c r="H1842" s="1">
        <v>1</v>
      </c>
      <c r="I1842">
        <v>12</v>
      </c>
      <c r="J1842">
        <f>IF($H1842=0,1,IF($I1842&lt;=1,2,0))</f>
        <v>0</v>
      </c>
      <c r="K1842">
        <v>0</v>
      </c>
      <c r="L1842">
        <f>IF(AND($J1842=0,$K1842=0),0,1)</f>
        <v>0</v>
      </c>
      <c r="M1842" t="s">
        <v>582</v>
      </c>
    </row>
    <row r="1843" spans="1:13" x14ac:dyDescent="0.2">
      <c r="A1843" t="s">
        <v>580</v>
      </c>
      <c r="B1843" t="s">
        <v>581</v>
      </c>
      <c r="C1843" t="s">
        <v>7</v>
      </c>
      <c r="D1843">
        <v>1001</v>
      </c>
      <c r="E1843">
        <v>2019</v>
      </c>
      <c r="F1843">
        <v>34</v>
      </c>
      <c r="G1843">
        <v>98149</v>
      </c>
      <c r="H1843" s="1">
        <v>1</v>
      </c>
      <c r="I1843">
        <v>11</v>
      </c>
      <c r="J1843">
        <f>IF($H1843=0,1,IF($I1843&lt;=1,2,0))</f>
        <v>0</v>
      </c>
      <c r="K1843">
        <v>0</v>
      </c>
      <c r="L1843">
        <f>IF(AND($J1843=0,$K1843=0),0,1)</f>
        <v>0</v>
      </c>
    </row>
    <row r="1844" spans="1:13" x14ac:dyDescent="0.2">
      <c r="A1844" t="s">
        <v>580</v>
      </c>
      <c r="B1844" t="s">
        <v>581</v>
      </c>
      <c r="C1844" t="s">
        <v>7</v>
      </c>
      <c r="D1844">
        <v>1001</v>
      </c>
      <c r="E1844">
        <v>2019</v>
      </c>
      <c r="F1844">
        <v>59</v>
      </c>
      <c r="G1844">
        <v>18201</v>
      </c>
      <c r="H1844" s="1">
        <v>1</v>
      </c>
      <c r="I1844">
        <v>11</v>
      </c>
      <c r="J1844">
        <f>IF($H1844=0,1,IF($I1844&lt;=1,2,0))</f>
        <v>0</v>
      </c>
      <c r="K1844">
        <v>0</v>
      </c>
      <c r="L1844">
        <f>IF(AND($J1844=0,$K1844=0),0,1)</f>
        <v>0</v>
      </c>
    </row>
    <row r="1845" spans="1:13" x14ac:dyDescent="0.2">
      <c r="A1845" t="s">
        <v>580</v>
      </c>
      <c r="B1845" t="s">
        <v>581</v>
      </c>
      <c r="C1845" t="s">
        <v>7</v>
      </c>
      <c r="D1845">
        <v>1001</v>
      </c>
      <c r="E1845">
        <v>2019</v>
      </c>
      <c r="F1845">
        <v>72</v>
      </c>
      <c r="G1845">
        <v>98118</v>
      </c>
      <c r="H1845" s="1">
        <v>1</v>
      </c>
      <c r="I1845">
        <v>11</v>
      </c>
      <c r="J1845">
        <f>IF($H1845=0,1,IF($I1845&lt;=1,2,0))</f>
        <v>0</v>
      </c>
      <c r="K1845">
        <v>0</v>
      </c>
      <c r="L1845">
        <f>IF(AND($J1845=0,$K1845=0),0,1)</f>
        <v>0</v>
      </c>
      <c r="M1845" t="s">
        <v>582</v>
      </c>
    </row>
    <row r="1846" spans="1:13" x14ac:dyDescent="0.2">
      <c r="A1846" t="s">
        <v>580</v>
      </c>
      <c r="B1846" t="s">
        <v>581</v>
      </c>
      <c r="C1846" t="s">
        <v>7</v>
      </c>
      <c r="D1846">
        <v>1001</v>
      </c>
      <c r="E1846">
        <v>2019</v>
      </c>
      <c r="F1846">
        <v>4</v>
      </c>
      <c r="G1846">
        <v>98185</v>
      </c>
      <c r="H1846" s="1">
        <v>1</v>
      </c>
      <c r="I1846">
        <v>10</v>
      </c>
      <c r="J1846">
        <f>IF($H1846=0,1,IF($I1846&lt;=1,2,0))</f>
        <v>0</v>
      </c>
      <c r="K1846">
        <v>0</v>
      </c>
      <c r="L1846">
        <f>IF(AND($J1846=0,$K1846=0),0,1)</f>
        <v>0</v>
      </c>
      <c r="M1846" t="s">
        <v>582</v>
      </c>
    </row>
    <row r="1847" spans="1:13" x14ac:dyDescent="0.2">
      <c r="A1847" t="s">
        <v>580</v>
      </c>
      <c r="B1847" t="s">
        <v>581</v>
      </c>
      <c r="C1847" t="s">
        <v>7</v>
      </c>
      <c r="D1847">
        <v>1001</v>
      </c>
      <c r="E1847">
        <v>2019</v>
      </c>
      <c r="F1847">
        <v>64</v>
      </c>
      <c r="G1847">
        <v>98125</v>
      </c>
      <c r="H1847" s="1">
        <v>1</v>
      </c>
      <c r="I1847">
        <v>9</v>
      </c>
      <c r="J1847">
        <f>IF($H1847=0,1,IF($I1847&lt;=1,2,0))</f>
        <v>0</v>
      </c>
      <c r="K1847">
        <v>0</v>
      </c>
      <c r="L1847">
        <f>IF(AND($J1847=0,$K1847=0),0,1)</f>
        <v>0</v>
      </c>
      <c r="M1847" t="s">
        <v>582</v>
      </c>
    </row>
    <row r="1848" spans="1:13" x14ac:dyDescent="0.2">
      <c r="A1848" t="s">
        <v>580</v>
      </c>
      <c r="B1848" t="s">
        <v>581</v>
      </c>
      <c r="C1848" t="s">
        <v>7</v>
      </c>
      <c r="D1848">
        <v>1001</v>
      </c>
      <c r="E1848">
        <v>2019</v>
      </c>
      <c r="F1848">
        <v>68</v>
      </c>
      <c r="G1848">
        <v>98122</v>
      </c>
      <c r="H1848" s="1">
        <v>1</v>
      </c>
      <c r="I1848">
        <v>9</v>
      </c>
      <c r="J1848">
        <f>IF($H1848=0,1,IF($I1848&lt;=1,2,0))</f>
        <v>0</v>
      </c>
      <c r="K1848">
        <v>0</v>
      </c>
      <c r="L1848">
        <f>IF(AND($J1848=0,$K1848=0),0,1)</f>
        <v>0</v>
      </c>
      <c r="M1848" t="s">
        <v>582</v>
      </c>
    </row>
    <row r="1849" spans="1:13" x14ac:dyDescent="0.2">
      <c r="A1849" t="s">
        <v>580</v>
      </c>
      <c r="B1849" t="s">
        <v>581</v>
      </c>
      <c r="C1849" t="s">
        <v>7</v>
      </c>
      <c r="D1849">
        <v>1001</v>
      </c>
      <c r="E1849">
        <v>2019</v>
      </c>
      <c r="F1849">
        <v>79</v>
      </c>
      <c r="G1849">
        <v>18745</v>
      </c>
      <c r="H1849" s="1">
        <v>1</v>
      </c>
      <c r="I1849">
        <v>4</v>
      </c>
      <c r="J1849">
        <f>IF($H1849=0,1,IF($I1849&lt;=1,2,0))</f>
        <v>0</v>
      </c>
      <c r="K1849">
        <v>0</v>
      </c>
      <c r="L1849">
        <f>IF(AND($J1849=0,$K1849=0),0,1)</f>
        <v>0</v>
      </c>
      <c r="M1849" t="s">
        <v>1947</v>
      </c>
    </row>
    <row r="1850" spans="1:13" x14ac:dyDescent="0.2">
      <c r="A1850" t="s">
        <v>580</v>
      </c>
      <c r="B1850" t="s">
        <v>581</v>
      </c>
      <c r="C1850" t="s">
        <v>7</v>
      </c>
      <c r="D1850">
        <v>1005</v>
      </c>
      <c r="E1850">
        <v>2019</v>
      </c>
      <c r="F1850">
        <v>16</v>
      </c>
      <c r="G1850">
        <v>98215</v>
      </c>
      <c r="H1850" s="1" t="s">
        <v>1831</v>
      </c>
      <c r="I1850">
        <v>26</v>
      </c>
      <c r="J1850">
        <f>IF($H1850=0,1,IF($I1850&lt;=1,2,0))</f>
        <v>0</v>
      </c>
      <c r="K1850">
        <v>0</v>
      </c>
      <c r="L1850">
        <f>IF(AND($J1850=0,$K1850=0),0,1)</f>
        <v>0</v>
      </c>
      <c r="M1850" t="s">
        <v>585</v>
      </c>
    </row>
    <row r="1851" spans="1:13" x14ac:dyDescent="0.2">
      <c r="A1851" t="s">
        <v>580</v>
      </c>
      <c r="B1851" t="s">
        <v>581</v>
      </c>
      <c r="C1851" t="s">
        <v>7</v>
      </c>
      <c r="D1851">
        <v>1005</v>
      </c>
      <c r="E1851">
        <v>2019</v>
      </c>
      <c r="F1851">
        <v>25</v>
      </c>
      <c r="G1851">
        <v>98206</v>
      </c>
      <c r="H1851" s="1" t="s">
        <v>1831</v>
      </c>
      <c r="I1851">
        <v>23</v>
      </c>
      <c r="J1851">
        <f>IF($H1851=0,1,IF($I1851&lt;=1,2,0))</f>
        <v>0</v>
      </c>
      <c r="K1851">
        <v>0</v>
      </c>
      <c r="L1851">
        <f>IF(AND($J1851=0,$K1851=0),0,1)</f>
        <v>0</v>
      </c>
      <c r="M1851" t="s">
        <v>585</v>
      </c>
    </row>
    <row r="1852" spans="1:13" x14ac:dyDescent="0.2">
      <c r="A1852" t="s">
        <v>580</v>
      </c>
      <c r="B1852" t="s">
        <v>581</v>
      </c>
      <c r="C1852" t="s">
        <v>7</v>
      </c>
      <c r="D1852">
        <v>1005</v>
      </c>
      <c r="E1852">
        <v>2019</v>
      </c>
      <c r="F1852">
        <v>31</v>
      </c>
      <c r="G1852">
        <v>98199</v>
      </c>
      <c r="H1852" s="1" t="s">
        <v>1831</v>
      </c>
      <c r="I1852">
        <v>18</v>
      </c>
      <c r="J1852">
        <f>IF($H1852=0,1,IF($I1852&lt;=1,2,0))</f>
        <v>0</v>
      </c>
      <c r="K1852">
        <v>0</v>
      </c>
      <c r="L1852">
        <f>IF(AND($J1852=0,$K1852=0),0,1)</f>
        <v>0</v>
      </c>
      <c r="M1852" t="s">
        <v>585</v>
      </c>
    </row>
    <row r="1853" spans="1:13" x14ac:dyDescent="0.2">
      <c r="A1853" t="s">
        <v>580</v>
      </c>
      <c r="B1853" t="s">
        <v>581</v>
      </c>
      <c r="C1853" t="s">
        <v>7</v>
      </c>
      <c r="D1853">
        <v>1005</v>
      </c>
      <c r="E1853">
        <v>2019</v>
      </c>
      <c r="F1853">
        <v>26</v>
      </c>
      <c r="G1853">
        <v>98204</v>
      </c>
      <c r="H1853" s="1" t="s">
        <v>1831</v>
      </c>
      <c r="I1853">
        <v>17</v>
      </c>
      <c r="J1853">
        <f>IF($H1853=0,1,IF($I1853&lt;=1,2,0))</f>
        <v>0</v>
      </c>
      <c r="K1853">
        <v>0</v>
      </c>
      <c r="L1853">
        <f>IF(AND($J1853=0,$K1853=0),0,1)</f>
        <v>0</v>
      </c>
      <c r="M1853" t="s">
        <v>585</v>
      </c>
    </row>
    <row r="1854" spans="1:13" x14ac:dyDescent="0.2">
      <c r="A1854" t="s">
        <v>580</v>
      </c>
      <c r="B1854" t="s">
        <v>581</v>
      </c>
      <c r="C1854" t="s">
        <v>7</v>
      </c>
      <c r="D1854">
        <v>1005</v>
      </c>
      <c r="E1854">
        <v>2019</v>
      </c>
      <c r="F1854">
        <v>14</v>
      </c>
      <c r="G1854">
        <v>98217</v>
      </c>
      <c r="H1854" s="1" t="s">
        <v>1831</v>
      </c>
      <c r="I1854">
        <v>16</v>
      </c>
      <c r="J1854">
        <f>IF($H1854=0,1,IF($I1854&lt;=1,2,0))</f>
        <v>0</v>
      </c>
      <c r="K1854">
        <v>0</v>
      </c>
      <c r="L1854">
        <f>IF(AND($J1854=0,$K1854=0),0,1)</f>
        <v>0</v>
      </c>
      <c r="M1854" t="s">
        <v>585</v>
      </c>
    </row>
    <row r="1855" spans="1:13" x14ac:dyDescent="0.2">
      <c r="A1855" t="s">
        <v>580</v>
      </c>
      <c r="B1855" t="s">
        <v>581</v>
      </c>
      <c r="C1855" t="s">
        <v>7</v>
      </c>
      <c r="D1855">
        <v>1005</v>
      </c>
      <c r="E1855">
        <v>2019</v>
      </c>
      <c r="F1855">
        <v>30</v>
      </c>
      <c r="G1855">
        <v>98200</v>
      </c>
      <c r="H1855" s="1" t="s">
        <v>1831</v>
      </c>
      <c r="I1855">
        <v>14</v>
      </c>
      <c r="J1855">
        <f>IF($H1855=0,1,IF($I1855&lt;=1,2,0))</f>
        <v>0</v>
      </c>
      <c r="K1855">
        <v>0</v>
      </c>
      <c r="L1855">
        <f>IF(AND($J1855=0,$K1855=0),0,1)</f>
        <v>0</v>
      </c>
      <c r="M1855" t="s">
        <v>585</v>
      </c>
    </row>
    <row r="1856" spans="1:13" x14ac:dyDescent="0.2">
      <c r="A1856" t="s">
        <v>580</v>
      </c>
      <c r="B1856" t="s">
        <v>581</v>
      </c>
      <c r="C1856" t="s">
        <v>7</v>
      </c>
      <c r="D1856">
        <v>1005</v>
      </c>
      <c r="E1856">
        <v>2019</v>
      </c>
      <c r="F1856">
        <v>33</v>
      </c>
      <c r="G1856">
        <v>98196</v>
      </c>
      <c r="H1856" s="1" t="s">
        <v>1831</v>
      </c>
      <c r="I1856">
        <v>14</v>
      </c>
      <c r="J1856">
        <f>IF($H1856=0,1,IF($I1856&lt;=1,2,0))</f>
        <v>0</v>
      </c>
      <c r="K1856">
        <v>0</v>
      </c>
      <c r="L1856">
        <f>IF(AND($J1856=0,$K1856=0),0,1)</f>
        <v>0</v>
      </c>
      <c r="M1856" t="s">
        <v>585</v>
      </c>
    </row>
    <row r="1857" spans="1:13" x14ac:dyDescent="0.2">
      <c r="A1857" t="s">
        <v>580</v>
      </c>
      <c r="B1857" t="s">
        <v>581</v>
      </c>
      <c r="C1857" t="s">
        <v>7</v>
      </c>
      <c r="D1857">
        <v>1005</v>
      </c>
      <c r="E1857">
        <v>2019</v>
      </c>
      <c r="F1857">
        <v>32</v>
      </c>
      <c r="G1857">
        <v>98197</v>
      </c>
      <c r="H1857" s="1" t="s">
        <v>1831</v>
      </c>
      <c r="I1857">
        <v>13</v>
      </c>
      <c r="J1857">
        <f>IF($H1857=0,1,IF($I1857&lt;=1,2,0))</f>
        <v>0</v>
      </c>
      <c r="K1857">
        <v>0</v>
      </c>
      <c r="L1857">
        <f>IF(AND($J1857=0,$K1857=0),0,1)</f>
        <v>0</v>
      </c>
      <c r="M1857" t="s">
        <v>585</v>
      </c>
    </row>
    <row r="1858" spans="1:13" x14ac:dyDescent="0.2">
      <c r="A1858" t="s">
        <v>580</v>
      </c>
      <c r="B1858" t="s">
        <v>581</v>
      </c>
      <c r="C1858" t="s">
        <v>7</v>
      </c>
      <c r="D1858">
        <v>1005</v>
      </c>
      <c r="E1858">
        <v>2019</v>
      </c>
      <c r="F1858">
        <v>37</v>
      </c>
      <c r="G1858">
        <v>98192</v>
      </c>
      <c r="H1858" s="1" t="s">
        <v>1831</v>
      </c>
      <c r="I1858">
        <v>13</v>
      </c>
      <c r="J1858">
        <f>IF($H1858=0,1,IF($I1858&lt;=1,2,0))</f>
        <v>0</v>
      </c>
      <c r="K1858">
        <v>0</v>
      </c>
      <c r="L1858">
        <f>IF(AND($J1858=0,$K1858=0),0,1)</f>
        <v>0</v>
      </c>
      <c r="M1858" t="s">
        <v>585</v>
      </c>
    </row>
    <row r="1859" spans="1:13" x14ac:dyDescent="0.2">
      <c r="A1859" t="s">
        <v>580</v>
      </c>
      <c r="B1859" t="s">
        <v>581</v>
      </c>
      <c r="C1859" t="s">
        <v>7</v>
      </c>
      <c r="D1859">
        <v>1005</v>
      </c>
      <c r="E1859">
        <v>2019</v>
      </c>
      <c r="F1859">
        <v>22</v>
      </c>
      <c r="G1859">
        <v>98208</v>
      </c>
      <c r="H1859" s="1" t="s">
        <v>1831</v>
      </c>
      <c r="I1859">
        <v>11</v>
      </c>
      <c r="J1859">
        <f>IF($H1859=0,1,IF($I1859&lt;=1,2,0))</f>
        <v>0</v>
      </c>
      <c r="K1859">
        <v>0</v>
      </c>
      <c r="L1859">
        <f>IF(AND($J1859=0,$K1859=0),0,1)</f>
        <v>0</v>
      </c>
      <c r="M1859" t="s">
        <v>585</v>
      </c>
    </row>
    <row r="1860" spans="1:13" x14ac:dyDescent="0.2">
      <c r="A1860" t="s">
        <v>580</v>
      </c>
      <c r="B1860" t="s">
        <v>581</v>
      </c>
      <c r="C1860" t="s">
        <v>7</v>
      </c>
      <c r="D1860">
        <v>1005</v>
      </c>
      <c r="E1860">
        <v>2019</v>
      </c>
      <c r="F1860">
        <v>21</v>
      </c>
      <c r="G1860">
        <v>98210</v>
      </c>
      <c r="H1860" s="1" t="s">
        <v>1831</v>
      </c>
      <c r="I1860">
        <v>10</v>
      </c>
      <c r="J1860">
        <f>IF($H1860=0,1,IF($I1860&lt;=1,2,0))</f>
        <v>0</v>
      </c>
      <c r="K1860">
        <v>0</v>
      </c>
      <c r="L1860">
        <f>IF(AND($J1860=0,$K1860=0),0,1)</f>
        <v>0</v>
      </c>
      <c r="M1860" t="s">
        <v>585</v>
      </c>
    </row>
    <row r="1861" spans="1:13" x14ac:dyDescent="0.2">
      <c r="A1861" t="s">
        <v>580</v>
      </c>
      <c r="B1861" t="s">
        <v>581</v>
      </c>
      <c r="C1861" t="s">
        <v>7</v>
      </c>
      <c r="D1861">
        <v>1005</v>
      </c>
      <c r="E1861">
        <v>2019</v>
      </c>
      <c r="F1861">
        <v>6</v>
      </c>
      <c r="G1861">
        <v>98227</v>
      </c>
      <c r="H1861" s="1" t="s">
        <v>1831</v>
      </c>
      <c r="I1861">
        <v>9</v>
      </c>
      <c r="J1861">
        <f>IF($H1861=0,1,IF($I1861&lt;=1,2,0))</f>
        <v>0</v>
      </c>
      <c r="K1861">
        <v>0</v>
      </c>
      <c r="L1861">
        <f>IF(AND($J1861=0,$K1861=0),0,1)</f>
        <v>0</v>
      </c>
      <c r="M1861" t="s">
        <v>585</v>
      </c>
    </row>
    <row r="1862" spans="1:13" x14ac:dyDescent="0.2">
      <c r="A1862" t="s">
        <v>580</v>
      </c>
      <c r="B1862" t="s">
        <v>581</v>
      </c>
      <c r="C1862" t="s">
        <v>7</v>
      </c>
      <c r="D1862">
        <v>1005</v>
      </c>
      <c r="E1862">
        <v>2019</v>
      </c>
      <c r="F1862">
        <v>10</v>
      </c>
      <c r="G1862">
        <v>98223</v>
      </c>
      <c r="H1862" s="1" t="s">
        <v>1831</v>
      </c>
      <c r="I1862">
        <v>8</v>
      </c>
      <c r="J1862">
        <f>IF($H1862=0,1,IF($I1862&lt;=1,2,0))</f>
        <v>0</v>
      </c>
      <c r="K1862">
        <v>0</v>
      </c>
      <c r="L1862">
        <f>IF(AND($J1862=0,$K1862=0),0,1)</f>
        <v>0</v>
      </c>
      <c r="M1862" t="s">
        <v>585</v>
      </c>
    </row>
    <row r="1863" spans="1:13" x14ac:dyDescent="0.2">
      <c r="A1863" t="s">
        <v>580</v>
      </c>
      <c r="B1863" t="s">
        <v>581</v>
      </c>
      <c r="C1863" t="s">
        <v>7</v>
      </c>
      <c r="D1863">
        <v>1005</v>
      </c>
      <c r="E1863">
        <v>2019</v>
      </c>
      <c r="F1863">
        <v>20</v>
      </c>
      <c r="G1863">
        <v>98211</v>
      </c>
      <c r="H1863" s="1" t="s">
        <v>1831</v>
      </c>
      <c r="I1863">
        <v>8</v>
      </c>
      <c r="J1863">
        <f>IF($H1863=0,1,IF($I1863&lt;=1,2,0))</f>
        <v>0</v>
      </c>
      <c r="K1863">
        <v>0</v>
      </c>
      <c r="L1863">
        <f>IF(AND($J1863=0,$K1863=0),0,1)</f>
        <v>0</v>
      </c>
      <c r="M1863" t="s">
        <v>585</v>
      </c>
    </row>
    <row r="1864" spans="1:13" x14ac:dyDescent="0.2">
      <c r="A1864" t="s">
        <v>580</v>
      </c>
      <c r="B1864" t="s">
        <v>581</v>
      </c>
      <c r="C1864" t="s">
        <v>7</v>
      </c>
      <c r="D1864">
        <v>1005</v>
      </c>
      <c r="E1864">
        <v>2019</v>
      </c>
      <c r="F1864">
        <v>1</v>
      </c>
      <c r="G1864">
        <v>98232</v>
      </c>
      <c r="H1864" s="1" t="s">
        <v>1831</v>
      </c>
      <c r="I1864">
        <v>6</v>
      </c>
      <c r="J1864">
        <f>IF($H1864=0,1,IF($I1864&lt;=1,2,0))</f>
        <v>0</v>
      </c>
      <c r="K1864">
        <v>0</v>
      </c>
      <c r="L1864">
        <f>IF(AND($J1864=0,$K1864=0),0,1)</f>
        <v>0</v>
      </c>
      <c r="M1864" t="s">
        <v>585</v>
      </c>
    </row>
    <row r="1865" spans="1:13" x14ac:dyDescent="0.2">
      <c r="A1865" t="s">
        <v>580</v>
      </c>
      <c r="B1865" t="s">
        <v>581</v>
      </c>
      <c r="C1865" t="s">
        <v>7</v>
      </c>
      <c r="D1865">
        <v>1005</v>
      </c>
      <c r="E1865">
        <v>2019</v>
      </c>
      <c r="F1865">
        <v>3</v>
      </c>
      <c r="G1865">
        <v>98230</v>
      </c>
      <c r="H1865" s="1" t="s">
        <v>1831</v>
      </c>
      <c r="I1865">
        <v>6</v>
      </c>
      <c r="J1865">
        <f>IF($H1865=0,1,IF($I1865&lt;=1,2,0))</f>
        <v>0</v>
      </c>
      <c r="K1865">
        <v>0</v>
      </c>
      <c r="L1865">
        <f>IF(AND($J1865=0,$K1865=0),0,1)</f>
        <v>0</v>
      </c>
      <c r="M1865" t="s">
        <v>585</v>
      </c>
    </row>
    <row r="1866" spans="1:13" x14ac:dyDescent="0.2">
      <c r="A1866" t="s">
        <v>580</v>
      </c>
      <c r="B1866" t="s">
        <v>581</v>
      </c>
      <c r="C1866" t="s">
        <v>7</v>
      </c>
      <c r="D1866">
        <v>1005</v>
      </c>
      <c r="E1866">
        <v>2019</v>
      </c>
      <c r="F1866">
        <v>36</v>
      </c>
      <c r="G1866">
        <v>98193</v>
      </c>
      <c r="H1866" s="1" t="s">
        <v>1831</v>
      </c>
      <c r="I1866">
        <v>6</v>
      </c>
      <c r="J1866">
        <f>IF($H1866=0,1,IF($I1866&lt;=1,2,0))</f>
        <v>0</v>
      </c>
      <c r="K1866">
        <v>0</v>
      </c>
      <c r="L1866">
        <f>IF(AND($J1866=0,$K1866=0),0,1)</f>
        <v>0</v>
      </c>
      <c r="M1866" t="s">
        <v>585</v>
      </c>
    </row>
    <row r="1867" spans="1:13" x14ac:dyDescent="0.2">
      <c r="A1867" t="s">
        <v>580</v>
      </c>
      <c r="B1867" t="s">
        <v>581</v>
      </c>
      <c r="C1867" t="s">
        <v>7</v>
      </c>
      <c r="D1867">
        <v>1005</v>
      </c>
      <c r="E1867">
        <v>2019</v>
      </c>
      <c r="F1867">
        <v>17</v>
      </c>
      <c r="G1867">
        <v>98214</v>
      </c>
      <c r="H1867" s="1" t="s">
        <v>1831</v>
      </c>
      <c r="I1867">
        <v>5</v>
      </c>
      <c r="J1867">
        <f>IF($H1867=0,1,IF($I1867&lt;=1,2,0))</f>
        <v>0</v>
      </c>
      <c r="K1867">
        <v>0</v>
      </c>
      <c r="L1867">
        <f>IF(AND($J1867=0,$K1867=0),0,1)</f>
        <v>0</v>
      </c>
      <c r="M1867" t="s">
        <v>585</v>
      </c>
    </row>
    <row r="1868" spans="1:13" x14ac:dyDescent="0.2">
      <c r="A1868" t="s">
        <v>580</v>
      </c>
      <c r="B1868" t="s">
        <v>581</v>
      </c>
      <c r="C1868" t="s">
        <v>7</v>
      </c>
      <c r="D1868">
        <v>1005</v>
      </c>
      <c r="E1868">
        <v>2019</v>
      </c>
      <c r="F1868">
        <v>28</v>
      </c>
      <c r="G1868">
        <v>98201</v>
      </c>
      <c r="H1868" s="1" t="s">
        <v>1831</v>
      </c>
      <c r="I1868">
        <v>5</v>
      </c>
      <c r="J1868">
        <f>IF($H1868=0,1,IF($I1868&lt;=1,2,0))</f>
        <v>0</v>
      </c>
      <c r="K1868">
        <v>0</v>
      </c>
      <c r="L1868">
        <f>IF(AND($J1868=0,$K1868=0),0,1)</f>
        <v>0</v>
      </c>
      <c r="M1868" t="s">
        <v>585</v>
      </c>
    </row>
    <row r="1869" spans="1:13" x14ac:dyDescent="0.2">
      <c r="A1869" t="s">
        <v>580</v>
      </c>
      <c r="B1869" t="s">
        <v>581</v>
      </c>
      <c r="C1869" t="s">
        <v>7</v>
      </c>
      <c r="D1869">
        <v>1005</v>
      </c>
      <c r="E1869">
        <v>2019</v>
      </c>
      <c r="F1869">
        <v>11</v>
      </c>
      <c r="G1869">
        <v>98221</v>
      </c>
      <c r="H1869" s="1" t="s">
        <v>1831</v>
      </c>
      <c r="I1869">
        <v>4</v>
      </c>
      <c r="J1869">
        <f>IF($H1869=0,1,IF($I1869&lt;=1,2,0))</f>
        <v>0</v>
      </c>
      <c r="K1869">
        <v>0</v>
      </c>
      <c r="L1869">
        <f>IF(AND($J1869=0,$K1869=0),0,1)</f>
        <v>0</v>
      </c>
      <c r="M1869" t="s">
        <v>585</v>
      </c>
    </row>
    <row r="1870" spans="1:13" x14ac:dyDescent="0.2">
      <c r="A1870" t="s">
        <v>580</v>
      </c>
      <c r="B1870" t="s">
        <v>581</v>
      </c>
      <c r="C1870" t="s">
        <v>7</v>
      </c>
      <c r="D1870">
        <v>1005</v>
      </c>
      <c r="E1870">
        <v>2019</v>
      </c>
      <c r="F1870">
        <v>18</v>
      </c>
      <c r="G1870">
        <v>98213</v>
      </c>
      <c r="H1870" s="1" t="s">
        <v>1831</v>
      </c>
      <c r="I1870">
        <v>4</v>
      </c>
      <c r="J1870">
        <f>IF($H1870=0,1,IF($I1870&lt;=1,2,0))</f>
        <v>0</v>
      </c>
      <c r="K1870">
        <v>0</v>
      </c>
      <c r="L1870">
        <f>IF(AND($J1870=0,$K1870=0),0,1)</f>
        <v>0</v>
      </c>
      <c r="M1870" t="s">
        <v>585</v>
      </c>
    </row>
    <row r="1871" spans="1:13" x14ac:dyDescent="0.2">
      <c r="A1871" t="s">
        <v>580</v>
      </c>
      <c r="B1871" t="s">
        <v>581</v>
      </c>
      <c r="C1871" t="s">
        <v>7</v>
      </c>
      <c r="D1871">
        <v>1005</v>
      </c>
      <c r="E1871">
        <v>2019</v>
      </c>
      <c r="F1871">
        <v>35</v>
      </c>
      <c r="G1871">
        <v>98194</v>
      </c>
      <c r="H1871" s="1" t="s">
        <v>1831</v>
      </c>
      <c r="I1871">
        <v>4</v>
      </c>
      <c r="J1871">
        <f>IF($H1871=0,1,IF($I1871&lt;=1,2,0))</f>
        <v>0</v>
      </c>
      <c r="K1871">
        <v>0</v>
      </c>
      <c r="L1871">
        <f>IF(AND($J1871=0,$K1871=0),0,1)</f>
        <v>0</v>
      </c>
      <c r="M1871" t="s">
        <v>585</v>
      </c>
    </row>
    <row r="1872" spans="1:13" x14ac:dyDescent="0.2">
      <c r="A1872" t="s">
        <v>580</v>
      </c>
      <c r="B1872" t="s">
        <v>581</v>
      </c>
      <c r="C1872" t="s">
        <v>7</v>
      </c>
      <c r="D1872">
        <v>1005</v>
      </c>
      <c r="E1872">
        <v>2019</v>
      </c>
      <c r="F1872">
        <v>5</v>
      </c>
      <c r="G1872">
        <v>98228</v>
      </c>
      <c r="H1872" s="1" t="s">
        <v>1831</v>
      </c>
      <c r="I1872">
        <v>3</v>
      </c>
      <c r="J1872">
        <f>IF($H1872=0,1,IF($I1872&lt;=1,2,0))</f>
        <v>0</v>
      </c>
      <c r="K1872">
        <v>0</v>
      </c>
      <c r="L1872">
        <f>IF(AND($J1872=0,$K1872=0),0,1)</f>
        <v>0</v>
      </c>
      <c r="M1872" t="s">
        <v>585</v>
      </c>
    </row>
    <row r="1873" spans="1:13" x14ac:dyDescent="0.2">
      <c r="A1873" t="s">
        <v>580</v>
      </c>
      <c r="B1873" t="s">
        <v>581</v>
      </c>
      <c r="C1873" t="s">
        <v>7</v>
      </c>
      <c r="D1873">
        <v>1005</v>
      </c>
      <c r="E1873">
        <v>2019</v>
      </c>
      <c r="F1873">
        <v>12</v>
      </c>
      <c r="G1873">
        <v>98220</v>
      </c>
      <c r="H1873" s="1" t="s">
        <v>1831</v>
      </c>
      <c r="I1873">
        <v>3</v>
      </c>
      <c r="J1873">
        <f>IF($H1873=0,1,IF($I1873&lt;=1,2,0))</f>
        <v>0</v>
      </c>
      <c r="K1873">
        <v>0</v>
      </c>
      <c r="L1873">
        <f>IF(AND($J1873=0,$K1873=0),0,1)</f>
        <v>0</v>
      </c>
      <c r="M1873" t="s">
        <v>585</v>
      </c>
    </row>
    <row r="1874" spans="1:13" x14ac:dyDescent="0.2">
      <c r="A1874" t="s">
        <v>580</v>
      </c>
      <c r="B1874" t="s">
        <v>581</v>
      </c>
      <c r="C1874" t="s">
        <v>7</v>
      </c>
      <c r="D1874">
        <v>1005</v>
      </c>
      <c r="E1874">
        <v>2019</v>
      </c>
      <c r="F1874">
        <v>13</v>
      </c>
      <c r="G1874">
        <v>98218</v>
      </c>
      <c r="H1874" s="1" t="s">
        <v>1831</v>
      </c>
      <c r="I1874">
        <v>3</v>
      </c>
      <c r="J1874">
        <f>IF($H1874=0,1,IF($I1874&lt;=1,2,0))</f>
        <v>0</v>
      </c>
      <c r="K1874">
        <v>0</v>
      </c>
      <c r="L1874">
        <f>IF(AND($J1874=0,$K1874=0),0,1)</f>
        <v>0</v>
      </c>
      <c r="M1874" t="s">
        <v>585</v>
      </c>
    </row>
    <row r="1875" spans="1:13" x14ac:dyDescent="0.2">
      <c r="A1875" t="s">
        <v>580</v>
      </c>
      <c r="B1875" t="s">
        <v>581</v>
      </c>
      <c r="C1875" t="s">
        <v>7</v>
      </c>
      <c r="D1875">
        <v>1005</v>
      </c>
      <c r="E1875">
        <v>2019</v>
      </c>
      <c r="F1875">
        <v>24</v>
      </c>
      <c r="G1875">
        <v>98207</v>
      </c>
      <c r="H1875" s="1" t="s">
        <v>1831</v>
      </c>
      <c r="I1875">
        <v>3</v>
      </c>
      <c r="J1875">
        <f>IF($H1875=0,1,IF($I1875&lt;=1,2,0))</f>
        <v>0</v>
      </c>
      <c r="K1875">
        <v>0</v>
      </c>
      <c r="L1875">
        <f>IF(AND($J1875=0,$K1875=0),0,1)</f>
        <v>0</v>
      </c>
      <c r="M1875" t="s">
        <v>585</v>
      </c>
    </row>
    <row r="1876" spans="1:13" x14ac:dyDescent="0.2">
      <c r="A1876" t="s">
        <v>587</v>
      </c>
      <c r="B1876" t="s">
        <v>17</v>
      </c>
      <c r="C1876" t="s">
        <v>21</v>
      </c>
      <c r="D1876">
        <v>1001</v>
      </c>
      <c r="E1876">
        <v>2019</v>
      </c>
      <c r="F1876">
        <v>1</v>
      </c>
      <c r="G1876">
        <v>9016</v>
      </c>
      <c r="H1876" s="1">
        <v>3</v>
      </c>
      <c r="I1876">
        <v>38</v>
      </c>
      <c r="J1876">
        <f>IF($H1876=0,1,IF($I1876&lt;=1,2,0))</f>
        <v>0</v>
      </c>
      <c r="K1876">
        <v>0</v>
      </c>
      <c r="L1876">
        <f>IF(AND($J1876=0,$K1876=0),0,1)</f>
        <v>0</v>
      </c>
    </row>
    <row r="1877" spans="1:13" x14ac:dyDescent="0.2">
      <c r="A1877" t="s">
        <v>587</v>
      </c>
      <c r="B1877" t="s">
        <v>17</v>
      </c>
      <c r="C1877" t="s">
        <v>21</v>
      </c>
      <c r="D1877">
        <v>1001</v>
      </c>
      <c r="E1877">
        <v>2019</v>
      </c>
      <c r="F1877">
        <v>2</v>
      </c>
      <c r="G1877">
        <v>9026</v>
      </c>
      <c r="H1877" s="1">
        <v>3</v>
      </c>
      <c r="I1877">
        <v>26</v>
      </c>
      <c r="J1877">
        <f>IF($H1877=0,1,IF($I1877&lt;=1,2,0))</f>
        <v>0</v>
      </c>
      <c r="K1877">
        <v>0</v>
      </c>
      <c r="L1877">
        <f>IF(AND($J1877=0,$K1877=0),0,1)</f>
        <v>0</v>
      </c>
    </row>
    <row r="1878" spans="1:13" x14ac:dyDescent="0.2">
      <c r="A1878" t="s">
        <v>587</v>
      </c>
      <c r="B1878" t="s">
        <v>17</v>
      </c>
      <c r="C1878" t="s">
        <v>21</v>
      </c>
      <c r="D1878">
        <v>1001</v>
      </c>
      <c r="E1878">
        <v>2019</v>
      </c>
      <c r="F1878">
        <v>3</v>
      </c>
      <c r="G1878">
        <v>9027</v>
      </c>
      <c r="H1878" s="1">
        <v>3</v>
      </c>
      <c r="I1878">
        <v>17</v>
      </c>
      <c r="J1878">
        <f>IF($H1878=0,1,IF($I1878&lt;=1,2,0))</f>
        <v>0</v>
      </c>
      <c r="K1878">
        <v>0</v>
      </c>
      <c r="L1878">
        <f>IF(AND($J1878=0,$K1878=0),0,1)</f>
        <v>0</v>
      </c>
    </row>
    <row r="1879" spans="1:13" x14ac:dyDescent="0.2">
      <c r="A1879" t="s">
        <v>587</v>
      </c>
      <c r="B1879" t="s">
        <v>17</v>
      </c>
      <c r="C1879" t="s">
        <v>7</v>
      </c>
      <c r="D1879">
        <v>1010</v>
      </c>
      <c r="E1879">
        <v>2019</v>
      </c>
      <c r="F1879">
        <v>1</v>
      </c>
      <c r="G1879">
        <v>45493</v>
      </c>
      <c r="H1879" s="1">
        <v>3</v>
      </c>
      <c r="I1879">
        <v>56</v>
      </c>
      <c r="J1879">
        <f>IF($H1879=0,1,IF($I1879&lt;=1,2,0))</f>
        <v>0</v>
      </c>
      <c r="K1879">
        <v>0</v>
      </c>
      <c r="L1879">
        <f>IF(AND($J1879=0,$K1879=0),0,1)</f>
        <v>0</v>
      </c>
    </row>
    <row r="1880" spans="1:13" x14ac:dyDescent="0.2">
      <c r="A1880" t="s">
        <v>587</v>
      </c>
      <c r="B1880" t="s">
        <v>17</v>
      </c>
      <c r="C1880" t="s">
        <v>21</v>
      </c>
      <c r="D1880">
        <v>2100</v>
      </c>
      <c r="E1880">
        <v>2019</v>
      </c>
      <c r="F1880">
        <v>1</v>
      </c>
      <c r="G1880">
        <v>9019</v>
      </c>
      <c r="H1880" s="1">
        <v>3</v>
      </c>
      <c r="I1880">
        <v>11</v>
      </c>
      <c r="J1880">
        <f>IF($H1880=0,1,IF($I1880&lt;=1,2,0))</f>
        <v>0</v>
      </c>
      <c r="K1880">
        <v>0</v>
      </c>
      <c r="L1880">
        <f>IF(AND($J1880=0,$K1880=0),0,1)</f>
        <v>0</v>
      </c>
    </row>
    <row r="1881" spans="1:13" x14ac:dyDescent="0.2">
      <c r="A1881" t="s">
        <v>587</v>
      </c>
      <c r="B1881" t="s">
        <v>17</v>
      </c>
      <c r="C1881" t="s">
        <v>21</v>
      </c>
      <c r="D1881">
        <v>2101</v>
      </c>
      <c r="E1881">
        <v>2019</v>
      </c>
      <c r="F1881">
        <v>1</v>
      </c>
      <c r="G1881">
        <v>45364</v>
      </c>
      <c r="H1881" s="1">
        <v>4</v>
      </c>
      <c r="I1881">
        <v>70</v>
      </c>
      <c r="J1881">
        <f>IF($H1881=0,1,IF($I1881&lt;=1,2,0))</f>
        <v>0</v>
      </c>
      <c r="K1881">
        <v>0</v>
      </c>
      <c r="L1881">
        <f>IF(AND($J1881=0,$K1881=0),0,1)</f>
        <v>0</v>
      </c>
    </row>
    <row r="1882" spans="1:13" x14ac:dyDescent="0.2">
      <c r="A1882" t="s">
        <v>587</v>
      </c>
      <c r="B1882" t="s">
        <v>17</v>
      </c>
      <c r="C1882" t="s">
        <v>21</v>
      </c>
      <c r="D1882">
        <v>2110</v>
      </c>
      <c r="E1882">
        <v>2019</v>
      </c>
      <c r="F1882">
        <v>1</v>
      </c>
      <c r="G1882">
        <v>45516</v>
      </c>
      <c r="H1882" s="1">
        <v>3</v>
      </c>
      <c r="I1882">
        <v>96</v>
      </c>
      <c r="J1882">
        <f>IF($H1882=0,1,IF($I1882&lt;=1,2,0))</f>
        <v>0</v>
      </c>
      <c r="K1882">
        <v>0</v>
      </c>
      <c r="L1882">
        <f>IF(AND($J1882=0,$K1882=0),0,1)</f>
        <v>0</v>
      </c>
    </row>
    <row r="1883" spans="1:13" x14ac:dyDescent="0.2">
      <c r="A1883" t="s">
        <v>587</v>
      </c>
      <c r="B1883" t="s">
        <v>17</v>
      </c>
      <c r="C1883" t="s">
        <v>9</v>
      </c>
      <c r="D1883">
        <v>2685</v>
      </c>
      <c r="E1883">
        <v>2019</v>
      </c>
      <c r="F1883">
        <v>1</v>
      </c>
      <c r="G1883">
        <v>9024</v>
      </c>
      <c r="H1883" s="1">
        <v>3</v>
      </c>
      <c r="I1883">
        <v>15</v>
      </c>
      <c r="J1883">
        <f>IF($H1883=0,1,IF($I1883&lt;=1,2,0))</f>
        <v>0</v>
      </c>
      <c r="K1883">
        <v>0</v>
      </c>
      <c r="L1883">
        <f>IF(AND($J1883=0,$K1883=0),0,1)</f>
        <v>0</v>
      </c>
    </row>
    <row r="1884" spans="1:13" x14ac:dyDescent="0.2">
      <c r="A1884" t="s">
        <v>587</v>
      </c>
      <c r="B1884" t="s">
        <v>17</v>
      </c>
      <c r="C1884" t="s">
        <v>21</v>
      </c>
      <c r="D1884">
        <v>3252</v>
      </c>
      <c r="E1884">
        <v>2019</v>
      </c>
      <c r="F1884">
        <v>1</v>
      </c>
      <c r="G1884">
        <v>45495</v>
      </c>
      <c r="H1884" s="1">
        <v>3</v>
      </c>
      <c r="I1884">
        <v>16</v>
      </c>
      <c r="J1884">
        <f>IF($H1884=0,1,IF($I1884&lt;=1,2,0))</f>
        <v>0</v>
      </c>
      <c r="K1884">
        <v>0</v>
      </c>
      <c r="L1884">
        <f>IF(AND($J1884=0,$K1884=0),0,1)</f>
        <v>0</v>
      </c>
    </row>
    <row r="1885" spans="1:13" x14ac:dyDescent="0.2">
      <c r="A1885" t="s">
        <v>587</v>
      </c>
      <c r="B1885" t="s">
        <v>17</v>
      </c>
      <c r="C1885" t="s">
        <v>21</v>
      </c>
      <c r="D1885">
        <v>3353</v>
      </c>
      <c r="E1885">
        <v>2019</v>
      </c>
      <c r="F1885">
        <v>1</v>
      </c>
      <c r="G1885">
        <v>45517</v>
      </c>
      <c r="H1885" s="1">
        <v>3</v>
      </c>
      <c r="I1885">
        <v>31</v>
      </c>
      <c r="J1885">
        <f>IF($H1885=0,1,IF($I1885&lt;=1,2,0))</f>
        <v>0</v>
      </c>
      <c r="K1885">
        <v>0</v>
      </c>
      <c r="L1885">
        <f>IF(AND($J1885=0,$K1885=0),0,1)</f>
        <v>0</v>
      </c>
    </row>
    <row r="1886" spans="1:13" x14ac:dyDescent="0.2">
      <c r="A1886" t="s">
        <v>587</v>
      </c>
      <c r="B1886" t="s">
        <v>17</v>
      </c>
      <c r="C1886" t="s">
        <v>21</v>
      </c>
      <c r="D1886">
        <v>3411</v>
      </c>
      <c r="E1886">
        <v>2019</v>
      </c>
      <c r="F1886">
        <v>1</v>
      </c>
      <c r="G1886">
        <v>45464</v>
      </c>
      <c r="H1886" s="1">
        <v>4</v>
      </c>
      <c r="I1886">
        <v>59</v>
      </c>
      <c r="J1886">
        <f>IF($H1886=0,1,IF($I1886&lt;=1,2,0))</f>
        <v>0</v>
      </c>
      <c r="K1886">
        <v>0</v>
      </c>
      <c r="L1886">
        <f>IF(AND($J1886=0,$K1886=0),0,1)</f>
        <v>0</v>
      </c>
    </row>
    <row r="1887" spans="1:13" x14ac:dyDescent="0.2">
      <c r="A1887" t="s">
        <v>587</v>
      </c>
      <c r="B1887" t="s">
        <v>17</v>
      </c>
      <c r="C1887" t="s">
        <v>21</v>
      </c>
      <c r="D1887">
        <v>3411</v>
      </c>
      <c r="E1887">
        <v>2019</v>
      </c>
      <c r="F1887">
        <v>2</v>
      </c>
      <c r="G1887">
        <v>45513</v>
      </c>
      <c r="H1887" s="1">
        <v>4</v>
      </c>
      <c r="I1887">
        <v>14</v>
      </c>
      <c r="J1887">
        <f>IF($H1887=0,1,IF($I1887&lt;=1,2,0))</f>
        <v>0</v>
      </c>
      <c r="K1887">
        <v>0</v>
      </c>
      <c r="L1887">
        <f>IF(AND($J1887=0,$K1887=0),0,1)</f>
        <v>0</v>
      </c>
    </row>
    <row r="1888" spans="1:13" x14ac:dyDescent="0.2">
      <c r="A1888" t="s">
        <v>587</v>
      </c>
      <c r="B1888" t="s">
        <v>17</v>
      </c>
      <c r="C1888" t="s">
        <v>21</v>
      </c>
      <c r="D1888">
        <v>3601</v>
      </c>
      <c r="E1888">
        <v>2019</v>
      </c>
      <c r="F1888">
        <v>1</v>
      </c>
      <c r="G1888">
        <v>45400</v>
      </c>
      <c r="H1888" s="1">
        <v>4</v>
      </c>
      <c r="I1888">
        <v>20</v>
      </c>
      <c r="J1888">
        <f>IF($H1888=0,1,IF($I1888&lt;=1,2,0))</f>
        <v>0</v>
      </c>
      <c r="K1888">
        <v>0</v>
      </c>
      <c r="L1888">
        <f>IF(AND($J1888=0,$K1888=0),0,1)</f>
        <v>0</v>
      </c>
    </row>
    <row r="1889" spans="1:13" x14ac:dyDescent="0.2">
      <c r="A1889" t="s">
        <v>587</v>
      </c>
      <c r="B1889" t="s">
        <v>17</v>
      </c>
      <c r="C1889" t="s">
        <v>21</v>
      </c>
      <c r="D1889">
        <v>3701</v>
      </c>
      <c r="E1889">
        <v>2019</v>
      </c>
      <c r="F1889">
        <v>1</v>
      </c>
      <c r="G1889">
        <v>45366</v>
      </c>
      <c r="H1889" s="1">
        <v>4</v>
      </c>
      <c r="I1889">
        <v>29</v>
      </c>
      <c r="J1889">
        <f>IF($H1889=0,1,IF($I1889&lt;=1,2,0))</f>
        <v>0</v>
      </c>
      <c r="K1889">
        <v>0</v>
      </c>
      <c r="L1889">
        <f>IF(AND($J1889=0,$K1889=0),0,1)</f>
        <v>0</v>
      </c>
    </row>
    <row r="1890" spans="1:13" x14ac:dyDescent="0.2">
      <c r="A1890" t="s">
        <v>587</v>
      </c>
      <c r="B1890" t="s">
        <v>17</v>
      </c>
      <c r="C1890" t="s">
        <v>9</v>
      </c>
      <c r="D1890">
        <v>3756</v>
      </c>
      <c r="E1890">
        <v>2019</v>
      </c>
      <c r="F1890">
        <v>1</v>
      </c>
      <c r="G1890">
        <v>17317</v>
      </c>
      <c r="H1890" s="1">
        <v>3</v>
      </c>
      <c r="I1890">
        <v>7</v>
      </c>
      <c r="J1890">
        <f>IF($H1890=0,1,IF($I1890&lt;=1,2,0))</f>
        <v>0</v>
      </c>
      <c r="K1890">
        <v>0</v>
      </c>
      <c r="L1890">
        <f>IF(AND($J1890=0,$K1890=0),0,1)</f>
        <v>0</v>
      </c>
    </row>
    <row r="1891" spans="1:13" x14ac:dyDescent="0.2">
      <c r="A1891" t="s">
        <v>587</v>
      </c>
      <c r="B1891" t="s">
        <v>17</v>
      </c>
      <c r="C1891" t="s">
        <v>7</v>
      </c>
      <c r="D1891">
        <v>3912</v>
      </c>
      <c r="E1891">
        <v>2019</v>
      </c>
      <c r="F1891">
        <v>3</v>
      </c>
      <c r="G1891">
        <v>45519</v>
      </c>
      <c r="H1891" s="1">
        <v>3</v>
      </c>
      <c r="I1891">
        <v>18</v>
      </c>
      <c r="J1891">
        <f>IF($H1891=0,1,IF($I1891&lt;=1,2,0))</f>
        <v>0</v>
      </c>
      <c r="K1891">
        <v>0</v>
      </c>
      <c r="L1891">
        <f>IF(AND($J1891=0,$K1891=0),0,1)</f>
        <v>0</v>
      </c>
    </row>
    <row r="1892" spans="1:13" x14ac:dyDescent="0.2">
      <c r="A1892" t="s">
        <v>587</v>
      </c>
      <c r="B1892" t="s">
        <v>17</v>
      </c>
      <c r="C1892" t="s">
        <v>7</v>
      </c>
      <c r="D1892">
        <v>3912</v>
      </c>
      <c r="E1892">
        <v>2019</v>
      </c>
      <c r="F1892">
        <v>14</v>
      </c>
      <c r="G1892">
        <v>45515</v>
      </c>
      <c r="H1892" s="1">
        <v>3</v>
      </c>
      <c r="I1892">
        <v>17</v>
      </c>
      <c r="J1892">
        <f>IF($H1892=0,1,IF($I1892&lt;=1,2,0))</f>
        <v>0</v>
      </c>
      <c r="K1892">
        <v>0</v>
      </c>
      <c r="L1892">
        <f>IF(AND($J1892=0,$K1892=0),0,1)</f>
        <v>0</v>
      </c>
    </row>
    <row r="1893" spans="1:13" x14ac:dyDescent="0.2">
      <c r="A1893" t="s">
        <v>587</v>
      </c>
      <c r="B1893" t="s">
        <v>17</v>
      </c>
      <c r="C1893" t="s">
        <v>7</v>
      </c>
      <c r="D1893">
        <v>3912</v>
      </c>
      <c r="E1893">
        <v>2019</v>
      </c>
      <c r="F1893">
        <v>19</v>
      </c>
      <c r="G1893">
        <v>45514</v>
      </c>
      <c r="H1893" s="1">
        <v>3</v>
      </c>
      <c r="I1893">
        <v>16</v>
      </c>
      <c r="J1893">
        <f>IF($H1893=0,1,IF($I1893&lt;=1,2,0))</f>
        <v>0</v>
      </c>
      <c r="K1893">
        <v>0</v>
      </c>
      <c r="L1893">
        <f>IF(AND($J1893=0,$K1893=0),0,1)</f>
        <v>0</v>
      </c>
    </row>
    <row r="1894" spans="1:13" x14ac:dyDescent="0.2">
      <c r="A1894" t="s">
        <v>587</v>
      </c>
      <c r="B1894" t="s">
        <v>17</v>
      </c>
      <c r="C1894" t="s">
        <v>11</v>
      </c>
      <c r="D1894">
        <v>4089</v>
      </c>
      <c r="E1894">
        <v>2019</v>
      </c>
      <c r="F1894">
        <v>1</v>
      </c>
      <c r="G1894">
        <v>45520</v>
      </c>
      <c r="H1894" s="1">
        <v>3</v>
      </c>
      <c r="I1894">
        <v>60</v>
      </c>
      <c r="J1894">
        <f>IF($H1894=0,1,IF($I1894&lt;=1,2,0))</f>
        <v>0</v>
      </c>
      <c r="K1894">
        <v>0</v>
      </c>
      <c r="L1894">
        <f>IF(AND($J1894=0,$K1894=0),0,1)</f>
        <v>0</v>
      </c>
    </row>
    <row r="1895" spans="1:13" x14ac:dyDescent="0.2">
      <c r="A1895" t="s">
        <v>587</v>
      </c>
      <c r="B1895" t="s">
        <v>17</v>
      </c>
      <c r="C1895" t="s">
        <v>11</v>
      </c>
      <c r="D1895">
        <v>4424</v>
      </c>
      <c r="E1895">
        <v>2019</v>
      </c>
      <c r="F1895">
        <v>1</v>
      </c>
      <c r="G1895">
        <v>45492</v>
      </c>
      <c r="H1895" s="1">
        <v>3</v>
      </c>
      <c r="I1895">
        <v>18</v>
      </c>
      <c r="J1895">
        <f>IF($H1895=0,1,IF($I1895&lt;=1,2,0))</f>
        <v>0</v>
      </c>
      <c r="K1895">
        <v>0</v>
      </c>
      <c r="L1895">
        <f>IF(AND($J1895=0,$K1895=0),0,1)</f>
        <v>0</v>
      </c>
    </row>
    <row r="1896" spans="1:13" x14ac:dyDescent="0.2">
      <c r="A1896" t="s">
        <v>587</v>
      </c>
      <c r="B1896" t="s">
        <v>17</v>
      </c>
      <c r="C1896" t="s">
        <v>11</v>
      </c>
      <c r="D1896">
        <v>4451</v>
      </c>
      <c r="E1896">
        <v>2019</v>
      </c>
      <c r="F1896">
        <v>1</v>
      </c>
      <c r="G1896">
        <v>45528</v>
      </c>
      <c r="H1896" s="1">
        <v>3</v>
      </c>
      <c r="I1896">
        <v>5</v>
      </c>
      <c r="J1896">
        <f>IF($H1896=0,1,IF($I1896&lt;=1,2,0))</f>
        <v>0</v>
      </c>
      <c r="K1896">
        <v>0</v>
      </c>
      <c r="L1896">
        <f>IF(AND($J1896=0,$K1896=0),0,1)</f>
        <v>0</v>
      </c>
    </row>
    <row r="1897" spans="1:13" x14ac:dyDescent="0.2">
      <c r="A1897" t="s">
        <v>587</v>
      </c>
      <c r="B1897" t="s">
        <v>17</v>
      </c>
      <c r="C1897" t="s">
        <v>11</v>
      </c>
      <c r="D1897">
        <v>4471</v>
      </c>
      <c r="E1897">
        <v>2019</v>
      </c>
      <c r="F1897">
        <v>1</v>
      </c>
      <c r="G1897">
        <v>45521</v>
      </c>
      <c r="H1897" s="1">
        <v>3</v>
      </c>
      <c r="I1897">
        <v>14</v>
      </c>
      <c r="J1897">
        <f>IF($H1897=0,1,IF($I1897&lt;=1,2,0))</f>
        <v>0</v>
      </c>
      <c r="K1897">
        <v>0</v>
      </c>
      <c r="L1897">
        <f>IF(AND($J1897=0,$K1897=0),0,1)</f>
        <v>0</v>
      </c>
    </row>
    <row r="1898" spans="1:13" x14ac:dyDescent="0.2">
      <c r="A1898" t="s">
        <v>587</v>
      </c>
      <c r="B1898" t="s">
        <v>17</v>
      </c>
      <c r="C1898" t="s">
        <v>11</v>
      </c>
      <c r="D1898">
        <v>4561</v>
      </c>
      <c r="E1898">
        <v>2019</v>
      </c>
      <c r="F1898">
        <v>1</v>
      </c>
      <c r="G1898">
        <v>45498</v>
      </c>
      <c r="H1898" s="1">
        <v>3</v>
      </c>
      <c r="I1898">
        <v>24</v>
      </c>
      <c r="J1898">
        <f>IF($H1898=0,1,IF($I1898&lt;=1,2,0))</f>
        <v>0</v>
      </c>
      <c r="K1898">
        <v>0</v>
      </c>
      <c r="L1898">
        <f>IF(AND($J1898=0,$K1898=0),0,1)</f>
        <v>0</v>
      </c>
    </row>
    <row r="1899" spans="1:13" x14ac:dyDescent="0.2">
      <c r="A1899" t="s">
        <v>587</v>
      </c>
      <c r="B1899" t="s">
        <v>17</v>
      </c>
      <c r="C1899" t="s">
        <v>11</v>
      </c>
      <c r="D1899">
        <v>5415</v>
      </c>
      <c r="E1899">
        <v>2019</v>
      </c>
      <c r="F1899">
        <v>1</v>
      </c>
      <c r="G1899">
        <v>45512</v>
      </c>
      <c r="H1899" s="1">
        <v>4</v>
      </c>
      <c r="I1899">
        <v>4</v>
      </c>
      <c r="J1899">
        <f>IF($H1899=0,1,IF($I1899&lt;=1,2,0))</f>
        <v>0</v>
      </c>
      <c r="K1899">
        <v>0</v>
      </c>
      <c r="L1899">
        <f>IF(AND($J1899=0,$K1899=0),0,1)</f>
        <v>0</v>
      </c>
    </row>
    <row r="1900" spans="1:13" x14ac:dyDescent="0.2">
      <c r="A1900" t="s">
        <v>587</v>
      </c>
      <c r="B1900" t="s">
        <v>17</v>
      </c>
      <c r="C1900" t="s">
        <v>11</v>
      </c>
      <c r="D1900">
        <v>6801</v>
      </c>
      <c r="E1900">
        <v>2019</v>
      </c>
      <c r="F1900">
        <v>1</v>
      </c>
      <c r="G1900">
        <v>45522</v>
      </c>
      <c r="H1900" s="1">
        <v>3</v>
      </c>
      <c r="I1900">
        <v>28</v>
      </c>
      <c r="J1900">
        <f>IF($H1900=0,1,IF($I1900&lt;=1,2,0))</f>
        <v>0</v>
      </c>
      <c r="K1900">
        <v>0</v>
      </c>
      <c r="L1900">
        <f>IF(AND($J1900=0,$K1900=0),0,1)</f>
        <v>0</v>
      </c>
    </row>
    <row r="1901" spans="1:13" x14ac:dyDescent="0.2">
      <c r="A1901" t="s">
        <v>587</v>
      </c>
      <c r="B1901" t="s">
        <v>17</v>
      </c>
      <c r="C1901" t="s">
        <v>11</v>
      </c>
      <c r="D1901">
        <v>6880</v>
      </c>
      <c r="E1901">
        <v>2019</v>
      </c>
      <c r="F1901">
        <v>1</v>
      </c>
      <c r="G1901">
        <v>45499</v>
      </c>
      <c r="H1901" s="1">
        <v>3</v>
      </c>
      <c r="I1901">
        <v>6</v>
      </c>
      <c r="J1901">
        <f>IF($H1901=0,1,IF($I1901&lt;=1,2,0))</f>
        <v>0</v>
      </c>
      <c r="K1901">
        <v>0</v>
      </c>
      <c r="L1901">
        <f>IF(AND($J1901=0,$K1901=0),0,1)</f>
        <v>0</v>
      </c>
    </row>
    <row r="1902" spans="1:13" x14ac:dyDescent="0.2">
      <c r="A1902" t="s">
        <v>589</v>
      </c>
      <c r="B1902" t="s">
        <v>133</v>
      </c>
      <c r="C1902" t="s">
        <v>9</v>
      </c>
      <c r="D1902">
        <v>1111</v>
      </c>
      <c r="E1902">
        <v>2019</v>
      </c>
      <c r="F1902">
        <v>1</v>
      </c>
      <c r="G1902">
        <v>47007</v>
      </c>
      <c r="H1902" s="1">
        <v>3</v>
      </c>
      <c r="I1902">
        <v>58</v>
      </c>
      <c r="J1902">
        <f>IF($H1902=0,1,IF($I1902&lt;=1,2,0))</f>
        <v>0</v>
      </c>
      <c r="K1902">
        <v>0</v>
      </c>
      <c r="L1902">
        <f>IF(AND($J1902=0,$K1902=0),0,1)</f>
        <v>0</v>
      </c>
    </row>
    <row r="1903" spans="1:13" x14ac:dyDescent="0.2">
      <c r="A1903" t="s">
        <v>589</v>
      </c>
      <c r="B1903" t="s">
        <v>133</v>
      </c>
      <c r="C1903" t="s">
        <v>9</v>
      </c>
      <c r="D1903">
        <v>1201</v>
      </c>
      <c r="E1903">
        <v>2019</v>
      </c>
      <c r="F1903">
        <v>1</v>
      </c>
      <c r="G1903">
        <v>47032</v>
      </c>
      <c r="H1903" s="1">
        <v>3</v>
      </c>
      <c r="I1903">
        <v>161</v>
      </c>
      <c r="J1903">
        <f>IF($H1903=0,1,IF($I1903&lt;=1,2,0))</f>
        <v>0</v>
      </c>
      <c r="K1903">
        <v>0</v>
      </c>
      <c r="L1903">
        <f>IF(AND($J1903=0,$K1903=0),0,1)</f>
        <v>0</v>
      </c>
      <c r="M1903" t="s">
        <v>590</v>
      </c>
    </row>
    <row r="1904" spans="1:13" x14ac:dyDescent="0.2">
      <c r="A1904" t="s">
        <v>589</v>
      </c>
      <c r="B1904" t="s">
        <v>133</v>
      </c>
      <c r="C1904" t="s">
        <v>9</v>
      </c>
      <c r="D1904">
        <v>1201</v>
      </c>
      <c r="E1904">
        <v>2019</v>
      </c>
      <c r="F1904">
        <v>2</v>
      </c>
      <c r="G1904">
        <v>47033</v>
      </c>
      <c r="H1904" s="1">
        <v>3</v>
      </c>
      <c r="I1904">
        <v>78</v>
      </c>
      <c r="J1904">
        <f>IF($H1904=0,1,IF($I1904&lt;=1,2,0))</f>
        <v>0</v>
      </c>
      <c r="K1904">
        <v>0</v>
      </c>
      <c r="L1904">
        <f>IF(AND($J1904=0,$K1904=0),0,1)</f>
        <v>0</v>
      </c>
      <c r="M1904" t="s">
        <v>590</v>
      </c>
    </row>
    <row r="1905" spans="1:13" x14ac:dyDescent="0.2">
      <c r="A1905" t="s">
        <v>589</v>
      </c>
      <c r="B1905" t="s">
        <v>133</v>
      </c>
      <c r="C1905" t="s">
        <v>9</v>
      </c>
      <c r="D1905">
        <v>1201</v>
      </c>
      <c r="E1905">
        <v>2019</v>
      </c>
      <c r="F1905">
        <v>3</v>
      </c>
      <c r="G1905">
        <v>47034</v>
      </c>
      <c r="H1905" s="1">
        <v>3</v>
      </c>
      <c r="I1905">
        <v>45</v>
      </c>
      <c r="J1905">
        <f>IF($H1905=0,1,IF($I1905&lt;=1,2,0))</f>
        <v>0</v>
      </c>
      <c r="K1905">
        <v>0</v>
      </c>
      <c r="L1905">
        <f>IF(AND($J1905=0,$K1905=0),0,1)</f>
        <v>0</v>
      </c>
      <c r="M1905" t="s">
        <v>590</v>
      </c>
    </row>
    <row r="1906" spans="1:13" x14ac:dyDescent="0.2">
      <c r="A1906" t="s">
        <v>589</v>
      </c>
      <c r="B1906" t="s">
        <v>133</v>
      </c>
      <c r="C1906" t="s">
        <v>9</v>
      </c>
      <c r="D1906">
        <v>1401</v>
      </c>
      <c r="E1906">
        <v>2019</v>
      </c>
      <c r="F1906">
        <v>1</v>
      </c>
      <c r="G1906">
        <v>47035</v>
      </c>
      <c r="H1906" s="1">
        <v>3</v>
      </c>
      <c r="I1906">
        <v>149</v>
      </c>
      <c r="J1906">
        <f>IF($H1906=0,1,IF($I1906&lt;=1,2,0))</f>
        <v>0</v>
      </c>
      <c r="K1906">
        <v>0</v>
      </c>
      <c r="L1906">
        <f>IF(AND($J1906=0,$K1906=0),0,1)</f>
        <v>0</v>
      </c>
      <c r="M1906" t="s">
        <v>592</v>
      </c>
    </row>
    <row r="1907" spans="1:13" x14ac:dyDescent="0.2">
      <c r="A1907" t="s">
        <v>589</v>
      </c>
      <c r="B1907" t="s">
        <v>133</v>
      </c>
      <c r="C1907" t="s">
        <v>9</v>
      </c>
      <c r="D1907">
        <v>1401</v>
      </c>
      <c r="E1907">
        <v>2019</v>
      </c>
      <c r="F1907">
        <v>2</v>
      </c>
      <c r="G1907">
        <v>47036</v>
      </c>
      <c r="H1907" s="1">
        <v>3</v>
      </c>
      <c r="I1907">
        <v>129</v>
      </c>
      <c r="J1907">
        <f>IF($H1907=0,1,IF($I1907&lt;=1,2,0))</f>
        <v>0</v>
      </c>
      <c r="K1907">
        <v>0</v>
      </c>
      <c r="L1907">
        <f>IF(AND($J1907=0,$K1907=0),0,1)</f>
        <v>0</v>
      </c>
      <c r="M1907" t="s">
        <v>592</v>
      </c>
    </row>
    <row r="1908" spans="1:13" x14ac:dyDescent="0.2">
      <c r="A1908" t="s">
        <v>589</v>
      </c>
      <c r="B1908" t="s">
        <v>133</v>
      </c>
      <c r="C1908" t="s">
        <v>7</v>
      </c>
      <c r="D1908">
        <v>1403</v>
      </c>
      <c r="E1908">
        <v>2019</v>
      </c>
      <c r="F1908">
        <v>2</v>
      </c>
      <c r="G1908">
        <v>47081</v>
      </c>
      <c r="H1908" s="1">
        <v>3</v>
      </c>
      <c r="I1908">
        <v>104</v>
      </c>
      <c r="J1908">
        <f>IF($H1908=0,1,IF($I1908&lt;=1,2,0))</f>
        <v>0</v>
      </c>
      <c r="K1908">
        <v>0</v>
      </c>
      <c r="L1908">
        <f>IF(AND($J1908=0,$K1908=0),0,1)</f>
        <v>0</v>
      </c>
    </row>
    <row r="1909" spans="1:13" x14ac:dyDescent="0.2">
      <c r="A1909" t="s">
        <v>589</v>
      </c>
      <c r="B1909" t="s">
        <v>133</v>
      </c>
      <c r="C1909" t="s">
        <v>9</v>
      </c>
      <c r="D1909">
        <v>1494</v>
      </c>
      <c r="E1909">
        <v>2019</v>
      </c>
      <c r="F1909">
        <v>1</v>
      </c>
      <c r="G1909">
        <v>47008</v>
      </c>
      <c r="H1909" s="1">
        <v>3</v>
      </c>
      <c r="I1909">
        <v>14</v>
      </c>
      <c r="J1909">
        <f>IF($H1909=0,1,IF($I1909&lt;=1,2,0))</f>
        <v>0</v>
      </c>
      <c r="K1909">
        <v>0</v>
      </c>
      <c r="L1909">
        <f>IF(AND($J1909=0,$K1909=0),0,1)</f>
        <v>0</v>
      </c>
      <c r="M1909" t="s">
        <v>593</v>
      </c>
    </row>
    <row r="1910" spans="1:13" x14ac:dyDescent="0.2">
      <c r="A1910" t="s">
        <v>589</v>
      </c>
      <c r="B1910" t="s">
        <v>133</v>
      </c>
      <c r="C1910" t="s">
        <v>9</v>
      </c>
      <c r="D1910">
        <v>1494</v>
      </c>
      <c r="E1910">
        <v>2019</v>
      </c>
      <c r="F1910">
        <v>4</v>
      </c>
      <c r="G1910">
        <v>47011</v>
      </c>
      <c r="H1910" s="1">
        <v>3</v>
      </c>
      <c r="I1910">
        <v>14</v>
      </c>
      <c r="J1910">
        <f>IF($H1910=0,1,IF($I1910&lt;=1,2,0))</f>
        <v>0</v>
      </c>
      <c r="K1910">
        <v>0</v>
      </c>
      <c r="L1910">
        <f>IF(AND($J1910=0,$K1910=0),0,1)</f>
        <v>0</v>
      </c>
      <c r="M1910" t="s">
        <v>593</v>
      </c>
    </row>
    <row r="1911" spans="1:13" x14ac:dyDescent="0.2">
      <c r="A1911" t="s">
        <v>589</v>
      </c>
      <c r="B1911" t="s">
        <v>133</v>
      </c>
      <c r="C1911" t="s">
        <v>9</v>
      </c>
      <c r="D1911">
        <v>1494</v>
      </c>
      <c r="E1911">
        <v>2019</v>
      </c>
      <c r="F1911">
        <v>6</v>
      </c>
      <c r="G1911">
        <v>47013</v>
      </c>
      <c r="H1911" s="1">
        <v>3</v>
      </c>
      <c r="I1911">
        <v>14</v>
      </c>
      <c r="J1911">
        <f>IF($H1911=0,1,IF($I1911&lt;=1,2,0))</f>
        <v>0</v>
      </c>
      <c r="K1911">
        <v>0</v>
      </c>
      <c r="L1911">
        <f>IF(AND($J1911=0,$K1911=0),0,1)</f>
        <v>0</v>
      </c>
      <c r="M1911" t="s">
        <v>593</v>
      </c>
    </row>
    <row r="1912" spans="1:13" x14ac:dyDescent="0.2">
      <c r="A1912" t="s">
        <v>589</v>
      </c>
      <c r="B1912" t="s">
        <v>133</v>
      </c>
      <c r="C1912" t="s">
        <v>9</v>
      </c>
      <c r="D1912">
        <v>1494</v>
      </c>
      <c r="E1912">
        <v>2019</v>
      </c>
      <c r="F1912">
        <v>7</v>
      </c>
      <c r="G1912">
        <v>47014</v>
      </c>
      <c r="H1912" s="1">
        <v>3</v>
      </c>
      <c r="I1912">
        <v>14</v>
      </c>
      <c r="J1912">
        <f>IF($H1912=0,1,IF($I1912&lt;=1,2,0))</f>
        <v>0</v>
      </c>
      <c r="K1912">
        <v>0</v>
      </c>
      <c r="L1912">
        <f>IF(AND($J1912=0,$K1912=0),0,1)</f>
        <v>0</v>
      </c>
      <c r="M1912" t="s">
        <v>593</v>
      </c>
    </row>
    <row r="1913" spans="1:13" x14ac:dyDescent="0.2">
      <c r="A1913" t="s">
        <v>589</v>
      </c>
      <c r="B1913" t="s">
        <v>133</v>
      </c>
      <c r="C1913" t="s">
        <v>9</v>
      </c>
      <c r="D1913">
        <v>1494</v>
      </c>
      <c r="E1913">
        <v>2019</v>
      </c>
      <c r="F1913">
        <v>3</v>
      </c>
      <c r="G1913">
        <v>47010</v>
      </c>
      <c r="H1913" s="1">
        <v>3</v>
      </c>
      <c r="I1913">
        <v>13</v>
      </c>
      <c r="J1913">
        <f>IF($H1913=0,1,IF($I1913&lt;=1,2,0))</f>
        <v>0</v>
      </c>
      <c r="K1913">
        <v>0</v>
      </c>
      <c r="L1913">
        <f>IF(AND($J1913=0,$K1913=0),0,1)</f>
        <v>0</v>
      </c>
      <c r="M1913" t="s">
        <v>593</v>
      </c>
    </row>
    <row r="1914" spans="1:13" x14ac:dyDescent="0.2">
      <c r="A1914" t="s">
        <v>589</v>
      </c>
      <c r="B1914" t="s">
        <v>133</v>
      </c>
      <c r="C1914" t="s">
        <v>9</v>
      </c>
      <c r="D1914">
        <v>1494</v>
      </c>
      <c r="E1914">
        <v>2019</v>
      </c>
      <c r="F1914">
        <v>12</v>
      </c>
      <c r="G1914">
        <v>47019</v>
      </c>
      <c r="H1914" s="1">
        <v>3</v>
      </c>
      <c r="I1914">
        <v>13</v>
      </c>
      <c r="J1914">
        <f>IF($H1914=0,1,IF($I1914&lt;=1,2,0))</f>
        <v>0</v>
      </c>
      <c r="K1914">
        <v>0</v>
      </c>
      <c r="L1914">
        <f>IF(AND($J1914=0,$K1914=0),0,1)</f>
        <v>0</v>
      </c>
      <c r="M1914" t="s">
        <v>593</v>
      </c>
    </row>
    <row r="1915" spans="1:13" x14ac:dyDescent="0.2">
      <c r="A1915" t="s">
        <v>589</v>
      </c>
      <c r="B1915" t="s">
        <v>133</v>
      </c>
      <c r="C1915" t="s">
        <v>9</v>
      </c>
      <c r="D1915">
        <v>1494</v>
      </c>
      <c r="E1915">
        <v>2019</v>
      </c>
      <c r="F1915">
        <v>2</v>
      </c>
      <c r="G1915">
        <v>47009</v>
      </c>
      <c r="H1915" s="1">
        <v>3</v>
      </c>
      <c r="I1915">
        <v>10</v>
      </c>
      <c r="J1915">
        <f>IF($H1915=0,1,IF($I1915&lt;=1,2,0))</f>
        <v>0</v>
      </c>
      <c r="K1915">
        <v>0</v>
      </c>
      <c r="L1915">
        <f>IF(AND($J1915=0,$K1915=0),0,1)</f>
        <v>0</v>
      </c>
      <c r="M1915" t="s">
        <v>593</v>
      </c>
    </row>
    <row r="1916" spans="1:13" x14ac:dyDescent="0.2">
      <c r="A1916" t="s">
        <v>589</v>
      </c>
      <c r="B1916" t="s">
        <v>133</v>
      </c>
      <c r="C1916" t="s">
        <v>9</v>
      </c>
      <c r="D1916">
        <v>1494</v>
      </c>
      <c r="E1916">
        <v>2019</v>
      </c>
      <c r="F1916">
        <v>11</v>
      </c>
      <c r="G1916">
        <v>47018</v>
      </c>
      <c r="H1916" s="1">
        <v>3</v>
      </c>
      <c r="I1916">
        <v>10</v>
      </c>
      <c r="J1916">
        <f>IF($H1916=0,1,IF($I1916&lt;=1,2,0))</f>
        <v>0</v>
      </c>
      <c r="K1916">
        <v>0</v>
      </c>
      <c r="L1916">
        <f>IF(AND($J1916=0,$K1916=0),0,1)</f>
        <v>0</v>
      </c>
      <c r="M1916" t="s">
        <v>593</v>
      </c>
    </row>
    <row r="1917" spans="1:13" x14ac:dyDescent="0.2">
      <c r="A1917" t="s">
        <v>589</v>
      </c>
      <c r="B1917" t="s">
        <v>133</v>
      </c>
      <c r="C1917" t="s">
        <v>9</v>
      </c>
      <c r="D1917">
        <v>1494</v>
      </c>
      <c r="E1917">
        <v>2019</v>
      </c>
      <c r="F1917">
        <v>9</v>
      </c>
      <c r="G1917">
        <v>47016</v>
      </c>
      <c r="H1917" s="1">
        <v>3</v>
      </c>
      <c r="I1917">
        <v>8</v>
      </c>
      <c r="J1917">
        <f>IF($H1917=0,1,IF($I1917&lt;=1,2,0))</f>
        <v>0</v>
      </c>
      <c r="K1917">
        <v>0</v>
      </c>
      <c r="L1917">
        <f>IF(AND($J1917=0,$K1917=0),0,1)</f>
        <v>0</v>
      </c>
      <c r="M1917" t="s">
        <v>593</v>
      </c>
    </row>
    <row r="1918" spans="1:13" x14ac:dyDescent="0.2">
      <c r="A1918" t="s">
        <v>589</v>
      </c>
      <c r="B1918" t="s">
        <v>133</v>
      </c>
      <c r="C1918" t="s">
        <v>9</v>
      </c>
      <c r="D1918">
        <v>1494</v>
      </c>
      <c r="E1918">
        <v>2019</v>
      </c>
      <c r="F1918">
        <v>10</v>
      </c>
      <c r="G1918">
        <v>47017</v>
      </c>
      <c r="H1918" s="1">
        <v>3</v>
      </c>
      <c r="I1918">
        <v>7</v>
      </c>
      <c r="J1918">
        <f>IF($H1918=0,1,IF($I1918&lt;=1,2,0))</f>
        <v>0</v>
      </c>
      <c r="K1918">
        <v>0</v>
      </c>
      <c r="L1918">
        <f>IF(AND($J1918=0,$K1918=0),0,1)</f>
        <v>0</v>
      </c>
      <c r="M1918" t="s">
        <v>593</v>
      </c>
    </row>
    <row r="1919" spans="1:13" x14ac:dyDescent="0.2">
      <c r="A1919" t="s">
        <v>589</v>
      </c>
      <c r="B1919" t="s">
        <v>133</v>
      </c>
      <c r="C1919" t="s">
        <v>9</v>
      </c>
      <c r="D1919">
        <v>1601</v>
      </c>
      <c r="E1919">
        <v>2019</v>
      </c>
      <c r="F1919">
        <v>1</v>
      </c>
      <c r="G1919">
        <v>47020</v>
      </c>
      <c r="H1919" s="1">
        <v>3.5</v>
      </c>
      <c r="I1919">
        <v>153</v>
      </c>
      <c r="J1919">
        <f>IF($H1919=0,1,IF($I1919&lt;=1,2,0))</f>
        <v>0</v>
      </c>
      <c r="K1919">
        <v>0</v>
      </c>
      <c r="L1919">
        <f>IF(AND($J1919=0,$K1919=0),0,1)</f>
        <v>0</v>
      </c>
      <c r="M1919" t="s">
        <v>594</v>
      </c>
    </row>
    <row r="1920" spans="1:13" x14ac:dyDescent="0.2">
      <c r="A1920" t="s">
        <v>589</v>
      </c>
      <c r="B1920" t="s">
        <v>133</v>
      </c>
      <c r="C1920" t="s">
        <v>9</v>
      </c>
      <c r="D1920">
        <v>2601</v>
      </c>
      <c r="E1920">
        <v>2019</v>
      </c>
      <c r="F1920">
        <v>1</v>
      </c>
      <c r="G1920">
        <v>47021</v>
      </c>
      <c r="H1920" s="1">
        <v>3.5</v>
      </c>
      <c r="I1920">
        <v>43</v>
      </c>
      <c r="J1920">
        <f>IF($H1920=0,1,IF($I1920&lt;=1,2,0))</f>
        <v>0</v>
      </c>
      <c r="K1920">
        <v>0</v>
      </c>
      <c r="L1920">
        <f>IF(AND($J1920=0,$K1920=0),0,1)</f>
        <v>0</v>
      </c>
      <c r="M1920" t="s">
        <v>597</v>
      </c>
    </row>
    <row r="1921" spans="1:13" x14ac:dyDescent="0.2">
      <c r="A1921" t="s">
        <v>589</v>
      </c>
      <c r="B1921" t="s">
        <v>133</v>
      </c>
      <c r="C1921" t="s">
        <v>9</v>
      </c>
      <c r="D1921">
        <v>2801</v>
      </c>
      <c r="E1921">
        <v>2019</v>
      </c>
      <c r="F1921">
        <v>1</v>
      </c>
      <c r="G1921">
        <v>47080</v>
      </c>
      <c r="H1921" s="1">
        <v>4.5</v>
      </c>
      <c r="I1921">
        <v>46</v>
      </c>
      <c r="J1921">
        <f>IF($H1921=0,1,IF($I1921&lt;=1,2,0))</f>
        <v>0</v>
      </c>
      <c r="K1921">
        <v>0</v>
      </c>
      <c r="L1921">
        <f>IF(AND($J1921=0,$K1921=0),0,1)</f>
        <v>0</v>
      </c>
      <c r="M1921" t="s">
        <v>598</v>
      </c>
    </row>
    <row r="1922" spans="1:13" x14ac:dyDescent="0.2">
      <c r="A1922" t="s">
        <v>589</v>
      </c>
      <c r="B1922" t="s">
        <v>133</v>
      </c>
      <c r="C1922" t="s">
        <v>9</v>
      </c>
      <c r="D1922">
        <v>3007</v>
      </c>
      <c r="E1922">
        <v>2019</v>
      </c>
      <c r="F1922">
        <v>1</v>
      </c>
      <c r="G1922">
        <v>47001</v>
      </c>
      <c r="H1922" s="1">
        <v>3</v>
      </c>
      <c r="I1922">
        <v>45</v>
      </c>
      <c r="J1922">
        <f>IF($H1922=0,1,IF($I1922&lt;=1,2,0))</f>
        <v>0</v>
      </c>
      <c r="K1922">
        <v>0</v>
      </c>
      <c r="L1922">
        <f>IF(AND($J1922=0,$K1922=0),0,1)</f>
        <v>0</v>
      </c>
    </row>
    <row r="1923" spans="1:13" x14ac:dyDescent="0.2">
      <c r="A1923" t="s">
        <v>589</v>
      </c>
      <c r="B1923" t="s">
        <v>133</v>
      </c>
      <c r="C1923" t="s">
        <v>9</v>
      </c>
      <c r="D1923">
        <v>3081</v>
      </c>
      <c r="E1923">
        <v>2019</v>
      </c>
      <c r="F1923">
        <v>3</v>
      </c>
      <c r="G1923">
        <v>47024</v>
      </c>
      <c r="H1923" s="1">
        <v>2</v>
      </c>
      <c r="I1923">
        <v>13</v>
      </c>
      <c r="J1923">
        <f>IF($H1923=0,1,IF($I1923&lt;=1,2,0))</f>
        <v>0</v>
      </c>
      <c r="K1923">
        <v>0</v>
      </c>
      <c r="L1923">
        <f>IF(AND($J1923=0,$K1923=0),0,1)</f>
        <v>0</v>
      </c>
      <c r="M1923" t="s">
        <v>599</v>
      </c>
    </row>
    <row r="1924" spans="1:13" x14ac:dyDescent="0.2">
      <c r="A1924" t="s">
        <v>589</v>
      </c>
      <c r="B1924" t="s">
        <v>133</v>
      </c>
      <c r="C1924" t="s">
        <v>9</v>
      </c>
      <c r="D1924">
        <v>3081</v>
      </c>
      <c r="E1924">
        <v>2019</v>
      </c>
      <c r="F1924">
        <v>2</v>
      </c>
      <c r="G1924">
        <v>47023</v>
      </c>
      <c r="H1924" s="1">
        <v>2</v>
      </c>
      <c r="I1924">
        <v>7</v>
      </c>
      <c r="J1924">
        <f>IF($H1924=0,1,IF($I1924&lt;=1,2,0))</f>
        <v>0</v>
      </c>
      <c r="K1924">
        <v>0</v>
      </c>
      <c r="L1924">
        <f>IF(AND($J1924=0,$K1924=0),0,1)</f>
        <v>0</v>
      </c>
      <c r="M1924" t="s">
        <v>599</v>
      </c>
    </row>
    <row r="1925" spans="1:13" x14ac:dyDescent="0.2">
      <c r="A1925" t="s">
        <v>589</v>
      </c>
      <c r="B1925" t="s">
        <v>133</v>
      </c>
      <c r="C1925" t="s">
        <v>9</v>
      </c>
      <c r="D1925">
        <v>3081</v>
      </c>
      <c r="E1925">
        <v>2019</v>
      </c>
      <c r="F1925">
        <v>1</v>
      </c>
      <c r="G1925">
        <v>47022</v>
      </c>
      <c r="H1925" s="1">
        <v>2</v>
      </c>
      <c r="I1925">
        <v>5</v>
      </c>
      <c r="J1925">
        <f>IF($H1925=0,1,IF($I1925&lt;=1,2,0))</f>
        <v>0</v>
      </c>
      <c r="K1925">
        <v>0</v>
      </c>
      <c r="L1925">
        <f>IF(AND($J1925=0,$K1925=0),0,1)</f>
        <v>0</v>
      </c>
      <c r="M1925" t="s">
        <v>599</v>
      </c>
    </row>
    <row r="1926" spans="1:13" x14ac:dyDescent="0.2">
      <c r="A1926" t="s">
        <v>589</v>
      </c>
      <c r="B1926" t="s">
        <v>133</v>
      </c>
      <c r="C1926" t="s">
        <v>9</v>
      </c>
      <c r="D1926">
        <v>3500</v>
      </c>
      <c r="E1926">
        <v>2019</v>
      </c>
      <c r="F1926">
        <v>1</v>
      </c>
      <c r="G1926">
        <v>47025</v>
      </c>
      <c r="H1926" s="1">
        <v>3</v>
      </c>
      <c r="I1926">
        <v>2</v>
      </c>
      <c r="J1926">
        <f>IF($H1926=0,1,IF($I1926&lt;=1,2,0))</f>
        <v>0</v>
      </c>
      <c r="K1926">
        <v>0</v>
      </c>
      <c r="L1926">
        <f>IF(AND($J1926=0,$K1926=0),0,1)</f>
        <v>0</v>
      </c>
    </row>
    <row r="1927" spans="1:13" x14ac:dyDescent="0.2">
      <c r="A1927" t="s">
        <v>589</v>
      </c>
      <c r="B1927" t="s">
        <v>133</v>
      </c>
      <c r="C1927" t="s">
        <v>9</v>
      </c>
      <c r="D1927">
        <v>4019</v>
      </c>
      <c r="E1927">
        <v>2019</v>
      </c>
      <c r="F1927">
        <v>1</v>
      </c>
      <c r="G1927">
        <v>47027</v>
      </c>
      <c r="H1927" s="1">
        <v>3</v>
      </c>
      <c r="I1927">
        <v>18</v>
      </c>
      <c r="J1927">
        <f>IF($H1927=0,1,IF($I1927&lt;=1,2,0))</f>
        <v>0</v>
      </c>
      <c r="K1927">
        <v>0</v>
      </c>
      <c r="L1927">
        <f>IF(AND($J1927=0,$K1927=0),0,1)</f>
        <v>0</v>
      </c>
    </row>
    <row r="1928" spans="1:13" x14ac:dyDescent="0.2">
      <c r="A1928" t="s">
        <v>589</v>
      </c>
      <c r="B1928" t="s">
        <v>133</v>
      </c>
      <c r="C1928" t="s">
        <v>9</v>
      </c>
      <c r="D1928">
        <v>4021</v>
      </c>
      <c r="E1928">
        <v>2019</v>
      </c>
      <c r="F1928">
        <v>1</v>
      </c>
      <c r="G1928">
        <v>47002</v>
      </c>
      <c r="H1928" s="1">
        <v>3</v>
      </c>
      <c r="I1928">
        <v>39</v>
      </c>
      <c r="J1928">
        <f>IF($H1928=0,1,IF($I1928&lt;=1,2,0))</f>
        <v>0</v>
      </c>
      <c r="K1928">
        <v>0</v>
      </c>
      <c r="L1928">
        <f>IF(AND($J1928=0,$K1928=0),0,1)</f>
        <v>0</v>
      </c>
    </row>
    <row r="1929" spans="1:13" x14ac:dyDescent="0.2">
      <c r="A1929" t="s">
        <v>589</v>
      </c>
      <c r="B1929" t="s">
        <v>133</v>
      </c>
      <c r="C1929" t="s">
        <v>9</v>
      </c>
      <c r="D1929">
        <v>4023</v>
      </c>
      <c r="E1929">
        <v>2019</v>
      </c>
      <c r="F1929">
        <v>1</v>
      </c>
      <c r="G1929">
        <v>47045</v>
      </c>
      <c r="H1929" s="1">
        <v>3</v>
      </c>
      <c r="I1929">
        <v>32</v>
      </c>
      <c r="J1929">
        <f>IF($H1929=0,1,IF($I1929&lt;=1,2,0))</f>
        <v>0</v>
      </c>
      <c r="K1929">
        <v>0</v>
      </c>
      <c r="L1929">
        <f>IF(AND($J1929=0,$K1929=0),0,1)</f>
        <v>0</v>
      </c>
    </row>
    <row r="1930" spans="1:13" x14ac:dyDescent="0.2">
      <c r="A1930" t="s">
        <v>589</v>
      </c>
      <c r="B1930" t="s">
        <v>133</v>
      </c>
      <c r="C1930" t="s">
        <v>9</v>
      </c>
      <c r="D1930">
        <v>4040</v>
      </c>
      <c r="E1930">
        <v>2019</v>
      </c>
      <c r="F1930">
        <v>1</v>
      </c>
      <c r="G1930">
        <v>47082</v>
      </c>
      <c r="H1930" s="1">
        <v>3</v>
      </c>
      <c r="I1930">
        <v>10</v>
      </c>
      <c r="J1930">
        <f>IF($H1930=0,1,IF($I1930&lt;=1,2,0))</f>
        <v>0</v>
      </c>
      <c r="K1930">
        <v>0</v>
      </c>
      <c r="L1930">
        <f>IF(AND($J1930=0,$K1930=0),0,1)</f>
        <v>0</v>
      </c>
    </row>
    <row r="1931" spans="1:13" x14ac:dyDescent="0.2">
      <c r="A1931" t="s">
        <v>589</v>
      </c>
      <c r="B1931" t="s">
        <v>133</v>
      </c>
      <c r="C1931" t="s">
        <v>11</v>
      </c>
      <c r="D1931">
        <v>4050</v>
      </c>
      <c r="E1931">
        <v>2019</v>
      </c>
      <c r="F1931">
        <v>1</v>
      </c>
      <c r="G1931">
        <v>17954</v>
      </c>
      <c r="H1931" s="1">
        <v>3</v>
      </c>
      <c r="I1931">
        <v>8</v>
      </c>
      <c r="J1931">
        <f>IF($H1931=0,1,IF($I1931&lt;=1,2,0))</f>
        <v>0</v>
      </c>
      <c r="K1931">
        <v>0</v>
      </c>
      <c r="L1931">
        <f>IF(AND($J1931=0,$K1931=0),0,1)</f>
        <v>0</v>
      </c>
    </row>
    <row r="1932" spans="1:13" x14ac:dyDescent="0.2">
      <c r="A1932" t="s">
        <v>589</v>
      </c>
      <c r="B1932" t="s">
        <v>133</v>
      </c>
      <c r="C1932" t="s">
        <v>11</v>
      </c>
      <c r="D1932">
        <v>6010</v>
      </c>
      <c r="E1932">
        <v>2019</v>
      </c>
      <c r="F1932">
        <v>1</v>
      </c>
      <c r="G1932">
        <v>47003</v>
      </c>
      <c r="H1932" s="1">
        <v>3</v>
      </c>
      <c r="I1932">
        <v>9</v>
      </c>
      <c r="J1932">
        <f>IF($H1932=0,1,IF($I1932&lt;=1,2,0))</f>
        <v>0</v>
      </c>
      <c r="K1932">
        <v>0</v>
      </c>
      <c r="L1932">
        <f>IF(AND($J1932=0,$K1932=0),0,1)</f>
        <v>0</v>
      </c>
    </row>
    <row r="1933" spans="1:13" x14ac:dyDescent="0.2">
      <c r="A1933" t="s">
        <v>589</v>
      </c>
      <c r="B1933" t="s">
        <v>133</v>
      </c>
      <c r="C1933" t="s">
        <v>11</v>
      </c>
      <c r="D1933">
        <v>6028</v>
      </c>
      <c r="E1933">
        <v>2019</v>
      </c>
      <c r="F1933">
        <v>1</v>
      </c>
      <c r="G1933">
        <v>14176</v>
      </c>
      <c r="H1933" s="1">
        <v>3</v>
      </c>
      <c r="I1933">
        <v>35</v>
      </c>
      <c r="J1933">
        <f>IF($H1933=0,1,IF($I1933&lt;=1,2,0))</f>
        <v>0</v>
      </c>
      <c r="K1933">
        <v>0</v>
      </c>
      <c r="L1933">
        <f>IF(AND($J1933=0,$K1933=0),0,1)</f>
        <v>0</v>
      </c>
    </row>
    <row r="1934" spans="1:13" x14ac:dyDescent="0.2">
      <c r="A1934" t="s">
        <v>589</v>
      </c>
      <c r="B1934" t="s">
        <v>133</v>
      </c>
      <c r="C1934" t="s">
        <v>11</v>
      </c>
      <c r="D1934">
        <v>6036</v>
      </c>
      <c r="E1934">
        <v>2019</v>
      </c>
      <c r="F1934">
        <v>1</v>
      </c>
      <c r="G1934">
        <v>47029</v>
      </c>
      <c r="H1934" s="1">
        <v>4.5</v>
      </c>
      <c r="I1934">
        <v>20</v>
      </c>
      <c r="J1934">
        <f>IF($H1934=0,1,IF($I1934&lt;=1,2,0))</f>
        <v>0</v>
      </c>
      <c r="K1934">
        <v>0</v>
      </c>
      <c r="L1934">
        <f>IF(AND($J1934=0,$K1934=0),0,1)</f>
        <v>0</v>
      </c>
    </row>
    <row r="1935" spans="1:13" x14ac:dyDescent="0.2">
      <c r="A1935" t="s">
        <v>589</v>
      </c>
      <c r="B1935" t="s">
        <v>133</v>
      </c>
      <c r="C1935" t="s">
        <v>11</v>
      </c>
      <c r="D1935">
        <v>6037</v>
      </c>
      <c r="E1935">
        <v>2019</v>
      </c>
      <c r="F1935">
        <v>1</v>
      </c>
      <c r="G1935">
        <v>47004</v>
      </c>
      <c r="H1935" s="1">
        <v>4.5</v>
      </c>
      <c r="I1935">
        <v>24</v>
      </c>
      <c r="J1935">
        <f>IF($H1935=0,1,IF($I1935&lt;=1,2,0))</f>
        <v>0</v>
      </c>
      <c r="K1935">
        <v>0</v>
      </c>
      <c r="L1935">
        <f>IF(AND($J1935=0,$K1935=0),0,1)</f>
        <v>0</v>
      </c>
    </row>
    <row r="1936" spans="1:13" x14ac:dyDescent="0.2">
      <c r="A1936" t="s">
        <v>589</v>
      </c>
      <c r="B1936" t="s">
        <v>133</v>
      </c>
      <c r="C1936" t="s">
        <v>11</v>
      </c>
      <c r="D1936">
        <v>6050</v>
      </c>
      <c r="E1936">
        <v>2019</v>
      </c>
      <c r="F1936">
        <v>1</v>
      </c>
      <c r="G1936">
        <v>47005</v>
      </c>
      <c r="H1936" s="1">
        <v>3</v>
      </c>
      <c r="I1936">
        <v>2</v>
      </c>
      <c r="J1936">
        <f>IF($H1936=0,1,IF($I1936&lt;=1,2,0))</f>
        <v>0</v>
      </c>
      <c r="K1936">
        <v>0</v>
      </c>
      <c r="L1936">
        <f>IF(AND($J1936=0,$K1936=0),0,1)</f>
        <v>0</v>
      </c>
    </row>
    <row r="1937" spans="1:13" x14ac:dyDescent="0.2">
      <c r="A1937" t="s">
        <v>589</v>
      </c>
      <c r="B1937" t="s">
        <v>133</v>
      </c>
      <c r="C1937" t="s">
        <v>11</v>
      </c>
      <c r="D1937">
        <v>6092</v>
      </c>
      <c r="E1937">
        <v>2019</v>
      </c>
      <c r="F1937">
        <v>1</v>
      </c>
      <c r="G1937">
        <v>47050</v>
      </c>
      <c r="H1937" s="1">
        <v>4.5</v>
      </c>
      <c r="I1937">
        <v>23</v>
      </c>
      <c r="J1937">
        <f>IF($H1937=0,1,IF($I1937&lt;=1,2,0))</f>
        <v>0</v>
      </c>
      <c r="K1937">
        <v>0</v>
      </c>
      <c r="L1937">
        <f>IF(AND($J1937=0,$K1937=0),0,1)</f>
        <v>0</v>
      </c>
    </row>
    <row r="1938" spans="1:13" x14ac:dyDescent="0.2">
      <c r="A1938" t="s">
        <v>589</v>
      </c>
      <c r="B1938" t="s">
        <v>133</v>
      </c>
      <c r="C1938" t="s">
        <v>11</v>
      </c>
      <c r="D1938">
        <v>8012</v>
      </c>
      <c r="E1938">
        <v>2019</v>
      </c>
      <c r="F1938">
        <v>1</v>
      </c>
      <c r="G1938">
        <v>47051</v>
      </c>
      <c r="H1938" s="1">
        <v>3</v>
      </c>
      <c r="I1938">
        <v>4</v>
      </c>
      <c r="J1938">
        <f>IF($H1938=0,1,IF($I1938&lt;=1,2,0))</f>
        <v>0</v>
      </c>
      <c r="K1938">
        <v>0</v>
      </c>
      <c r="L1938">
        <f>IF(AND($J1938=0,$K1938=0),0,1)</f>
        <v>0</v>
      </c>
    </row>
    <row r="1939" spans="1:13" x14ac:dyDescent="0.2">
      <c r="A1939" t="s">
        <v>589</v>
      </c>
      <c r="B1939" t="s">
        <v>133</v>
      </c>
      <c r="C1939" t="s">
        <v>11</v>
      </c>
      <c r="D1939">
        <v>8048</v>
      </c>
      <c r="E1939">
        <v>2019</v>
      </c>
      <c r="F1939">
        <v>1</v>
      </c>
      <c r="G1939">
        <v>47006</v>
      </c>
      <c r="H1939" s="1">
        <v>4.5</v>
      </c>
      <c r="I1939">
        <v>8</v>
      </c>
      <c r="J1939">
        <f>IF($H1939=0,1,IF($I1939&lt;=1,2,0))</f>
        <v>0</v>
      </c>
      <c r="K1939">
        <v>0</v>
      </c>
      <c r="L1939">
        <f>IF(AND($J1939=0,$K1939=0),0,1)</f>
        <v>0</v>
      </c>
    </row>
    <row r="1940" spans="1:13" x14ac:dyDescent="0.2">
      <c r="A1940" t="s">
        <v>589</v>
      </c>
      <c r="B1940" t="s">
        <v>133</v>
      </c>
      <c r="C1940" t="s">
        <v>11</v>
      </c>
      <c r="D1940">
        <v>8083</v>
      </c>
      <c r="E1940">
        <v>2019</v>
      </c>
      <c r="F1940">
        <v>1</v>
      </c>
      <c r="G1940">
        <v>47053</v>
      </c>
      <c r="H1940" s="1">
        <v>3</v>
      </c>
      <c r="I1940">
        <v>6</v>
      </c>
      <c r="J1940">
        <f>IF($H1940=0,1,IF($I1940&lt;=1,2,0))</f>
        <v>0</v>
      </c>
      <c r="K1940">
        <v>0</v>
      </c>
      <c r="L1940">
        <f>IF(AND($J1940=0,$K1940=0),0,1)</f>
        <v>0</v>
      </c>
    </row>
    <row r="1941" spans="1:13" x14ac:dyDescent="0.2">
      <c r="A1941" t="s">
        <v>600</v>
      </c>
      <c r="B1941" t="s">
        <v>17</v>
      </c>
      <c r="C1941" t="s">
        <v>9</v>
      </c>
      <c r="D1941">
        <v>1101</v>
      </c>
      <c r="E1941">
        <v>2019</v>
      </c>
      <c r="F1941">
        <v>1</v>
      </c>
      <c r="G1941">
        <v>53901</v>
      </c>
      <c r="H1941" s="1">
        <v>4</v>
      </c>
      <c r="I1941">
        <v>7</v>
      </c>
      <c r="J1941">
        <f>IF($H1941=0,1,IF($I1941&lt;=1,2,0))</f>
        <v>0</v>
      </c>
      <c r="K1941">
        <v>0</v>
      </c>
      <c r="L1941">
        <f>IF(AND($J1941=0,$K1941=0),0,1)</f>
        <v>0</v>
      </c>
    </row>
    <row r="1942" spans="1:13" x14ac:dyDescent="0.2">
      <c r="A1942" t="s">
        <v>600</v>
      </c>
      <c r="B1942" t="s">
        <v>17</v>
      </c>
      <c r="C1942" t="s">
        <v>9</v>
      </c>
      <c r="D1942">
        <v>2101</v>
      </c>
      <c r="E1942">
        <v>2019</v>
      </c>
      <c r="F1942">
        <v>1</v>
      </c>
      <c r="G1942">
        <v>53895</v>
      </c>
      <c r="H1942" s="1">
        <v>4</v>
      </c>
      <c r="I1942">
        <v>6</v>
      </c>
      <c r="J1942">
        <f>IF($H1942=0,1,IF($I1942&lt;=1,2,0))</f>
        <v>0</v>
      </c>
      <c r="K1942">
        <v>0</v>
      </c>
      <c r="L1942">
        <f>IF(AND($J1942=0,$K1942=0),0,1)</f>
        <v>0</v>
      </c>
    </row>
    <row r="1943" spans="1:13" x14ac:dyDescent="0.2">
      <c r="A1943" t="s">
        <v>600</v>
      </c>
      <c r="B1943" t="s">
        <v>17</v>
      </c>
      <c r="C1943" t="s">
        <v>9</v>
      </c>
      <c r="D1943">
        <v>4101</v>
      </c>
      <c r="E1943">
        <v>2019</v>
      </c>
      <c r="F1943">
        <v>1</v>
      </c>
      <c r="G1943">
        <v>53896</v>
      </c>
      <c r="H1943" s="1">
        <v>3</v>
      </c>
      <c r="I1943">
        <v>6</v>
      </c>
      <c r="J1943">
        <f>IF($H1943=0,1,IF($I1943&lt;=1,2,0))</f>
        <v>0</v>
      </c>
      <c r="K1943">
        <v>0</v>
      </c>
      <c r="L1943">
        <f>IF(AND($J1943=0,$K1943=0),0,1)</f>
        <v>0</v>
      </c>
    </row>
    <row r="1944" spans="1:13" x14ac:dyDescent="0.2">
      <c r="A1944" t="s">
        <v>600</v>
      </c>
      <c r="B1944" t="s">
        <v>17</v>
      </c>
      <c r="C1944" t="s">
        <v>11</v>
      </c>
      <c r="D1944">
        <v>8001</v>
      </c>
      <c r="E1944">
        <v>2019</v>
      </c>
      <c r="F1944">
        <v>1</v>
      </c>
      <c r="G1944">
        <v>13400</v>
      </c>
      <c r="H1944" s="1" t="s">
        <v>1823</v>
      </c>
      <c r="I1944">
        <v>5</v>
      </c>
      <c r="J1944">
        <f>IF($H1944=0,1,IF($I1944&lt;=1,2,0))</f>
        <v>0</v>
      </c>
      <c r="K1944">
        <v>0</v>
      </c>
      <c r="L1944">
        <f>IF(AND($J1944=0,$K1944=0),0,1)</f>
        <v>0</v>
      </c>
    </row>
    <row r="1945" spans="1:13" x14ac:dyDescent="0.2">
      <c r="A1945" t="s">
        <v>601</v>
      </c>
      <c r="B1945" t="s">
        <v>6</v>
      </c>
      <c r="C1945" t="s">
        <v>21</v>
      </c>
      <c r="D1945">
        <v>1101</v>
      </c>
      <c r="E1945">
        <v>2019</v>
      </c>
      <c r="F1945">
        <v>1</v>
      </c>
      <c r="G1945">
        <v>47194</v>
      </c>
      <c r="H1945" s="1">
        <v>4</v>
      </c>
      <c r="I1945">
        <v>98</v>
      </c>
      <c r="J1945">
        <f>IF($H1945=0,1,IF($I1945&lt;=1,2,0))</f>
        <v>0</v>
      </c>
      <c r="K1945">
        <v>0</v>
      </c>
      <c r="L1945">
        <f>IF(AND($J1945=0,$K1945=0),0,1)</f>
        <v>0</v>
      </c>
      <c r="M1945" t="s">
        <v>602</v>
      </c>
    </row>
    <row r="1946" spans="1:13" x14ac:dyDescent="0.2">
      <c r="A1946" t="s">
        <v>601</v>
      </c>
      <c r="B1946" t="s">
        <v>6</v>
      </c>
      <c r="C1946" t="s">
        <v>21</v>
      </c>
      <c r="D1946">
        <v>1201</v>
      </c>
      <c r="E1946">
        <v>2019</v>
      </c>
      <c r="F1946">
        <v>1</v>
      </c>
      <c r="G1946">
        <v>9110</v>
      </c>
      <c r="H1946" s="1">
        <v>4</v>
      </c>
      <c r="I1946">
        <v>325</v>
      </c>
      <c r="J1946">
        <f>IF($H1946=0,1,IF($I1946&lt;=1,2,0))</f>
        <v>0</v>
      </c>
      <c r="K1946">
        <v>0</v>
      </c>
      <c r="L1946">
        <f>IF(AND($J1946=0,$K1946=0),0,1)</f>
        <v>0</v>
      </c>
      <c r="M1946" t="s">
        <v>604</v>
      </c>
    </row>
    <row r="1947" spans="1:13" x14ac:dyDescent="0.2">
      <c r="A1947" t="s">
        <v>601</v>
      </c>
      <c r="B1947" t="s">
        <v>6</v>
      </c>
      <c r="C1947" t="s">
        <v>21</v>
      </c>
      <c r="D1947">
        <v>1501</v>
      </c>
      <c r="E1947">
        <v>2019</v>
      </c>
      <c r="F1947">
        <v>1</v>
      </c>
      <c r="G1947">
        <v>99791</v>
      </c>
      <c r="H1947" s="1">
        <v>4</v>
      </c>
      <c r="I1947">
        <v>65</v>
      </c>
      <c r="J1947">
        <f>IF($H1947=0,1,IF($I1947&lt;=1,2,0))</f>
        <v>0</v>
      </c>
      <c r="K1947">
        <v>0</v>
      </c>
      <c r="L1947">
        <f>IF(AND($J1947=0,$K1947=0),0,1)</f>
        <v>0</v>
      </c>
      <c r="M1947" t="s">
        <v>605</v>
      </c>
    </row>
    <row r="1948" spans="1:13" x14ac:dyDescent="0.2">
      <c r="A1948" t="s">
        <v>601</v>
      </c>
      <c r="B1948" t="s">
        <v>6</v>
      </c>
      <c r="C1948" t="s">
        <v>21</v>
      </c>
      <c r="D1948">
        <v>1601</v>
      </c>
      <c r="E1948">
        <v>2019</v>
      </c>
      <c r="F1948">
        <v>1</v>
      </c>
      <c r="G1948">
        <v>9147</v>
      </c>
      <c r="H1948" s="1">
        <v>4</v>
      </c>
      <c r="I1948">
        <v>203</v>
      </c>
      <c r="J1948">
        <f>IF($H1948=0,1,IF($I1948&lt;=1,2,0))</f>
        <v>0</v>
      </c>
      <c r="K1948">
        <v>0</v>
      </c>
      <c r="L1948">
        <f>IF(AND($J1948=0,$K1948=0),0,1)</f>
        <v>0</v>
      </c>
      <c r="M1948" t="s">
        <v>606</v>
      </c>
    </row>
    <row r="1949" spans="1:13" x14ac:dyDescent="0.2">
      <c r="A1949" t="s">
        <v>601</v>
      </c>
      <c r="B1949" t="s">
        <v>6</v>
      </c>
      <c r="C1949" t="s">
        <v>21</v>
      </c>
      <c r="D1949">
        <v>3103</v>
      </c>
      <c r="E1949">
        <v>2019</v>
      </c>
      <c r="F1949">
        <v>1</v>
      </c>
      <c r="G1949">
        <v>9113</v>
      </c>
      <c r="H1949" s="1">
        <v>3</v>
      </c>
      <c r="I1949">
        <v>27</v>
      </c>
      <c r="J1949">
        <f>IF($H1949=0,1,IF($I1949&lt;=1,2,0))</f>
        <v>0</v>
      </c>
      <c r="K1949">
        <v>0</v>
      </c>
      <c r="L1949">
        <f>IF(AND($J1949=0,$K1949=0),0,1)</f>
        <v>0</v>
      </c>
    </row>
    <row r="1950" spans="1:13" x14ac:dyDescent="0.2">
      <c r="A1950" t="s">
        <v>601</v>
      </c>
      <c r="B1950" t="s">
        <v>6</v>
      </c>
      <c r="C1950" t="s">
        <v>9</v>
      </c>
      <c r="D1950">
        <v>3220</v>
      </c>
      <c r="E1950">
        <v>2019</v>
      </c>
      <c r="F1950">
        <v>1</v>
      </c>
      <c r="G1950">
        <v>99769</v>
      </c>
      <c r="H1950" s="1">
        <v>3</v>
      </c>
      <c r="I1950">
        <v>30</v>
      </c>
      <c r="J1950">
        <f>IF($H1950=0,1,IF($I1950&lt;=1,2,0))</f>
        <v>0</v>
      </c>
      <c r="K1950">
        <v>0</v>
      </c>
      <c r="L1950">
        <f>IF(AND($J1950=0,$K1950=0),0,1)</f>
        <v>0</v>
      </c>
    </row>
    <row r="1951" spans="1:13" x14ac:dyDescent="0.2">
      <c r="A1951" t="s">
        <v>601</v>
      </c>
      <c r="B1951" t="s">
        <v>6</v>
      </c>
      <c r="C1951" t="s">
        <v>9</v>
      </c>
      <c r="D1951">
        <v>3222</v>
      </c>
      <c r="E1951">
        <v>2019</v>
      </c>
      <c r="F1951">
        <v>1</v>
      </c>
      <c r="G1951">
        <v>47190</v>
      </c>
      <c r="H1951" s="1">
        <v>3</v>
      </c>
      <c r="I1951">
        <v>116</v>
      </c>
      <c r="J1951">
        <f>IF($H1951=0,1,IF($I1951&lt;=1,2,0))</f>
        <v>0</v>
      </c>
      <c r="K1951">
        <v>0</v>
      </c>
      <c r="L1951">
        <f>IF(AND($J1951=0,$K1951=0),0,1)</f>
        <v>0</v>
      </c>
    </row>
    <row r="1952" spans="1:13" x14ac:dyDescent="0.2">
      <c r="A1952" t="s">
        <v>601</v>
      </c>
      <c r="B1952" t="s">
        <v>6</v>
      </c>
      <c r="C1952" t="s">
        <v>9</v>
      </c>
      <c r="D1952">
        <v>3285</v>
      </c>
      <c r="E1952">
        <v>2019</v>
      </c>
      <c r="F1952">
        <v>1</v>
      </c>
      <c r="G1952">
        <v>99768</v>
      </c>
      <c r="H1952" s="1">
        <v>3</v>
      </c>
      <c r="I1952">
        <v>142</v>
      </c>
      <c r="J1952">
        <f>IF($H1952=0,1,IF($I1952&lt;=1,2,0))</f>
        <v>0</v>
      </c>
      <c r="K1952">
        <v>0</v>
      </c>
      <c r="L1952">
        <f>IF(AND($J1952=0,$K1952=0),0,1)</f>
        <v>0</v>
      </c>
    </row>
    <row r="1953" spans="1:13" x14ac:dyDescent="0.2">
      <c r="A1953" t="s">
        <v>601</v>
      </c>
      <c r="B1953" t="s">
        <v>6</v>
      </c>
      <c r="C1953" t="s">
        <v>21</v>
      </c>
      <c r="D1953">
        <v>3401</v>
      </c>
      <c r="E1953">
        <v>2019</v>
      </c>
      <c r="F1953">
        <v>1</v>
      </c>
      <c r="G1953">
        <v>9159</v>
      </c>
      <c r="H1953" s="1">
        <v>4</v>
      </c>
      <c r="I1953">
        <v>45</v>
      </c>
      <c r="J1953">
        <f>IF($H1953=0,1,IF($I1953&lt;=1,2,0))</f>
        <v>0</v>
      </c>
      <c r="K1953">
        <v>0</v>
      </c>
      <c r="L1953">
        <f>IF(AND($J1953=0,$K1953=0),0,1)</f>
        <v>0</v>
      </c>
      <c r="M1953" t="s">
        <v>608</v>
      </c>
    </row>
    <row r="1954" spans="1:13" x14ac:dyDescent="0.2">
      <c r="A1954" t="s">
        <v>601</v>
      </c>
      <c r="B1954" t="s">
        <v>6</v>
      </c>
      <c r="C1954" t="s">
        <v>9</v>
      </c>
      <c r="D1954">
        <v>3631</v>
      </c>
      <c r="E1954">
        <v>2019</v>
      </c>
      <c r="F1954">
        <v>1</v>
      </c>
      <c r="G1954">
        <v>47179</v>
      </c>
      <c r="H1954" s="1">
        <v>4</v>
      </c>
      <c r="I1954">
        <v>48</v>
      </c>
      <c r="J1954">
        <f>IF($H1954=0,1,IF($I1954&lt;=1,2,0))</f>
        <v>0</v>
      </c>
      <c r="K1954">
        <v>0</v>
      </c>
      <c r="L1954">
        <f>IF(AND($J1954=0,$K1954=0),0,1)</f>
        <v>0</v>
      </c>
      <c r="M1954" t="s">
        <v>611</v>
      </c>
    </row>
    <row r="1955" spans="1:13" x14ac:dyDescent="0.2">
      <c r="A1955" t="s">
        <v>601</v>
      </c>
      <c r="B1955" t="s">
        <v>6</v>
      </c>
      <c r="C1955" t="s">
        <v>9</v>
      </c>
      <c r="D1955">
        <v>3648</v>
      </c>
      <c r="E1955">
        <v>2019</v>
      </c>
      <c r="F1955">
        <v>1</v>
      </c>
      <c r="G1955">
        <v>47180</v>
      </c>
      <c r="H1955" s="1">
        <v>4</v>
      </c>
      <c r="I1955">
        <v>36</v>
      </c>
      <c r="J1955">
        <f>IF($H1955=0,1,IF($I1955&lt;=1,2,0))</f>
        <v>0</v>
      </c>
      <c r="K1955">
        <v>0</v>
      </c>
      <c r="L1955">
        <f>IF(AND($J1955=0,$K1955=0),0,1)</f>
        <v>0</v>
      </c>
      <c r="M1955" t="s">
        <v>612</v>
      </c>
    </row>
    <row r="1956" spans="1:13" x14ac:dyDescent="0.2">
      <c r="A1956" t="s">
        <v>601</v>
      </c>
      <c r="B1956" t="s">
        <v>6</v>
      </c>
      <c r="C1956" t="s">
        <v>9</v>
      </c>
      <c r="D1956">
        <v>3720</v>
      </c>
      <c r="E1956">
        <v>2019</v>
      </c>
      <c r="F1956">
        <v>1</v>
      </c>
      <c r="G1956">
        <v>10236</v>
      </c>
      <c r="H1956" s="1">
        <v>4</v>
      </c>
      <c r="I1956">
        <v>100</v>
      </c>
      <c r="J1956">
        <f>IF($H1956=0,1,IF($I1956&lt;=1,2,0))</f>
        <v>0</v>
      </c>
      <c r="K1956">
        <v>0</v>
      </c>
      <c r="L1956">
        <f>IF(AND($J1956=0,$K1956=0),0,1)</f>
        <v>0</v>
      </c>
      <c r="M1956" t="s">
        <v>613</v>
      </c>
    </row>
    <row r="1957" spans="1:13" x14ac:dyDescent="0.2">
      <c r="A1957" t="s">
        <v>601</v>
      </c>
      <c r="B1957" t="s">
        <v>6</v>
      </c>
      <c r="C1957" t="s">
        <v>9</v>
      </c>
      <c r="D1957">
        <v>3768</v>
      </c>
      <c r="E1957">
        <v>2019</v>
      </c>
      <c r="F1957">
        <v>1</v>
      </c>
      <c r="G1957">
        <v>14877</v>
      </c>
      <c r="H1957" s="1">
        <v>4</v>
      </c>
      <c r="I1957">
        <v>16</v>
      </c>
      <c r="J1957">
        <f>IF($H1957=0,1,IF($I1957&lt;=1,2,0))</f>
        <v>0</v>
      </c>
      <c r="K1957">
        <v>0</v>
      </c>
      <c r="L1957">
        <f>IF(AND($J1957=0,$K1957=0),0,1)</f>
        <v>0</v>
      </c>
    </row>
    <row r="1958" spans="1:13" x14ac:dyDescent="0.2">
      <c r="A1958" t="s">
        <v>601</v>
      </c>
      <c r="B1958" t="s">
        <v>6</v>
      </c>
      <c r="C1958" t="s">
        <v>9</v>
      </c>
      <c r="D1958">
        <v>3911</v>
      </c>
      <c r="E1958">
        <v>2019</v>
      </c>
      <c r="F1958">
        <v>1</v>
      </c>
      <c r="G1958">
        <v>47185</v>
      </c>
      <c r="H1958" s="1">
        <v>4</v>
      </c>
      <c r="I1958">
        <v>15</v>
      </c>
      <c r="J1958">
        <f>IF($H1958=0,1,IF($I1958&lt;=1,2,0))</f>
        <v>0</v>
      </c>
      <c r="K1958">
        <v>0</v>
      </c>
      <c r="L1958">
        <f>IF(AND($J1958=0,$K1958=0),0,1)</f>
        <v>0</v>
      </c>
      <c r="M1958" t="s">
        <v>614</v>
      </c>
    </row>
    <row r="1959" spans="1:13" x14ac:dyDescent="0.2">
      <c r="A1959" t="s">
        <v>601</v>
      </c>
      <c r="B1959" t="s">
        <v>6</v>
      </c>
      <c r="C1959" t="s">
        <v>9</v>
      </c>
      <c r="D1959">
        <v>3911</v>
      </c>
      <c r="E1959">
        <v>2019</v>
      </c>
      <c r="F1959">
        <v>2</v>
      </c>
      <c r="G1959">
        <v>47186</v>
      </c>
      <c r="H1959" s="1">
        <v>4</v>
      </c>
      <c r="I1959">
        <v>12</v>
      </c>
      <c r="J1959">
        <f>IF($H1959=0,1,IF($I1959&lt;=1,2,0))</f>
        <v>0</v>
      </c>
      <c r="K1959">
        <v>0</v>
      </c>
      <c r="L1959">
        <f>IF(AND($J1959=0,$K1959=0),0,1)</f>
        <v>0</v>
      </c>
      <c r="M1959" t="s">
        <v>614</v>
      </c>
    </row>
    <row r="1960" spans="1:13" x14ac:dyDescent="0.2">
      <c r="A1960" t="s">
        <v>601</v>
      </c>
      <c r="B1960" t="s">
        <v>6</v>
      </c>
      <c r="C1960" t="s">
        <v>9</v>
      </c>
      <c r="D1960">
        <v>3911</v>
      </c>
      <c r="E1960">
        <v>2019</v>
      </c>
      <c r="F1960">
        <v>3</v>
      </c>
      <c r="G1960">
        <v>16437</v>
      </c>
      <c r="H1960" s="1">
        <v>4</v>
      </c>
      <c r="I1960">
        <v>7</v>
      </c>
      <c r="J1960">
        <f>IF($H1960=0,1,IF($I1960&lt;=1,2,0))</f>
        <v>0</v>
      </c>
      <c r="K1960">
        <v>0</v>
      </c>
      <c r="L1960">
        <f>IF(AND($J1960=0,$K1960=0),0,1)</f>
        <v>0</v>
      </c>
      <c r="M1960" t="s">
        <v>603</v>
      </c>
    </row>
    <row r="1961" spans="1:13" x14ac:dyDescent="0.2">
      <c r="A1961" t="s">
        <v>601</v>
      </c>
      <c r="B1961" t="s">
        <v>6</v>
      </c>
      <c r="C1961" t="s">
        <v>9</v>
      </c>
      <c r="D1961">
        <v>3921</v>
      </c>
      <c r="E1961">
        <v>2019</v>
      </c>
      <c r="F1961">
        <v>3</v>
      </c>
      <c r="G1961">
        <v>99785</v>
      </c>
      <c r="H1961" s="1">
        <v>4</v>
      </c>
      <c r="I1961">
        <v>22</v>
      </c>
      <c r="J1961">
        <f>IF($H1961=0,1,IF($I1961&lt;=1,2,0))</f>
        <v>0</v>
      </c>
      <c r="K1961">
        <v>0</v>
      </c>
      <c r="L1961">
        <f>IF(AND($J1961=0,$K1961=0),0,1)</f>
        <v>0</v>
      </c>
      <c r="M1961" t="s">
        <v>614</v>
      </c>
    </row>
    <row r="1962" spans="1:13" x14ac:dyDescent="0.2">
      <c r="A1962" t="s">
        <v>601</v>
      </c>
      <c r="B1962" t="s">
        <v>6</v>
      </c>
      <c r="C1962" t="s">
        <v>9</v>
      </c>
      <c r="D1962">
        <v>3921</v>
      </c>
      <c r="E1962">
        <v>2019</v>
      </c>
      <c r="F1962">
        <v>2</v>
      </c>
      <c r="G1962">
        <v>99786</v>
      </c>
      <c r="H1962" s="1">
        <v>4</v>
      </c>
      <c r="I1962">
        <v>20</v>
      </c>
      <c r="J1962">
        <f>IF($H1962=0,1,IF($I1962&lt;=1,2,0))</f>
        <v>0</v>
      </c>
      <c r="K1962">
        <v>0</v>
      </c>
      <c r="L1962">
        <f>IF(AND($J1962=0,$K1962=0),0,1)</f>
        <v>0</v>
      </c>
      <c r="M1962" t="s">
        <v>614</v>
      </c>
    </row>
    <row r="1963" spans="1:13" x14ac:dyDescent="0.2">
      <c r="A1963" t="s">
        <v>601</v>
      </c>
      <c r="B1963" t="s">
        <v>6</v>
      </c>
      <c r="C1963" t="s">
        <v>9</v>
      </c>
      <c r="D1963">
        <v>3921</v>
      </c>
      <c r="E1963">
        <v>2019</v>
      </c>
      <c r="F1963">
        <v>4</v>
      </c>
      <c r="G1963">
        <v>13422</v>
      </c>
      <c r="H1963" s="1">
        <v>4</v>
      </c>
      <c r="I1963">
        <v>20</v>
      </c>
      <c r="J1963">
        <f>IF($H1963=0,1,IF($I1963&lt;=1,2,0))</f>
        <v>0</v>
      </c>
      <c r="K1963">
        <v>0</v>
      </c>
      <c r="L1963">
        <f>IF(AND($J1963=0,$K1963=0),0,1)</f>
        <v>0</v>
      </c>
      <c r="M1963" t="s">
        <v>614</v>
      </c>
    </row>
    <row r="1964" spans="1:13" x14ac:dyDescent="0.2">
      <c r="A1964" t="s">
        <v>601</v>
      </c>
      <c r="B1964" t="s">
        <v>6</v>
      </c>
      <c r="C1964" t="s">
        <v>9</v>
      </c>
      <c r="D1964">
        <v>3921</v>
      </c>
      <c r="E1964">
        <v>2019</v>
      </c>
      <c r="F1964">
        <v>8</v>
      </c>
      <c r="G1964">
        <v>14018</v>
      </c>
      <c r="H1964" s="1">
        <v>4</v>
      </c>
      <c r="I1964">
        <v>20</v>
      </c>
      <c r="J1964">
        <f>IF($H1964=0,1,IF($I1964&lt;=1,2,0))</f>
        <v>0</v>
      </c>
      <c r="K1964">
        <v>0</v>
      </c>
      <c r="L1964">
        <f>IF(AND($J1964=0,$K1964=0),0,1)</f>
        <v>0</v>
      </c>
      <c r="M1964" t="s">
        <v>603</v>
      </c>
    </row>
    <row r="1965" spans="1:13" x14ac:dyDescent="0.2">
      <c r="A1965" t="s">
        <v>601</v>
      </c>
      <c r="B1965" t="s">
        <v>6</v>
      </c>
      <c r="C1965" t="s">
        <v>9</v>
      </c>
      <c r="D1965">
        <v>3921</v>
      </c>
      <c r="E1965">
        <v>2019</v>
      </c>
      <c r="F1965">
        <v>5</v>
      </c>
      <c r="G1965">
        <v>47188</v>
      </c>
      <c r="H1965" s="1">
        <v>4</v>
      </c>
      <c r="I1965">
        <v>18</v>
      </c>
      <c r="J1965">
        <f>IF($H1965=0,1,IF($I1965&lt;=1,2,0))</f>
        <v>0</v>
      </c>
      <c r="K1965">
        <v>0</v>
      </c>
      <c r="L1965">
        <f>IF(AND($J1965=0,$K1965=0),0,1)</f>
        <v>0</v>
      </c>
      <c r="M1965" t="s">
        <v>614</v>
      </c>
    </row>
    <row r="1966" spans="1:13" x14ac:dyDescent="0.2">
      <c r="A1966" t="s">
        <v>601</v>
      </c>
      <c r="B1966" t="s">
        <v>6</v>
      </c>
      <c r="C1966" t="s">
        <v>9</v>
      </c>
      <c r="D1966">
        <v>3921</v>
      </c>
      <c r="E1966">
        <v>2019</v>
      </c>
      <c r="F1966">
        <v>9</v>
      </c>
      <c r="G1966">
        <v>14878</v>
      </c>
      <c r="H1966" s="1">
        <v>4</v>
      </c>
      <c r="I1966">
        <v>13</v>
      </c>
      <c r="J1966">
        <f>IF($H1966=0,1,IF($I1966&lt;=1,2,0))</f>
        <v>0</v>
      </c>
      <c r="K1966">
        <v>0</v>
      </c>
      <c r="L1966">
        <f>IF(AND($J1966=0,$K1966=0),0,1)</f>
        <v>0</v>
      </c>
      <c r="M1966" t="s">
        <v>603</v>
      </c>
    </row>
    <row r="1967" spans="1:13" x14ac:dyDescent="0.2">
      <c r="A1967" t="s">
        <v>601</v>
      </c>
      <c r="B1967" t="s">
        <v>6</v>
      </c>
      <c r="C1967" t="s">
        <v>9</v>
      </c>
      <c r="D1967">
        <v>3921</v>
      </c>
      <c r="E1967">
        <v>2019</v>
      </c>
      <c r="F1967">
        <v>7</v>
      </c>
      <c r="G1967">
        <v>13255</v>
      </c>
      <c r="H1967" s="1">
        <v>4</v>
      </c>
      <c r="I1967">
        <v>11</v>
      </c>
      <c r="J1967">
        <f>IF($H1967=0,1,IF($I1967&lt;=1,2,0))</f>
        <v>0</v>
      </c>
      <c r="K1967">
        <v>0</v>
      </c>
      <c r="L1967">
        <f>IF(AND($J1967=0,$K1967=0),0,1)</f>
        <v>0</v>
      </c>
      <c r="M1967" t="s">
        <v>603</v>
      </c>
    </row>
    <row r="1968" spans="1:13" x14ac:dyDescent="0.2">
      <c r="A1968" t="s">
        <v>601</v>
      </c>
      <c r="B1968" t="s">
        <v>6</v>
      </c>
      <c r="C1968" t="s">
        <v>9</v>
      </c>
      <c r="D1968">
        <v>3921</v>
      </c>
      <c r="E1968">
        <v>2019</v>
      </c>
      <c r="F1968">
        <v>1</v>
      </c>
      <c r="G1968">
        <v>99787</v>
      </c>
      <c r="H1968" s="1">
        <v>4</v>
      </c>
      <c r="I1968">
        <v>6</v>
      </c>
      <c r="J1968">
        <f>IF($H1968=0,1,IF($I1968&lt;=1,2,0))</f>
        <v>0</v>
      </c>
      <c r="K1968">
        <v>0</v>
      </c>
      <c r="L1968">
        <f>IF(AND($J1968=0,$K1968=0),0,1)</f>
        <v>0</v>
      </c>
      <c r="M1968" t="s">
        <v>615</v>
      </c>
    </row>
    <row r="1969" spans="1:13" x14ac:dyDescent="0.2">
      <c r="A1969" t="s">
        <v>601</v>
      </c>
      <c r="B1969" t="s">
        <v>6</v>
      </c>
      <c r="C1969" t="s">
        <v>9</v>
      </c>
      <c r="D1969">
        <v>3930</v>
      </c>
      <c r="E1969">
        <v>2019</v>
      </c>
      <c r="F1969">
        <v>1</v>
      </c>
      <c r="G1969">
        <v>99779</v>
      </c>
      <c r="H1969" s="1">
        <v>4</v>
      </c>
      <c r="I1969">
        <v>17</v>
      </c>
      <c r="J1969">
        <f>IF($H1969=0,1,IF($I1969&lt;=1,2,0))</f>
        <v>0</v>
      </c>
      <c r="K1969">
        <v>0</v>
      </c>
      <c r="L1969">
        <f>IF(AND($J1969=0,$K1969=0),0,1)</f>
        <v>0</v>
      </c>
      <c r="M1969" t="s">
        <v>614</v>
      </c>
    </row>
    <row r="1970" spans="1:13" x14ac:dyDescent="0.2">
      <c r="A1970" t="s">
        <v>601</v>
      </c>
      <c r="B1970" t="s">
        <v>6</v>
      </c>
      <c r="C1970" t="s">
        <v>9</v>
      </c>
      <c r="D1970">
        <v>3951</v>
      </c>
      <c r="E1970">
        <v>2019</v>
      </c>
      <c r="F1970">
        <v>2</v>
      </c>
      <c r="G1970">
        <v>47178</v>
      </c>
      <c r="H1970" s="1">
        <v>4</v>
      </c>
      <c r="I1970">
        <v>19</v>
      </c>
      <c r="J1970">
        <f>IF($H1970=0,1,IF($I1970&lt;=1,2,0))</f>
        <v>0</v>
      </c>
      <c r="K1970">
        <v>0</v>
      </c>
      <c r="L1970">
        <f>IF(AND($J1970=0,$K1970=0),0,1)</f>
        <v>0</v>
      </c>
      <c r="M1970" t="s">
        <v>614</v>
      </c>
    </row>
    <row r="1971" spans="1:13" x14ac:dyDescent="0.2">
      <c r="A1971" t="s">
        <v>601</v>
      </c>
      <c r="B1971" t="s">
        <v>6</v>
      </c>
      <c r="C1971" t="s">
        <v>9</v>
      </c>
      <c r="D1971">
        <v>3951</v>
      </c>
      <c r="E1971">
        <v>2019</v>
      </c>
      <c r="F1971">
        <v>1</v>
      </c>
      <c r="G1971">
        <v>14011</v>
      </c>
      <c r="H1971" s="1">
        <v>4</v>
      </c>
      <c r="I1971">
        <v>10</v>
      </c>
      <c r="J1971">
        <f>IF($H1971=0,1,IF($I1971&lt;=1,2,0))</f>
        <v>0</v>
      </c>
      <c r="K1971">
        <v>0</v>
      </c>
      <c r="L1971">
        <f>IF(AND($J1971=0,$K1971=0),0,1)</f>
        <v>0</v>
      </c>
      <c r="M1971" t="s">
        <v>603</v>
      </c>
    </row>
    <row r="1972" spans="1:13" x14ac:dyDescent="0.2">
      <c r="A1972" t="s">
        <v>601</v>
      </c>
      <c r="B1972" t="s">
        <v>6</v>
      </c>
      <c r="C1972" t="s">
        <v>9</v>
      </c>
      <c r="D1972">
        <v>3961</v>
      </c>
      <c r="E1972">
        <v>2019</v>
      </c>
      <c r="F1972">
        <v>4</v>
      </c>
      <c r="G1972">
        <v>47183</v>
      </c>
      <c r="H1972" s="1">
        <v>4</v>
      </c>
      <c r="I1972">
        <v>23</v>
      </c>
      <c r="J1972">
        <f>IF($H1972=0,1,IF($I1972&lt;=1,2,0))</f>
        <v>0</v>
      </c>
      <c r="K1972">
        <v>0</v>
      </c>
      <c r="L1972">
        <f>IF(AND($J1972=0,$K1972=0),0,1)</f>
        <v>0</v>
      </c>
      <c r="M1972" t="s">
        <v>614</v>
      </c>
    </row>
    <row r="1973" spans="1:13" x14ac:dyDescent="0.2">
      <c r="A1973" t="s">
        <v>601</v>
      </c>
      <c r="B1973" t="s">
        <v>6</v>
      </c>
      <c r="C1973" t="s">
        <v>9</v>
      </c>
      <c r="D1973">
        <v>3961</v>
      </c>
      <c r="E1973">
        <v>2019</v>
      </c>
      <c r="F1973">
        <v>5</v>
      </c>
      <c r="G1973">
        <v>14012</v>
      </c>
      <c r="H1973" s="1">
        <v>4</v>
      </c>
      <c r="I1973">
        <v>18</v>
      </c>
      <c r="J1973">
        <f>IF($H1973=0,1,IF($I1973&lt;=1,2,0))</f>
        <v>0</v>
      </c>
      <c r="K1973">
        <v>0</v>
      </c>
      <c r="L1973">
        <f>IF(AND($J1973=0,$K1973=0),0,1)</f>
        <v>0</v>
      </c>
      <c r="M1973" t="s">
        <v>603</v>
      </c>
    </row>
    <row r="1974" spans="1:13" x14ac:dyDescent="0.2">
      <c r="A1974" t="s">
        <v>601</v>
      </c>
      <c r="B1974" t="s">
        <v>6</v>
      </c>
      <c r="C1974" t="s">
        <v>9</v>
      </c>
      <c r="D1974">
        <v>3961</v>
      </c>
      <c r="E1974">
        <v>2019</v>
      </c>
      <c r="F1974">
        <v>6</v>
      </c>
      <c r="G1974">
        <v>14872</v>
      </c>
      <c r="H1974" s="1">
        <v>4</v>
      </c>
      <c r="I1974">
        <v>16</v>
      </c>
      <c r="J1974">
        <f>IF($H1974=0,1,IF($I1974&lt;=1,2,0))</f>
        <v>0</v>
      </c>
      <c r="K1974">
        <v>0</v>
      </c>
      <c r="L1974">
        <f>IF(AND($J1974=0,$K1974=0),0,1)</f>
        <v>0</v>
      </c>
      <c r="M1974" t="s">
        <v>603</v>
      </c>
    </row>
    <row r="1975" spans="1:13" x14ac:dyDescent="0.2">
      <c r="A1975" t="s">
        <v>601</v>
      </c>
      <c r="B1975" t="s">
        <v>6</v>
      </c>
      <c r="C1975" t="s">
        <v>9</v>
      </c>
      <c r="D1975">
        <v>3961</v>
      </c>
      <c r="E1975">
        <v>2019</v>
      </c>
      <c r="F1975">
        <v>1</v>
      </c>
      <c r="G1975">
        <v>99834</v>
      </c>
      <c r="H1975" s="1">
        <v>4</v>
      </c>
      <c r="I1975">
        <v>13</v>
      </c>
      <c r="J1975">
        <f>IF($H1975=0,1,IF($I1975&lt;=1,2,0))</f>
        <v>0</v>
      </c>
      <c r="K1975">
        <v>0</v>
      </c>
      <c r="L1975">
        <f>IF(AND($J1975=0,$K1975=0),0,1)</f>
        <v>0</v>
      </c>
      <c r="M1975" t="s">
        <v>614</v>
      </c>
    </row>
    <row r="1976" spans="1:13" x14ac:dyDescent="0.2">
      <c r="A1976" t="s">
        <v>601</v>
      </c>
      <c r="B1976" t="s">
        <v>6</v>
      </c>
      <c r="C1976" t="s">
        <v>9</v>
      </c>
      <c r="D1976">
        <v>3961</v>
      </c>
      <c r="E1976">
        <v>2019</v>
      </c>
      <c r="F1976">
        <v>2</v>
      </c>
      <c r="G1976">
        <v>29210</v>
      </c>
      <c r="H1976" s="1">
        <v>4</v>
      </c>
      <c r="I1976">
        <v>10</v>
      </c>
      <c r="J1976">
        <f>IF($H1976=0,1,IF($I1976&lt;=1,2,0))</f>
        <v>0</v>
      </c>
      <c r="K1976">
        <v>0</v>
      </c>
      <c r="L1976">
        <f>IF(AND($J1976=0,$K1976=0),0,1)</f>
        <v>0</v>
      </c>
      <c r="M1976" t="s">
        <v>603</v>
      </c>
    </row>
    <row r="1977" spans="1:13" x14ac:dyDescent="0.2">
      <c r="A1977" t="s">
        <v>601</v>
      </c>
      <c r="B1977" t="s">
        <v>6</v>
      </c>
      <c r="C1977" t="s">
        <v>9</v>
      </c>
      <c r="D1977">
        <v>3961</v>
      </c>
      <c r="E1977">
        <v>2019</v>
      </c>
      <c r="F1977">
        <v>3</v>
      </c>
      <c r="G1977">
        <v>47182</v>
      </c>
      <c r="H1977" s="1">
        <v>4</v>
      </c>
      <c r="I1977">
        <v>10</v>
      </c>
      <c r="J1977">
        <f>IF($H1977=0,1,IF($I1977&lt;=1,2,0))</f>
        <v>0</v>
      </c>
      <c r="K1977">
        <v>0</v>
      </c>
      <c r="L1977">
        <f>IF(AND($J1977=0,$K1977=0),0,1)</f>
        <v>0</v>
      </c>
    </row>
    <row r="1978" spans="1:13" x14ac:dyDescent="0.2">
      <c r="A1978" t="s">
        <v>601</v>
      </c>
      <c r="B1978" t="s">
        <v>6</v>
      </c>
      <c r="C1978" t="s">
        <v>33</v>
      </c>
      <c r="D1978">
        <v>3991</v>
      </c>
      <c r="E1978">
        <v>2019</v>
      </c>
      <c r="F1978">
        <v>1</v>
      </c>
      <c r="G1978">
        <v>19293</v>
      </c>
      <c r="H1978" s="1">
        <v>4</v>
      </c>
      <c r="I1978">
        <v>2</v>
      </c>
      <c r="J1978">
        <f>IF($H1978=0,1,IF($I1978&lt;=1,2,0))</f>
        <v>0</v>
      </c>
      <c r="K1978">
        <v>0</v>
      </c>
      <c r="L1978">
        <f>IF(AND($J1978=0,$K1978=0),0,1)</f>
        <v>0</v>
      </c>
    </row>
    <row r="1979" spans="1:13" x14ac:dyDescent="0.2">
      <c r="A1979" t="s">
        <v>601</v>
      </c>
      <c r="B1979" t="s">
        <v>6</v>
      </c>
      <c r="C1979" t="s">
        <v>9</v>
      </c>
      <c r="D1979">
        <v>4128</v>
      </c>
      <c r="E1979">
        <v>2019</v>
      </c>
      <c r="F1979">
        <v>1</v>
      </c>
      <c r="G1979">
        <v>17822</v>
      </c>
      <c r="H1979" s="1">
        <v>4</v>
      </c>
      <c r="I1979">
        <v>8</v>
      </c>
      <c r="J1979">
        <f>IF($H1979=0,1,IF($I1979&lt;=1,2,0))</f>
        <v>0</v>
      </c>
      <c r="K1979">
        <v>0</v>
      </c>
      <c r="L1979">
        <f>IF(AND($J1979=0,$K1979=0),0,1)</f>
        <v>0</v>
      </c>
    </row>
    <row r="1980" spans="1:13" x14ac:dyDescent="0.2">
      <c r="A1980" t="s">
        <v>601</v>
      </c>
      <c r="B1980" t="s">
        <v>6</v>
      </c>
      <c r="C1980" t="s">
        <v>11</v>
      </c>
      <c r="D1980">
        <v>4132</v>
      </c>
      <c r="E1980">
        <v>2019</v>
      </c>
      <c r="F1980">
        <v>1</v>
      </c>
      <c r="G1980">
        <v>99777</v>
      </c>
      <c r="H1980" s="1">
        <v>3</v>
      </c>
      <c r="I1980">
        <v>19</v>
      </c>
      <c r="J1980">
        <f>IF($H1980=0,1,IF($I1980&lt;=1,2,0))</f>
        <v>0</v>
      </c>
      <c r="K1980">
        <v>0</v>
      </c>
      <c r="L1980">
        <f>IF(AND($J1980=0,$K1980=0),0,1)</f>
        <v>0</v>
      </c>
    </row>
    <row r="1981" spans="1:13" x14ac:dyDescent="0.2">
      <c r="A1981" t="s">
        <v>601</v>
      </c>
      <c r="B1981" t="s">
        <v>6</v>
      </c>
      <c r="C1981" t="s">
        <v>9</v>
      </c>
      <c r="D1981">
        <v>4134</v>
      </c>
      <c r="E1981">
        <v>2019</v>
      </c>
      <c r="F1981">
        <v>1</v>
      </c>
      <c r="G1981">
        <v>99776</v>
      </c>
      <c r="H1981" s="1">
        <v>4</v>
      </c>
      <c r="I1981">
        <v>25</v>
      </c>
      <c r="J1981">
        <f>IF($H1981=0,1,IF($I1981&lt;=1,2,0))</f>
        <v>0</v>
      </c>
      <c r="K1981">
        <v>0</v>
      </c>
      <c r="L1981">
        <f>IF(AND($J1981=0,$K1981=0),0,1)</f>
        <v>0</v>
      </c>
      <c r="M1981" t="s">
        <v>1948</v>
      </c>
    </row>
    <row r="1982" spans="1:13" x14ac:dyDescent="0.2">
      <c r="A1982" t="s">
        <v>601</v>
      </c>
      <c r="B1982" t="s">
        <v>6</v>
      </c>
      <c r="C1982" t="s">
        <v>9</v>
      </c>
      <c r="D1982">
        <v>4403</v>
      </c>
      <c r="E1982">
        <v>2019</v>
      </c>
      <c r="F1982">
        <v>1</v>
      </c>
      <c r="G1982">
        <v>14222</v>
      </c>
      <c r="H1982" s="1">
        <v>3</v>
      </c>
      <c r="I1982">
        <v>32</v>
      </c>
      <c r="J1982">
        <f>IF($H1982=0,1,IF($I1982&lt;=1,2,0))</f>
        <v>0</v>
      </c>
      <c r="K1982">
        <v>0</v>
      </c>
      <c r="L1982">
        <f>IF(AND($J1982=0,$K1982=0),0,1)</f>
        <v>0</v>
      </c>
    </row>
    <row r="1983" spans="1:13" x14ac:dyDescent="0.2">
      <c r="A1983" t="s">
        <v>601</v>
      </c>
      <c r="B1983" t="s">
        <v>6</v>
      </c>
      <c r="C1983" t="s">
        <v>11</v>
      </c>
      <c r="D1983">
        <v>4407</v>
      </c>
      <c r="E1983">
        <v>2019</v>
      </c>
      <c r="F1983">
        <v>1</v>
      </c>
      <c r="G1983">
        <v>99827</v>
      </c>
      <c r="H1983" s="1">
        <v>4</v>
      </c>
      <c r="I1983">
        <v>16</v>
      </c>
      <c r="J1983">
        <f>IF($H1983=0,1,IF($I1983&lt;=1,2,0))</f>
        <v>0</v>
      </c>
      <c r="K1983">
        <v>0</v>
      </c>
      <c r="L1983">
        <f>IF(AND($J1983=0,$K1983=0),0,1)</f>
        <v>0</v>
      </c>
      <c r="M1983" t="s">
        <v>617</v>
      </c>
    </row>
    <row r="1984" spans="1:13" x14ac:dyDescent="0.2">
      <c r="A1984" t="s">
        <v>601</v>
      </c>
      <c r="B1984" t="s">
        <v>6</v>
      </c>
      <c r="C1984" t="s">
        <v>11</v>
      </c>
      <c r="D1984">
        <v>4434</v>
      </c>
      <c r="E1984">
        <v>2019</v>
      </c>
      <c r="F1984">
        <v>1</v>
      </c>
      <c r="G1984">
        <v>14025</v>
      </c>
      <c r="H1984" s="1">
        <v>4</v>
      </c>
      <c r="I1984">
        <v>16</v>
      </c>
      <c r="J1984">
        <f>IF($H1984=0,1,IF($I1984&lt;=1,2,0))</f>
        <v>0</v>
      </c>
      <c r="K1984">
        <v>0</v>
      </c>
      <c r="L1984">
        <f>IF(AND($J1984=0,$K1984=0),0,1)</f>
        <v>0</v>
      </c>
    </row>
    <row r="1985" spans="1:13" x14ac:dyDescent="0.2">
      <c r="A1985" t="s">
        <v>601</v>
      </c>
      <c r="B1985" t="s">
        <v>6</v>
      </c>
      <c r="C1985" t="s">
        <v>9</v>
      </c>
      <c r="D1985">
        <v>4454</v>
      </c>
      <c r="E1985">
        <v>2019</v>
      </c>
      <c r="F1985">
        <v>1</v>
      </c>
      <c r="G1985">
        <v>99771</v>
      </c>
      <c r="H1985" s="1">
        <v>4</v>
      </c>
      <c r="I1985">
        <v>15</v>
      </c>
      <c r="J1985">
        <f>IF($H1985=0,1,IF($I1985&lt;=1,2,0))</f>
        <v>0</v>
      </c>
      <c r="K1985">
        <v>0</v>
      </c>
      <c r="L1985">
        <f>IF(AND($J1985=0,$K1985=0),0,1)</f>
        <v>0</v>
      </c>
    </row>
    <row r="1986" spans="1:13" x14ac:dyDescent="0.2">
      <c r="A1986" t="s">
        <v>601</v>
      </c>
      <c r="B1986" t="s">
        <v>6</v>
      </c>
      <c r="C1986" t="s">
        <v>9</v>
      </c>
      <c r="D1986">
        <v>4472</v>
      </c>
      <c r="E1986">
        <v>2019</v>
      </c>
      <c r="F1986">
        <v>1</v>
      </c>
      <c r="G1986">
        <v>99766</v>
      </c>
      <c r="H1986" s="1">
        <v>4</v>
      </c>
      <c r="I1986">
        <v>23</v>
      </c>
      <c r="J1986">
        <f>IF($H1986=0,1,IF($I1986&lt;=1,2,0))</f>
        <v>0</v>
      </c>
      <c r="K1986">
        <v>0</v>
      </c>
      <c r="L1986">
        <f>IF(AND($J1986=0,$K1986=0),0,1)</f>
        <v>0</v>
      </c>
    </row>
    <row r="1987" spans="1:13" x14ac:dyDescent="0.2">
      <c r="A1987" t="s">
        <v>601</v>
      </c>
      <c r="B1987" t="s">
        <v>6</v>
      </c>
      <c r="C1987" t="s">
        <v>9</v>
      </c>
      <c r="D1987">
        <v>4476</v>
      </c>
      <c r="E1987">
        <v>2019</v>
      </c>
      <c r="F1987">
        <v>1</v>
      </c>
      <c r="G1987">
        <v>13494</v>
      </c>
      <c r="H1987" s="1">
        <v>4</v>
      </c>
      <c r="I1987">
        <v>18</v>
      </c>
      <c r="J1987">
        <f>IF($H1987=0,1,IF($I1987&lt;=1,2,0))</f>
        <v>0</v>
      </c>
      <c r="K1987">
        <v>0</v>
      </c>
      <c r="L1987">
        <f>IF(AND($J1987=0,$K1987=0),0,1)</f>
        <v>0</v>
      </c>
    </row>
    <row r="1988" spans="1:13" x14ac:dyDescent="0.2">
      <c r="A1988" t="s">
        <v>601</v>
      </c>
      <c r="B1988" t="s">
        <v>6</v>
      </c>
      <c r="C1988" t="s">
        <v>9</v>
      </c>
      <c r="D1988">
        <v>4496</v>
      </c>
      <c r="E1988">
        <v>2019</v>
      </c>
      <c r="F1988">
        <v>1</v>
      </c>
      <c r="G1988">
        <v>99799</v>
      </c>
      <c r="H1988" s="1">
        <v>3</v>
      </c>
      <c r="I1988">
        <v>23</v>
      </c>
      <c r="J1988">
        <f>IF($H1988=0,1,IF($I1988&lt;=1,2,0))</f>
        <v>0</v>
      </c>
      <c r="K1988">
        <v>0</v>
      </c>
      <c r="L1988">
        <f>IF(AND($J1988=0,$K1988=0),0,1)</f>
        <v>0</v>
      </c>
    </row>
    <row r="1989" spans="1:13" x14ac:dyDescent="0.2">
      <c r="A1989" t="s">
        <v>601</v>
      </c>
      <c r="B1989" t="s">
        <v>6</v>
      </c>
      <c r="C1989" t="s">
        <v>9</v>
      </c>
      <c r="D1989">
        <v>4700</v>
      </c>
      <c r="E1989">
        <v>2019</v>
      </c>
      <c r="F1989">
        <v>1</v>
      </c>
      <c r="G1989">
        <v>10474</v>
      </c>
      <c r="H1989" s="1">
        <v>4</v>
      </c>
      <c r="I1989">
        <v>6</v>
      </c>
      <c r="J1989">
        <f>IF($H1989=0,1,IF($I1989&lt;=1,2,0))</f>
        <v>0</v>
      </c>
      <c r="K1989">
        <v>0</v>
      </c>
      <c r="L1989">
        <f>IF(AND($J1989=0,$K1989=0),0,1)</f>
        <v>0</v>
      </c>
    </row>
    <row r="1990" spans="1:13" x14ac:dyDescent="0.2">
      <c r="A1990" t="s">
        <v>601</v>
      </c>
      <c r="B1990" t="s">
        <v>6</v>
      </c>
      <c r="C1990" t="s">
        <v>9</v>
      </c>
      <c r="D1990">
        <v>4702</v>
      </c>
      <c r="E1990">
        <v>2019</v>
      </c>
      <c r="F1990">
        <v>1</v>
      </c>
      <c r="G1990">
        <v>47184</v>
      </c>
      <c r="H1990" s="1">
        <v>4</v>
      </c>
      <c r="I1990">
        <v>17</v>
      </c>
      <c r="J1990">
        <f>IF($H1990=0,1,IF($I1990&lt;=1,2,0))</f>
        <v>0</v>
      </c>
      <c r="K1990">
        <v>0</v>
      </c>
      <c r="L1990">
        <f>IF(AND($J1990=0,$K1990=0),0,1)</f>
        <v>0</v>
      </c>
    </row>
    <row r="1991" spans="1:13" x14ac:dyDescent="0.2">
      <c r="A1991" t="s">
        <v>601</v>
      </c>
      <c r="B1991" t="s">
        <v>6</v>
      </c>
      <c r="C1991" t="s">
        <v>9</v>
      </c>
      <c r="D1991">
        <v>4710</v>
      </c>
      <c r="E1991">
        <v>2019</v>
      </c>
      <c r="F1991">
        <v>1</v>
      </c>
      <c r="G1991">
        <v>10590</v>
      </c>
      <c r="H1991" s="1">
        <v>4</v>
      </c>
      <c r="I1991">
        <v>25</v>
      </c>
      <c r="J1991">
        <f>IF($H1991=0,1,IF($I1991&lt;=1,2,0))</f>
        <v>0</v>
      </c>
      <c r="K1991">
        <v>0</v>
      </c>
      <c r="L1991">
        <f>IF(AND($J1991=0,$K1991=0),0,1)</f>
        <v>0</v>
      </c>
      <c r="M1991" t="s">
        <v>618</v>
      </c>
    </row>
    <row r="1992" spans="1:13" x14ac:dyDescent="0.2">
      <c r="A1992" t="s">
        <v>601</v>
      </c>
      <c r="B1992" t="s">
        <v>6</v>
      </c>
      <c r="C1992" t="s">
        <v>9</v>
      </c>
      <c r="D1992">
        <v>4714</v>
      </c>
      <c r="E1992">
        <v>2019</v>
      </c>
      <c r="F1992">
        <v>1</v>
      </c>
      <c r="G1992">
        <v>17809</v>
      </c>
      <c r="H1992" s="1">
        <v>4</v>
      </c>
      <c r="I1992">
        <v>24</v>
      </c>
      <c r="J1992">
        <f>IF($H1992=0,1,IF($I1992&lt;=1,2,0))</f>
        <v>0</v>
      </c>
      <c r="K1992">
        <v>0</v>
      </c>
      <c r="L1992">
        <f>IF(AND($J1992=0,$K1992=0),0,1)</f>
        <v>0</v>
      </c>
    </row>
    <row r="1993" spans="1:13" x14ac:dyDescent="0.2">
      <c r="A1993" t="s">
        <v>601</v>
      </c>
      <c r="B1993" t="s">
        <v>6</v>
      </c>
      <c r="C1993" t="s">
        <v>9</v>
      </c>
      <c r="D1993">
        <v>4732</v>
      </c>
      <c r="E1993">
        <v>2019</v>
      </c>
      <c r="F1993">
        <v>1</v>
      </c>
      <c r="G1993">
        <v>99758</v>
      </c>
      <c r="H1993" s="1">
        <v>4</v>
      </c>
      <c r="I1993">
        <v>15</v>
      </c>
      <c r="J1993">
        <f>IF($H1993=0,1,IF($I1993&lt;=1,2,0))</f>
        <v>0</v>
      </c>
      <c r="K1993">
        <v>0</v>
      </c>
      <c r="L1993">
        <f>IF(AND($J1993=0,$K1993=0),0,1)</f>
        <v>0</v>
      </c>
      <c r="M1993" t="s">
        <v>619</v>
      </c>
    </row>
    <row r="1994" spans="1:13" x14ac:dyDescent="0.2">
      <c r="A1994" t="s">
        <v>601</v>
      </c>
      <c r="B1994" t="s">
        <v>6</v>
      </c>
      <c r="C1994" t="s">
        <v>9</v>
      </c>
      <c r="D1994">
        <v>4762</v>
      </c>
      <c r="E1994">
        <v>2019</v>
      </c>
      <c r="F1994">
        <v>1</v>
      </c>
      <c r="G1994">
        <v>10314</v>
      </c>
      <c r="H1994" s="1">
        <v>4</v>
      </c>
      <c r="I1994">
        <v>7</v>
      </c>
      <c r="J1994">
        <f>IF($H1994=0,1,IF($I1994&lt;=1,2,0))</f>
        <v>0</v>
      </c>
      <c r="K1994">
        <v>0</v>
      </c>
      <c r="L1994">
        <f>IF(AND($J1994=0,$K1994=0),0,1)</f>
        <v>0</v>
      </c>
    </row>
    <row r="1995" spans="1:13" x14ac:dyDescent="0.2">
      <c r="A1995" t="s">
        <v>601</v>
      </c>
      <c r="B1995" t="s">
        <v>6</v>
      </c>
      <c r="C1995" t="s">
        <v>9</v>
      </c>
      <c r="D1995">
        <v>4792</v>
      </c>
      <c r="E1995">
        <v>2019</v>
      </c>
      <c r="F1995">
        <v>1</v>
      </c>
      <c r="G1995">
        <v>17823</v>
      </c>
      <c r="H1995" s="1">
        <v>4</v>
      </c>
      <c r="I1995">
        <v>5</v>
      </c>
      <c r="J1995">
        <f>IF($H1995=0,1,IF($I1995&lt;=1,2,0))</f>
        <v>0</v>
      </c>
      <c r="K1995">
        <v>0</v>
      </c>
      <c r="L1995">
        <f>IF(AND($J1995=0,$K1995=0),0,1)</f>
        <v>0</v>
      </c>
    </row>
    <row r="1996" spans="1:13" x14ac:dyDescent="0.2">
      <c r="A1996" t="s">
        <v>601</v>
      </c>
      <c r="B1996" t="s">
        <v>6</v>
      </c>
      <c r="C1996" t="s">
        <v>9</v>
      </c>
      <c r="D1996">
        <v>4895</v>
      </c>
      <c r="E1996">
        <v>2019</v>
      </c>
      <c r="F1996">
        <v>1</v>
      </c>
      <c r="G1996">
        <v>99794</v>
      </c>
      <c r="H1996" s="1">
        <v>4</v>
      </c>
      <c r="I1996">
        <v>41</v>
      </c>
      <c r="J1996">
        <f>IF($H1996=0,1,IF($I1996&lt;=1,2,0))</f>
        <v>0</v>
      </c>
      <c r="K1996">
        <v>0</v>
      </c>
      <c r="L1996">
        <f>IF(AND($J1996=0,$K1996=0),0,1)</f>
        <v>0</v>
      </c>
      <c r="M1996" t="s">
        <v>620</v>
      </c>
    </row>
    <row r="1997" spans="1:13" x14ac:dyDescent="0.2">
      <c r="A1997" t="s">
        <v>601</v>
      </c>
      <c r="B1997" t="s">
        <v>6</v>
      </c>
      <c r="C1997" t="s">
        <v>11</v>
      </c>
      <c r="D1997">
        <v>6101</v>
      </c>
      <c r="E1997">
        <v>2019</v>
      </c>
      <c r="F1997">
        <v>1</v>
      </c>
      <c r="G1997">
        <v>99821</v>
      </c>
      <c r="H1997" s="1">
        <v>4</v>
      </c>
      <c r="I1997">
        <v>10</v>
      </c>
      <c r="J1997">
        <f>IF($H1997=0,1,IF($I1997&lt;=1,2,0))</f>
        <v>0</v>
      </c>
      <c r="K1997">
        <v>0</v>
      </c>
      <c r="L1997">
        <f>IF(AND($J1997=0,$K1997=0),0,1)</f>
        <v>0</v>
      </c>
      <c r="M1997" t="s">
        <v>614</v>
      </c>
    </row>
    <row r="1998" spans="1:13" x14ac:dyDescent="0.2">
      <c r="A1998" t="s">
        <v>601</v>
      </c>
      <c r="B1998" t="s">
        <v>6</v>
      </c>
      <c r="C1998" t="s">
        <v>11</v>
      </c>
      <c r="D1998">
        <v>6210</v>
      </c>
      <c r="E1998">
        <v>2019</v>
      </c>
      <c r="F1998">
        <v>1</v>
      </c>
      <c r="G1998">
        <v>99810</v>
      </c>
      <c r="H1998" s="1">
        <v>4</v>
      </c>
      <c r="I1998">
        <v>10</v>
      </c>
      <c r="J1998">
        <f>IF($H1998=0,1,IF($I1998&lt;=1,2,0))</f>
        <v>0</v>
      </c>
      <c r="K1998">
        <v>0</v>
      </c>
      <c r="L1998">
        <f>IF(AND($J1998=0,$K1998=0),0,1)</f>
        <v>0</v>
      </c>
      <c r="M1998" t="s">
        <v>614</v>
      </c>
    </row>
    <row r="1999" spans="1:13" x14ac:dyDescent="0.2">
      <c r="A1999" t="s">
        <v>601</v>
      </c>
      <c r="B1999" t="s">
        <v>6</v>
      </c>
      <c r="C1999" t="s">
        <v>11</v>
      </c>
      <c r="D1999">
        <v>6411</v>
      </c>
      <c r="E1999">
        <v>2019</v>
      </c>
      <c r="F1999">
        <v>1</v>
      </c>
      <c r="G1999">
        <v>99809</v>
      </c>
      <c r="H1999" s="1">
        <v>4</v>
      </c>
      <c r="I1999">
        <v>19</v>
      </c>
      <c r="J1999">
        <f>IF($H1999=0,1,IF($I1999&lt;=1,2,0))</f>
        <v>0</v>
      </c>
      <c r="K1999">
        <v>0</v>
      </c>
      <c r="L1999">
        <f>IF(AND($J1999=0,$K1999=0),0,1)</f>
        <v>0</v>
      </c>
      <c r="M1999" t="s">
        <v>614</v>
      </c>
    </row>
    <row r="2000" spans="1:13" x14ac:dyDescent="0.2">
      <c r="A2000" t="s">
        <v>601</v>
      </c>
      <c r="B2000" t="s">
        <v>6</v>
      </c>
      <c r="C2000" t="s">
        <v>11</v>
      </c>
      <c r="D2000">
        <v>6801</v>
      </c>
      <c r="E2000">
        <v>2019</v>
      </c>
      <c r="F2000">
        <v>1</v>
      </c>
      <c r="G2000">
        <v>99808</v>
      </c>
      <c r="H2000" s="1">
        <v>4</v>
      </c>
      <c r="I2000">
        <v>13</v>
      </c>
      <c r="J2000">
        <f>IF($H2000=0,1,IF($I2000&lt;=1,2,0))</f>
        <v>0</v>
      </c>
      <c r="K2000">
        <v>0</v>
      </c>
      <c r="L2000">
        <f>IF(AND($J2000=0,$K2000=0),0,1)</f>
        <v>0</v>
      </c>
      <c r="M2000" t="s">
        <v>614</v>
      </c>
    </row>
    <row r="2001" spans="1:13" x14ac:dyDescent="0.2">
      <c r="A2001" t="s">
        <v>601</v>
      </c>
      <c r="B2001" t="s">
        <v>6</v>
      </c>
      <c r="C2001" t="s">
        <v>11</v>
      </c>
      <c r="D2001">
        <v>8113</v>
      </c>
      <c r="E2001">
        <v>2019</v>
      </c>
      <c r="F2001">
        <v>1</v>
      </c>
      <c r="G2001">
        <v>47187</v>
      </c>
      <c r="H2001" s="1">
        <v>4</v>
      </c>
      <c r="I2001">
        <v>13</v>
      </c>
      <c r="J2001">
        <f>IF($H2001=0,1,IF($I2001&lt;=1,2,0))</f>
        <v>0</v>
      </c>
      <c r="K2001">
        <v>0</v>
      </c>
      <c r="L2001">
        <f>IF(AND($J2001=0,$K2001=0),0,1)</f>
        <v>0</v>
      </c>
      <c r="M2001" t="s">
        <v>614</v>
      </c>
    </row>
    <row r="2002" spans="1:13" x14ac:dyDescent="0.2">
      <c r="A2002" t="s">
        <v>601</v>
      </c>
      <c r="B2002" t="s">
        <v>6</v>
      </c>
      <c r="C2002" t="s">
        <v>11</v>
      </c>
      <c r="D2002">
        <v>8158</v>
      </c>
      <c r="E2002">
        <v>2019</v>
      </c>
      <c r="F2002">
        <v>1</v>
      </c>
      <c r="G2002">
        <v>16438</v>
      </c>
      <c r="H2002" s="1">
        <v>4</v>
      </c>
      <c r="I2002">
        <v>3</v>
      </c>
      <c r="J2002">
        <f>IF($H2002=0,1,IF($I2002&lt;=1,2,0))</f>
        <v>0</v>
      </c>
      <c r="K2002">
        <v>0</v>
      </c>
      <c r="L2002">
        <f>IF(AND($J2002=0,$K2002=0),0,1)</f>
        <v>0</v>
      </c>
      <c r="M2002" t="s">
        <v>603</v>
      </c>
    </row>
    <row r="2003" spans="1:13" x14ac:dyDescent="0.2">
      <c r="A2003" t="s">
        <v>601</v>
      </c>
      <c r="B2003" t="s">
        <v>6</v>
      </c>
      <c r="C2003" t="s">
        <v>11</v>
      </c>
      <c r="D2003">
        <v>8208</v>
      </c>
      <c r="E2003">
        <v>2019</v>
      </c>
      <c r="F2003">
        <v>1</v>
      </c>
      <c r="G2003">
        <v>10233</v>
      </c>
      <c r="H2003" s="1">
        <v>4</v>
      </c>
      <c r="I2003">
        <v>12</v>
      </c>
      <c r="J2003">
        <f>IF($H2003=0,1,IF($I2003&lt;=1,2,0))</f>
        <v>0</v>
      </c>
      <c r="K2003">
        <v>0</v>
      </c>
      <c r="L2003">
        <f>IF(AND($J2003=0,$K2003=0),0,1)</f>
        <v>0</v>
      </c>
      <c r="M2003" t="s">
        <v>614</v>
      </c>
    </row>
    <row r="2004" spans="1:13" x14ac:dyDescent="0.2">
      <c r="A2004" t="s">
        <v>601</v>
      </c>
      <c r="B2004" t="s">
        <v>6</v>
      </c>
      <c r="C2004" t="s">
        <v>11</v>
      </c>
      <c r="D2004">
        <v>8221</v>
      </c>
      <c r="E2004">
        <v>2019</v>
      </c>
      <c r="F2004">
        <v>1</v>
      </c>
      <c r="G2004">
        <v>13994</v>
      </c>
      <c r="H2004" s="1">
        <v>4</v>
      </c>
      <c r="I2004">
        <v>22</v>
      </c>
      <c r="J2004">
        <f>IF($H2004=0,1,IF($I2004&lt;=1,2,0))</f>
        <v>0</v>
      </c>
      <c r="K2004">
        <v>0</v>
      </c>
      <c r="L2004">
        <f>IF(AND($J2004=0,$K2004=0),0,1)</f>
        <v>0</v>
      </c>
      <c r="M2004" t="s">
        <v>614</v>
      </c>
    </row>
    <row r="2005" spans="1:13" x14ac:dyDescent="0.2">
      <c r="A2005" t="s">
        <v>601</v>
      </c>
      <c r="B2005" t="s">
        <v>6</v>
      </c>
      <c r="C2005" t="s">
        <v>11</v>
      </c>
      <c r="D2005">
        <v>8235</v>
      </c>
      <c r="E2005">
        <v>2019</v>
      </c>
      <c r="F2005">
        <v>1</v>
      </c>
      <c r="G2005">
        <v>14221</v>
      </c>
      <c r="H2005" s="1">
        <v>4</v>
      </c>
      <c r="I2005">
        <v>9</v>
      </c>
      <c r="J2005">
        <f>IF($H2005=0,1,IF($I2005&lt;=1,2,0))</f>
        <v>0</v>
      </c>
      <c r="K2005">
        <v>0</v>
      </c>
      <c r="L2005">
        <f>IF(AND($J2005=0,$K2005=0),0,1)</f>
        <v>0</v>
      </c>
      <c r="M2005" t="s">
        <v>603</v>
      </c>
    </row>
    <row r="2006" spans="1:13" x14ac:dyDescent="0.2">
      <c r="A2006" t="s">
        <v>601</v>
      </c>
      <c r="B2006" t="s">
        <v>6</v>
      </c>
      <c r="C2006" t="s">
        <v>11</v>
      </c>
      <c r="D2006">
        <v>8422</v>
      </c>
      <c r="E2006">
        <v>2019</v>
      </c>
      <c r="F2006">
        <v>1</v>
      </c>
      <c r="G2006">
        <v>47189</v>
      </c>
      <c r="H2006" s="1">
        <v>4</v>
      </c>
      <c r="I2006">
        <v>9</v>
      </c>
      <c r="J2006">
        <f>IF($H2006=0,1,IF($I2006&lt;=1,2,0))</f>
        <v>0</v>
      </c>
      <c r="K2006">
        <v>0</v>
      </c>
      <c r="L2006">
        <f>IF(AND($J2006=0,$K2006=0),0,1)</f>
        <v>0</v>
      </c>
      <c r="M2006" t="s">
        <v>614</v>
      </c>
    </row>
    <row r="2007" spans="1:13" x14ac:dyDescent="0.2">
      <c r="A2007" t="s">
        <v>601</v>
      </c>
      <c r="B2007" t="s">
        <v>6</v>
      </c>
      <c r="C2007" t="s">
        <v>11</v>
      </c>
      <c r="D2007">
        <v>8471</v>
      </c>
      <c r="E2007">
        <v>2019</v>
      </c>
      <c r="F2007">
        <v>2</v>
      </c>
      <c r="G2007">
        <v>9171</v>
      </c>
      <c r="H2007" s="1">
        <v>3</v>
      </c>
      <c r="I2007">
        <v>11</v>
      </c>
      <c r="J2007">
        <f>IF($H2007=0,1,IF($I2007&lt;=1,2,0))</f>
        <v>0</v>
      </c>
      <c r="K2007">
        <v>0</v>
      </c>
      <c r="L2007">
        <f>IF(AND($J2007=0,$K2007=0),0,1)</f>
        <v>0</v>
      </c>
    </row>
    <row r="2008" spans="1:13" x14ac:dyDescent="0.2">
      <c r="A2008" t="s">
        <v>601</v>
      </c>
      <c r="B2008" t="s">
        <v>6</v>
      </c>
      <c r="C2008" t="s">
        <v>11</v>
      </c>
      <c r="D2008">
        <v>8804</v>
      </c>
      <c r="E2008">
        <v>2019</v>
      </c>
      <c r="F2008">
        <v>1</v>
      </c>
      <c r="G2008">
        <v>99819</v>
      </c>
      <c r="H2008" s="1">
        <v>4</v>
      </c>
      <c r="I2008">
        <v>22</v>
      </c>
      <c r="J2008">
        <f>IF($H2008=0,1,IF($I2008&lt;=1,2,0))</f>
        <v>0</v>
      </c>
      <c r="K2008">
        <v>0</v>
      </c>
      <c r="L2008">
        <f>IF(AND($J2008=0,$K2008=0),0,1)</f>
        <v>0</v>
      </c>
      <c r="M2008" t="s">
        <v>614</v>
      </c>
    </row>
    <row r="2009" spans="1:13" x14ac:dyDescent="0.2">
      <c r="A2009" t="s">
        <v>601</v>
      </c>
      <c r="B2009" t="s">
        <v>6</v>
      </c>
      <c r="C2009" t="s">
        <v>11</v>
      </c>
      <c r="D2009">
        <v>8832</v>
      </c>
      <c r="E2009">
        <v>2019</v>
      </c>
      <c r="F2009">
        <v>1</v>
      </c>
      <c r="G2009">
        <v>13382</v>
      </c>
      <c r="H2009" s="1">
        <v>4</v>
      </c>
      <c r="I2009">
        <v>6</v>
      </c>
      <c r="J2009">
        <f>IF($H2009=0,1,IF($I2009&lt;=1,2,0))</f>
        <v>0</v>
      </c>
      <c r="K2009">
        <v>0</v>
      </c>
      <c r="L2009">
        <f>IF(AND($J2009=0,$K2009=0),0,1)</f>
        <v>0</v>
      </c>
      <c r="M2009" t="s">
        <v>614</v>
      </c>
    </row>
    <row r="2010" spans="1:13" x14ac:dyDescent="0.2">
      <c r="A2010" t="s">
        <v>621</v>
      </c>
      <c r="B2010" t="s">
        <v>17</v>
      </c>
      <c r="C2010" t="s">
        <v>9</v>
      </c>
      <c r="D2010">
        <v>1101</v>
      </c>
      <c r="E2010">
        <v>2019</v>
      </c>
      <c r="F2010">
        <v>1</v>
      </c>
      <c r="G2010">
        <v>47810</v>
      </c>
      <c r="H2010" s="1">
        <v>4</v>
      </c>
      <c r="I2010">
        <v>8</v>
      </c>
      <c r="J2010">
        <f>IF($H2010=0,1,IF($I2010&lt;=1,2,0))</f>
        <v>0</v>
      </c>
      <c r="K2010">
        <v>0</v>
      </c>
      <c r="L2010">
        <f>IF(AND($J2010=0,$K2010=0),0,1)</f>
        <v>0</v>
      </c>
      <c r="M2010" t="s">
        <v>1949</v>
      </c>
    </row>
    <row r="2011" spans="1:13" x14ac:dyDescent="0.2">
      <c r="A2011" t="s">
        <v>621</v>
      </c>
      <c r="B2011" t="s">
        <v>17</v>
      </c>
      <c r="C2011" t="s">
        <v>9</v>
      </c>
      <c r="D2011">
        <v>1102</v>
      </c>
      <c r="E2011">
        <v>2019</v>
      </c>
      <c r="F2011">
        <v>1</v>
      </c>
      <c r="G2011">
        <v>47812</v>
      </c>
      <c r="H2011" s="1">
        <v>4</v>
      </c>
      <c r="I2011">
        <v>4</v>
      </c>
      <c r="J2011">
        <f>IF($H2011=0,1,IF($I2011&lt;=1,2,0))</f>
        <v>0</v>
      </c>
      <c r="K2011">
        <v>0</v>
      </c>
      <c r="L2011">
        <f>IF(AND($J2011=0,$K2011=0),0,1)</f>
        <v>0</v>
      </c>
      <c r="M2011" t="s">
        <v>1950</v>
      </c>
    </row>
    <row r="2012" spans="1:13" x14ac:dyDescent="0.2">
      <c r="A2012" t="s">
        <v>621</v>
      </c>
      <c r="B2012" t="s">
        <v>17</v>
      </c>
      <c r="C2012" t="s">
        <v>9</v>
      </c>
      <c r="D2012">
        <v>1320</v>
      </c>
      <c r="E2012">
        <v>2019</v>
      </c>
      <c r="F2012">
        <v>1</v>
      </c>
      <c r="G2012">
        <v>47811</v>
      </c>
      <c r="H2012" s="1">
        <v>4</v>
      </c>
      <c r="I2012">
        <v>12</v>
      </c>
      <c r="J2012">
        <f>IF($H2012=0,1,IF($I2012&lt;=1,2,0))</f>
        <v>0</v>
      </c>
      <c r="K2012">
        <v>0</v>
      </c>
      <c r="L2012">
        <f>IF(AND($J2012=0,$K2012=0),0,1)</f>
        <v>0</v>
      </c>
      <c r="M2012" t="s">
        <v>1949</v>
      </c>
    </row>
    <row r="2013" spans="1:13" x14ac:dyDescent="0.2">
      <c r="A2013" t="s">
        <v>621</v>
      </c>
      <c r="B2013" t="s">
        <v>17</v>
      </c>
      <c r="C2013" t="s">
        <v>9</v>
      </c>
      <c r="D2013">
        <v>1320</v>
      </c>
      <c r="E2013">
        <v>2019</v>
      </c>
      <c r="F2013">
        <v>2</v>
      </c>
      <c r="G2013">
        <v>47813</v>
      </c>
      <c r="H2013" s="1">
        <v>4</v>
      </c>
      <c r="I2013">
        <v>9</v>
      </c>
      <c r="J2013">
        <f>IF($H2013=0,1,IF($I2013&lt;=1,2,0))</f>
        <v>0</v>
      </c>
      <c r="K2013">
        <v>0</v>
      </c>
      <c r="L2013">
        <f>IF(AND($J2013=0,$K2013=0),0,1)</f>
        <v>0</v>
      </c>
      <c r="M2013" t="s">
        <v>1949</v>
      </c>
    </row>
    <row r="2014" spans="1:13" x14ac:dyDescent="0.2">
      <c r="A2014" t="s">
        <v>621</v>
      </c>
      <c r="B2014" t="s">
        <v>17</v>
      </c>
      <c r="C2014" t="s">
        <v>9</v>
      </c>
      <c r="D2014">
        <v>2101</v>
      </c>
      <c r="E2014">
        <v>2019</v>
      </c>
      <c r="F2014">
        <v>1</v>
      </c>
      <c r="G2014">
        <v>47814</v>
      </c>
      <c r="H2014" s="1">
        <v>4</v>
      </c>
      <c r="I2014">
        <v>6</v>
      </c>
      <c r="J2014">
        <f>IF($H2014=0,1,IF($I2014&lt;=1,2,0))</f>
        <v>0</v>
      </c>
      <c r="K2014">
        <v>0</v>
      </c>
      <c r="L2014">
        <f>IF(AND($J2014=0,$K2014=0),0,1)</f>
        <v>0</v>
      </c>
      <c r="M2014" t="s">
        <v>1951</v>
      </c>
    </row>
    <row r="2015" spans="1:13" x14ac:dyDescent="0.2">
      <c r="A2015" t="s">
        <v>621</v>
      </c>
      <c r="B2015" t="s">
        <v>17</v>
      </c>
      <c r="C2015" t="s">
        <v>9</v>
      </c>
      <c r="D2015">
        <v>2102</v>
      </c>
      <c r="E2015">
        <v>2019</v>
      </c>
      <c r="F2015">
        <v>1</v>
      </c>
      <c r="G2015">
        <v>47815</v>
      </c>
      <c r="H2015" s="1">
        <v>4</v>
      </c>
      <c r="I2015">
        <v>2</v>
      </c>
      <c r="J2015">
        <f>IF($H2015=0,1,IF($I2015&lt;=1,2,0))</f>
        <v>0</v>
      </c>
      <c r="K2015">
        <v>0</v>
      </c>
      <c r="L2015">
        <f>IF(AND($J2015=0,$K2015=0),0,1)</f>
        <v>0</v>
      </c>
      <c r="M2015" t="s">
        <v>1952</v>
      </c>
    </row>
    <row r="2016" spans="1:13" x14ac:dyDescent="0.2">
      <c r="A2016" t="s">
        <v>621</v>
      </c>
      <c r="B2016" t="s">
        <v>17</v>
      </c>
      <c r="C2016" t="s">
        <v>9</v>
      </c>
      <c r="D2016">
        <v>2120</v>
      </c>
      <c r="E2016">
        <v>2019</v>
      </c>
      <c r="F2016">
        <v>1</v>
      </c>
      <c r="G2016">
        <v>47816</v>
      </c>
      <c r="H2016" s="1">
        <v>4</v>
      </c>
      <c r="I2016">
        <v>3</v>
      </c>
      <c r="J2016">
        <f>IF($H2016=0,1,IF($I2016&lt;=1,2,0))</f>
        <v>0</v>
      </c>
      <c r="K2016">
        <v>0</v>
      </c>
      <c r="L2016">
        <f>IF(AND($J2016=0,$K2016=0),0,1)</f>
        <v>0</v>
      </c>
      <c r="M2016" t="s">
        <v>622</v>
      </c>
    </row>
    <row r="2017" spans="1:13" x14ac:dyDescent="0.2">
      <c r="A2017" t="s">
        <v>621</v>
      </c>
      <c r="B2017" t="s">
        <v>17</v>
      </c>
      <c r="C2017" t="s">
        <v>9</v>
      </c>
      <c r="D2017">
        <v>3300</v>
      </c>
      <c r="E2017">
        <v>2019</v>
      </c>
      <c r="F2017">
        <v>2</v>
      </c>
      <c r="G2017">
        <v>47799</v>
      </c>
      <c r="H2017" s="1">
        <v>3</v>
      </c>
      <c r="I2017">
        <v>8</v>
      </c>
      <c r="J2017">
        <f>IF($H2017=0,1,IF($I2017&lt;=1,2,0))</f>
        <v>0</v>
      </c>
      <c r="K2017">
        <v>0</v>
      </c>
      <c r="L2017">
        <f>IF(AND($J2017=0,$K2017=0),0,1)</f>
        <v>0</v>
      </c>
    </row>
    <row r="2018" spans="1:13" x14ac:dyDescent="0.2">
      <c r="A2018" t="s">
        <v>621</v>
      </c>
      <c r="B2018" t="s">
        <v>17</v>
      </c>
      <c r="C2018" t="s">
        <v>9</v>
      </c>
      <c r="D2018">
        <v>3601</v>
      </c>
      <c r="E2018">
        <v>2019</v>
      </c>
      <c r="F2018">
        <v>1</v>
      </c>
      <c r="G2018">
        <v>13152</v>
      </c>
      <c r="H2018" s="1">
        <v>3</v>
      </c>
      <c r="I2018">
        <v>3</v>
      </c>
      <c r="J2018">
        <f>IF($H2018=0,1,IF($I2018&lt;=1,2,0))</f>
        <v>0</v>
      </c>
      <c r="K2018">
        <v>0</v>
      </c>
      <c r="L2018">
        <f>IF(AND($J2018=0,$K2018=0),0,1)</f>
        <v>0</v>
      </c>
    </row>
    <row r="2019" spans="1:13" x14ac:dyDescent="0.2">
      <c r="A2019" t="s">
        <v>623</v>
      </c>
      <c r="B2019" t="s">
        <v>133</v>
      </c>
      <c r="C2019" t="s">
        <v>9</v>
      </c>
      <c r="D2019">
        <v>1001</v>
      </c>
      <c r="E2019">
        <v>2019</v>
      </c>
      <c r="F2019">
        <v>1</v>
      </c>
      <c r="G2019">
        <v>99690</v>
      </c>
      <c r="H2019" s="1">
        <v>3</v>
      </c>
      <c r="I2019">
        <v>211</v>
      </c>
      <c r="J2019">
        <f>IF($H2019=0,1,IF($I2019&lt;=1,2,0))</f>
        <v>0</v>
      </c>
      <c r="K2019">
        <v>0</v>
      </c>
      <c r="L2019">
        <f>IF(AND($J2019=0,$K2019=0),0,1)</f>
        <v>0</v>
      </c>
      <c r="M2019" t="s">
        <v>624</v>
      </c>
    </row>
    <row r="2020" spans="1:13" x14ac:dyDescent="0.2">
      <c r="A2020" t="s">
        <v>623</v>
      </c>
      <c r="B2020" t="s">
        <v>133</v>
      </c>
      <c r="C2020" t="s">
        <v>9</v>
      </c>
      <c r="D2020">
        <v>1001</v>
      </c>
      <c r="E2020">
        <v>2019</v>
      </c>
      <c r="F2020">
        <v>2</v>
      </c>
      <c r="G2020">
        <v>99689</v>
      </c>
      <c r="H2020" s="1">
        <v>3</v>
      </c>
      <c r="I2020">
        <v>146</v>
      </c>
      <c r="J2020">
        <f>IF($H2020=0,1,IF($I2020&lt;=1,2,0))</f>
        <v>0</v>
      </c>
      <c r="K2020">
        <v>0</v>
      </c>
      <c r="L2020">
        <f>IF(AND($J2020=0,$K2020=0),0,1)</f>
        <v>0</v>
      </c>
      <c r="M2020" t="s">
        <v>624</v>
      </c>
    </row>
    <row r="2021" spans="1:13" x14ac:dyDescent="0.2">
      <c r="A2021" t="s">
        <v>623</v>
      </c>
      <c r="B2021" t="s">
        <v>133</v>
      </c>
      <c r="C2021" t="s">
        <v>9</v>
      </c>
      <c r="D2021">
        <v>1001</v>
      </c>
      <c r="E2021">
        <v>2019</v>
      </c>
      <c r="F2021">
        <v>3</v>
      </c>
      <c r="G2021">
        <v>51819</v>
      </c>
      <c r="H2021" s="1">
        <v>3</v>
      </c>
      <c r="I2021">
        <v>117</v>
      </c>
      <c r="J2021">
        <f>IF($H2021=0,1,IF($I2021&lt;=1,2,0))</f>
        <v>0</v>
      </c>
      <c r="K2021">
        <v>0</v>
      </c>
      <c r="L2021">
        <f>IF(AND($J2021=0,$K2021=0),0,1)</f>
        <v>0</v>
      </c>
      <c r="M2021" t="s">
        <v>624</v>
      </c>
    </row>
    <row r="2022" spans="1:13" x14ac:dyDescent="0.2">
      <c r="A2022" t="s">
        <v>623</v>
      </c>
      <c r="B2022" t="s">
        <v>133</v>
      </c>
      <c r="C2022" t="s">
        <v>9</v>
      </c>
      <c r="D2022">
        <v>1490</v>
      </c>
      <c r="E2022">
        <v>2019</v>
      </c>
      <c r="F2022">
        <v>1</v>
      </c>
      <c r="G2022">
        <v>99740</v>
      </c>
      <c r="H2022" s="1">
        <v>4</v>
      </c>
      <c r="I2022">
        <v>59</v>
      </c>
      <c r="J2022">
        <f>IF($H2022=0,1,IF($I2022&lt;=1,2,0))</f>
        <v>0</v>
      </c>
      <c r="K2022">
        <v>0</v>
      </c>
      <c r="L2022">
        <f>IF(AND($J2022=0,$K2022=0),0,1)</f>
        <v>0</v>
      </c>
    </row>
    <row r="2023" spans="1:13" x14ac:dyDescent="0.2">
      <c r="A2023" t="s">
        <v>623</v>
      </c>
      <c r="B2023" t="s">
        <v>133</v>
      </c>
      <c r="C2023" t="s">
        <v>9</v>
      </c>
      <c r="D2023">
        <v>1610</v>
      </c>
      <c r="E2023">
        <v>2019</v>
      </c>
      <c r="F2023">
        <v>1</v>
      </c>
      <c r="G2023">
        <v>99682</v>
      </c>
      <c r="H2023" s="1">
        <v>4</v>
      </c>
      <c r="I2023">
        <v>42</v>
      </c>
      <c r="J2023">
        <f>IF($H2023=0,1,IF($I2023&lt;=1,2,0))</f>
        <v>0</v>
      </c>
      <c r="K2023">
        <v>0</v>
      </c>
      <c r="L2023">
        <f>IF(AND($J2023=0,$K2023=0),0,1)</f>
        <v>0</v>
      </c>
      <c r="M2023" t="s">
        <v>631</v>
      </c>
    </row>
    <row r="2024" spans="1:13" x14ac:dyDescent="0.2">
      <c r="A2024" t="s">
        <v>623</v>
      </c>
      <c r="B2024" t="s">
        <v>133</v>
      </c>
      <c r="C2024" t="s">
        <v>9</v>
      </c>
      <c r="D2024">
        <v>2220</v>
      </c>
      <c r="E2024">
        <v>2019</v>
      </c>
      <c r="F2024">
        <v>1</v>
      </c>
      <c r="G2024">
        <v>99681</v>
      </c>
      <c r="H2024" s="1">
        <v>3</v>
      </c>
      <c r="I2024">
        <v>47</v>
      </c>
      <c r="J2024">
        <f>IF($H2024=0,1,IF($I2024&lt;=1,2,0))</f>
        <v>0</v>
      </c>
      <c r="K2024">
        <v>0</v>
      </c>
      <c r="L2024">
        <f>IF(AND($J2024=0,$K2024=0),0,1)</f>
        <v>0</v>
      </c>
    </row>
    <row r="2025" spans="1:13" x14ac:dyDescent="0.2">
      <c r="A2025" t="s">
        <v>623</v>
      </c>
      <c r="B2025" t="s">
        <v>133</v>
      </c>
      <c r="C2025" t="s">
        <v>9</v>
      </c>
      <c r="D2025">
        <v>2280</v>
      </c>
      <c r="E2025">
        <v>2019</v>
      </c>
      <c r="F2025">
        <v>1</v>
      </c>
      <c r="G2025">
        <v>99732</v>
      </c>
      <c r="H2025" s="1">
        <v>3</v>
      </c>
      <c r="I2025">
        <v>93</v>
      </c>
      <c r="J2025">
        <f>IF($H2025=0,1,IF($I2025&lt;=1,2,0))</f>
        <v>0</v>
      </c>
      <c r="K2025">
        <v>0</v>
      </c>
      <c r="L2025">
        <f>IF(AND($J2025=0,$K2025=0),0,1)</f>
        <v>0</v>
      </c>
    </row>
    <row r="2026" spans="1:13" x14ac:dyDescent="0.2">
      <c r="A2026" t="s">
        <v>623</v>
      </c>
      <c r="B2026" t="s">
        <v>133</v>
      </c>
      <c r="C2026" t="s">
        <v>9</v>
      </c>
      <c r="D2026">
        <v>2450</v>
      </c>
      <c r="E2026">
        <v>2019</v>
      </c>
      <c r="F2026">
        <v>1</v>
      </c>
      <c r="G2026">
        <v>51809</v>
      </c>
      <c r="H2026" s="1">
        <v>3</v>
      </c>
      <c r="I2026">
        <v>94</v>
      </c>
      <c r="J2026">
        <f>IF($H2026=0,1,IF($I2026&lt;=1,2,0))</f>
        <v>0</v>
      </c>
      <c r="K2026">
        <v>0</v>
      </c>
      <c r="L2026">
        <f>IF(AND($J2026=0,$K2026=0),0,1)</f>
        <v>0</v>
      </c>
    </row>
    <row r="2027" spans="1:13" x14ac:dyDescent="0.2">
      <c r="A2027" t="s">
        <v>623</v>
      </c>
      <c r="B2027" t="s">
        <v>133</v>
      </c>
      <c r="C2027" t="s">
        <v>9</v>
      </c>
      <c r="D2027">
        <v>2460</v>
      </c>
      <c r="E2027">
        <v>2019</v>
      </c>
      <c r="F2027">
        <v>1</v>
      </c>
      <c r="G2027">
        <v>99730</v>
      </c>
      <c r="H2027" s="1">
        <v>3</v>
      </c>
      <c r="I2027">
        <v>62</v>
      </c>
      <c r="J2027">
        <f>IF($H2027=0,1,IF($I2027&lt;=1,2,0))</f>
        <v>0</v>
      </c>
      <c r="K2027">
        <v>0</v>
      </c>
      <c r="L2027">
        <f>IF(AND($J2027=0,$K2027=0),0,1)</f>
        <v>0</v>
      </c>
    </row>
    <row r="2028" spans="1:13" x14ac:dyDescent="0.2">
      <c r="A2028" t="s">
        <v>623</v>
      </c>
      <c r="B2028" t="s">
        <v>133</v>
      </c>
      <c r="C2028" t="s">
        <v>9</v>
      </c>
      <c r="D2028">
        <v>2610</v>
      </c>
      <c r="E2028">
        <v>2019</v>
      </c>
      <c r="F2028">
        <v>1</v>
      </c>
      <c r="G2028">
        <v>51811</v>
      </c>
      <c r="H2028" s="1">
        <v>3</v>
      </c>
      <c r="I2028">
        <v>106</v>
      </c>
      <c r="J2028">
        <f>IF($H2028=0,1,IF($I2028&lt;=1,2,0))</f>
        <v>0</v>
      </c>
      <c r="K2028">
        <v>0</v>
      </c>
      <c r="L2028">
        <f>IF(AND($J2028=0,$K2028=0),0,1)</f>
        <v>0</v>
      </c>
    </row>
    <row r="2029" spans="1:13" x14ac:dyDescent="0.2">
      <c r="A2029" t="s">
        <v>623</v>
      </c>
      <c r="B2029" t="s">
        <v>133</v>
      </c>
      <c r="C2029" t="s">
        <v>9</v>
      </c>
      <c r="D2029">
        <v>2620</v>
      </c>
      <c r="E2029">
        <v>2019</v>
      </c>
      <c r="F2029">
        <v>1</v>
      </c>
      <c r="G2029">
        <v>99729</v>
      </c>
      <c r="H2029" s="1">
        <v>3</v>
      </c>
      <c r="I2029">
        <v>186</v>
      </c>
      <c r="J2029">
        <f>IF($H2029=0,1,IF($I2029&lt;=1,2,0))</f>
        <v>0</v>
      </c>
      <c r="K2029">
        <v>0</v>
      </c>
      <c r="L2029">
        <f>IF(AND($J2029=0,$K2029=0),0,1)</f>
        <v>0</v>
      </c>
    </row>
    <row r="2030" spans="1:13" x14ac:dyDescent="0.2">
      <c r="A2030" t="s">
        <v>623</v>
      </c>
      <c r="B2030" t="s">
        <v>133</v>
      </c>
      <c r="C2030" t="s">
        <v>9</v>
      </c>
      <c r="D2030">
        <v>3270</v>
      </c>
      <c r="E2030">
        <v>2019</v>
      </c>
      <c r="F2030">
        <v>1</v>
      </c>
      <c r="G2030">
        <v>99728</v>
      </c>
      <c r="H2030" s="1">
        <v>3</v>
      </c>
      <c r="I2030">
        <v>3</v>
      </c>
      <c r="J2030">
        <f>IF($H2030=0,1,IF($I2030&lt;=1,2,0))</f>
        <v>0</v>
      </c>
      <c r="K2030">
        <v>0</v>
      </c>
      <c r="L2030">
        <f>IF(AND($J2030=0,$K2030=0),0,1)</f>
        <v>0</v>
      </c>
      <c r="M2030" t="s">
        <v>635</v>
      </c>
    </row>
    <row r="2031" spans="1:13" x14ac:dyDescent="0.2">
      <c r="A2031" t="s">
        <v>623</v>
      </c>
      <c r="B2031" t="s">
        <v>133</v>
      </c>
      <c r="C2031" t="s">
        <v>9</v>
      </c>
      <c r="D2031">
        <v>3445</v>
      </c>
      <c r="E2031">
        <v>2019</v>
      </c>
      <c r="F2031">
        <v>1</v>
      </c>
      <c r="G2031">
        <v>99727</v>
      </c>
      <c r="H2031" s="1">
        <v>4</v>
      </c>
      <c r="I2031">
        <v>12</v>
      </c>
      <c r="J2031">
        <f>IF($H2031=0,1,IF($I2031&lt;=1,2,0))</f>
        <v>0</v>
      </c>
      <c r="K2031">
        <v>0</v>
      </c>
      <c r="L2031">
        <f>IF(AND($J2031=0,$K2031=0),0,1)</f>
        <v>0</v>
      </c>
      <c r="M2031" t="s">
        <v>637</v>
      </c>
    </row>
    <row r="2032" spans="1:13" x14ac:dyDescent="0.2">
      <c r="A2032" t="s">
        <v>623</v>
      </c>
      <c r="B2032" t="s">
        <v>133</v>
      </c>
      <c r="C2032" t="s">
        <v>9</v>
      </c>
      <c r="D2032">
        <v>3450</v>
      </c>
      <c r="E2032">
        <v>2019</v>
      </c>
      <c r="F2032">
        <v>1</v>
      </c>
      <c r="G2032">
        <v>51810</v>
      </c>
      <c r="H2032" s="1">
        <v>3</v>
      </c>
      <c r="I2032">
        <v>6</v>
      </c>
      <c r="J2032">
        <f>IF($H2032=0,1,IF($I2032&lt;=1,2,0))</f>
        <v>0</v>
      </c>
      <c r="K2032">
        <v>0</v>
      </c>
      <c r="L2032">
        <f>IF(AND($J2032=0,$K2032=0),0,1)</f>
        <v>0</v>
      </c>
      <c r="M2032" t="s">
        <v>637</v>
      </c>
    </row>
    <row r="2033" spans="1:13" x14ac:dyDescent="0.2">
      <c r="A2033" t="s">
        <v>623</v>
      </c>
      <c r="B2033" t="s">
        <v>133</v>
      </c>
      <c r="C2033" t="s">
        <v>9</v>
      </c>
      <c r="D2033">
        <v>3496</v>
      </c>
      <c r="E2033">
        <v>2019</v>
      </c>
      <c r="F2033">
        <v>1</v>
      </c>
      <c r="G2033">
        <v>51812</v>
      </c>
      <c r="H2033" s="1">
        <v>3</v>
      </c>
      <c r="I2033">
        <v>12</v>
      </c>
      <c r="J2033">
        <f>IF($H2033=0,1,IF($I2033&lt;=1,2,0))</f>
        <v>0</v>
      </c>
      <c r="K2033">
        <v>0</v>
      </c>
      <c r="L2033">
        <f>IF(AND($J2033=0,$K2033=0),0,1)</f>
        <v>0</v>
      </c>
      <c r="M2033" t="s">
        <v>637</v>
      </c>
    </row>
    <row r="2034" spans="1:13" x14ac:dyDescent="0.2">
      <c r="A2034" t="s">
        <v>623</v>
      </c>
      <c r="B2034" t="s">
        <v>133</v>
      </c>
      <c r="C2034" t="s">
        <v>9</v>
      </c>
      <c r="D2034">
        <v>3615</v>
      </c>
      <c r="E2034">
        <v>2019</v>
      </c>
      <c r="F2034">
        <v>1</v>
      </c>
      <c r="G2034">
        <v>99666</v>
      </c>
      <c r="H2034" s="1">
        <v>4</v>
      </c>
      <c r="I2034">
        <v>33</v>
      </c>
      <c r="J2034">
        <f>IF($H2034=0,1,IF($I2034&lt;=1,2,0))</f>
        <v>0</v>
      </c>
      <c r="K2034">
        <v>0</v>
      </c>
      <c r="L2034">
        <f>IF(AND($J2034=0,$K2034=0),0,1)</f>
        <v>0</v>
      </c>
    </row>
    <row r="2035" spans="1:13" x14ac:dyDescent="0.2">
      <c r="A2035" t="s">
        <v>623</v>
      </c>
      <c r="B2035" t="s">
        <v>133</v>
      </c>
      <c r="C2035" t="s">
        <v>9</v>
      </c>
      <c r="D2035">
        <v>3621</v>
      </c>
      <c r="E2035">
        <v>2019</v>
      </c>
      <c r="F2035">
        <v>1</v>
      </c>
      <c r="G2035">
        <v>51823</v>
      </c>
      <c r="H2035" s="1">
        <v>4</v>
      </c>
      <c r="I2035">
        <v>16</v>
      </c>
      <c r="J2035">
        <f>IF($H2035=0,1,IF($I2035&lt;=1,2,0))</f>
        <v>0</v>
      </c>
      <c r="K2035">
        <v>0</v>
      </c>
      <c r="L2035">
        <f>IF(AND($J2035=0,$K2035=0),0,1)</f>
        <v>0</v>
      </c>
      <c r="M2035" t="s">
        <v>637</v>
      </c>
    </row>
    <row r="2036" spans="1:13" x14ac:dyDescent="0.2">
      <c r="A2036" t="s">
        <v>623</v>
      </c>
      <c r="B2036" t="s">
        <v>133</v>
      </c>
      <c r="C2036" t="s">
        <v>9</v>
      </c>
      <c r="D2036">
        <v>3624</v>
      </c>
      <c r="E2036">
        <v>2019</v>
      </c>
      <c r="F2036">
        <v>1</v>
      </c>
      <c r="G2036">
        <v>51824</v>
      </c>
      <c r="H2036" s="1">
        <v>4</v>
      </c>
      <c r="I2036">
        <v>13</v>
      </c>
      <c r="J2036">
        <f>IF($H2036=0,1,IF($I2036&lt;=1,2,0))</f>
        <v>0</v>
      </c>
      <c r="K2036">
        <v>0</v>
      </c>
      <c r="L2036">
        <f>IF(AND($J2036=0,$K2036=0),0,1)</f>
        <v>0</v>
      </c>
      <c r="M2036" t="s">
        <v>637</v>
      </c>
    </row>
    <row r="2037" spans="1:13" x14ac:dyDescent="0.2">
      <c r="A2037" t="s">
        <v>623</v>
      </c>
      <c r="B2037" t="s">
        <v>133</v>
      </c>
      <c r="C2037" t="s">
        <v>9</v>
      </c>
      <c r="D2037">
        <v>3910</v>
      </c>
      <c r="E2037">
        <v>2019</v>
      </c>
      <c r="F2037">
        <v>1</v>
      </c>
      <c r="G2037">
        <v>99665</v>
      </c>
      <c r="H2037" s="1">
        <v>1</v>
      </c>
      <c r="I2037">
        <v>21</v>
      </c>
      <c r="J2037">
        <f>IF($H2037=0,1,IF($I2037&lt;=1,2,0))</f>
        <v>0</v>
      </c>
      <c r="K2037">
        <v>0</v>
      </c>
      <c r="L2037">
        <f>IF(AND($J2037=0,$K2037=0),0,1)</f>
        <v>0</v>
      </c>
    </row>
    <row r="2038" spans="1:13" x14ac:dyDescent="0.2">
      <c r="A2038" t="s">
        <v>623</v>
      </c>
      <c r="B2038" t="s">
        <v>133</v>
      </c>
      <c r="C2038" t="s">
        <v>9</v>
      </c>
      <c r="D2038">
        <v>3920</v>
      </c>
      <c r="E2038">
        <v>2019</v>
      </c>
      <c r="F2038">
        <v>1</v>
      </c>
      <c r="G2038">
        <v>99693</v>
      </c>
      <c r="H2038" s="1" t="s">
        <v>1823</v>
      </c>
      <c r="I2038">
        <v>20</v>
      </c>
      <c r="J2038">
        <f>IF($H2038=0,1,IF($I2038&lt;=1,2,0))</f>
        <v>0</v>
      </c>
      <c r="K2038">
        <v>0</v>
      </c>
      <c r="L2038">
        <f>IF(AND($J2038=0,$K2038=0),0,1)</f>
        <v>0</v>
      </c>
    </row>
    <row r="2039" spans="1:13" x14ac:dyDescent="0.2">
      <c r="A2039" t="s">
        <v>623</v>
      </c>
      <c r="B2039" t="s">
        <v>133</v>
      </c>
      <c r="C2039" t="s">
        <v>11</v>
      </c>
      <c r="D2039">
        <v>4222</v>
      </c>
      <c r="E2039">
        <v>2019</v>
      </c>
      <c r="F2039">
        <v>1</v>
      </c>
      <c r="G2039">
        <v>99680</v>
      </c>
      <c r="H2039" s="1">
        <v>4</v>
      </c>
      <c r="I2039">
        <v>4</v>
      </c>
      <c r="J2039">
        <f>IF($H2039=0,1,IF($I2039&lt;=1,2,0))</f>
        <v>0</v>
      </c>
      <c r="K2039">
        <v>0</v>
      </c>
      <c r="L2039">
        <f>IF(AND($J2039=0,$K2039=0),0,1)</f>
        <v>0</v>
      </c>
      <c r="M2039" t="s">
        <v>637</v>
      </c>
    </row>
    <row r="2040" spans="1:13" x14ac:dyDescent="0.2">
      <c r="A2040" t="s">
        <v>623</v>
      </c>
      <c r="B2040" t="s">
        <v>133</v>
      </c>
      <c r="C2040" t="s">
        <v>11</v>
      </c>
      <c r="D2040">
        <v>4229</v>
      </c>
      <c r="E2040">
        <v>2019</v>
      </c>
      <c r="F2040">
        <v>1</v>
      </c>
      <c r="G2040">
        <v>99739</v>
      </c>
      <c r="H2040" s="1">
        <v>4</v>
      </c>
      <c r="I2040">
        <v>14</v>
      </c>
      <c r="J2040">
        <f>IF($H2040=0,1,IF($I2040&lt;=1,2,0))</f>
        <v>0</v>
      </c>
      <c r="K2040">
        <v>0</v>
      </c>
      <c r="L2040">
        <f>IF(AND($J2040=0,$K2040=0),0,1)</f>
        <v>0</v>
      </c>
      <c r="M2040" t="s">
        <v>640</v>
      </c>
    </row>
    <row r="2041" spans="1:13" x14ac:dyDescent="0.2">
      <c r="A2041" t="s">
        <v>623</v>
      </c>
      <c r="B2041" t="s">
        <v>133</v>
      </c>
      <c r="C2041" t="s">
        <v>11</v>
      </c>
      <c r="D2041">
        <v>4235</v>
      </c>
      <c r="E2041">
        <v>2019</v>
      </c>
      <c r="F2041">
        <v>1</v>
      </c>
      <c r="G2041">
        <v>99679</v>
      </c>
      <c r="H2041" s="1">
        <v>3</v>
      </c>
      <c r="I2041">
        <v>5</v>
      </c>
      <c r="J2041">
        <f>IF($H2041=0,1,IF($I2041&lt;=1,2,0))</f>
        <v>0</v>
      </c>
      <c r="K2041">
        <v>0</v>
      </c>
      <c r="L2041">
        <f>IF(AND($J2041=0,$K2041=0),0,1)</f>
        <v>0</v>
      </c>
      <c r="M2041" t="s">
        <v>635</v>
      </c>
    </row>
    <row r="2042" spans="1:13" x14ac:dyDescent="0.2">
      <c r="A2042" t="s">
        <v>623</v>
      </c>
      <c r="B2042" t="s">
        <v>133</v>
      </c>
      <c r="C2042" t="s">
        <v>9</v>
      </c>
      <c r="D2042">
        <v>4239</v>
      </c>
      <c r="E2042">
        <v>2019</v>
      </c>
      <c r="F2042">
        <v>1</v>
      </c>
      <c r="G2042">
        <v>51815</v>
      </c>
      <c r="H2042" s="1">
        <v>3</v>
      </c>
      <c r="I2042">
        <v>11</v>
      </c>
      <c r="J2042">
        <f>IF($H2042=0,1,IF($I2042&lt;=1,2,0))</f>
        <v>0</v>
      </c>
      <c r="K2042">
        <v>0</v>
      </c>
      <c r="L2042">
        <f>IF(AND($J2042=0,$K2042=0),0,1)</f>
        <v>0</v>
      </c>
      <c r="M2042" t="s">
        <v>637</v>
      </c>
    </row>
    <row r="2043" spans="1:13" x14ac:dyDescent="0.2">
      <c r="A2043" t="s">
        <v>623</v>
      </c>
      <c r="B2043" t="s">
        <v>133</v>
      </c>
      <c r="C2043" t="s">
        <v>9</v>
      </c>
      <c r="D2043">
        <v>4281</v>
      </c>
      <c r="E2043">
        <v>2019</v>
      </c>
      <c r="F2043">
        <v>1</v>
      </c>
      <c r="G2043">
        <v>51822</v>
      </c>
      <c r="H2043" s="1">
        <v>4</v>
      </c>
      <c r="I2043">
        <v>9</v>
      </c>
      <c r="J2043">
        <f>IF($H2043=0,1,IF($I2043&lt;=1,2,0))</f>
        <v>0</v>
      </c>
      <c r="K2043">
        <v>0</v>
      </c>
      <c r="L2043">
        <f>IF(AND($J2043=0,$K2043=0),0,1)</f>
        <v>0</v>
      </c>
      <c r="M2043" t="s">
        <v>637</v>
      </c>
    </row>
    <row r="2044" spans="1:13" x14ac:dyDescent="0.2">
      <c r="A2044" t="s">
        <v>623</v>
      </c>
      <c r="B2044" t="s">
        <v>133</v>
      </c>
      <c r="C2044" t="s">
        <v>9</v>
      </c>
      <c r="D2044">
        <v>4289</v>
      </c>
      <c r="E2044">
        <v>2019</v>
      </c>
      <c r="F2044">
        <v>1</v>
      </c>
      <c r="G2044">
        <v>51814</v>
      </c>
      <c r="H2044" s="1">
        <v>3</v>
      </c>
      <c r="I2044">
        <v>11</v>
      </c>
      <c r="J2044">
        <f>IF($H2044=0,1,IF($I2044&lt;=1,2,0))</f>
        <v>0</v>
      </c>
      <c r="K2044">
        <v>0</v>
      </c>
      <c r="L2044">
        <f>IF(AND($J2044=0,$K2044=0),0,1)</f>
        <v>0</v>
      </c>
      <c r="M2044" t="s">
        <v>637</v>
      </c>
    </row>
    <row r="2045" spans="1:13" x14ac:dyDescent="0.2">
      <c r="A2045" t="s">
        <v>623</v>
      </c>
      <c r="B2045" t="s">
        <v>133</v>
      </c>
      <c r="C2045" t="s">
        <v>11</v>
      </c>
      <c r="D2045">
        <v>4435</v>
      </c>
      <c r="E2045">
        <v>2019</v>
      </c>
      <c r="F2045">
        <v>1</v>
      </c>
      <c r="G2045">
        <v>99738</v>
      </c>
      <c r="H2045" s="1">
        <v>4</v>
      </c>
      <c r="I2045">
        <v>10</v>
      </c>
      <c r="J2045">
        <f>IF($H2045=0,1,IF($I2045&lt;=1,2,0))</f>
        <v>0</v>
      </c>
      <c r="K2045">
        <v>0</v>
      </c>
      <c r="L2045">
        <f>IF(AND($J2045=0,$K2045=0),0,1)</f>
        <v>0</v>
      </c>
      <c r="M2045" t="s">
        <v>637</v>
      </c>
    </row>
    <row r="2046" spans="1:13" x14ac:dyDescent="0.2">
      <c r="A2046" t="s">
        <v>623</v>
      </c>
      <c r="B2046" t="s">
        <v>133</v>
      </c>
      <c r="C2046" t="s">
        <v>11</v>
      </c>
      <c r="D2046">
        <v>4440</v>
      </c>
      <c r="E2046">
        <v>2019</v>
      </c>
      <c r="F2046">
        <v>2</v>
      </c>
      <c r="G2046">
        <v>10204</v>
      </c>
      <c r="H2046" s="1">
        <v>3</v>
      </c>
      <c r="I2046">
        <v>9</v>
      </c>
      <c r="J2046">
        <f>IF($H2046=0,1,IF($I2046&lt;=1,2,0))</f>
        <v>0</v>
      </c>
      <c r="K2046">
        <v>0</v>
      </c>
      <c r="L2046">
        <f>IF(AND($J2046=0,$K2046=0),0,1)</f>
        <v>0</v>
      </c>
      <c r="M2046" t="s">
        <v>637</v>
      </c>
    </row>
    <row r="2047" spans="1:13" x14ac:dyDescent="0.2">
      <c r="A2047" t="s">
        <v>623</v>
      </c>
      <c r="B2047" t="s">
        <v>133</v>
      </c>
      <c r="C2047" t="s">
        <v>11</v>
      </c>
      <c r="D2047">
        <v>4440</v>
      </c>
      <c r="E2047">
        <v>2019</v>
      </c>
      <c r="F2047">
        <v>1</v>
      </c>
      <c r="G2047">
        <v>99678</v>
      </c>
      <c r="H2047" s="1">
        <v>3</v>
      </c>
      <c r="I2047">
        <v>8</v>
      </c>
      <c r="J2047">
        <f>IF($H2047=0,1,IF($I2047&lt;=1,2,0))</f>
        <v>0</v>
      </c>
      <c r="K2047">
        <v>0</v>
      </c>
      <c r="L2047">
        <f>IF(AND($J2047=0,$K2047=0),0,1)</f>
        <v>0</v>
      </c>
      <c r="M2047" t="s">
        <v>637</v>
      </c>
    </row>
    <row r="2048" spans="1:13" x14ac:dyDescent="0.2">
      <c r="A2048" t="s">
        <v>623</v>
      </c>
      <c r="B2048" t="s">
        <v>133</v>
      </c>
      <c r="C2048" t="s">
        <v>11</v>
      </c>
      <c r="D2048">
        <v>4498</v>
      </c>
      <c r="E2048">
        <v>2019</v>
      </c>
      <c r="F2048">
        <v>1</v>
      </c>
      <c r="G2048">
        <v>99676</v>
      </c>
      <c r="H2048" s="1">
        <v>4</v>
      </c>
      <c r="I2048">
        <v>8</v>
      </c>
      <c r="J2048">
        <f>IF($H2048=0,1,IF($I2048&lt;=1,2,0))</f>
        <v>0</v>
      </c>
      <c r="K2048">
        <v>0</v>
      </c>
      <c r="L2048">
        <f>IF(AND($J2048=0,$K2048=0),0,1)</f>
        <v>0</v>
      </c>
      <c r="M2048" t="s">
        <v>637</v>
      </c>
    </row>
    <row r="2049" spans="1:13" x14ac:dyDescent="0.2">
      <c r="A2049" t="s">
        <v>623</v>
      </c>
      <c r="B2049" t="s">
        <v>133</v>
      </c>
      <c r="C2049" t="s">
        <v>11</v>
      </c>
      <c r="D2049">
        <v>4615</v>
      </c>
      <c r="E2049">
        <v>2019</v>
      </c>
      <c r="F2049">
        <v>1</v>
      </c>
      <c r="G2049">
        <v>99675</v>
      </c>
      <c r="H2049" s="1">
        <v>4</v>
      </c>
      <c r="I2049">
        <v>11</v>
      </c>
      <c r="J2049">
        <f>IF($H2049=0,1,IF($I2049&lt;=1,2,0))</f>
        <v>0</v>
      </c>
      <c r="K2049">
        <v>0</v>
      </c>
      <c r="L2049">
        <f>IF(AND($J2049=0,$K2049=0),0,1)</f>
        <v>0</v>
      </c>
      <c r="M2049" t="s">
        <v>637</v>
      </c>
    </row>
    <row r="2050" spans="1:13" x14ac:dyDescent="0.2">
      <c r="A2050" t="s">
        <v>623</v>
      </c>
      <c r="B2050" t="s">
        <v>133</v>
      </c>
      <c r="C2050" t="s">
        <v>11</v>
      </c>
      <c r="D2050">
        <v>4615</v>
      </c>
      <c r="E2050">
        <v>2019</v>
      </c>
      <c r="F2050">
        <v>2</v>
      </c>
      <c r="G2050">
        <v>99674</v>
      </c>
      <c r="H2050" s="1">
        <v>4</v>
      </c>
      <c r="I2050">
        <v>10</v>
      </c>
      <c r="J2050">
        <f>IF($H2050=0,1,IF($I2050&lt;=1,2,0))</f>
        <v>0</v>
      </c>
      <c r="K2050">
        <v>0</v>
      </c>
      <c r="L2050">
        <f>IF(AND($J2050=0,$K2050=0),0,1)</f>
        <v>0</v>
      </c>
      <c r="M2050" t="s">
        <v>637</v>
      </c>
    </row>
    <row r="2051" spans="1:13" x14ac:dyDescent="0.2">
      <c r="A2051" t="s">
        <v>623</v>
      </c>
      <c r="B2051" t="s">
        <v>133</v>
      </c>
      <c r="C2051" t="s">
        <v>9</v>
      </c>
      <c r="D2051">
        <v>4627</v>
      </c>
      <c r="E2051">
        <v>2019</v>
      </c>
      <c r="F2051">
        <v>1</v>
      </c>
      <c r="G2051">
        <v>117</v>
      </c>
      <c r="H2051" s="1">
        <v>4</v>
      </c>
      <c r="I2051">
        <v>14</v>
      </c>
      <c r="J2051">
        <f>IF($H2051=0,1,IF($I2051&lt;=1,2,0))</f>
        <v>0</v>
      </c>
      <c r="K2051">
        <v>0</v>
      </c>
      <c r="L2051">
        <f>IF(AND($J2051=0,$K2051=0),0,1)</f>
        <v>0</v>
      </c>
      <c r="M2051" t="s">
        <v>637</v>
      </c>
    </row>
    <row r="2052" spans="1:13" x14ac:dyDescent="0.2">
      <c r="A2052" t="s">
        <v>623</v>
      </c>
      <c r="B2052" t="s">
        <v>133</v>
      </c>
      <c r="C2052" t="s">
        <v>11</v>
      </c>
      <c r="D2052">
        <v>4645</v>
      </c>
      <c r="E2052">
        <v>2019</v>
      </c>
      <c r="F2052">
        <v>1</v>
      </c>
      <c r="G2052">
        <v>51813</v>
      </c>
      <c r="H2052" s="1">
        <v>4</v>
      </c>
      <c r="I2052">
        <v>8</v>
      </c>
      <c r="J2052">
        <f>IF($H2052=0,1,IF($I2052&lt;=1,2,0))</f>
        <v>0</v>
      </c>
      <c r="K2052">
        <v>0</v>
      </c>
      <c r="L2052">
        <f>IF(AND($J2052=0,$K2052=0),0,1)</f>
        <v>0</v>
      </c>
      <c r="M2052" t="s">
        <v>637</v>
      </c>
    </row>
    <row r="2053" spans="1:13" x14ac:dyDescent="0.2">
      <c r="A2053" t="s">
        <v>623</v>
      </c>
      <c r="B2053" t="s">
        <v>133</v>
      </c>
      <c r="C2053" t="s">
        <v>11</v>
      </c>
      <c r="D2053">
        <v>4695</v>
      </c>
      <c r="E2053">
        <v>2019</v>
      </c>
      <c r="F2053">
        <v>1</v>
      </c>
      <c r="G2053">
        <v>51816</v>
      </c>
      <c r="H2053" s="1">
        <v>3</v>
      </c>
      <c r="I2053">
        <v>6</v>
      </c>
      <c r="J2053">
        <f>IF($H2053=0,1,IF($I2053&lt;=1,2,0))</f>
        <v>0</v>
      </c>
      <c r="K2053">
        <v>0</v>
      </c>
      <c r="L2053">
        <f>IF(AND($J2053=0,$K2053=0),0,1)</f>
        <v>0</v>
      </c>
      <c r="M2053" t="s">
        <v>637</v>
      </c>
    </row>
    <row r="2054" spans="1:13" x14ac:dyDescent="0.2">
      <c r="A2054" t="s">
        <v>623</v>
      </c>
      <c r="B2054" t="s">
        <v>133</v>
      </c>
      <c r="C2054" t="s">
        <v>11</v>
      </c>
      <c r="D2054">
        <v>6006</v>
      </c>
      <c r="E2054">
        <v>2019</v>
      </c>
      <c r="F2054">
        <v>1</v>
      </c>
      <c r="G2054">
        <v>51818</v>
      </c>
      <c r="H2054" s="1">
        <v>4</v>
      </c>
      <c r="I2054">
        <v>15</v>
      </c>
      <c r="J2054">
        <f>IF($H2054=0,1,IF($I2054&lt;=1,2,0))</f>
        <v>0</v>
      </c>
      <c r="K2054">
        <v>0</v>
      </c>
      <c r="L2054">
        <f>IF(AND($J2054=0,$K2054=0),0,1)</f>
        <v>0</v>
      </c>
    </row>
    <row r="2055" spans="1:13" x14ac:dyDescent="0.2">
      <c r="A2055" t="s">
        <v>623</v>
      </c>
      <c r="B2055" t="s">
        <v>133</v>
      </c>
      <c r="C2055" t="s">
        <v>11</v>
      </c>
      <c r="D2055">
        <v>6130</v>
      </c>
      <c r="E2055">
        <v>2019</v>
      </c>
      <c r="F2055">
        <v>1</v>
      </c>
      <c r="G2055">
        <v>16181</v>
      </c>
      <c r="H2055" s="1">
        <v>3</v>
      </c>
      <c r="I2055">
        <v>11</v>
      </c>
      <c r="J2055">
        <f>IF($H2055=0,1,IF($I2055&lt;=1,2,0))</f>
        <v>0</v>
      </c>
      <c r="K2055">
        <v>0</v>
      </c>
      <c r="L2055">
        <f>IF(AND($J2055=0,$K2055=0),0,1)</f>
        <v>0</v>
      </c>
    </row>
    <row r="2056" spans="1:13" x14ac:dyDescent="0.2">
      <c r="A2056" t="s">
        <v>623</v>
      </c>
      <c r="B2056" t="s">
        <v>133</v>
      </c>
      <c r="C2056" t="s">
        <v>11</v>
      </c>
      <c r="D2056">
        <v>6200</v>
      </c>
      <c r="E2056">
        <v>2019</v>
      </c>
      <c r="F2056">
        <v>1</v>
      </c>
      <c r="G2056">
        <v>99695</v>
      </c>
      <c r="H2056" s="1" t="s">
        <v>1833</v>
      </c>
      <c r="I2056">
        <v>8</v>
      </c>
      <c r="J2056">
        <f>IF($H2056=0,1,IF($I2056&lt;=1,2,0))</f>
        <v>0</v>
      </c>
      <c r="K2056">
        <v>0</v>
      </c>
      <c r="L2056">
        <f>IF(AND($J2056=0,$K2056=0),0,1)</f>
        <v>0</v>
      </c>
    </row>
    <row r="2057" spans="1:13" x14ac:dyDescent="0.2">
      <c r="A2057" t="s">
        <v>623</v>
      </c>
      <c r="B2057" t="s">
        <v>133</v>
      </c>
      <c r="C2057" t="s">
        <v>11</v>
      </c>
      <c r="D2057">
        <v>6500</v>
      </c>
      <c r="E2057">
        <v>2019</v>
      </c>
      <c r="F2057">
        <v>1</v>
      </c>
      <c r="G2057">
        <v>99692</v>
      </c>
      <c r="H2057" s="1">
        <v>3</v>
      </c>
      <c r="I2057">
        <v>23</v>
      </c>
      <c r="J2057">
        <f>IF($H2057=0,1,IF($I2057&lt;=1,2,0))</f>
        <v>0</v>
      </c>
      <c r="K2057">
        <v>0</v>
      </c>
      <c r="L2057">
        <f>IF(AND($J2057=0,$K2057=0),0,1)</f>
        <v>0</v>
      </c>
    </row>
    <row r="2058" spans="1:13" x14ac:dyDescent="0.2">
      <c r="A2058" t="s">
        <v>623</v>
      </c>
      <c r="B2058" t="s">
        <v>133</v>
      </c>
      <c r="C2058" t="s">
        <v>11</v>
      </c>
      <c r="D2058">
        <v>6600</v>
      </c>
      <c r="E2058">
        <v>2019</v>
      </c>
      <c r="F2058">
        <v>1</v>
      </c>
      <c r="G2058">
        <v>99694</v>
      </c>
      <c r="H2058" s="1" t="s">
        <v>1823</v>
      </c>
      <c r="I2058">
        <v>40</v>
      </c>
      <c r="J2058">
        <f>IF($H2058=0,1,IF($I2058&lt;=1,2,0))</f>
        <v>0</v>
      </c>
      <c r="K2058">
        <v>0</v>
      </c>
      <c r="L2058">
        <f>IF(AND($J2058=0,$K2058=0),0,1)</f>
        <v>0</v>
      </c>
    </row>
    <row r="2059" spans="1:13" x14ac:dyDescent="0.2">
      <c r="A2059" t="s">
        <v>641</v>
      </c>
      <c r="B2059" t="s">
        <v>17</v>
      </c>
      <c r="C2059" t="s">
        <v>9</v>
      </c>
      <c r="D2059">
        <v>1101</v>
      </c>
      <c r="E2059">
        <v>2019</v>
      </c>
      <c r="F2059">
        <v>1</v>
      </c>
      <c r="G2059">
        <v>55367</v>
      </c>
      <c r="H2059" s="1">
        <v>4</v>
      </c>
      <c r="I2059">
        <v>13</v>
      </c>
      <c r="J2059">
        <f>IF($H2059=0,1,IF($I2059&lt;=1,2,0))</f>
        <v>0</v>
      </c>
      <c r="K2059">
        <v>0</v>
      </c>
      <c r="L2059">
        <f>IF(AND($J2059=0,$K2059=0),0,1)</f>
        <v>0</v>
      </c>
    </row>
    <row r="2060" spans="1:13" x14ac:dyDescent="0.2">
      <c r="A2060" t="s">
        <v>641</v>
      </c>
      <c r="B2060" t="s">
        <v>17</v>
      </c>
      <c r="C2060" t="s">
        <v>9</v>
      </c>
      <c r="D2060">
        <v>2101</v>
      </c>
      <c r="E2060">
        <v>2019</v>
      </c>
      <c r="F2060">
        <v>1</v>
      </c>
      <c r="G2060">
        <v>55368</v>
      </c>
      <c r="H2060" s="1">
        <v>4</v>
      </c>
      <c r="I2060">
        <v>7</v>
      </c>
      <c r="J2060">
        <f>IF($H2060=0,1,IF($I2060&lt;=1,2,0))</f>
        <v>0</v>
      </c>
      <c r="K2060">
        <v>0</v>
      </c>
      <c r="L2060">
        <f>IF(AND($J2060=0,$K2060=0),0,1)</f>
        <v>0</v>
      </c>
    </row>
    <row r="2061" spans="1:13" x14ac:dyDescent="0.2">
      <c r="A2061" t="s">
        <v>642</v>
      </c>
      <c r="B2061" t="s">
        <v>6</v>
      </c>
      <c r="C2061" t="s">
        <v>11</v>
      </c>
      <c r="D2061">
        <v>5015</v>
      </c>
      <c r="E2061">
        <v>2019</v>
      </c>
      <c r="F2061">
        <v>1</v>
      </c>
      <c r="G2061">
        <v>96105</v>
      </c>
      <c r="H2061" s="1">
        <v>4</v>
      </c>
      <c r="I2061">
        <v>118</v>
      </c>
      <c r="J2061">
        <f>IF($H2061=0,1,IF($I2061&lt;=1,2,0))</f>
        <v>0</v>
      </c>
      <c r="K2061">
        <v>0</v>
      </c>
      <c r="L2061">
        <f>IF(AND($J2061=0,$K2061=0),0,1)</f>
        <v>0</v>
      </c>
      <c r="M2061" t="s">
        <v>644</v>
      </c>
    </row>
    <row r="2062" spans="1:13" x14ac:dyDescent="0.2">
      <c r="A2062" t="s">
        <v>642</v>
      </c>
      <c r="B2062" t="s">
        <v>6</v>
      </c>
      <c r="C2062" t="s">
        <v>11</v>
      </c>
      <c r="D2062">
        <v>5016</v>
      </c>
      <c r="E2062">
        <v>2019</v>
      </c>
      <c r="F2062">
        <v>1</v>
      </c>
      <c r="G2062">
        <v>96106</v>
      </c>
      <c r="H2062" s="1">
        <v>4</v>
      </c>
      <c r="I2062">
        <v>45</v>
      </c>
      <c r="J2062">
        <f>IF($H2062=0,1,IF($I2062&lt;=1,2,0))</f>
        <v>0</v>
      </c>
      <c r="K2062">
        <v>0</v>
      </c>
      <c r="L2062">
        <f>IF(AND($J2062=0,$K2062=0),0,1)</f>
        <v>0</v>
      </c>
      <c r="M2062" t="s">
        <v>644</v>
      </c>
    </row>
    <row r="2063" spans="1:13" x14ac:dyDescent="0.2">
      <c r="A2063" t="s">
        <v>642</v>
      </c>
      <c r="B2063" t="s">
        <v>6</v>
      </c>
      <c r="C2063" t="s">
        <v>11</v>
      </c>
      <c r="D2063">
        <v>5052</v>
      </c>
      <c r="E2063">
        <v>2019</v>
      </c>
      <c r="F2063">
        <v>1</v>
      </c>
      <c r="G2063">
        <v>96111</v>
      </c>
      <c r="H2063" s="1">
        <v>2</v>
      </c>
      <c r="I2063">
        <v>44</v>
      </c>
      <c r="J2063">
        <f>IF($H2063=0,1,IF($I2063&lt;=1,2,0))</f>
        <v>0</v>
      </c>
      <c r="K2063">
        <v>0</v>
      </c>
      <c r="L2063">
        <f>IF(AND($J2063=0,$K2063=0),0,1)</f>
        <v>0</v>
      </c>
      <c r="M2063" t="s">
        <v>644</v>
      </c>
    </row>
    <row r="2064" spans="1:13" x14ac:dyDescent="0.2">
      <c r="A2064" t="s">
        <v>642</v>
      </c>
      <c r="B2064" t="s">
        <v>6</v>
      </c>
      <c r="C2064" t="s">
        <v>11</v>
      </c>
      <c r="D2064">
        <v>5058</v>
      </c>
      <c r="E2064">
        <v>2019</v>
      </c>
      <c r="F2064">
        <v>1</v>
      </c>
      <c r="G2064">
        <v>96112</v>
      </c>
      <c r="H2064" s="1">
        <v>4</v>
      </c>
      <c r="I2064">
        <v>55</v>
      </c>
      <c r="J2064">
        <f>IF($H2064=0,1,IF($I2064&lt;=1,2,0))</f>
        <v>0</v>
      </c>
      <c r="K2064">
        <v>0</v>
      </c>
      <c r="L2064">
        <f>IF(AND($J2064=0,$K2064=0),0,1)</f>
        <v>0</v>
      </c>
      <c r="M2064" t="s">
        <v>644</v>
      </c>
    </row>
    <row r="2065" spans="1:13" x14ac:dyDescent="0.2">
      <c r="A2065" t="s">
        <v>642</v>
      </c>
      <c r="B2065" t="s">
        <v>6</v>
      </c>
      <c r="C2065" t="s">
        <v>11</v>
      </c>
      <c r="D2065">
        <v>5067</v>
      </c>
      <c r="E2065">
        <v>2019</v>
      </c>
      <c r="F2065">
        <v>1</v>
      </c>
      <c r="G2065">
        <v>96113</v>
      </c>
      <c r="H2065" s="1">
        <v>4</v>
      </c>
      <c r="I2065">
        <v>31</v>
      </c>
      <c r="J2065">
        <f>IF($H2065=0,1,IF($I2065&lt;=1,2,0))</f>
        <v>0</v>
      </c>
      <c r="K2065">
        <v>0</v>
      </c>
      <c r="L2065">
        <f>IF(AND($J2065=0,$K2065=0),0,1)</f>
        <v>0</v>
      </c>
      <c r="M2065" t="s">
        <v>644</v>
      </c>
    </row>
    <row r="2066" spans="1:13" x14ac:dyDescent="0.2">
      <c r="A2066" t="s">
        <v>642</v>
      </c>
      <c r="B2066" t="s">
        <v>6</v>
      </c>
      <c r="C2066" t="s">
        <v>11</v>
      </c>
      <c r="D2066">
        <v>5070</v>
      </c>
      <c r="E2066">
        <v>2019</v>
      </c>
      <c r="F2066">
        <v>1</v>
      </c>
      <c r="G2066">
        <v>96114</v>
      </c>
      <c r="H2066" s="1">
        <v>4</v>
      </c>
      <c r="I2066">
        <v>23</v>
      </c>
      <c r="J2066">
        <f>IF($H2066=0,1,IF($I2066&lt;=1,2,0))</f>
        <v>0</v>
      </c>
      <c r="K2066">
        <v>0</v>
      </c>
      <c r="L2066">
        <f>IF(AND($J2066=0,$K2066=0),0,1)</f>
        <v>0</v>
      </c>
      <c r="M2066" t="s">
        <v>644</v>
      </c>
    </row>
    <row r="2067" spans="1:13" x14ac:dyDescent="0.2">
      <c r="A2067" t="s">
        <v>642</v>
      </c>
      <c r="B2067" t="s">
        <v>6</v>
      </c>
      <c r="C2067" t="s">
        <v>11</v>
      </c>
      <c r="D2067">
        <v>5072</v>
      </c>
      <c r="E2067">
        <v>2019</v>
      </c>
      <c r="F2067">
        <v>1</v>
      </c>
      <c r="G2067">
        <v>96115</v>
      </c>
      <c r="H2067" s="1">
        <v>4</v>
      </c>
      <c r="I2067">
        <v>79</v>
      </c>
      <c r="J2067">
        <f>IF($H2067=0,1,IF($I2067&lt;=1,2,0))</f>
        <v>0</v>
      </c>
      <c r="K2067">
        <v>0</v>
      </c>
      <c r="L2067">
        <f>IF(AND($J2067=0,$K2067=0),0,1)</f>
        <v>0</v>
      </c>
      <c r="M2067" t="s">
        <v>644</v>
      </c>
    </row>
    <row r="2068" spans="1:13" x14ac:dyDescent="0.2">
      <c r="A2068" t="s">
        <v>642</v>
      </c>
      <c r="B2068" t="s">
        <v>6</v>
      </c>
      <c r="C2068" t="s">
        <v>11</v>
      </c>
      <c r="D2068">
        <v>5073</v>
      </c>
      <c r="E2068">
        <v>2019</v>
      </c>
      <c r="F2068">
        <v>1</v>
      </c>
      <c r="G2068">
        <v>96116</v>
      </c>
      <c r="H2068" s="1">
        <v>4</v>
      </c>
      <c r="I2068">
        <v>49</v>
      </c>
      <c r="J2068">
        <f>IF($H2068=0,1,IF($I2068&lt;=1,2,0))</f>
        <v>0</v>
      </c>
      <c r="K2068">
        <v>0</v>
      </c>
      <c r="L2068">
        <f>IF(AND($J2068=0,$K2068=0),0,1)</f>
        <v>0</v>
      </c>
      <c r="M2068" t="s">
        <v>644</v>
      </c>
    </row>
    <row r="2069" spans="1:13" x14ac:dyDescent="0.2">
      <c r="A2069" t="s">
        <v>646</v>
      </c>
      <c r="B2069" t="s">
        <v>17</v>
      </c>
      <c r="C2069" t="s">
        <v>21</v>
      </c>
      <c r="D2069">
        <v>2305</v>
      </c>
      <c r="E2069">
        <v>2019</v>
      </c>
      <c r="F2069">
        <v>1</v>
      </c>
      <c r="G2069">
        <v>9430</v>
      </c>
      <c r="H2069" s="1">
        <v>4</v>
      </c>
      <c r="I2069">
        <v>28</v>
      </c>
      <c r="J2069">
        <f>IF($H2069=0,1,IF($I2069&lt;=1,2,0))</f>
        <v>0</v>
      </c>
      <c r="K2069">
        <v>0</v>
      </c>
      <c r="L2069">
        <f>IF(AND($J2069=0,$K2069=0),0,1)</f>
        <v>0</v>
      </c>
    </row>
    <row r="2070" spans="1:13" x14ac:dyDescent="0.2">
      <c r="A2070" t="s">
        <v>646</v>
      </c>
      <c r="B2070" t="s">
        <v>17</v>
      </c>
      <c r="C2070" t="s">
        <v>21</v>
      </c>
      <c r="D2070">
        <v>2308</v>
      </c>
      <c r="E2070">
        <v>2019</v>
      </c>
      <c r="F2070">
        <v>1</v>
      </c>
      <c r="G2070">
        <v>54093</v>
      </c>
      <c r="H2070" s="1">
        <v>4</v>
      </c>
      <c r="I2070">
        <v>147</v>
      </c>
      <c r="J2070">
        <f>IF($H2070=0,1,IF($I2070&lt;=1,2,0))</f>
        <v>0</v>
      </c>
      <c r="K2070">
        <v>0</v>
      </c>
      <c r="L2070">
        <f>IF(AND($J2070=0,$K2070=0),0,1)</f>
        <v>0</v>
      </c>
    </row>
    <row r="2071" spans="1:13" x14ac:dyDescent="0.2">
      <c r="A2071" t="s">
        <v>646</v>
      </c>
      <c r="B2071" t="s">
        <v>17</v>
      </c>
      <c r="C2071" t="s">
        <v>21</v>
      </c>
      <c r="D2071">
        <v>3199</v>
      </c>
      <c r="E2071">
        <v>2019</v>
      </c>
      <c r="F2071">
        <v>1</v>
      </c>
      <c r="G2071">
        <v>54094</v>
      </c>
      <c r="H2071" s="1">
        <v>4</v>
      </c>
      <c r="I2071">
        <v>11</v>
      </c>
      <c r="J2071">
        <f>IF($H2071=0,1,IF($I2071&lt;=1,2,0))</f>
        <v>0</v>
      </c>
      <c r="K2071">
        <v>0</v>
      </c>
      <c r="L2071">
        <f>IF(AND($J2071=0,$K2071=0),0,1)</f>
        <v>0</v>
      </c>
    </row>
    <row r="2072" spans="1:13" x14ac:dyDescent="0.2">
      <c r="A2072" t="s">
        <v>646</v>
      </c>
      <c r="B2072" t="s">
        <v>17</v>
      </c>
      <c r="C2072" t="s">
        <v>21</v>
      </c>
      <c r="D2072">
        <v>3202</v>
      </c>
      <c r="E2072">
        <v>2019</v>
      </c>
      <c r="F2072">
        <v>1</v>
      </c>
      <c r="G2072">
        <v>9436</v>
      </c>
      <c r="H2072" s="1">
        <v>3</v>
      </c>
      <c r="I2072">
        <v>17</v>
      </c>
      <c r="J2072">
        <f>IF($H2072=0,1,IF($I2072&lt;=1,2,0))</f>
        <v>0</v>
      </c>
      <c r="K2072">
        <v>0</v>
      </c>
      <c r="L2072">
        <f>IF(AND($J2072=0,$K2072=0),0,1)</f>
        <v>0</v>
      </c>
    </row>
    <row r="2073" spans="1:13" x14ac:dyDescent="0.2">
      <c r="A2073" t="s">
        <v>646</v>
      </c>
      <c r="B2073" t="s">
        <v>17</v>
      </c>
      <c r="C2073" t="s">
        <v>21</v>
      </c>
      <c r="D2073">
        <v>3260</v>
      </c>
      <c r="E2073">
        <v>2019</v>
      </c>
      <c r="F2073">
        <v>1</v>
      </c>
      <c r="G2073">
        <v>54095</v>
      </c>
      <c r="H2073" s="1">
        <v>3</v>
      </c>
      <c r="I2073">
        <v>21</v>
      </c>
      <c r="J2073">
        <f>IF($H2073=0,1,IF($I2073&lt;=1,2,0))</f>
        <v>0</v>
      </c>
      <c r="K2073">
        <v>0</v>
      </c>
      <c r="L2073">
        <f>IF(AND($J2073=0,$K2073=0),0,1)</f>
        <v>0</v>
      </c>
    </row>
    <row r="2074" spans="1:13" x14ac:dyDescent="0.2">
      <c r="A2074" t="s">
        <v>646</v>
      </c>
      <c r="B2074" t="s">
        <v>17</v>
      </c>
      <c r="C2074" t="s">
        <v>9</v>
      </c>
      <c r="D2074">
        <v>3309</v>
      </c>
      <c r="E2074">
        <v>2019</v>
      </c>
      <c r="F2074">
        <v>1</v>
      </c>
      <c r="G2074">
        <v>54123</v>
      </c>
      <c r="H2074" s="1">
        <v>4</v>
      </c>
      <c r="I2074">
        <v>3</v>
      </c>
      <c r="J2074">
        <f>IF($H2074=0,1,IF($I2074&lt;=1,2,0))</f>
        <v>0</v>
      </c>
      <c r="K2074">
        <v>0</v>
      </c>
      <c r="L2074">
        <f>IF(AND($J2074=0,$K2074=0),0,1)</f>
        <v>0</v>
      </c>
    </row>
    <row r="2075" spans="1:13" x14ac:dyDescent="0.2">
      <c r="A2075" t="s">
        <v>646</v>
      </c>
      <c r="B2075" t="s">
        <v>17</v>
      </c>
      <c r="C2075" t="s">
        <v>9</v>
      </c>
      <c r="D2075">
        <v>3517</v>
      </c>
      <c r="E2075">
        <v>2019</v>
      </c>
      <c r="F2075">
        <v>1</v>
      </c>
      <c r="G2075">
        <v>13153</v>
      </c>
      <c r="H2075" s="1">
        <v>3</v>
      </c>
      <c r="I2075">
        <v>9</v>
      </c>
      <c r="J2075">
        <f>IF($H2075=0,1,IF($I2075&lt;=1,2,0))</f>
        <v>0</v>
      </c>
      <c r="K2075">
        <v>0</v>
      </c>
      <c r="L2075">
        <f>IF(AND($J2075=0,$K2075=0),0,1)</f>
        <v>0</v>
      </c>
    </row>
    <row r="2076" spans="1:13" x14ac:dyDescent="0.2">
      <c r="A2076" t="s">
        <v>646</v>
      </c>
      <c r="B2076" t="s">
        <v>17</v>
      </c>
      <c r="C2076" t="s">
        <v>9</v>
      </c>
      <c r="D2076">
        <v>3521</v>
      </c>
      <c r="E2076">
        <v>2019</v>
      </c>
      <c r="F2076">
        <v>1</v>
      </c>
      <c r="G2076">
        <v>54124</v>
      </c>
      <c r="H2076" s="1">
        <v>4</v>
      </c>
      <c r="I2076">
        <v>17</v>
      </c>
      <c r="J2076">
        <f>IF($H2076=0,1,IF($I2076&lt;=1,2,0))</f>
        <v>0</v>
      </c>
      <c r="K2076">
        <v>0</v>
      </c>
      <c r="L2076">
        <f>IF(AND($J2076=0,$K2076=0),0,1)</f>
        <v>0</v>
      </c>
    </row>
    <row r="2077" spans="1:13" x14ac:dyDescent="0.2">
      <c r="A2077" t="s">
        <v>646</v>
      </c>
      <c r="B2077" t="s">
        <v>17</v>
      </c>
      <c r="C2077" t="s">
        <v>9</v>
      </c>
      <c r="D2077">
        <v>4105</v>
      </c>
      <c r="E2077">
        <v>2019</v>
      </c>
      <c r="F2077">
        <v>1</v>
      </c>
      <c r="G2077">
        <v>9450</v>
      </c>
      <c r="H2077" s="1">
        <v>4</v>
      </c>
      <c r="I2077">
        <v>8</v>
      </c>
      <c r="J2077">
        <f>IF($H2077=0,1,IF($I2077&lt;=1,2,0))</f>
        <v>0</v>
      </c>
      <c r="K2077">
        <v>0</v>
      </c>
      <c r="L2077">
        <f>IF(AND($J2077=0,$K2077=0),0,1)</f>
        <v>0</v>
      </c>
    </row>
    <row r="2078" spans="1:13" x14ac:dyDescent="0.2">
      <c r="A2078" t="s">
        <v>646</v>
      </c>
      <c r="B2078" t="s">
        <v>17</v>
      </c>
      <c r="C2078" t="s">
        <v>9</v>
      </c>
      <c r="D2078">
        <v>4206</v>
      </c>
      <c r="E2078">
        <v>2019</v>
      </c>
      <c r="F2078">
        <v>1</v>
      </c>
      <c r="G2078">
        <v>29216</v>
      </c>
      <c r="H2078" s="1">
        <v>4</v>
      </c>
      <c r="I2078">
        <v>5</v>
      </c>
      <c r="J2078">
        <f>IF($H2078=0,1,IF($I2078&lt;=1,2,0))</f>
        <v>0</v>
      </c>
      <c r="K2078">
        <v>0</v>
      </c>
      <c r="L2078">
        <f>IF(AND($J2078=0,$K2078=0),0,1)</f>
        <v>0</v>
      </c>
    </row>
    <row r="2079" spans="1:13" x14ac:dyDescent="0.2">
      <c r="A2079" t="s">
        <v>646</v>
      </c>
      <c r="B2079" t="s">
        <v>17</v>
      </c>
      <c r="C2079" t="s">
        <v>9</v>
      </c>
      <c r="D2079">
        <v>4215</v>
      </c>
      <c r="E2079">
        <v>2019</v>
      </c>
      <c r="F2079">
        <v>1</v>
      </c>
      <c r="G2079">
        <v>9446</v>
      </c>
      <c r="H2079" s="1">
        <v>4</v>
      </c>
      <c r="I2079">
        <v>9</v>
      </c>
      <c r="J2079">
        <f>IF($H2079=0,1,IF($I2079&lt;=1,2,0))</f>
        <v>0</v>
      </c>
      <c r="K2079">
        <v>0</v>
      </c>
      <c r="L2079">
        <f>IF(AND($J2079=0,$K2079=0),0,1)</f>
        <v>0</v>
      </c>
    </row>
    <row r="2080" spans="1:13" x14ac:dyDescent="0.2">
      <c r="A2080" t="s">
        <v>646</v>
      </c>
      <c r="B2080" t="s">
        <v>17</v>
      </c>
      <c r="C2080" t="s">
        <v>9</v>
      </c>
      <c r="D2080">
        <v>4304</v>
      </c>
      <c r="E2080">
        <v>2019</v>
      </c>
      <c r="F2080">
        <v>1</v>
      </c>
      <c r="G2080">
        <v>9447</v>
      </c>
      <c r="H2080" s="1">
        <v>4</v>
      </c>
      <c r="I2080">
        <v>11</v>
      </c>
      <c r="J2080">
        <f>IF($H2080=0,1,IF($I2080&lt;=1,2,0))</f>
        <v>0</v>
      </c>
      <c r="K2080">
        <v>0</v>
      </c>
      <c r="L2080">
        <f>IF(AND($J2080=0,$K2080=0),0,1)</f>
        <v>0</v>
      </c>
    </row>
    <row r="2081" spans="1:13" x14ac:dyDescent="0.2">
      <c r="A2081" t="s">
        <v>646</v>
      </c>
      <c r="B2081" t="s">
        <v>17</v>
      </c>
      <c r="C2081" t="s">
        <v>9</v>
      </c>
      <c r="D2081">
        <v>4311</v>
      </c>
      <c r="E2081">
        <v>2019</v>
      </c>
      <c r="F2081">
        <v>1</v>
      </c>
      <c r="G2081">
        <v>10355</v>
      </c>
      <c r="H2081" s="1">
        <v>4</v>
      </c>
      <c r="I2081">
        <v>4</v>
      </c>
      <c r="J2081">
        <f>IF($H2081=0,1,IF($I2081&lt;=1,2,0))</f>
        <v>0</v>
      </c>
      <c r="K2081">
        <v>0</v>
      </c>
      <c r="L2081">
        <f>IF(AND($J2081=0,$K2081=0),0,1)</f>
        <v>0</v>
      </c>
    </row>
    <row r="2082" spans="1:13" x14ac:dyDescent="0.2">
      <c r="A2082" t="s">
        <v>646</v>
      </c>
      <c r="B2082" t="s">
        <v>17</v>
      </c>
      <c r="C2082" t="s">
        <v>9</v>
      </c>
      <c r="D2082">
        <v>4325</v>
      </c>
      <c r="E2082">
        <v>2019</v>
      </c>
      <c r="F2082">
        <v>1</v>
      </c>
      <c r="G2082">
        <v>54127</v>
      </c>
      <c r="H2082" s="1">
        <v>4</v>
      </c>
      <c r="I2082">
        <v>3</v>
      </c>
      <c r="J2082">
        <f>IF($H2082=0,1,IF($I2082&lt;=1,2,0))</f>
        <v>0</v>
      </c>
      <c r="K2082">
        <v>0</v>
      </c>
      <c r="L2082">
        <f>IF(AND($J2082=0,$K2082=0),0,1)</f>
        <v>0</v>
      </c>
    </row>
    <row r="2083" spans="1:13" x14ac:dyDescent="0.2">
      <c r="A2083" t="s">
        <v>646</v>
      </c>
      <c r="B2083" t="s">
        <v>17</v>
      </c>
      <c r="C2083" t="s">
        <v>9</v>
      </c>
      <c r="D2083">
        <v>4411</v>
      </c>
      <c r="E2083">
        <v>2019</v>
      </c>
      <c r="F2083">
        <v>1</v>
      </c>
      <c r="G2083">
        <v>54096</v>
      </c>
      <c r="H2083" s="1">
        <v>4</v>
      </c>
      <c r="I2083">
        <v>17</v>
      </c>
      <c r="J2083">
        <f>IF($H2083=0,1,IF($I2083&lt;=1,2,0))</f>
        <v>0</v>
      </c>
      <c r="K2083">
        <v>0</v>
      </c>
      <c r="L2083">
        <f>IF(AND($J2083=0,$K2083=0),0,1)</f>
        <v>0</v>
      </c>
    </row>
    <row r="2084" spans="1:13" x14ac:dyDescent="0.2">
      <c r="A2084" t="s">
        <v>646</v>
      </c>
      <c r="B2084" t="s">
        <v>17</v>
      </c>
      <c r="C2084" t="s">
        <v>9</v>
      </c>
      <c r="D2084">
        <v>4514</v>
      </c>
      <c r="E2084">
        <v>2019</v>
      </c>
      <c r="F2084">
        <v>1</v>
      </c>
      <c r="G2084">
        <v>9448</v>
      </c>
      <c r="H2084" s="1">
        <v>4</v>
      </c>
      <c r="I2084">
        <v>12</v>
      </c>
      <c r="J2084">
        <f>IF($H2084=0,1,IF($I2084&lt;=1,2,0))</f>
        <v>0</v>
      </c>
      <c r="K2084">
        <v>0</v>
      </c>
      <c r="L2084">
        <f>IF(AND($J2084=0,$K2084=0),0,1)</f>
        <v>0</v>
      </c>
    </row>
    <row r="2085" spans="1:13" x14ac:dyDescent="0.2">
      <c r="A2085" t="s">
        <v>646</v>
      </c>
      <c r="B2085" t="s">
        <v>17</v>
      </c>
      <c r="C2085" t="s">
        <v>34</v>
      </c>
      <c r="D2085">
        <v>4515</v>
      </c>
      <c r="E2085">
        <v>2019</v>
      </c>
      <c r="F2085">
        <v>1</v>
      </c>
      <c r="G2085">
        <v>54097</v>
      </c>
      <c r="H2085" s="1">
        <v>4</v>
      </c>
      <c r="I2085">
        <v>31</v>
      </c>
      <c r="J2085">
        <f>IF($H2085=0,1,IF($I2085&lt;=1,2,0))</f>
        <v>0</v>
      </c>
      <c r="K2085">
        <v>0</v>
      </c>
      <c r="L2085">
        <f>IF(AND($J2085=0,$K2085=0),0,1)</f>
        <v>0</v>
      </c>
    </row>
    <row r="2086" spans="1:13" x14ac:dyDescent="0.2">
      <c r="A2086" t="s">
        <v>646</v>
      </c>
      <c r="B2086" t="s">
        <v>17</v>
      </c>
      <c r="C2086" t="s">
        <v>9</v>
      </c>
      <c r="D2086">
        <v>4524</v>
      </c>
      <c r="E2086">
        <v>2019</v>
      </c>
      <c r="F2086">
        <v>1</v>
      </c>
      <c r="G2086">
        <v>54101</v>
      </c>
      <c r="H2086" s="1">
        <v>4</v>
      </c>
      <c r="I2086">
        <v>11</v>
      </c>
      <c r="J2086">
        <f>IF($H2086=0,1,IF($I2086&lt;=1,2,0))</f>
        <v>0</v>
      </c>
      <c r="K2086">
        <v>0</v>
      </c>
      <c r="L2086">
        <f>IF(AND($J2086=0,$K2086=0),0,1)</f>
        <v>0</v>
      </c>
    </row>
    <row r="2087" spans="1:13" x14ac:dyDescent="0.2">
      <c r="A2087" t="s">
        <v>646</v>
      </c>
      <c r="B2087" t="s">
        <v>17</v>
      </c>
      <c r="C2087" t="s">
        <v>9</v>
      </c>
      <c r="D2087">
        <v>4535</v>
      </c>
      <c r="E2087">
        <v>2019</v>
      </c>
      <c r="F2087">
        <v>1</v>
      </c>
      <c r="G2087">
        <v>54104</v>
      </c>
      <c r="H2087" s="1">
        <v>4</v>
      </c>
      <c r="I2087">
        <v>12</v>
      </c>
      <c r="J2087">
        <f>IF($H2087=0,1,IF($I2087&lt;=1,2,0))</f>
        <v>0</v>
      </c>
      <c r="K2087">
        <v>0</v>
      </c>
      <c r="L2087">
        <f>IF(AND($J2087=0,$K2087=0),0,1)</f>
        <v>0</v>
      </c>
    </row>
    <row r="2088" spans="1:13" x14ac:dyDescent="0.2">
      <c r="A2088" t="s">
        <v>646</v>
      </c>
      <c r="B2088" t="s">
        <v>17</v>
      </c>
      <c r="C2088" t="s">
        <v>9</v>
      </c>
      <c r="D2088">
        <v>4613</v>
      </c>
      <c r="E2088">
        <v>2019</v>
      </c>
      <c r="F2088">
        <v>1</v>
      </c>
      <c r="G2088">
        <v>54112</v>
      </c>
      <c r="H2088" s="1">
        <v>4</v>
      </c>
      <c r="I2088">
        <v>12</v>
      </c>
      <c r="J2088">
        <f>IF($H2088=0,1,IF($I2088&lt;=1,2,0))</f>
        <v>0</v>
      </c>
      <c r="K2088">
        <v>0</v>
      </c>
      <c r="L2088">
        <f>IF(AND($J2088=0,$K2088=0),0,1)</f>
        <v>0</v>
      </c>
    </row>
    <row r="2089" spans="1:13" x14ac:dyDescent="0.2">
      <c r="A2089" t="s">
        <v>646</v>
      </c>
      <c r="B2089" t="s">
        <v>17</v>
      </c>
      <c r="C2089" t="s">
        <v>9</v>
      </c>
      <c r="D2089">
        <v>4617</v>
      </c>
      <c r="E2089">
        <v>2019</v>
      </c>
      <c r="F2089">
        <v>1</v>
      </c>
      <c r="G2089">
        <v>54122</v>
      </c>
      <c r="H2089" s="1">
        <v>4</v>
      </c>
      <c r="I2089">
        <v>4</v>
      </c>
      <c r="J2089">
        <f>IF($H2089=0,1,IF($I2089&lt;=1,2,0))</f>
        <v>0</v>
      </c>
      <c r="K2089">
        <v>0</v>
      </c>
      <c r="L2089">
        <f>IF(AND($J2089=0,$K2089=0),0,1)</f>
        <v>0</v>
      </c>
    </row>
    <row r="2090" spans="1:13" x14ac:dyDescent="0.2">
      <c r="A2090" t="s">
        <v>646</v>
      </c>
      <c r="B2090" t="s">
        <v>17</v>
      </c>
      <c r="C2090" t="s">
        <v>9</v>
      </c>
      <c r="D2090">
        <v>4807</v>
      </c>
      <c r="E2090">
        <v>2019</v>
      </c>
      <c r="F2090">
        <v>1</v>
      </c>
      <c r="G2090">
        <v>9449</v>
      </c>
      <c r="H2090" s="1">
        <v>4</v>
      </c>
      <c r="I2090">
        <v>10</v>
      </c>
      <c r="J2090">
        <f>IF($H2090=0,1,IF($I2090&lt;=1,2,0))</f>
        <v>0</v>
      </c>
      <c r="K2090">
        <v>0</v>
      </c>
      <c r="L2090">
        <f>IF(AND($J2090=0,$K2090=0),0,1)</f>
        <v>0</v>
      </c>
    </row>
    <row r="2091" spans="1:13" x14ac:dyDescent="0.2">
      <c r="A2091" t="s">
        <v>646</v>
      </c>
      <c r="B2091" t="s">
        <v>17</v>
      </c>
      <c r="C2091" t="s">
        <v>34</v>
      </c>
      <c r="D2091">
        <v>6101</v>
      </c>
      <c r="E2091">
        <v>2019</v>
      </c>
      <c r="F2091">
        <v>1</v>
      </c>
      <c r="G2091">
        <v>54102</v>
      </c>
      <c r="H2091" s="1">
        <v>3</v>
      </c>
      <c r="I2091">
        <v>6</v>
      </c>
      <c r="J2091">
        <f>IF($H2091=0,1,IF($I2091&lt;=1,2,0))</f>
        <v>0</v>
      </c>
      <c r="K2091">
        <v>0</v>
      </c>
      <c r="L2091">
        <f>IF(AND($J2091=0,$K2091=0),0,1)</f>
        <v>0</v>
      </c>
    </row>
    <row r="2092" spans="1:13" x14ac:dyDescent="0.2">
      <c r="A2092" t="s">
        <v>646</v>
      </c>
      <c r="B2092" t="s">
        <v>17</v>
      </c>
      <c r="C2092" t="s">
        <v>11</v>
      </c>
      <c r="D2092">
        <v>6213</v>
      </c>
      <c r="E2092">
        <v>2019</v>
      </c>
      <c r="F2092">
        <v>1</v>
      </c>
      <c r="G2092">
        <v>10784</v>
      </c>
      <c r="H2092" s="1">
        <v>4</v>
      </c>
      <c r="I2092">
        <v>3</v>
      </c>
      <c r="J2092">
        <f>IF($H2092=0,1,IF($I2092&lt;=1,2,0))</f>
        <v>0</v>
      </c>
      <c r="K2092">
        <v>0</v>
      </c>
      <c r="L2092">
        <f>IF(AND($J2092=0,$K2092=0),0,1)</f>
        <v>0</v>
      </c>
    </row>
    <row r="2093" spans="1:13" x14ac:dyDescent="0.2">
      <c r="A2093" t="s">
        <v>646</v>
      </c>
      <c r="B2093" t="s">
        <v>17</v>
      </c>
      <c r="C2093" t="s">
        <v>11</v>
      </c>
      <c r="D2093">
        <v>6313</v>
      </c>
      <c r="E2093">
        <v>2019</v>
      </c>
      <c r="F2093">
        <v>1</v>
      </c>
      <c r="G2093">
        <v>54121</v>
      </c>
      <c r="H2093" s="1">
        <v>4</v>
      </c>
      <c r="I2093">
        <v>4</v>
      </c>
      <c r="J2093">
        <f>IF($H2093=0,1,IF($I2093&lt;=1,2,0))</f>
        <v>0</v>
      </c>
      <c r="K2093">
        <v>0</v>
      </c>
      <c r="L2093">
        <f>IF(AND($J2093=0,$K2093=0),0,1)</f>
        <v>0</v>
      </c>
    </row>
    <row r="2094" spans="1:13" x14ac:dyDescent="0.2">
      <c r="A2094" t="s">
        <v>648</v>
      </c>
      <c r="B2094" t="s">
        <v>17</v>
      </c>
      <c r="C2094" t="s">
        <v>9</v>
      </c>
      <c r="D2094">
        <v>1101</v>
      </c>
      <c r="E2094">
        <v>2019</v>
      </c>
      <c r="F2094">
        <v>1</v>
      </c>
      <c r="G2094">
        <v>55399</v>
      </c>
      <c r="H2094" s="1">
        <v>4</v>
      </c>
      <c r="I2094">
        <v>2</v>
      </c>
      <c r="J2094">
        <f>IF($H2094=0,1,IF($I2094&lt;=1,2,0))</f>
        <v>0</v>
      </c>
      <c r="K2094">
        <v>0</v>
      </c>
      <c r="L2094">
        <f>IF(AND($J2094=0,$K2094=0),0,1)</f>
        <v>0</v>
      </c>
    </row>
    <row r="2095" spans="1:13" x14ac:dyDescent="0.2">
      <c r="A2095" t="s">
        <v>649</v>
      </c>
      <c r="B2095" t="s">
        <v>17</v>
      </c>
      <c r="C2095" t="s">
        <v>21</v>
      </c>
      <c r="D2095">
        <v>1101</v>
      </c>
      <c r="E2095">
        <v>2019</v>
      </c>
      <c r="F2095">
        <v>1</v>
      </c>
      <c r="G2095">
        <v>53927</v>
      </c>
      <c r="H2095" s="1">
        <v>5</v>
      </c>
      <c r="I2095">
        <v>11</v>
      </c>
      <c r="J2095">
        <f>IF($H2095=0,1,IF($I2095&lt;=1,2,0))</f>
        <v>0</v>
      </c>
      <c r="K2095">
        <v>0</v>
      </c>
      <c r="L2095">
        <f>IF(AND($J2095=0,$K2095=0),0,1)</f>
        <v>0</v>
      </c>
      <c r="M2095" t="s">
        <v>650</v>
      </c>
    </row>
    <row r="2096" spans="1:13" x14ac:dyDescent="0.2">
      <c r="A2096" t="s">
        <v>649</v>
      </c>
      <c r="B2096" t="s">
        <v>17</v>
      </c>
      <c r="C2096" t="s">
        <v>21</v>
      </c>
      <c r="D2096">
        <v>1101</v>
      </c>
      <c r="E2096">
        <v>2019</v>
      </c>
      <c r="F2096">
        <v>3</v>
      </c>
      <c r="G2096">
        <v>53929</v>
      </c>
      <c r="H2096" s="1">
        <v>5</v>
      </c>
      <c r="I2096">
        <v>11</v>
      </c>
      <c r="J2096">
        <f>IF($H2096=0,1,IF($I2096&lt;=1,2,0))</f>
        <v>0</v>
      </c>
      <c r="K2096">
        <v>0</v>
      </c>
      <c r="L2096">
        <f>IF(AND($J2096=0,$K2096=0),0,1)</f>
        <v>0</v>
      </c>
      <c r="M2096" t="s">
        <v>650</v>
      </c>
    </row>
    <row r="2097" spans="1:13" x14ac:dyDescent="0.2">
      <c r="A2097" t="s">
        <v>649</v>
      </c>
      <c r="B2097" t="s">
        <v>17</v>
      </c>
      <c r="C2097" t="s">
        <v>21</v>
      </c>
      <c r="D2097">
        <v>1101</v>
      </c>
      <c r="E2097">
        <v>2019</v>
      </c>
      <c r="F2097">
        <v>4</v>
      </c>
      <c r="G2097">
        <v>53930</v>
      </c>
      <c r="H2097" s="1">
        <v>5</v>
      </c>
      <c r="I2097">
        <v>7</v>
      </c>
      <c r="J2097">
        <f>IF($H2097=0,1,IF($I2097&lt;=1,2,0))</f>
        <v>0</v>
      </c>
      <c r="K2097">
        <v>0</v>
      </c>
      <c r="L2097">
        <f>IF(AND($J2097=0,$K2097=0),0,1)</f>
        <v>0</v>
      </c>
      <c r="M2097" t="s">
        <v>650</v>
      </c>
    </row>
    <row r="2098" spans="1:13" x14ac:dyDescent="0.2">
      <c r="A2098" t="s">
        <v>649</v>
      </c>
      <c r="B2098" t="s">
        <v>17</v>
      </c>
      <c r="C2098" t="s">
        <v>21</v>
      </c>
      <c r="D2098">
        <v>2101</v>
      </c>
      <c r="E2098">
        <v>2019</v>
      </c>
      <c r="F2098">
        <v>2</v>
      </c>
      <c r="G2098">
        <v>53932</v>
      </c>
      <c r="H2098" s="1">
        <v>4</v>
      </c>
      <c r="I2098">
        <v>13</v>
      </c>
      <c r="J2098">
        <f>IF($H2098=0,1,IF($I2098&lt;=1,2,0))</f>
        <v>0</v>
      </c>
      <c r="K2098">
        <v>0</v>
      </c>
      <c r="L2098">
        <f>IF(AND($J2098=0,$K2098=0),0,1)</f>
        <v>0</v>
      </c>
      <c r="M2098" t="s">
        <v>651</v>
      </c>
    </row>
    <row r="2099" spans="1:13" x14ac:dyDescent="0.2">
      <c r="A2099" t="s">
        <v>649</v>
      </c>
      <c r="B2099" t="s">
        <v>17</v>
      </c>
      <c r="C2099" t="s">
        <v>21</v>
      </c>
      <c r="D2099">
        <v>2101</v>
      </c>
      <c r="E2099">
        <v>2019</v>
      </c>
      <c r="F2099">
        <v>1</v>
      </c>
      <c r="G2099">
        <v>53931</v>
      </c>
      <c r="H2099" s="1">
        <v>4</v>
      </c>
      <c r="I2099">
        <v>12</v>
      </c>
      <c r="J2099">
        <f>IF($H2099=0,1,IF($I2099&lt;=1,2,0))</f>
        <v>0</v>
      </c>
      <c r="K2099">
        <v>0</v>
      </c>
      <c r="L2099">
        <f>IF(AND($J2099=0,$K2099=0),0,1)</f>
        <v>0</v>
      </c>
      <c r="M2099" t="s">
        <v>651</v>
      </c>
    </row>
    <row r="2100" spans="1:13" x14ac:dyDescent="0.2">
      <c r="A2100" t="s">
        <v>649</v>
      </c>
      <c r="B2100" t="s">
        <v>17</v>
      </c>
      <c r="C2100" t="s">
        <v>21</v>
      </c>
      <c r="D2100">
        <v>2101</v>
      </c>
      <c r="E2100">
        <v>2019</v>
      </c>
      <c r="F2100">
        <v>3</v>
      </c>
      <c r="G2100">
        <v>53933</v>
      </c>
      <c r="H2100" s="1">
        <v>4</v>
      </c>
      <c r="I2100">
        <v>8</v>
      </c>
      <c r="J2100">
        <f>IF($H2100=0,1,IF($I2100&lt;=1,2,0))</f>
        <v>0</v>
      </c>
      <c r="K2100">
        <v>0</v>
      </c>
      <c r="L2100">
        <f>IF(AND($J2100=0,$K2100=0),0,1)</f>
        <v>0</v>
      </c>
      <c r="M2100" t="s">
        <v>651</v>
      </c>
    </row>
    <row r="2101" spans="1:13" x14ac:dyDescent="0.2">
      <c r="A2101" t="s">
        <v>649</v>
      </c>
      <c r="B2101" t="s">
        <v>17</v>
      </c>
      <c r="C2101" t="s">
        <v>21</v>
      </c>
      <c r="D2101">
        <v>3101</v>
      </c>
      <c r="E2101">
        <v>2019</v>
      </c>
      <c r="F2101">
        <v>1</v>
      </c>
      <c r="G2101">
        <v>53920</v>
      </c>
      <c r="H2101" s="1">
        <v>4</v>
      </c>
      <c r="I2101">
        <v>11</v>
      </c>
      <c r="J2101">
        <f>IF($H2101=0,1,IF($I2101&lt;=1,2,0))</f>
        <v>0</v>
      </c>
      <c r="K2101">
        <v>0</v>
      </c>
      <c r="L2101">
        <f>IF(AND($J2101=0,$K2101=0),0,1)</f>
        <v>0</v>
      </c>
      <c r="M2101" t="s">
        <v>652</v>
      </c>
    </row>
    <row r="2102" spans="1:13" x14ac:dyDescent="0.2">
      <c r="A2102" t="s">
        <v>649</v>
      </c>
      <c r="B2102" t="s">
        <v>17</v>
      </c>
      <c r="C2102" t="s">
        <v>9</v>
      </c>
      <c r="D2102">
        <v>3105</v>
      </c>
      <c r="E2102">
        <v>2019</v>
      </c>
      <c r="F2102">
        <v>1</v>
      </c>
      <c r="G2102">
        <v>53919</v>
      </c>
      <c r="H2102" s="1">
        <v>3</v>
      </c>
      <c r="I2102">
        <v>7</v>
      </c>
      <c r="J2102">
        <f>IF($H2102=0,1,IF($I2102&lt;=1,2,0))</f>
        <v>0</v>
      </c>
      <c r="K2102">
        <v>0</v>
      </c>
      <c r="L2102">
        <f>IF(AND($J2102=0,$K2102=0),0,1)</f>
        <v>0</v>
      </c>
      <c r="M2102" t="s">
        <v>1962</v>
      </c>
    </row>
    <row r="2103" spans="1:13" x14ac:dyDescent="0.2">
      <c r="A2103" t="s">
        <v>649</v>
      </c>
      <c r="B2103" t="s">
        <v>17</v>
      </c>
      <c r="C2103" t="s">
        <v>21</v>
      </c>
      <c r="D2103">
        <v>3220</v>
      </c>
      <c r="E2103">
        <v>2019</v>
      </c>
      <c r="F2103">
        <v>1</v>
      </c>
      <c r="G2103">
        <v>53898</v>
      </c>
      <c r="H2103" s="1">
        <v>3</v>
      </c>
      <c r="I2103">
        <v>30</v>
      </c>
      <c r="J2103">
        <f>IF($H2103=0,1,IF($I2103&lt;=1,2,0))</f>
        <v>0</v>
      </c>
      <c r="K2103">
        <v>0</v>
      </c>
      <c r="L2103">
        <f>IF(AND($J2103=0,$K2103=0),0,1)</f>
        <v>0</v>
      </c>
    </row>
    <row r="2104" spans="1:13" x14ac:dyDescent="0.2">
      <c r="A2104" t="s">
        <v>649</v>
      </c>
      <c r="B2104" t="s">
        <v>17</v>
      </c>
      <c r="C2104" t="s">
        <v>21</v>
      </c>
      <c r="D2104">
        <v>3333</v>
      </c>
      <c r="E2104">
        <v>2019</v>
      </c>
      <c r="F2104">
        <v>1</v>
      </c>
      <c r="G2104">
        <v>53934</v>
      </c>
      <c r="H2104" s="1">
        <v>3</v>
      </c>
      <c r="I2104">
        <v>4</v>
      </c>
      <c r="J2104">
        <f>IF($H2104=0,1,IF($I2104&lt;=1,2,0))</f>
        <v>0</v>
      </c>
      <c r="K2104">
        <v>0</v>
      </c>
      <c r="L2104">
        <f>IF(AND($J2104=0,$K2104=0),0,1)</f>
        <v>0</v>
      </c>
    </row>
    <row r="2105" spans="1:13" x14ac:dyDescent="0.2">
      <c r="A2105" t="s">
        <v>649</v>
      </c>
      <c r="B2105" t="s">
        <v>17</v>
      </c>
      <c r="C2105" t="s">
        <v>21</v>
      </c>
      <c r="D2105">
        <v>3430</v>
      </c>
      <c r="E2105">
        <v>2019</v>
      </c>
      <c r="F2105">
        <v>1</v>
      </c>
      <c r="G2105">
        <v>53923</v>
      </c>
      <c r="H2105" s="1">
        <v>3</v>
      </c>
      <c r="I2105">
        <v>12</v>
      </c>
      <c r="J2105">
        <f>IF($H2105=0,1,IF($I2105&lt;=1,2,0))</f>
        <v>0</v>
      </c>
      <c r="K2105">
        <v>0</v>
      </c>
      <c r="L2105">
        <f>IF(AND($J2105=0,$K2105=0),0,1)</f>
        <v>0</v>
      </c>
      <c r="M2105" t="s">
        <v>653</v>
      </c>
    </row>
    <row r="2106" spans="1:13" x14ac:dyDescent="0.2">
      <c r="A2106" t="s">
        <v>649</v>
      </c>
      <c r="B2106" t="s">
        <v>17</v>
      </c>
      <c r="C2106" t="s">
        <v>9</v>
      </c>
      <c r="D2106">
        <v>3595</v>
      </c>
      <c r="E2106">
        <v>2019</v>
      </c>
      <c r="F2106">
        <v>1</v>
      </c>
      <c r="G2106">
        <v>9530</v>
      </c>
      <c r="H2106" s="1">
        <v>4</v>
      </c>
      <c r="I2106">
        <v>3</v>
      </c>
      <c r="J2106">
        <f>IF($H2106=0,1,IF($I2106&lt;=1,2,0))</f>
        <v>0</v>
      </c>
      <c r="K2106">
        <v>0</v>
      </c>
      <c r="L2106">
        <f>IF(AND($J2106=0,$K2106=0),0,1)</f>
        <v>0</v>
      </c>
    </row>
    <row r="2107" spans="1:13" x14ac:dyDescent="0.2">
      <c r="A2107" t="s">
        <v>649</v>
      </c>
      <c r="B2107" t="s">
        <v>17</v>
      </c>
      <c r="C2107" t="s">
        <v>9</v>
      </c>
      <c r="D2107">
        <v>4107</v>
      </c>
      <c r="E2107">
        <v>2019</v>
      </c>
      <c r="F2107">
        <v>1</v>
      </c>
      <c r="G2107">
        <v>53936</v>
      </c>
      <c r="H2107" s="1">
        <v>3</v>
      </c>
      <c r="I2107">
        <v>8</v>
      </c>
      <c r="J2107">
        <f>IF($H2107=0,1,IF($I2107&lt;=1,2,0))</f>
        <v>0</v>
      </c>
      <c r="K2107">
        <v>0</v>
      </c>
      <c r="L2107">
        <f>IF(AND($J2107=0,$K2107=0),0,1)</f>
        <v>0</v>
      </c>
      <c r="M2107" t="s">
        <v>654</v>
      </c>
    </row>
    <row r="2108" spans="1:13" x14ac:dyDescent="0.2">
      <c r="A2108" t="s">
        <v>649</v>
      </c>
      <c r="B2108" t="s">
        <v>17</v>
      </c>
      <c r="C2108" t="s">
        <v>9</v>
      </c>
      <c r="D2108">
        <v>4342</v>
      </c>
      <c r="E2108">
        <v>2019</v>
      </c>
      <c r="F2108">
        <v>2</v>
      </c>
      <c r="G2108">
        <v>17941</v>
      </c>
      <c r="H2108" s="1">
        <v>4</v>
      </c>
      <c r="I2108">
        <v>7</v>
      </c>
      <c r="J2108">
        <f>IF($H2108=0,1,IF($I2108&lt;=1,2,0))</f>
        <v>0</v>
      </c>
      <c r="K2108">
        <v>0</v>
      </c>
      <c r="L2108">
        <f>IF(AND($J2108=0,$K2108=0),0,1)</f>
        <v>0</v>
      </c>
      <c r="M2108" t="s">
        <v>655</v>
      </c>
    </row>
    <row r="2109" spans="1:13" x14ac:dyDescent="0.2">
      <c r="A2109" t="s">
        <v>649</v>
      </c>
      <c r="B2109" t="s">
        <v>17</v>
      </c>
      <c r="C2109" t="s">
        <v>9</v>
      </c>
      <c r="D2109">
        <v>4344</v>
      </c>
      <c r="E2109">
        <v>2019</v>
      </c>
      <c r="F2109">
        <v>1</v>
      </c>
      <c r="G2109">
        <v>9532</v>
      </c>
      <c r="H2109" s="1">
        <v>3</v>
      </c>
      <c r="I2109">
        <v>7</v>
      </c>
      <c r="J2109">
        <f>IF($H2109=0,1,IF($I2109&lt;=1,2,0))</f>
        <v>0</v>
      </c>
      <c r="K2109">
        <v>0</v>
      </c>
      <c r="L2109">
        <f>IF(AND($J2109=0,$K2109=0),0,1)</f>
        <v>0</v>
      </c>
      <c r="M2109" t="s">
        <v>656</v>
      </c>
    </row>
    <row r="2110" spans="1:13" x14ac:dyDescent="0.2">
      <c r="A2110" t="s">
        <v>649</v>
      </c>
      <c r="B2110" t="s">
        <v>17</v>
      </c>
      <c r="C2110" t="s">
        <v>11</v>
      </c>
      <c r="D2110">
        <v>4910</v>
      </c>
      <c r="E2110">
        <v>2019</v>
      </c>
      <c r="F2110">
        <v>1</v>
      </c>
      <c r="G2110">
        <v>53922</v>
      </c>
      <c r="H2110" s="1">
        <v>3</v>
      </c>
      <c r="I2110">
        <v>6</v>
      </c>
      <c r="J2110">
        <f>IF($H2110=0,1,IF($I2110&lt;=1,2,0))</f>
        <v>0</v>
      </c>
      <c r="K2110">
        <v>0</v>
      </c>
      <c r="L2110">
        <f>IF(AND($J2110=0,$K2110=0),0,1)</f>
        <v>0</v>
      </c>
    </row>
    <row r="2111" spans="1:13" x14ac:dyDescent="0.2">
      <c r="A2111" t="s">
        <v>649</v>
      </c>
      <c r="B2111" t="s">
        <v>17</v>
      </c>
      <c r="C2111" t="s">
        <v>11</v>
      </c>
      <c r="D2111">
        <v>6011</v>
      </c>
      <c r="E2111">
        <v>2019</v>
      </c>
      <c r="F2111">
        <v>1</v>
      </c>
      <c r="G2111">
        <v>13407</v>
      </c>
      <c r="H2111" s="1">
        <v>4</v>
      </c>
      <c r="I2111">
        <v>10</v>
      </c>
      <c r="J2111">
        <f>IF($H2111=0,1,IF($I2111&lt;=1,2,0))</f>
        <v>0</v>
      </c>
      <c r="K2111">
        <v>0</v>
      </c>
      <c r="L2111">
        <f>IF(AND($J2111=0,$K2111=0),0,1)</f>
        <v>0</v>
      </c>
      <c r="M2111" t="s">
        <v>654</v>
      </c>
    </row>
    <row r="2112" spans="1:13" x14ac:dyDescent="0.2">
      <c r="A2112" t="s">
        <v>657</v>
      </c>
      <c r="B2112" t="s">
        <v>6</v>
      </c>
      <c r="C2112" t="s">
        <v>11</v>
      </c>
      <c r="D2112">
        <v>5000</v>
      </c>
      <c r="E2112">
        <v>2019</v>
      </c>
      <c r="F2112">
        <v>100</v>
      </c>
      <c r="G2112">
        <v>10671</v>
      </c>
      <c r="H2112" s="1">
        <v>4</v>
      </c>
      <c r="I2112">
        <v>9</v>
      </c>
      <c r="J2112">
        <f>IF($H2112=0,1,IF($I2112&lt;=1,2,0))</f>
        <v>0</v>
      </c>
      <c r="K2112">
        <v>0</v>
      </c>
      <c r="L2112">
        <f>IF(AND($J2112=0,$K2112=0),0,1)</f>
        <v>0</v>
      </c>
      <c r="M2112" t="s">
        <v>658</v>
      </c>
    </row>
    <row r="2113" spans="1:13" x14ac:dyDescent="0.2">
      <c r="A2113" t="s">
        <v>659</v>
      </c>
      <c r="B2113" t="s">
        <v>241</v>
      </c>
      <c r="C2113" t="s">
        <v>7</v>
      </c>
      <c r="D2113">
        <v>1000</v>
      </c>
      <c r="E2113">
        <v>2019</v>
      </c>
      <c r="F2113">
        <v>1</v>
      </c>
      <c r="G2113">
        <v>85413</v>
      </c>
      <c r="H2113" s="1">
        <v>4</v>
      </c>
      <c r="I2113">
        <v>533</v>
      </c>
      <c r="J2113">
        <f>IF($H2113=0,1,IF($I2113&lt;=1,2,0))</f>
        <v>0</v>
      </c>
      <c r="K2113">
        <v>0</v>
      </c>
      <c r="L2113">
        <f>IF(AND($J2113=0,$K2113=0),0,1)</f>
        <v>0</v>
      </c>
    </row>
    <row r="2114" spans="1:13" x14ac:dyDescent="0.2">
      <c r="A2114" t="s">
        <v>659</v>
      </c>
      <c r="B2114" t="s">
        <v>133</v>
      </c>
      <c r="C2114" t="s">
        <v>9</v>
      </c>
      <c r="D2114">
        <v>1212</v>
      </c>
      <c r="E2114">
        <v>2019</v>
      </c>
      <c r="F2114">
        <v>1</v>
      </c>
      <c r="G2114">
        <v>10657</v>
      </c>
      <c r="H2114" s="1">
        <v>4</v>
      </c>
      <c r="I2114">
        <v>18</v>
      </c>
      <c r="J2114">
        <f>IF($H2114=0,1,IF($I2114&lt;=1,2,0))</f>
        <v>0</v>
      </c>
      <c r="K2114">
        <v>0</v>
      </c>
      <c r="L2114">
        <f>IF(AND($J2114=0,$K2114=0),0,1)</f>
        <v>0</v>
      </c>
    </row>
    <row r="2115" spans="1:13" x14ac:dyDescent="0.2">
      <c r="A2115" t="s">
        <v>659</v>
      </c>
      <c r="B2115" t="s">
        <v>133</v>
      </c>
      <c r="C2115" t="s">
        <v>7</v>
      </c>
      <c r="D2115">
        <v>1500</v>
      </c>
      <c r="E2115">
        <v>2019</v>
      </c>
      <c r="F2115">
        <v>1</v>
      </c>
      <c r="G2115">
        <v>16205</v>
      </c>
      <c r="H2115" s="1">
        <v>1</v>
      </c>
      <c r="I2115">
        <v>13</v>
      </c>
      <c r="J2115">
        <f>IF($H2115=0,1,IF($I2115&lt;=1,2,0))</f>
        <v>0</v>
      </c>
      <c r="K2115">
        <v>0</v>
      </c>
      <c r="L2115">
        <f>IF(AND($J2115=0,$K2115=0),0,1)</f>
        <v>0</v>
      </c>
    </row>
    <row r="2116" spans="1:13" x14ac:dyDescent="0.2">
      <c r="A2116" t="s">
        <v>661</v>
      </c>
      <c r="B2116" t="s">
        <v>6</v>
      </c>
      <c r="C2116" t="s">
        <v>9</v>
      </c>
      <c r="D2116">
        <v>1900</v>
      </c>
      <c r="E2116">
        <v>2019</v>
      </c>
      <c r="F2116">
        <v>1</v>
      </c>
      <c r="G2116">
        <v>60935</v>
      </c>
      <c r="H2116" s="1">
        <v>1</v>
      </c>
      <c r="I2116">
        <v>47</v>
      </c>
      <c r="J2116">
        <f>IF($H2116=0,1,IF($I2116&lt;=1,2,0))</f>
        <v>0</v>
      </c>
      <c r="K2116">
        <v>0</v>
      </c>
      <c r="L2116">
        <f>IF(AND($J2116=0,$K2116=0),0,1)</f>
        <v>0</v>
      </c>
    </row>
    <row r="2117" spans="1:13" x14ac:dyDescent="0.2">
      <c r="A2117" t="s">
        <v>661</v>
      </c>
      <c r="B2117" t="s">
        <v>6</v>
      </c>
      <c r="C2117" t="s">
        <v>9</v>
      </c>
      <c r="D2117">
        <v>2050</v>
      </c>
      <c r="E2117">
        <v>2019</v>
      </c>
      <c r="F2117">
        <v>1</v>
      </c>
      <c r="G2117">
        <v>60936</v>
      </c>
      <c r="H2117" s="1">
        <v>3</v>
      </c>
      <c r="I2117">
        <v>26</v>
      </c>
      <c r="J2117">
        <f>IF($H2117=0,1,IF($I2117&lt;=1,2,0))</f>
        <v>0</v>
      </c>
      <c r="K2117">
        <v>0</v>
      </c>
      <c r="L2117">
        <f>IF(AND($J2117=0,$K2117=0),0,1)</f>
        <v>0</v>
      </c>
    </row>
    <row r="2118" spans="1:13" x14ac:dyDescent="0.2">
      <c r="A2118" t="s">
        <v>661</v>
      </c>
      <c r="B2118" t="s">
        <v>6</v>
      </c>
      <c r="C2118" t="s">
        <v>9</v>
      </c>
      <c r="D2118">
        <v>2320</v>
      </c>
      <c r="E2118">
        <v>2019</v>
      </c>
      <c r="F2118">
        <v>1</v>
      </c>
      <c r="G2118">
        <v>60937</v>
      </c>
      <c r="H2118" s="1">
        <v>3</v>
      </c>
      <c r="I2118">
        <v>23</v>
      </c>
      <c r="J2118">
        <f>IF($H2118=0,1,IF($I2118&lt;=1,2,0))</f>
        <v>0</v>
      </c>
      <c r="K2118">
        <v>0</v>
      </c>
      <c r="L2118">
        <f>IF(AND($J2118=0,$K2118=0),0,1)</f>
        <v>0</v>
      </c>
      <c r="M2118" t="s">
        <v>662</v>
      </c>
    </row>
    <row r="2119" spans="1:13" x14ac:dyDescent="0.2">
      <c r="A2119" t="s">
        <v>661</v>
      </c>
      <c r="B2119" t="s">
        <v>6</v>
      </c>
      <c r="C2119" t="s">
        <v>9</v>
      </c>
      <c r="D2119">
        <v>3280</v>
      </c>
      <c r="E2119">
        <v>2019</v>
      </c>
      <c r="F2119">
        <v>1</v>
      </c>
      <c r="G2119">
        <v>60938</v>
      </c>
      <c r="H2119" s="1">
        <v>4</v>
      </c>
      <c r="I2119">
        <v>16</v>
      </c>
      <c r="J2119">
        <f>IF($H2119=0,1,IF($I2119&lt;=1,2,0))</f>
        <v>0</v>
      </c>
      <c r="K2119">
        <v>0</v>
      </c>
      <c r="L2119">
        <f>IF(AND($J2119=0,$K2119=0),0,1)</f>
        <v>0</v>
      </c>
      <c r="M2119" t="s">
        <v>663</v>
      </c>
    </row>
    <row r="2120" spans="1:13" x14ac:dyDescent="0.2">
      <c r="A2120" t="s">
        <v>661</v>
      </c>
      <c r="B2120" t="s">
        <v>6</v>
      </c>
      <c r="C2120" t="s">
        <v>9</v>
      </c>
      <c r="D2120">
        <v>3280</v>
      </c>
      <c r="E2120">
        <v>2019</v>
      </c>
      <c r="F2120">
        <v>2</v>
      </c>
      <c r="G2120">
        <v>60939</v>
      </c>
      <c r="H2120" s="1">
        <v>4</v>
      </c>
      <c r="I2120">
        <v>9</v>
      </c>
      <c r="J2120">
        <f>IF($H2120=0,1,IF($I2120&lt;=1,2,0))</f>
        <v>0</v>
      </c>
      <c r="K2120">
        <v>0</v>
      </c>
      <c r="L2120">
        <f>IF(AND($J2120=0,$K2120=0),0,1)</f>
        <v>0</v>
      </c>
      <c r="M2120" t="s">
        <v>662</v>
      </c>
    </row>
    <row r="2121" spans="1:13" x14ac:dyDescent="0.2">
      <c r="A2121" t="s">
        <v>661</v>
      </c>
      <c r="B2121" t="s">
        <v>6</v>
      </c>
      <c r="C2121" t="s">
        <v>9</v>
      </c>
      <c r="D2121">
        <v>3330</v>
      </c>
      <c r="E2121">
        <v>2019</v>
      </c>
      <c r="F2121">
        <v>1</v>
      </c>
      <c r="G2121">
        <v>60940</v>
      </c>
      <c r="H2121" s="1">
        <v>3</v>
      </c>
      <c r="I2121">
        <v>13</v>
      </c>
      <c r="J2121">
        <f>IF($H2121=0,1,IF($I2121&lt;=1,2,0))</f>
        <v>0</v>
      </c>
      <c r="K2121">
        <v>0</v>
      </c>
      <c r="L2121">
        <f>IF(AND($J2121=0,$K2121=0),0,1)</f>
        <v>0</v>
      </c>
      <c r="M2121" t="s">
        <v>663</v>
      </c>
    </row>
    <row r="2122" spans="1:13" x14ac:dyDescent="0.2">
      <c r="A2122" t="s">
        <v>661</v>
      </c>
      <c r="B2122" t="s">
        <v>6</v>
      </c>
      <c r="C2122" t="s">
        <v>9</v>
      </c>
      <c r="D2122">
        <v>3360</v>
      </c>
      <c r="E2122">
        <v>2019</v>
      </c>
      <c r="F2122">
        <v>1</v>
      </c>
      <c r="G2122">
        <v>60945</v>
      </c>
      <c r="H2122" s="1">
        <v>3</v>
      </c>
      <c r="I2122">
        <v>8</v>
      </c>
      <c r="J2122">
        <f>IF($H2122=0,1,IF($I2122&lt;=1,2,0))</f>
        <v>0</v>
      </c>
      <c r="K2122">
        <v>0</v>
      </c>
      <c r="L2122">
        <f>IF(AND($J2122=0,$K2122=0),0,1)</f>
        <v>0</v>
      </c>
    </row>
    <row r="2123" spans="1:13" x14ac:dyDescent="0.2">
      <c r="A2123" t="s">
        <v>661</v>
      </c>
      <c r="B2123" t="s">
        <v>6</v>
      </c>
      <c r="C2123" t="s">
        <v>9</v>
      </c>
      <c r="D2123">
        <v>3366</v>
      </c>
      <c r="E2123">
        <v>2019</v>
      </c>
      <c r="F2123">
        <v>1</v>
      </c>
      <c r="G2123">
        <v>60941</v>
      </c>
      <c r="H2123" s="1">
        <v>3</v>
      </c>
      <c r="I2123">
        <v>10</v>
      </c>
      <c r="J2123">
        <f>IF($H2123=0,1,IF($I2123&lt;=1,2,0))</f>
        <v>0</v>
      </c>
      <c r="K2123">
        <v>0</v>
      </c>
      <c r="L2123">
        <f>IF(AND($J2123=0,$K2123=0),0,1)</f>
        <v>0</v>
      </c>
      <c r="M2123" t="s">
        <v>664</v>
      </c>
    </row>
    <row r="2124" spans="1:13" x14ac:dyDescent="0.2">
      <c r="A2124" t="s">
        <v>661</v>
      </c>
      <c r="B2124" t="s">
        <v>6</v>
      </c>
      <c r="C2124" t="s">
        <v>9</v>
      </c>
      <c r="D2124">
        <v>3390</v>
      </c>
      <c r="E2124">
        <v>2019</v>
      </c>
      <c r="F2124">
        <v>1</v>
      </c>
      <c r="G2124">
        <v>60942</v>
      </c>
      <c r="H2124" s="1">
        <v>3</v>
      </c>
      <c r="I2124">
        <v>16</v>
      </c>
      <c r="J2124">
        <f>IF($H2124=0,1,IF($I2124&lt;=1,2,0))</f>
        <v>0</v>
      </c>
      <c r="K2124">
        <v>0</v>
      </c>
      <c r="L2124">
        <f>IF(AND($J2124=0,$K2124=0),0,1)</f>
        <v>0</v>
      </c>
      <c r="M2124" t="s">
        <v>663</v>
      </c>
    </row>
    <row r="2125" spans="1:13" x14ac:dyDescent="0.2">
      <c r="A2125" t="s">
        <v>661</v>
      </c>
      <c r="B2125" t="s">
        <v>6</v>
      </c>
      <c r="C2125" t="s">
        <v>9</v>
      </c>
      <c r="D2125">
        <v>4101</v>
      </c>
      <c r="E2125">
        <v>2019</v>
      </c>
      <c r="F2125">
        <v>1</v>
      </c>
      <c r="G2125">
        <v>60944</v>
      </c>
      <c r="H2125" s="1">
        <v>3</v>
      </c>
      <c r="I2125">
        <v>13</v>
      </c>
      <c r="J2125">
        <f>IF($H2125=0,1,IF($I2125&lt;=1,2,0))</f>
        <v>0</v>
      </c>
      <c r="K2125">
        <v>0</v>
      </c>
      <c r="L2125">
        <f>IF(AND($J2125=0,$K2125=0),0,1)</f>
        <v>0</v>
      </c>
    </row>
    <row r="2126" spans="1:13" x14ac:dyDescent="0.2">
      <c r="A2126" t="s">
        <v>667</v>
      </c>
      <c r="B2126" t="s">
        <v>6</v>
      </c>
      <c r="C2126" t="s">
        <v>9</v>
      </c>
      <c r="D2126">
        <v>3001</v>
      </c>
      <c r="E2126">
        <v>2019</v>
      </c>
      <c r="F2126">
        <v>1</v>
      </c>
      <c r="G2126">
        <v>53906</v>
      </c>
      <c r="H2126" s="1">
        <v>3</v>
      </c>
      <c r="I2126">
        <v>52</v>
      </c>
      <c r="J2126">
        <f>IF($H2126=0,1,IF($I2126&lt;=1,2,0))</f>
        <v>0</v>
      </c>
      <c r="K2126">
        <v>0</v>
      </c>
      <c r="L2126">
        <f>IF(AND($J2126=0,$K2126=0),0,1)</f>
        <v>0</v>
      </c>
    </row>
    <row r="2127" spans="1:13" x14ac:dyDescent="0.2">
      <c r="A2127" t="s">
        <v>667</v>
      </c>
      <c r="B2127" t="s">
        <v>6</v>
      </c>
      <c r="C2127" t="s">
        <v>9</v>
      </c>
      <c r="D2127">
        <v>3333</v>
      </c>
      <c r="E2127">
        <v>2019</v>
      </c>
      <c r="F2127">
        <v>1</v>
      </c>
      <c r="G2127">
        <v>86</v>
      </c>
      <c r="H2127" s="1">
        <v>3</v>
      </c>
      <c r="I2127">
        <v>20</v>
      </c>
      <c r="J2127">
        <f>IF($H2127=0,1,IF($I2127&lt;=1,2,0))</f>
        <v>0</v>
      </c>
      <c r="K2127">
        <v>0</v>
      </c>
      <c r="L2127">
        <f>IF(AND($J2127=0,$K2127=0),0,1)</f>
        <v>0</v>
      </c>
    </row>
    <row r="2128" spans="1:13" x14ac:dyDescent="0.2">
      <c r="A2128" t="s">
        <v>668</v>
      </c>
      <c r="B2128" t="s">
        <v>17</v>
      </c>
      <c r="C2128" t="s">
        <v>11</v>
      </c>
      <c r="D2128">
        <v>8001</v>
      </c>
      <c r="E2128">
        <v>2019</v>
      </c>
      <c r="F2128">
        <v>1</v>
      </c>
      <c r="G2128">
        <v>53907</v>
      </c>
      <c r="H2128" s="1">
        <v>4</v>
      </c>
      <c r="I2128">
        <v>4</v>
      </c>
      <c r="J2128">
        <f>IF($H2128=0,1,IF($I2128&lt;=1,2,0))</f>
        <v>0</v>
      </c>
      <c r="K2128">
        <v>0</v>
      </c>
      <c r="L2128">
        <f>IF(AND($J2128=0,$K2128=0),0,1)</f>
        <v>0</v>
      </c>
    </row>
    <row r="2129" spans="1:13" x14ac:dyDescent="0.2">
      <c r="A2129" t="s">
        <v>669</v>
      </c>
      <c r="B2129" t="s">
        <v>386</v>
      </c>
      <c r="C2129" t="s">
        <v>34</v>
      </c>
      <c r="D2129">
        <v>4000</v>
      </c>
      <c r="E2129">
        <v>2019</v>
      </c>
      <c r="F2129">
        <v>1</v>
      </c>
      <c r="G2129">
        <v>98845</v>
      </c>
      <c r="H2129" s="1">
        <v>3</v>
      </c>
      <c r="I2129">
        <v>5</v>
      </c>
      <c r="J2129">
        <f>IF($H2129=0,1,IF($I2129&lt;=1,2,0))</f>
        <v>0</v>
      </c>
      <c r="K2129">
        <v>0</v>
      </c>
      <c r="L2129">
        <f>IF(AND($J2129=0,$K2129=0),0,1)</f>
        <v>0</v>
      </c>
    </row>
    <row r="2130" spans="1:13" x14ac:dyDescent="0.2">
      <c r="A2130" t="s">
        <v>669</v>
      </c>
      <c r="B2130" t="s">
        <v>386</v>
      </c>
      <c r="C2130" t="s">
        <v>407</v>
      </c>
      <c r="D2130">
        <v>5932</v>
      </c>
      <c r="E2130">
        <v>2019</v>
      </c>
      <c r="F2130">
        <v>2</v>
      </c>
      <c r="G2130">
        <v>98902</v>
      </c>
      <c r="H2130" s="1" t="s">
        <v>1828</v>
      </c>
      <c r="I2130">
        <v>2</v>
      </c>
      <c r="J2130">
        <f>IF($H2130=0,1,IF($I2130&lt;=1,2,0))</f>
        <v>0</v>
      </c>
      <c r="K2130">
        <v>0</v>
      </c>
      <c r="L2130">
        <f>IF(AND($J2130=0,$K2130=0),0,1)</f>
        <v>0</v>
      </c>
    </row>
    <row r="2131" spans="1:13" x14ac:dyDescent="0.2">
      <c r="A2131" t="s">
        <v>672</v>
      </c>
      <c r="B2131" t="s">
        <v>6</v>
      </c>
      <c r="C2131" t="s">
        <v>9</v>
      </c>
      <c r="D2131">
        <v>1000</v>
      </c>
      <c r="E2131">
        <v>2019</v>
      </c>
      <c r="F2131">
        <v>1</v>
      </c>
      <c r="G2131">
        <v>42383</v>
      </c>
      <c r="H2131" s="1">
        <v>3</v>
      </c>
      <c r="I2131">
        <v>301</v>
      </c>
      <c r="J2131">
        <f>IF($H2131=0,1,IF($I2131&lt;=1,2,0))</f>
        <v>0</v>
      </c>
      <c r="K2131">
        <v>0</v>
      </c>
      <c r="L2131">
        <f>IF(AND($J2131=0,$K2131=0),0,1)</f>
        <v>0</v>
      </c>
    </row>
    <row r="2132" spans="1:13" x14ac:dyDescent="0.2">
      <c r="A2132" t="s">
        <v>672</v>
      </c>
      <c r="B2132" t="s">
        <v>6</v>
      </c>
      <c r="C2132" t="s">
        <v>9</v>
      </c>
      <c r="D2132">
        <v>1203</v>
      </c>
      <c r="E2132">
        <v>2019</v>
      </c>
      <c r="F2132">
        <v>1</v>
      </c>
      <c r="G2132">
        <v>10583</v>
      </c>
      <c r="H2132" s="1">
        <v>3</v>
      </c>
      <c r="I2132">
        <v>76</v>
      </c>
      <c r="J2132">
        <f>IF($H2132=0,1,IF($I2132&lt;=1,2,0))</f>
        <v>0</v>
      </c>
      <c r="K2132">
        <v>0</v>
      </c>
      <c r="L2132">
        <f>IF(AND($J2132=0,$K2132=0),0,1)</f>
        <v>0</v>
      </c>
    </row>
    <row r="2133" spans="1:13" x14ac:dyDescent="0.2">
      <c r="A2133" t="s">
        <v>672</v>
      </c>
      <c r="B2133" t="s">
        <v>6</v>
      </c>
      <c r="C2133" t="s">
        <v>9</v>
      </c>
      <c r="D2133">
        <v>3000</v>
      </c>
      <c r="E2133">
        <v>2019</v>
      </c>
      <c r="F2133">
        <v>1</v>
      </c>
      <c r="G2133">
        <v>42225</v>
      </c>
      <c r="H2133" s="1">
        <v>3</v>
      </c>
      <c r="I2133">
        <v>49</v>
      </c>
      <c r="J2133">
        <f>IF($H2133=0,1,IF($I2133&lt;=1,2,0))</f>
        <v>0</v>
      </c>
      <c r="K2133">
        <v>0</v>
      </c>
      <c r="L2133">
        <f>IF(AND($J2133=0,$K2133=0),0,1)</f>
        <v>0</v>
      </c>
    </row>
    <row r="2134" spans="1:13" x14ac:dyDescent="0.2">
      <c r="A2134" t="s">
        <v>672</v>
      </c>
      <c r="B2134" t="s">
        <v>6</v>
      </c>
      <c r="C2134" t="s">
        <v>9</v>
      </c>
      <c r="D2134">
        <v>3010</v>
      </c>
      <c r="E2134">
        <v>2019</v>
      </c>
      <c r="F2134">
        <v>1</v>
      </c>
      <c r="G2134">
        <v>42384</v>
      </c>
      <c r="H2134" s="1">
        <v>4</v>
      </c>
      <c r="I2134">
        <v>45</v>
      </c>
      <c r="J2134">
        <f>IF($H2134=0,1,IF($I2134&lt;=1,2,0))</f>
        <v>0</v>
      </c>
      <c r="K2134">
        <v>0</v>
      </c>
      <c r="L2134">
        <f>IF(AND($J2134=0,$K2134=0),0,1)</f>
        <v>0</v>
      </c>
      <c r="M2134" t="s">
        <v>673</v>
      </c>
    </row>
    <row r="2135" spans="1:13" x14ac:dyDescent="0.2">
      <c r="A2135" t="s">
        <v>672</v>
      </c>
      <c r="B2135" t="s">
        <v>6</v>
      </c>
      <c r="C2135" t="s">
        <v>9</v>
      </c>
      <c r="D2135">
        <v>3225</v>
      </c>
      <c r="E2135">
        <v>2019</v>
      </c>
      <c r="F2135">
        <v>1</v>
      </c>
      <c r="G2135">
        <v>9591</v>
      </c>
      <c r="H2135" s="1">
        <v>3</v>
      </c>
      <c r="I2135">
        <v>32</v>
      </c>
      <c r="J2135">
        <f>IF($H2135=0,1,IF($I2135&lt;=1,2,0))</f>
        <v>0</v>
      </c>
      <c r="K2135">
        <v>0</v>
      </c>
      <c r="L2135">
        <f>IF(AND($J2135=0,$K2135=0),0,1)</f>
        <v>0</v>
      </c>
    </row>
    <row r="2136" spans="1:13" x14ac:dyDescent="0.2">
      <c r="A2136" t="s">
        <v>672</v>
      </c>
      <c r="B2136" t="s">
        <v>6</v>
      </c>
      <c r="C2136" t="s">
        <v>9</v>
      </c>
      <c r="D2136">
        <v>3235</v>
      </c>
      <c r="E2136">
        <v>2019</v>
      </c>
      <c r="F2136">
        <v>1</v>
      </c>
      <c r="G2136">
        <v>9586</v>
      </c>
      <c r="H2136" s="1">
        <v>3</v>
      </c>
      <c r="I2136">
        <v>27</v>
      </c>
      <c r="J2136">
        <f>IF($H2136=0,1,IF($I2136&lt;=1,2,0))</f>
        <v>0</v>
      </c>
      <c r="K2136">
        <v>0</v>
      </c>
      <c r="L2136">
        <f>IF(AND($J2136=0,$K2136=0),0,1)</f>
        <v>0</v>
      </c>
    </row>
    <row r="2137" spans="1:13" x14ac:dyDescent="0.2">
      <c r="A2137" t="s">
        <v>672</v>
      </c>
      <c r="B2137" t="s">
        <v>6</v>
      </c>
      <c r="C2137" t="s">
        <v>9</v>
      </c>
      <c r="D2137">
        <v>3246</v>
      </c>
      <c r="E2137">
        <v>2019</v>
      </c>
      <c r="F2137">
        <v>1</v>
      </c>
      <c r="G2137">
        <v>9594</v>
      </c>
      <c r="H2137" s="1">
        <v>3</v>
      </c>
      <c r="I2137">
        <v>45</v>
      </c>
      <c r="J2137">
        <f>IF($H2137=0,1,IF($I2137&lt;=1,2,0))</f>
        <v>0</v>
      </c>
      <c r="K2137">
        <v>0</v>
      </c>
      <c r="L2137">
        <f>IF(AND($J2137=0,$K2137=0),0,1)</f>
        <v>0</v>
      </c>
    </row>
    <row r="2138" spans="1:13" x14ac:dyDescent="0.2">
      <c r="A2138" t="s">
        <v>672</v>
      </c>
      <c r="B2138" t="s">
        <v>6</v>
      </c>
      <c r="C2138" t="s">
        <v>9</v>
      </c>
      <c r="D2138">
        <v>3324</v>
      </c>
      <c r="E2138">
        <v>2019</v>
      </c>
      <c r="F2138">
        <v>1</v>
      </c>
      <c r="G2138">
        <v>42347</v>
      </c>
      <c r="H2138" s="1">
        <v>3</v>
      </c>
      <c r="I2138">
        <v>203</v>
      </c>
      <c r="J2138">
        <f>IF($H2138=0,1,IF($I2138&lt;=1,2,0))</f>
        <v>0</v>
      </c>
      <c r="K2138">
        <v>0</v>
      </c>
      <c r="L2138">
        <f>IF(AND($J2138=0,$K2138=0),0,1)</f>
        <v>0</v>
      </c>
      <c r="M2138" t="s">
        <v>675</v>
      </c>
    </row>
    <row r="2139" spans="1:13" x14ac:dyDescent="0.2">
      <c r="A2139" t="s">
        <v>672</v>
      </c>
      <c r="B2139" t="s">
        <v>6</v>
      </c>
      <c r="C2139" t="s">
        <v>9</v>
      </c>
      <c r="D2139">
        <v>3900</v>
      </c>
      <c r="E2139">
        <v>2019</v>
      </c>
      <c r="F2139">
        <v>1</v>
      </c>
      <c r="G2139">
        <v>42258</v>
      </c>
      <c r="H2139" s="1">
        <v>4</v>
      </c>
      <c r="I2139">
        <v>16</v>
      </c>
      <c r="J2139">
        <f>IF($H2139=0,1,IF($I2139&lt;=1,2,0))</f>
        <v>0</v>
      </c>
      <c r="K2139">
        <v>0</v>
      </c>
      <c r="L2139">
        <f>IF(AND($J2139=0,$K2139=0),0,1)</f>
        <v>0</v>
      </c>
    </row>
    <row r="2140" spans="1:13" x14ac:dyDescent="0.2">
      <c r="A2140" t="s">
        <v>672</v>
      </c>
      <c r="B2140" t="s">
        <v>6</v>
      </c>
      <c r="C2140" t="s">
        <v>9</v>
      </c>
      <c r="D2140">
        <v>3920</v>
      </c>
      <c r="E2140">
        <v>2019</v>
      </c>
      <c r="F2140">
        <v>1</v>
      </c>
      <c r="G2140">
        <v>14067</v>
      </c>
      <c r="H2140" s="1">
        <v>4</v>
      </c>
      <c r="I2140">
        <v>16</v>
      </c>
      <c r="J2140">
        <f>IF($H2140=0,1,IF($I2140&lt;=1,2,0))</f>
        <v>0</v>
      </c>
      <c r="K2140">
        <v>0</v>
      </c>
      <c r="L2140">
        <f>IF(AND($J2140=0,$K2140=0),0,1)</f>
        <v>0</v>
      </c>
    </row>
    <row r="2141" spans="1:13" x14ac:dyDescent="0.2">
      <c r="A2141" t="s">
        <v>672</v>
      </c>
      <c r="B2141" t="s">
        <v>6</v>
      </c>
      <c r="C2141" t="s">
        <v>9</v>
      </c>
      <c r="D2141">
        <v>3926</v>
      </c>
      <c r="E2141">
        <v>2019</v>
      </c>
      <c r="F2141">
        <v>1</v>
      </c>
      <c r="G2141">
        <v>15483</v>
      </c>
      <c r="H2141" s="1">
        <v>4</v>
      </c>
      <c r="I2141">
        <v>16</v>
      </c>
      <c r="J2141">
        <f>IF($H2141=0,1,IF($I2141&lt;=1,2,0))</f>
        <v>0</v>
      </c>
      <c r="K2141">
        <v>0</v>
      </c>
      <c r="L2141">
        <f>IF(AND($J2141=0,$K2141=0),0,1)</f>
        <v>0</v>
      </c>
    </row>
    <row r="2142" spans="1:13" x14ac:dyDescent="0.2">
      <c r="A2142" t="s">
        <v>672</v>
      </c>
      <c r="B2142" t="s">
        <v>6</v>
      </c>
      <c r="C2142" t="s">
        <v>9</v>
      </c>
      <c r="D2142">
        <v>3937</v>
      </c>
      <c r="E2142">
        <v>2019</v>
      </c>
      <c r="F2142">
        <v>1</v>
      </c>
      <c r="G2142">
        <v>17807</v>
      </c>
      <c r="H2142" s="1">
        <v>4</v>
      </c>
      <c r="I2142">
        <v>8</v>
      </c>
      <c r="J2142">
        <f>IF($H2142=0,1,IF($I2142&lt;=1,2,0))</f>
        <v>0</v>
      </c>
      <c r="K2142">
        <v>0</v>
      </c>
      <c r="L2142">
        <f>IF(AND($J2142=0,$K2142=0),0,1)</f>
        <v>0</v>
      </c>
    </row>
    <row r="2143" spans="1:13" x14ac:dyDescent="0.2">
      <c r="A2143" t="s">
        <v>672</v>
      </c>
      <c r="B2143" t="s">
        <v>6</v>
      </c>
      <c r="C2143" t="s">
        <v>9</v>
      </c>
      <c r="D2143">
        <v>3944</v>
      </c>
      <c r="E2143">
        <v>2019</v>
      </c>
      <c r="F2143">
        <v>1</v>
      </c>
      <c r="G2143">
        <v>13183</v>
      </c>
      <c r="H2143" s="1">
        <v>4</v>
      </c>
      <c r="I2143">
        <v>12</v>
      </c>
      <c r="J2143">
        <f>IF($H2143=0,1,IF($I2143&lt;=1,2,0))</f>
        <v>0</v>
      </c>
      <c r="K2143">
        <v>0</v>
      </c>
      <c r="L2143">
        <f>IF(AND($J2143=0,$K2143=0),0,1)</f>
        <v>0</v>
      </c>
    </row>
    <row r="2144" spans="1:13" x14ac:dyDescent="0.2">
      <c r="A2144" t="s">
        <v>672</v>
      </c>
      <c r="B2144" t="s">
        <v>6</v>
      </c>
      <c r="C2144" t="s">
        <v>9</v>
      </c>
      <c r="D2144">
        <v>3974</v>
      </c>
      <c r="E2144">
        <v>2019</v>
      </c>
      <c r="F2144">
        <v>1</v>
      </c>
      <c r="G2144">
        <v>13380</v>
      </c>
      <c r="H2144" s="1">
        <v>4</v>
      </c>
      <c r="I2144">
        <v>14</v>
      </c>
      <c r="J2144">
        <f>IF($H2144=0,1,IF($I2144&lt;=1,2,0))</f>
        <v>0</v>
      </c>
      <c r="K2144">
        <v>0</v>
      </c>
      <c r="L2144">
        <f>IF(AND($J2144=0,$K2144=0),0,1)</f>
        <v>0</v>
      </c>
    </row>
    <row r="2145" spans="1:13" x14ac:dyDescent="0.2">
      <c r="A2145" t="s">
        <v>672</v>
      </c>
      <c r="B2145" t="s">
        <v>6</v>
      </c>
      <c r="C2145" t="s">
        <v>9</v>
      </c>
      <c r="D2145">
        <v>3996</v>
      </c>
      <c r="E2145">
        <v>2019</v>
      </c>
      <c r="F2145">
        <v>1</v>
      </c>
      <c r="G2145">
        <v>42361</v>
      </c>
      <c r="H2145" s="1" t="s">
        <v>1824</v>
      </c>
      <c r="I2145">
        <v>11</v>
      </c>
      <c r="J2145">
        <f>IF($H2145=0,1,IF($I2145&lt;=1,2,0))</f>
        <v>0</v>
      </c>
      <c r="K2145">
        <v>0</v>
      </c>
      <c r="L2145">
        <f>IF(AND($J2145=0,$K2145=0),0,1)</f>
        <v>0</v>
      </c>
    </row>
    <row r="2146" spans="1:13" x14ac:dyDescent="0.2">
      <c r="A2146" t="s">
        <v>672</v>
      </c>
      <c r="B2146" t="s">
        <v>6</v>
      </c>
      <c r="C2146" t="s">
        <v>11</v>
      </c>
      <c r="D2146">
        <v>4043</v>
      </c>
      <c r="E2146">
        <v>2019</v>
      </c>
      <c r="F2146">
        <v>1</v>
      </c>
      <c r="G2146">
        <v>42271</v>
      </c>
      <c r="H2146" s="1">
        <v>1</v>
      </c>
      <c r="I2146">
        <v>5</v>
      </c>
      <c r="J2146">
        <f>IF($H2146=0,1,IF($I2146&lt;=1,2,0))</f>
        <v>0</v>
      </c>
      <c r="K2146">
        <v>0</v>
      </c>
      <c r="L2146">
        <f>IF(AND($J2146=0,$K2146=0),0,1)</f>
        <v>0</v>
      </c>
    </row>
    <row r="2147" spans="1:13" x14ac:dyDescent="0.2">
      <c r="A2147" t="s">
        <v>672</v>
      </c>
      <c r="B2147" t="s">
        <v>6</v>
      </c>
      <c r="C2147" t="s">
        <v>11</v>
      </c>
      <c r="D2147">
        <v>4370</v>
      </c>
      <c r="E2147">
        <v>2019</v>
      </c>
      <c r="F2147">
        <v>1</v>
      </c>
      <c r="G2147">
        <v>42385</v>
      </c>
      <c r="H2147" s="1">
        <v>3</v>
      </c>
      <c r="I2147">
        <v>13</v>
      </c>
      <c r="J2147">
        <f>IF($H2147=0,1,IF($I2147&lt;=1,2,0))</f>
        <v>0</v>
      </c>
      <c r="K2147">
        <v>0</v>
      </c>
      <c r="L2147">
        <f>IF(AND($J2147=0,$K2147=0),0,1)</f>
        <v>0</v>
      </c>
    </row>
    <row r="2148" spans="1:13" x14ac:dyDescent="0.2">
      <c r="A2148" t="s">
        <v>672</v>
      </c>
      <c r="B2148" t="s">
        <v>6</v>
      </c>
      <c r="C2148" t="s">
        <v>9</v>
      </c>
      <c r="D2148">
        <v>4411</v>
      </c>
      <c r="E2148">
        <v>2019</v>
      </c>
      <c r="F2148">
        <v>1</v>
      </c>
      <c r="G2148">
        <v>10178</v>
      </c>
      <c r="H2148" s="1">
        <v>3</v>
      </c>
      <c r="I2148">
        <v>5</v>
      </c>
      <c r="J2148">
        <f>IF($H2148=0,1,IF($I2148&lt;=1,2,0))</f>
        <v>0</v>
      </c>
      <c r="K2148">
        <v>0</v>
      </c>
      <c r="L2148">
        <f>IF(AND($J2148=0,$K2148=0),0,1)</f>
        <v>0</v>
      </c>
    </row>
    <row r="2149" spans="1:13" x14ac:dyDescent="0.2">
      <c r="A2149" t="s">
        <v>672</v>
      </c>
      <c r="B2149" t="s">
        <v>6</v>
      </c>
      <c r="C2149" t="s">
        <v>9</v>
      </c>
      <c r="D2149">
        <v>4600</v>
      </c>
      <c r="E2149">
        <v>2019</v>
      </c>
      <c r="F2149">
        <v>1</v>
      </c>
      <c r="G2149">
        <v>42275</v>
      </c>
      <c r="H2149" s="1">
        <v>4</v>
      </c>
      <c r="I2149">
        <v>19</v>
      </c>
      <c r="J2149">
        <f>IF($H2149=0,1,IF($I2149&lt;=1,2,0))</f>
        <v>0</v>
      </c>
      <c r="K2149">
        <v>0</v>
      </c>
      <c r="L2149">
        <f>IF(AND($J2149=0,$K2149=0),0,1)</f>
        <v>0</v>
      </c>
    </row>
    <row r="2150" spans="1:13" x14ac:dyDescent="0.2">
      <c r="A2150" t="s">
        <v>672</v>
      </c>
      <c r="B2150" t="s">
        <v>6</v>
      </c>
      <c r="C2150" t="s">
        <v>11</v>
      </c>
      <c r="D2150">
        <v>6051</v>
      </c>
      <c r="E2150">
        <v>2019</v>
      </c>
      <c r="F2150">
        <v>1</v>
      </c>
      <c r="G2150">
        <v>42348</v>
      </c>
      <c r="H2150" s="1">
        <v>3</v>
      </c>
      <c r="I2150">
        <v>9</v>
      </c>
      <c r="J2150">
        <f>IF($H2150=0,1,IF($I2150&lt;=1,2,0))</f>
        <v>0</v>
      </c>
      <c r="K2150">
        <v>0</v>
      </c>
      <c r="L2150">
        <f>IF(AND($J2150=0,$K2150=0),0,1)</f>
        <v>0</v>
      </c>
      <c r="M2150" t="s">
        <v>681</v>
      </c>
    </row>
    <row r="2151" spans="1:13" x14ac:dyDescent="0.2">
      <c r="A2151" t="s">
        <v>672</v>
      </c>
      <c r="B2151" t="s">
        <v>6</v>
      </c>
      <c r="C2151" t="s">
        <v>11</v>
      </c>
      <c r="D2151">
        <v>6081</v>
      </c>
      <c r="E2151">
        <v>2019</v>
      </c>
      <c r="F2151">
        <v>1</v>
      </c>
      <c r="G2151">
        <v>42401</v>
      </c>
      <c r="H2151" s="1">
        <v>4</v>
      </c>
      <c r="I2151">
        <v>12</v>
      </c>
      <c r="J2151">
        <f>IF($H2151=0,1,IF($I2151&lt;=1,2,0))</f>
        <v>0</v>
      </c>
      <c r="K2151">
        <v>0</v>
      </c>
      <c r="L2151">
        <f>IF(AND($J2151=0,$K2151=0),0,1)</f>
        <v>0</v>
      </c>
    </row>
    <row r="2152" spans="1:13" x14ac:dyDescent="0.2">
      <c r="A2152" t="s">
        <v>672</v>
      </c>
      <c r="B2152" t="s">
        <v>6</v>
      </c>
      <c r="C2152" t="s">
        <v>11</v>
      </c>
      <c r="D2152">
        <v>6097</v>
      </c>
      <c r="E2152">
        <v>2019</v>
      </c>
      <c r="F2152">
        <v>1</v>
      </c>
      <c r="G2152">
        <v>42391</v>
      </c>
      <c r="H2152" s="1">
        <v>4</v>
      </c>
      <c r="I2152">
        <v>9</v>
      </c>
      <c r="J2152">
        <f>IF($H2152=0,1,IF($I2152&lt;=1,2,0))</f>
        <v>0</v>
      </c>
      <c r="K2152">
        <v>0</v>
      </c>
      <c r="L2152">
        <f>IF(AND($J2152=0,$K2152=0),0,1)</f>
        <v>0</v>
      </c>
      <c r="M2152" t="s">
        <v>681</v>
      </c>
    </row>
    <row r="2153" spans="1:13" x14ac:dyDescent="0.2">
      <c r="A2153" t="s">
        <v>672</v>
      </c>
      <c r="B2153" t="s">
        <v>6</v>
      </c>
      <c r="C2153" t="s">
        <v>11</v>
      </c>
      <c r="D2153">
        <v>6200</v>
      </c>
      <c r="E2153">
        <v>2019</v>
      </c>
      <c r="F2153">
        <v>1</v>
      </c>
      <c r="G2153">
        <v>42402</v>
      </c>
      <c r="H2153" s="1">
        <v>3</v>
      </c>
      <c r="I2153">
        <v>11</v>
      </c>
      <c r="J2153">
        <f>IF($H2153=0,1,IF($I2153&lt;=1,2,0))</f>
        <v>0</v>
      </c>
      <c r="K2153">
        <v>0</v>
      </c>
      <c r="L2153">
        <f>IF(AND($J2153=0,$K2153=0),0,1)</f>
        <v>0</v>
      </c>
    </row>
    <row r="2154" spans="1:13" x14ac:dyDescent="0.2">
      <c r="A2154" t="s">
        <v>672</v>
      </c>
      <c r="B2154" t="s">
        <v>6</v>
      </c>
      <c r="C2154" t="s">
        <v>11</v>
      </c>
      <c r="D2154">
        <v>8610</v>
      </c>
      <c r="E2154">
        <v>2019</v>
      </c>
      <c r="F2154">
        <v>1</v>
      </c>
      <c r="G2154">
        <v>10664</v>
      </c>
      <c r="H2154" s="1">
        <v>3</v>
      </c>
      <c r="I2154">
        <v>4</v>
      </c>
      <c r="J2154">
        <f>IF($H2154=0,1,IF($I2154&lt;=1,2,0))</f>
        <v>0</v>
      </c>
      <c r="K2154">
        <v>0</v>
      </c>
      <c r="L2154">
        <f>IF(AND($J2154=0,$K2154=0),0,1)</f>
        <v>0</v>
      </c>
    </row>
    <row r="2155" spans="1:13" x14ac:dyDescent="0.2">
      <c r="A2155" t="s">
        <v>685</v>
      </c>
      <c r="B2155" t="s">
        <v>17</v>
      </c>
      <c r="C2155" t="s">
        <v>9</v>
      </c>
      <c r="D2155">
        <v>1101</v>
      </c>
      <c r="E2155">
        <v>2019</v>
      </c>
      <c r="F2155">
        <v>20</v>
      </c>
      <c r="G2155">
        <v>9666</v>
      </c>
      <c r="H2155" s="1">
        <v>4</v>
      </c>
      <c r="I2155">
        <v>17</v>
      </c>
      <c r="J2155">
        <f>IF($H2155=0,1,IF($I2155&lt;=1,2,0))</f>
        <v>0</v>
      </c>
      <c r="K2155">
        <v>0</v>
      </c>
      <c r="L2155">
        <f>IF(AND($J2155=0,$K2155=0),0,1)</f>
        <v>0</v>
      </c>
    </row>
    <row r="2156" spans="1:13" x14ac:dyDescent="0.2">
      <c r="A2156" t="s">
        <v>685</v>
      </c>
      <c r="B2156" t="s">
        <v>17</v>
      </c>
      <c r="C2156" t="s">
        <v>9</v>
      </c>
      <c r="D2156">
        <v>1101</v>
      </c>
      <c r="E2156">
        <v>2019</v>
      </c>
      <c r="F2156">
        <v>7</v>
      </c>
      <c r="G2156">
        <v>10117</v>
      </c>
      <c r="H2156" s="1">
        <v>4</v>
      </c>
      <c r="I2156">
        <v>16</v>
      </c>
      <c r="J2156">
        <f>IF($H2156=0,1,IF($I2156&lt;=1,2,0))</f>
        <v>0</v>
      </c>
      <c r="K2156">
        <v>0</v>
      </c>
      <c r="L2156">
        <f>IF(AND($J2156=0,$K2156=0),0,1)</f>
        <v>0</v>
      </c>
      <c r="M2156" t="s">
        <v>1966</v>
      </c>
    </row>
    <row r="2157" spans="1:13" x14ac:dyDescent="0.2">
      <c r="A2157" t="s">
        <v>685</v>
      </c>
      <c r="B2157" t="s">
        <v>17</v>
      </c>
      <c r="C2157" t="s">
        <v>9</v>
      </c>
      <c r="D2157">
        <v>1101</v>
      </c>
      <c r="E2157">
        <v>2019</v>
      </c>
      <c r="F2157">
        <v>22</v>
      </c>
      <c r="G2157">
        <v>9668</v>
      </c>
      <c r="H2157" s="1">
        <v>4</v>
      </c>
      <c r="I2157">
        <v>16</v>
      </c>
      <c r="J2157">
        <f>IF($H2157=0,1,IF($I2157&lt;=1,2,0))</f>
        <v>0</v>
      </c>
      <c r="K2157">
        <v>0</v>
      </c>
      <c r="L2157">
        <f>IF(AND($J2157=0,$K2157=0),0,1)</f>
        <v>0</v>
      </c>
    </row>
    <row r="2158" spans="1:13" x14ac:dyDescent="0.2">
      <c r="A2158" t="s">
        <v>685</v>
      </c>
      <c r="B2158" t="s">
        <v>17</v>
      </c>
      <c r="C2158" t="s">
        <v>9</v>
      </c>
      <c r="D2158">
        <v>1101</v>
      </c>
      <c r="E2158">
        <v>2019</v>
      </c>
      <c r="F2158">
        <v>1</v>
      </c>
      <c r="G2158">
        <v>10111</v>
      </c>
      <c r="H2158" s="1">
        <v>4</v>
      </c>
      <c r="I2158">
        <v>15</v>
      </c>
      <c r="J2158">
        <f>IF($H2158=0,1,IF($I2158&lt;=1,2,0))</f>
        <v>0</v>
      </c>
      <c r="K2158">
        <v>0</v>
      </c>
      <c r="L2158">
        <f>IF(AND($J2158=0,$K2158=0),0,1)</f>
        <v>0</v>
      </c>
      <c r="M2158" t="s">
        <v>1966</v>
      </c>
    </row>
    <row r="2159" spans="1:13" x14ac:dyDescent="0.2">
      <c r="A2159" t="s">
        <v>685</v>
      </c>
      <c r="B2159" t="s">
        <v>17</v>
      </c>
      <c r="C2159" t="s">
        <v>9</v>
      </c>
      <c r="D2159">
        <v>1101</v>
      </c>
      <c r="E2159">
        <v>2019</v>
      </c>
      <c r="F2159">
        <v>4</v>
      </c>
      <c r="G2159">
        <v>10114</v>
      </c>
      <c r="H2159" s="1">
        <v>4</v>
      </c>
      <c r="I2159">
        <v>15</v>
      </c>
      <c r="J2159">
        <f>IF($H2159=0,1,IF($I2159&lt;=1,2,0))</f>
        <v>0</v>
      </c>
      <c r="K2159">
        <v>0</v>
      </c>
      <c r="L2159">
        <f>IF(AND($J2159=0,$K2159=0),0,1)</f>
        <v>0</v>
      </c>
      <c r="M2159" t="s">
        <v>1966</v>
      </c>
    </row>
    <row r="2160" spans="1:13" x14ac:dyDescent="0.2">
      <c r="A2160" t="s">
        <v>685</v>
      </c>
      <c r="B2160" t="s">
        <v>17</v>
      </c>
      <c r="C2160" t="s">
        <v>9</v>
      </c>
      <c r="D2160">
        <v>1101</v>
      </c>
      <c r="E2160">
        <v>2019</v>
      </c>
      <c r="F2160">
        <v>5</v>
      </c>
      <c r="G2160">
        <v>10115</v>
      </c>
      <c r="H2160" s="1">
        <v>4</v>
      </c>
      <c r="I2160">
        <v>15</v>
      </c>
      <c r="J2160">
        <f>IF($H2160=0,1,IF($I2160&lt;=1,2,0))</f>
        <v>0</v>
      </c>
      <c r="K2160">
        <v>0</v>
      </c>
      <c r="L2160">
        <f>IF(AND($J2160=0,$K2160=0),0,1)</f>
        <v>0</v>
      </c>
      <c r="M2160" t="s">
        <v>1966</v>
      </c>
    </row>
    <row r="2161" spans="1:13" x14ac:dyDescent="0.2">
      <c r="A2161" t="s">
        <v>685</v>
      </c>
      <c r="B2161" t="s">
        <v>17</v>
      </c>
      <c r="C2161" t="s">
        <v>9</v>
      </c>
      <c r="D2161">
        <v>1101</v>
      </c>
      <c r="E2161">
        <v>2019</v>
      </c>
      <c r="F2161">
        <v>6</v>
      </c>
      <c r="G2161">
        <v>10116</v>
      </c>
      <c r="H2161" s="1">
        <v>4</v>
      </c>
      <c r="I2161">
        <v>15</v>
      </c>
      <c r="J2161">
        <f>IF($H2161=0,1,IF($I2161&lt;=1,2,0))</f>
        <v>0</v>
      </c>
      <c r="K2161">
        <v>0</v>
      </c>
      <c r="L2161">
        <f>IF(AND($J2161=0,$K2161=0),0,1)</f>
        <v>0</v>
      </c>
      <c r="M2161" t="s">
        <v>1966</v>
      </c>
    </row>
    <row r="2162" spans="1:13" x14ac:dyDescent="0.2">
      <c r="A2162" t="s">
        <v>685</v>
      </c>
      <c r="B2162" t="s">
        <v>17</v>
      </c>
      <c r="C2162" t="s">
        <v>9</v>
      </c>
      <c r="D2162">
        <v>1101</v>
      </c>
      <c r="E2162">
        <v>2019</v>
      </c>
      <c r="F2162">
        <v>8</v>
      </c>
      <c r="G2162">
        <v>10118</v>
      </c>
      <c r="H2162" s="1">
        <v>4</v>
      </c>
      <c r="I2162">
        <v>15</v>
      </c>
      <c r="J2162">
        <f>IF($H2162=0,1,IF($I2162&lt;=1,2,0))</f>
        <v>0</v>
      </c>
      <c r="K2162">
        <v>0</v>
      </c>
      <c r="L2162">
        <f>IF(AND($J2162=0,$K2162=0),0,1)</f>
        <v>0</v>
      </c>
      <c r="M2162" t="s">
        <v>1966</v>
      </c>
    </row>
    <row r="2163" spans="1:13" x14ac:dyDescent="0.2">
      <c r="A2163" t="s">
        <v>685</v>
      </c>
      <c r="B2163" t="s">
        <v>17</v>
      </c>
      <c r="C2163" t="s">
        <v>9</v>
      </c>
      <c r="D2163">
        <v>1101</v>
      </c>
      <c r="E2163">
        <v>2019</v>
      </c>
      <c r="F2163">
        <v>9</v>
      </c>
      <c r="G2163">
        <v>10119</v>
      </c>
      <c r="H2163" s="1">
        <v>4</v>
      </c>
      <c r="I2163">
        <v>15</v>
      </c>
      <c r="J2163">
        <f>IF($H2163=0,1,IF($I2163&lt;=1,2,0))</f>
        <v>0</v>
      </c>
      <c r="K2163">
        <v>0</v>
      </c>
      <c r="L2163">
        <f>IF(AND($J2163=0,$K2163=0),0,1)</f>
        <v>0</v>
      </c>
      <c r="M2163" t="s">
        <v>1966</v>
      </c>
    </row>
    <row r="2164" spans="1:13" x14ac:dyDescent="0.2">
      <c r="A2164" t="s">
        <v>685</v>
      </c>
      <c r="B2164" t="s">
        <v>17</v>
      </c>
      <c r="C2164" t="s">
        <v>9</v>
      </c>
      <c r="D2164">
        <v>1101</v>
      </c>
      <c r="E2164">
        <v>2019</v>
      </c>
      <c r="F2164">
        <v>3</v>
      </c>
      <c r="G2164">
        <v>10113</v>
      </c>
      <c r="H2164" s="1">
        <v>4</v>
      </c>
      <c r="I2164">
        <v>14</v>
      </c>
      <c r="J2164">
        <f>IF($H2164=0,1,IF($I2164&lt;=1,2,0))</f>
        <v>0</v>
      </c>
      <c r="K2164">
        <v>0</v>
      </c>
      <c r="L2164">
        <f>IF(AND($J2164=0,$K2164=0),0,1)</f>
        <v>0</v>
      </c>
      <c r="M2164" t="s">
        <v>1966</v>
      </c>
    </row>
    <row r="2165" spans="1:13" x14ac:dyDescent="0.2">
      <c r="A2165" t="s">
        <v>685</v>
      </c>
      <c r="B2165" t="s">
        <v>17</v>
      </c>
      <c r="C2165" t="s">
        <v>9</v>
      </c>
      <c r="D2165">
        <v>1101</v>
      </c>
      <c r="E2165">
        <v>2019</v>
      </c>
      <c r="F2165">
        <v>21</v>
      </c>
      <c r="G2165">
        <v>9667</v>
      </c>
      <c r="H2165" s="1">
        <v>4</v>
      </c>
      <c r="I2165">
        <v>14</v>
      </c>
      <c r="J2165">
        <f>IF($H2165=0,1,IF($I2165&lt;=1,2,0))</f>
        <v>0</v>
      </c>
      <c r="K2165">
        <v>0</v>
      </c>
      <c r="L2165">
        <f>IF(AND($J2165=0,$K2165=0),0,1)</f>
        <v>0</v>
      </c>
    </row>
    <row r="2166" spans="1:13" x14ac:dyDescent="0.2">
      <c r="A2166" t="s">
        <v>685</v>
      </c>
      <c r="B2166" t="s">
        <v>17</v>
      </c>
      <c r="C2166" t="s">
        <v>9</v>
      </c>
      <c r="D2166">
        <v>1101</v>
      </c>
      <c r="E2166">
        <v>2019</v>
      </c>
      <c r="F2166">
        <v>2</v>
      </c>
      <c r="G2166">
        <v>10112</v>
      </c>
      <c r="H2166" s="1">
        <v>4</v>
      </c>
      <c r="I2166">
        <v>13</v>
      </c>
      <c r="J2166">
        <f>IF($H2166=0,1,IF($I2166&lt;=1,2,0))</f>
        <v>0</v>
      </c>
      <c r="K2166">
        <v>0</v>
      </c>
      <c r="L2166">
        <f>IF(AND($J2166=0,$K2166=0),0,1)</f>
        <v>0</v>
      </c>
      <c r="M2166" t="s">
        <v>1966</v>
      </c>
    </row>
    <row r="2167" spans="1:13" x14ac:dyDescent="0.2">
      <c r="A2167" t="s">
        <v>685</v>
      </c>
      <c r="B2167" t="s">
        <v>17</v>
      </c>
      <c r="C2167" t="s">
        <v>9</v>
      </c>
      <c r="D2167">
        <v>1101</v>
      </c>
      <c r="E2167">
        <v>2019</v>
      </c>
      <c r="F2167">
        <v>10</v>
      </c>
      <c r="G2167">
        <v>10120</v>
      </c>
      <c r="H2167" s="1">
        <v>4</v>
      </c>
      <c r="I2167">
        <v>13</v>
      </c>
      <c r="J2167">
        <f>IF($H2167=0,1,IF($I2167&lt;=1,2,0))</f>
        <v>0</v>
      </c>
      <c r="K2167">
        <v>0</v>
      </c>
      <c r="L2167">
        <f>IF(AND($J2167=0,$K2167=0),0,1)</f>
        <v>0</v>
      </c>
      <c r="M2167" t="s">
        <v>1966</v>
      </c>
    </row>
    <row r="2168" spans="1:13" x14ac:dyDescent="0.2">
      <c r="A2168" t="s">
        <v>685</v>
      </c>
      <c r="B2168" t="s">
        <v>17</v>
      </c>
      <c r="C2168" t="s">
        <v>9</v>
      </c>
      <c r="D2168">
        <v>1102</v>
      </c>
      <c r="E2168">
        <v>2019</v>
      </c>
      <c r="F2168">
        <v>1</v>
      </c>
      <c r="G2168">
        <v>10124</v>
      </c>
      <c r="H2168" s="1">
        <v>4</v>
      </c>
      <c r="I2168">
        <v>15</v>
      </c>
      <c r="J2168">
        <f>IF($H2168=0,1,IF($I2168&lt;=1,2,0))</f>
        <v>0</v>
      </c>
      <c r="K2168">
        <v>0</v>
      </c>
      <c r="L2168">
        <f>IF(AND($J2168=0,$K2168=0),0,1)</f>
        <v>0</v>
      </c>
      <c r="M2168" t="s">
        <v>1967</v>
      </c>
    </row>
    <row r="2169" spans="1:13" x14ac:dyDescent="0.2">
      <c r="A2169" t="s">
        <v>685</v>
      </c>
      <c r="B2169" t="s">
        <v>17</v>
      </c>
      <c r="C2169" t="s">
        <v>9</v>
      </c>
      <c r="D2169">
        <v>1102</v>
      </c>
      <c r="E2169">
        <v>2019</v>
      </c>
      <c r="F2169">
        <v>2</v>
      </c>
      <c r="G2169">
        <v>10125</v>
      </c>
      <c r="H2169" s="1">
        <v>4</v>
      </c>
      <c r="I2169">
        <v>15</v>
      </c>
      <c r="J2169">
        <f>IF($H2169=0,1,IF($I2169&lt;=1,2,0))</f>
        <v>0</v>
      </c>
      <c r="K2169">
        <v>0</v>
      </c>
      <c r="L2169">
        <f>IF(AND($J2169=0,$K2169=0),0,1)</f>
        <v>0</v>
      </c>
      <c r="M2169" t="s">
        <v>1967</v>
      </c>
    </row>
    <row r="2170" spans="1:13" x14ac:dyDescent="0.2">
      <c r="A2170" t="s">
        <v>685</v>
      </c>
      <c r="B2170" t="s">
        <v>17</v>
      </c>
      <c r="C2170" t="s">
        <v>9</v>
      </c>
      <c r="D2170">
        <v>1102</v>
      </c>
      <c r="E2170">
        <v>2019</v>
      </c>
      <c r="F2170">
        <v>3</v>
      </c>
      <c r="G2170">
        <v>10126</v>
      </c>
      <c r="H2170" s="1">
        <v>4</v>
      </c>
      <c r="I2170">
        <v>15</v>
      </c>
      <c r="J2170">
        <f>IF($H2170=0,1,IF($I2170&lt;=1,2,0))</f>
        <v>0</v>
      </c>
      <c r="K2170">
        <v>0</v>
      </c>
      <c r="L2170">
        <f>IF(AND($J2170=0,$K2170=0),0,1)</f>
        <v>0</v>
      </c>
      <c r="M2170" t="s">
        <v>1967</v>
      </c>
    </row>
    <row r="2171" spans="1:13" x14ac:dyDescent="0.2">
      <c r="A2171" t="s">
        <v>685</v>
      </c>
      <c r="B2171" t="s">
        <v>17</v>
      </c>
      <c r="C2171" t="s">
        <v>9</v>
      </c>
      <c r="D2171">
        <v>1102</v>
      </c>
      <c r="E2171">
        <v>2019</v>
      </c>
      <c r="F2171">
        <v>5</v>
      </c>
      <c r="G2171">
        <v>10128</v>
      </c>
      <c r="H2171" s="1">
        <v>4</v>
      </c>
      <c r="I2171">
        <v>15</v>
      </c>
      <c r="J2171">
        <f>IF($H2171=0,1,IF($I2171&lt;=1,2,0))</f>
        <v>0</v>
      </c>
      <c r="K2171">
        <v>0</v>
      </c>
      <c r="L2171">
        <f>IF(AND($J2171=0,$K2171=0),0,1)</f>
        <v>0</v>
      </c>
      <c r="M2171" t="s">
        <v>1967</v>
      </c>
    </row>
    <row r="2172" spans="1:13" x14ac:dyDescent="0.2">
      <c r="A2172" t="s">
        <v>685</v>
      </c>
      <c r="B2172" t="s">
        <v>17</v>
      </c>
      <c r="C2172" t="s">
        <v>9</v>
      </c>
      <c r="D2172">
        <v>1102</v>
      </c>
      <c r="E2172">
        <v>2019</v>
      </c>
      <c r="F2172">
        <v>6</v>
      </c>
      <c r="G2172">
        <v>10129</v>
      </c>
      <c r="H2172" s="1">
        <v>4</v>
      </c>
      <c r="I2172">
        <v>15</v>
      </c>
      <c r="J2172">
        <f>IF($H2172=0,1,IF($I2172&lt;=1,2,0))</f>
        <v>0</v>
      </c>
      <c r="K2172">
        <v>0</v>
      </c>
      <c r="L2172">
        <f>IF(AND($J2172=0,$K2172=0),0,1)</f>
        <v>0</v>
      </c>
      <c r="M2172" t="s">
        <v>1967</v>
      </c>
    </row>
    <row r="2173" spans="1:13" x14ac:dyDescent="0.2">
      <c r="A2173" t="s">
        <v>685</v>
      </c>
      <c r="B2173" t="s">
        <v>17</v>
      </c>
      <c r="C2173" t="s">
        <v>9</v>
      </c>
      <c r="D2173">
        <v>1102</v>
      </c>
      <c r="E2173">
        <v>2019</v>
      </c>
      <c r="F2173">
        <v>8</v>
      </c>
      <c r="G2173">
        <v>10132</v>
      </c>
      <c r="H2173" s="1">
        <v>4</v>
      </c>
      <c r="I2173">
        <v>15</v>
      </c>
      <c r="J2173">
        <f>IF($H2173=0,1,IF($I2173&lt;=1,2,0))</f>
        <v>0</v>
      </c>
      <c r="K2173">
        <v>0</v>
      </c>
      <c r="L2173">
        <f>IF(AND($J2173=0,$K2173=0),0,1)</f>
        <v>0</v>
      </c>
      <c r="M2173" t="s">
        <v>1967</v>
      </c>
    </row>
    <row r="2174" spans="1:13" x14ac:dyDescent="0.2">
      <c r="A2174" t="s">
        <v>685</v>
      </c>
      <c r="B2174" t="s">
        <v>17</v>
      </c>
      <c r="C2174" t="s">
        <v>9</v>
      </c>
      <c r="D2174">
        <v>1102</v>
      </c>
      <c r="E2174">
        <v>2019</v>
      </c>
      <c r="F2174">
        <v>9</v>
      </c>
      <c r="G2174">
        <v>10133</v>
      </c>
      <c r="H2174" s="1">
        <v>4</v>
      </c>
      <c r="I2174">
        <v>15</v>
      </c>
      <c r="J2174">
        <f>IF($H2174=0,1,IF($I2174&lt;=1,2,0))</f>
        <v>0</v>
      </c>
      <c r="K2174">
        <v>0</v>
      </c>
      <c r="L2174">
        <f>IF(AND($J2174=0,$K2174=0),0,1)</f>
        <v>0</v>
      </c>
      <c r="M2174" t="s">
        <v>1967</v>
      </c>
    </row>
    <row r="2175" spans="1:13" x14ac:dyDescent="0.2">
      <c r="A2175" t="s">
        <v>685</v>
      </c>
      <c r="B2175" t="s">
        <v>17</v>
      </c>
      <c r="C2175" t="s">
        <v>9</v>
      </c>
      <c r="D2175">
        <v>1102</v>
      </c>
      <c r="E2175">
        <v>2019</v>
      </c>
      <c r="F2175">
        <v>4</v>
      </c>
      <c r="G2175">
        <v>10127</v>
      </c>
      <c r="H2175" s="1">
        <v>4</v>
      </c>
      <c r="I2175">
        <v>14</v>
      </c>
      <c r="J2175">
        <f>IF($H2175=0,1,IF($I2175&lt;=1,2,0))</f>
        <v>0</v>
      </c>
      <c r="K2175">
        <v>0</v>
      </c>
      <c r="L2175">
        <f>IF(AND($J2175=0,$K2175=0),0,1)</f>
        <v>0</v>
      </c>
      <c r="M2175" t="s">
        <v>1967</v>
      </c>
    </row>
    <row r="2176" spans="1:13" x14ac:dyDescent="0.2">
      <c r="A2176" t="s">
        <v>685</v>
      </c>
      <c r="B2176" t="s">
        <v>17</v>
      </c>
      <c r="C2176" t="s">
        <v>9</v>
      </c>
      <c r="D2176">
        <v>1102</v>
      </c>
      <c r="E2176">
        <v>2019</v>
      </c>
      <c r="F2176">
        <v>7</v>
      </c>
      <c r="G2176">
        <v>10131</v>
      </c>
      <c r="H2176" s="1">
        <v>4</v>
      </c>
      <c r="I2176">
        <v>14</v>
      </c>
      <c r="J2176">
        <f>IF($H2176=0,1,IF($I2176&lt;=1,2,0))</f>
        <v>0</v>
      </c>
      <c r="K2176">
        <v>0</v>
      </c>
      <c r="L2176">
        <f>IF(AND($J2176=0,$K2176=0),0,1)</f>
        <v>0</v>
      </c>
      <c r="M2176" t="s">
        <v>1967</v>
      </c>
    </row>
    <row r="2177" spans="1:13" x14ac:dyDescent="0.2">
      <c r="A2177" t="s">
        <v>685</v>
      </c>
      <c r="B2177" t="s">
        <v>17</v>
      </c>
      <c r="C2177" t="s">
        <v>9</v>
      </c>
      <c r="D2177">
        <v>1102</v>
      </c>
      <c r="E2177">
        <v>2019</v>
      </c>
      <c r="F2177">
        <v>20</v>
      </c>
      <c r="G2177">
        <v>9634</v>
      </c>
      <c r="H2177" s="1">
        <v>4</v>
      </c>
      <c r="I2177">
        <v>14</v>
      </c>
      <c r="J2177">
        <f>IF($H2177=0,1,IF($I2177&lt;=1,2,0))</f>
        <v>0</v>
      </c>
      <c r="K2177">
        <v>0</v>
      </c>
      <c r="L2177">
        <f>IF(AND($J2177=0,$K2177=0),0,1)</f>
        <v>0</v>
      </c>
    </row>
    <row r="2178" spans="1:13" x14ac:dyDescent="0.2">
      <c r="A2178" t="s">
        <v>685</v>
      </c>
      <c r="B2178" t="s">
        <v>17</v>
      </c>
      <c r="C2178" t="s">
        <v>9</v>
      </c>
      <c r="D2178">
        <v>1102</v>
      </c>
      <c r="E2178">
        <v>2019</v>
      </c>
      <c r="F2178">
        <v>21</v>
      </c>
      <c r="G2178">
        <v>9635</v>
      </c>
      <c r="H2178" s="1">
        <v>4</v>
      </c>
      <c r="I2178">
        <v>14</v>
      </c>
      <c r="J2178">
        <f>IF($H2178=0,1,IF($I2178&lt;=1,2,0))</f>
        <v>0</v>
      </c>
      <c r="K2178">
        <v>0</v>
      </c>
      <c r="L2178">
        <f>IF(AND($J2178=0,$K2178=0),0,1)</f>
        <v>0</v>
      </c>
    </row>
    <row r="2179" spans="1:13" x14ac:dyDescent="0.2">
      <c r="A2179" t="s">
        <v>685</v>
      </c>
      <c r="B2179" t="s">
        <v>17</v>
      </c>
      <c r="C2179" t="s">
        <v>9</v>
      </c>
      <c r="D2179">
        <v>1120</v>
      </c>
      <c r="E2179">
        <v>2019</v>
      </c>
      <c r="F2179">
        <v>1</v>
      </c>
      <c r="G2179">
        <v>10121</v>
      </c>
      <c r="H2179" s="1">
        <v>4</v>
      </c>
      <c r="I2179">
        <v>10</v>
      </c>
      <c r="J2179">
        <f>IF($H2179=0,1,IF($I2179&lt;=1,2,0))</f>
        <v>0</v>
      </c>
      <c r="K2179">
        <v>0</v>
      </c>
      <c r="L2179">
        <f>IF(AND($J2179=0,$K2179=0),0,1)</f>
        <v>0</v>
      </c>
      <c r="M2179" t="s">
        <v>686</v>
      </c>
    </row>
    <row r="2180" spans="1:13" x14ac:dyDescent="0.2">
      <c r="A2180" t="s">
        <v>685</v>
      </c>
      <c r="B2180" t="s">
        <v>17</v>
      </c>
      <c r="C2180" t="s">
        <v>9</v>
      </c>
      <c r="D2180">
        <v>2101</v>
      </c>
      <c r="E2180">
        <v>2019</v>
      </c>
      <c r="F2180">
        <v>22</v>
      </c>
      <c r="G2180">
        <v>9632</v>
      </c>
      <c r="H2180" s="1">
        <v>4</v>
      </c>
      <c r="I2180">
        <v>17</v>
      </c>
      <c r="J2180">
        <f>IF($H2180=0,1,IF($I2180&lt;=1,2,0))</f>
        <v>0</v>
      </c>
      <c r="K2180">
        <v>0</v>
      </c>
      <c r="L2180">
        <f>IF(AND($J2180=0,$K2180=0),0,1)</f>
        <v>0</v>
      </c>
    </row>
    <row r="2181" spans="1:13" x14ac:dyDescent="0.2">
      <c r="A2181" t="s">
        <v>685</v>
      </c>
      <c r="B2181" t="s">
        <v>17</v>
      </c>
      <c r="C2181" t="s">
        <v>9</v>
      </c>
      <c r="D2181">
        <v>2101</v>
      </c>
      <c r="E2181">
        <v>2019</v>
      </c>
      <c r="F2181">
        <v>21</v>
      </c>
      <c r="G2181">
        <v>9631</v>
      </c>
      <c r="H2181" s="1">
        <v>4</v>
      </c>
      <c r="I2181">
        <v>16</v>
      </c>
      <c r="J2181">
        <f>IF($H2181=0,1,IF($I2181&lt;=1,2,0))</f>
        <v>0</v>
      </c>
      <c r="K2181">
        <v>0</v>
      </c>
      <c r="L2181">
        <f>IF(AND($J2181=0,$K2181=0),0,1)</f>
        <v>0</v>
      </c>
    </row>
    <row r="2182" spans="1:13" x14ac:dyDescent="0.2">
      <c r="A2182" t="s">
        <v>685</v>
      </c>
      <c r="B2182" t="s">
        <v>17</v>
      </c>
      <c r="C2182" t="s">
        <v>9</v>
      </c>
      <c r="D2182">
        <v>2101</v>
      </c>
      <c r="E2182">
        <v>2019</v>
      </c>
      <c r="F2182">
        <v>2</v>
      </c>
      <c r="G2182">
        <v>10136</v>
      </c>
      <c r="H2182" s="1">
        <v>4</v>
      </c>
      <c r="I2182">
        <v>15</v>
      </c>
      <c r="J2182">
        <f>IF($H2182=0,1,IF($I2182&lt;=1,2,0))</f>
        <v>0</v>
      </c>
      <c r="K2182">
        <v>0</v>
      </c>
      <c r="L2182">
        <f>IF(AND($J2182=0,$K2182=0),0,1)</f>
        <v>0</v>
      </c>
      <c r="M2182" t="s">
        <v>1968</v>
      </c>
    </row>
    <row r="2183" spans="1:13" x14ac:dyDescent="0.2">
      <c r="A2183" t="s">
        <v>685</v>
      </c>
      <c r="B2183" t="s">
        <v>17</v>
      </c>
      <c r="C2183" t="s">
        <v>9</v>
      </c>
      <c r="D2183">
        <v>2101</v>
      </c>
      <c r="E2183">
        <v>2019</v>
      </c>
      <c r="F2183">
        <v>4</v>
      </c>
      <c r="G2183">
        <v>10138</v>
      </c>
      <c r="H2183" s="1">
        <v>4</v>
      </c>
      <c r="I2183">
        <v>15</v>
      </c>
      <c r="J2183">
        <f>IF($H2183=0,1,IF($I2183&lt;=1,2,0))</f>
        <v>0</v>
      </c>
      <c r="K2183">
        <v>0</v>
      </c>
      <c r="L2183">
        <f>IF(AND($J2183=0,$K2183=0),0,1)</f>
        <v>0</v>
      </c>
      <c r="M2183" t="s">
        <v>1968</v>
      </c>
    </row>
    <row r="2184" spans="1:13" x14ac:dyDescent="0.2">
      <c r="A2184" t="s">
        <v>685</v>
      </c>
      <c r="B2184" t="s">
        <v>17</v>
      </c>
      <c r="C2184" t="s">
        <v>9</v>
      </c>
      <c r="D2184">
        <v>2101</v>
      </c>
      <c r="E2184">
        <v>2019</v>
      </c>
      <c r="F2184">
        <v>5</v>
      </c>
      <c r="G2184">
        <v>10140</v>
      </c>
      <c r="H2184" s="1">
        <v>4</v>
      </c>
      <c r="I2184">
        <v>15</v>
      </c>
      <c r="J2184">
        <f>IF($H2184=0,1,IF($I2184&lt;=1,2,0))</f>
        <v>0</v>
      </c>
      <c r="K2184">
        <v>0</v>
      </c>
      <c r="L2184">
        <f>IF(AND($J2184=0,$K2184=0),0,1)</f>
        <v>0</v>
      </c>
      <c r="M2184" t="s">
        <v>1968</v>
      </c>
    </row>
    <row r="2185" spans="1:13" x14ac:dyDescent="0.2">
      <c r="A2185" t="s">
        <v>685</v>
      </c>
      <c r="B2185" t="s">
        <v>17</v>
      </c>
      <c r="C2185" t="s">
        <v>9</v>
      </c>
      <c r="D2185">
        <v>2101</v>
      </c>
      <c r="E2185">
        <v>2019</v>
      </c>
      <c r="F2185">
        <v>10</v>
      </c>
      <c r="G2185">
        <v>10146</v>
      </c>
      <c r="H2185" s="1">
        <v>4</v>
      </c>
      <c r="I2185">
        <v>15</v>
      </c>
      <c r="J2185">
        <f>IF($H2185=0,1,IF($I2185&lt;=1,2,0))</f>
        <v>0</v>
      </c>
      <c r="K2185">
        <v>0</v>
      </c>
      <c r="L2185">
        <f>IF(AND($J2185=0,$K2185=0),0,1)</f>
        <v>0</v>
      </c>
      <c r="M2185" t="s">
        <v>1968</v>
      </c>
    </row>
    <row r="2186" spans="1:13" x14ac:dyDescent="0.2">
      <c r="A2186" t="s">
        <v>685</v>
      </c>
      <c r="B2186" t="s">
        <v>17</v>
      </c>
      <c r="C2186" t="s">
        <v>9</v>
      </c>
      <c r="D2186">
        <v>2101</v>
      </c>
      <c r="E2186">
        <v>2019</v>
      </c>
      <c r="F2186">
        <v>11</v>
      </c>
      <c r="G2186">
        <v>10147</v>
      </c>
      <c r="H2186" s="1">
        <v>4</v>
      </c>
      <c r="I2186">
        <v>15</v>
      </c>
      <c r="J2186">
        <f>IF($H2186=0,1,IF($I2186&lt;=1,2,0))</f>
        <v>0</v>
      </c>
      <c r="K2186">
        <v>0</v>
      </c>
      <c r="L2186">
        <f>IF(AND($J2186=0,$K2186=0),0,1)</f>
        <v>0</v>
      </c>
      <c r="M2186" t="s">
        <v>1968</v>
      </c>
    </row>
    <row r="2187" spans="1:13" x14ac:dyDescent="0.2">
      <c r="A2187" t="s">
        <v>685</v>
      </c>
      <c r="B2187" t="s">
        <v>17</v>
      </c>
      <c r="C2187" t="s">
        <v>9</v>
      </c>
      <c r="D2187">
        <v>2101</v>
      </c>
      <c r="E2187">
        <v>2019</v>
      </c>
      <c r="F2187">
        <v>14</v>
      </c>
      <c r="G2187">
        <v>10151</v>
      </c>
      <c r="H2187" s="1">
        <v>4</v>
      </c>
      <c r="I2187">
        <v>15</v>
      </c>
      <c r="J2187">
        <f>IF($H2187=0,1,IF($I2187&lt;=1,2,0))</f>
        <v>0</v>
      </c>
      <c r="K2187">
        <v>0</v>
      </c>
      <c r="L2187">
        <f>IF(AND($J2187=0,$K2187=0),0,1)</f>
        <v>0</v>
      </c>
      <c r="M2187" t="s">
        <v>1968</v>
      </c>
    </row>
    <row r="2188" spans="1:13" x14ac:dyDescent="0.2">
      <c r="A2188" t="s">
        <v>685</v>
      </c>
      <c r="B2188" t="s">
        <v>17</v>
      </c>
      <c r="C2188" t="s">
        <v>9</v>
      </c>
      <c r="D2188">
        <v>2101</v>
      </c>
      <c r="E2188">
        <v>2019</v>
      </c>
      <c r="F2188">
        <v>20</v>
      </c>
      <c r="G2188">
        <v>9630</v>
      </c>
      <c r="H2188" s="1">
        <v>4</v>
      </c>
      <c r="I2188">
        <v>15</v>
      </c>
      <c r="J2188">
        <f>IF($H2188=0,1,IF($I2188&lt;=1,2,0))</f>
        <v>0</v>
      </c>
      <c r="K2188">
        <v>0</v>
      </c>
      <c r="L2188">
        <f>IF(AND($J2188=0,$K2188=0),0,1)</f>
        <v>0</v>
      </c>
    </row>
    <row r="2189" spans="1:13" x14ac:dyDescent="0.2">
      <c r="A2189" t="s">
        <v>685</v>
      </c>
      <c r="B2189" t="s">
        <v>17</v>
      </c>
      <c r="C2189" t="s">
        <v>9</v>
      </c>
      <c r="D2189">
        <v>2101</v>
      </c>
      <c r="E2189">
        <v>2019</v>
      </c>
      <c r="F2189">
        <v>3</v>
      </c>
      <c r="G2189">
        <v>10137</v>
      </c>
      <c r="H2189" s="1">
        <v>4</v>
      </c>
      <c r="I2189">
        <v>14</v>
      </c>
      <c r="J2189">
        <f>IF($H2189=0,1,IF($I2189&lt;=1,2,0))</f>
        <v>0</v>
      </c>
      <c r="K2189">
        <v>0</v>
      </c>
      <c r="L2189">
        <f>IF(AND($J2189=0,$K2189=0),0,1)</f>
        <v>0</v>
      </c>
      <c r="M2189" t="s">
        <v>1968</v>
      </c>
    </row>
    <row r="2190" spans="1:13" x14ac:dyDescent="0.2">
      <c r="A2190" t="s">
        <v>685</v>
      </c>
      <c r="B2190" t="s">
        <v>17</v>
      </c>
      <c r="C2190" t="s">
        <v>9</v>
      </c>
      <c r="D2190">
        <v>2101</v>
      </c>
      <c r="E2190">
        <v>2019</v>
      </c>
      <c r="F2190">
        <v>12</v>
      </c>
      <c r="G2190">
        <v>10149</v>
      </c>
      <c r="H2190" s="1">
        <v>4</v>
      </c>
      <c r="I2190">
        <v>14</v>
      </c>
      <c r="J2190">
        <f>IF($H2190=0,1,IF($I2190&lt;=1,2,0))</f>
        <v>0</v>
      </c>
      <c r="K2190">
        <v>0</v>
      </c>
      <c r="L2190">
        <f>IF(AND($J2190=0,$K2190=0),0,1)</f>
        <v>0</v>
      </c>
      <c r="M2190" t="s">
        <v>1968</v>
      </c>
    </row>
    <row r="2191" spans="1:13" x14ac:dyDescent="0.2">
      <c r="A2191" t="s">
        <v>685</v>
      </c>
      <c r="B2191" t="s">
        <v>17</v>
      </c>
      <c r="C2191" t="s">
        <v>9</v>
      </c>
      <c r="D2191">
        <v>2101</v>
      </c>
      <c r="E2191">
        <v>2019</v>
      </c>
      <c r="F2191">
        <v>13</v>
      </c>
      <c r="G2191">
        <v>10150</v>
      </c>
      <c r="H2191" s="1">
        <v>4</v>
      </c>
      <c r="I2191">
        <v>14</v>
      </c>
      <c r="J2191">
        <f>IF($H2191=0,1,IF($I2191&lt;=1,2,0))</f>
        <v>0</v>
      </c>
      <c r="K2191">
        <v>0</v>
      </c>
      <c r="L2191">
        <f>IF(AND($J2191=0,$K2191=0),0,1)</f>
        <v>0</v>
      </c>
      <c r="M2191" t="s">
        <v>1968</v>
      </c>
    </row>
    <row r="2192" spans="1:13" x14ac:dyDescent="0.2">
      <c r="A2192" t="s">
        <v>685</v>
      </c>
      <c r="B2192" t="s">
        <v>17</v>
      </c>
      <c r="C2192" t="s">
        <v>9</v>
      </c>
      <c r="D2192">
        <v>2101</v>
      </c>
      <c r="E2192">
        <v>2019</v>
      </c>
      <c r="F2192">
        <v>23</v>
      </c>
      <c r="G2192">
        <v>9633</v>
      </c>
      <c r="H2192" s="1">
        <v>4</v>
      </c>
      <c r="I2192">
        <v>14</v>
      </c>
      <c r="J2192">
        <f>IF($H2192=0,1,IF($I2192&lt;=1,2,0))</f>
        <v>0</v>
      </c>
      <c r="K2192">
        <v>0</v>
      </c>
      <c r="L2192">
        <f>IF(AND($J2192=0,$K2192=0),0,1)</f>
        <v>0</v>
      </c>
    </row>
    <row r="2193" spans="1:13" x14ac:dyDescent="0.2">
      <c r="A2193" t="s">
        <v>685</v>
      </c>
      <c r="B2193" t="s">
        <v>17</v>
      </c>
      <c r="C2193" t="s">
        <v>9</v>
      </c>
      <c r="D2193">
        <v>2101</v>
      </c>
      <c r="E2193">
        <v>2019</v>
      </c>
      <c r="F2193">
        <v>1</v>
      </c>
      <c r="G2193">
        <v>10135</v>
      </c>
      <c r="H2193" s="1">
        <v>4</v>
      </c>
      <c r="I2193">
        <v>12</v>
      </c>
      <c r="J2193">
        <f>IF($H2193=0,1,IF($I2193&lt;=1,2,0))</f>
        <v>0</v>
      </c>
      <c r="K2193">
        <v>0</v>
      </c>
      <c r="L2193">
        <f>IF(AND($J2193=0,$K2193=0),0,1)</f>
        <v>0</v>
      </c>
      <c r="M2193" t="s">
        <v>687</v>
      </c>
    </row>
    <row r="2194" spans="1:13" x14ac:dyDescent="0.2">
      <c r="A2194" t="s">
        <v>685</v>
      </c>
      <c r="B2194" t="s">
        <v>17</v>
      </c>
      <c r="C2194" t="s">
        <v>9</v>
      </c>
      <c r="D2194">
        <v>2101</v>
      </c>
      <c r="E2194">
        <v>2019</v>
      </c>
      <c r="F2194">
        <v>9</v>
      </c>
      <c r="G2194">
        <v>10145</v>
      </c>
      <c r="H2194" s="1">
        <v>4</v>
      </c>
      <c r="I2194">
        <v>12</v>
      </c>
      <c r="J2194">
        <f>IF($H2194=0,1,IF($I2194&lt;=1,2,0))</f>
        <v>0</v>
      </c>
      <c r="K2194">
        <v>0</v>
      </c>
      <c r="L2194">
        <f>IF(AND($J2194=0,$K2194=0),0,1)</f>
        <v>0</v>
      </c>
      <c r="M2194" t="s">
        <v>1968</v>
      </c>
    </row>
    <row r="2195" spans="1:13" x14ac:dyDescent="0.2">
      <c r="A2195" t="s">
        <v>685</v>
      </c>
      <c r="B2195" t="s">
        <v>17</v>
      </c>
      <c r="C2195" t="s">
        <v>9</v>
      </c>
      <c r="D2195">
        <v>2101</v>
      </c>
      <c r="E2195">
        <v>2019</v>
      </c>
      <c r="F2195">
        <v>6</v>
      </c>
      <c r="G2195">
        <v>10142</v>
      </c>
      <c r="H2195" s="1">
        <v>4</v>
      </c>
      <c r="I2195">
        <v>7</v>
      </c>
      <c r="J2195">
        <f>IF($H2195=0,1,IF($I2195&lt;=1,2,0))</f>
        <v>0</v>
      </c>
      <c r="K2195">
        <v>0</v>
      </c>
      <c r="L2195">
        <f>IF(AND($J2195=0,$K2195=0),0,1)</f>
        <v>0</v>
      </c>
      <c r="M2195" t="s">
        <v>1968</v>
      </c>
    </row>
    <row r="2196" spans="1:13" x14ac:dyDescent="0.2">
      <c r="A2196" t="s">
        <v>685</v>
      </c>
      <c r="B2196" t="s">
        <v>17</v>
      </c>
      <c r="C2196" t="s">
        <v>9</v>
      </c>
      <c r="D2196">
        <v>2101</v>
      </c>
      <c r="E2196">
        <v>2019</v>
      </c>
      <c r="F2196">
        <v>7</v>
      </c>
      <c r="G2196">
        <v>10143</v>
      </c>
      <c r="H2196" s="1">
        <v>4</v>
      </c>
      <c r="I2196">
        <v>7</v>
      </c>
      <c r="J2196">
        <f>IF($H2196=0,1,IF($I2196&lt;=1,2,0))</f>
        <v>0</v>
      </c>
      <c r="K2196">
        <v>0</v>
      </c>
      <c r="L2196">
        <f>IF(AND($J2196=0,$K2196=0),0,1)</f>
        <v>0</v>
      </c>
      <c r="M2196" t="s">
        <v>1968</v>
      </c>
    </row>
    <row r="2197" spans="1:13" x14ac:dyDescent="0.2">
      <c r="A2197" t="s">
        <v>685</v>
      </c>
      <c r="B2197" t="s">
        <v>17</v>
      </c>
      <c r="C2197" t="s">
        <v>9</v>
      </c>
      <c r="D2197">
        <v>2101</v>
      </c>
      <c r="E2197">
        <v>2019</v>
      </c>
      <c r="F2197">
        <v>8</v>
      </c>
      <c r="G2197">
        <v>10144</v>
      </c>
      <c r="H2197" s="1">
        <v>4</v>
      </c>
      <c r="I2197">
        <v>5</v>
      </c>
      <c r="J2197">
        <f>IF($H2197=0,1,IF($I2197&lt;=1,2,0))</f>
        <v>0</v>
      </c>
      <c r="K2197">
        <v>0</v>
      </c>
      <c r="L2197">
        <f>IF(AND($J2197=0,$K2197=0),0,1)</f>
        <v>0</v>
      </c>
      <c r="M2197" t="s">
        <v>1968</v>
      </c>
    </row>
    <row r="2198" spans="1:13" x14ac:dyDescent="0.2">
      <c r="A2198" t="s">
        <v>685</v>
      </c>
      <c r="B2198" t="s">
        <v>17</v>
      </c>
      <c r="C2198" t="s">
        <v>9</v>
      </c>
      <c r="D2198">
        <v>2102</v>
      </c>
      <c r="E2198">
        <v>2019</v>
      </c>
      <c r="F2198">
        <v>4</v>
      </c>
      <c r="G2198">
        <v>10155</v>
      </c>
      <c r="H2198" s="1">
        <v>4</v>
      </c>
      <c r="I2198">
        <v>14</v>
      </c>
      <c r="J2198">
        <f>IF($H2198=0,1,IF($I2198&lt;=1,2,0))</f>
        <v>0</v>
      </c>
      <c r="K2198">
        <v>0</v>
      </c>
      <c r="L2198">
        <f>IF(AND($J2198=0,$K2198=0),0,1)</f>
        <v>0</v>
      </c>
      <c r="M2198" t="s">
        <v>688</v>
      </c>
    </row>
    <row r="2199" spans="1:13" x14ac:dyDescent="0.2">
      <c r="A2199" t="s">
        <v>685</v>
      </c>
      <c r="B2199" t="s">
        <v>17</v>
      </c>
      <c r="C2199" t="s">
        <v>9</v>
      </c>
      <c r="D2199">
        <v>2102</v>
      </c>
      <c r="E2199">
        <v>2019</v>
      </c>
      <c r="F2199">
        <v>5</v>
      </c>
      <c r="G2199">
        <v>10156</v>
      </c>
      <c r="H2199" s="1">
        <v>4</v>
      </c>
      <c r="I2199">
        <v>14</v>
      </c>
      <c r="J2199">
        <f>IF($H2199=0,1,IF($I2199&lt;=1,2,0))</f>
        <v>0</v>
      </c>
      <c r="K2199">
        <v>0</v>
      </c>
      <c r="L2199">
        <f>IF(AND($J2199=0,$K2199=0),0,1)</f>
        <v>0</v>
      </c>
      <c r="M2199" t="s">
        <v>688</v>
      </c>
    </row>
    <row r="2200" spans="1:13" x14ac:dyDescent="0.2">
      <c r="A2200" t="s">
        <v>685</v>
      </c>
      <c r="B2200" t="s">
        <v>17</v>
      </c>
      <c r="C2200" t="s">
        <v>9</v>
      </c>
      <c r="D2200">
        <v>2102</v>
      </c>
      <c r="E2200">
        <v>2019</v>
      </c>
      <c r="F2200">
        <v>10</v>
      </c>
      <c r="G2200">
        <v>10163</v>
      </c>
      <c r="H2200" s="1">
        <v>4</v>
      </c>
      <c r="I2200">
        <v>14</v>
      </c>
      <c r="J2200">
        <f>IF($H2200=0,1,IF($I2200&lt;=1,2,0))</f>
        <v>0</v>
      </c>
      <c r="K2200">
        <v>0</v>
      </c>
      <c r="L2200">
        <f>IF(AND($J2200=0,$K2200=0),0,1)</f>
        <v>0</v>
      </c>
      <c r="M2200" t="s">
        <v>688</v>
      </c>
    </row>
    <row r="2201" spans="1:13" x14ac:dyDescent="0.2">
      <c r="A2201" t="s">
        <v>685</v>
      </c>
      <c r="B2201" t="s">
        <v>17</v>
      </c>
      <c r="C2201" t="s">
        <v>9</v>
      </c>
      <c r="D2201">
        <v>2102</v>
      </c>
      <c r="E2201">
        <v>2019</v>
      </c>
      <c r="F2201">
        <v>2</v>
      </c>
      <c r="G2201">
        <v>10153</v>
      </c>
      <c r="H2201" s="1">
        <v>4</v>
      </c>
      <c r="I2201">
        <v>13</v>
      </c>
      <c r="J2201">
        <f>IF($H2201=0,1,IF($I2201&lt;=1,2,0))</f>
        <v>0</v>
      </c>
      <c r="K2201">
        <v>0</v>
      </c>
      <c r="L2201">
        <f>IF(AND($J2201=0,$K2201=0),0,1)</f>
        <v>0</v>
      </c>
      <c r="M2201" t="s">
        <v>688</v>
      </c>
    </row>
    <row r="2202" spans="1:13" x14ac:dyDescent="0.2">
      <c r="A2202" t="s">
        <v>685</v>
      </c>
      <c r="B2202" t="s">
        <v>17</v>
      </c>
      <c r="C2202" t="s">
        <v>9</v>
      </c>
      <c r="D2202">
        <v>2102</v>
      </c>
      <c r="E2202">
        <v>2019</v>
      </c>
      <c r="F2202">
        <v>6</v>
      </c>
      <c r="G2202">
        <v>10157</v>
      </c>
      <c r="H2202" s="1">
        <v>4</v>
      </c>
      <c r="I2202">
        <v>13</v>
      </c>
      <c r="J2202">
        <f>IF($H2202=0,1,IF($I2202&lt;=1,2,0))</f>
        <v>0</v>
      </c>
      <c r="K2202">
        <v>0</v>
      </c>
      <c r="L2202">
        <f>IF(AND($J2202=0,$K2202=0),0,1)</f>
        <v>0</v>
      </c>
      <c r="M2202" t="s">
        <v>688</v>
      </c>
    </row>
    <row r="2203" spans="1:13" x14ac:dyDescent="0.2">
      <c r="A2203" t="s">
        <v>685</v>
      </c>
      <c r="B2203" t="s">
        <v>17</v>
      </c>
      <c r="C2203" t="s">
        <v>9</v>
      </c>
      <c r="D2203">
        <v>2102</v>
      </c>
      <c r="E2203">
        <v>2019</v>
      </c>
      <c r="F2203">
        <v>11</v>
      </c>
      <c r="G2203">
        <v>10165</v>
      </c>
      <c r="H2203" s="1">
        <v>4</v>
      </c>
      <c r="I2203">
        <v>13</v>
      </c>
      <c r="J2203">
        <f>IF($H2203=0,1,IF($I2203&lt;=1,2,0))</f>
        <v>0</v>
      </c>
      <c r="K2203">
        <v>0</v>
      </c>
      <c r="L2203">
        <f>IF(AND($J2203=0,$K2203=0),0,1)</f>
        <v>0</v>
      </c>
      <c r="M2203" t="s">
        <v>688</v>
      </c>
    </row>
    <row r="2204" spans="1:13" x14ac:dyDescent="0.2">
      <c r="A2204" t="s">
        <v>685</v>
      </c>
      <c r="B2204" t="s">
        <v>17</v>
      </c>
      <c r="C2204" t="s">
        <v>9</v>
      </c>
      <c r="D2204">
        <v>2102</v>
      </c>
      <c r="E2204">
        <v>2019</v>
      </c>
      <c r="F2204">
        <v>20</v>
      </c>
      <c r="G2204">
        <v>9636</v>
      </c>
      <c r="H2204" s="1">
        <v>4</v>
      </c>
      <c r="I2204">
        <v>13</v>
      </c>
      <c r="J2204">
        <f>IF($H2204=0,1,IF($I2204&lt;=1,2,0))</f>
        <v>0</v>
      </c>
      <c r="K2204">
        <v>0</v>
      </c>
      <c r="L2204">
        <f>IF(AND($J2204=0,$K2204=0),0,1)</f>
        <v>0</v>
      </c>
    </row>
    <row r="2205" spans="1:13" x14ac:dyDescent="0.2">
      <c r="A2205" t="s">
        <v>685</v>
      </c>
      <c r="B2205" t="s">
        <v>17</v>
      </c>
      <c r="C2205" t="s">
        <v>9</v>
      </c>
      <c r="D2205">
        <v>2102</v>
      </c>
      <c r="E2205">
        <v>2019</v>
      </c>
      <c r="F2205">
        <v>1</v>
      </c>
      <c r="G2205">
        <v>10152</v>
      </c>
      <c r="H2205" s="1">
        <v>4</v>
      </c>
      <c r="I2205">
        <v>12</v>
      </c>
      <c r="J2205">
        <f>IF($H2205=0,1,IF($I2205&lt;=1,2,0))</f>
        <v>0</v>
      </c>
      <c r="K2205">
        <v>0</v>
      </c>
      <c r="L2205">
        <f>IF(AND($J2205=0,$K2205=0),0,1)</f>
        <v>0</v>
      </c>
      <c r="M2205" t="s">
        <v>688</v>
      </c>
    </row>
    <row r="2206" spans="1:13" x14ac:dyDescent="0.2">
      <c r="A2206" t="s">
        <v>685</v>
      </c>
      <c r="B2206" t="s">
        <v>17</v>
      </c>
      <c r="C2206" t="s">
        <v>9</v>
      </c>
      <c r="D2206">
        <v>2102</v>
      </c>
      <c r="E2206">
        <v>2019</v>
      </c>
      <c r="F2206">
        <v>9</v>
      </c>
      <c r="G2206">
        <v>10161</v>
      </c>
      <c r="H2206" s="1">
        <v>4</v>
      </c>
      <c r="I2206">
        <v>12</v>
      </c>
      <c r="J2206">
        <f>IF($H2206=0,1,IF($I2206&lt;=1,2,0))</f>
        <v>0</v>
      </c>
      <c r="K2206">
        <v>0</v>
      </c>
      <c r="L2206">
        <f>IF(AND($J2206=0,$K2206=0),0,1)</f>
        <v>0</v>
      </c>
      <c r="M2206" t="s">
        <v>688</v>
      </c>
    </row>
    <row r="2207" spans="1:13" x14ac:dyDescent="0.2">
      <c r="A2207" t="s">
        <v>685</v>
      </c>
      <c r="B2207" t="s">
        <v>17</v>
      </c>
      <c r="C2207" t="s">
        <v>9</v>
      </c>
      <c r="D2207">
        <v>2102</v>
      </c>
      <c r="E2207">
        <v>2019</v>
      </c>
      <c r="F2207">
        <v>12</v>
      </c>
      <c r="G2207">
        <v>10166</v>
      </c>
      <c r="H2207" s="1">
        <v>4</v>
      </c>
      <c r="I2207">
        <v>12</v>
      </c>
      <c r="J2207">
        <f>IF($H2207=0,1,IF($I2207&lt;=1,2,0))</f>
        <v>0</v>
      </c>
      <c r="K2207">
        <v>0</v>
      </c>
      <c r="L2207">
        <f>IF(AND($J2207=0,$K2207=0),0,1)</f>
        <v>0</v>
      </c>
      <c r="M2207" t="s">
        <v>688</v>
      </c>
    </row>
    <row r="2208" spans="1:13" x14ac:dyDescent="0.2">
      <c r="A2208" t="s">
        <v>685</v>
      </c>
      <c r="B2208" t="s">
        <v>17</v>
      </c>
      <c r="C2208" t="s">
        <v>9</v>
      </c>
      <c r="D2208">
        <v>2102</v>
      </c>
      <c r="E2208">
        <v>2019</v>
      </c>
      <c r="F2208">
        <v>21</v>
      </c>
      <c r="G2208">
        <v>9637</v>
      </c>
      <c r="H2208" s="1">
        <v>4</v>
      </c>
      <c r="I2208">
        <v>12</v>
      </c>
      <c r="J2208">
        <f>IF($H2208=0,1,IF($I2208&lt;=1,2,0))</f>
        <v>0</v>
      </c>
      <c r="K2208">
        <v>0</v>
      </c>
      <c r="L2208">
        <f>IF(AND($J2208=0,$K2208=0),0,1)</f>
        <v>0</v>
      </c>
      <c r="M2208" t="s">
        <v>1969</v>
      </c>
    </row>
    <row r="2209" spans="1:13" x14ac:dyDescent="0.2">
      <c r="A2209" t="s">
        <v>685</v>
      </c>
      <c r="B2209" t="s">
        <v>17</v>
      </c>
      <c r="C2209" t="s">
        <v>9</v>
      </c>
      <c r="D2209">
        <v>2102</v>
      </c>
      <c r="E2209">
        <v>2019</v>
      </c>
      <c r="F2209">
        <v>7</v>
      </c>
      <c r="G2209">
        <v>10158</v>
      </c>
      <c r="H2209" s="1">
        <v>4</v>
      </c>
      <c r="I2209">
        <v>10</v>
      </c>
      <c r="J2209">
        <f>IF($H2209=0,1,IF($I2209&lt;=1,2,0))</f>
        <v>0</v>
      </c>
      <c r="K2209">
        <v>0</v>
      </c>
      <c r="L2209">
        <f>IF(AND($J2209=0,$K2209=0),0,1)</f>
        <v>0</v>
      </c>
      <c r="M2209" t="s">
        <v>688</v>
      </c>
    </row>
    <row r="2210" spans="1:13" x14ac:dyDescent="0.2">
      <c r="A2210" t="s">
        <v>685</v>
      </c>
      <c r="B2210" t="s">
        <v>17</v>
      </c>
      <c r="C2210" t="s">
        <v>9</v>
      </c>
      <c r="D2210">
        <v>2102</v>
      </c>
      <c r="E2210">
        <v>2019</v>
      </c>
      <c r="F2210">
        <v>3</v>
      </c>
      <c r="G2210">
        <v>10154</v>
      </c>
      <c r="H2210" s="1">
        <v>4</v>
      </c>
      <c r="I2210">
        <v>9</v>
      </c>
      <c r="J2210">
        <f>IF($H2210=0,1,IF($I2210&lt;=1,2,0))</f>
        <v>0</v>
      </c>
      <c r="K2210">
        <v>0</v>
      </c>
      <c r="L2210">
        <f>IF(AND($J2210=0,$K2210=0),0,1)</f>
        <v>0</v>
      </c>
      <c r="M2210" t="s">
        <v>688</v>
      </c>
    </row>
    <row r="2211" spans="1:13" x14ac:dyDescent="0.2">
      <c r="A2211" t="s">
        <v>685</v>
      </c>
      <c r="B2211" t="s">
        <v>17</v>
      </c>
      <c r="C2211" t="s">
        <v>9</v>
      </c>
      <c r="D2211">
        <v>2102</v>
      </c>
      <c r="E2211">
        <v>2019</v>
      </c>
      <c r="F2211">
        <v>8</v>
      </c>
      <c r="G2211">
        <v>10160</v>
      </c>
      <c r="H2211" s="1">
        <v>4</v>
      </c>
      <c r="I2211">
        <v>7</v>
      </c>
      <c r="J2211">
        <f>IF($H2211=0,1,IF($I2211&lt;=1,2,0))</f>
        <v>0</v>
      </c>
      <c r="K2211">
        <v>0</v>
      </c>
      <c r="L2211">
        <f>IF(AND($J2211=0,$K2211=0),0,1)</f>
        <v>0</v>
      </c>
      <c r="M2211" t="s">
        <v>688</v>
      </c>
    </row>
    <row r="2212" spans="1:13" x14ac:dyDescent="0.2">
      <c r="A2212" t="s">
        <v>685</v>
      </c>
      <c r="B2212" t="s">
        <v>17</v>
      </c>
      <c r="C2212" t="s">
        <v>9</v>
      </c>
      <c r="D2212">
        <v>2103</v>
      </c>
      <c r="E2212">
        <v>2019</v>
      </c>
      <c r="F2212">
        <v>1</v>
      </c>
      <c r="G2212">
        <v>10123</v>
      </c>
      <c r="H2212" s="1">
        <v>4</v>
      </c>
      <c r="I2212">
        <v>9</v>
      </c>
      <c r="J2212">
        <f>IF($H2212=0,1,IF($I2212&lt;=1,2,0))</f>
        <v>0</v>
      </c>
      <c r="K2212">
        <v>0</v>
      </c>
      <c r="L2212">
        <f>IF(AND($J2212=0,$K2212=0),0,1)</f>
        <v>0</v>
      </c>
      <c r="M2212" t="s">
        <v>689</v>
      </c>
    </row>
    <row r="2213" spans="1:13" x14ac:dyDescent="0.2">
      <c r="A2213" t="s">
        <v>685</v>
      </c>
      <c r="B2213" t="s">
        <v>17</v>
      </c>
      <c r="C2213" t="s">
        <v>9</v>
      </c>
      <c r="D2213">
        <v>2108</v>
      </c>
      <c r="E2213">
        <v>2019</v>
      </c>
      <c r="F2213">
        <v>1</v>
      </c>
      <c r="G2213">
        <v>9639</v>
      </c>
      <c r="H2213" s="1">
        <v>4</v>
      </c>
      <c r="I2213">
        <v>21</v>
      </c>
      <c r="J2213">
        <f>IF($H2213=0,1,IF($I2213&lt;=1,2,0))</f>
        <v>0</v>
      </c>
      <c r="K2213">
        <v>0</v>
      </c>
      <c r="L2213">
        <f>IF(AND($J2213=0,$K2213=0),0,1)</f>
        <v>0</v>
      </c>
    </row>
    <row r="2214" spans="1:13" x14ac:dyDescent="0.2">
      <c r="A2214" t="s">
        <v>685</v>
      </c>
      <c r="B2214" t="s">
        <v>17</v>
      </c>
      <c r="C2214" t="s">
        <v>9</v>
      </c>
      <c r="D2214">
        <v>2120</v>
      </c>
      <c r="E2214">
        <v>2019</v>
      </c>
      <c r="F2214">
        <v>1</v>
      </c>
      <c r="G2214">
        <v>10168</v>
      </c>
      <c r="H2214" s="1">
        <v>4</v>
      </c>
      <c r="I2214">
        <v>12</v>
      </c>
      <c r="J2214">
        <f>IF($H2214=0,1,IF($I2214&lt;=1,2,0))</f>
        <v>0</v>
      </c>
      <c r="K2214">
        <v>0</v>
      </c>
      <c r="L2214">
        <f>IF(AND($J2214=0,$K2214=0),0,1)</f>
        <v>0</v>
      </c>
      <c r="M2214" t="s">
        <v>686</v>
      </c>
    </row>
    <row r="2215" spans="1:13" x14ac:dyDescent="0.2">
      <c r="A2215" t="s">
        <v>685</v>
      </c>
      <c r="B2215" t="s">
        <v>17</v>
      </c>
      <c r="C2215" t="s">
        <v>9</v>
      </c>
      <c r="D2215">
        <v>3300</v>
      </c>
      <c r="E2215">
        <v>2019</v>
      </c>
      <c r="F2215">
        <v>1</v>
      </c>
      <c r="G2215">
        <v>10169</v>
      </c>
      <c r="H2215" s="1">
        <v>3</v>
      </c>
      <c r="I2215">
        <v>15</v>
      </c>
      <c r="J2215">
        <f>IF($H2215=0,1,IF($I2215&lt;=1,2,0))</f>
        <v>0</v>
      </c>
      <c r="K2215">
        <v>0</v>
      </c>
      <c r="L2215">
        <f>IF(AND($J2215=0,$K2215=0),0,1)</f>
        <v>0</v>
      </c>
      <c r="M2215" t="s">
        <v>690</v>
      </c>
    </row>
    <row r="2216" spans="1:13" x14ac:dyDescent="0.2">
      <c r="A2216" t="s">
        <v>685</v>
      </c>
      <c r="B2216" t="s">
        <v>17</v>
      </c>
      <c r="C2216" t="s">
        <v>9</v>
      </c>
      <c r="D2216">
        <v>3300</v>
      </c>
      <c r="E2216">
        <v>2019</v>
      </c>
      <c r="F2216">
        <v>3</v>
      </c>
      <c r="G2216">
        <v>10173</v>
      </c>
      <c r="H2216" s="1">
        <v>3</v>
      </c>
      <c r="I2216">
        <v>15</v>
      </c>
      <c r="J2216">
        <f>IF($H2216=0,1,IF($I2216&lt;=1,2,0))</f>
        <v>0</v>
      </c>
      <c r="K2216">
        <v>0</v>
      </c>
      <c r="L2216">
        <f>IF(AND($J2216=0,$K2216=0),0,1)</f>
        <v>0</v>
      </c>
      <c r="M2216" t="s">
        <v>690</v>
      </c>
    </row>
    <row r="2217" spans="1:13" x14ac:dyDescent="0.2">
      <c r="A2217" t="s">
        <v>685</v>
      </c>
      <c r="B2217" t="s">
        <v>17</v>
      </c>
      <c r="C2217" t="s">
        <v>9</v>
      </c>
      <c r="D2217">
        <v>3300</v>
      </c>
      <c r="E2217">
        <v>2019</v>
      </c>
      <c r="F2217">
        <v>22</v>
      </c>
      <c r="G2217">
        <v>9648</v>
      </c>
      <c r="H2217" s="1">
        <v>3</v>
      </c>
      <c r="I2217">
        <v>15</v>
      </c>
      <c r="J2217">
        <f>IF($H2217=0,1,IF($I2217&lt;=1,2,0))</f>
        <v>0</v>
      </c>
      <c r="K2217">
        <v>0</v>
      </c>
      <c r="L2217">
        <f>IF(AND($J2217=0,$K2217=0),0,1)</f>
        <v>0</v>
      </c>
      <c r="M2217" t="s">
        <v>691</v>
      </c>
    </row>
    <row r="2218" spans="1:13" x14ac:dyDescent="0.2">
      <c r="A2218" t="s">
        <v>685</v>
      </c>
      <c r="B2218" t="s">
        <v>17</v>
      </c>
      <c r="C2218" t="s">
        <v>9</v>
      </c>
      <c r="D2218">
        <v>3300</v>
      </c>
      <c r="E2218">
        <v>2019</v>
      </c>
      <c r="F2218">
        <v>5</v>
      </c>
      <c r="G2218">
        <v>10183</v>
      </c>
      <c r="H2218" s="1">
        <v>3</v>
      </c>
      <c r="I2218">
        <v>14</v>
      </c>
      <c r="J2218">
        <f>IF($H2218=0,1,IF($I2218&lt;=1,2,0))</f>
        <v>0</v>
      </c>
      <c r="K2218">
        <v>0</v>
      </c>
      <c r="L2218">
        <f>IF(AND($J2218=0,$K2218=0),0,1)</f>
        <v>0</v>
      </c>
      <c r="M2218" t="s">
        <v>690</v>
      </c>
    </row>
    <row r="2219" spans="1:13" x14ac:dyDescent="0.2">
      <c r="A2219" t="s">
        <v>685</v>
      </c>
      <c r="B2219" t="s">
        <v>17</v>
      </c>
      <c r="C2219" t="s">
        <v>9</v>
      </c>
      <c r="D2219">
        <v>3300</v>
      </c>
      <c r="E2219">
        <v>2019</v>
      </c>
      <c r="F2219">
        <v>24</v>
      </c>
      <c r="G2219">
        <v>9662</v>
      </c>
      <c r="H2219" s="1">
        <v>3</v>
      </c>
      <c r="I2219">
        <v>14</v>
      </c>
      <c r="J2219">
        <f>IF($H2219=0,1,IF($I2219&lt;=1,2,0))</f>
        <v>0</v>
      </c>
      <c r="K2219">
        <v>0</v>
      </c>
      <c r="L2219">
        <f>IF(AND($J2219=0,$K2219=0),0,1)</f>
        <v>0</v>
      </c>
    </row>
    <row r="2220" spans="1:13" x14ac:dyDescent="0.2">
      <c r="A2220" t="s">
        <v>685</v>
      </c>
      <c r="B2220" t="s">
        <v>17</v>
      </c>
      <c r="C2220" t="s">
        <v>9</v>
      </c>
      <c r="D2220">
        <v>3300</v>
      </c>
      <c r="E2220">
        <v>2019</v>
      </c>
      <c r="F2220">
        <v>2</v>
      </c>
      <c r="G2220">
        <v>10170</v>
      </c>
      <c r="H2220" s="1">
        <v>3</v>
      </c>
      <c r="I2220">
        <v>13</v>
      </c>
      <c r="J2220">
        <f>IF($H2220=0,1,IF($I2220&lt;=1,2,0))</f>
        <v>0</v>
      </c>
      <c r="K2220">
        <v>0</v>
      </c>
      <c r="L2220">
        <f>IF(AND($J2220=0,$K2220=0),0,1)</f>
        <v>0</v>
      </c>
      <c r="M2220" t="s">
        <v>690</v>
      </c>
    </row>
    <row r="2221" spans="1:13" x14ac:dyDescent="0.2">
      <c r="A2221" t="s">
        <v>685</v>
      </c>
      <c r="B2221" t="s">
        <v>17</v>
      </c>
      <c r="C2221" t="s">
        <v>9</v>
      </c>
      <c r="D2221">
        <v>3300</v>
      </c>
      <c r="E2221">
        <v>2019</v>
      </c>
      <c r="F2221">
        <v>4</v>
      </c>
      <c r="G2221">
        <v>10182</v>
      </c>
      <c r="H2221" s="1">
        <v>3</v>
      </c>
      <c r="I2221">
        <v>13</v>
      </c>
      <c r="J2221">
        <f>IF($H2221=0,1,IF($I2221&lt;=1,2,0))</f>
        <v>0</v>
      </c>
      <c r="K2221">
        <v>0</v>
      </c>
      <c r="L2221">
        <f>IF(AND($J2221=0,$K2221=0),0,1)</f>
        <v>0</v>
      </c>
      <c r="M2221" t="s">
        <v>690</v>
      </c>
    </row>
    <row r="2222" spans="1:13" x14ac:dyDescent="0.2">
      <c r="A2222" t="s">
        <v>685</v>
      </c>
      <c r="B2222" t="s">
        <v>17</v>
      </c>
      <c r="C2222" t="s">
        <v>9</v>
      </c>
      <c r="D2222">
        <v>3300</v>
      </c>
      <c r="E2222">
        <v>2019</v>
      </c>
      <c r="F2222">
        <v>21</v>
      </c>
      <c r="G2222">
        <v>9654</v>
      </c>
      <c r="H2222" s="1">
        <v>3</v>
      </c>
      <c r="I2222">
        <v>13</v>
      </c>
      <c r="J2222">
        <f>IF($H2222=0,1,IF($I2222&lt;=1,2,0))</f>
        <v>0</v>
      </c>
      <c r="K2222">
        <v>0</v>
      </c>
      <c r="L2222">
        <f>IF(AND($J2222=0,$K2222=0),0,1)</f>
        <v>0</v>
      </c>
    </row>
    <row r="2223" spans="1:13" x14ac:dyDescent="0.2">
      <c r="A2223" t="s">
        <v>685</v>
      </c>
      <c r="B2223" t="s">
        <v>17</v>
      </c>
      <c r="C2223" t="s">
        <v>9</v>
      </c>
      <c r="D2223">
        <v>3300</v>
      </c>
      <c r="E2223">
        <v>2019</v>
      </c>
      <c r="F2223">
        <v>6</v>
      </c>
      <c r="G2223">
        <v>10185</v>
      </c>
      <c r="H2223" s="1">
        <v>3</v>
      </c>
      <c r="I2223">
        <v>12</v>
      </c>
      <c r="J2223">
        <f>IF($H2223=0,1,IF($I2223&lt;=1,2,0))</f>
        <v>0</v>
      </c>
      <c r="K2223">
        <v>0</v>
      </c>
      <c r="L2223">
        <f>IF(AND($J2223=0,$K2223=0),0,1)</f>
        <v>0</v>
      </c>
      <c r="M2223" t="s">
        <v>690</v>
      </c>
    </row>
    <row r="2224" spans="1:13" x14ac:dyDescent="0.2">
      <c r="A2224" t="s">
        <v>685</v>
      </c>
      <c r="B2224" t="s">
        <v>17</v>
      </c>
      <c r="C2224" t="s">
        <v>9</v>
      </c>
      <c r="D2224">
        <v>3349</v>
      </c>
      <c r="E2224">
        <v>2019</v>
      </c>
      <c r="F2224">
        <v>2</v>
      </c>
      <c r="G2224">
        <v>47800</v>
      </c>
      <c r="H2224" s="1">
        <v>3</v>
      </c>
      <c r="I2224">
        <v>14</v>
      </c>
      <c r="J2224">
        <f>IF($H2224=0,1,IF($I2224&lt;=1,2,0))</f>
        <v>0</v>
      </c>
      <c r="K2224">
        <v>0</v>
      </c>
      <c r="L2224">
        <f>IF(AND($J2224=0,$K2224=0),0,1)</f>
        <v>0</v>
      </c>
    </row>
    <row r="2225" spans="1:13" x14ac:dyDescent="0.2">
      <c r="A2225" t="s">
        <v>685</v>
      </c>
      <c r="B2225" t="s">
        <v>17</v>
      </c>
      <c r="C2225" t="s">
        <v>9</v>
      </c>
      <c r="D2225">
        <v>3349</v>
      </c>
      <c r="E2225">
        <v>2019</v>
      </c>
      <c r="F2225">
        <v>3</v>
      </c>
      <c r="G2225">
        <v>13420</v>
      </c>
      <c r="H2225" s="1">
        <v>3</v>
      </c>
      <c r="I2225">
        <v>14</v>
      </c>
      <c r="J2225">
        <f>IF($H2225=0,1,IF($I2225&lt;=1,2,0))</f>
        <v>0</v>
      </c>
      <c r="K2225">
        <v>0</v>
      </c>
      <c r="L2225">
        <f>IF(AND($J2225=0,$K2225=0),0,1)</f>
        <v>0</v>
      </c>
    </row>
    <row r="2226" spans="1:13" x14ac:dyDescent="0.2">
      <c r="A2226" t="s">
        <v>685</v>
      </c>
      <c r="B2226" t="s">
        <v>17</v>
      </c>
      <c r="C2226" t="s">
        <v>9</v>
      </c>
      <c r="D2226">
        <v>3349</v>
      </c>
      <c r="E2226">
        <v>2019</v>
      </c>
      <c r="F2226">
        <v>1</v>
      </c>
      <c r="G2226">
        <v>99285</v>
      </c>
      <c r="H2226" s="1">
        <v>3</v>
      </c>
      <c r="I2226">
        <v>11</v>
      </c>
      <c r="J2226">
        <f>IF($H2226=0,1,IF($I2226&lt;=1,2,0))</f>
        <v>0</v>
      </c>
      <c r="K2226">
        <v>0</v>
      </c>
      <c r="L2226">
        <f>IF(AND($J2226=0,$K2226=0),0,1)</f>
        <v>0</v>
      </c>
    </row>
    <row r="2227" spans="1:13" x14ac:dyDescent="0.2">
      <c r="A2227" t="s">
        <v>685</v>
      </c>
      <c r="B2227" t="s">
        <v>17</v>
      </c>
      <c r="C2227" t="s">
        <v>9</v>
      </c>
      <c r="D2227">
        <v>3350</v>
      </c>
      <c r="E2227">
        <v>2019</v>
      </c>
      <c r="F2227">
        <v>3</v>
      </c>
      <c r="G2227">
        <v>99268</v>
      </c>
      <c r="H2227" s="1">
        <v>3</v>
      </c>
      <c r="I2227">
        <v>18</v>
      </c>
      <c r="J2227">
        <f>IF($H2227=0,1,IF($I2227&lt;=1,2,0))</f>
        <v>0</v>
      </c>
      <c r="K2227">
        <v>0</v>
      </c>
      <c r="L2227">
        <f>IF(AND($J2227=0,$K2227=0),0,1)</f>
        <v>0</v>
      </c>
    </row>
    <row r="2228" spans="1:13" x14ac:dyDescent="0.2">
      <c r="A2228" t="s">
        <v>685</v>
      </c>
      <c r="B2228" t="s">
        <v>17</v>
      </c>
      <c r="C2228" t="s">
        <v>9</v>
      </c>
      <c r="D2228">
        <v>3350</v>
      </c>
      <c r="E2228">
        <v>2019</v>
      </c>
      <c r="F2228">
        <v>1</v>
      </c>
      <c r="G2228">
        <v>99270</v>
      </c>
      <c r="H2228" s="1">
        <v>3</v>
      </c>
      <c r="I2228">
        <v>15</v>
      </c>
      <c r="J2228">
        <f>IF($H2228=0,1,IF($I2228&lt;=1,2,0))</f>
        <v>0</v>
      </c>
      <c r="K2228">
        <v>0</v>
      </c>
      <c r="L2228">
        <f>IF(AND($J2228=0,$K2228=0),0,1)</f>
        <v>0</v>
      </c>
    </row>
    <row r="2229" spans="1:13" x14ac:dyDescent="0.2">
      <c r="A2229" t="s">
        <v>685</v>
      </c>
      <c r="B2229" t="s">
        <v>17</v>
      </c>
      <c r="C2229" t="s">
        <v>9</v>
      </c>
      <c r="D2229">
        <v>3350</v>
      </c>
      <c r="E2229">
        <v>2019</v>
      </c>
      <c r="F2229">
        <v>20</v>
      </c>
      <c r="G2229">
        <v>9643</v>
      </c>
      <c r="H2229" s="1">
        <v>3</v>
      </c>
      <c r="I2229">
        <v>14</v>
      </c>
      <c r="J2229">
        <f>IF($H2229=0,1,IF($I2229&lt;=1,2,0))</f>
        <v>0</v>
      </c>
      <c r="K2229">
        <v>0</v>
      </c>
      <c r="L2229">
        <f>IF(AND($J2229=0,$K2229=0),0,1)</f>
        <v>0</v>
      </c>
    </row>
    <row r="2230" spans="1:13" x14ac:dyDescent="0.2">
      <c r="A2230" t="s">
        <v>685</v>
      </c>
      <c r="B2230" t="s">
        <v>17</v>
      </c>
      <c r="C2230" t="s">
        <v>9</v>
      </c>
      <c r="D2230">
        <v>3350</v>
      </c>
      <c r="E2230">
        <v>2019</v>
      </c>
      <c r="F2230">
        <v>2</v>
      </c>
      <c r="G2230">
        <v>99269</v>
      </c>
      <c r="H2230" s="1">
        <v>3</v>
      </c>
      <c r="I2230">
        <v>11</v>
      </c>
      <c r="J2230">
        <f>IF($H2230=0,1,IF($I2230&lt;=1,2,0))</f>
        <v>0</v>
      </c>
      <c r="K2230">
        <v>0</v>
      </c>
      <c r="L2230">
        <f>IF(AND($J2230=0,$K2230=0),0,1)</f>
        <v>0</v>
      </c>
    </row>
    <row r="2231" spans="1:13" x14ac:dyDescent="0.2">
      <c r="A2231" t="s">
        <v>685</v>
      </c>
      <c r="B2231" t="s">
        <v>17</v>
      </c>
      <c r="C2231" t="s">
        <v>9</v>
      </c>
      <c r="D2231">
        <v>3350</v>
      </c>
      <c r="E2231">
        <v>2019</v>
      </c>
      <c r="F2231">
        <v>4</v>
      </c>
      <c r="G2231">
        <v>10311</v>
      </c>
      <c r="H2231" s="1">
        <v>3</v>
      </c>
      <c r="I2231">
        <v>6</v>
      </c>
      <c r="J2231">
        <f>IF($H2231=0,1,IF($I2231&lt;=1,2,0))</f>
        <v>0</v>
      </c>
      <c r="K2231">
        <v>0</v>
      </c>
      <c r="L2231">
        <f>IF(AND($J2231=0,$K2231=0),0,1)</f>
        <v>0</v>
      </c>
    </row>
    <row r="2232" spans="1:13" x14ac:dyDescent="0.2">
      <c r="A2232" t="s">
        <v>685</v>
      </c>
      <c r="B2232" t="s">
        <v>17</v>
      </c>
      <c r="C2232" t="s">
        <v>9</v>
      </c>
      <c r="D2232">
        <v>3362</v>
      </c>
      <c r="E2232">
        <v>2019</v>
      </c>
      <c r="F2232">
        <v>1</v>
      </c>
      <c r="G2232">
        <v>99215</v>
      </c>
      <c r="H2232" s="1">
        <v>3</v>
      </c>
      <c r="I2232">
        <v>2</v>
      </c>
      <c r="J2232">
        <f>IF($H2232=0,1,IF($I2232&lt;=1,2,0))</f>
        <v>0</v>
      </c>
      <c r="K2232">
        <v>0</v>
      </c>
      <c r="L2232">
        <f>IF(AND($J2232=0,$K2232=0),0,1)</f>
        <v>0</v>
      </c>
    </row>
    <row r="2233" spans="1:13" x14ac:dyDescent="0.2">
      <c r="A2233" t="s">
        <v>685</v>
      </c>
      <c r="B2233" t="s">
        <v>17</v>
      </c>
      <c r="C2233" t="s">
        <v>9</v>
      </c>
      <c r="D2233">
        <v>3415</v>
      </c>
      <c r="E2233">
        <v>2019</v>
      </c>
      <c r="F2233">
        <v>1</v>
      </c>
      <c r="G2233">
        <v>47802</v>
      </c>
      <c r="H2233" s="1">
        <v>3</v>
      </c>
      <c r="I2233">
        <v>6</v>
      </c>
      <c r="J2233">
        <f>IF($H2233=0,1,IF($I2233&lt;=1,2,0))</f>
        <v>0</v>
      </c>
      <c r="K2233">
        <v>0</v>
      </c>
      <c r="L2233">
        <f>IF(AND($J2233=0,$K2233=0),0,1)</f>
        <v>0</v>
      </c>
    </row>
    <row r="2234" spans="1:13" x14ac:dyDescent="0.2">
      <c r="A2234" t="s">
        <v>685</v>
      </c>
      <c r="B2234" t="s">
        <v>17</v>
      </c>
      <c r="C2234" t="s">
        <v>9</v>
      </c>
      <c r="D2234">
        <v>3559</v>
      </c>
      <c r="E2234">
        <v>2019</v>
      </c>
      <c r="F2234">
        <v>2</v>
      </c>
      <c r="G2234">
        <v>13403</v>
      </c>
      <c r="H2234" s="1">
        <v>3</v>
      </c>
      <c r="I2234">
        <v>12</v>
      </c>
      <c r="J2234">
        <f>IF($H2234=0,1,IF($I2234&lt;=1,2,0))</f>
        <v>0</v>
      </c>
      <c r="K2234">
        <v>0</v>
      </c>
      <c r="L2234">
        <f>IF(AND($J2234=0,$K2234=0),0,1)</f>
        <v>0</v>
      </c>
      <c r="M2234" t="s">
        <v>692</v>
      </c>
    </row>
    <row r="2235" spans="1:13" x14ac:dyDescent="0.2">
      <c r="A2235" t="s">
        <v>685</v>
      </c>
      <c r="B2235" t="s">
        <v>17</v>
      </c>
      <c r="C2235" t="s">
        <v>9</v>
      </c>
      <c r="D2235">
        <v>3574</v>
      </c>
      <c r="E2235">
        <v>2019</v>
      </c>
      <c r="F2235">
        <v>1</v>
      </c>
      <c r="G2235">
        <v>47808</v>
      </c>
      <c r="H2235" s="1">
        <v>3</v>
      </c>
      <c r="I2235">
        <v>2</v>
      </c>
      <c r="J2235">
        <f>IF($H2235=0,1,IF($I2235&lt;=1,2,0))</f>
        <v>0</v>
      </c>
      <c r="K2235">
        <v>0</v>
      </c>
      <c r="L2235">
        <f>IF(AND($J2235=0,$K2235=0),0,1)</f>
        <v>0</v>
      </c>
    </row>
    <row r="2236" spans="1:13" x14ac:dyDescent="0.2">
      <c r="A2236" t="s">
        <v>685</v>
      </c>
      <c r="B2236" t="s">
        <v>17</v>
      </c>
      <c r="C2236" t="s">
        <v>9</v>
      </c>
      <c r="D2236">
        <v>3656</v>
      </c>
      <c r="E2236">
        <v>2019</v>
      </c>
      <c r="F2236">
        <v>1</v>
      </c>
      <c r="G2236">
        <v>10606</v>
      </c>
      <c r="H2236" s="1">
        <v>3</v>
      </c>
      <c r="I2236">
        <v>7</v>
      </c>
      <c r="J2236">
        <f>IF($H2236=0,1,IF($I2236&lt;=1,2,0))</f>
        <v>0</v>
      </c>
      <c r="K2236">
        <v>0</v>
      </c>
      <c r="L2236">
        <f>IF(AND($J2236=0,$K2236=0),0,1)</f>
        <v>0</v>
      </c>
    </row>
    <row r="2237" spans="1:13" x14ac:dyDescent="0.2">
      <c r="A2237" t="s">
        <v>685</v>
      </c>
      <c r="B2237" t="s">
        <v>17</v>
      </c>
      <c r="C2237" t="s">
        <v>9</v>
      </c>
      <c r="D2237">
        <v>3710</v>
      </c>
      <c r="E2237">
        <v>2019</v>
      </c>
      <c r="F2237">
        <v>1</v>
      </c>
      <c r="G2237">
        <v>47803</v>
      </c>
      <c r="H2237" s="1">
        <v>3</v>
      </c>
      <c r="I2237">
        <v>17</v>
      </c>
      <c r="J2237">
        <f>IF($H2237=0,1,IF($I2237&lt;=1,2,0))</f>
        <v>0</v>
      </c>
      <c r="K2237">
        <v>0</v>
      </c>
      <c r="L2237">
        <f>IF(AND($J2237=0,$K2237=0),0,1)</f>
        <v>0</v>
      </c>
    </row>
    <row r="2238" spans="1:13" x14ac:dyDescent="0.2">
      <c r="A2238" t="s">
        <v>685</v>
      </c>
      <c r="B2238" t="s">
        <v>17</v>
      </c>
      <c r="C2238" t="s">
        <v>9</v>
      </c>
      <c r="D2238">
        <v>3991</v>
      </c>
      <c r="E2238">
        <v>2019</v>
      </c>
      <c r="F2238">
        <v>2</v>
      </c>
      <c r="G2238">
        <v>47817</v>
      </c>
      <c r="H2238" s="1">
        <v>4</v>
      </c>
      <c r="I2238">
        <v>10</v>
      </c>
      <c r="J2238">
        <f>IF($H2238=0,1,IF($I2238&lt;=1,2,0))</f>
        <v>0</v>
      </c>
      <c r="K2238">
        <v>0</v>
      </c>
      <c r="L2238">
        <f>IF(AND($J2238=0,$K2238=0),0,1)</f>
        <v>0</v>
      </c>
      <c r="M2238" t="s">
        <v>693</v>
      </c>
    </row>
    <row r="2239" spans="1:13" x14ac:dyDescent="0.2">
      <c r="A2239" t="s">
        <v>685</v>
      </c>
      <c r="B2239" t="s">
        <v>17</v>
      </c>
      <c r="C2239" t="s">
        <v>11</v>
      </c>
      <c r="D2239">
        <v>5450</v>
      </c>
      <c r="E2239">
        <v>2019</v>
      </c>
      <c r="F2239">
        <v>2</v>
      </c>
      <c r="G2239">
        <v>10194</v>
      </c>
      <c r="H2239" s="1">
        <v>4</v>
      </c>
      <c r="I2239">
        <v>3</v>
      </c>
      <c r="J2239">
        <f>IF($H2239=0,1,IF($I2239&lt;=1,2,0))</f>
        <v>0</v>
      </c>
      <c r="K2239">
        <v>0</v>
      </c>
      <c r="L2239">
        <f>IF(AND($J2239=0,$K2239=0),0,1)</f>
        <v>0</v>
      </c>
      <c r="M2239" t="s">
        <v>694</v>
      </c>
    </row>
    <row r="2240" spans="1:13" x14ac:dyDescent="0.2">
      <c r="A2240" t="s">
        <v>685</v>
      </c>
      <c r="B2240" t="s">
        <v>17</v>
      </c>
      <c r="C2240" t="s">
        <v>11</v>
      </c>
      <c r="D2240">
        <v>6003</v>
      </c>
      <c r="E2240">
        <v>2019</v>
      </c>
      <c r="F2240">
        <v>1</v>
      </c>
      <c r="G2240">
        <v>47807</v>
      </c>
      <c r="H2240" s="1">
        <v>4</v>
      </c>
      <c r="I2240">
        <v>13</v>
      </c>
      <c r="J2240">
        <f>IF($H2240=0,1,IF($I2240&lt;=1,2,0))</f>
        <v>0</v>
      </c>
      <c r="K2240">
        <v>0</v>
      </c>
      <c r="L2240">
        <f>IF(AND($J2240=0,$K2240=0),0,1)</f>
        <v>0</v>
      </c>
    </row>
    <row r="2241" spans="1:12" x14ac:dyDescent="0.2">
      <c r="A2241" t="s">
        <v>685</v>
      </c>
      <c r="B2241" t="s">
        <v>17</v>
      </c>
      <c r="C2241" t="s">
        <v>11</v>
      </c>
      <c r="D2241">
        <v>6015</v>
      </c>
      <c r="E2241">
        <v>2019</v>
      </c>
      <c r="F2241">
        <v>1</v>
      </c>
      <c r="G2241">
        <v>47809</v>
      </c>
      <c r="H2241" s="1">
        <v>4</v>
      </c>
      <c r="I2241">
        <v>6</v>
      </c>
      <c r="J2241">
        <f>IF($H2241=0,1,IF($I2241&lt;=1,2,0))</f>
        <v>0</v>
      </c>
      <c r="K2241">
        <v>0</v>
      </c>
      <c r="L2241">
        <f>IF(AND($J2241=0,$K2241=0),0,1)</f>
        <v>0</v>
      </c>
    </row>
    <row r="2242" spans="1:12" x14ac:dyDescent="0.2">
      <c r="A2242" t="s">
        <v>685</v>
      </c>
      <c r="B2242" t="s">
        <v>17</v>
      </c>
      <c r="C2242" t="s">
        <v>11</v>
      </c>
      <c r="D2242">
        <v>6472</v>
      </c>
      <c r="E2242">
        <v>2019</v>
      </c>
      <c r="F2242">
        <v>1</v>
      </c>
      <c r="G2242">
        <v>10658</v>
      </c>
      <c r="H2242" s="1">
        <v>4</v>
      </c>
      <c r="I2242">
        <v>8</v>
      </c>
      <c r="J2242">
        <f>IF($H2242=0,1,IF($I2242&lt;=1,2,0))</f>
        <v>0</v>
      </c>
      <c r="K2242">
        <v>0</v>
      </c>
      <c r="L2242">
        <f>IF(AND($J2242=0,$K2242=0),0,1)</f>
        <v>0</v>
      </c>
    </row>
    <row r="2243" spans="1:12" x14ac:dyDescent="0.2">
      <c r="A2243" t="s">
        <v>697</v>
      </c>
      <c r="B2243" t="s">
        <v>6</v>
      </c>
      <c r="C2243" t="s">
        <v>9</v>
      </c>
      <c r="D2243">
        <v>3303</v>
      </c>
      <c r="E2243">
        <v>2019</v>
      </c>
      <c r="F2243">
        <v>0</v>
      </c>
      <c r="G2243">
        <v>87251</v>
      </c>
      <c r="H2243" s="1">
        <v>3</v>
      </c>
      <c r="I2243">
        <v>20</v>
      </c>
      <c r="J2243">
        <f>IF($H2243=0,1,IF($I2243&lt;=1,2,0))</f>
        <v>0</v>
      </c>
      <c r="K2243">
        <v>0</v>
      </c>
      <c r="L2243">
        <f>IF(AND($J2243=0,$K2243=0),0,1)</f>
        <v>0</v>
      </c>
    </row>
    <row r="2244" spans="1:12" x14ac:dyDescent="0.2">
      <c r="A2244" t="s">
        <v>698</v>
      </c>
      <c r="B2244" t="s">
        <v>133</v>
      </c>
      <c r="C2244" t="s">
        <v>9</v>
      </c>
      <c r="D2244">
        <v>1001</v>
      </c>
      <c r="E2244">
        <v>2019</v>
      </c>
      <c r="F2244">
        <v>1</v>
      </c>
      <c r="G2244">
        <v>48410</v>
      </c>
      <c r="H2244" s="1">
        <v>3</v>
      </c>
      <c r="I2244">
        <v>122</v>
      </c>
      <c r="J2244">
        <f>IF($H2244=0,1,IF($I2244&lt;=1,2,0))</f>
        <v>0</v>
      </c>
      <c r="K2244">
        <v>0</v>
      </c>
      <c r="L2244">
        <f>IF(AND($J2244=0,$K2244=0),0,1)</f>
        <v>0</v>
      </c>
    </row>
    <row r="2245" spans="1:12" x14ac:dyDescent="0.2">
      <c r="A2245" t="s">
        <v>698</v>
      </c>
      <c r="B2245" t="s">
        <v>133</v>
      </c>
      <c r="C2245" t="s">
        <v>9</v>
      </c>
      <c r="D2245">
        <v>1001</v>
      </c>
      <c r="E2245">
        <v>2019</v>
      </c>
      <c r="F2245">
        <v>2</v>
      </c>
      <c r="G2245">
        <v>48415</v>
      </c>
      <c r="H2245" s="1">
        <v>3</v>
      </c>
      <c r="I2245">
        <v>55</v>
      </c>
      <c r="J2245">
        <f>IF($H2245=0,1,IF($I2245&lt;=1,2,0))</f>
        <v>0</v>
      </c>
      <c r="K2245">
        <v>0</v>
      </c>
      <c r="L2245">
        <f>IF(AND($J2245=0,$K2245=0),0,1)</f>
        <v>0</v>
      </c>
    </row>
    <row r="2246" spans="1:12" x14ac:dyDescent="0.2">
      <c r="A2246" t="s">
        <v>698</v>
      </c>
      <c r="B2246" t="s">
        <v>133</v>
      </c>
      <c r="C2246" t="s">
        <v>9</v>
      </c>
      <c r="D2246">
        <v>1001</v>
      </c>
      <c r="E2246">
        <v>2019</v>
      </c>
      <c r="F2246">
        <v>3</v>
      </c>
      <c r="G2246">
        <v>48416</v>
      </c>
      <c r="H2246" s="1">
        <v>3</v>
      </c>
      <c r="I2246">
        <v>34</v>
      </c>
      <c r="J2246">
        <f>IF($H2246=0,1,IF($I2246&lt;=1,2,0))</f>
        <v>0</v>
      </c>
      <c r="K2246">
        <v>0</v>
      </c>
      <c r="L2246">
        <f>IF(AND($J2246=0,$K2246=0),0,1)</f>
        <v>0</v>
      </c>
    </row>
    <row r="2247" spans="1:12" x14ac:dyDescent="0.2">
      <c r="A2247" t="s">
        <v>698</v>
      </c>
      <c r="B2247" t="s">
        <v>133</v>
      </c>
      <c r="C2247" t="s">
        <v>9</v>
      </c>
      <c r="D2247">
        <v>1010</v>
      </c>
      <c r="E2247">
        <v>2019</v>
      </c>
      <c r="F2247">
        <v>1</v>
      </c>
      <c r="G2247">
        <v>14223</v>
      </c>
      <c r="H2247" s="1">
        <v>3</v>
      </c>
      <c r="I2247">
        <v>16</v>
      </c>
      <c r="J2247">
        <f>IF($H2247=0,1,IF($I2247&lt;=1,2,0))</f>
        <v>0</v>
      </c>
      <c r="K2247">
        <v>0</v>
      </c>
      <c r="L2247">
        <f>IF(AND($J2247=0,$K2247=0),0,1)</f>
        <v>0</v>
      </c>
    </row>
    <row r="2248" spans="1:12" x14ac:dyDescent="0.2">
      <c r="A2248" t="s">
        <v>698</v>
      </c>
      <c r="B2248" t="s">
        <v>133</v>
      </c>
      <c r="C2248" t="s">
        <v>9</v>
      </c>
      <c r="D2248">
        <v>1101</v>
      </c>
      <c r="E2248">
        <v>2019</v>
      </c>
      <c r="F2248">
        <v>2</v>
      </c>
      <c r="G2248">
        <v>10361</v>
      </c>
      <c r="H2248" s="1">
        <v>3</v>
      </c>
      <c r="I2248">
        <v>76</v>
      </c>
      <c r="J2248">
        <f>IF($H2248=0,1,IF($I2248&lt;=1,2,0))</f>
        <v>0</v>
      </c>
      <c r="K2248">
        <v>0</v>
      </c>
      <c r="L2248">
        <f>IF(AND($J2248=0,$K2248=0),0,1)</f>
        <v>0</v>
      </c>
    </row>
    <row r="2249" spans="1:12" x14ac:dyDescent="0.2">
      <c r="A2249" t="s">
        <v>698</v>
      </c>
      <c r="B2249" t="s">
        <v>133</v>
      </c>
      <c r="C2249" t="s">
        <v>9</v>
      </c>
      <c r="D2249">
        <v>1101</v>
      </c>
      <c r="E2249">
        <v>2019</v>
      </c>
      <c r="F2249">
        <v>1</v>
      </c>
      <c r="G2249">
        <v>48411</v>
      </c>
      <c r="H2249" s="1">
        <v>3</v>
      </c>
      <c r="I2249">
        <v>58</v>
      </c>
      <c r="J2249">
        <f>IF($H2249=0,1,IF($I2249&lt;=1,2,0))</f>
        <v>0</v>
      </c>
      <c r="K2249">
        <v>0</v>
      </c>
      <c r="L2249">
        <f>IF(AND($J2249=0,$K2249=0),0,1)</f>
        <v>0</v>
      </c>
    </row>
    <row r="2250" spans="1:12" x14ac:dyDescent="0.2">
      <c r="A2250" t="s">
        <v>698</v>
      </c>
      <c r="B2250" t="s">
        <v>133</v>
      </c>
      <c r="C2250" t="s">
        <v>9</v>
      </c>
      <c r="D2250">
        <v>1101</v>
      </c>
      <c r="E2250">
        <v>2019</v>
      </c>
      <c r="F2250">
        <v>3</v>
      </c>
      <c r="G2250">
        <v>48412</v>
      </c>
      <c r="H2250" s="1">
        <v>3</v>
      </c>
      <c r="I2250">
        <v>47</v>
      </c>
      <c r="J2250">
        <f>IF($H2250=0,1,IF($I2250&lt;=1,2,0))</f>
        <v>0</v>
      </c>
      <c r="K2250">
        <v>0</v>
      </c>
      <c r="L2250">
        <f>IF(AND($J2250=0,$K2250=0),0,1)</f>
        <v>0</v>
      </c>
    </row>
    <row r="2251" spans="1:12" x14ac:dyDescent="0.2">
      <c r="A2251" t="s">
        <v>698</v>
      </c>
      <c r="B2251" t="s">
        <v>133</v>
      </c>
      <c r="C2251" t="s">
        <v>9</v>
      </c>
      <c r="D2251">
        <v>1201</v>
      </c>
      <c r="E2251">
        <v>2019</v>
      </c>
      <c r="F2251">
        <v>2</v>
      </c>
      <c r="G2251">
        <v>48422</v>
      </c>
      <c r="H2251" s="1">
        <v>3</v>
      </c>
      <c r="I2251">
        <v>81</v>
      </c>
      <c r="J2251">
        <f>IF($H2251=0,1,IF($I2251&lt;=1,2,0))</f>
        <v>0</v>
      </c>
      <c r="K2251">
        <v>0</v>
      </c>
      <c r="L2251">
        <f>IF(AND($J2251=0,$K2251=0),0,1)</f>
        <v>0</v>
      </c>
    </row>
    <row r="2252" spans="1:12" x14ac:dyDescent="0.2">
      <c r="A2252" t="s">
        <v>698</v>
      </c>
      <c r="B2252" t="s">
        <v>133</v>
      </c>
      <c r="C2252" t="s">
        <v>9</v>
      </c>
      <c r="D2252">
        <v>1201</v>
      </c>
      <c r="E2252">
        <v>2019</v>
      </c>
      <c r="F2252">
        <v>1</v>
      </c>
      <c r="G2252">
        <v>48420</v>
      </c>
      <c r="H2252" s="1">
        <v>3</v>
      </c>
      <c r="I2252">
        <v>67</v>
      </c>
      <c r="J2252">
        <f>IF($H2252=0,1,IF($I2252&lt;=1,2,0))</f>
        <v>0</v>
      </c>
      <c r="K2252">
        <v>0</v>
      </c>
      <c r="L2252">
        <f>IF(AND($J2252=0,$K2252=0),0,1)</f>
        <v>0</v>
      </c>
    </row>
    <row r="2253" spans="1:12" x14ac:dyDescent="0.2">
      <c r="A2253" t="s">
        <v>698</v>
      </c>
      <c r="B2253" t="s">
        <v>133</v>
      </c>
      <c r="C2253" t="s">
        <v>9</v>
      </c>
      <c r="D2253">
        <v>1201</v>
      </c>
      <c r="E2253">
        <v>2019</v>
      </c>
      <c r="F2253">
        <v>3</v>
      </c>
      <c r="G2253">
        <v>48423</v>
      </c>
      <c r="H2253" s="1">
        <v>3</v>
      </c>
      <c r="I2253">
        <v>65</v>
      </c>
      <c r="J2253">
        <f>IF($H2253=0,1,IF($I2253&lt;=1,2,0))</f>
        <v>0</v>
      </c>
      <c r="K2253">
        <v>0</v>
      </c>
      <c r="L2253">
        <f>IF(AND($J2253=0,$K2253=0),0,1)</f>
        <v>0</v>
      </c>
    </row>
    <row r="2254" spans="1:12" x14ac:dyDescent="0.2">
      <c r="A2254" t="s">
        <v>698</v>
      </c>
      <c r="B2254" t="s">
        <v>133</v>
      </c>
      <c r="C2254" t="s">
        <v>9</v>
      </c>
      <c r="D2254">
        <v>1201</v>
      </c>
      <c r="E2254">
        <v>2019</v>
      </c>
      <c r="F2254">
        <v>4</v>
      </c>
      <c r="G2254">
        <v>48424</v>
      </c>
      <c r="H2254" s="1">
        <v>3</v>
      </c>
      <c r="I2254">
        <v>50</v>
      </c>
      <c r="J2254">
        <f>IF($H2254=0,1,IF($I2254&lt;=1,2,0))</f>
        <v>0</v>
      </c>
      <c r="K2254">
        <v>0</v>
      </c>
      <c r="L2254">
        <f>IF(AND($J2254=0,$K2254=0),0,1)</f>
        <v>0</v>
      </c>
    </row>
    <row r="2255" spans="1:12" x14ac:dyDescent="0.2">
      <c r="A2255" t="s">
        <v>698</v>
      </c>
      <c r="B2255" t="s">
        <v>133</v>
      </c>
      <c r="C2255" t="s">
        <v>9</v>
      </c>
      <c r="D2255">
        <v>1202</v>
      </c>
      <c r="E2255">
        <v>2019</v>
      </c>
      <c r="F2255">
        <v>1</v>
      </c>
      <c r="G2255">
        <v>48425</v>
      </c>
      <c r="H2255" s="1">
        <v>1</v>
      </c>
      <c r="I2255">
        <v>11</v>
      </c>
      <c r="J2255">
        <f>IF($H2255=0,1,IF($I2255&lt;=1,2,0))</f>
        <v>0</v>
      </c>
      <c r="K2255">
        <v>0</v>
      </c>
      <c r="L2255">
        <f>IF(AND($J2255=0,$K2255=0),0,1)</f>
        <v>0</v>
      </c>
    </row>
    <row r="2256" spans="1:12" x14ac:dyDescent="0.2">
      <c r="A2256" t="s">
        <v>698</v>
      </c>
      <c r="B2256" t="s">
        <v>133</v>
      </c>
      <c r="C2256" t="s">
        <v>9</v>
      </c>
      <c r="D2256">
        <v>2103</v>
      </c>
      <c r="E2256">
        <v>2019</v>
      </c>
      <c r="F2256">
        <v>1</v>
      </c>
      <c r="G2256">
        <v>48426</v>
      </c>
      <c r="H2256" s="1">
        <v>3</v>
      </c>
      <c r="I2256">
        <v>34</v>
      </c>
      <c r="J2256">
        <f>IF($H2256=0,1,IF($I2256&lt;=1,2,0))</f>
        <v>0</v>
      </c>
      <c r="K2256">
        <v>0</v>
      </c>
      <c r="L2256">
        <f>IF(AND($J2256=0,$K2256=0),0,1)</f>
        <v>0</v>
      </c>
    </row>
    <row r="2257" spans="1:13" x14ac:dyDescent="0.2">
      <c r="A2257" t="s">
        <v>698</v>
      </c>
      <c r="B2257" t="s">
        <v>133</v>
      </c>
      <c r="C2257" t="s">
        <v>9</v>
      </c>
      <c r="D2257">
        <v>3105</v>
      </c>
      <c r="E2257">
        <v>2019</v>
      </c>
      <c r="F2257">
        <v>1</v>
      </c>
      <c r="G2257">
        <v>48427</v>
      </c>
      <c r="H2257" s="1">
        <v>3</v>
      </c>
      <c r="I2257">
        <v>23</v>
      </c>
      <c r="J2257">
        <f>IF($H2257=0,1,IF($I2257&lt;=1,2,0))</f>
        <v>0</v>
      </c>
      <c r="K2257">
        <v>0</v>
      </c>
      <c r="L2257">
        <f>IF(AND($J2257=0,$K2257=0),0,1)</f>
        <v>0</v>
      </c>
    </row>
    <row r="2258" spans="1:13" x14ac:dyDescent="0.2">
      <c r="A2258" t="s">
        <v>698</v>
      </c>
      <c r="B2258" t="s">
        <v>133</v>
      </c>
      <c r="C2258" t="s">
        <v>9</v>
      </c>
      <c r="D2258">
        <v>4001</v>
      </c>
      <c r="E2258">
        <v>2019</v>
      </c>
      <c r="F2258">
        <v>1</v>
      </c>
      <c r="G2258">
        <v>48429</v>
      </c>
      <c r="H2258" s="1">
        <v>3</v>
      </c>
      <c r="I2258">
        <v>125</v>
      </c>
      <c r="J2258">
        <f>IF($H2258=0,1,IF($I2258&lt;=1,2,0))</f>
        <v>0</v>
      </c>
      <c r="K2258">
        <v>0</v>
      </c>
      <c r="L2258">
        <f>IF(AND($J2258=0,$K2258=0),0,1)</f>
        <v>0</v>
      </c>
    </row>
    <row r="2259" spans="1:13" x14ac:dyDescent="0.2">
      <c r="A2259" t="s">
        <v>698</v>
      </c>
      <c r="B2259" t="s">
        <v>133</v>
      </c>
      <c r="C2259" t="s">
        <v>9</v>
      </c>
      <c r="D2259">
        <v>4001</v>
      </c>
      <c r="E2259">
        <v>2019</v>
      </c>
      <c r="F2259">
        <v>2</v>
      </c>
      <c r="G2259">
        <v>48430</v>
      </c>
      <c r="H2259" s="1">
        <v>3</v>
      </c>
      <c r="I2259">
        <v>76</v>
      </c>
      <c r="J2259">
        <f>IF($H2259=0,1,IF($I2259&lt;=1,2,0))</f>
        <v>0</v>
      </c>
      <c r="K2259">
        <v>0</v>
      </c>
      <c r="L2259">
        <f>IF(AND($J2259=0,$K2259=0),0,1)</f>
        <v>0</v>
      </c>
    </row>
    <row r="2260" spans="1:13" x14ac:dyDescent="0.2">
      <c r="A2260" t="s">
        <v>698</v>
      </c>
      <c r="B2260" t="s">
        <v>133</v>
      </c>
      <c r="C2260" t="s">
        <v>9</v>
      </c>
      <c r="D2260">
        <v>4001</v>
      </c>
      <c r="E2260">
        <v>2019</v>
      </c>
      <c r="F2260">
        <v>3</v>
      </c>
      <c r="G2260">
        <v>13294</v>
      </c>
      <c r="H2260" s="1">
        <v>3</v>
      </c>
      <c r="I2260">
        <v>38</v>
      </c>
      <c r="J2260">
        <f>IF($H2260=0,1,IF($I2260&lt;=1,2,0))</f>
        <v>0</v>
      </c>
      <c r="K2260">
        <v>0</v>
      </c>
      <c r="L2260">
        <f>IF(AND($J2260=0,$K2260=0),0,1)</f>
        <v>0</v>
      </c>
    </row>
    <row r="2261" spans="1:13" x14ac:dyDescent="0.2">
      <c r="A2261" t="s">
        <v>698</v>
      </c>
      <c r="B2261" t="s">
        <v>133</v>
      </c>
      <c r="C2261" t="s">
        <v>9</v>
      </c>
      <c r="D2261">
        <v>4203</v>
      </c>
      <c r="E2261">
        <v>2019</v>
      </c>
      <c r="F2261">
        <v>1</v>
      </c>
      <c r="G2261">
        <v>48477</v>
      </c>
      <c r="H2261" s="1">
        <v>3</v>
      </c>
      <c r="I2261">
        <v>39</v>
      </c>
      <c r="J2261">
        <f>IF($H2261=0,1,IF($I2261&lt;=1,2,0))</f>
        <v>0</v>
      </c>
      <c r="K2261">
        <v>0</v>
      </c>
      <c r="L2261">
        <f>IF(AND($J2261=0,$K2261=0),0,1)</f>
        <v>0</v>
      </c>
      <c r="M2261" t="s">
        <v>700</v>
      </c>
    </row>
    <row r="2262" spans="1:13" x14ac:dyDescent="0.2">
      <c r="A2262" t="s">
        <v>698</v>
      </c>
      <c r="B2262" t="s">
        <v>133</v>
      </c>
      <c r="C2262" t="s">
        <v>9</v>
      </c>
      <c r="D2262">
        <v>4203</v>
      </c>
      <c r="E2262">
        <v>2019</v>
      </c>
      <c r="F2262">
        <v>3</v>
      </c>
      <c r="G2262">
        <v>48479</v>
      </c>
      <c r="H2262" s="1">
        <v>3</v>
      </c>
      <c r="I2262">
        <v>33</v>
      </c>
      <c r="J2262">
        <f>IF($H2262=0,1,IF($I2262&lt;=1,2,0))</f>
        <v>0</v>
      </c>
      <c r="K2262">
        <v>0</v>
      </c>
      <c r="L2262">
        <f>IF(AND($J2262=0,$K2262=0),0,1)</f>
        <v>0</v>
      </c>
    </row>
    <row r="2263" spans="1:13" x14ac:dyDescent="0.2">
      <c r="A2263" t="s">
        <v>698</v>
      </c>
      <c r="B2263" t="s">
        <v>133</v>
      </c>
      <c r="C2263" t="s">
        <v>9</v>
      </c>
      <c r="D2263">
        <v>4204</v>
      </c>
      <c r="E2263">
        <v>2019</v>
      </c>
      <c r="F2263">
        <v>3</v>
      </c>
      <c r="G2263">
        <v>48440</v>
      </c>
      <c r="H2263" s="1">
        <v>3</v>
      </c>
      <c r="I2263">
        <v>48</v>
      </c>
      <c r="J2263">
        <f>IF($H2263=0,1,IF($I2263&lt;=1,2,0))</f>
        <v>0</v>
      </c>
      <c r="K2263">
        <v>0</v>
      </c>
      <c r="L2263">
        <f>IF(AND($J2263=0,$K2263=0),0,1)</f>
        <v>0</v>
      </c>
    </row>
    <row r="2264" spans="1:13" x14ac:dyDescent="0.2">
      <c r="A2264" t="s">
        <v>698</v>
      </c>
      <c r="B2264" t="s">
        <v>133</v>
      </c>
      <c r="C2264" t="s">
        <v>9</v>
      </c>
      <c r="D2264">
        <v>4205</v>
      </c>
      <c r="E2264">
        <v>2019</v>
      </c>
      <c r="F2264">
        <v>1</v>
      </c>
      <c r="G2264">
        <v>48433</v>
      </c>
      <c r="H2264" s="1">
        <v>3</v>
      </c>
      <c r="I2264">
        <v>23</v>
      </c>
      <c r="J2264">
        <f>IF($H2264=0,1,IF($I2264&lt;=1,2,0))</f>
        <v>0</v>
      </c>
      <c r="K2264">
        <v>0</v>
      </c>
      <c r="L2264">
        <f>IF(AND($J2264=0,$K2264=0),0,1)</f>
        <v>0</v>
      </c>
      <c r="M2264" t="s">
        <v>700</v>
      </c>
    </row>
    <row r="2265" spans="1:13" x14ac:dyDescent="0.2">
      <c r="A2265" t="s">
        <v>698</v>
      </c>
      <c r="B2265" t="s">
        <v>133</v>
      </c>
      <c r="C2265" t="s">
        <v>9</v>
      </c>
      <c r="D2265">
        <v>4205</v>
      </c>
      <c r="E2265">
        <v>2019</v>
      </c>
      <c r="F2265">
        <v>2</v>
      </c>
      <c r="G2265">
        <v>48443</v>
      </c>
      <c r="H2265" s="1">
        <v>3</v>
      </c>
      <c r="I2265">
        <v>16</v>
      </c>
      <c r="J2265">
        <f>IF($H2265=0,1,IF($I2265&lt;=1,2,0))</f>
        <v>0</v>
      </c>
      <c r="K2265">
        <v>0</v>
      </c>
      <c r="L2265">
        <f>IF(AND($J2265=0,$K2265=0),0,1)</f>
        <v>0</v>
      </c>
    </row>
    <row r="2266" spans="1:13" x14ac:dyDescent="0.2">
      <c r="A2266" t="s">
        <v>698</v>
      </c>
      <c r="B2266" t="s">
        <v>133</v>
      </c>
      <c r="C2266" t="s">
        <v>9</v>
      </c>
      <c r="D2266">
        <v>4205</v>
      </c>
      <c r="E2266">
        <v>2019</v>
      </c>
      <c r="F2266">
        <v>3</v>
      </c>
      <c r="G2266">
        <v>48445</v>
      </c>
      <c r="H2266" s="1">
        <v>3</v>
      </c>
      <c r="I2266">
        <v>15</v>
      </c>
      <c r="J2266">
        <f>IF($H2266=0,1,IF($I2266&lt;=1,2,0))</f>
        <v>0</v>
      </c>
      <c r="K2266">
        <v>0</v>
      </c>
      <c r="L2266">
        <f>IF(AND($J2266=0,$K2266=0),0,1)</f>
        <v>0</v>
      </c>
    </row>
    <row r="2267" spans="1:13" x14ac:dyDescent="0.2">
      <c r="A2267" t="s">
        <v>698</v>
      </c>
      <c r="B2267" t="s">
        <v>133</v>
      </c>
      <c r="C2267" t="s">
        <v>9</v>
      </c>
      <c r="D2267">
        <v>4205</v>
      </c>
      <c r="E2267">
        <v>2019</v>
      </c>
      <c r="F2267">
        <v>4</v>
      </c>
      <c r="G2267">
        <v>48446</v>
      </c>
      <c r="H2267" s="1">
        <v>3</v>
      </c>
      <c r="I2267">
        <v>13</v>
      </c>
      <c r="J2267">
        <f>IF($H2267=0,1,IF($I2267&lt;=1,2,0))</f>
        <v>0</v>
      </c>
      <c r="K2267">
        <v>0</v>
      </c>
      <c r="L2267">
        <f>IF(AND($J2267=0,$K2267=0),0,1)</f>
        <v>0</v>
      </c>
    </row>
    <row r="2268" spans="1:13" x14ac:dyDescent="0.2">
      <c r="A2268" t="s">
        <v>698</v>
      </c>
      <c r="B2268" t="s">
        <v>133</v>
      </c>
      <c r="C2268" t="s">
        <v>9</v>
      </c>
      <c r="D2268">
        <v>4206</v>
      </c>
      <c r="E2268">
        <v>2019</v>
      </c>
      <c r="F2268">
        <v>1</v>
      </c>
      <c r="G2268">
        <v>48449</v>
      </c>
      <c r="H2268" s="1">
        <v>3</v>
      </c>
      <c r="I2268">
        <v>30</v>
      </c>
      <c r="J2268">
        <f>IF($H2268=0,1,IF($I2268&lt;=1,2,0))</f>
        <v>0</v>
      </c>
      <c r="K2268">
        <v>0</v>
      </c>
      <c r="L2268">
        <f>IF(AND($J2268=0,$K2268=0),0,1)</f>
        <v>0</v>
      </c>
      <c r="M2268" t="s">
        <v>700</v>
      </c>
    </row>
    <row r="2269" spans="1:13" x14ac:dyDescent="0.2">
      <c r="A2269" t="s">
        <v>698</v>
      </c>
      <c r="B2269" t="s">
        <v>133</v>
      </c>
      <c r="C2269" t="s">
        <v>9</v>
      </c>
      <c r="D2269">
        <v>4207</v>
      </c>
      <c r="E2269">
        <v>2019</v>
      </c>
      <c r="F2269">
        <v>1</v>
      </c>
      <c r="G2269">
        <v>48450</v>
      </c>
      <c r="H2269" s="1">
        <v>3</v>
      </c>
      <c r="I2269">
        <v>39</v>
      </c>
      <c r="J2269">
        <f>IF($H2269=0,1,IF($I2269&lt;=1,2,0))</f>
        <v>0</v>
      </c>
      <c r="K2269">
        <v>0</v>
      </c>
      <c r="L2269">
        <f>IF(AND($J2269=0,$K2269=0),0,1)</f>
        <v>0</v>
      </c>
    </row>
    <row r="2270" spans="1:13" x14ac:dyDescent="0.2">
      <c r="A2270" t="s">
        <v>698</v>
      </c>
      <c r="B2270" t="s">
        <v>133</v>
      </c>
      <c r="C2270" t="s">
        <v>9</v>
      </c>
      <c r="D2270">
        <v>4221</v>
      </c>
      <c r="E2270">
        <v>2019</v>
      </c>
      <c r="F2270">
        <v>1</v>
      </c>
      <c r="G2270">
        <v>48451</v>
      </c>
      <c r="H2270" s="1">
        <v>3</v>
      </c>
      <c r="I2270">
        <v>4</v>
      </c>
      <c r="J2270">
        <f>IF($H2270=0,1,IF($I2270&lt;=1,2,0))</f>
        <v>0</v>
      </c>
      <c r="K2270">
        <v>0</v>
      </c>
      <c r="L2270">
        <f>IF(AND($J2270=0,$K2270=0),0,1)</f>
        <v>0</v>
      </c>
    </row>
    <row r="2271" spans="1:13" x14ac:dyDescent="0.2">
      <c r="A2271" t="s">
        <v>698</v>
      </c>
      <c r="B2271" t="s">
        <v>133</v>
      </c>
      <c r="C2271" t="s">
        <v>9</v>
      </c>
      <c r="D2271">
        <v>4224</v>
      </c>
      <c r="E2271">
        <v>2019</v>
      </c>
      <c r="F2271">
        <v>1</v>
      </c>
      <c r="G2271">
        <v>48452</v>
      </c>
      <c r="H2271" s="1">
        <v>3</v>
      </c>
      <c r="I2271">
        <v>23</v>
      </c>
      <c r="J2271">
        <f>IF($H2271=0,1,IF($I2271&lt;=1,2,0))</f>
        <v>0</v>
      </c>
      <c r="K2271">
        <v>0</v>
      </c>
      <c r="L2271">
        <f>IF(AND($J2271=0,$K2271=0),0,1)</f>
        <v>0</v>
      </c>
    </row>
    <row r="2272" spans="1:13" x14ac:dyDescent="0.2">
      <c r="A2272" t="s">
        <v>698</v>
      </c>
      <c r="B2272" t="s">
        <v>133</v>
      </c>
      <c r="C2272" t="s">
        <v>9</v>
      </c>
      <c r="D2272">
        <v>4234</v>
      </c>
      <c r="E2272">
        <v>2019</v>
      </c>
      <c r="F2272">
        <v>1</v>
      </c>
      <c r="G2272">
        <v>48453</v>
      </c>
      <c r="H2272" s="1">
        <v>3</v>
      </c>
      <c r="I2272">
        <v>2</v>
      </c>
      <c r="J2272">
        <f>IF($H2272=0,1,IF($I2272&lt;=1,2,0))</f>
        <v>0</v>
      </c>
      <c r="K2272">
        <v>0</v>
      </c>
      <c r="L2272">
        <f>IF(AND($J2272=0,$K2272=0),0,1)</f>
        <v>0</v>
      </c>
    </row>
    <row r="2273" spans="1:13" x14ac:dyDescent="0.2">
      <c r="A2273" t="s">
        <v>698</v>
      </c>
      <c r="B2273" t="s">
        <v>133</v>
      </c>
      <c r="C2273" t="s">
        <v>9</v>
      </c>
      <c r="D2273">
        <v>4243</v>
      </c>
      <c r="E2273">
        <v>2019</v>
      </c>
      <c r="F2273">
        <v>1</v>
      </c>
      <c r="G2273">
        <v>48454</v>
      </c>
      <c r="H2273" s="1">
        <v>3</v>
      </c>
      <c r="I2273">
        <v>19</v>
      </c>
      <c r="J2273">
        <f>IF($H2273=0,1,IF($I2273&lt;=1,2,0))</f>
        <v>0</v>
      </c>
      <c r="K2273">
        <v>0</v>
      </c>
      <c r="L2273">
        <f>IF(AND($J2273=0,$K2273=0),0,1)</f>
        <v>0</v>
      </c>
    </row>
    <row r="2274" spans="1:13" x14ac:dyDescent="0.2">
      <c r="A2274" t="s">
        <v>698</v>
      </c>
      <c r="B2274" t="s">
        <v>133</v>
      </c>
      <c r="C2274" t="s">
        <v>9</v>
      </c>
      <c r="D2274">
        <v>4243</v>
      </c>
      <c r="E2274">
        <v>2019</v>
      </c>
      <c r="F2274">
        <v>2</v>
      </c>
      <c r="G2274">
        <v>48517</v>
      </c>
      <c r="H2274" s="1">
        <v>3</v>
      </c>
      <c r="I2274">
        <v>18</v>
      </c>
      <c r="J2274">
        <f>IF($H2274=0,1,IF($I2274&lt;=1,2,0))</f>
        <v>0</v>
      </c>
      <c r="K2274">
        <v>0</v>
      </c>
      <c r="L2274">
        <f>IF(AND($J2274=0,$K2274=0),0,1)</f>
        <v>0</v>
      </c>
    </row>
    <row r="2275" spans="1:13" x14ac:dyDescent="0.2">
      <c r="A2275" t="s">
        <v>698</v>
      </c>
      <c r="B2275" t="s">
        <v>133</v>
      </c>
      <c r="C2275" t="s">
        <v>9</v>
      </c>
      <c r="D2275">
        <v>4261</v>
      </c>
      <c r="E2275">
        <v>2019</v>
      </c>
      <c r="F2275">
        <v>1</v>
      </c>
      <c r="G2275">
        <v>10362</v>
      </c>
      <c r="H2275" s="1">
        <v>3</v>
      </c>
      <c r="I2275">
        <v>8</v>
      </c>
      <c r="J2275">
        <f>IF($H2275=0,1,IF($I2275&lt;=1,2,0))</f>
        <v>0</v>
      </c>
      <c r="K2275">
        <v>0</v>
      </c>
      <c r="L2275">
        <f>IF(AND($J2275=0,$K2275=0),0,1)</f>
        <v>0</v>
      </c>
    </row>
    <row r="2276" spans="1:13" x14ac:dyDescent="0.2">
      <c r="A2276" t="s">
        <v>698</v>
      </c>
      <c r="B2276" t="s">
        <v>133</v>
      </c>
      <c r="C2276" t="s">
        <v>11</v>
      </c>
      <c r="D2276">
        <v>4263</v>
      </c>
      <c r="E2276">
        <v>2019</v>
      </c>
      <c r="F2276">
        <v>2</v>
      </c>
      <c r="G2276">
        <v>48448</v>
      </c>
      <c r="H2276" s="1">
        <v>3</v>
      </c>
      <c r="I2276">
        <v>2</v>
      </c>
      <c r="J2276">
        <f>IF($H2276=0,1,IF($I2276&lt;=1,2,0))</f>
        <v>0</v>
      </c>
      <c r="K2276">
        <v>0</v>
      </c>
      <c r="L2276">
        <f>IF(AND($J2276=0,$K2276=0),0,1)</f>
        <v>0</v>
      </c>
    </row>
    <row r="2277" spans="1:13" x14ac:dyDescent="0.2">
      <c r="A2277" t="s">
        <v>698</v>
      </c>
      <c r="B2277" t="s">
        <v>133</v>
      </c>
      <c r="C2277" t="s">
        <v>11</v>
      </c>
      <c r="D2277">
        <v>4264</v>
      </c>
      <c r="E2277">
        <v>2019</v>
      </c>
      <c r="F2277">
        <v>1</v>
      </c>
      <c r="G2277">
        <v>48455</v>
      </c>
      <c r="H2277" s="1">
        <v>3</v>
      </c>
      <c r="I2277">
        <v>8</v>
      </c>
      <c r="J2277">
        <f>IF($H2277=0,1,IF($I2277&lt;=1,2,0))</f>
        <v>0</v>
      </c>
      <c r="K2277">
        <v>0</v>
      </c>
      <c r="L2277">
        <f>IF(AND($J2277=0,$K2277=0),0,1)</f>
        <v>0</v>
      </c>
    </row>
    <row r="2278" spans="1:13" x14ac:dyDescent="0.2">
      <c r="A2278" t="s">
        <v>698</v>
      </c>
      <c r="B2278" t="s">
        <v>133</v>
      </c>
      <c r="C2278" t="s">
        <v>9</v>
      </c>
      <c r="D2278">
        <v>4281</v>
      </c>
      <c r="E2278">
        <v>2019</v>
      </c>
      <c r="F2278">
        <v>1</v>
      </c>
      <c r="G2278">
        <v>48458</v>
      </c>
      <c r="H2278" s="1">
        <v>3</v>
      </c>
      <c r="I2278">
        <v>14</v>
      </c>
      <c r="J2278">
        <f>IF($H2278=0,1,IF($I2278&lt;=1,2,0))</f>
        <v>0</v>
      </c>
      <c r="K2278">
        <v>0</v>
      </c>
      <c r="L2278">
        <f>IF(AND($J2278=0,$K2278=0),0,1)</f>
        <v>0</v>
      </c>
    </row>
    <row r="2279" spans="1:13" x14ac:dyDescent="0.2">
      <c r="A2279" t="s">
        <v>698</v>
      </c>
      <c r="B2279" t="s">
        <v>133</v>
      </c>
      <c r="C2279" t="s">
        <v>9</v>
      </c>
      <c r="D2279">
        <v>4282</v>
      </c>
      <c r="E2279">
        <v>2019</v>
      </c>
      <c r="F2279">
        <v>1</v>
      </c>
      <c r="G2279">
        <v>48459</v>
      </c>
      <c r="H2279" s="1">
        <v>3</v>
      </c>
      <c r="I2279">
        <v>11</v>
      </c>
      <c r="J2279">
        <f>IF($H2279=0,1,IF($I2279&lt;=1,2,0))</f>
        <v>0</v>
      </c>
      <c r="K2279">
        <v>0</v>
      </c>
      <c r="L2279">
        <f>IF(AND($J2279=0,$K2279=0),0,1)</f>
        <v>0</v>
      </c>
    </row>
    <row r="2280" spans="1:13" x14ac:dyDescent="0.2">
      <c r="A2280" t="s">
        <v>728</v>
      </c>
      <c r="B2280" t="s">
        <v>17</v>
      </c>
      <c r="C2280" t="s">
        <v>9</v>
      </c>
      <c r="D2280">
        <v>1101</v>
      </c>
      <c r="E2280">
        <v>2019</v>
      </c>
      <c r="F2280">
        <v>1</v>
      </c>
      <c r="G2280">
        <v>54514</v>
      </c>
      <c r="H2280" s="1">
        <v>4</v>
      </c>
      <c r="I2280">
        <v>10</v>
      </c>
      <c r="J2280">
        <f>IF($H2280=0,1,IF($I2280&lt;=1,2,0))</f>
        <v>0</v>
      </c>
      <c r="K2280">
        <v>0</v>
      </c>
      <c r="L2280">
        <f>IF(AND($J2280=0,$K2280=0),0,1)</f>
        <v>0</v>
      </c>
    </row>
    <row r="2281" spans="1:13" x14ac:dyDescent="0.2">
      <c r="A2281" t="s">
        <v>728</v>
      </c>
      <c r="B2281" t="s">
        <v>17</v>
      </c>
      <c r="C2281" t="s">
        <v>9</v>
      </c>
      <c r="D2281">
        <v>2101</v>
      </c>
      <c r="E2281">
        <v>2019</v>
      </c>
      <c r="F2281">
        <v>1</v>
      </c>
      <c r="G2281">
        <v>54515</v>
      </c>
      <c r="H2281" s="1">
        <v>4</v>
      </c>
      <c r="I2281">
        <v>8</v>
      </c>
      <c r="J2281">
        <f>IF($H2281=0,1,IF($I2281&lt;=1,2,0))</f>
        <v>0</v>
      </c>
      <c r="K2281">
        <v>0</v>
      </c>
      <c r="L2281">
        <f>IF(AND($J2281=0,$K2281=0),0,1)</f>
        <v>0</v>
      </c>
    </row>
    <row r="2282" spans="1:13" x14ac:dyDescent="0.2">
      <c r="A2282" t="s">
        <v>729</v>
      </c>
      <c r="B2282" t="s">
        <v>17</v>
      </c>
      <c r="C2282" t="s">
        <v>9</v>
      </c>
      <c r="D2282">
        <v>1101</v>
      </c>
      <c r="E2282">
        <v>2019</v>
      </c>
      <c r="F2282">
        <v>1</v>
      </c>
      <c r="G2282">
        <v>41145</v>
      </c>
      <c r="H2282" s="1">
        <v>4</v>
      </c>
      <c r="I2282">
        <v>10</v>
      </c>
      <c r="J2282">
        <f>IF($H2282=0,1,IF($I2282&lt;=1,2,0))</f>
        <v>0</v>
      </c>
      <c r="K2282">
        <v>0</v>
      </c>
      <c r="L2282">
        <f>IF(AND($J2282=0,$K2282=0),0,1)</f>
        <v>0</v>
      </c>
    </row>
    <row r="2283" spans="1:13" x14ac:dyDescent="0.2">
      <c r="A2283" t="s">
        <v>729</v>
      </c>
      <c r="B2283" t="s">
        <v>17</v>
      </c>
      <c r="C2283" t="s">
        <v>9</v>
      </c>
      <c r="D2283">
        <v>2101</v>
      </c>
      <c r="E2283">
        <v>2019</v>
      </c>
      <c r="F2283">
        <v>1</v>
      </c>
      <c r="G2283">
        <v>41203</v>
      </c>
      <c r="H2283" s="1">
        <v>4</v>
      </c>
      <c r="I2283">
        <v>6</v>
      </c>
      <c r="J2283">
        <f>IF($H2283=0,1,IF($I2283&lt;=1,2,0))</f>
        <v>0</v>
      </c>
      <c r="K2283">
        <v>0</v>
      </c>
      <c r="L2283">
        <f>IF(AND($J2283=0,$K2283=0),0,1)</f>
        <v>0</v>
      </c>
    </row>
    <row r="2284" spans="1:13" x14ac:dyDescent="0.2">
      <c r="A2284" t="s">
        <v>729</v>
      </c>
      <c r="B2284" t="s">
        <v>17</v>
      </c>
      <c r="C2284" t="s">
        <v>9</v>
      </c>
      <c r="D2284">
        <v>3301</v>
      </c>
      <c r="E2284">
        <v>2019</v>
      </c>
      <c r="F2284">
        <v>1</v>
      </c>
      <c r="G2284">
        <v>41255</v>
      </c>
      <c r="H2284" s="1">
        <v>4</v>
      </c>
      <c r="I2284">
        <v>2</v>
      </c>
      <c r="J2284">
        <f>IF($H2284=0,1,IF($I2284&lt;=1,2,0))</f>
        <v>0</v>
      </c>
      <c r="K2284">
        <v>0</v>
      </c>
      <c r="L2284">
        <f>IF(AND($J2284=0,$K2284=0),0,1)</f>
        <v>0</v>
      </c>
    </row>
    <row r="2285" spans="1:13" x14ac:dyDescent="0.2">
      <c r="A2285" t="s">
        <v>730</v>
      </c>
      <c r="B2285" t="s">
        <v>386</v>
      </c>
      <c r="C2285" t="s">
        <v>34</v>
      </c>
      <c r="D2285">
        <v>6010</v>
      </c>
      <c r="E2285">
        <v>2019</v>
      </c>
      <c r="F2285">
        <v>2</v>
      </c>
      <c r="G2285">
        <v>52404</v>
      </c>
      <c r="H2285" s="1">
        <v>3</v>
      </c>
      <c r="I2285">
        <v>18</v>
      </c>
      <c r="J2285">
        <f>IF($H2285=0,1,IF($I2285&lt;=1,2,0))</f>
        <v>0</v>
      </c>
      <c r="K2285">
        <v>0</v>
      </c>
      <c r="L2285">
        <f>IF(AND($J2285=0,$K2285=0),0,1)</f>
        <v>0</v>
      </c>
    </row>
    <row r="2286" spans="1:13" x14ac:dyDescent="0.2">
      <c r="A2286" t="s">
        <v>730</v>
      </c>
      <c r="B2286" t="s">
        <v>386</v>
      </c>
      <c r="C2286" t="s">
        <v>34</v>
      </c>
      <c r="D2286">
        <v>6010</v>
      </c>
      <c r="E2286">
        <v>2019</v>
      </c>
      <c r="F2286">
        <v>1</v>
      </c>
      <c r="G2286">
        <v>52403</v>
      </c>
      <c r="H2286" s="1">
        <v>3</v>
      </c>
      <c r="I2286">
        <v>13</v>
      </c>
      <c r="J2286">
        <f>IF($H2286=0,1,IF($I2286&lt;=1,2,0))</f>
        <v>0</v>
      </c>
      <c r="K2286">
        <v>0</v>
      </c>
      <c r="L2286">
        <f>IF(AND($J2286=0,$K2286=0),0,1)</f>
        <v>0</v>
      </c>
      <c r="M2286" t="s">
        <v>731</v>
      </c>
    </row>
    <row r="2287" spans="1:13" x14ac:dyDescent="0.2">
      <c r="A2287" t="s">
        <v>730</v>
      </c>
      <c r="B2287" t="s">
        <v>386</v>
      </c>
      <c r="C2287" t="s">
        <v>34</v>
      </c>
      <c r="D2287">
        <v>6030</v>
      </c>
      <c r="E2287">
        <v>2019</v>
      </c>
      <c r="F2287">
        <v>1</v>
      </c>
      <c r="G2287">
        <v>52344</v>
      </c>
      <c r="H2287" s="1">
        <v>3</v>
      </c>
      <c r="I2287">
        <v>12</v>
      </c>
      <c r="J2287">
        <f>IF($H2287=0,1,IF($I2287&lt;=1,2,0))</f>
        <v>0</v>
      </c>
      <c r="K2287">
        <v>0</v>
      </c>
      <c r="L2287">
        <f>IF(AND($J2287=0,$K2287=0),0,1)</f>
        <v>0</v>
      </c>
      <c r="M2287" t="s">
        <v>732</v>
      </c>
    </row>
    <row r="2288" spans="1:13" x14ac:dyDescent="0.2">
      <c r="A2288" t="s">
        <v>730</v>
      </c>
      <c r="B2288" t="s">
        <v>386</v>
      </c>
      <c r="C2288" t="s">
        <v>34</v>
      </c>
      <c r="D2288">
        <v>6030</v>
      </c>
      <c r="E2288">
        <v>2019</v>
      </c>
      <c r="F2288">
        <v>2</v>
      </c>
      <c r="G2288">
        <v>14120</v>
      </c>
      <c r="H2288" s="1">
        <v>3</v>
      </c>
      <c r="I2288">
        <v>7</v>
      </c>
      <c r="J2288">
        <f>IF($H2288=0,1,IF($I2288&lt;=1,2,0))</f>
        <v>0</v>
      </c>
      <c r="K2288">
        <v>0</v>
      </c>
      <c r="L2288">
        <f>IF(AND($J2288=0,$K2288=0),0,1)</f>
        <v>0</v>
      </c>
      <c r="M2288" t="s">
        <v>733</v>
      </c>
    </row>
    <row r="2289" spans="1:12" x14ac:dyDescent="0.2">
      <c r="A2289" t="s">
        <v>730</v>
      </c>
      <c r="B2289" t="s">
        <v>386</v>
      </c>
      <c r="C2289" t="s">
        <v>34</v>
      </c>
      <c r="D2289">
        <v>6100</v>
      </c>
      <c r="E2289">
        <v>2019</v>
      </c>
      <c r="F2289">
        <v>1</v>
      </c>
      <c r="G2289">
        <v>52345</v>
      </c>
      <c r="H2289" s="1">
        <v>3</v>
      </c>
      <c r="I2289">
        <v>18</v>
      </c>
      <c r="J2289">
        <f>IF($H2289=0,1,IF($I2289&lt;=1,2,0))</f>
        <v>0</v>
      </c>
      <c r="K2289">
        <v>0</v>
      </c>
      <c r="L2289">
        <f>IF(AND($J2289=0,$K2289=0),0,1)</f>
        <v>0</v>
      </c>
    </row>
    <row r="2290" spans="1:12" x14ac:dyDescent="0.2">
      <c r="A2290" t="s">
        <v>730</v>
      </c>
      <c r="B2290" t="s">
        <v>386</v>
      </c>
      <c r="C2290" t="s">
        <v>34</v>
      </c>
      <c r="D2290">
        <v>6110</v>
      </c>
      <c r="E2290">
        <v>2019</v>
      </c>
      <c r="F2290">
        <v>1</v>
      </c>
      <c r="G2290">
        <v>52365</v>
      </c>
      <c r="H2290" s="1">
        <v>2</v>
      </c>
      <c r="I2290">
        <v>18</v>
      </c>
      <c r="J2290">
        <f>IF($H2290=0,1,IF($I2290&lt;=1,2,0))</f>
        <v>0</v>
      </c>
      <c r="K2290">
        <v>0</v>
      </c>
      <c r="L2290">
        <f>IF(AND($J2290=0,$K2290=0),0,1)</f>
        <v>0</v>
      </c>
    </row>
    <row r="2291" spans="1:12" x14ac:dyDescent="0.2">
      <c r="A2291" t="s">
        <v>730</v>
      </c>
      <c r="B2291" t="s">
        <v>386</v>
      </c>
      <c r="C2291" t="s">
        <v>407</v>
      </c>
      <c r="D2291">
        <v>6140</v>
      </c>
      <c r="E2291">
        <v>2019</v>
      </c>
      <c r="F2291">
        <v>1</v>
      </c>
      <c r="G2291">
        <v>52411</v>
      </c>
      <c r="H2291" s="1">
        <v>1</v>
      </c>
      <c r="I2291">
        <v>18</v>
      </c>
      <c r="J2291">
        <f>IF($H2291=0,1,IF($I2291&lt;=1,2,0))</f>
        <v>0</v>
      </c>
      <c r="K2291">
        <v>0</v>
      </c>
      <c r="L2291">
        <f>IF(AND($J2291=0,$K2291=0),0,1)</f>
        <v>0</v>
      </c>
    </row>
    <row r="2292" spans="1:12" x14ac:dyDescent="0.2">
      <c r="A2292" t="s">
        <v>730</v>
      </c>
      <c r="B2292" t="s">
        <v>386</v>
      </c>
      <c r="C2292" t="s">
        <v>407</v>
      </c>
      <c r="D2292">
        <v>6160</v>
      </c>
      <c r="E2292">
        <v>2019</v>
      </c>
      <c r="F2292">
        <v>1</v>
      </c>
      <c r="G2292">
        <v>52316</v>
      </c>
      <c r="H2292" s="1">
        <v>3</v>
      </c>
      <c r="I2292">
        <v>18</v>
      </c>
      <c r="J2292">
        <f>IF($H2292=0,1,IF($I2292&lt;=1,2,0))</f>
        <v>0</v>
      </c>
      <c r="K2292">
        <v>0</v>
      </c>
      <c r="L2292">
        <f>IF(AND($J2292=0,$K2292=0),0,1)</f>
        <v>0</v>
      </c>
    </row>
    <row r="2293" spans="1:12" x14ac:dyDescent="0.2">
      <c r="A2293" t="s">
        <v>730</v>
      </c>
      <c r="B2293" t="s">
        <v>386</v>
      </c>
      <c r="C2293" t="s">
        <v>407</v>
      </c>
      <c r="D2293">
        <v>6200</v>
      </c>
      <c r="E2293">
        <v>2019</v>
      </c>
      <c r="F2293">
        <v>1</v>
      </c>
      <c r="G2293">
        <v>52366</v>
      </c>
      <c r="H2293" s="1">
        <v>3</v>
      </c>
      <c r="I2293">
        <v>6</v>
      </c>
      <c r="J2293">
        <f>IF($H2293=0,1,IF($I2293&lt;=1,2,0))</f>
        <v>0</v>
      </c>
      <c r="K2293">
        <v>0</v>
      </c>
      <c r="L2293">
        <f>IF(AND($J2293=0,$K2293=0),0,1)</f>
        <v>0</v>
      </c>
    </row>
    <row r="2294" spans="1:12" x14ac:dyDescent="0.2">
      <c r="A2294" t="s">
        <v>730</v>
      </c>
      <c r="B2294" t="s">
        <v>386</v>
      </c>
      <c r="C2294" t="s">
        <v>407</v>
      </c>
      <c r="D2294">
        <v>6300</v>
      </c>
      <c r="E2294">
        <v>2019</v>
      </c>
      <c r="F2294">
        <v>1</v>
      </c>
      <c r="G2294">
        <v>52347</v>
      </c>
      <c r="H2294" s="1">
        <v>3</v>
      </c>
      <c r="I2294">
        <v>6</v>
      </c>
      <c r="J2294">
        <f>IF($H2294=0,1,IF($I2294&lt;=1,2,0))</f>
        <v>0</v>
      </c>
      <c r="K2294">
        <v>0</v>
      </c>
      <c r="L2294">
        <f>IF(AND($J2294=0,$K2294=0),0,1)</f>
        <v>0</v>
      </c>
    </row>
    <row r="2295" spans="1:12" x14ac:dyDescent="0.2">
      <c r="A2295" t="s">
        <v>730</v>
      </c>
      <c r="B2295" t="s">
        <v>386</v>
      </c>
      <c r="C2295" t="s">
        <v>407</v>
      </c>
      <c r="D2295">
        <v>6410</v>
      </c>
      <c r="E2295">
        <v>2019</v>
      </c>
      <c r="F2295">
        <v>1</v>
      </c>
      <c r="G2295">
        <v>52348</v>
      </c>
      <c r="H2295" s="1">
        <v>3</v>
      </c>
      <c r="I2295">
        <v>6</v>
      </c>
      <c r="J2295">
        <f>IF($H2295=0,1,IF($I2295&lt;=1,2,0))</f>
        <v>0</v>
      </c>
      <c r="K2295">
        <v>0</v>
      </c>
      <c r="L2295">
        <f>IF(AND($J2295=0,$K2295=0),0,1)</f>
        <v>0</v>
      </c>
    </row>
    <row r="2296" spans="1:12" x14ac:dyDescent="0.2">
      <c r="A2296" t="s">
        <v>730</v>
      </c>
      <c r="B2296" t="s">
        <v>386</v>
      </c>
      <c r="C2296" t="s">
        <v>407</v>
      </c>
      <c r="D2296">
        <v>6500</v>
      </c>
      <c r="E2296">
        <v>2019</v>
      </c>
      <c r="F2296">
        <v>1</v>
      </c>
      <c r="G2296">
        <v>52317</v>
      </c>
      <c r="H2296" s="1">
        <v>3</v>
      </c>
      <c r="I2296">
        <v>10</v>
      </c>
      <c r="J2296">
        <f>IF($H2296=0,1,IF($I2296&lt;=1,2,0))</f>
        <v>0</v>
      </c>
      <c r="K2296">
        <v>0</v>
      </c>
      <c r="L2296">
        <f>IF(AND($J2296=0,$K2296=0),0,1)</f>
        <v>0</v>
      </c>
    </row>
    <row r="2297" spans="1:12" x14ac:dyDescent="0.2">
      <c r="A2297" t="s">
        <v>730</v>
      </c>
      <c r="B2297" t="s">
        <v>386</v>
      </c>
      <c r="C2297" t="s">
        <v>407</v>
      </c>
      <c r="D2297">
        <v>6514</v>
      </c>
      <c r="E2297">
        <v>2019</v>
      </c>
      <c r="F2297">
        <v>1</v>
      </c>
      <c r="G2297">
        <v>14119</v>
      </c>
      <c r="H2297" s="1">
        <v>2</v>
      </c>
      <c r="I2297">
        <v>18</v>
      </c>
      <c r="J2297">
        <f>IF($H2297=0,1,IF($I2297&lt;=1,2,0))</f>
        <v>0</v>
      </c>
      <c r="K2297">
        <v>0</v>
      </c>
      <c r="L2297">
        <f>IF(AND($J2297=0,$K2297=0),0,1)</f>
        <v>0</v>
      </c>
    </row>
    <row r="2298" spans="1:12" x14ac:dyDescent="0.2">
      <c r="A2298" t="s">
        <v>730</v>
      </c>
      <c r="B2298" t="s">
        <v>386</v>
      </c>
      <c r="C2298" t="s">
        <v>407</v>
      </c>
      <c r="D2298">
        <v>6560</v>
      </c>
      <c r="E2298">
        <v>2019</v>
      </c>
      <c r="F2298">
        <v>1</v>
      </c>
      <c r="G2298">
        <v>52318</v>
      </c>
      <c r="H2298" s="1">
        <v>1</v>
      </c>
      <c r="I2298">
        <v>18</v>
      </c>
      <c r="J2298">
        <f>IF($H2298=0,1,IF($I2298&lt;=1,2,0))</f>
        <v>0</v>
      </c>
      <c r="K2298">
        <v>0</v>
      </c>
      <c r="L2298">
        <f>IF(AND($J2298=0,$K2298=0),0,1)</f>
        <v>0</v>
      </c>
    </row>
    <row r="2299" spans="1:12" x14ac:dyDescent="0.2">
      <c r="A2299" t="s">
        <v>730</v>
      </c>
      <c r="B2299" t="s">
        <v>386</v>
      </c>
      <c r="C2299" t="s">
        <v>407</v>
      </c>
      <c r="D2299">
        <v>6560</v>
      </c>
      <c r="E2299">
        <v>2019</v>
      </c>
      <c r="F2299">
        <v>2</v>
      </c>
      <c r="G2299">
        <v>52402</v>
      </c>
      <c r="H2299" s="1">
        <v>1</v>
      </c>
      <c r="I2299">
        <v>18</v>
      </c>
      <c r="J2299">
        <f>IF($H2299=0,1,IF($I2299&lt;=1,2,0))</f>
        <v>0</v>
      </c>
      <c r="K2299">
        <v>0</v>
      </c>
      <c r="L2299">
        <f>IF(AND($J2299=0,$K2299=0),0,1)</f>
        <v>0</v>
      </c>
    </row>
    <row r="2300" spans="1:12" x14ac:dyDescent="0.2">
      <c r="A2300" t="s">
        <v>730</v>
      </c>
      <c r="B2300" t="s">
        <v>386</v>
      </c>
      <c r="C2300" t="s">
        <v>407</v>
      </c>
      <c r="D2300">
        <v>6580</v>
      </c>
      <c r="E2300">
        <v>2019</v>
      </c>
      <c r="F2300">
        <v>1</v>
      </c>
      <c r="G2300">
        <v>52350</v>
      </c>
      <c r="H2300" s="1">
        <v>3</v>
      </c>
      <c r="I2300">
        <v>10</v>
      </c>
      <c r="J2300">
        <f>IF($H2300=0,1,IF($I2300&lt;=1,2,0))</f>
        <v>0</v>
      </c>
      <c r="K2300">
        <v>0</v>
      </c>
      <c r="L2300">
        <f>IF(AND($J2300=0,$K2300=0),0,1)</f>
        <v>0</v>
      </c>
    </row>
    <row r="2301" spans="1:12" x14ac:dyDescent="0.2">
      <c r="A2301" t="s">
        <v>730</v>
      </c>
      <c r="B2301" t="s">
        <v>386</v>
      </c>
      <c r="C2301" t="s">
        <v>34</v>
      </c>
      <c r="D2301">
        <v>6610</v>
      </c>
      <c r="E2301">
        <v>2019</v>
      </c>
      <c r="F2301">
        <v>1</v>
      </c>
      <c r="G2301">
        <v>52367</v>
      </c>
      <c r="H2301" s="1">
        <v>3</v>
      </c>
      <c r="I2301">
        <v>8</v>
      </c>
      <c r="J2301">
        <f>IF($H2301=0,1,IF($I2301&lt;=1,2,0))</f>
        <v>0</v>
      </c>
      <c r="K2301">
        <v>0</v>
      </c>
      <c r="L2301">
        <f>IF(AND($J2301=0,$K2301=0),0,1)</f>
        <v>0</v>
      </c>
    </row>
    <row r="2302" spans="1:12" x14ac:dyDescent="0.2">
      <c r="A2302" t="s">
        <v>730</v>
      </c>
      <c r="B2302" t="s">
        <v>386</v>
      </c>
      <c r="C2302" t="s">
        <v>407</v>
      </c>
      <c r="D2302">
        <v>6620</v>
      </c>
      <c r="E2302">
        <v>2019</v>
      </c>
      <c r="F2302">
        <v>1</v>
      </c>
      <c r="G2302">
        <v>52391</v>
      </c>
      <c r="H2302" s="1">
        <v>3</v>
      </c>
      <c r="I2302">
        <v>8</v>
      </c>
      <c r="J2302">
        <f>IF($H2302=0,1,IF($I2302&lt;=1,2,0))</f>
        <v>0</v>
      </c>
      <c r="K2302">
        <v>0</v>
      </c>
      <c r="L2302">
        <f>IF(AND($J2302=0,$K2302=0),0,1)</f>
        <v>0</v>
      </c>
    </row>
    <row r="2303" spans="1:12" x14ac:dyDescent="0.2">
      <c r="A2303" t="s">
        <v>730</v>
      </c>
      <c r="B2303" t="s">
        <v>386</v>
      </c>
      <c r="C2303" t="s">
        <v>407</v>
      </c>
      <c r="D2303">
        <v>6630</v>
      </c>
      <c r="E2303">
        <v>2019</v>
      </c>
      <c r="F2303">
        <v>1</v>
      </c>
      <c r="G2303">
        <v>52375</v>
      </c>
      <c r="H2303" s="1">
        <v>3</v>
      </c>
      <c r="I2303">
        <v>8</v>
      </c>
      <c r="J2303">
        <f>IF($H2303=0,1,IF($I2303&lt;=1,2,0))</f>
        <v>0</v>
      </c>
      <c r="K2303">
        <v>0</v>
      </c>
      <c r="L2303">
        <f>IF(AND($J2303=0,$K2303=0),0,1)</f>
        <v>0</v>
      </c>
    </row>
    <row r="2304" spans="1:12" x14ac:dyDescent="0.2">
      <c r="A2304" t="s">
        <v>730</v>
      </c>
      <c r="B2304" t="s">
        <v>386</v>
      </c>
      <c r="C2304" t="s">
        <v>407</v>
      </c>
      <c r="D2304">
        <v>6670</v>
      </c>
      <c r="E2304">
        <v>2019</v>
      </c>
      <c r="F2304">
        <v>3</v>
      </c>
      <c r="G2304">
        <v>52400</v>
      </c>
      <c r="H2304" s="1">
        <v>3</v>
      </c>
      <c r="I2304">
        <v>8</v>
      </c>
      <c r="J2304">
        <f>IF($H2304=0,1,IF($I2304&lt;=1,2,0))</f>
        <v>0</v>
      </c>
      <c r="K2304">
        <v>0</v>
      </c>
      <c r="L2304">
        <f>IF(AND($J2304=0,$K2304=0),0,1)</f>
        <v>0</v>
      </c>
    </row>
    <row r="2305" spans="1:13" x14ac:dyDescent="0.2">
      <c r="A2305" t="s">
        <v>730</v>
      </c>
      <c r="B2305" t="s">
        <v>386</v>
      </c>
      <c r="C2305" t="s">
        <v>407</v>
      </c>
      <c r="D2305">
        <v>6700</v>
      </c>
      <c r="E2305">
        <v>2019</v>
      </c>
      <c r="F2305">
        <v>2</v>
      </c>
      <c r="G2305">
        <v>52353</v>
      </c>
      <c r="H2305" s="1">
        <v>3</v>
      </c>
      <c r="I2305">
        <v>9</v>
      </c>
      <c r="J2305">
        <f>IF($H2305=0,1,IF($I2305&lt;=1,2,0))</f>
        <v>0</v>
      </c>
      <c r="K2305">
        <v>0</v>
      </c>
      <c r="L2305">
        <f>IF(AND($J2305=0,$K2305=0),0,1)</f>
        <v>0</v>
      </c>
    </row>
    <row r="2306" spans="1:13" x14ac:dyDescent="0.2">
      <c r="A2306" t="s">
        <v>730</v>
      </c>
      <c r="B2306" t="s">
        <v>386</v>
      </c>
      <c r="C2306" t="s">
        <v>407</v>
      </c>
      <c r="D2306">
        <v>6702</v>
      </c>
      <c r="E2306">
        <v>2019</v>
      </c>
      <c r="F2306">
        <v>1</v>
      </c>
      <c r="G2306">
        <v>52374</v>
      </c>
      <c r="H2306" s="1">
        <v>3</v>
      </c>
      <c r="I2306">
        <v>8</v>
      </c>
      <c r="J2306">
        <f>IF($H2306=0,1,IF($I2306&lt;=1,2,0))</f>
        <v>0</v>
      </c>
      <c r="K2306">
        <v>0</v>
      </c>
      <c r="L2306">
        <f>IF(AND($J2306=0,$K2306=0),0,1)</f>
        <v>0</v>
      </c>
    </row>
    <row r="2307" spans="1:13" x14ac:dyDescent="0.2">
      <c r="A2307" t="s">
        <v>730</v>
      </c>
      <c r="B2307" t="s">
        <v>386</v>
      </c>
      <c r="C2307" t="s">
        <v>407</v>
      </c>
      <c r="D2307">
        <v>6720</v>
      </c>
      <c r="E2307">
        <v>2019</v>
      </c>
      <c r="F2307">
        <v>1</v>
      </c>
      <c r="G2307">
        <v>52311</v>
      </c>
      <c r="H2307" s="1">
        <v>3</v>
      </c>
      <c r="I2307">
        <v>10</v>
      </c>
      <c r="J2307">
        <f>IF($H2307=0,1,IF($I2307&lt;=1,2,0))</f>
        <v>0</v>
      </c>
      <c r="K2307">
        <v>0</v>
      </c>
      <c r="L2307">
        <f>IF(AND($J2307=0,$K2307=0),0,1)</f>
        <v>0</v>
      </c>
    </row>
    <row r="2308" spans="1:13" x14ac:dyDescent="0.2">
      <c r="A2308" t="s">
        <v>730</v>
      </c>
      <c r="B2308" t="s">
        <v>386</v>
      </c>
      <c r="C2308" t="s">
        <v>407</v>
      </c>
      <c r="D2308">
        <v>6730</v>
      </c>
      <c r="E2308">
        <v>2019</v>
      </c>
      <c r="F2308">
        <v>1</v>
      </c>
      <c r="G2308">
        <v>52320</v>
      </c>
      <c r="H2308" s="1">
        <v>3</v>
      </c>
      <c r="I2308">
        <v>9</v>
      </c>
      <c r="J2308">
        <f>IF($H2308=0,1,IF($I2308&lt;=1,2,0))</f>
        <v>0</v>
      </c>
      <c r="K2308">
        <v>0</v>
      </c>
      <c r="L2308">
        <f>IF(AND($J2308=0,$K2308=0),0,1)</f>
        <v>0</v>
      </c>
    </row>
    <row r="2309" spans="1:13" x14ac:dyDescent="0.2">
      <c r="A2309" t="s">
        <v>730</v>
      </c>
      <c r="B2309" t="s">
        <v>386</v>
      </c>
      <c r="C2309" t="s">
        <v>407</v>
      </c>
      <c r="D2309">
        <v>6750</v>
      </c>
      <c r="E2309">
        <v>2019</v>
      </c>
      <c r="F2309">
        <v>1</v>
      </c>
      <c r="G2309">
        <v>52354</v>
      </c>
      <c r="H2309" s="1">
        <v>1.5</v>
      </c>
      <c r="I2309">
        <v>11</v>
      </c>
      <c r="J2309">
        <f>IF($H2309=0,1,IF($I2309&lt;=1,2,0))</f>
        <v>0</v>
      </c>
      <c r="K2309">
        <v>0</v>
      </c>
      <c r="L2309">
        <f>IF(AND($J2309=0,$K2309=0),0,1)</f>
        <v>0</v>
      </c>
      <c r="M2309" t="s">
        <v>735</v>
      </c>
    </row>
    <row r="2310" spans="1:13" x14ac:dyDescent="0.2">
      <c r="A2310" t="s">
        <v>730</v>
      </c>
      <c r="B2310" t="s">
        <v>386</v>
      </c>
      <c r="C2310" t="s">
        <v>407</v>
      </c>
      <c r="D2310">
        <v>8040</v>
      </c>
      <c r="E2310">
        <v>2019</v>
      </c>
      <c r="F2310">
        <v>1</v>
      </c>
      <c r="G2310">
        <v>52369</v>
      </c>
      <c r="H2310" s="1">
        <v>3</v>
      </c>
      <c r="I2310">
        <v>35</v>
      </c>
      <c r="J2310">
        <f>IF($H2310=0,1,IF($I2310&lt;=1,2,0))</f>
        <v>0</v>
      </c>
      <c r="K2310">
        <v>0</v>
      </c>
      <c r="L2310">
        <f>IF(AND($J2310=0,$K2310=0),0,1)</f>
        <v>0</v>
      </c>
    </row>
    <row r="2311" spans="1:13" x14ac:dyDescent="0.2">
      <c r="A2311" t="s">
        <v>730</v>
      </c>
      <c r="B2311" t="s">
        <v>386</v>
      </c>
      <c r="C2311" t="s">
        <v>407</v>
      </c>
      <c r="D2311">
        <v>8050</v>
      </c>
      <c r="E2311">
        <v>2019</v>
      </c>
      <c r="F2311">
        <v>1</v>
      </c>
      <c r="G2311">
        <v>52385</v>
      </c>
      <c r="H2311" s="1">
        <v>3</v>
      </c>
      <c r="I2311">
        <v>18</v>
      </c>
      <c r="J2311">
        <f>IF($H2311=0,1,IF($I2311&lt;=1,2,0))</f>
        <v>0</v>
      </c>
      <c r="K2311">
        <v>0</v>
      </c>
      <c r="L2311">
        <f>IF(AND($J2311=0,$K2311=0),0,1)</f>
        <v>0</v>
      </c>
    </row>
    <row r="2312" spans="1:13" x14ac:dyDescent="0.2">
      <c r="A2312" t="s">
        <v>730</v>
      </c>
      <c r="B2312" t="s">
        <v>386</v>
      </c>
      <c r="C2312" t="s">
        <v>407</v>
      </c>
      <c r="D2312">
        <v>8070</v>
      </c>
      <c r="E2312">
        <v>2019</v>
      </c>
      <c r="F2312">
        <v>1</v>
      </c>
      <c r="G2312">
        <v>52392</v>
      </c>
      <c r="H2312" s="1">
        <v>3</v>
      </c>
      <c r="I2312">
        <v>8</v>
      </c>
      <c r="J2312">
        <f>IF($H2312=0,1,IF($I2312&lt;=1,2,0))</f>
        <v>0</v>
      </c>
      <c r="K2312">
        <v>0</v>
      </c>
      <c r="L2312">
        <f>IF(AND($J2312=0,$K2312=0),0,1)</f>
        <v>0</v>
      </c>
    </row>
    <row r="2313" spans="1:13" x14ac:dyDescent="0.2">
      <c r="A2313" t="s">
        <v>730</v>
      </c>
      <c r="B2313" t="s">
        <v>386</v>
      </c>
      <c r="C2313" t="s">
        <v>407</v>
      </c>
      <c r="D2313">
        <v>8080</v>
      </c>
      <c r="E2313">
        <v>2019</v>
      </c>
      <c r="F2313">
        <v>1</v>
      </c>
      <c r="G2313">
        <v>52386</v>
      </c>
      <c r="H2313" s="1">
        <v>3</v>
      </c>
      <c r="I2313">
        <v>24</v>
      </c>
      <c r="J2313">
        <f>IF($H2313=0,1,IF($I2313&lt;=1,2,0))</f>
        <v>0</v>
      </c>
      <c r="K2313">
        <v>0</v>
      </c>
      <c r="L2313">
        <f>IF(AND($J2313=0,$K2313=0),0,1)</f>
        <v>0</v>
      </c>
    </row>
    <row r="2314" spans="1:13" x14ac:dyDescent="0.2">
      <c r="A2314" t="s">
        <v>730</v>
      </c>
      <c r="B2314" t="s">
        <v>386</v>
      </c>
      <c r="C2314" t="s">
        <v>407</v>
      </c>
      <c r="D2314">
        <v>8130</v>
      </c>
      <c r="E2314">
        <v>2019</v>
      </c>
      <c r="F2314">
        <v>1</v>
      </c>
      <c r="G2314">
        <v>52384</v>
      </c>
      <c r="H2314" s="1">
        <v>3</v>
      </c>
      <c r="I2314">
        <v>18</v>
      </c>
      <c r="J2314">
        <f>IF($H2314=0,1,IF($I2314&lt;=1,2,0))</f>
        <v>0</v>
      </c>
      <c r="K2314">
        <v>0</v>
      </c>
      <c r="L2314">
        <f>IF(AND($J2314=0,$K2314=0),0,1)</f>
        <v>0</v>
      </c>
    </row>
    <row r="2315" spans="1:13" x14ac:dyDescent="0.2">
      <c r="A2315" t="s">
        <v>730</v>
      </c>
      <c r="B2315" t="s">
        <v>386</v>
      </c>
      <c r="C2315" t="s">
        <v>407</v>
      </c>
      <c r="D2315">
        <v>8150</v>
      </c>
      <c r="E2315">
        <v>2019</v>
      </c>
      <c r="F2315">
        <v>2</v>
      </c>
      <c r="G2315">
        <v>52325</v>
      </c>
      <c r="H2315" s="1">
        <v>1</v>
      </c>
      <c r="I2315">
        <v>18</v>
      </c>
      <c r="J2315">
        <f>IF($H2315=0,1,IF($I2315&lt;=1,2,0))</f>
        <v>0</v>
      </c>
      <c r="K2315">
        <v>0</v>
      </c>
      <c r="L2315">
        <f>IF(AND($J2315=0,$K2315=0),0,1)</f>
        <v>0</v>
      </c>
    </row>
    <row r="2316" spans="1:13" x14ac:dyDescent="0.2">
      <c r="A2316" t="s">
        <v>730</v>
      </c>
      <c r="B2316" t="s">
        <v>386</v>
      </c>
      <c r="C2316" t="s">
        <v>407</v>
      </c>
      <c r="D2316">
        <v>8150</v>
      </c>
      <c r="E2316">
        <v>2019</v>
      </c>
      <c r="F2316">
        <v>4</v>
      </c>
      <c r="G2316">
        <v>52326</v>
      </c>
      <c r="H2316" s="1">
        <v>1</v>
      </c>
      <c r="I2316">
        <v>18</v>
      </c>
      <c r="J2316">
        <f>IF($H2316=0,1,IF($I2316&lt;=1,2,0))</f>
        <v>0</v>
      </c>
      <c r="K2316">
        <v>0</v>
      </c>
      <c r="L2316">
        <f>IF(AND($J2316=0,$K2316=0),0,1)</f>
        <v>0</v>
      </c>
    </row>
    <row r="2317" spans="1:13" x14ac:dyDescent="0.2">
      <c r="A2317" t="s">
        <v>730</v>
      </c>
      <c r="B2317" t="s">
        <v>386</v>
      </c>
      <c r="C2317" t="s">
        <v>407</v>
      </c>
      <c r="D2317">
        <v>8150</v>
      </c>
      <c r="E2317">
        <v>2019</v>
      </c>
      <c r="F2317">
        <v>5</v>
      </c>
      <c r="G2317">
        <v>52327</v>
      </c>
      <c r="H2317" s="1">
        <v>1</v>
      </c>
      <c r="I2317">
        <v>18</v>
      </c>
      <c r="J2317">
        <f>IF($H2317=0,1,IF($I2317&lt;=1,2,0))</f>
        <v>0</v>
      </c>
      <c r="K2317">
        <v>0</v>
      </c>
      <c r="L2317">
        <f>IF(AND($J2317=0,$K2317=0),0,1)</f>
        <v>0</v>
      </c>
    </row>
    <row r="2318" spans="1:13" x14ac:dyDescent="0.2">
      <c r="A2318" t="s">
        <v>730</v>
      </c>
      <c r="B2318" t="s">
        <v>386</v>
      </c>
      <c r="C2318" t="s">
        <v>407</v>
      </c>
      <c r="D2318">
        <v>8350</v>
      </c>
      <c r="E2318">
        <v>2019</v>
      </c>
      <c r="F2318">
        <v>1</v>
      </c>
      <c r="G2318">
        <v>52359</v>
      </c>
      <c r="H2318" s="1">
        <v>3</v>
      </c>
      <c r="I2318">
        <v>6</v>
      </c>
      <c r="J2318">
        <f>IF($H2318=0,1,IF($I2318&lt;=1,2,0))</f>
        <v>0</v>
      </c>
      <c r="K2318">
        <v>0</v>
      </c>
      <c r="L2318">
        <f>IF(AND($J2318=0,$K2318=0),0,1)</f>
        <v>0</v>
      </c>
    </row>
    <row r="2319" spans="1:13" x14ac:dyDescent="0.2">
      <c r="A2319" t="s">
        <v>730</v>
      </c>
      <c r="B2319" t="s">
        <v>386</v>
      </c>
      <c r="C2319" t="s">
        <v>407</v>
      </c>
      <c r="D2319">
        <v>8360</v>
      </c>
      <c r="E2319">
        <v>2019</v>
      </c>
      <c r="F2319">
        <v>1</v>
      </c>
      <c r="G2319">
        <v>52328</v>
      </c>
      <c r="H2319" s="1">
        <v>3</v>
      </c>
      <c r="I2319">
        <v>6</v>
      </c>
      <c r="J2319">
        <f>IF($H2319=0,1,IF($I2319&lt;=1,2,0))</f>
        <v>0</v>
      </c>
      <c r="K2319">
        <v>0</v>
      </c>
      <c r="L2319">
        <f>IF(AND($J2319=0,$K2319=0),0,1)</f>
        <v>0</v>
      </c>
    </row>
    <row r="2320" spans="1:13" x14ac:dyDescent="0.2">
      <c r="A2320" t="s">
        <v>730</v>
      </c>
      <c r="B2320" t="s">
        <v>386</v>
      </c>
      <c r="C2320" t="s">
        <v>407</v>
      </c>
      <c r="D2320">
        <v>8510</v>
      </c>
      <c r="E2320">
        <v>2019</v>
      </c>
      <c r="F2320">
        <v>1</v>
      </c>
      <c r="G2320">
        <v>52361</v>
      </c>
      <c r="H2320" s="1">
        <v>3</v>
      </c>
      <c r="I2320">
        <v>9</v>
      </c>
      <c r="J2320">
        <f>IF($H2320=0,1,IF($I2320&lt;=1,2,0))</f>
        <v>0</v>
      </c>
      <c r="K2320">
        <v>0</v>
      </c>
      <c r="L2320">
        <f>IF(AND($J2320=0,$K2320=0),0,1)</f>
        <v>0</v>
      </c>
    </row>
    <row r="2321" spans="1:13" x14ac:dyDescent="0.2">
      <c r="A2321" t="s">
        <v>730</v>
      </c>
      <c r="B2321" t="s">
        <v>386</v>
      </c>
      <c r="C2321" t="s">
        <v>407</v>
      </c>
      <c r="D2321">
        <v>8521</v>
      </c>
      <c r="E2321">
        <v>2019</v>
      </c>
      <c r="F2321">
        <v>1</v>
      </c>
      <c r="G2321">
        <v>52393</v>
      </c>
      <c r="H2321" s="1">
        <v>2</v>
      </c>
      <c r="I2321">
        <v>18</v>
      </c>
      <c r="J2321">
        <f>IF($H2321=0,1,IF($I2321&lt;=1,2,0))</f>
        <v>0</v>
      </c>
      <c r="K2321">
        <v>0</v>
      </c>
      <c r="L2321">
        <f>IF(AND($J2321=0,$K2321=0),0,1)</f>
        <v>0</v>
      </c>
    </row>
    <row r="2322" spans="1:13" x14ac:dyDescent="0.2">
      <c r="A2322" t="s">
        <v>730</v>
      </c>
      <c r="B2322" t="s">
        <v>386</v>
      </c>
      <c r="C2322" t="s">
        <v>407</v>
      </c>
      <c r="D2322">
        <v>8540</v>
      </c>
      <c r="E2322">
        <v>2019</v>
      </c>
      <c r="F2322">
        <v>1</v>
      </c>
      <c r="G2322">
        <v>52312</v>
      </c>
      <c r="H2322" s="1">
        <v>3</v>
      </c>
      <c r="I2322">
        <v>9</v>
      </c>
      <c r="J2322">
        <f>IF($H2322=0,1,IF($I2322&lt;=1,2,0))</f>
        <v>0</v>
      </c>
      <c r="K2322">
        <v>0</v>
      </c>
      <c r="L2322">
        <f>IF(AND($J2322=0,$K2322=0),0,1)</f>
        <v>0</v>
      </c>
    </row>
    <row r="2323" spans="1:13" x14ac:dyDescent="0.2">
      <c r="A2323" t="s">
        <v>730</v>
      </c>
      <c r="B2323" t="s">
        <v>386</v>
      </c>
      <c r="C2323" t="s">
        <v>407</v>
      </c>
      <c r="D2323">
        <v>8550</v>
      </c>
      <c r="E2323">
        <v>2019</v>
      </c>
      <c r="F2323">
        <v>1</v>
      </c>
      <c r="G2323">
        <v>52398</v>
      </c>
      <c r="H2323" s="1">
        <v>3</v>
      </c>
      <c r="I2323">
        <v>10</v>
      </c>
      <c r="J2323">
        <f>IF($H2323=0,1,IF($I2323&lt;=1,2,0))</f>
        <v>0</v>
      </c>
      <c r="K2323">
        <v>0</v>
      </c>
      <c r="L2323">
        <f>IF(AND($J2323=0,$K2323=0),0,1)</f>
        <v>0</v>
      </c>
    </row>
    <row r="2324" spans="1:13" x14ac:dyDescent="0.2">
      <c r="A2324" t="s">
        <v>730</v>
      </c>
      <c r="B2324" t="s">
        <v>386</v>
      </c>
      <c r="C2324" t="s">
        <v>407</v>
      </c>
      <c r="D2324">
        <v>8560</v>
      </c>
      <c r="E2324">
        <v>2019</v>
      </c>
      <c r="F2324">
        <v>1</v>
      </c>
      <c r="G2324">
        <v>52329</v>
      </c>
      <c r="H2324" s="1">
        <v>3</v>
      </c>
      <c r="I2324">
        <v>9</v>
      </c>
      <c r="J2324">
        <f>IF($H2324=0,1,IF($I2324&lt;=1,2,0))</f>
        <v>0</v>
      </c>
      <c r="K2324">
        <v>0</v>
      </c>
      <c r="L2324">
        <f>IF(AND($J2324=0,$K2324=0),0,1)</f>
        <v>0</v>
      </c>
    </row>
    <row r="2325" spans="1:13" x14ac:dyDescent="0.2">
      <c r="A2325" t="s">
        <v>730</v>
      </c>
      <c r="B2325" t="s">
        <v>386</v>
      </c>
      <c r="C2325" t="s">
        <v>34</v>
      </c>
      <c r="D2325">
        <v>8600</v>
      </c>
      <c r="E2325">
        <v>2019</v>
      </c>
      <c r="F2325">
        <v>1</v>
      </c>
      <c r="G2325">
        <v>52371</v>
      </c>
      <c r="H2325" s="1">
        <v>3</v>
      </c>
      <c r="I2325">
        <v>9</v>
      </c>
      <c r="J2325">
        <f>IF($H2325=0,1,IF($I2325&lt;=1,2,0))</f>
        <v>0</v>
      </c>
      <c r="K2325">
        <v>0</v>
      </c>
      <c r="L2325">
        <f>IF(AND($J2325=0,$K2325=0),0,1)</f>
        <v>0</v>
      </c>
    </row>
    <row r="2326" spans="1:13" x14ac:dyDescent="0.2">
      <c r="A2326" t="s">
        <v>730</v>
      </c>
      <c r="B2326" t="s">
        <v>386</v>
      </c>
      <c r="C2326" t="s">
        <v>407</v>
      </c>
      <c r="D2326">
        <v>8640</v>
      </c>
      <c r="E2326">
        <v>2019</v>
      </c>
      <c r="F2326">
        <v>1</v>
      </c>
      <c r="G2326">
        <v>52399</v>
      </c>
      <c r="H2326" s="1">
        <v>3</v>
      </c>
      <c r="I2326">
        <v>8</v>
      </c>
      <c r="J2326">
        <f>IF($H2326=0,1,IF($I2326&lt;=1,2,0))</f>
        <v>0</v>
      </c>
      <c r="K2326">
        <v>0</v>
      </c>
      <c r="L2326">
        <f>IF(AND($J2326=0,$K2326=0),0,1)</f>
        <v>0</v>
      </c>
    </row>
    <row r="2327" spans="1:13" x14ac:dyDescent="0.2">
      <c r="A2327" t="s">
        <v>730</v>
      </c>
      <c r="B2327" t="s">
        <v>386</v>
      </c>
      <c r="C2327" t="s">
        <v>407</v>
      </c>
      <c r="D2327">
        <v>8650</v>
      </c>
      <c r="E2327">
        <v>2019</v>
      </c>
      <c r="F2327">
        <v>1</v>
      </c>
      <c r="G2327">
        <v>52407</v>
      </c>
      <c r="H2327" s="1">
        <v>1.5</v>
      </c>
      <c r="I2327">
        <v>8</v>
      </c>
      <c r="J2327">
        <f>IF($H2327=0,1,IF($I2327&lt;=1,2,0))</f>
        <v>0</v>
      </c>
      <c r="K2327">
        <v>0</v>
      </c>
      <c r="L2327">
        <f>IF(AND($J2327=0,$K2327=0),0,1)</f>
        <v>0</v>
      </c>
    </row>
    <row r="2328" spans="1:13" x14ac:dyDescent="0.2">
      <c r="A2328" t="s">
        <v>730</v>
      </c>
      <c r="B2328" t="s">
        <v>386</v>
      </c>
      <c r="C2328" t="s">
        <v>407</v>
      </c>
      <c r="D2328">
        <v>8650</v>
      </c>
      <c r="E2328">
        <v>2019</v>
      </c>
      <c r="F2328">
        <v>2</v>
      </c>
      <c r="G2328">
        <v>52408</v>
      </c>
      <c r="H2328" s="1">
        <v>1.5</v>
      </c>
      <c r="I2328">
        <v>8</v>
      </c>
      <c r="J2328">
        <f>IF($H2328=0,1,IF($I2328&lt;=1,2,0))</f>
        <v>0</v>
      </c>
      <c r="K2328">
        <v>0</v>
      </c>
      <c r="L2328">
        <f>IF(AND($J2328=0,$K2328=0),0,1)</f>
        <v>0</v>
      </c>
    </row>
    <row r="2329" spans="1:13" x14ac:dyDescent="0.2">
      <c r="A2329" t="s">
        <v>730</v>
      </c>
      <c r="B2329" t="s">
        <v>386</v>
      </c>
      <c r="C2329" t="s">
        <v>407</v>
      </c>
      <c r="D2329">
        <v>8670</v>
      </c>
      <c r="E2329">
        <v>2019</v>
      </c>
      <c r="F2329">
        <v>1</v>
      </c>
      <c r="G2329">
        <v>52394</v>
      </c>
      <c r="H2329" s="1">
        <v>3</v>
      </c>
      <c r="I2329">
        <v>6</v>
      </c>
      <c r="J2329">
        <f>IF($H2329=0,1,IF($I2329&lt;=1,2,0))</f>
        <v>0</v>
      </c>
      <c r="K2329">
        <v>0</v>
      </c>
      <c r="L2329">
        <f>IF(AND($J2329=0,$K2329=0),0,1)</f>
        <v>0</v>
      </c>
    </row>
    <row r="2330" spans="1:13" x14ac:dyDescent="0.2">
      <c r="A2330" t="s">
        <v>730</v>
      </c>
      <c r="B2330" t="s">
        <v>386</v>
      </c>
      <c r="C2330" t="s">
        <v>407</v>
      </c>
      <c r="D2330">
        <v>8675</v>
      </c>
      <c r="E2330">
        <v>2019</v>
      </c>
      <c r="F2330">
        <v>1</v>
      </c>
      <c r="G2330">
        <v>52401</v>
      </c>
      <c r="H2330" s="1">
        <v>3</v>
      </c>
      <c r="I2330">
        <v>14</v>
      </c>
      <c r="J2330">
        <f>IF($H2330=0,1,IF($I2330&lt;=1,2,0))</f>
        <v>0</v>
      </c>
      <c r="K2330">
        <v>0</v>
      </c>
      <c r="L2330">
        <f>IF(AND($J2330=0,$K2330=0),0,1)</f>
        <v>0</v>
      </c>
    </row>
    <row r="2331" spans="1:13" x14ac:dyDescent="0.2">
      <c r="A2331" t="s">
        <v>730</v>
      </c>
      <c r="B2331" t="s">
        <v>386</v>
      </c>
      <c r="C2331" t="s">
        <v>407</v>
      </c>
      <c r="D2331">
        <v>8710</v>
      </c>
      <c r="E2331">
        <v>2019</v>
      </c>
      <c r="F2331">
        <v>1</v>
      </c>
      <c r="G2331">
        <v>52363</v>
      </c>
      <c r="H2331" s="1">
        <v>3</v>
      </c>
      <c r="I2331">
        <v>11</v>
      </c>
      <c r="J2331">
        <f>IF($H2331=0,1,IF($I2331&lt;=1,2,0))</f>
        <v>0</v>
      </c>
      <c r="K2331">
        <v>0</v>
      </c>
      <c r="L2331">
        <f>IF(AND($J2331=0,$K2331=0),0,1)</f>
        <v>0</v>
      </c>
    </row>
    <row r="2332" spans="1:13" x14ac:dyDescent="0.2">
      <c r="A2332" t="s">
        <v>730</v>
      </c>
      <c r="B2332" t="s">
        <v>386</v>
      </c>
      <c r="C2332" t="s">
        <v>407</v>
      </c>
      <c r="D2332">
        <v>8730</v>
      </c>
      <c r="E2332">
        <v>2019</v>
      </c>
      <c r="F2332">
        <v>1</v>
      </c>
      <c r="G2332">
        <v>52364</v>
      </c>
      <c r="H2332" s="1">
        <v>1.5</v>
      </c>
      <c r="I2332">
        <v>7</v>
      </c>
      <c r="J2332">
        <f>IF($H2332=0,1,IF($I2332&lt;=1,2,0))</f>
        <v>0</v>
      </c>
      <c r="K2332">
        <v>0</v>
      </c>
      <c r="L2332">
        <f>IF(AND($J2332=0,$K2332=0),0,1)</f>
        <v>0</v>
      </c>
    </row>
    <row r="2333" spans="1:13" x14ac:dyDescent="0.2">
      <c r="A2333" t="s">
        <v>730</v>
      </c>
      <c r="B2333" t="s">
        <v>386</v>
      </c>
      <c r="C2333" t="s">
        <v>407</v>
      </c>
      <c r="D2333">
        <v>8760</v>
      </c>
      <c r="E2333">
        <v>2019</v>
      </c>
      <c r="F2333">
        <v>1</v>
      </c>
      <c r="G2333">
        <v>52331</v>
      </c>
      <c r="H2333" s="1">
        <v>1.5</v>
      </c>
      <c r="I2333">
        <v>10</v>
      </c>
      <c r="J2333">
        <f>IF($H2333=0,1,IF($I2333&lt;=1,2,0))</f>
        <v>0</v>
      </c>
      <c r="K2333">
        <v>0</v>
      </c>
      <c r="L2333">
        <f>IF(AND($J2333=0,$K2333=0),0,1)</f>
        <v>0</v>
      </c>
      <c r="M2333" t="s">
        <v>738</v>
      </c>
    </row>
    <row r="2334" spans="1:13" x14ac:dyDescent="0.2">
      <c r="A2334" t="s">
        <v>730</v>
      </c>
      <c r="B2334" t="s">
        <v>386</v>
      </c>
      <c r="C2334" t="s">
        <v>407</v>
      </c>
      <c r="D2334">
        <v>8770</v>
      </c>
      <c r="E2334">
        <v>2019</v>
      </c>
      <c r="F2334">
        <v>1</v>
      </c>
      <c r="G2334">
        <v>52336</v>
      </c>
      <c r="H2334" s="1">
        <v>3</v>
      </c>
      <c r="I2334">
        <v>9</v>
      </c>
      <c r="J2334">
        <f>IF($H2334=0,1,IF($I2334&lt;=1,2,0))</f>
        <v>0</v>
      </c>
      <c r="K2334">
        <v>0</v>
      </c>
      <c r="L2334">
        <f>IF(AND($J2334=0,$K2334=0),0,1)</f>
        <v>0</v>
      </c>
    </row>
    <row r="2335" spans="1:13" x14ac:dyDescent="0.2">
      <c r="A2335" t="s">
        <v>730</v>
      </c>
      <c r="B2335" t="s">
        <v>386</v>
      </c>
      <c r="C2335" t="s">
        <v>407</v>
      </c>
      <c r="D2335">
        <v>8780</v>
      </c>
      <c r="E2335">
        <v>2019</v>
      </c>
      <c r="F2335">
        <v>1</v>
      </c>
      <c r="G2335">
        <v>10226</v>
      </c>
      <c r="H2335" s="1">
        <v>3</v>
      </c>
      <c r="I2335">
        <v>16</v>
      </c>
      <c r="J2335">
        <f>IF($H2335=0,1,IF($I2335&lt;=1,2,0))</f>
        <v>0</v>
      </c>
      <c r="K2335">
        <v>0</v>
      </c>
      <c r="L2335">
        <f>IF(AND($J2335=0,$K2335=0),0,1)</f>
        <v>0</v>
      </c>
    </row>
    <row r="2336" spans="1:13" x14ac:dyDescent="0.2">
      <c r="A2336" t="s">
        <v>730</v>
      </c>
      <c r="B2336" t="s">
        <v>386</v>
      </c>
      <c r="C2336" t="s">
        <v>407</v>
      </c>
      <c r="D2336">
        <v>8790</v>
      </c>
      <c r="E2336">
        <v>2019</v>
      </c>
      <c r="F2336">
        <v>1</v>
      </c>
      <c r="G2336">
        <v>52332</v>
      </c>
      <c r="H2336" s="1">
        <v>3</v>
      </c>
      <c r="I2336">
        <v>9</v>
      </c>
      <c r="J2336">
        <f>IF($H2336=0,1,IF($I2336&lt;=1,2,0))</f>
        <v>0</v>
      </c>
      <c r="K2336">
        <v>0</v>
      </c>
      <c r="L2336">
        <f>IF(AND($J2336=0,$K2336=0),0,1)</f>
        <v>0</v>
      </c>
    </row>
    <row r="2337" spans="1:13" x14ac:dyDescent="0.2">
      <c r="A2337" t="s">
        <v>730</v>
      </c>
      <c r="B2337" t="s">
        <v>386</v>
      </c>
      <c r="C2337" t="s">
        <v>407</v>
      </c>
      <c r="D2337">
        <v>8810</v>
      </c>
      <c r="E2337">
        <v>2019</v>
      </c>
      <c r="F2337">
        <v>1</v>
      </c>
      <c r="G2337">
        <v>14013</v>
      </c>
      <c r="H2337" s="1">
        <v>1.5</v>
      </c>
      <c r="I2337">
        <v>8</v>
      </c>
      <c r="J2337">
        <f>IF($H2337=0,1,IF($I2337&lt;=1,2,0))</f>
        <v>0</v>
      </c>
      <c r="K2337">
        <v>0</v>
      </c>
      <c r="L2337">
        <f>IF(AND($J2337=0,$K2337=0),0,1)</f>
        <v>0</v>
      </c>
    </row>
    <row r="2338" spans="1:13" x14ac:dyDescent="0.2">
      <c r="A2338" t="s">
        <v>739</v>
      </c>
      <c r="B2338" t="s">
        <v>386</v>
      </c>
      <c r="C2338" t="s">
        <v>21</v>
      </c>
      <c r="D2338">
        <v>2005</v>
      </c>
      <c r="E2338">
        <v>2019</v>
      </c>
      <c r="F2338">
        <v>1</v>
      </c>
      <c r="G2338">
        <v>9740</v>
      </c>
      <c r="H2338" s="1">
        <v>3</v>
      </c>
      <c r="I2338">
        <v>14</v>
      </c>
      <c r="J2338">
        <f>IF($H2338=0,1,IF($I2338&lt;=1,2,0))</f>
        <v>0</v>
      </c>
      <c r="K2338">
        <v>0</v>
      </c>
      <c r="L2338">
        <f>IF(AND($J2338=0,$K2338=0),0,1)</f>
        <v>0</v>
      </c>
      <c r="M2338" t="s">
        <v>740</v>
      </c>
    </row>
    <row r="2339" spans="1:13" x14ac:dyDescent="0.2">
      <c r="A2339" t="s">
        <v>739</v>
      </c>
      <c r="B2339" t="s">
        <v>386</v>
      </c>
      <c r="C2339" t="s">
        <v>21</v>
      </c>
      <c r="D2339">
        <v>2005</v>
      </c>
      <c r="E2339">
        <v>2019</v>
      </c>
      <c r="F2339">
        <v>2</v>
      </c>
      <c r="G2339">
        <v>9741</v>
      </c>
      <c r="H2339" s="1">
        <v>3</v>
      </c>
      <c r="I2339">
        <v>12</v>
      </c>
      <c r="J2339">
        <f>IF($H2339=0,1,IF($I2339&lt;=1,2,0))</f>
        <v>0</v>
      </c>
      <c r="K2339">
        <v>0</v>
      </c>
      <c r="L2339">
        <f>IF(AND($J2339=0,$K2339=0),0,1)</f>
        <v>0</v>
      </c>
      <c r="M2339" t="s">
        <v>740</v>
      </c>
    </row>
    <row r="2340" spans="1:13" x14ac:dyDescent="0.2">
      <c r="A2340" t="s">
        <v>739</v>
      </c>
      <c r="B2340" t="s">
        <v>386</v>
      </c>
      <c r="C2340" t="s">
        <v>21</v>
      </c>
      <c r="D2340">
        <v>2022</v>
      </c>
      <c r="E2340">
        <v>2019</v>
      </c>
      <c r="F2340">
        <v>1</v>
      </c>
      <c r="G2340">
        <v>9743</v>
      </c>
      <c r="H2340" s="1" t="s">
        <v>1827</v>
      </c>
      <c r="I2340">
        <v>10</v>
      </c>
      <c r="J2340">
        <f>IF($H2340=0,1,IF($I2340&lt;=1,2,0))</f>
        <v>0</v>
      </c>
      <c r="K2340">
        <v>0</v>
      </c>
      <c r="L2340">
        <f>IF(AND($J2340=0,$K2340=0),0,1)</f>
        <v>0</v>
      </c>
      <c r="M2340" t="s">
        <v>741</v>
      </c>
    </row>
    <row r="2341" spans="1:13" x14ac:dyDescent="0.2">
      <c r="A2341" t="s">
        <v>739</v>
      </c>
      <c r="B2341" t="s">
        <v>386</v>
      </c>
      <c r="C2341" t="s">
        <v>21</v>
      </c>
      <c r="D2341">
        <v>2023</v>
      </c>
      <c r="E2341">
        <v>2019</v>
      </c>
      <c r="F2341">
        <v>1</v>
      </c>
      <c r="G2341">
        <v>9735</v>
      </c>
      <c r="H2341" s="1" t="s">
        <v>1827</v>
      </c>
      <c r="I2341">
        <v>9</v>
      </c>
      <c r="J2341">
        <f>IF($H2341=0,1,IF($I2341&lt;=1,2,0))</f>
        <v>0</v>
      </c>
      <c r="K2341">
        <v>0</v>
      </c>
      <c r="L2341">
        <f>IF(AND($J2341=0,$K2341=0),0,1)</f>
        <v>0</v>
      </c>
      <c r="M2341" t="s">
        <v>741</v>
      </c>
    </row>
    <row r="2342" spans="1:13" x14ac:dyDescent="0.2">
      <c r="A2342" t="s">
        <v>739</v>
      </c>
      <c r="B2342" t="s">
        <v>386</v>
      </c>
      <c r="C2342" t="s">
        <v>21</v>
      </c>
      <c r="D2342">
        <v>2421</v>
      </c>
      <c r="E2342">
        <v>2019</v>
      </c>
      <c r="F2342">
        <v>1</v>
      </c>
      <c r="G2342">
        <v>9759</v>
      </c>
      <c r="H2342" s="1">
        <v>3</v>
      </c>
      <c r="I2342">
        <v>4</v>
      </c>
      <c r="J2342">
        <f>IF($H2342=0,1,IF($I2342&lt;=1,2,0))</f>
        <v>0</v>
      </c>
      <c r="K2342">
        <v>0</v>
      </c>
      <c r="L2342">
        <f>IF(AND($J2342=0,$K2342=0),0,1)</f>
        <v>0</v>
      </c>
    </row>
    <row r="2343" spans="1:13" x14ac:dyDescent="0.2">
      <c r="A2343" t="s">
        <v>739</v>
      </c>
      <c r="B2343" t="s">
        <v>386</v>
      </c>
      <c r="C2343" t="s">
        <v>21</v>
      </c>
      <c r="D2343">
        <v>2422</v>
      </c>
      <c r="E2343">
        <v>2019</v>
      </c>
      <c r="F2343">
        <v>1</v>
      </c>
      <c r="G2343">
        <v>9736</v>
      </c>
      <c r="H2343" s="1" t="s">
        <v>1827</v>
      </c>
      <c r="I2343">
        <v>8</v>
      </c>
      <c r="J2343">
        <f>IF($H2343=0,1,IF($I2343&lt;=1,2,0))</f>
        <v>0</v>
      </c>
      <c r="K2343">
        <v>0</v>
      </c>
      <c r="L2343">
        <f>IF(AND($J2343=0,$K2343=0),0,1)</f>
        <v>0</v>
      </c>
      <c r="M2343" t="s">
        <v>742</v>
      </c>
    </row>
    <row r="2344" spans="1:13" x14ac:dyDescent="0.2">
      <c r="A2344" t="s">
        <v>739</v>
      </c>
      <c r="B2344" t="s">
        <v>386</v>
      </c>
      <c r="C2344" t="s">
        <v>21</v>
      </c>
      <c r="D2344">
        <v>2423</v>
      </c>
      <c r="E2344">
        <v>2019</v>
      </c>
      <c r="F2344">
        <v>1</v>
      </c>
      <c r="G2344">
        <v>9745</v>
      </c>
      <c r="H2344" s="1" t="s">
        <v>1827</v>
      </c>
      <c r="I2344">
        <v>7</v>
      </c>
      <c r="J2344">
        <f>IF($H2344=0,1,IF($I2344&lt;=1,2,0))</f>
        <v>0</v>
      </c>
      <c r="K2344">
        <v>0</v>
      </c>
      <c r="L2344">
        <f>IF(AND($J2344=0,$K2344=0),0,1)</f>
        <v>0</v>
      </c>
      <c r="M2344" t="s">
        <v>742</v>
      </c>
    </row>
    <row r="2345" spans="1:13" x14ac:dyDescent="0.2">
      <c r="A2345" t="s">
        <v>739</v>
      </c>
      <c r="B2345" t="s">
        <v>386</v>
      </c>
      <c r="C2345" t="s">
        <v>21</v>
      </c>
      <c r="D2345">
        <v>2424</v>
      </c>
      <c r="E2345">
        <v>2019</v>
      </c>
      <c r="F2345">
        <v>1</v>
      </c>
      <c r="G2345">
        <v>9737</v>
      </c>
      <c r="H2345" s="1" t="s">
        <v>1827</v>
      </c>
      <c r="I2345">
        <v>6</v>
      </c>
      <c r="J2345">
        <f>IF($H2345=0,1,IF($I2345&lt;=1,2,0))</f>
        <v>0</v>
      </c>
      <c r="K2345">
        <v>0</v>
      </c>
      <c r="L2345">
        <f>IF(AND($J2345=0,$K2345=0),0,1)</f>
        <v>0</v>
      </c>
      <c r="M2345" t="s">
        <v>742</v>
      </c>
    </row>
    <row r="2346" spans="1:13" x14ac:dyDescent="0.2">
      <c r="A2346" t="s">
        <v>739</v>
      </c>
      <c r="B2346" t="s">
        <v>386</v>
      </c>
      <c r="C2346" t="s">
        <v>21</v>
      </c>
      <c r="D2346">
        <v>2425</v>
      </c>
      <c r="E2346">
        <v>2019</v>
      </c>
      <c r="F2346">
        <v>1</v>
      </c>
      <c r="G2346">
        <v>9746</v>
      </c>
      <c r="H2346" s="1" t="s">
        <v>1827</v>
      </c>
      <c r="I2346">
        <v>4</v>
      </c>
      <c r="J2346">
        <f>IF($H2346=0,1,IF($I2346&lt;=1,2,0))</f>
        <v>0</v>
      </c>
      <c r="K2346">
        <v>0</v>
      </c>
      <c r="L2346">
        <f>IF(AND($J2346=0,$K2346=0),0,1)</f>
        <v>0</v>
      </c>
      <c r="M2346" t="s">
        <v>742</v>
      </c>
    </row>
    <row r="2347" spans="1:13" x14ac:dyDescent="0.2">
      <c r="A2347" t="s">
        <v>739</v>
      </c>
      <c r="B2347" t="s">
        <v>386</v>
      </c>
      <c r="C2347" t="s">
        <v>21</v>
      </c>
      <c r="D2347">
        <v>3004</v>
      </c>
      <c r="E2347">
        <v>2019</v>
      </c>
      <c r="F2347">
        <v>1</v>
      </c>
      <c r="G2347">
        <v>9747</v>
      </c>
      <c r="H2347" s="1">
        <v>3</v>
      </c>
      <c r="I2347">
        <v>12</v>
      </c>
      <c r="J2347">
        <f>IF($H2347=0,1,IF($I2347&lt;=1,2,0))</f>
        <v>0</v>
      </c>
      <c r="K2347">
        <v>0</v>
      </c>
      <c r="L2347">
        <f>IF(AND($J2347=0,$K2347=0),0,1)</f>
        <v>0</v>
      </c>
      <c r="M2347" t="s">
        <v>743</v>
      </c>
    </row>
    <row r="2348" spans="1:13" x14ac:dyDescent="0.2">
      <c r="A2348" t="s">
        <v>739</v>
      </c>
      <c r="B2348" t="s">
        <v>386</v>
      </c>
      <c r="C2348" t="s">
        <v>21</v>
      </c>
      <c r="D2348">
        <v>3004</v>
      </c>
      <c r="E2348">
        <v>2019</v>
      </c>
      <c r="F2348">
        <v>2</v>
      </c>
      <c r="G2348">
        <v>9748</v>
      </c>
      <c r="H2348" s="1">
        <v>3</v>
      </c>
      <c r="I2348">
        <v>11</v>
      </c>
      <c r="J2348">
        <f>IF($H2348=0,1,IF($I2348&lt;=1,2,0))</f>
        <v>0</v>
      </c>
      <c r="K2348">
        <v>0</v>
      </c>
      <c r="L2348">
        <f>IF(AND($J2348=0,$K2348=0),0,1)</f>
        <v>0</v>
      </c>
      <c r="M2348" t="s">
        <v>743</v>
      </c>
    </row>
    <row r="2349" spans="1:13" x14ac:dyDescent="0.2">
      <c r="A2349" t="s">
        <v>739</v>
      </c>
      <c r="B2349" t="s">
        <v>386</v>
      </c>
      <c r="C2349" t="s">
        <v>21</v>
      </c>
      <c r="D2349">
        <v>3004</v>
      </c>
      <c r="E2349">
        <v>2019</v>
      </c>
      <c r="F2349">
        <v>3</v>
      </c>
      <c r="G2349">
        <v>9749</v>
      </c>
      <c r="H2349" s="1">
        <v>3</v>
      </c>
      <c r="I2349">
        <v>9</v>
      </c>
      <c r="J2349">
        <f>IF($H2349=0,1,IF($I2349&lt;=1,2,0))</f>
        <v>0</v>
      </c>
      <c r="K2349">
        <v>0</v>
      </c>
      <c r="L2349">
        <f>IF(AND($J2349=0,$K2349=0),0,1)</f>
        <v>0</v>
      </c>
      <c r="M2349" t="s">
        <v>743</v>
      </c>
    </row>
    <row r="2350" spans="1:13" x14ac:dyDescent="0.2">
      <c r="A2350" t="s">
        <v>739</v>
      </c>
      <c r="B2350" t="s">
        <v>386</v>
      </c>
      <c r="C2350" t="s">
        <v>21</v>
      </c>
      <c r="D2350">
        <v>3006</v>
      </c>
      <c r="E2350">
        <v>2019</v>
      </c>
      <c r="F2350">
        <v>1</v>
      </c>
      <c r="G2350">
        <v>9750</v>
      </c>
      <c r="H2350" s="1">
        <v>3</v>
      </c>
      <c r="I2350">
        <v>12</v>
      </c>
      <c r="J2350">
        <f>IF($H2350=0,1,IF($I2350&lt;=1,2,0))</f>
        <v>0</v>
      </c>
      <c r="K2350">
        <v>0</v>
      </c>
      <c r="L2350">
        <f>IF(AND($J2350=0,$K2350=0),0,1)</f>
        <v>0</v>
      </c>
      <c r="M2350" t="s">
        <v>743</v>
      </c>
    </row>
    <row r="2351" spans="1:13" x14ac:dyDescent="0.2">
      <c r="A2351" t="s">
        <v>739</v>
      </c>
      <c r="B2351" t="s">
        <v>386</v>
      </c>
      <c r="C2351" t="s">
        <v>21</v>
      </c>
      <c r="D2351">
        <v>3007</v>
      </c>
      <c r="E2351">
        <v>2019</v>
      </c>
      <c r="F2351">
        <v>2</v>
      </c>
      <c r="G2351">
        <v>9760</v>
      </c>
      <c r="H2351" s="1">
        <v>3</v>
      </c>
      <c r="I2351">
        <v>12</v>
      </c>
      <c r="J2351">
        <f>IF($H2351=0,1,IF($I2351&lt;=1,2,0))</f>
        <v>0</v>
      </c>
      <c r="K2351">
        <v>0</v>
      </c>
      <c r="L2351">
        <f>IF(AND($J2351=0,$K2351=0),0,1)</f>
        <v>0</v>
      </c>
    </row>
    <row r="2352" spans="1:13" x14ac:dyDescent="0.2">
      <c r="A2352" t="s">
        <v>739</v>
      </c>
      <c r="B2352" t="s">
        <v>386</v>
      </c>
      <c r="C2352" t="s">
        <v>21</v>
      </c>
      <c r="D2352">
        <v>3007</v>
      </c>
      <c r="E2352">
        <v>2019</v>
      </c>
      <c r="F2352">
        <v>1</v>
      </c>
      <c r="G2352">
        <v>9731</v>
      </c>
      <c r="H2352" s="1">
        <v>3</v>
      </c>
      <c r="I2352">
        <v>6</v>
      </c>
      <c r="J2352">
        <f>IF($H2352=0,1,IF($I2352&lt;=1,2,0))</f>
        <v>0</v>
      </c>
      <c r="K2352">
        <v>0</v>
      </c>
      <c r="L2352">
        <f>IF(AND($J2352=0,$K2352=0),0,1)</f>
        <v>0</v>
      </c>
      <c r="M2352" t="s">
        <v>743</v>
      </c>
    </row>
    <row r="2353" spans="1:13" x14ac:dyDescent="0.2">
      <c r="A2353" t="s">
        <v>739</v>
      </c>
      <c r="B2353" t="s">
        <v>386</v>
      </c>
      <c r="C2353" t="s">
        <v>21</v>
      </c>
      <c r="D2353">
        <v>3140</v>
      </c>
      <c r="E2353">
        <v>2019</v>
      </c>
      <c r="F2353">
        <v>1</v>
      </c>
      <c r="G2353">
        <v>9742</v>
      </c>
      <c r="H2353" s="1">
        <v>4</v>
      </c>
      <c r="I2353">
        <v>13</v>
      </c>
      <c r="J2353">
        <f>IF($H2353=0,1,IF($I2353&lt;=1,2,0))</f>
        <v>0</v>
      </c>
      <c r="K2353">
        <v>0</v>
      </c>
      <c r="L2353">
        <f>IF(AND($J2353=0,$K2353=0),0,1)</f>
        <v>0</v>
      </c>
      <c r="M2353" t="s">
        <v>744</v>
      </c>
    </row>
    <row r="2354" spans="1:13" x14ac:dyDescent="0.2">
      <c r="A2354" t="s">
        <v>739</v>
      </c>
      <c r="B2354" t="s">
        <v>386</v>
      </c>
      <c r="C2354" t="s">
        <v>21</v>
      </c>
      <c r="D2354">
        <v>3150</v>
      </c>
      <c r="E2354">
        <v>2019</v>
      </c>
      <c r="F2354">
        <v>1</v>
      </c>
      <c r="G2354">
        <v>9756</v>
      </c>
      <c r="H2354" s="1">
        <v>3</v>
      </c>
      <c r="I2354">
        <v>37</v>
      </c>
      <c r="J2354">
        <f>IF($H2354=0,1,IF($I2354&lt;=1,2,0))</f>
        <v>0</v>
      </c>
      <c r="K2354">
        <v>0</v>
      </c>
      <c r="L2354">
        <f>IF(AND($J2354=0,$K2354=0),0,1)</f>
        <v>0</v>
      </c>
      <c r="M2354" t="s">
        <v>745</v>
      </c>
    </row>
    <row r="2355" spans="1:13" x14ac:dyDescent="0.2">
      <c r="A2355" t="s">
        <v>739</v>
      </c>
      <c r="B2355" t="s">
        <v>386</v>
      </c>
      <c r="C2355" t="s">
        <v>21</v>
      </c>
      <c r="D2355">
        <v>3154</v>
      </c>
      <c r="E2355">
        <v>2019</v>
      </c>
      <c r="F2355">
        <v>1</v>
      </c>
      <c r="G2355">
        <v>9758</v>
      </c>
      <c r="H2355" s="1">
        <v>3</v>
      </c>
      <c r="I2355">
        <v>23</v>
      </c>
      <c r="J2355">
        <f>IF($H2355=0,1,IF($I2355&lt;=1,2,0))</f>
        <v>0</v>
      </c>
      <c r="K2355">
        <v>0</v>
      </c>
      <c r="L2355">
        <f>IF(AND($J2355=0,$K2355=0),0,1)</f>
        <v>0</v>
      </c>
      <c r="M2355" t="s">
        <v>745</v>
      </c>
    </row>
    <row r="2356" spans="1:13" x14ac:dyDescent="0.2">
      <c r="A2356" t="s">
        <v>739</v>
      </c>
      <c r="B2356" t="s">
        <v>386</v>
      </c>
      <c r="C2356" t="s">
        <v>21</v>
      </c>
      <c r="D2356">
        <v>3160</v>
      </c>
      <c r="E2356">
        <v>2019</v>
      </c>
      <c r="F2356">
        <v>1</v>
      </c>
      <c r="G2356">
        <v>9761</v>
      </c>
      <c r="H2356" s="1">
        <v>4</v>
      </c>
      <c r="I2356">
        <v>11</v>
      </c>
      <c r="J2356">
        <f>IF($H2356=0,1,IF($I2356&lt;=1,2,0))</f>
        <v>0</v>
      </c>
      <c r="K2356">
        <v>0</v>
      </c>
      <c r="L2356">
        <f>IF(AND($J2356=0,$K2356=0),0,1)</f>
        <v>0</v>
      </c>
    </row>
    <row r="2357" spans="1:13" x14ac:dyDescent="0.2">
      <c r="A2357" t="s">
        <v>739</v>
      </c>
      <c r="B2357" t="s">
        <v>386</v>
      </c>
      <c r="C2357" t="s">
        <v>21</v>
      </c>
      <c r="D2357">
        <v>3167</v>
      </c>
      <c r="E2357">
        <v>2019</v>
      </c>
      <c r="F2357">
        <v>1</v>
      </c>
      <c r="G2357">
        <v>9757</v>
      </c>
      <c r="H2357" s="1">
        <v>4</v>
      </c>
      <c r="I2357">
        <v>8</v>
      </c>
      <c r="J2357">
        <f>IF($H2357=0,1,IF($I2357&lt;=1,2,0))</f>
        <v>0</v>
      </c>
      <c r="K2357">
        <v>0</v>
      </c>
      <c r="L2357">
        <f>IF(AND($J2357=0,$K2357=0),0,1)</f>
        <v>0</v>
      </c>
      <c r="M2357" t="s">
        <v>744</v>
      </c>
    </row>
    <row r="2358" spans="1:13" x14ac:dyDescent="0.2">
      <c r="A2358" t="s">
        <v>739</v>
      </c>
      <c r="B2358" t="s">
        <v>386</v>
      </c>
      <c r="C2358" t="s">
        <v>21</v>
      </c>
      <c r="D2358">
        <v>3200</v>
      </c>
      <c r="E2358">
        <v>2019</v>
      </c>
      <c r="F2358">
        <v>1</v>
      </c>
      <c r="G2358">
        <v>9738</v>
      </c>
      <c r="H2358" s="1">
        <v>3</v>
      </c>
      <c r="I2358">
        <v>15</v>
      </c>
      <c r="J2358">
        <f>IF($H2358=0,1,IF($I2358&lt;=1,2,0))</f>
        <v>0</v>
      </c>
      <c r="K2358">
        <v>0</v>
      </c>
      <c r="L2358">
        <f>IF(AND($J2358=0,$K2358=0),0,1)</f>
        <v>0</v>
      </c>
    </row>
    <row r="2359" spans="1:13" x14ac:dyDescent="0.2">
      <c r="A2359" t="s">
        <v>739</v>
      </c>
      <c r="B2359" t="s">
        <v>386</v>
      </c>
      <c r="C2359" t="s">
        <v>21</v>
      </c>
      <c r="D2359">
        <v>3202</v>
      </c>
      <c r="E2359">
        <v>2019</v>
      </c>
      <c r="F2359">
        <v>1</v>
      </c>
      <c r="G2359">
        <v>9752</v>
      </c>
      <c r="H2359" s="1">
        <v>4</v>
      </c>
      <c r="I2359">
        <v>3</v>
      </c>
      <c r="J2359">
        <f>IF($H2359=0,1,IF($I2359&lt;=1,2,0))</f>
        <v>0</v>
      </c>
      <c r="K2359">
        <v>0</v>
      </c>
      <c r="L2359">
        <f>IF(AND($J2359=0,$K2359=0),0,1)</f>
        <v>0</v>
      </c>
      <c r="M2359" t="s">
        <v>1953</v>
      </c>
    </row>
    <row r="2360" spans="1:13" x14ac:dyDescent="0.2">
      <c r="A2360" t="s">
        <v>739</v>
      </c>
      <c r="B2360" t="s">
        <v>386</v>
      </c>
      <c r="C2360" t="s">
        <v>21</v>
      </c>
      <c r="D2360">
        <v>3300</v>
      </c>
      <c r="E2360">
        <v>2019</v>
      </c>
      <c r="F2360">
        <v>1</v>
      </c>
      <c r="G2360">
        <v>9739</v>
      </c>
      <c r="H2360" s="1">
        <v>3</v>
      </c>
      <c r="I2360">
        <v>10</v>
      </c>
      <c r="J2360">
        <f>IF($H2360=0,1,IF($I2360&lt;=1,2,0))</f>
        <v>0</v>
      </c>
      <c r="K2360">
        <v>0</v>
      </c>
      <c r="L2360">
        <f>IF(AND($J2360=0,$K2360=0),0,1)</f>
        <v>0</v>
      </c>
      <c r="M2360" t="s">
        <v>1953</v>
      </c>
    </row>
    <row r="2361" spans="1:13" x14ac:dyDescent="0.2">
      <c r="A2361" t="s">
        <v>739</v>
      </c>
      <c r="B2361" t="s">
        <v>386</v>
      </c>
      <c r="C2361" t="s">
        <v>21</v>
      </c>
      <c r="D2361">
        <v>3401</v>
      </c>
      <c r="E2361">
        <v>2019</v>
      </c>
      <c r="F2361">
        <v>1</v>
      </c>
      <c r="G2361">
        <v>9734</v>
      </c>
      <c r="H2361" s="1">
        <v>3</v>
      </c>
      <c r="I2361">
        <v>14</v>
      </c>
      <c r="J2361">
        <f>IF($H2361=0,1,IF($I2361&lt;=1,2,0))</f>
        <v>0</v>
      </c>
      <c r="K2361">
        <v>0</v>
      </c>
      <c r="L2361">
        <f>IF(AND($J2361=0,$K2361=0),0,1)</f>
        <v>0</v>
      </c>
      <c r="M2361" t="s">
        <v>1953</v>
      </c>
    </row>
    <row r="2362" spans="1:13" x14ac:dyDescent="0.2">
      <c r="A2362" t="s">
        <v>739</v>
      </c>
      <c r="B2362" t="s">
        <v>386</v>
      </c>
      <c r="C2362" t="s">
        <v>21</v>
      </c>
      <c r="D2362">
        <v>3404</v>
      </c>
      <c r="E2362">
        <v>2019</v>
      </c>
      <c r="F2362">
        <v>1</v>
      </c>
      <c r="G2362">
        <v>9753</v>
      </c>
      <c r="H2362" s="1">
        <v>3</v>
      </c>
      <c r="I2362">
        <v>14</v>
      </c>
      <c r="J2362">
        <f>IF($H2362=0,1,IF($I2362&lt;=1,2,0))</f>
        <v>0</v>
      </c>
      <c r="K2362">
        <v>0</v>
      </c>
      <c r="L2362">
        <f>IF(AND($J2362=0,$K2362=0),0,1)</f>
        <v>0</v>
      </c>
      <c r="M2362" t="s">
        <v>1953</v>
      </c>
    </row>
    <row r="2363" spans="1:13" x14ac:dyDescent="0.2">
      <c r="A2363" t="s">
        <v>739</v>
      </c>
      <c r="B2363" t="s">
        <v>386</v>
      </c>
      <c r="C2363" t="s">
        <v>21</v>
      </c>
      <c r="D2363">
        <v>3405</v>
      </c>
      <c r="E2363">
        <v>2019</v>
      </c>
      <c r="F2363">
        <v>1</v>
      </c>
      <c r="G2363">
        <v>9732</v>
      </c>
      <c r="H2363" s="1">
        <v>3</v>
      </c>
      <c r="I2363">
        <v>12</v>
      </c>
      <c r="J2363">
        <f>IF($H2363=0,1,IF($I2363&lt;=1,2,0))</f>
        <v>0</v>
      </c>
      <c r="K2363">
        <v>0</v>
      </c>
      <c r="L2363">
        <f>IF(AND($J2363=0,$K2363=0),0,1)</f>
        <v>0</v>
      </c>
      <c r="M2363" t="s">
        <v>1953</v>
      </c>
    </row>
    <row r="2364" spans="1:13" x14ac:dyDescent="0.2">
      <c r="A2364" t="s">
        <v>747</v>
      </c>
      <c r="B2364" t="s">
        <v>17</v>
      </c>
      <c r="C2364" t="s">
        <v>9</v>
      </c>
      <c r="D2364">
        <v>1410</v>
      </c>
      <c r="E2364">
        <v>2019</v>
      </c>
      <c r="F2364">
        <v>1</v>
      </c>
      <c r="G2364">
        <v>44496</v>
      </c>
      <c r="H2364" s="1">
        <v>4</v>
      </c>
      <c r="I2364">
        <v>2</v>
      </c>
      <c r="J2364">
        <f>IF($H2364=0,1,IF($I2364&lt;=1,2,0))</f>
        <v>0</v>
      </c>
      <c r="K2364">
        <v>0</v>
      </c>
      <c r="L2364">
        <f>IF(AND($J2364=0,$K2364=0),0,1)</f>
        <v>0</v>
      </c>
    </row>
    <row r="2365" spans="1:13" x14ac:dyDescent="0.2">
      <c r="A2365" t="s">
        <v>747</v>
      </c>
      <c r="B2365" t="s">
        <v>17</v>
      </c>
      <c r="C2365" t="s">
        <v>9</v>
      </c>
      <c r="D2365">
        <v>1600</v>
      </c>
      <c r="E2365">
        <v>2019</v>
      </c>
      <c r="F2365">
        <v>1</v>
      </c>
      <c r="G2365">
        <v>44498</v>
      </c>
      <c r="H2365" s="1">
        <v>5</v>
      </c>
      <c r="I2365">
        <v>8</v>
      </c>
      <c r="J2365">
        <f>IF($H2365=0,1,IF($I2365&lt;=1,2,0))</f>
        <v>0</v>
      </c>
      <c r="K2365">
        <v>0</v>
      </c>
      <c r="L2365">
        <f>IF(AND($J2365=0,$K2365=0),0,1)</f>
        <v>0</v>
      </c>
    </row>
    <row r="2366" spans="1:13" x14ac:dyDescent="0.2">
      <c r="A2366" t="s">
        <v>747</v>
      </c>
      <c r="B2366" t="s">
        <v>17</v>
      </c>
      <c r="C2366" t="s">
        <v>9</v>
      </c>
      <c r="D2366">
        <v>2412</v>
      </c>
      <c r="E2366">
        <v>2019</v>
      </c>
      <c r="F2366">
        <v>1</v>
      </c>
      <c r="G2366">
        <v>44500</v>
      </c>
      <c r="H2366" s="1">
        <v>4</v>
      </c>
      <c r="I2366">
        <v>4</v>
      </c>
      <c r="J2366">
        <f>IF($H2366=0,1,IF($I2366&lt;=1,2,0))</f>
        <v>0</v>
      </c>
      <c r="K2366">
        <v>0</v>
      </c>
      <c r="L2366">
        <f>IF(AND($J2366=0,$K2366=0),0,1)</f>
        <v>0</v>
      </c>
    </row>
    <row r="2367" spans="1:13" x14ac:dyDescent="0.2">
      <c r="A2367" t="s">
        <v>747</v>
      </c>
      <c r="B2367" t="s">
        <v>17</v>
      </c>
      <c r="C2367" t="s">
        <v>9</v>
      </c>
      <c r="D2367">
        <v>2603</v>
      </c>
      <c r="E2367">
        <v>2019</v>
      </c>
      <c r="F2367">
        <v>1</v>
      </c>
      <c r="G2367">
        <v>44381</v>
      </c>
      <c r="H2367" s="1">
        <v>4</v>
      </c>
      <c r="I2367">
        <v>4</v>
      </c>
      <c r="J2367">
        <f>IF($H2367=0,1,IF($I2367&lt;=1,2,0))</f>
        <v>0</v>
      </c>
      <c r="K2367">
        <v>0</v>
      </c>
      <c r="L2367">
        <f>IF(AND($J2367=0,$K2367=0),0,1)</f>
        <v>0</v>
      </c>
    </row>
    <row r="2368" spans="1:13" x14ac:dyDescent="0.2">
      <c r="A2368" t="s">
        <v>747</v>
      </c>
      <c r="B2368" t="s">
        <v>17</v>
      </c>
      <c r="C2368" t="s">
        <v>11</v>
      </c>
      <c r="D2368">
        <v>3611</v>
      </c>
      <c r="E2368">
        <v>2019</v>
      </c>
      <c r="F2368">
        <v>1</v>
      </c>
      <c r="G2368">
        <v>44501</v>
      </c>
      <c r="H2368" s="1">
        <v>4</v>
      </c>
      <c r="I2368">
        <v>3</v>
      </c>
      <c r="J2368">
        <f>IF($H2368=0,1,IF($I2368&lt;=1,2,0))</f>
        <v>0</v>
      </c>
      <c r="K2368">
        <v>0</v>
      </c>
      <c r="L2368">
        <f>IF(AND($J2368=0,$K2368=0),0,1)</f>
        <v>0</v>
      </c>
    </row>
    <row r="2369" spans="1:13" x14ac:dyDescent="0.2">
      <c r="A2369" t="s">
        <v>748</v>
      </c>
      <c r="B2369" t="s">
        <v>17</v>
      </c>
      <c r="C2369" t="s">
        <v>9</v>
      </c>
      <c r="D2369">
        <v>1101</v>
      </c>
      <c r="E2369">
        <v>2019</v>
      </c>
      <c r="F2369">
        <v>1</v>
      </c>
      <c r="G2369">
        <v>55395</v>
      </c>
      <c r="H2369" s="1">
        <v>4</v>
      </c>
      <c r="I2369">
        <v>5</v>
      </c>
      <c r="J2369">
        <f>IF($H2369=0,1,IF($I2369&lt;=1,2,0))</f>
        <v>0</v>
      </c>
      <c r="K2369">
        <v>0</v>
      </c>
      <c r="L2369">
        <f>IF(AND($J2369=0,$K2369=0),0,1)</f>
        <v>0</v>
      </c>
    </row>
    <row r="2370" spans="1:13" x14ac:dyDescent="0.2">
      <c r="A2370" t="s">
        <v>749</v>
      </c>
      <c r="B2370" t="s">
        <v>17</v>
      </c>
      <c r="C2370" t="s">
        <v>9</v>
      </c>
      <c r="D2370">
        <v>1101</v>
      </c>
      <c r="E2370">
        <v>2019</v>
      </c>
      <c r="F2370">
        <v>1</v>
      </c>
      <c r="G2370">
        <v>53911</v>
      </c>
      <c r="H2370" s="1">
        <v>4</v>
      </c>
      <c r="I2370">
        <v>6</v>
      </c>
      <c r="J2370">
        <f>IF($H2370=0,1,IF($I2370&lt;=1,2,0))</f>
        <v>0</v>
      </c>
      <c r="K2370">
        <v>0</v>
      </c>
      <c r="L2370">
        <f>IF(AND($J2370=0,$K2370=0),0,1)</f>
        <v>0</v>
      </c>
    </row>
    <row r="2371" spans="1:13" x14ac:dyDescent="0.2">
      <c r="A2371" t="s">
        <v>750</v>
      </c>
      <c r="B2371" t="s">
        <v>6</v>
      </c>
      <c r="C2371" t="s">
        <v>21</v>
      </c>
      <c r="D2371">
        <v>1515</v>
      </c>
      <c r="E2371">
        <v>2019</v>
      </c>
      <c r="F2371">
        <v>1</v>
      </c>
      <c r="G2371">
        <v>9858</v>
      </c>
      <c r="H2371" s="1">
        <v>3</v>
      </c>
      <c r="I2371">
        <v>103</v>
      </c>
      <c r="J2371">
        <f>IF($H2371=0,1,IF($I2371&lt;=1,2,0))</f>
        <v>0</v>
      </c>
      <c r="K2371">
        <v>0</v>
      </c>
      <c r="L2371">
        <f>IF(AND($J2371=0,$K2371=0),0,1)</f>
        <v>0</v>
      </c>
      <c r="M2371" t="s">
        <v>751</v>
      </c>
    </row>
    <row r="2372" spans="1:13" x14ac:dyDescent="0.2">
      <c r="A2372" t="s">
        <v>750</v>
      </c>
      <c r="B2372" t="s">
        <v>6</v>
      </c>
      <c r="C2372" t="s">
        <v>21</v>
      </c>
      <c r="D2372">
        <v>2200</v>
      </c>
      <c r="E2372">
        <v>2019</v>
      </c>
      <c r="F2372">
        <v>1</v>
      </c>
      <c r="G2372">
        <v>9852</v>
      </c>
      <c r="H2372" s="1">
        <v>3</v>
      </c>
      <c r="I2372">
        <v>23</v>
      </c>
      <c r="J2372">
        <f>IF($H2372=0,1,IF($I2372&lt;=1,2,0))</f>
        <v>0</v>
      </c>
      <c r="K2372">
        <v>0</v>
      </c>
      <c r="L2372">
        <f>IF(AND($J2372=0,$K2372=0),0,1)</f>
        <v>0</v>
      </c>
      <c r="M2372" t="s">
        <v>753</v>
      </c>
    </row>
    <row r="2373" spans="1:13" x14ac:dyDescent="0.2">
      <c r="A2373" t="s">
        <v>750</v>
      </c>
      <c r="B2373" t="s">
        <v>6</v>
      </c>
      <c r="C2373" t="s">
        <v>21</v>
      </c>
      <c r="D2373">
        <v>2200</v>
      </c>
      <c r="E2373">
        <v>2019</v>
      </c>
      <c r="F2373">
        <v>2</v>
      </c>
      <c r="G2373">
        <v>9853</v>
      </c>
      <c r="H2373" s="1">
        <v>3</v>
      </c>
      <c r="I2373">
        <v>21</v>
      </c>
      <c r="J2373">
        <f>IF($H2373=0,1,IF($I2373&lt;=1,2,0))</f>
        <v>0</v>
      </c>
      <c r="K2373">
        <v>0</v>
      </c>
      <c r="L2373">
        <f>IF(AND($J2373=0,$K2373=0),0,1)</f>
        <v>0</v>
      </c>
      <c r="M2373" t="s">
        <v>754</v>
      </c>
    </row>
    <row r="2374" spans="1:13" x14ac:dyDescent="0.2">
      <c r="A2374" t="s">
        <v>750</v>
      </c>
      <c r="B2374" t="s">
        <v>6</v>
      </c>
      <c r="C2374" t="s">
        <v>21</v>
      </c>
      <c r="D2374">
        <v>3440</v>
      </c>
      <c r="E2374">
        <v>2019</v>
      </c>
      <c r="F2374">
        <v>1</v>
      </c>
      <c r="G2374">
        <v>9859</v>
      </c>
      <c r="H2374" s="1">
        <v>3</v>
      </c>
      <c r="I2374">
        <v>38</v>
      </c>
      <c r="J2374">
        <f>IF($H2374=0,1,IF($I2374&lt;=1,2,0))</f>
        <v>0</v>
      </c>
      <c r="K2374">
        <v>0</v>
      </c>
      <c r="L2374">
        <f>IF(AND($J2374=0,$K2374=0),0,1)</f>
        <v>0</v>
      </c>
      <c r="M2374" t="s">
        <v>755</v>
      </c>
    </row>
    <row r="2375" spans="1:13" x14ac:dyDescent="0.2">
      <c r="A2375" t="s">
        <v>750</v>
      </c>
      <c r="B2375" t="s">
        <v>6</v>
      </c>
      <c r="C2375" t="s">
        <v>21</v>
      </c>
      <c r="D2375">
        <v>3480</v>
      </c>
      <c r="E2375">
        <v>2019</v>
      </c>
      <c r="F2375">
        <v>1</v>
      </c>
      <c r="G2375">
        <v>9855</v>
      </c>
      <c r="H2375" s="1">
        <v>4</v>
      </c>
      <c r="I2375">
        <v>21</v>
      </c>
      <c r="J2375">
        <f>IF($H2375=0,1,IF($I2375&lt;=1,2,0))</f>
        <v>0</v>
      </c>
      <c r="K2375">
        <v>0</v>
      </c>
      <c r="L2375">
        <f>IF(AND($J2375=0,$K2375=0),0,1)</f>
        <v>0</v>
      </c>
      <c r="M2375" t="s">
        <v>755</v>
      </c>
    </row>
    <row r="2376" spans="1:13" x14ac:dyDescent="0.2">
      <c r="A2376" t="s">
        <v>750</v>
      </c>
      <c r="B2376" t="s">
        <v>6</v>
      </c>
      <c r="C2376" t="s">
        <v>21</v>
      </c>
      <c r="D2376">
        <v>3545</v>
      </c>
      <c r="E2376">
        <v>2019</v>
      </c>
      <c r="F2376">
        <v>1</v>
      </c>
      <c r="G2376">
        <v>9862</v>
      </c>
      <c r="H2376" s="1">
        <v>4</v>
      </c>
      <c r="I2376">
        <v>14</v>
      </c>
      <c r="J2376">
        <f>IF($H2376=0,1,IF($I2376&lt;=1,2,0))</f>
        <v>0</v>
      </c>
      <c r="K2376">
        <v>0</v>
      </c>
      <c r="L2376">
        <f>IF(AND($J2376=0,$K2376=0),0,1)</f>
        <v>0</v>
      </c>
      <c r="M2376" t="s">
        <v>756</v>
      </c>
    </row>
    <row r="2377" spans="1:13" x14ac:dyDescent="0.2">
      <c r="A2377" t="s">
        <v>750</v>
      </c>
      <c r="B2377" t="s">
        <v>6</v>
      </c>
      <c r="C2377" t="s">
        <v>21</v>
      </c>
      <c r="D2377">
        <v>3545</v>
      </c>
      <c r="E2377">
        <v>2019</v>
      </c>
      <c r="F2377">
        <v>2</v>
      </c>
      <c r="G2377">
        <v>9863</v>
      </c>
      <c r="H2377" s="1">
        <v>4</v>
      </c>
      <c r="I2377">
        <v>13</v>
      </c>
      <c r="J2377">
        <f>IF($H2377=0,1,IF($I2377&lt;=1,2,0))</f>
        <v>0</v>
      </c>
      <c r="K2377">
        <v>0</v>
      </c>
      <c r="L2377">
        <f>IF(AND($J2377=0,$K2377=0),0,1)</f>
        <v>0</v>
      </c>
      <c r="M2377" t="s">
        <v>756</v>
      </c>
    </row>
    <row r="2378" spans="1:13" x14ac:dyDescent="0.2">
      <c r="A2378" t="s">
        <v>750</v>
      </c>
      <c r="B2378" t="s">
        <v>6</v>
      </c>
      <c r="C2378" t="s">
        <v>21</v>
      </c>
      <c r="D2378">
        <v>3545</v>
      </c>
      <c r="E2378">
        <v>2019</v>
      </c>
      <c r="F2378">
        <v>3</v>
      </c>
      <c r="G2378">
        <v>9865</v>
      </c>
      <c r="H2378" s="1">
        <v>4</v>
      </c>
      <c r="I2378">
        <v>12</v>
      </c>
      <c r="J2378">
        <f>IF($H2378=0,1,IF($I2378&lt;=1,2,0))</f>
        <v>0</v>
      </c>
      <c r="K2378">
        <v>0</v>
      </c>
      <c r="L2378">
        <f>IF(AND($J2378=0,$K2378=0),0,1)</f>
        <v>0</v>
      </c>
      <c r="M2378" t="s">
        <v>756</v>
      </c>
    </row>
    <row r="2379" spans="1:13" x14ac:dyDescent="0.2">
      <c r="A2379" t="s">
        <v>750</v>
      </c>
      <c r="B2379" t="s">
        <v>6</v>
      </c>
      <c r="C2379" t="s">
        <v>21</v>
      </c>
      <c r="D2379">
        <v>3565</v>
      </c>
      <c r="E2379">
        <v>2019</v>
      </c>
      <c r="F2379">
        <v>1</v>
      </c>
      <c r="G2379">
        <v>9856</v>
      </c>
      <c r="H2379" s="1">
        <v>3</v>
      </c>
      <c r="I2379">
        <v>41</v>
      </c>
      <c r="J2379">
        <f>IF($H2379=0,1,IF($I2379&lt;=1,2,0))</f>
        <v>0</v>
      </c>
      <c r="K2379">
        <v>0</v>
      </c>
      <c r="L2379">
        <f>IF(AND($J2379=0,$K2379=0),0,1)</f>
        <v>0</v>
      </c>
      <c r="M2379" t="s">
        <v>756</v>
      </c>
    </row>
    <row r="2380" spans="1:13" x14ac:dyDescent="0.2">
      <c r="A2380" t="s">
        <v>750</v>
      </c>
      <c r="B2380" t="s">
        <v>6</v>
      </c>
      <c r="C2380" t="s">
        <v>21</v>
      </c>
      <c r="D2380">
        <v>3992</v>
      </c>
      <c r="E2380">
        <v>2019</v>
      </c>
      <c r="F2380">
        <v>2</v>
      </c>
      <c r="G2380">
        <v>9861</v>
      </c>
      <c r="H2380" s="1">
        <v>4</v>
      </c>
      <c r="I2380">
        <v>13</v>
      </c>
      <c r="J2380">
        <f>IF($H2380=0,1,IF($I2380&lt;=1,2,0))</f>
        <v>0</v>
      </c>
      <c r="K2380">
        <v>0</v>
      </c>
      <c r="L2380">
        <f>IF(AND($J2380=0,$K2380=0),0,1)</f>
        <v>0</v>
      </c>
      <c r="M2380" t="s">
        <v>758</v>
      </c>
    </row>
    <row r="2381" spans="1:13" x14ac:dyDescent="0.2">
      <c r="A2381" t="s">
        <v>750</v>
      </c>
      <c r="B2381" t="s">
        <v>6</v>
      </c>
      <c r="C2381" t="s">
        <v>21</v>
      </c>
      <c r="D2381">
        <v>3992</v>
      </c>
      <c r="E2381">
        <v>2019</v>
      </c>
      <c r="F2381">
        <v>3</v>
      </c>
      <c r="G2381">
        <v>9866</v>
      </c>
      <c r="H2381" s="1">
        <v>4</v>
      </c>
      <c r="I2381">
        <v>13</v>
      </c>
      <c r="J2381">
        <f>IF($H2381=0,1,IF($I2381&lt;=1,2,0))</f>
        <v>0</v>
      </c>
      <c r="K2381">
        <v>0</v>
      </c>
      <c r="L2381">
        <f>IF(AND($J2381=0,$K2381=0),0,1)</f>
        <v>0</v>
      </c>
      <c r="M2381" t="s">
        <v>757</v>
      </c>
    </row>
    <row r="2382" spans="1:13" x14ac:dyDescent="0.2">
      <c r="A2382" t="s">
        <v>750</v>
      </c>
      <c r="B2382" t="s">
        <v>6</v>
      </c>
      <c r="C2382" t="s">
        <v>21</v>
      </c>
      <c r="D2382">
        <v>3992</v>
      </c>
      <c r="E2382">
        <v>2019</v>
      </c>
      <c r="F2382">
        <v>1</v>
      </c>
      <c r="G2382">
        <v>9860</v>
      </c>
      <c r="H2382" s="1">
        <v>4</v>
      </c>
      <c r="I2382">
        <v>11</v>
      </c>
      <c r="J2382">
        <f>IF($H2382=0,1,IF($I2382&lt;=1,2,0))</f>
        <v>0</v>
      </c>
      <c r="K2382">
        <v>0</v>
      </c>
      <c r="L2382">
        <f>IF(AND($J2382=0,$K2382=0),0,1)</f>
        <v>0</v>
      </c>
      <c r="M2382" t="s">
        <v>757</v>
      </c>
    </row>
    <row r="2383" spans="1:13" x14ac:dyDescent="0.2">
      <c r="A2383" t="s">
        <v>750</v>
      </c>
      <c r="B2383" t="s">
        <v>6</v>
      </c>
      <c r="C2383" t="s">
        <v>21</v>
      </c>
      <c r="D2383">
        <v>3994</v>
      </c>
      <c r="E2383">
        <v>2019</v>
      </c>
      <c r="F2383">
        <v>1</v>
      </c>
      <c r="G2383">
        <v>9857</v>
      </c>
      <c r="H2383" s="1">
        <v>4</v>
      </c>
      <c r="I2383">
        <v>9</v>
      </c>
      <c r="J2383">
        <f>IF($H2383=0,1,IF($I2383&lt;=1,2,0))</f>
        <v>0</v>
      </c>
      <c r="K2383">
        <v>0</v>
      </c>
      <c r="L2383">
        <f>IF(AND($J2383=0,$K2383=0),0,1)</f>
        <v>0</v>
      </c>
      <c r="M2383" t="s">
        <v>757</v>
      </c>
    </row>
    <row r="2384" spans="1:13" x14ac:dyDescent="0.2">
      <c r="A2384" t="s">
        <v>750</v>
      </c>
      <c r="B2384" t="s">
        <v>6</v>
      </c>
      <c r="C2384" t="s">
        <v>21</v>
      </c>
      <c r="D2384">
        <v>3996</v>
      </c>
      <c r="E2384">
        <v>2019</v>
      </c>
      <c r="F2384">
        <v>1</v>
      </c>
      <c r="G2384">
        <v>9851</v>
      </c>
      <c r="H2384" s="1">
        <v>4</v>
      </c>
      <c r="I2384">
        <v>9</v>
      </c>
      <c r="J2384">
        <f>IF($H2384=0,1,IF($I2384&lt;=1,2,0))</f>
        <v>0</v>
      </c>
      <c r="K2384">
        <v>0</v>
      </c>
      <c r="L2384">
        <f>IF(AND($J2384=0,$K2384=0),0,1)</f>
        <v>0</v>
      </c>
      <c r="M2384" t="s">
        <v>758</v>
      </c>
    </row>
    <row r="2385" spans="1:12" x14ac:dyDescent="0.2">
      <c r="A2385" t="s">
        <v>759</v>
      </c>
      <c r="B2385" t="s">
        <v>386</v>
      </c>
      <c r="C2385" t="s">
        <v>407</v>
      </c>
      <c r="D2385">
        <v>1000</v>
      </c>
      <c r="E2385">
        <v>2019</v>
      </c>
      <c r="F2385">
        <v>1</v>
      </c>
      <c r="G2385">
        <v>98842</v>
      </c>
      <c r="H2385" s="1">
        <v>3</v>
      </c>
      <c r="I2385">
        <v>21</v>
      </c>
      <c r="J2385">
        <f>IF($H2385=0,1,IF($I2385&lt;=1,2,0))</f>
        <v>0</v>
      </c>
      <c r="K2385">
        <v>0</v>
      </c>
      <c r="L2385">
        <f>IF(AND($J2385=0,$K2385=0),0,1)</f>
        <v>0</v>
      </c>
    </row>
    <row r="2386" spans="1:12" x14ac:dyDescent="0.2">
      <c r="A2386" t="s">
        <v>759</v>
      </c>
      <c r="B2386" t="s">
        <v>386</v>
      </c>
      <c r="C2386" t="s">
        <v>407</v>
      </c>
      <c r="D2386">
        <v>1000</v>
      </c>
      <c r="E2386">
        <v>2019</v>
      </c>
      <c r="F2386">
        <v>2</v>
      </c>
      <c r="G2386">
        <v>98841</v>
      </c>
      <c r="H2386" s="1">
        <v>3</v>
      </c>
      <c r="I2386">
        <v>18</v>
      </c>
      <c r="J2386">
        <f>IF($H2386=0,1,IF($I2386&lt;=1,2,0))</f>
        <v>0</v>
      </c>
      <c r="K2386">
        <v>0</v>
      </c>
      <c r="L2386">
        <f>IF(AND($J2386=0,$K2386=0),0,1)</f>
        <v>0</v>
      </c>
    </row>
    <row r="2387" spans="1:12" x14ac:dyDescent="0.2">
      <c r="A2387" t="s">
        <v>759</v>
      </c>
      <c r="B2387" t="s">
        <v>386</v>
      </c>
      <c r="C2387" t="s">
        <v>407</v>
      </c>
      <c r="D2387">
        <v>1000</v>
      </c>
      <c r="E2387">
        <v>2019</v>
      </c>
      <c r="F2387">
        <v>3</v>
      </c>
      <c r="G2387">
        <v>98840</v>
      </c>
      <c r="H2387" s="1">
        <v>3</v>
      </c>
      <c r="I2387">
        <v>14</v>
      </c>
      <c r="J2387">
        <f>IF($H2387=0,1,IF($I2387&lt;=1,2,0))</f>
        <v>0</v>
      </c>
      <c r="K2387">
        <v>0</v>
      </c>
      <c r="L2387">
        <f>IF(AND($J2387=0,$K2387=0),0,1)</f>
        <v>0</v>
      </c>
    </row>
    <row r="2388" spans="1:12" x14ac:dyDescent="0.2">
      <c r="A2388" t="s">
        <v>759</v>
      </c>
      <c r="B2388" t="s">
        <v>386</v>
      </c>
      <c r="C2388" t="s">
        <v>407</v>
      </c>
      <c r="D2388">
        <v>1700</v>
      </c>
      <c r="E2388">
        <v>2019</v>
      </c>
      <c r="F2388">
        <v>2</v>
      </c>
      <c r="G2388">
        <v>98838</v>
      </c>
      <c r="H2388" s="1">
        <v>3</v>
      </c>
      <c r="I2388">
        <v>19</v>
      </c>
      <c r="J2388">
        <f>IF($H2388=0,1,IF($I2388&lt;=1,2,0))</f>
        <v>0</v>
      </c>
      <c r="K2388">
        <v>0</v>
      </c>
      <c r="L2388">
        <f>IF(AND($J2388=0,$K2388=0),0,1)</f>
        <v>0</v>
      </c>
    </row>
    <row r="2389" spans="1:12" x14ac:dyDescent="0.2">
      <c r="A2389" t="s">
        <v>759</v>
      </c>
      <c r="B2389" t="s">
        <v>386</v>
      </c>
      <c r="C2389" t="s">
        <v>407</v>
      </c>
      <c r="D2389">
        <v>1700</v>
      </c>
      <c r="E2389">
        <v>2019</v>
      </c>
      <c r="F2389">
        <v>1</v>
      </c>
      <c r="G2389">
        <v>98839</v>
      </c>
      <c r="H2389" s="1">
        <v>3</v>
      </c>
      <c r="I2389">
        <v>11</v>
      </c>
      <c r="J2389">
        <f>IF($H2389=0,1,IF($I2389&lt;=1,2,0))</f>
        <v>0</v>
      </c>
      <c r="K2389">
        <v>0</v>
      </c>
      <c r="L2389">
        <f>IF(AND($J2389=0,$K2389=0),0,1)</f>
        <v>0</v>
      </c>
    </row>
    <row r="2390" spans="1:12" x14ac:dyDescent="0.2">
      <c r="A2390" t="s">
        <v>759</v>
      </c>
      <c r="B2390" t="s">
        <v>386</v>
      </c>
      <c r="C2390" t="s">
        <v>407</v>
      </c>
      <c r="D2390">
        <v>1700</v>
      </c>
      <c r="E2390">
        <v>2019</v>
      </c>
      <c r="F2390">
        <v>3</v>
      </c>
      <c r="G2390">
        <v>98837</v>
      </c>
      <c r="H2390" s="1">
        <v>3</v>
      </c>
      <c r="I2390">
        <v>9</v>
      </c>
      <c r="J2390">
        <f>IF($H2390=0,1,IF($I2390&lt;=1,2,0))</f>
        <v>0</v>
      </c>
      <c r="K2390">
        <v>0</v>
      </c>
      <c r="L2390">
        <f>IF(AND($J2390=0,$K2390=0),0,1)</f>
        <v>0</v>
      </c>
    </row>
    <row r="2391" spans="1:12" x14ac:dyDescent="0.2">
      <c r="A2391" t="s">
        <v>759</v>
      </c>
      <c r="B2391" t="s">
        <v>386</v>
      </c>
      <c r="C2391" t="s">
        <v>407</v>
      </c>
      <c r="D2391">
        <v>2001</v>
      </c>
      <c r="E2391">
        <v>2019</v>
      </c>
      <c r="F2391">
        <v>1</v>
      </c>
      <c r="G2391">
        <v>98892</v>
      </c>
      <c r="H2391" s="1">
        <v>3</v>
      </c>
      <c r="I2391">
        <v>14</v>
      </c>
      <c r="J2391">
        <f>IF($H2391=0,1,IF($I2391&lt;=1,2,0))</f>
        <v>0</v>
      </c>
      <c r="K2391">
        <v>0</v>
      </c>
      <c r="L2391">
        <f>IF(AND($J2391=0,$K2391=0),0,1)</f>
        <v>0</v>
      </c>
    </row>
    <row r="2392" spans="1:12" x14ac:dyDescent="0.2">
      <c r="A2392" t="s">
        <v>759</v>
      </c>
      <c r="B2392" t="s">
        <v>386</v>
      </c>
      <c r="C2392" t="s">
        <v>407</v>
      </c>
      <c r="D2392">
        <v>2100</v>
      </c>
      <c r="E2392">
        <v>2019</v>
      </c>
      <c r="F2392">
        <v>2</v>
      </c>
      <c r="G2392">
        <v>98835</v>
      </c>
      <c r="H2392" s="1">
        <v>3</v>
      </c>
      <c r="I2392">
        <v>14</v>
      </c>
      <c r="J2392">
        <f>IF($H2392=0,1,IF($I2392&lt;=1,2,0))</f>
        <v>0</v>
      </c>
      <c r="K2392">
        <v>0</v>
      </c>
      <c r="L2392">
        <f>IF(AND($J2392=0,$K2392=0),0,1)</f>
        <v>0</v>
      </c>
    </row>
    <row r="2393" spans="1:12" x14ac:dyDescent="0.2">
      <c r="A2393" t="s">
        <v>759</v>
      </c>
      <c r="B2393" t="s">
        <v>386</v>
      </c>
      <c r="C2393" t="s">
        <v>407</v>
      </c>
      <c r="D2393">
        <v>2100</v>
      </c>
      <c r="E2393">
        <v>2019</v>
      </c>
      <c r="F2393">
        <v>3</v>
      </c>
      <c r="G2393">
        <v>98834</v>
      </c>
      <c r="H2393" s="1">
        <v>3</v>
      </c>
      <c r="I2393">
        <v>8</v>
      </c>
      <c r="J2393">
        <f>IF($H2393=0,1,IF($I2393&lt;=1,2,0))</f>
        <v>0</v>
      </c>
      <c r="K2393">
        <v>0</v>
      </c>
      <c r="L2393">
        <f>IF(AND($J2393=0,$K2393=0),0,1)</f>
        <v>0</v>
      </c>
    </row>
    <row r="2394" spans="1:12" x14ac:dyDescent="0.2">
      <c r="A2394" t="s">
        <v>759</v>
      </c>
      <c r="B2394" t="s">
        <v>386</v>
      </c>
      <c r="C2394" t="s">
        <v>407</v>
      </c>
      <c r="D2394">
        <v>2100</v>
      </c>
      <c r="E2394">
        <v>2019</v>
      </c>
      <c r="F2394">
        <v>1</v>
      </c>
      <c r="G2394">
        <v>98836</v>
      </c>
      <c r="H2394" s="1">
        <v>3</v>
      </c>
      <c r="I2394">
        <v>7</v>
      </c>
      <c r="J2394">
        <f>IF($H2394=0,1,IF($I2394&lt;=1,2,0))</f>
        <v>0</v>
      </c>
      <c r="K2394">
        <v>0</v>
      </c>
      <c r="L2394">
        <f>IF(AND($J2394=0,$K2394=0),0,1)</f>
        <v>0</v>
      </c>
    </row>
    <row r="2395" spans="1:12" x14ac:dyDescent="0.2">
      <c r="A2395" t="s">
        <v>759</v>
      </c>
      <c r="B2395" t="s">
        <v>386</v>
      </c>
      <c r="C2395" t="s">
        <v>407</v>
      </c>
      <c r="D2395">
        <v>2200</v>
      </c>
      <c r="E2395">
        <v>2019</v>
      </c>
      <c r="F2395">
        <v>1</v>
      </c>
      <c r="G2395">
        <v>98891</v>
      </c>
      <c r="H2395" s="1">
        <v>3</v>
      </c>
      <c r="I2395">
        <v>9</v>
      </c>
      <c r="J2395">
        <f>IF($H2395=0,1,IF($I2395&lt;=1,2,0))</f>
        <v>0</v>
      </c>
      <c r="K2395">
        <v>0</v>
      </c>
      <c r="L2395">
        <f>IF(AND($J2395=0,$K2395=0),0,1)</f>
        <v>0</v>
      </c>
    </row>
    <row r="2396" spans="1:12" x14ac:dyDescent="0.2">
      <c r="A2396" t="s">
        <v>759</v>
      </c>
      <c r="B2396" t="s">
        <v>386</v>
      </c>
      <c r="C2396" t="s">
        <v>407</v>
      </c>
      <c r="D2396">
        <v>2300</v>
      </c>
      <c r="E2396">
        <v>2019</v>
      </c>
      <c r="F2396">
        <v>1</v>
      </c>
      <c r="G2396">
        <v>98833</v>
      </c>
      <c r="H2396" s="1">
        <v>3</v>
      </c>
      <c r="I2396">
        <v>9</v>
      </c>
      <c r="J2396">
        <f>IF($H2396=0,1,IF($I2396&lt;=1,2,0))</f>
        <v>0</v>
      </c>
      <c r="K2396">
        <v>0</v>
      </c>
      <c r="L2396">
        <f>IF(AND($J2396=0,$K2396=0),0,1)</f>
        <v>0</v>
      </c>
    </row>
    <row r="2397" spans="1:12" x14ac:dyDescent="0.2">
      <c r="A2397" t="s">
        <v>759</v>
      </c>
      <c r="B2397" t="s">
        <v>386</v>
      </c>
      <c r="C2397" t="s">
        <v>407</v>
      </c>
      <c r="D2397">
        <v>2300</v>
      </c>
      <c r="E2397">
        <v>2019</v>
      </c>
      <c r="F2397">
        <v>2</v>
      </c>
      <c r="G2397">
        <v>98832</v>
      </c>
      <c r="H2397" s="1">
        <v>3</v>
      </c>
      <c r="I2397">
        <v>8</v>
      </c>
      <c r="J2397">
        <f>IF($H2397=0,1,IF($I2397&lt;=1,2,0))</f>
        <v>0</v>
      </c>
      <c r="K2397">
        <v>0</v>
      </c>
      <c r="L2397">
        <f>IF(AND($J2397=0,$K2397=0),0,1)</f>
        <v>0</v>
      </c>
    </row>
    <row r="2398" spans="1:12" x14ac:dyDescent="0.2">
      <c r="A2398" t="s">
        <v>759</v>
      </c>
      <c r="B2398" t="s">
        <v>386</v>
      </c>
      <c r="C2398" t="s">
        <v>407</v>
      </c>
      <c r="D2398">
        <v>2420</v>
      </c>
      <c r="E2398">
        <v>2019</v>
      </c>
      <c r="F2398">
        <v>1</v>
      </c>
      <c r="G2398">
        <v>98901</v>
      </c>
      <c r="H2398" s="1">
        <v>3</v>
      </c>
      <c r="I2398">
        <v>10</v>
      </c>
      <c r="J2398">
        <f>IF($H2398=0,1,IF($I2398&lt;=1,2,0))</f>
        <v>0</v>
      </c>
      <c r="K2398">
        <v>0</v>
      </c>
      <c r="L2398">
        <f>IF(AND($J2398=0,$K2398=0),0,1)</f>
        <v>0</v>
      </c>
    </row>
    <row r="2399" spans="1:12" x14ac:dyDescent="0.2">
      <c r="A2399" t="s">
        <v>759</v>
      </c>
      <c r="B2399" t="s">
        <v>386</v>
      </c>
      <c r="C2399" t="s">
        <v>407</v>
      </c>
      <c r="D2399">
        <v>2430</v>
      </c>
      <c r="E2399">
        <v>2019</v>
      </c>
      <c r="F2399">
        <v>1</v>
      </c>
      <c r="G2399">
        <v>98831</v>
      </c>
      <c r="H2399" s="1">
        <v>3</v>
      </c>
      <c r="I2399">
        <v>11</v>
      </c>
      <c r="J2399">
        <f>IF($H2399=0,1,IF($I2399&lt;=1,2,0))</f>
        <v>0</v>
      </c>
      <c r="K2399">
        <v>0</v>
      </c>
      <c r="L2399">
        <f>IF(AND($J2399=0,$K2399=0),0,1)</f>
        <v>0</v>
      </c>
    </row>
    <row r="2400" spans="1:12" x14ac:dyDescent="0.2">
      <c r="A2400" t="s">
        <v>759</v>
      </c>
      <c r="B2400" t="s">
        <v>386</v>
      </c>
      <c r="C2400" t="s">
        <v>407</v>
      </c>
      <c r="D2400">
        <v>2701</v>
      </c>
      <c r="E2400">
        <v>2019</v>
      </c>
      <c r="F2400">
        <v>1</v>
      </c>
      <c r="G2400">
        <v>98789</v>
      </c>
      <c r="H2400" s="1">
        <v>3</v>
      </c>
      <c r="I2400">
        <v>16</v>
      </c>
      <c r="J2400">
        <f>IF($H2400=0,1,IF($I2400&lt;=1,2,0))</f>
        <v>0</v>
      </c>
      <c r="K2400">
        <v>0</v>
      </c>
      <c r="L2400">
        <f>IF(AND($J2400=0,$K2400=0),0,1)</f>
        <v>0</v>
      </c>
    </row>
    <row r="2401" spans="1:13" x14ac:dyDescent="0.2">
      <c r="A2401" t="s">
        <v>759</v>
      </c>
      <c r="B2401" t="s">
        <v>386</v>
      </c>
      <c r="C2401" t="s">
        <v>407</v>
      </c>
      <c r="D2401">
        <v>3010</v>
      </c>
      <c r="E2401">
        <v>2019</v>
      </c>
      <c r="F2401">
        <v>1</v>
      </c>
      <c r="G2401">
        <v>98900</v>
      </c>
      <c r="H2401" s="1">
        <v>3</v>
      </c>
      <c r="I2401">
        <v>5</v>
      </c>
      <c r="J2401">
        <f>IF($H2401=0,1,IF($I2401&lt;=1,2,0))</f>
        <v>0</v>
      </c>
      <c r="K2401">
        <v>0</v>
      </c>
      <c r="L2401">
        <f>IF(AND($J2401=0,$K2401=0),0,1)</f>
        <v>0</v>
      </c>
    </row>
    <row r="2402" spans="1:13" x14ac:dyDescent="0.2">
      <c r="A2402" t="s">
        <v>759</v>
      </c>
      <c r="B2402" t="s">
        <v>386</v>
      </c>
      <c r="C2402" t="s">
        <v>34</v>
      </c>
      <c r="D2402">
        <v>3101</v>
      </c>
      <c r="E2402">
        <v>2019</v>
      </c>
      <c r="F2402">
        <v>1</v>
      </c>
      <c r="G2402">
        <v>98830</v>
      </c>
      <c r="H2402" s="1">
        <v>3</v>
      </c>
      <c r="I2402">
        <v>16</v>
      </c>
      <c r="J2402">
        <f>IF($H2402=0,1,IF($I2402&lt;=1,2,0))</f>
        <v>0</v>
      </c>
      <c r="K2402">
        <v>0</v>
      </c>
      <c r="L2402">
        <f>IF(AND($J2402=0,$K2402=0),0,1)</f>
        <v>0</v>
      </c>
    </row>
    <row r="2403" spans="1:13" x14ac:dyDescent="0.2">
      <c r="A2403" t="s">
        <v>759</v>
      </c>
      <c r="B2403" t="s">
        <v>386</v>
      </c>
      <c r="C2403" t="s">
        <v>9</v>
      </c>
      <c r="D2403">
        <v>3133</v>
      </c>
      <c r="E2403">
        <v>2019</v>
      </c>
      <c r="F2403">
        <v>1</v>
      </c>
      <c r="G2403">
        <v>10604</v>
      </c>
      <c r="H2403" s="1">
        <v>3</v>
      </c>
      <c r="I2403">
        <v>9</v>
      </c>
      <c r="J2403">
        <f>IF($H2403=0,1,IF($I2403&lt;=1,2,0))</f>
        <v>0</v>
      </c>
      <c r="K2403">
        <v>0</v>
      </c>
      <c r="L2403">
        <f>IF(AND($J2403=0,$K2403=0),0,1)</f>
        <v>0</v>
      </c>
    </row>
    <row r="2404" spans="1:13" x14ac:dyDescent="0.2">
      <c r="A2404" t="s">
        <v>759</v>
      </c>
      <c r="B2404" t="s">
        <v>386</v>
      </c>
      <c r="C2404" t="s">
        <v>407</v>
      </c>
      <c r="D2404">
        <v>3410</v>
      </c>
      <c r="E2404">
        <v>2019</v>
      </c>
      <c r="F2404">
        <v>1</v>
      </c>
      <c r="G2404">
        <v>98890</v>
      </c>
      <c r="H2404" s="1">
        <v>3</v>
      </c>
      <c r="I2404">
        <v>8</v>
      </c>
      <c r="J2404">
        <f>IF($H2404=0,1,IF($I2404&lt;=1,2,0))</f>
        <v>0</v>
      </c>
      <c r="K2404">
        <v>0</v>
      </c>
      <c r="L2404">
        <f>IF(AND($J2404=0,$K2404=0),0,1)</f>
        <v>0</v>
      </c>
    </row>
    <row r="2405" spans="1:13" x14ac:dyDescent="0.2">
      <c r="A2405" t="s">
        <v>759</v>
      </c>
      <c r="B2405" t="s">
        <v>386</v>
      </c>
      <c r="C2405" t="s">
        <v>34</v>
      </c>
      <c r="D2405">
        <v>3412</v>
      </c>
      <c r="E2405">
        <v>2019</v>
      </c>
      <c r="F2405">
        <v>1</v>
      </c>
      <c r="G2405">
        <v>98889</v>
      </c>
      <c r="H2405" s="1">
        <v>3</v>
      </c>
      <c r="I2405">
        <v>9</v>
      </c>
      <c r="J2405">
        <f>IF($H2405=0,1,IF($I2405&lt;=1,2,0))</f>
        <v>0</v>
      </c>
      <c r="K2405">
        <v>0</v>
      </c>
      <c r="L2405">
        <f>IF(AND($J2405=0,$K2405=0),0,1)</f>
        <v>0</v>
      </c>
    </row>
    <row r="2406" spans="1:13" x14ac:dyDescent="0.2">
      <c r="A2406" t="s">
        <v>759</v>
      </c>
      <c r="B2406" t="s">
        <v>386</v>
      </c>
      <c r="C2406" t="s">
        <v>407</v>
      </c>
      <c r="D2406">
        <v>3421</v>
      </c>
      <c r="E2406">
        <v>2019</v>
      </c>
      <c r="F2406">
        <v>1</v>
      </c>
      <c r="G2406">
        <v>98828</v>
      </c>
      <c r="H2406" s="1">
        <v>3</v>
      </c>
      <c r="I2406">
        <v>4</v>
      </c>
      <c r="J2406">
        <f>IF($H2406=0,1,IF($I2406&lt;=1,2,0))</f>
        <v>0</v>
      </c>
      <c r="K2406">
        <v>0</v>
      </c>
      <c r="L2406">
        <f>IF(AND($J2406=0,$K2406=0),0,1)</f>
        <v>0</v>
      </c>
    </row>
    <row r="2407" spans="1:13" x14ac:dyDescent="0.2">
      <c r="A2407" t="s">
        <v>759</v>
      </c>
      <c r="B2407" t="s">
        <v>386</v>
      </c>
      <c r="C2407" t="s">
        <v>407</v>
      </c>
      <c r="D2407">
        <v>3431</v>
      </c>
      <c r="E2407">
        <v>2019</v>
      </c>
      <c r="F2407">
        <v>1</v>
      </c>
      <c r="G2407">
        <v>98888</v>
      </c>
      <c r="H2407" s="1">
        <v>3</v>
      </c>
      <c r="I2407">
        <v>2</v>
      </c>
      <c r="J2407">
        <f>IF($H2407=0,1,IF($I2407&lt;=1,2,0))</f>
        <v>0</v>
      </c>
      <c r="K2407">
        <v>0</v>
      </c>
      <c r="L2407">
        <f>IF(AND($J2407=0,$K2407=0),0,1)</f>
        <v>0</v>
      </c>
    </row>
    <row r="2408" spans="1:13" x14ac:dyDescent="0.2">
      <c r="A2408" t="s">
        <v>759</v>
      </c>
      <c r="B2408" t="s">
        <v>386</v>
      </c>
      <c r="C2408" t="s">
        <v>407</v>
      </c>
      <c r="D2408">
        <v>3500</v>
      </c>
      <c r="E2408">
        <v>2019</v>
      </c>
      <c r="F2408">
        <v>1</v>
      </c>
      <c r="G2408">
        <v>98827</v>
      </c>
      <c r="H2408" s="1">
        <v>3</v>
      </c>
      <c r="I2408">
        <v>9</v>
      </c>
      <c r="J2408">
        <f>IF($H2408=0,1,IF($I2408&lt;=1,2,0))</f>
        <v>0</v>
      </c>
      <c r="K2408">
        <v>0</v>
      </c>
      <c r="L2408">
        <f>IF(AND($J2408=0,$K2408=0),0,1)</f>
        <v>0</v>
      </c>
      <c r="M2408" t="s">
        <v>760</v>
      </c>
    </row>
    <row r="2409" spans="1:13" x14ac:dyDescent="0.2">
      <c r="A2409" t="s">
        <v>759</v>
      </c>
      <c r="B2409" t="s">
        <v>386</v>
      </c>
      <c r="C2409" t="s">
        <v>407</v>
      </c>
      <c r="D2409">
        <v>3800</v>
      </c>
      <c r="E2409">
        <v>2019</v>
      </c>
      <c r="F2409">
        <v>1</v>
      </c>
      <c r="G2409">
        <v>98887</v>
      </c>
      <c r="H2409" s="1">
        <v>3</v>
      </c>
      <c r="I2409">
        <v>7</v>
      </c>
      <c r="J2409">
        <f>IF($H2409=0,1,IF($I2409&lt;=1,2,0))</f>
        <v>0</v>
      </c>
      <c r="K2409">
        <v>0</v>
      </c>
      <c r="L2409">
        <f>IF(AND($J2409=0,$K2409=0),0,1)</f>
        <v>0</v>
      </c>
    </row>
    <row r="2410" spans="1:13" x14ac:dyDescent="0.2">
      <c r="A2410" t="s">
        <v>759</v>
      </c>
      <c r="B2410" t="s">
        <v>386</v>
      </c>
      <c r="C2410" t="s">
        <v>407</v>
      </c>
      <c r="D2410">
        <v>3900</v>
      </c>
      <c r="E2410">
        <v>2019</v>
      </c>
      <c r="F2410">
        <v>1</v>
      </c>
      <c r="G2410">
        <v>98826</v>
      </c>
      <c r="H2410" s="1">
        <v>2</v>
      </c>
      <c r="I2410">
        <v>18</v>
      </c>
      <c r="J2410">
        <f>IF($H2410=0,1,IF($I2410&lt;=1,2,0))</f>
        <v>0</v>
      </c>
      <c r="K2410">
        <v>0</v>
      </c>
      <c r="L2410">
        <f>IF(AND($J2410=0,$K2410=0),0,1)</f>
        <v>0</v>
      </c>
      <c r="M2410" t="s">
        <v>761</v>
      </c>
    </row>
    <row r="2411" spans="1:13" x14ac:dyDescent="0.2">
      <c r="A2411" t="s">
        <v>759</v>
      </c>
      <c r="B2411" t="s">
        <v>386</v>
      </c>
      <c r="C2411" t="s">
        <v>407</v>
      </c>
      <c r="D2411">
        <v>3910</v>
      </c>
      <c r="E2411">
        <v>2019</v>
      </c>
      <c r="F2411">
        <v>1</v>
      </c>
      <c r="G2411">
        <v>98825</v>
      </c>
      <c r="H2411" s="1">
        <v>2</v>
      </c>
      <c r="I2411">
        <v>18</v>
      </c>
      <c r="J2411">
        <f>IF($H2411=0,1,IF($I2411&lt;=1,2,0))</f>
        <v>0</v>
      </c>
      <c r="K2411">
        <v>0</v>
      </c>
      <c r="L2411">
        <f>IF(AND($J2411=0,$K2411=0),0,1)</f>
        <v>0</v>
      </c>
      <c r="M2411" t="s">
        <v>761</v>
      </c>
    </row>
    <row r="2412" spans="1:13" x14ac:dyDescent="0.2">
      <c r="A2412" t="s">
        <v>759</v>
      </c>
      <c r="B2412" t="s">
        <v>386</v>
      </c>
      <c r="C2412" t="s">
        <v>9</v>
      </c>
      <c r="D2412">
        <v>4310</v>
      </c>
      <c r="E2412">
        <v>2019</v>
      </c>
      <c r="F2412">
        <v>1</v>
      </c>
      <c r="G2412">
        <v>98871</v>
      </c>
      <c r="H2412" s="1">
        <v>3</v>
      </c>
      <c r="I2412">
        <v>14</v>
      </c>
      <c r="J2412">
        <f>IF($H2412=0,1,IF($I2412&lt;=1,2,0))</f>
        <v>0</v>
      </c>
      <c r="K2412">
        <v>0</v>
      </c>
      <c r="L2412">
        <f>IF(AND($J2412=0,$K2412=0),0,1)</f>
        <v>0</v>
      </c>
    </row>
    <row r="2413" spans="1:13" x14ac:dyDescent="0.2">
      <c r="A2413" t="s">
        <v>759</v>
      </c>
      <c r="B2413" t="s">
        <v>386</v>
      </c>
      <c r="C2413" t="s">
        <v>407</v>
      </c>
      <c r="D2413">
        <v>4600</v>
      </c>
      <c r="E2413">
        <v>2019</v>
      </c>
      <c r="F2413">
        <v>1</v>
      </c>
      <c r="G2413">
        <v>98870</v>
      </c>
      <c r="H2413" s="1">
        <v>3</v>
      </c>
      <c r="I2413">
        <v>14</v>
      </c>
      <c r="J2413">
        <f>IF($H2413=0,1,IF($I2413&lt;=1,2,0))</f>
        <v>0</v>
      </c>
      <c r="K2413">
        <v>0</v>
      </c>
      <c r="L2413">
        <f>IF(AND($J2413=0,$K2413=0),0,1)</f>
        <v>0</v>
      </c>
    </row>
    <row r="2414" spans="1:13" x14ac:dyDescent="0.2">
      <c r="A2414" t="s">
        <v>759</v>
      </c>
      <c r="B2414" t="s">
        <v>386</v>
      </c>
      <c r="C2414" t="s">
        <v>407</v>
      </c>
      <c r="D2414">
        <v>5932</v>
      </c>
      <c r="E2414">
        <v>2019</v>
      </c>
      <c r="F2414">
        <v>1</v>
      </c>
      <c r="G2414">
        <v>98859</v>
      </c>
      <c r="H2414" s="1" t="s">
        <v>1827</v>
      </c>
      <c r="I2414">
        <v>5</v>
      </c>
      <c r="J2414">
        <f>IF($H2414=0,1,IF($I2414&lt;=1,2,0))</f>
        <v>0</v>
      </c>
      <c r="K2414">
        <v>0</v>
      </c>
      <c r="L2414">
        <f>IF(AND($J2414=0,$K2414=0),0,1)</f>
        <v>0</v>
      </c>
      <c r="M2414" t="s">
        <v>761</v>
      </c>
    </row>
    <row r="2415" spans="1:13" x14ac:dyDescent="0.2">
      <c r="A2415" t="s">
        <v>759</v>
      </c>
      <c r="B2415" t="s">
        <v>386</v>
      </c>
      <c r="C2415" t="s">
        <v>407</v>
      </c>
      <c r="D2415">
        <v>5932</v>
      </c>
      <c r="E2415">
        <v>2019</v>
      </c>
      <c r="F2415">
        <v>10</v>
      </c>
      <c r="G2415">
        <v>98850</v>
      </c>
      <c r="H2415" s="1" t="s">
        <v>1827</v>
      </c>
      <c r="I2415">
        <v>4</v>
      </c>
      <c r="J2415">
        <f>IF($H2415=0,1,IF($I2415&lt;=1,2,0))</f>
        <v>0</v>
      </c>
      <c r="K2415">
        <v>0</v>
      </c>
      <c r="L2415">
        <f>IF(AND($J2415=0,$K2415=0),0,1)</f>
        <v>0</v>
      </c>
      <c r="M2415" t="s">
        <v>761</v>
      </c>
    </row>
    <row r="2416" spans="1:13" x14ac:dyDescent="0.2">
      <c r="A2416" t="s">
        <v>759</v>
      </c>
      <c r="B2416" t="s">
        <v>386</v>
      </c>
      <c r="C2416" t="s">
        <v>407</v>
      </c>
      <c r="D2416">
        <v>5932</v>
      </c>
      <c r="E2416">
        <v>2019</v>
      </c>
      <c r="F2416">
        <v>12</v>
      </c>
      <c r="G2416">
        <v>98848</v>
      </c>
      <c r="H2416" s="1" t="s">
        <v>1827</v>
      </c>
      <c r="I2416">
        <v>4</v>
      </c>
      <c r="J2416">
        <f>IF($H2416=0,1,IF($I2416&lt;=1,2,0))</f>
        <v>0</v>
      </c>
      <c r="K2416">
        <v>0</v>
      </c>
      <c r="L2416">
        <f>IF(AND($J2416=0,$K2416=0),0,1)</f>
        <v>0</v>
      </c>
      <c r="M2416" t="s">
        <v>761</v>
      </c>
    </row>
    <row r="2417" spans="1:13" x14ac:dyDescent="0.2">
      <c r="A2417" t="s">
        <v>759</v>
      </c>
      <c r="B2417" t="s">
        <v>386</v>
      </c>
      <c r="C2417" t="s">
        <v>407</v>
      </c>
      <c r="D2417">
        <v>5932</v>
      </c>
      <c r="E2417">
        <v>2019</v>
      </c>
      <c r="F2417">
        <v>2</v>
      </c>
      <c r="G2417">
        <v>98858</v>
      </c>
      <c r="H2417" s="1" t="s">
        <v>1827</v>
      </c>
      <c r="I2417">
        <v>3</v>
      </c>
      <c r="J2417">
        <f>IF($H2417=0,1,IF($I2417&lt;=1,2,0))</f>
        <v>0</v>
      </c>
      <c r="K2417">
        <v>0</v>
      </c>
      <c r="L2417">
        <f>IF(AND($J2417=0,$K2417=0),0,1)</f>
        <v>0</v>
      </c>
      <c r="M2417" t="s">
        <v>761</v>
      </c>
    </row>
    <row r="2418" spans="1:13" x14ac:dyDescent="0.2">
      <c r="A2418" t="s">
        <v>759</v>
      </c>
      <c r="B2418" t="s">
        <v>386</v>
      </c>
      <c r="C2418" t="s">
        <v>407</v>
      </c>
      <c r="D2418">
        <v>5932</v>
      </c>
      <c r="E2418">
        <v>2019</v>
      </c>
      <c r="F2418">
        <v>8</v>
      </c>
      <c r="G2418">
        <v>98852</v>
      </c>
      <c r="H2418" s="1" t="s">
        <v>1827</v>
      </c>
      <c r="I2418">
        <v>3</v>
      </c>
      <c r="J2418">
        <f>IF($H2418=0,1,IF($I2418&lt;=1,2,0))</f>
        <v>0</v>
      </c>
      <c r="K2418">
        <v>0</v>
      </c>
      <c r="L2418">
        <f>IF(AND($J2418=0,$K2418=0),0,1)</f>
        <v>0</v>
      </c>
      <c r="M2418" t="s">
        <v>761</v>
      </c>
    </row>
    <row r="2419" spans="1:13" x14ac:dyDescent="0.2">
      <c r="A2419" t="s">
        <v>759</v>
      </c>
      <c r="B2419" t="s">
        <v>386</v>
      </c>
      <c r="C2419" t="s">
        <v>407</v>
      </c>
      <c r="D2419">
        <v>5932</v>
      </c>
      <c r="E2419">
        <v>2019</v>
      </c>
      <c r="F2419">
        <v>5</v>
      </c>
      <c r="G2419">
        <v>98855</v>
      </c>
      <c r="H2419" s="1" t="s">
        <v>1827</v>
      </c>
      <c r="I2419">
        <v>2</v>
      </c>
      <c r="J2419">
        <f>IF($H2419=0,1,IF($I2419&lt;=1,2,0))</f>
        <v>0</v>
      </c>
      <c r="K2419">
        <v>0</v>
      </c>
      <c r="L2419">
        <f>IF(AND($J2419=0,$K2419=0),0,1)</f>
        <v>0</v>
      </c>
      <c r="M2419" t="s">
        <v>761</v>
      </c>
    </row>
    <row r="2420" spans="1:13" x14ac:dyDescent="0.2">
      <c r="A2420" t="s">
        <v>759</v>
      </c>
      <c r="B2420" t="s">
        <v>386</v>
      </c>
      <c r="C2420" t="s">
        <v>407</v>
      </c>
      <c r="D2420">
        <v>5932</v>
      </c>
      <c r="E2420">
        <v>2019</v>
      </c>
      <c r="F2420">
        <v>7</v>
      </c>
      <c r="G2420">
        <v>98853</v>
      </c>
      <c r="H2420" s="1" t="s">
        <v>1827</v>
      </c>
      <c r="I2420">
        <v>2</v>
      </c>
      <c r="J2420">
        <f>IF($H2420=0,1,IF($I2420&lt;=1,2,0))</f>
        <v>0</v>
      </c>
      <c r="K2420">
        <v>0</v>
      </c>
      <c r="L2420">
        <f>IF(AND($J2420=0,$K2420=0),0,1)</f>
        <v>0</v>
      </c>
      <c r="M2420" t="s">
        <v>761</v>
      </c>
    </row>
    <row r="2421" spans="1:13" x14ac:dyDescent="0.2">
      <c r="A2421" t="s">
        <v>764</v>
      </c>
      <c r="B2421" t="s">
        <v>17</v>
      </c>
      <c r="C2421" t="s">
        <v>9</v>
      </c>
      <c r="D2421">
        <v>1101</v>
      </c>
      <c r="E2421">
        <v>2019</v>
      </c>
      <c r="F2421">
        <v>1</v>
      </c>
      <c r="G2421">
        <v>44400</v>
      </c>
      <c r="H2421" s="1">
        <v>5</v>
      </c>
      <c r="I2421">
        <v>8</v>
      </c>
      <c r="J2421">
        <f>IF($H2421=0,1,IF($I2421&lt;=1,2,0))</f>
        <v>0</v>
      </c>
      <c r="K2421">
        <v>0</v>
      </c>
      <c r="L2421">
        <f>IF(AND($J2421=0,$K2421=0),0,1)</f>
        <v>0</v>
      </c>
    </row>
    <row r="2422" spans="1:13" x14ac:dyDescent="0.2">
      <c r="A2422" t="s">
        <v>764</v>
      </c>
      <c r="B2422" t="s">
        <v>17</v>
      </c>
      <c r="C2422" t="s">
        <v>9</v>
      </c>
      <c r="D2422">
        <v>2101</v>
      </c>
      <c r="E2422">
        <v>2019</v>
      </c>
      <c r="F2422">
        <v>1</v>
      </c>
      <c r="G2422">
        <v>44428</v>
      </c>
      <c r="H2422" s="1">
        <v>5</v>
      </c>
      <c r="I2422">
        <v>4</v>
      </c>
      <c r="J2422">
        <f>IF($H2422=0,1,IF($I2422&lt;=1,2,0))</f>
        <v>0</v>
      </c>
      <c r="K2422">
        <v>0</v>
      </c>
      <c r="L2422">
        <f>IF(AND($J2422=0,$K2422=0),0,1)</f>
        <v>0</v>
      </c>
    </row>
    <row r="2423" spans="1:13" x14ac:dyDescent="0.2">
      <c r="A2423" t="s">
        <v>765</v>
      </c>
      <c r="B2423" t="s">
        <v>17</v>
      </c>
      <c r="C2423" t="s">
        <v>9</v>
      </c>
      <c r="D2423">
        <v>1101</v>
      </c>
      <c r="E2423">
        <v>2019</v>
      </c>
      <c r="F2423">
        <v>1</v>
      </c>
      <c r="G2423">
        <v>41256</v>
      </c>
      <c r="H2423" s="1">
        <v>4</v>
      </c>
      <c r="I2423">
        <v>7</v>
      </c>
      <c r="J2423">
        <f>IF($H2423=0,1,IF($I2423&lt;=1,2,0))</f>
        <v>0</v>
      </c>
      <c r="K2423">
        <v>0</v>
      </c>
      <c r="L2423">
        <f>IF(AND($J2423=0,$K2423=0),0,1)</f>
        <v>0</v>
      </c>
    </row>
    <row r="2424" spans="1:13" x14ac:dyDescent="0.2">
      <c r="A2424" t="s">
        <v>765</v>
      </c>
      <c r="B2424" t="s">
        <v>17</v>
      </c>
      <c r="C2424" t="s">
        <v>9</v>
      </c>
      <c r="D2424">
        <v>2101</v>
      </c>
      <c r="E2424">
        <v>2019</v>
      </c>
      <c r="F2424">
        <v>1</v>
      </c>
      <c r="G2424">
        <v>41205</v>
      </c>
      <c r="H2424" s="1">
        <v>4</v>
      </c>
      <c r="I2424">
        <v>5</v>
      </c>
      <c r="J2424">
        <f>IF($H2424=0,1,IF($I2424&lt;=1,2,0))</f>
        <v>0</v>
      </c>
      <c r="K2424">
        <v>0</v>
      </c>
      <c r="L2424">
        <f>IF(AND($J2424=0,$K2424=0),0,1)</f>
        <v>0</v>
      </c>
    </row>
    <row r="2425" spans="1:13" x14ac:dyDescent="0.2">
      <c r="A2425" t="s">
        <v>765</v>
      </c>
      <c r="B2425" t="s">
        <v>17</v>
      </c>
      <c r="C2425" t="s">
        <v>9</v>
      </c>
      <c r="D2425">
        <v>3301</v>
      </c>
      <c r="E2425">
        <v>2019</v>
      </c>
      <c r="F2425">
        <v>1</v>
      </c>
      <c r="G2425">
        <v>41144</v>
      </c>
      <c r="H2425" s="1">
        <v>4</v>
      </c>
      <c r="I2425">
        <v>2</v>
      </c>
      <c r="J2425">
        <f>IF($H2425=0,1,IF($I2425&lt;=1,2,0))</f>
        <v>0</v>
      </c>
      <c r="K2425">
        <v>0</v>
      </c>
      <c r="L2425">
        <f>IF(AND($J2425=0,$K2425=0),0,1)</f>
        <v>0</v>
      </c>
    </row>
    <row r="2426" spans="1:13" x14ac:dyDescent="0.2">
      <c r="A2426" t="s">
        <v>767</v>
      </c>
      <c r="B2426" t="s">
        <v>6</v>
      </c>
      <c r="C2426" t="s">
        <v>9</v>
      </c>
      <c r="D2426">
        <v>1001</v>
      </c>
      <c r="E2426">
        <v>2019</v>
      </c>
      <c r="F2426">
        <v>1</v>
      </c>
      <c r="G2426">
        <v>9911</v>
      </c>
      <c r="H2426" s="1">
        <v>3</v>
      </c>
      <c r="I2426">
        <v>77</v>
      </c>
      <c r="J2426">
        <f>IF($H2426=0,1,IF($I2426&lt;=1,2,0))</f>
        <v>0</v>
      </c>
      <c r="K2426">
        <v>0</v>
      </c>
      <c r="L2426">
        <f>IF(AND($J2426=0,$K2426=0),0,1)</f>
        <v>0</v>
      </c>
    </row>
    <row r="2427" spans="1:13" x14ac:dyDescent="0.2">
      <c r="A2427" t="s">
        <v>767</v>
      </c>
      <c r="B2427" t="s">
        <v>6</v>
      </c>
      <c r="C2427" t="s">
        <v>9</v>
      </c>
      <c r="D2427">
        <v>3311</v>
      </c>
      <c r="E2427">
        <v>2019</v>
      </c>
      <c r="F2427">
        <v>1</v>
      </c>
      <c r="G2427">
        <v>9913</v>
      </c>
      <c r="H2427" s="1">
        <v>4</v>
      </c>
      <c r="I2427">
        <v>15</v>
      </c>
      <c r="J2427">
        <f>IF($H2427=0,1,IF($I2427&lt;=1,2,0))</f>
        <v>0</v>
      </c>
      <c r="K2427">
        <v>0</v>
      </c>
      <c r="L2427">
        <f>IF(AND($J2427=0,$K2427=0),0,1)</f>
        <v>0</v>
      </c>
    </row>
    <row r="2428" spans="1:13" x14ac:dyDescent="0.2">
      <c r="A2428" t="s">
        <v>767</v>
      </c>
      <c r="B2428" t="s">
        <v>6</v>
      </c>
      <c r="C2428" t="s">
        <v>21</v>
      </c>
      <c r="D2428">
        <v>3312</v>
      </c>
      <c r="E2428">
        <v>2019</v>
      </c>
      <c r="F2428">
        <v>1</v>
      </c>
      <c r="G2428">
        <v>9906</v>
      </c>
      <c r="H2428" s="1">
        <v>4</v>
      </c>
      <c r="I2428">
        <v>11</v>
      </c>
      <c r="J2428">
        <f>IF($H2428=0,1,IF($I2428&lt;=1,2,0))</f>
        <v>0</v>
      </c>
      <c r="K2428">
        <v>0</v>
      </c>
      <c r="L2428">
        <f>IF(AND($J2428=0,$K2428=0),0,1)</f>
        <v>0</v>
      </c>
    </row>
    <row r="2429" spans="1:13" x14ac:dyDescent="0.2">
      <c r="A2429" t="s">
        <v>767</v>
      </c>
      <c r="B2429" t="s">
        <v>6</v>
      </c>
      <c r="C2429" t="s">
        <v>9</v>
      </c>
      <c r="D2429">
        <v>3450</v>
      </c>
      <c r="E2429">
        <v>2019</v>
      </c>
      <c r="F2429">
        <v>1</v>
      </c>
      <c r="G2429">
        <v>10573</v>
      </c>
      <c r="H2429" s="1">
        <v>3</v>
      </c>
      <c r="I2429">
        <v>16</v>
      </c>
      <c r="J2429">
        <f>IF($H2429=0,1,IF($I2429&lt;=1,2,0))</f>
        <v>0</v>
      </c>
      <c r="K2429">
        <v>0</v>
      </c>
      <c r="L2429">
        <f>IF(AND($J2429=0,$K2429=0),0,1)</f>
        <v>0</v>
      </c>
    </row>
    <row r="2430" spans="1:13" x14ac:dyDescent="0.2">
      <c r="A2430" t="s">
        <v>767</v>
      </c>
      <c r="B2430" t="s">
        <v>6</v>
      </c>
      <c r="C2430" t="s">
        <v>21</v>
      </c>
      <c r="D2430">
        <v>3521</v>
      </c>
      <c r="E2430">
        <v>2019</v>
      </c>
      <c r="F2430">
        <v>1</v>
      </c>
      <c r="G2430">
        <v>63377</v>
      </c>
      <c r="H2430" s="1">
        <v>4</v>
      </c>
      <c r="I2430">
        <v>3</v>
      </c>
      <c r="J2430">
        <f>IF($H2430=0,1,IF($I2430&lt;=1,2,0))</f>
        <v>0</v>
      </c>
      <c r="K2430">
        <v>0</v>
      </c>
      <c r="L2430">
        <f>IF(AND($J2430=0,$K2430=0),0,1)</f>
        <v>0</v>
      </c>
    </row>
    <row r="2431" spans="1:13" x14ac:dyDescent="0.2">
      <c r="A2431" t="s">
        <v>767</v>
      </c>
      <c r="B2431" t="s">
        <v>6</v>
      </c>
      <c r="C2431" t="s">
        <v>21</v>
      </c>
      <c r="D2431">
        <v>3813</v>
      </c>
      <c r="E2431">
        <v>2019</v>
      </c>
      <c r="F2431">
        <v>1</v>
      </c>
      <c r="G2431">
        <v>9903</v>
      </c>
      <c r="H2431" s="1">
        <v>4</v>
      </c>
      <c r="I2431">
        <v>9</v>
      </c>
      <c r="J2431">
        <f>IF($H2431=0,1,IF($I2431&lt;=1,2,0))</f>
        <v>0</v>
      </c>
      <c r="K2431">
        <v>0</v>
      </c>
      <c r="L2431">
        <f>IF(AND($J2431=0,$K2431=0),0,1)</f>
        <v>0</v>
      </c>
    </row>
    <row r="2432" spans="1:13" x14ac:dyDescent="0.2">
      <c r="A2432" t="s">
        <v>767</v>
      </c>
      <c r="B2432" t="s">
        <v>6</v>
      </c>
      <c r="C2432" t="s">
        <v>9</v>
      </c>
      <c r="D2432">
        <v>3915</v>
      </c>
      <c r="E2432">
        <v>2019</v>
      </c>
      <c r="F2432">
        <v>1</v>
      </c>
      <c r="G2432">
        <v>63378</v>
      </c>
      <c r="H2432" s="1">
        <v>4</v>
      </c>
      <c r="I2432">
        <v>24</v>
      </c>
      <c r="J2432">
        <f>IF($H2432=0,1,IF($I2432&lt;=1,2,0))</f>
        <v>0</v>
      </c>
      <c r="K2432">
        <v>0</v>
      </c>
      <c r="L2432">
        <f>IF(AND($J2432=0,$K2432=0),0,1)</f>
        <v>0</v>
      </c>
    </row>
    <row r="2433" spans="1:12" x14ac:dyDescent="0.2">
      <c r="A2433" t="s">
        <v>767</v>
      </c>
      <c r="B2433" t="s">
        <v>6</v>
      </c>
      <c r="C2433" t="s">
        <v>11</v>
      </c>
      <c r="D2433">
        <v>4000</v>
      </c>
      <c r="E2433">
        <v>2019</v>
      </c>
      <c r="F2433">
        <v>1</v>
      </c>
      <c r="G2433">
        <v>63379</v>
      </c>
      <c r="H2433" s="1">
        <v>4</v>
      </c>
      <c r="I2433">
        <v>12</v>
      </c>
      <c r="J2433">
        <f>IF($H2433=0,1,IF($I2433&lt;=1,2,0))</f>
        <v>0</v>
      </c>
      <c r="K2433">
        <v>0</v>
      </c>
      <c r="L2433">
        <f>IF(AND($J2433=0,$K2433=0),0,1)</f>
        <v>0</v>
      </c>
    </row>
    <row r="2434" spans="1:12" x14ac:dyDescent="0.2">
      <c r="A2434" t="s">
        <v>767</v>
      </c>
      <c r="B2434" t="s">
        <v>6</v>
      </c>
      <c r="C2434" t="s">
        <v>9</v>
      </c>
      <c r="D2434">
        <v>4308</v>
      </c>
      <c r="E2434">
        <v>2019</v>
      </c>
      <c r="F2434">
        <v>1</v>
      </c>
      <c r="G2434">
        <v>9910</v>
      </c>
      <c r="H2434" s="1">
        <v>4</v>
      </c>
      <c r="I2434">
        <v>9</v>
      </c>
      <c r="J2434">
        <f>IF($H2434=0,1,IF($I2434&lt;=1,2,0))</f>
        <v>0</v>
      </c>
      <c r="K2434">
        <v>0</v>
      </c>
      <c r="L2434">
        <f>IF(AND($J2434=0,$K2434=0),0,1)</f>
        <v>0</v>
      </c>
    </row>
    <row r="2435" spans="1:12" x14ac:dyDescent="0.2">
      <c r="A2435" t="s">
        <v>767</v>
      </c>
      <c r="B2435" t="s">
        <v>6</v>
      </c>
      <c r="C2435" t="s">
        <v>9</v>
      </c>
      <c r="D2435">
        <v>4350</v>
      </c>
      <c r="E2435">
        <v>2019</v>
      </c>
      <c r="F2435">
        <v>1</v>
      </c>
      <c r="G2435">
        <v>13419</v>
      </c>
      <c r="H2435" s="1">
        <v>4</v>
      </c>
      <c r="I2435">
        <v>6</v>
      </c>
      <c r="J2435">
        <f>IF($H2435=0,1,IF($I2435&lt;=1,2,0))</f>
        <v>0</v>
      </c>
      <c r="K2435">
        <v>0</v>
      </c>
      <c r="L2435">
        <f>IF(AND($J2435=0,$K2435=0),0,1)</f>
        <v>0</v>
      </c>
    </row>
    <row r="2436" spans="1:12" x14ac:dyDescent="0.2">
      <c r="A2436" t="s">
        <v>767</v>
      </c>
      <c r="B2436" t="s">
        <v>6</v>
      </c>
      <c r="C2436" t="s">
        <v>11</v>
      </c>
      <c r="D2436">
        <v>8001</v>
      </c>
      <c r="E2436">
        <v>2019</v>
      </c>
      <c r="F2436">
        <v>1</v>
      </c>
      <c r="G2436">
        <v>63380</v>
      </c>
      <c r="H2436" s="1">
        <v>1</v>
      </c>
      <c r="I2436">
        <v>18</v>
      </c>
      <c r="J2436">
        <f>IF($H2436=0,1,IF($I2436&lt;=1,2,0))</f>
        <v>0</v>
      </c>
      <c r="K2436">
        <v>0</v>
      </c>
      <c r="L2436">
        <f>IF(AND($J2436=0,$K2436=0),0,1)</f>
        <v>0</v>
      </c>
    </row>
    <row r="2437" spans="1:12" x14ac:dyDescent="0.2">
      <c r="A2437" t="s">
        <v>767</v>
      </c>
      <c r="B2437" t="s">
        <v>6</v>
      </c>
      <c r="C2437" t="s">
        <v>11</v>
      </c>
      <c r="D2437">
        <v>8010</v>
      </c>
      <c r="E2437">
        <v>2019</v>
      </c>
      <c r="F2437">
        <v>1</v>
      </c>
      <c r="G2437">
        <v>63381</v>
      </c>
      <c r="H2437" s="1">
        <v>4</v>
      </c>
      <c r="I2437">
        <v>4</v>
      </c>
      <c r="J2437">
        <f>IF($H2437=0,1,IF($I2437&lt;=1,2,0))</f>
        <v>0</v>
      </c>
      <c r="K2437">
        <v>0</v>
      </c>
      <c r="L2437">
        <f>IF(AND($J2437=0,$K2437=0),0,1)</f>
        <v>0</v>
      </c>
    </row>
    <row r="2438" spans="1:12" x14ac:dyDescent="0.2">
      <c r="A2438" t="s">
        <v>769</v>
      </c>
      <c r="B2438" t="s">
        <v>386</v>
      </c>
      <c r="C2438" t="s">
        <v>9</v>
      </c>
      <c r="D2438">
        <v>1100</v>
      </c>
      <c r="E2438">
        <v>2019</v>
      </c>
      <c r="F2438">
        <v>3</v>
      </c>
      <c r="G2438">
        <v>46811</v>
      </c>
      <c r="H2438" s="1">
        <v>3</v>
      </c>
      <c r="I2438">
        <v>15</v>
      </c>
      <c r="J2438">
        <f>IF($H2438=0,1,IF($I2438&lt;=1,2,0))</f>
        <v>0</v>
      </c>
      <c r="K2438">
        <v>0</v>
      </c>
      <c r="L2438">
        <f>IF(AND($J2438=0,$K2438=0),0,1)</f>
        <v>0</v>
      </c>
    </row>
    <row r="2439" spans="1:12" x14ac:dyDescent="0.2">
      <c r="A2439" t="s">
        <v>769</v>
      </c>
      <c r="B2439" t="s">
        <v>386</v>
      </c>
      <c r="C2439" t="s">
        <v>9</v>
      </c>
      <c r="D2439">
        <v>1100</v>
      </c>
      <c r="E2439">
        <v>2019</v>
      </c>
      <c r="F2439">
        <v>4</v>
      </c>
      <c r="G2439">
        <v>46812</v>
      </c>
      <c r="H2439" s="1">
        <v>3</v>
      </c>
      <c r="I2439">
        <v>13</v>
      </c>
      <c r="J2439">
        <f>IF($H2439=0,1,IF($I2439&lt;=1,2,0))</f>
        <v>0</v>
      </c>
      <c r="K2439">
        <v>0</v>
      </c>
      <c r="L2439">
        <f>IF(AND($J2439=0,$K2439=0),0,1)</f>
        <v>0</v>
      </c>
    </row>
    <row r="2440" spans="1:12" x14ac:dyDescent="0.2">
      <c r="A2440" t="s">
        <v>769</v>
      </c>
      <c r="B2440" t="s">
        <v>386</v>
      </c>
      <c r="C2440" t="s">
        <v>9</v>
      </c>
      <c r="D2440">
        <v>1100</v>
      </c>
      <c r="E2440">
        <v>2019</v>
      </c>
      <c r="F2440">
        <v>2</v>
      </c>
      <c r="G2440">
        <v>46810</v>
      </c>
      <c r="H2440" s="1">
        <v>3</v>
      </c>
      <c r="I2440">
        <v>12</v>
      </c>
      <c r="J2440">
        <f>IF($H2440=0,1,IF($I2440&lt;=1,2,0))</f>
        <v>0</v>
      </c>
      <c r="K2440">
        <v>0</v>
      </c>
      <c r="L2440">
        <f>IF(AND($J2440=0,$K2440=0),0,1)</f>
        <v>0</v>
      </c>
    </row>
    <row r="2441" spans="1:12" x14ac:dyDescent="0.2">
      <c r="A2441" t="s">
        <v>769</v>
      </c>
      <c r="B2441" t="s">
        <v>386</v>
      </c>
      <c r="C2441" t="s">
        <v>9</v>
      </c>
      <c r="D2441">
        <v>1100</v>
      </c>
      <c r="E2441">
        <v>2019</v>
      </c>
      <c r="F2441">
        <v>1</v>
      </c>
      <c r="G2441">
        <v>46809</v>
      </c>
      <c r="H2441" s="1">
        <v>3</v>
      </c>
      <c r="I2441">
        <v>9</v>
      </c>
      <c r="J2441">
        <f>IF($H2441=0,1,IF($I2441&lt;=1,2,0))</f>
        <v>0</v>
      </c>
      <c r="K2441">
        <v>0</v>
      </c>
      <c r="L2441">
        <f>IF(AND($J2441=0,$K2441=0),0,1)</f>
        <v>0</v>
      </c>
    </row>
    <row r="2442" spans="1:12" x14ac:dyDescent="0.2">
      <c r="A2442" t="s">
        <v>769</v>
      </c>
      <c r="B2442" t="s">
        <v>386</v>
      </c>
      <c r="C2442" t="s">
        <v>9</v>
      </c>
      <c r="D2442">
        <v>1100</v>
      </c>
      <c r="E2442">
        <v>2019</v>
      </c>
      <c r="F2442">
        <v>5</v>
      </c>
      <c r="G2442">
        <v>13539</v>
      </c>
      <c r="H2442" s="1">
        <v>3</v>
      </c>
      <c r="I2442">
        <v>9</v>
      </c>
      <c r="J2442">
        <f>IF($H2442=0,1,IF($I2442&lt;=1,2,0))</f>
        <v>0</v>
      </c>
      <c r="K2442">
        <v>0</v>
      </c>
      <c r="L2442">
        <f>IF(AND($J2442=0,$K2442=0),0,1)</f>
        <v>0</v>
      </c>
    </row>
    <row r="2443" spans="1:12" x14ac:dyDescent="0.2">
      <c r="A2443" t="s">
        <v>769</v>
      </c>
      <c r="B2443" t="s">
        <v>386</v>
      </c>
      <c r="C2443" t="s">
        <v>9</v>
      </c>
      <c r="D2443">
        <v>1200</v>
      </c>
      <c r="E2443">
        <v>2019</v>
      </c>
      <c r="F2443">
        <v>1</v>
      </c>
      <c r="G2443">
        <v>46800</v>
      </c>
      <c r="H2443" s="1">
        <v>3</v>
      </c>
      <c r="I2443">
        <v>13</v>
      </c>
      <c r="J2443">
        <f>IF($H2443=0,1,IF($I2443&lt;=1,2,0))</f>
        <v>0</v>
      </c>
      <c r="K2443">
        <v>0</v>
      </c>
      <c r="L2443">
        <f>IF(AND($J2443=0,$K2443=0),0,1)</f>
        <v>0</v>
      </c>
    </row>
    <row r="2444" spans="1:12" x14ac:dyDescent="0.2">
      <c r="A2444" t="s">
        <v>769</v>
      </c>
      <c r="B2444" t="s">
        <v>386</v>
      </c>
      <c r="C2444" t="s">
        <v>9</v>
      </c>
      <c r="D2444">
        <v>1200</v>
      </c>
      <c r="E2444">
        <v>2019</v>
      </c>
      <c r="F2444">
        <v>2</v>
      </c>
      <c r="G2444">
        <v>46801</v>
      </c>
      <c r="H2444" s="1">
        <v>3</v>
      </c>
      <c r="I2444">
        <v>12</v>
      </c>
      <c r="J2444">
        <f>IF($H2444=0,1,IF($I2444&lt;=1,2,0))</f>
        <v>0</v>
      </c>
      <c r="K2444">
        <v>0</v>
      </c>
      <c r="L2444">
        <f>IF(AND($J2444=0,$K2444=0),0,1)</f>
        <v>0</v>
      </c>
    </row>
    <row r="2445" spans="1:12" x14ac:dyDescent="0.2">
      <c r="A2445" t="s">
        <v>769</v>
      </c>
      <c r="B2445" t="s">
        <v>386</v>
      </c>
      <c r="C2445" t="s">
        <v>9</v>
      </c>
      <c r="D2445">
        <v>1300</v>
      </c>
      <c r="E2445">
        <v>2019</v>
      </c>
      <c r="F2445">
        <v>2</v>
      </c>
      <c r="G2445">
        <v>46803</v>
      </c>
      <c r="H2445" s="1">
        <v>3</v>
      </c>
      <c r="I2445">
        <v>13</v>
      </c>
      <c r="J2445">
        <f>IF($H2445=0,1,IF($I2445&lt;=1,2,0))</f>
        <v>0</v>
      </c>
      <c r="K2445">
        <v>0</v>
      </c>
      <c r="L2445">
        <f>IF(AND($J2445=0,$K2445=0),0,1)</f>
        <v>0</v>
      </c>
    </row>
    <row r="2446" spans="1:12" x14ac:dyDescent="0.2">
      <c r="A2446" t="s">
        <v>769</v>
      </c>
      <c r="B2446" t="s">
        <v>386</v>
      </c>
      <c r="C2446" t="s">
        <v>9</v>
      </c>
      <c r="D2446">
        <v>1300</v>
      </c>
      <c r="E2446">
        <v>2019</v>
      </c>
      <c r="F2446">
        <v>1</v>
      </c>
      <c r="G2446">
        <v>46802</v>
      </c>
      <c r="H2446" s="1">
        <v>3</v>
      </c>
      <c r="I2446">
        <v>12</v>
      </c>
      <c r="J2446">
        <f>IF($H2446=0,1,IF($I2446&lt;=1,2,0))</f>
        <v>0</v>
      </c>
      <c r="K2446">
        <v>0</v>
      </c>
      <c r="L2446">
        <f>IF(AND($J2446=0,$K2446=0),0,1)</f>
        <v>0</v>
      </c>
    </row>
    <row r="2447" spans="1:12" x14ac:dyDescent="0.2">
      <c r="A2447" t="s">
        <v>769</v>
      </c>
      <c r="B2447" t="s">
        <v>386</v>
      </c>
      <c r="C2447" t="s">
        <v>9</v>
      </c>
      <c r="D2447">
        <v>2100</v>
      </c>
      <c r="E2447">
        <v>2019</v>
      </c>
      <c r="F2447">
        <v>1</v>
      </c>
      <c r="G2447">
        <v>46813</v>
      </c>
      <c r="H2447" s="1">
        <v>3</v>
      </c>
      <c r="I2447">
        <v>12</v>
      </c>
      <c r="J2447">
        <f>IF($H2447=0,1,IF($I2447&lt;=1,2,0))</f>
        <v>0</v>
      </c>
      <c r="K2447">
        <v>0</v>
      </c>
      <c r="L2447">
        <f>IF(AND($J2447=0,$K2447=0),0,1)</f>
        <v>0</v>
      </c>
    </row>
    <row r="2448" spans="1:12" x14ac:dyDescent="0.2">
      <c r="A2448" t="s">
        <v>769</v>
      </c>
      <c r="B2448" t="s">
        <v>386</v>
      </c>
      <c r="C2448" t="s">
        <v>9</v>
      </c>
      <c r="D2448">
        <v>2100</v>
      </c>
      <c r="E2448">
        <v>2019</v>
      </c>
      <c r="F2448">
        <v>2</v>
      </c>
      <c r="G2448">
        <v>46814</v>
      </c>
      <c r="H2448" s="1">
        <v>3</v>
      </c>
      <c r="I2448">
        <v>8</v>
      </c>
      <c r="J2448">
        <f>IF($H2448=0,1,IF($I2448&lt;=1,2,0))</f>
        <v>0</v>
      </c>
      <c r="K2448">
        <v>0</v>
      </c>
      <c r="L2448">
        <f>IF(AND($J2448=0,$K2448=0),0,1)</f>
        <v>0</v>
      </c>
    </row>
    <row r="2449" spans="1:12" x14ac:dyDescent="0.2">
      <c r="A2449" t="s">
        <v>769</v>
      </c>
      <c r="B2449" t="s">
        <v>386</v>
      </c>
      <c r="C2449" t="s">
        <v>9</v>
      </c>
      <c r="D2449">
        <v>2110</v>
      </c>
      <c r="E2449">
        <v>2019</v>
      </c>
      <c r="F2449">
        <v>1</v>
      </c>
      <c r="G2449">
        <v>46921</v>
      </c>
      <c r="H2449" s="1">
        <v>3</v>
      </c>
      <c r="I2449">
        <v>18</v>
      </c>
      <c r="J2449">
        <f>IF($H2449=0,1,IF($I2449&lt;=1,2,0))</f>
        <v>0</v>
      </c>
      <c r="K2449">
        <v>0</v>
      </c>
      <c r="L2449">
        <f>IF(AND($J2449=0,$K2449=0),0,1)</f>
        <v>0</v>
      </c>
    </row>
    <row r="2450" spans="1:12" x14ac:dyDescent="0.2">
      <c r="A2450" t="s">
        <v>769</v>
      </c>
      <c r="B2450" t="s">
        <v>386</v>
      </c>
      <c r="C2450" t="s">
        <v>9</v>
      </c>
      <c r="D2450">
        <v>2200</v>
      </c>
      <c r="E2450">
        <v>2019</v>
      </c>
      <c r="F2450">
        <v>1</v>
      </c>
      <c r="G2450">
        <v>46815</v>
      </c>
      <c r="H2450" s="1">
        <v>3</v>
      </c>
      <c r="I2450">
        <v>8</v>
      </c>
      <c r="J2450">
        <f>IF($H2450=0,1,IF($I2450&lt;=1,2,0))</f>
        <v>0</v>
      </c>
      <c r="K2450">
        <v>0</v>
      </c>
      <c r="L2450">
        <f>IF(AND($J2450=0,$K2450=0),0,1)</f>
        <v>0</v>
      </c>
    </row>
    <row r="2451" spans="1:12" x14ac:dyDescent="0.2">
      <c r="A2451" t="s">
        <v>769</v>
      </c>
      <c r="B2451" t="s">
        <v>386</v>
      </c>
      <c r="C2451" t="s">
        <v>9</v>
      </c>
      <c r="D2451">
        <v>2211</v>
      </c>
      <c r="E2451">
        <v>2019</v>
      </c>
      <c r="F2451">
        <v>1</v>
      </c>
      <c r="G2451">
        <v>46816</v>
      </c>
      <c r="H2451" s="1">
        <v>3</v>
      </c>
      <c r="I2451">
        <v>13</v>
      </c>
      <c r="J2451">
        <f>IF($H2451=0,1,IF($I2451&lt;=1,2,0))</f>
        <v>0</v>
      </c>
      <c r="K2451">
        <v>0</v>
      </c>
      <c r="L2451">
        <f>IF(AND($J2451=0,$K2451=0),0,1)</f>
        <v>0</v>
      </c>
    </row>
    <row r="2452" spans="1:12" x14ac:dyDescent="0.2">
      <c r="A2452" t="s">
        <v>769</v>
      </c>
      <c r="B2452" t="s">
        <v>386</v>
      </c>
      <c r="C2452" t="s">
        <v>9</v>
      </c>
      <c r="D2452">
        <v>2300</v>
      </c>
      <c r="E2452">
        <v>2019</v>
      </c>
      <c r="F2452">
        <v>1</v>
      </c>
      <c r="G2452">
        <v>46804</v>
      </c>
      <c r="H2452" s="1">
        <v>3</v>
      </c>
      <c r="I2452">
        <v>15</v>
      </c>
      <c r="J2452">
        <f>IF($H2452=0,1,IF($I2452&lt;=1,2,0))</f>
        <v>0</v>
      </c>
      <c r="K2452">
        <v>0</v>
      </c>
      <c r="L2452">
        <f>IF(AND($J2452=0,$K2452=0),0,1)</f>
        <v>0</v>
      </c>
    </row>
    <row r="2453" spans="1:12" x14ac:dyDescent="0.2">
      <c r="A2453" t="s">
        <v>769</v>
      </c>
      <c r="B2453" t="s">
        <v>386</v>
      </c>
      <c r="C2453" t="s">
        <v>9</v>
      </c>
      <c r="D2453">
        <v>2311</v>
      </c>
      <c r="E2453">
        <v>2019</v>
      </c>
      <c r="F2453">
        <v>1</v>
      </c>
      <c r="G2453">
        <v>13537</v>
      </c>
      <c r="H2453" s="1">
        <v>3</v>
      </c>
      <c r="I2453">
        <v>9</v>
      </c>
      <c r="J2453">
        <f>IF($H2453=0,1,IF($I2453&lt;=1,2,0))</f>
        <v>0</v>
      </c>
      <c r="K2453">
        <v>0</v>
      </c>
      <c r="L2453">
        <f>IF(AND($J2453=0,$K2453=0),0,1)</f>
        <v>0</v>
      </c>
    </row>
    <row r="2454" spans="1:12" x14ac:dyDescent="0.2">
      <c r="A2454" t="s">
        <v>769</v>
      </c>
      <c r="B2454" t="s">
        <v>386</v>
      </c>
      <c r="C2454" t="s">
        <v>9</v>
      </c>
      <c r="D2454">
        <v>3011</v>
      </c>
      <c r="E2454">
        <v>2019</v>
      </c>
      <c r="F2454">
        <v>1</v>
      </c>
      <c r="G2454">
        <v>46923</v>
      </c>
      <c r="H2454" s="1">
        <v>3</v>
      </c>
      <c r="I2454">
        <v>4</v>
      </c>
      <c r="J2454">
        <f>IF($H2454=0,1,IF($I2454&lt;=1,2,0))</f>
        <v>0</v>
      </c>
      <c r="K2454">
        <v>0</v>
      </c>
      <c r="L2454">
        <f>IF(AND($J2454=0,$K2454=0),0,1)</f>
        <v>0</v>
      </c>
    </row>
    <row r="2455" spans="1:12" x14ac:dyDescent="0.2">
      <c r="A2455" t="s">
        <v>769</v>
      </c>
      <c r="B2455" t="s">
        <v>386</v>
      </c>
      <c r="C2455" t="s">
        <v>9</v>
      </c>
      <c r="D2455">
        <v>3014</v>
      </c>
      <c r="E2455">
        <v>2019</v>
      </c>
      <c r="F2455">
        <v>1</v>
      </c>
      <c r="G2455">
        <v>46805</v>
      </c>
      <c r="H2455" s="1">
        <v>3</v>
      </c>
      <c r="I2455">
        <v>12</v>
      </c>
      <c r="J2455">
        <f>IF($H2455=0,1,IF($I2455&lt;=1,2,0))</f>
        <v>0</v>
      </c>
      <c r="K2455">
        <v>0</v>
      </c>
      <c r="L2455">
        <f>IF(AND($J2455=0,$K2455=0),0,1)</f>
        <v>0</v>
      </c>
    </row>
    <row r="2456" spans="1:12" x14ac:dyDescent="0.2">
      <c r="A2456" t="s">
        <v>769</v>
      </c>
      <c r="B2456" t="s">
        <v>386</v>
      </c>
      <c r="C2456" t="s">
        <v>9</v>
      </c>
      <c r="D2456">
        <v>3016</v>
      </c>
      <c r="E2456">
        <v>2019</v>
      </c>
      <c r="F2456">
        <v>1</v>
      </c>
      <c r="G2456">
        <v>46818</v>
      </c>
      <c r="H2456" s="1">
        <v>3</v>
      </c>
      <c r="I2456">
        <v>16</v>
      </c>
      <c r="J2456">
        <f>IF($H2456=0,1,IF($I2456&lt;=1,2,0))</f>
        <v>0</v>
      </c>
      <c r="K2456">
        <v>0</v>
      </c>
      <c r="L2456">
        <f>IF(AND($J2456=0,$K2456=0),0,1)</f>
        <v>0</v>
      </c>
    </row>
    <row r="2457" spans="1:12" x14ac:dyDescent="0.2">
      <c r="A2457" t="s">
        <v>769</v>
      </c>
      <c r="B2457" t="s">
        <v>386</v>
      </c>
      <c r="C2457" t="s">
        <v>9</v>
      </c>
      <c r="D2457">
        <v>3100</v>
      </c>
      <c r="E2457">
        <v>2019</v>
      </c>
      <c r="F2457">
        <v>2</v>
      </c>
      <c r="G2457">
        <v>46807</v>
      </c>
      <c r="H2457" s="1">
        <v>3</v>
      </c>
      <c r="I2457">
        <v>10</v>
      </c>
      <c r="J2457">
        <f>IF($H2457=0,1,IF($I2457&lt;=1,2,0))</f>
        <v>0</v>
      </c>
      <c r="K2457">
        <v>0</v>
      </c>
      <c r="L2457">
        <f>IF(AND($J2457=0,$K2457=0),0,1)</f>
        <v>0</v>
      </c>
    </row>
    <row r="2458" spans="1:12" x14ac:dyDescent="0.2">
      <c r="A2458" t="s">
        <v>769</v>
      </c>
      <c r="B2458" t="s">
        <v>386</v>
      </c>
      <c r="C2458" t="s">
        <v>9</v>
      </c>
      <c r="D2458">
        <v>3100</v>
      </c>
      <c r="E2458">
        <v>2019</v>
      </c>
      <c r="F2458">
        <v>1</v>
      </c>
      <c r="G2458">
        <v>46806</v>
      </c>
      <c r="H2458" s="1">
        <v>3</v>
      </c>
      <c r="I2458">
        <v>6</v>
      </c>
      <c r="J2458">
        <f>IF($H2458=0,1,IF($I2458&lt;=1,2,0))</f>
        <v>0</v>
      </c>
      <c r="K2458">
        <v>0</v>
      </c>
      <c r="L2458">
        <f>IF(AND($J2458=0,$K2458=0),0,1)</f>
        <v>0</v>
      </c>
    </row>
    <row r="2459" spans="1:12" x14ac:dyDescent="0.2">
      <c r="A2459" t="s">
        <v>769</v>
      </c>
      <c r="B2459" t="s">
        <v>386</v>
      </c>
      <c r="C2459" t="s">
        <v>9</v>
      </c>
      <c r="D2459">
        <v>3101</v>
      </c>
      <c r="E2459">
        <v>2019</v>
      </c>
      <c r="F2459">
        <v>1</v>
      </c>
      <c r="G2459">
        <v>46767</v>
      </c>
      <c r="H2459" s="1">
        <v>4</v>
      </c>
      <c r="I2459">
        <v>13</v>
      </c>
      <c r="J2459">
        <f>IF($H2459=0,1,IF($I2459&lt;=1,2,0))</f>
        <v>0</v>
      </c>
      <c r="K2459">
        <v>0</v>
      </c>
      <c r="L2459">
        <f>IF(AND($J2459=0,$K2459=0),0,1)</f>
        <v>0</v>
      </c>
    </row>
    <row r="2460" spans="1:12" x14ac:dyDescent="0.2">
      <c r="A2460" t="s">
        <v>769</v>
      </c>
      <c r="B2460" t="s">
        <v>386</v>
      </c>
      <c r="C2460" t="s">
        <v>9</v>
      </c>
      <c r="D2460">
        <v>3114</v>
      </c>
      <c r="E2460">
        <v>2019</v>
      </c>
      <c r="F2460">
        <v>1</v>
      </c>
      <c r="G2460">
        <v>46857</v>
      </c>
      <c r="H2460" s="1">
        <v>3</v>
      </c>
      <c r="I2460">
        <v>10</v>
      </c>
      <c r="J2460">
        <f>IF($H2460=0,1,IF($I2460&lt;=1,2,0))</f>
        <v>0</v>
      </c>
      <c r="K2460">
        <v>0</v>
      </c>
      <c r="L2460">
        <f>IF(AND($J2460=0,$K2460=0),0,1)</f>
        <v>0</v>
      </c>
    </row>
    <row r="2461" spans="1:12" x14ac:dyDescent="0.2">
      <c r="A2461" t="s">
        <v>769</v>
      </c>
      <c r="B2461" t="s">
        <v>386</v>
      </c>
      <c r="C2461" t="s">
        <v>9</v>
      </c>
      <c r="D2461">
        <v>3116</v>
      </c>
      <c r="E2461">
        <v>2019</v>
      </c>
      <c r="F2461">
        <v>1</v>
      </c>
      <c r="G2461">
        <v>46855</v>
      </c>
      <c r="H2461" s="1">
        <v>3</v>
      </c>
      <c r="I2461">
        <v>13</v>
      </c>
      <c r="J2461">
        <f>IF($H2461=0,1,IF($I2461&lt;=1,2,0))</f>
        <v>0</v>
      </c>
      <c r="K2461">
        <v>0</v>
      </c>
      <c r="L2461">
        <f>IF(AND($J2461=0,$K2461=0),0,1)</f>
        <v>0</v>
      </c>
    </row>
    <row r="2462" spans="1:12" x14ac:dyDescent="0.2">
      <c r="A2462" t="s">
        <v>769</v>
      </c>
      <c r="B2462" t="s">
        <v>386</v>
      </c>
      <c r="C2462" t="s">
        <v>9</v>
      </c>
      <c r="D2462">
        <v>3120</v>
      </c>
      <c r="E2462">
        <v>2019</v>
      </c>
      <c r="F2462">
        <v>1</v>
      </c>
      <c r="G2462">
        <v>46808</v>
      </c>
      <c r="H2462" s="1">
        <v>3</v>
      </c>
      <c r="I2462">
        <v>16</v>
      </c>
      <c r="J2462">
        <f>IF($H2462=0,1,IF($I2462&lt;=1,2,0))</f>
        <v>0</v>
      </c>
      <c r="K2462">
        <v>0</v>
      </c>
      <c r="L2462">
        <f>IF(AND($J2462=0,$K2462=0),0,1)</f>
        <v>0</v>
      </c>
    </row>
    <row r="2463" spans="1:12" x14ac:dyDescent="0.2">
      <c r="A2463" t="s">
        <v>769</v>
      </c>
      <c r="B2463" t="s">
        <v>386</v>
      </c>
      <c r="C2463" t="s">
        <v>9</v>
      </c>
      <c r="D2463">
        <v>3200</v>
      </c>
      <c r="E2463">
        <v>2019</v>
      </c>
      <c r="F2463">
        <v>1</v>
      </c>
      <c r="G2463">
        <v>46924</v>
      </c>
      <c r="H2463" s="1">
        <v>3</v>
      </c>
      <c r="I2463">
        <v>15</v>
      </c>
      <c r="J2463">
        <f>IF($H2463=0,1,IF($I2463&lt;=1,2,0))</f>
        <v>0</v>
      </c>
      <c r="K2463">
        <v>0</v>
      </c>
      <c r="L2463">
        <f>IF(AND($J2463=0,$K2463=0),0,1)</f>
        <v>0</v>
      </c>
    </row>
    <row r="2464" spans="1:12" x14ac:dyDescent="0.2">
      <c r="A2464" t="s">
        <v>769</v>
      </c>
      <c r="B2464" t="s">
        <v>386</v>
      </c>
      <c r="C2464" t="s">
        <v>9</v>
      </c>
      <c r="D2464">
        <v>3210</v>
      </c>
      <c r="E2464">
        <v>2019</v>
      </c>
      <c r="F2464">
        <v>1</v>
      </c>
      <c r="G2464">
        <v>46754</v>
      </c>
      <c r="H2464" s="1">
        <v>3</v>
      </c>
      <c r="I2464">
        <v>14</v>
      </c>
      <c r="J2464">
        <f>IF($H2464=0,1,IF($I2464&lt;=1,2,0))</f>
        <v>0</v>
      </c>
      <c r="K2464">
        <v>0</v>
      </c>
      <c r="L2464">
        <f>IF(AND($J2464=0,$K2464=0),0,1)</f>
        <v>0</v>
      </c>
    </row>
    <row r="2465" spans="1:12" x14ac:dyDescent="0.2">
      <c r="A2465" t="s">
        <v>769</v>
      </c>
      <c r="B2465" t="s">
        <v>386</v>
      </c>
      <c r="C2465" t="s">
        <v>9</v>
      </c>
      <c r="D2465">
        <v>3211</v>
      </c>
      <c r="E2465">
        <v>2019</v>
      </c>
      <c r="F2465">
        <v>1</v>
      </c>
      <c r="G2465">
        <v>46922</v>
      </c>
      <c r="H2465" s="1">
        <v>3</v>
      </c>
      <c r="I2465">
        <v>13</v>
      </c>
      <c r="J2465">
        <f>IF($H2465=0,1,IF($I2465&lt;=1,2,0))</f>
        <v>0</v>
      </c>
      <c r="K2465">
        <v>0</v>
      </c>
      <c r="L2465">
        <f>IF(AND($J2465=0,$K2465=0),0,1)</f>
        <v>0</v>
      </c>
    </row>
    <row r="2466" spans="1:12" x14ac:dyDescent="0.2">
      <c r="A2466" t="s">
        <v>769</v>
      </c>
      <c r="B2466" t="s">
        <v>386</v>
      </c>
      <c r="C2466" t="s">
        <v>9</v>
      </c>
      <c r="D2466">
        <v>3216</v>
      </c>
      <c r="E2466">
        <v>2019</v>
      </c>
      <c r="F2466">
        <v>1</v>
      </c>
      <c r="G2466">
        <v>46925</v>
      </c>
      <c r="H2466" s="1">
        <v>3</v>
      </c>
      <c r="I2466">
        <v>9</v>
      </c>
      <c r="J2466">
        <f>IF($H2466=0,1,IF($I2466&lt;=1,2,0))</f>
        <v>0</v>
      </c>
      <c r="K2466">
        <v>0</v>
      </c>
      <c r="L2466">
        <f>IF(AND($J2466=0,$K2466=0),0,1)</f>
        <v>0</v>
      </c>
    </row>
    <row r="2467" spans="1:12" x14ac:dyDescent="0.2">
      <c r="A2467" t="s">
        <v>769</v>
      </c>
      <c r="B2467" t="s">
        <v>386</v>
      </c>
      <c r="C2467" t="s">
        <v>9</v>
      </c>
      <c r="D2467">
        <v>3300</v>
      </c>
      <c r="E2467">
        <v>2019</v>
      </c>
      <c r="F2467">
        <v>1</v>
      </c>
      <c r="G2467">
        <v>46766</v>
      </c>
      <c r="H2467" s="1">
        <v>3</v>
      </c>
      <c r="I2467">
        <v>12</v>
      </c>
      <c r="J2467">
        <f>IF($H2467=0,1,IF($I2467&lt;=1,2,0))</f>
        <v>0</v>
      </c>
      <c r="K2467">
        <v>0</v>
      </c>
      <c r="L2467">
        <f>IF(AND($J2467=0,$K2467=0),0,1)</f>
        <v>0</v>
      </c>
    </row>
    <row r="2468" spans="1:12" x14ac:dyDescent="0.2">
      <c r="A2468" t="s">
        <v>769</v>
      </c>
      <c r="B2468" t="s">
        <v>386</v>
      </c>
      <c r="C2468" t="s">
        <v>9</v>
      </c>
      <c r="D2468">
        <v>4310</v>
      </c>
      <c r="E2468">
        <v>2019</v>
      </c>
      <c r="F2468">
        <v>1</v>
      </c>
      <c r="G2468">
        <v>46840</v>
      </c>
      <c r="H2468" s="1">
        <v>3</v>
      </c>
      <c r="I2468">
        <v>16</v>
      </c>
      <c r="J2468">
        <f>IF($H2468=0,1,IF($I2468&lt;=1,2,0))</f>
        <v>0</v>
      </c>
      <c r="K2468">
        <v>0</v>
      </c>
      <c r="L2468">
        <f>IF(AND($J2468=0,$K2468=0),0,1)</f>
        <v>0</v>
      </c>
    </row>
    <row r="2469" spans="1:12" x14ac:dyDescent="0.2">
      <c r="A2469" t="s">
        <v>769</v>
      </c>
      <c r="B2469" t="s">
        <v>386</v>
      </c>
      <c r="C2469" t="s">
        <v>407</v>
      </c>
      <c r="D2469">
        <v>5100</v>
      </c>
      <c r="E2469">
        <v>2019</v>
      </c>
      <c r="F2469">
        <v>1</v>
      </c>
      <c r="G2469">
        <v>46841</v>
      </c>
      <c r="H2469" s="1">
        <v>6</v>
      </c>
      <c r="I2469">
        <v>12</v>
      </c>
      <c r="J2469">
        <f>IF($H2469=0,1,IF($I2469&lt;=1,2,0))</f>
        <v>0</v>
      </c>
      <c r="K2469">
        <v>0</v>
      </c>
      <c r="L2469">
        <f>IF(AND($J2469=0,$K2469=0),0,1)</f>
        <v>0</v>
      </c>
    </row>
    <row r="2470" spans="1:12" x14ac:dyDescent="0.2">
      <c r="A2470" t="s">
        <v>769</v>
      </c>
      <c r="B2470" t="s">
        <v>386</v>
      </c>
      <c r="C2470" t="s">
        <v>407</v>
      </c>
      <c r="D2470">
        <v>5100</v>
      </c>
      <c r="E2470">
        <v>2019</v>
      </c>
      <c r="F2470">
        <v>4</v>
      </c>
      <c r="G2470">
        <v>46862</v>
      </c>
      <c r="H2470" s="1">
        <v>6</v>
      </c>
      <c r="I2470">
        <v>12</v>
      </c>
      <c r="J2470">
        <f>IF($H2470=0,1,IF($I2470&lt;=1,2,0))</f>
        <v>0</v>
      </c>
      <c r="K2470">
        <v>0</v>
      </c>
      <c r="L2470">
        <f>IF(AND($J2470=0,$K2470=0),0,1)</f>
        <v>0</v>
      </c>
    </row>
    <row r="2471" spans="1:12" x14ac:dyDescent="0.2">
      <c r="A2471" t="s">
        <v>769</v>
      </c>
      <c r="B2471" t="s">
        <v>386</v>
      </c>
      <c r="C2471" t="s">
        <v>407</v>
      </c>
      <c r="D2471">
        <v>5100</v>
      </c>
      <c r="E2471">
        <v>2019</v>
      </c>
      <c r="F2471">
        <v>7</v>
      </c>
      <c r="G2471">
        <v>46865</v>
      </c>
      <c r="H2471" s="1">
        <v>6</v>
      </c>
      <c r="I2471">
        <v>12</v>
      </c>
      <c r="J2471">
        <f>IF($H2471=0,1,IF($I2471&lt;=1,2,0))</f>
        <v>0</v>
      </c>
      <c r="K2471">
        <v>0</v>
      </c>
      <c r="L2471">
        <f>IF(AND($J2471=0,$K2471=0),0,1)</f>
        <v>0</v>
      </c>
    </row>
    <row r="2472" spans="1:12" x14ac:dyDescent="0.2">
      <c r="A2472" t="s">
        <v>769</v>
      </c>
      <c r="B2472" t="s">
        <v>386</v>
      </c>
      <c r="C2472" t="s">
        <v>407</v>
      </c>
      <c r="D2472">
        <v>5100</v>
      </c>
      <c r="E2472">
        <v>2019</v>
      </c>
      <c r="F2472">
        <v>9</v>
      </c>
      <c r="G2472">
        <v>46867</v>
      </c>
      <c r="H2472" s="1">
        <v>6</v>
      </c>
      <c r="I2472">
        <v>12</v>
      </c>
      <c r="J2472">
        <f>IF($H2472=0,1,IF($I2472&lt;=1,2,0))</f>
        <v>0</v>
      </c>
      <c r="K2472">
        <v>0</v>
      </c>
      <c r="L2472">
        <f>IF(AND($J2472=0,$K2472=0),0,1)</f>
        <v>0</v>
      </c>
    </row>
    <row r="2473" spans="1:12" x14ac:dyDescent="0.2">
      <c r="A2473" t="s">
        <v>769</v>
      </c>
      <c r="B2473" t="s">
        <v>386</v>
      </c>
      <c r="C2473" t="s">
        <v>407</v>
      </c>
      <c r="D2473">
        <v>5100</v>
      </c>
      <c r="E2473">
        <v>2019</v>
      </c>
      <c r="F2473">
        <v>10</v>
      </c>
      <c r="G2473">
        <v>46868</v>
      </c>
      <c r="H2473" s="1">
        <v>6</v>
      </c>
      <c r="I2473">
        <v>12</v>
      </c>
      <c r="J2473">
        <f>IF($H2473=0,1,IF($I2473&lt;=1,2,0))</f>
        <v>0</v>
      </c>
      <c r="K2473">
        <v>0</v>
      </c>
      <c r="L2473">
        <f>IF(AND($J2473=0,$K2473=0),0,1)</f>
        <v>0</v>
      </c>
    </row>
    <row r="2474" spans="1:12" x14ac:dyDescent="0.2">
      <c r="A2474" t="s">
        <v>769</v>
      </c>
      <c r="B2474" t="s">
        <v>386</v>
      </c>
      <c r="C2474" t="s">
        <v>407</v>
      </c>
      <c r="D2474">
        <v>5100</v>
      </c>
      <c r="E2474">
        <v>2019</v>
      </c>
      <c r="F2474">
        <v>2</v>
      </c>
      <c r="G2474">
        <v>46859</v>
      </c>
      <c r="H2474" s="1">
        <v>6</v>
      </c>
      <c r="I2474">
        <v>11</v>
      </c>
      <c r="J2474">
        <f>IF($H2474=0,1,IF($I2474&lt;=1,2,0))</f>
        <v>0</v>
      </c>
      <c r="K2474">
        <v>0</v>
      </c>
      <c r="L2474">
        <f>IF(AND($J2474=0,$K2474=0),0,1)</f>
        <v>0</v>
      </c>
    </row>
    <row r="2475" spans="1:12" x14ac:dyDescent="0.2">
      <c r="A2475" t="s">
        <v>769</v>
      </c>
      <c r="B2475" t="s">
        <v>386</v>
      </c>
      <c r="C2475" t="s">
        <v>407</v>
      </c>
      <c r="D2475">
        <v>5100</v>
      </c>
      <c r="E2475">
        <v>2019</v>
      </c>
      <c r="F2475">
        <v>6</v>
      </c>
      <c r="G2475">
        <v>46864</v>
      </c>
      <c r="H2475" s="1">
        <v>6</v>
      </c>
      <c r="I2475">
        <v>10</v>
      </c>
      <c r="J2475">
        <f>IF($H2475=0,1,IF($I2475&lt;=1,2,0))</f>
        <v>0</v>
      </c>
      <c r="K2475">
        <v>0</v>
      </c>
      <c r="L2475">
        <f>IF(AND($J2475=0,$K2475=0),0,1)</f>
        <v>0</v>
      </c>
    </row>
    <row r="2476" spans="1:12" x14ac:dyDescent="0.2">
      <c r="A2476" t="s">
        <v>769</v>
      </c>
      <c r="B2476" t="s">
        <v>386</v>
      </c>
      <c r="C2476" t="s">
        <v>407</v>
      </c>
      <c r="D2476">
        <v>5100</v>
      </c>
      <c r="E2476">
        <v>2019</v>
      </c>
      <c r="F2476">
        <v>11</v>
      </c>
      <c r="G2476">
        <v>46869</v>
      </c>
      <c r="H2476" s="1">
        <v>6</v>
      </c>
      <c r="I2476">
        <v>10</v>
      </c>
      <c r="J2476">
        <f>IF($H2476=0,1,IF($I2476&lt;=1,2,0))</f>
        <v>0</v>
      </c>
      <c r="K2476">
        <v>0</v>
      </c>
      <c r="L2476">
        <f>IF(AND($J2476=0,$K2476=0),0,1)</f>
        <v>0</v>
      </c>
    </row>
    <row r="2477" spans="1:12" x14ac:dyDescent="0.2">
      <c r="A2477" t="s">
        <v>769</v>
      </c>
      <c r="B2477" t="s">
        <v>386</v>
      </c>
      <c r="C2477" t="s">
        <v>407</v>
      </c>
      <c r="D2477">
        <v>5100</v>
      </c>
      <c r="E2477">
        <v>2019</v>
      </c>
      <c r="F2477">
        <v>3</v>
      </c>
      <c r="G2477">
        <v>46860</v>
      </c>
      <c r="H2477" s="1">
        <v>6</v>
      </c>
      <c r="I2477">
        <v>8</v>
      </c>
      <c r="J2477">
        <f>IF($H2477=0,1,IF($I2477&lt;=1,2,0))</f>
        <v>0</v>
      </c>
      <c r="K2477">
        <v>0</v>
      </c>
      <c r="L2477">
        <f>IF(AND($J2477=0,$K2477=0),0,1)</f>
        <v>0</v>
      </c>
    </row>
    <row r="2478" spans="1:12" x14ac:dyDescent="0.2">
      <c r="A2478" t="s">
        <v>769</v>
      </c>
      <c r="B2478" t="s">
        <v>386</v>
      </c>
      <c r="C2478" t="s">
        <v>407</v>
      </c>
      <c r="D2478">
        <v>5100</v>
      </c>
      <c r="E2478">
        <v>2019</v>
      </c>
      <c r="F2478">
        <v>12</v>
      </c>
      <c r="G2478">
        <v>46870</v>
      </c>
      <c r="H2478" s="1">
        <v>6</v>
      </c>
      <c r="I2478">
        <v>8</v>
      </c>
      <c r="J2478">
        <f>IF($H2478=0,1,IF($I2478&lt;=1,2,0))</f>
        <v>0</v>
      </c>
      <c r="K2478">
        <v>0</v>
      </c>
      <c r="L2478">
        <f>IF(AND($J2478=0,$K2478=0),0,1)</f>
        <v>0</v>
      </c>
    </row>
    <row r="2479" spans="1:12" x14ac:dyDescent="0.2">
      <c r="A2479" t="s">
        <v>769</v>
      </c>
      <c r="B2479" t="s">
        <v>386</v>
      </c>
      <c r="C2479" t="s">
        <v>407</v>
      </c>
      <c r="D2479">
        <v>5100</v>
      </c>
      <c r="E2479">
        <v>2019</v>
      </c>
      <c r="F2479">
        <v>8</v>
      </c>
      <c r="G2479">
        <v>46866</v>
      </c>
      <c r="H2479" s="1">
        <v>6</v>
      </c>
      <c r="I2479">
        <v>7</v>
      </c>
      <c r="J2479">
        <f>IF($H2479=0,1,IF($I2479&lt;=1,2,0))</f>
        <v>0</v>
      </c>
      <c r="K2479">
        <v>0</v>
      </c>
      <c r="L2479">
        <f>IF(AND($J2479=0,$K2479=0),0,1)</f>
        <v>0</v>
      </c>
    </row>
    <row r="2480" spans="1:12" x14ac:dyDescent="0.2">
      <c r="A2480" t="s">
        <v>769</v>
      </c>
      <c r="B2480" t="s">
        <v>386</v>
      </c>
      <c r="C2480" t="s">
        <v>407</v>
      </c>
      <c r="D2480">
        <v>5100</v>
      </c>
      <c r="E2480">
        <v>2019</v>
      </c>
      <c r="F2480">
        <v>5</v>
      </c>
      <c r="G2480">
        <v>46863</v>
      </c>
      <c r="H2480" s="1">
        <v>6</v>
      </c>
      <c r="I2480">
        <v>6</v>
      </c>
      <c r="J2480">
        <f>IF($H2480=0,1,IF($I2480&lt;=1,2,0))</f>
        <v>0</v>
      </c>
      <c r="K2480">
        <v>0</v>
      </c>
      <c r="L2480">
        <f>IF(AND($J2480=0,$K2480=0),0,1)</f>
        <v>0</v>
      </c>
    </row>
    <row r="2481" spans="1:12" x14ac:dyDescent="0.2">
      <c r="A2481" t="s">
        <v>769</v>
      </c>
      <c r="B2481" t="s">
        <v>386</v>
      </c>
      <c r="C2481" t="s">
        <v>407</v>
      </c>
      <c r="D2481">
        <v>5200</v>
      </c>
      <c r="E2481">
        <v>2019</v>
      </c>
      <c r="F2481">
        <v>1</v>
      </c>
      <c r="G2481">
        <v>46871</v>
      </c>
      <c r="H2481" s="1">
        <v>6</v>
      </c>
      <c r="I2481">
        <v>10</v>
      </c>
      <c r="J2481">
        <f>IF($H2481=0,1,IF($I2481&lt;=1,2,0))</f>
        <v>0</v>
      </c>
      <c r="K2481">
        <v>0</v>
      </c>
      <c r="L2481">
        <f>IF(AND($J2481=0,$K2481=0),0,1)</f>
        <v>0</v>
      </c>
    </row>
    <row r="2482" spans="1:12" x14ac:dyDescent="0.2">
      <c r="A2482" t="s">
        <v>769</v>
      </c>
      <c r="B2482" t="s">
        <v>386</v>
      </c>
      <c r="C2482" t="s">
        <v>407</v>
      </c>
      <c r="D2482">
        <v>5200</v>
      </c>
      <c r="E2482">
        <v>2019</v>
      </c>
      <c r="F2482">
        <v>4</v>
      </c>
      <c r="G2482">
        <v>46874</v>
      </c>
      <c r="H2482" s="1">
        <v>6</v>
      </c>
      <c r="I2482">
        <v>10</v>
      </c>
      <c r="J2482">
        <f>IF($H2482=0,1,IF($I2482&lt;=1,2,0))</f>
        <v>0</v>
      </c>
      <c r="K2482">
        <v>0</v>
      </c>
      <c r="L2482">
        <f>IF(AND($J2482=0,$K2482=0),0,1)</f>
        <v>0</v>
      </c>
    </row>
    <row r="2483" spans="1:12" x14ac:dyDescent="0.2">
      <c r="A2483" t="s">
        <v>769</v>
      </c>
      <c r="B2483" t="s">
        <v>386</v>
      </c>
      <c r="C2483" t="s">
        <v>407</v>
      </c>
      <c r="D2483">
        <v>5200</v>
      </c>
      <c r="E2483">
        <v>2019</v>
      </c>
      <c r="F2483">
        <v>2</v>
      </c>
      <c r="G2483">
        <v>46872</v>
      </c>
      <c r="H2483" s="1">
        <v>6</v>
      </c>
      <c r="I2483">
        <v>9</v>
      </c>
      <c r="J2483">
        <f>IF($H2483=0,1,IF($I2483&lt;=1,2,0))</f>
        <v>0</v>
      </c>
      <c r="K2483">
        <v>0</v>
      </c>
      <c r="L2483">
        <f>IF(AND($J2483=0,$K2483=0),0,1)</f>
        <v>0</v>
      </c>
    </row>
    <row r="2484" spans="1:12" x14ac:dyDescent="0.2">
      <c r="A2484" t="s">
        <v>769</v>
      </c>
      <c r="B2484" t="s">
        <v>386</v>
      </c>
      <c r="C2484" t="s">
        <v>407</v>
      </c>
      <c r="D2484">
        <v>5200</v>
      </c>
      <c r="E2484">
        <v>2019</v>
      </c>
      <c r="F2484">
        <v>3</v>
      </c>
      <c r="G2484">
        <v>46873</v>
      </c>
      <c r="H2484" s="1">
        <v>6</v>
      </c>
      <c r="I2484">
        <v>8</v>
      </c>
      <c r="J2484">
        <f>IF($H2484=0,1,IF($I2484&lt;=1,2,0))</f>
        <v>0</v>
      </c>
      <c r="K2484">
        <v>0</v>
      </c>
      <c r="L2484">
        <f>IF(AND($J2484=0,$K2484=0),0,1)</f>
        <v>0</v>
      </c>
    </row>
    <row r="2485" spans="1:12" x14ac:dyDescent="0.2">
      <c r="A2485" t="s">
        <v>769</v>
      </c>
      <c r="B2485" t="s">
        <v>386</v>
      </c>
      <c r="C2485" t="s">
        <v>407</v>
      </c>
      <c r="D2485">
        <v>5300</v>
      </c>
      <c r="E2485">
        <v>2019</v>
      </c>
      <c r="F2485">
        <v>1</v>
      </c>
      <c r="G2485">
        <v>46875</v>
      </c>
      <c r="H2485" s="1">
        <v>6</v>
      </c>
      <c r="I2485">
        <v>8</v>
      </c>
      <c r="J2485">
        <f>IF($H2485=0,1,IF($I2485&lt;=1,2,0))</f>
        <v>0</v>
      </c>
      <c r="K2485">
        <v>0</v>
      </c>
      <c r="L2485">
        <f>IF(AND($J2485=0,$K2485=0),0,1)</f>
        <v>0</v>
      </c>
    </row>
    <row r="2486" spans="1:12" x14ac:dyDescent="0.2">
      <c r="A2486" t="s">
        <v>769</v>
      </c>
      <c r="B2486" t="s">
        <v>386</v>
      </c>
      <c r="C2486" t="s">
        <v>407</v>
      </c>
      <c r="D2486">
        <v>5300</v>
      </c>
      <c r="E2486">
        <v>2019</v>
      </c>
      <c r="F2486">
        <v>2</v>
      </c>
      <c r="G2486">
        <v>46876</v>
      </c>
      <c r="H2486" s="1">
        <v>6</v>
      </c>
      <c r="I2486">
        <v>8</v>
      </c>
      <c r="J2486">
        <f>IF($H2486=0,1,IF($I2486&lt;=1,2,0))</f>
        <v>0</v>
      </c>
      <c r="K2486">
        <v>0</v>
      </c>
      <c r="L2486">
        <f>IF(AND($J2486=0,$K2486=0),0,1)</f>
        <v>0</v>
      </c>
    </row>
    <row r="2487" spans="1:12" x14ac:dyDescent="0.2">
      <c r="A2487" t="s">
        <v>769</v>
      </c>
      <c r="B2487" t="s">
        <v>386</v>
      </c>
      <c r="C2487" t="s">
        <v>407</v>
      </c>
      <c r="D2487">
        <v>5300</v>
      </c>
      <c r="E2487">
        <v>2019</v>
      </c>
      <c r="F2487">
        <v>4</v>
      </c>
      <c r="G2487">
        <v>46878</v>
      </c>
      <c r="H2487" s="1">
        <v>6</v>
      </c>
      <c r="I2487">
        <v>8</v>
      </c>
      <c r="J2487">
        <f>IF($H2487=0,1,IF($I2487&lt;=1,2,0))</f>
        <v>0</v>
      </c>
      <c r="K2487">
        <v>0</v>
      </c>
      <c r="L2487">
        <f>IF(AND($J2487=0,$K2487=0),0,1)</f>
        <v>0</v>
      </c>
    </row>
    <row r="2488" spans="1:12" x14ac:dyDescent="0.2">
      <c r="A2488" t="s">
        <v>769</v>
      </c>
      <c r="B2488" t="s">
        <v>386</v>
      </c>
      <c r="C2488" t="s">
        <v>407</v>
      </c>
      <c r="D2488">
        <v>5300</v>
      </c>
      <c r="E2488">
        <v>2019</v>
      </c>
      <c r="F2488">
        <v>5</v>
      </c>
      <c r="G2488">
        <v>17988</v>
      </c>
      <c r="H2488" s="1">
        <v>6</v>
      </c>
      <c r="I2488">
        <v>8</v>
      </c>
      <c r="J2488">
        <f>IF($H2488=0,1,IF($I2488&lt;=1,2,0))</f>
        <v>0</v>
      </c>
      <c r="K2488">
        <v>0</v>
      </c>
      <c r="L2488">
        <f>IF(AND($J2488=0,$K2488=0),0,1)</f>
        <v>0</v>
      </c>
    </row>
    <row r="2489" spans="1:12" x14ac:dyDescent="0.2">
      <c r="A2489" t="s">
        <v>769</v>
      </c>
      <c r="B2489" t="s">
        <v>386</v>
      </c>
      <c r="C2489" t="s">
        <v>407</v>
      </c>
      <c r="D2489">
        <v>5300</v>
      </c>
      <c r="E2489">
        <v>2019</v>
      </c>
      <c r="F2489">
        <v>3</v>
      </c>
      <c r="G2489">
        <v>46877</v>
      </c>
      <c r="H2489" s="1">
        <v>6</v>
      </c>
      <c r="I2489">
        <v>7</v>
      </c>
      <c r="J2489">
        <f>IF($H2489=0,1,IF($I2489&lt;=1,2,0))</f>
        <v>0</v>
      </c>
      <c r="K2489">
        <v>0</v>
      </c>
      <c r="L2489">
        <f>IF(AND($J2489=0,$K2489=0),0,1)</f>
        <v>0</v>
      </c>
    </row>
    <row r="2490" spans="1:12" x14ac:dyDescent="0.2">
      <c r="A2490" t="s">
        <v>769</v>
      </c>
      <c r="B2490" t="s">
        <v>386</v>
      </c>
      <c r="C2490" t="s">
        <v>407</v>
      </c>
      <c r="D2490">
        <v>5500</v>
      </c>
      <c r="E2490">
        <v>2019</v>
      </c>
      <c r="F2490">
        <v>1</v>
      </c>
      <c r="G2490">
        <v>46879</v>
      </c>
      <c r="H2490" s="1">
        <v>6</v>
      </c>
      <c r="I2490">
        <v>8</v>
      </c>
      <c r="J2490">
        <f>IF($H2490=0,1,IF($I2490&lt;=1,2,0))</f>
        <v>0</v>
      </c>
      <c r="K2490">
        <v>0</v>
      </c>
      <c r="L2490">
        <f>IF(AND($J2490=0,$K2490=0),0,1)</f>
        <v>0</v>
      </c>
    </row>
    <row r="2491" spans="1:12" x14ac:dyDescent="0.2">
      <c r="A2491" t="s">
        <v>769</v>
      </c>
      <c r="B2491" t="s">
        <v>386</v>
      </c>
      <c r="C2491" t="s">
        <v>34</v>
      </c>
      <c r="D2491">
        <v>6010</v>
      </c>
      <c r="E2491">
        <v>2019</v>
      </c>
      <c r="F2491">
        <v>5</v>
      </c>
      <c r="G2491">
        <v>46884</v>
      </c>
      <c r="H2491" s="1">
        <v>3</v>
      </c>
      <c r="I2491">
        <v>18</v>
      </c>
      <c r="J2491">
        <f>IF($H2491=0,1,IF($I2491&lt;=1,2,0))</f>
        <v>0</v>
      </c>
      <c r="K2491">
        <v>0</v>
      </c>
      <c r="L2491">
        <f>IF(AND($J2491=0,$K2491=0),0,1)</f>
        <v>0</v>
      </c>
    </row>
    <row r="2492" spans="1:12" x14ac:dyDescent="0.2">
      <c r="A2492" t="s">
        <v>769</v>
      </c>
      <c r="B2492" t="s">
        <v>386</v>
      </c>
      <c r="C2492" t="s">
        <v>34</v>
      </c>
      <c r="D2492">
        <v>6010</v>
      </c>
      <c r="E2492">
        <v>2019</v>
      </c>
      <c r="F2492">
        <v>4</v>
      </c>
      <c r="G2492">
        <v>46883</v>
      </c>
      <c r="H2492" s="1">
        <v>3</v>
      </c>
      <c r="I2492">
        <v>15</v>
      </c>
      <c r="J2492">
        <f>IF($H2492=0,1,IF($I2492&lt;=1,2,0))</f>
        <v>0</v>
      </c>
      <c r="K2492">
        <v>0</v>
      </c>
      <c r="L2492">
        <f>IF(AND($J2492=0,$K2492=0),0,1)</f>
        <v>0</v>
      </c>
    </row>
    <row r="2493" spans="1:12" x14ac:dyDescent="0.2">
      <c r="A2493" t="s">
        <v>769</v>
      </c>
      <c r="B2493" t="s">
        <v>386</v>
      </c>
      <c r="C2493" t="s">
        <v>34</v>
      </c>
      <c r="D2493">
        <v>6010</v>
      </c>
      <c r="E2493">
        <v>2019</v>
      </c>
      <c r="F2493">
        <v>1</v>
      </c>
      <c r="G2493">
        <v>46880</v>
      </c>
      <c r="H2493" s="1">
        <v>3</v>
      </c>
      <c r="I2493">
        <v>14</v>
      </c>
      <c r="J2493">
        <f>IF($H2493=0,1,IF($I2493&lt;=1,2,0))</f>
        <v>0</v>
      </c>
      <c r="K2493">
        <v>0</v>
      </c>
      <c r="L2493">
        <f>IF(AND($J2493=0,$K2493=0),0,1)</f>
        <v>0</v>
      </c>
    </row>
    <row r="2494" spans="1:12" x14ac:dyDescent="0.2">
      <c r="A2494" t="s">
        <v>769</v>
      </c>
      <c r="B2494" t="s">
        <v>386</v>
      </c>
      <c r="C2494" t="s">
        <v>34</v>
      </c>
      <c r="D2494">
        <v>6010</v>
      </c>
      <c r="E2494">
        <v>2019</v>
      </c>
      <c r="F2494">
        <v>6</v>
      </c>
      <c r="G2494">
        <v>46885</v>
      </c>
      <c r="H2494" s="1">
        <v>3</v>
      </c>
      <c r="I2494">
        <v>14</v>
      </c>
      <c r="J2494">
        <f>IF($H2494=0,1,IF($I2494&lt;=1,2,0))</f>
        <v>0</v>
      </c>
      <c r="K2494">
        <v>0</v>
      </c>
      <c r="L2494">
        <f>IF(AND($J2494=0,$K2494=0),0,1)</f>
        <v>0</v>
      </c>
    </row>
    <row r="2495" spans="1:12" x14ac:dyDescent="0.2">
      <c r="A2495" t="s">
        <v>769</v>
      </c>
      <c r="B2495" t="s">
        <v>386</v>
      </c>
      <c r="C2495" t="s">
        <v>34</v>
      </c>
      <c r="D2495">
        <v>6010</v>
      </c>
      <c r="E2495">
        <v>2019</v>
      </c>
      <c r="F2495">
        <v>2</v>
      </c>
      <c r="G2495">
        <v>46881</v>
      </c>
      <c r="H2495" s="1">
        <v>3</v>
      </c>
      <c r="I2495">
        <v>13</v>
      </c>
      <c r="J2495">
        <f>IF($H2495=0,1,IF($I2495&lt;=1,2,0))</f>
        <v>0</v>
      </c>
      <c r="K2495">
        <v>0</v>
      </c>
      <c r="L2495">
        <f>IF(AND($J2495=0,$K2495=0),0,1)</f>
        <v>0</v>
      </c>
    </row>
    <row r="2496" spans="1:12" x14ac:dyDescent="0.2">
      <c r="A2496" t="s">
        <v>769</v>
      </c>
      <c r="B2496" t="s">
        <v>386</v>
      </c>
      <c r="C2496" t="s">
        <v>34</v>
      </c>
      <c r="D2496">
        <v>6010</v>
      </c>
      <c r="E2496">
        <v>2019</v>
      </c>
      <c r="F2496">
        <v>7</v>
      </c>
      <c r="G2496">
        <v>46886</v>
      </c>
      <c r="H2496" s="1">
        <v>3</v>
      </c>
      <c r="I2496">
        <v>13</v>
      </c>
      <c r="J2496">
        <f>IF($H2496=0,1,IF($I2496&lt;=1,2,0))</f>
        <v>0</v>
      </c>
      <c r="K2496">
        <v>0</v>
      </c>
      <c r="L2496">
        <f>IF(AND($J2496=0,$K2496=0),0,1)</f>
        <v>0</v>
      </c>
    </row>
    <row r="2497" spans="1:12" x14ac:dyDescent="0.2">
      <c r="A2497" t="s">
        <v>769</v>
      </c>
      <c r="B2497" t="s">
        <v>386</v>
      </c>
      <c r="C2497" t="s">
        <v>34</v>
      </c>
      <c r="D2497">
        <v>6010</v>
      </c>
      <c r="E2497">
        <v>2019</v>
      </c>
      <c r="F2497">
        <v>3</v>
      </c>
      <c r="G2497">
        <v>46882</v>
      </c>
      <c r="H2497" s="1">
        <v>3</v>
      </c>
      <c r="I2497">
        <v>8</v>
      </c>
      <c r="J2497">
        <f>IF($H2497=0,1,IF($I2497&lt;=1,2,0))</f>
        <v>0</v>
      </c>
      <c r="K2497">
        <v>0</v>
      </c>
      <c r="L2497">
        <f>IF(AND($J2497=0,$K2497=0),0,1)</f>
        <v>0</v>
      </c>
    </row>
    <row r="2498" spans="1:12" x14ac:dyDescent="0.2">
      <c r="A2498" t="s">
        <v>769</v>
      </c>
      <c r="B2498" t="s">
        <v>386</v>
      </c>
      <c r="C2498" t="s">
        <v>407</v>
      </c>
      <c r="D2498">
        <v>6110</v>
      </c>
      <c r="E2498">
        <v>2019</v>
      </c>
      <c r="F2498">
        <v>9</v>
      </c>
      <c r="G2498">
        <v>46895</v>
      </c>
      <c r="H2498" s="1">
        <v>3</v>
      </c>
      <c r="I2498">
        <v>20</v>
      </c>
      <c r="J2498">
        <f>IF($H2498=0,1,IF($I2498&lt;=1,2,0))</f>
        <v>0</v>
      </c>
      <c r="K2498">
        <v>0</v>
      </c>
      <c r="L2498">
        <f>IF(AND($J2498=0,$K2498=0),0,1)</f>
        <v>0</v>
      </c>
    </row>
    <row r="2499" spans="1:12" x14ac:dyDescent="0.2">
      <c r="A2499" t="s">
        <v>769</v>
      </c>
      <c r="B2499" t="s">
        <v>386</v>
      </c>
      <c r="C2499" t="s">
        <v>407</v>
      </c>
      <c r="D2499">
        <v>6110</v>
      </c>
      <c r="E2499">
        <v>2019</v>
      </c>
      <c r="F2499">
        <v>13</v>
      </c>
      <c r="G2499">
        <v>46899</v>
      </c>
      <c r="H2499" s="1">
        <v>3</v>
      </c>
      <c r="I2499">
        <v>20</v>
      </c>
      <c r="J2499">
        <f>IF($H2499=0,1,IF($I2499&lt;=1,2,0))</f>
        <v>0</v>
      </c>
      <c r="K2499">
        <v>0</v>
      </c>
      <c r="L2499">
        <f>IF(AND($J2499=0,$K2499=0),0,1)</f>
        <v>0</v>
      </c>
    </row>
    <row r="2500" spans="1:12" x14ac:dyDescent="0.2">
      <c r="A2500" t="s">
        <v>769</v>
      </c>
      <c r="B2500" t="s">
        <v>386</v>
      </c>
      <c r="C2500" t="s">
        <v>407</v>
      </c>
      <c r="D2500">
        <v>6110</v>
      </c>
      <c r="E2500">
        <v>2019</v>
      </c>
      <c r="F2500">
        <v>5</v>
      </c>
      <c r="G2500">
        <v>46891</v>
      </c>
      <c r="H2500" s="1">
        <v>3</v>
      </c>
      <c r="I2500">
        <v>18</v>
      </c>
      <c r="J2500">
        <f>IF($H2500=0,1,IF($I2500&lt;=1,2,0))</f>
        <v>0</v>
      </c>
      <c r="K2500">
        <v>0</v>
      </c>
      <c r="L2500">
        <f>IF(AND($J2500=0,$K2500=0),0,1)</f>
        <v>0</v>
      </c>
    </row>
    <row r="2501" spans="1:12" x14ac:dyDescent="0.2">
      <c r="A2501" t="s">
        <v>769</v>
      </c>
      <c r="B2501" t="s">
        <v>386</v>
      </c>
      <c r="C2501" t="s">
        <v>407</v>
      </c>
      <c r="D2501">
        <v>6110</v>
      </c>
      <c r="E2501">
        <v>2019</v>
      </c>
      <c r="F2501">
        <v>8</v>
      </c>
      <c r="G2501">
        <v>46894</v>
      </c>
      <c r="H2501" s="1">
        <v>3</v>
      </c>
      <c r="I2501">
        <v>17</v>
      </c>
      <c r="J2501">
        <f>IF($H2501=0,1,IF($I2501&lt;=1,2,0))</f>
        <v>0</v>
      </c>
      <c r="K2501">
        <v>0</v>
      </c>
      <c r="L2501">
        <f>IF(AND($J2501=0,$K2501=0),0,1)</f>
        <v>0</v>
      </c>
    </row>
    <row r="2502" spans="1:12" x14ac:dyDescent="0.2">
      <c r="A2502" t="s">
        <v>769</v>
      </c>
      <c r="B2502" t="s">
        <v>386</v>
      </c>
      <c r="C2502" t="s">
        <v>407</v>
      </c>
      <c r="D2502">
        <v>6110</v>
      </c>
      <c r="E2502">
        <v>2019</v>
      </c>
      <c r="F2502">
        <v>7</v>
      </c>
      <c r="G2502">
        <v>46893</v>
      </c>
      <c r="H2502" s="1">
        <v>3</v>
      </c>
      <c r="I2502">
        <v>16</v>
      </c>
      <c r="J2502">
        <f>IF($H2502=0,1,IF($I2502&lt;=1,2,0))</f>
        <v>0</v>
      </c>
      <c r="K2502">
        <v>0</v>
      </c>
      <c r="L2502">
        <f>IF(AND($J2502=0,$K2502=0),0,1)</f>
        <v>0</v>
      </c>
    </row>
    <row r="2503" spans="1:12" x14ac:dyDescent="0.2">
      <c r="A2503" t="s">
        <v>769</v>
      </c>
      <c r="B2503" t="s">
        <v>386</v>
      </c>
      <c r="C2503" t="s">
        <v>407</v>
      </c>
      <c r="D2503">
        <v>6110</v>
      </c>
      <c r="E2503">
        <v>2019</v>
      </c>
      <c r="F2503">
        <v>3</v>
      </c>
      <c r="G2503">
        <v>46889</v>
      </c>
      <c r="H2503" s="1">
        <v>3</v>
      </c>
      <c r="I2503">
        <v>15</v>
      </c>
      <c r="J2503">
        <f>IF($H2503=0,1,IF($I2503&lt;=1,2,0))</f>
        <v>0</v>
      </c>
      <c r="K2503">
        <v>0</v>
      </c>
      <c r="L2503">
        <f>IF(AND($J2503=0,$K2503=0),0,1)</f>
        <v>0</v>
      </c>
    </row>
    <row r="2504" spans="1:12" x14ac:dyDescent="0.2">
      <c r="A2504" t="s">
        <v>769</v>
      </c>
      <c r="B2504" t="s">
        <v>386</v>
      </c>
      <c r="C2504" t="s">
        <v>407</v>
      </c>
      <c r="D2504">
        <v>6110</v>
      </c>
      <c r="E2504">
        <v>2019</v>
      </c>
      <c r="F2504">
        <v>11</v>
      </c>
      <c r="G2504">
        <v>46897</v>
      </c>
      <c r="H2504" s="1">
        <v>3</v>
      </c>
      <c r="I2504">
        <v>15</v>
      </c>
      <c r="J2504">
        <f>IF($H2504=0,1,IF($I2504&lt;=1,2,0))</f>
        <v>0</v>
      </c>
      <c r="K2504">
        <v>0</v>
      </c>
      <c r="L2504">
        <f>IF(AND($J2504=0,$K2504=0),0,1)</f>
        <v>0</v>
      </c>
    </row>
    <row r="2505" spans="1:12" x14ac:dyDescent="0.2">
      <c r="A2505" t="s">
        <v>769</v>
      </c>
      <c r="B2505" t="s">
        <v>386</v>
      </c>
      <c r="C2505" t="s">
        <v>407</v>
      </c>
      <c r="D2505">
        <v>6110</v>
      </c>
      <c r="E2505">
        <v>2019</v>
      </c>
      <c r="F2505">
        <v>1</v>
      </c>
      <c r="G2505">
        <v>46887</v>
      </c>
      <c r="H2505" s="1">
        <v>3</v>
      </c>
      <c r="I2505">
        <v>14</v>
      </c>
      <c r="J2505">
        <f>IF($H2505=0,1,IF($I2505&lt;=1,2,0))</f>
        <v>0</v>
      </c>
      <c r="K2505">
        <v>0</v>
      </c>
      <c r="L2505">
        <f>IF(AND($J2505=0,$K2505=0),0,1)</f>
        <v>0</v>
      </c>
    </row>
    <row r="2506" spans="1:12" x14ac:dyDescent="0.2">
      <c r="A2506" t="s">
        <v>769</v>
      </c>
      <c r="B2506" t="s">
        <v>386</v>
      </c>
      <c r="C2506" t="s">
        <v>407</v>
      </c>
      <c r="D2506">
        <v>6110</v>
      </c>
      <c r="E2506">
        <v>2019</v>
      </c>
      <c r="F2506">
        <v>2</v>
      </c>
      <c r="G2506">
        <v>46888</v>
      </c>
      <c r="H2506" s="1">
        <v>3</v>
      </c>
      <c r="I2506">
        <v>13</v>
      </c>
      <c r="J2506">
        <f>IF($H2506=0,1,IF($I2506&lt;=1,2,0))</f>
        <v>0</v>
      </c>
      <c r="K2506">
        <v>0</v>
      </c>
      <c r="L2506">
        <f>IF(AND($J2506=0,$K2506=0),0,1)</f>
        <v>0</v>
      </c>
    </row>
    <row r="2507" spans="1:12" x14ac:dyDescent="0.2">
      <c r="A2507" t="s">
        <v>769</v>
      </c>
      <c r="B2507" t="s">
        <v>386</v>
      </c>
      <c r="C2507" t="s">
        <v>407</v>
      </c>
      <c r="D2507">
        <v>6110</v>
      </c>
      <c r="E2507">
        <v>2019</v>
      </c>
      <c r="F2507">
        <v>4</v>
      </c>
      <c r="G2507">
        <v>46890</v>
      </c>
      <c r="H2507" s="1">
        <v>3</v>
      </c>
      <c r="I2507">
        <v>11</v>
      </c>
      <c r="J2507">
        <f>IF($H2507=0,1,IF($I2507&lt;=1,2,0))</f>
        <v>0</v>
      </c>
      <c r="K2507">
        <v>0</v>
      </c>
      <c r="L2507">
        <f>IF(AND($J2507=0,$K2507=0),0,1)</f>
        <v>0</v>
      </c>
    </row>
    <row r="2508" spans="1:12" x14ac:dyDescent="0.2">
      <c r="A2508" t="s">
        <v>769</v>
      </c>
      <c r="B2508" t="s">
        <v>386</v>
      </c>
      <c r="C2508" t="s">
        <v>407</v>
      </c>
      <c r="D2508">
        <v>6110</v>
      </c>
      <c r="E2508">
        <v>2019</v>
      </c>
      <c r="F2508">
        <v>6</v>
      </c>
      <c r="G2508">
        <v>46892</v>
      </c>
      <c r="H2508" s="1">
        <v>3</v>
      </c>
      <c r="I2508">
        <v>11</v>
      </c>
      <c r="J2508">
        <f>IF($H2508=0,1,IF($I2508&lt;=1,2,0))</f>
        <v>0</v>
      </c>
      <c r="K2508">
        <v>0</v>
      </c>
      <c r="L2508">
        <f>IF(AND($J2508=0,$K2508=0),0,1)</f>
        <v>0</v>
      </c>
    </row>
    <row r="2509" spans="1:12" x14ac:dyDescent="0.2">
      <c r="A2509" t="s">
        <v>769</v>
      </c>
      <c r="B2509" t="s">
        <v>386</v>
      </c>
      <c r="C2509" t="s">
        <v>407</v>
      </c>
      <c r="D2509">
        <v>6110</v>
      </c>
      <c r="E2509">
        <v>2019</v>
      </c>
      <c r="F2509">
        <v>12</v>
      </c>
      <c r="G2509">
        <v>46898</v>
      </c>
      <c r="H2509" s="1">
        <v>3</v>
      </c>
      <c r="I2509">
        <v>10</v>
      </c>
      <c r="J2509">
        <f>IF($H2509=0,1,IF($I2509&lt;=1,2,0))</f>
        <v>0</v>
      </c>
      <c r="K2509">
        <v>0</v>
      </c>
      <c r="L2509">
        <f>IF(AND($J2509=0,$K2509=0),0,1)</f>
        <v>0</v>
      </c>
    </row>
    <row r="2510" spans="1:12" x14ac:dyDescent="0.2">
      <c r="A2510" t="s">
        <v>769</v>
      </c>
      <c r="B2510" t="s">
        <v>386</v>
      </c>
      <c r="C2510" t="s">
        <v>407</v>
      </c>
      <c r="D2510">
        <v>6110</v>
      </c>
      <c r="E2510">
        <v>2019</v>
      </c>
      <c r="F2510">
        <v>10</v>
      </c>
      <c r="G2510">
        <v>46896</v>
      </c>
      <c r="H2510" s="1">
        <v>3</v>
      </c>
      <c r="I2510">
        <v>7</v>
      </c>
      <c r="J2510">
        <f>IF($H2510=0,1,IF($I2510&lt;=1,2,0))</f>
        <v>0</v>
      </c>
      <c r="K2510">
        <v>0</v>
      </c>
      <c r="L2510">
        <f>IF(AND($J2510=0,$K2510=0),0,1)</f>
        <v>0</v>
      </c>
    </row>
    <row r="2511" spans="1:12" x14ac:dyDescent="0.2">
      <c r="A2511" t="s">
        <v>769</v>
      </c>
      <c r="B2511" t="s">
        <v>386</v>
      </c>
      <c r="C2511" t="s">
        <v>407</v>
      </c>
      <c r="D2511">
        <v>6210</v>
      </c>
      <c r="E2511">
        <v>2019</v>
      </c>
      <c r="F2511">
        <v>1</v>
      </c>
      <c r="G2511">
        <v>46900</v>
      </c>
      <c r="H2511" s="1">
        <v>3</v>
      </c>
      <c r="I2511">
        <v>19</v>
      </c>
      <c r="J2511">
        <f>IF($H2511=0,1,IF($I2511&lt;=1,2,0))</f>
        <v>0</v>
      </c>
      <c r="K2511">
        <v>0</v>
      </c>
      <c r="L2511">
        <f>IF(AND($J2511=0,$K2511=0),0,1)</f>
        <v>0</v>
      </c>
    </row>
    <row r="2512" spans="1:12" x14ac:dyDescent="0.2">
      <c r="A2512" t="s">
        <v>769</v>
      </c>
      <c r="B2512" t="s">
        <v>386</v>
      </c>
      <c r="C2512" t="s">
        <v>407</v>
      </c>
      <c r="D2512">
        <v>6210</v>
      </c>
      <c r="E2512">
        <v>2019</v>
      </c>
      <c r="F2512">
        <v>2</v>
      </c>
      <c r="G2512">
        <v>46901</v>
      </c>
      <c r="H2512" s="1">
        <v>3</v>
      </c>
      <c r="I2512">
        <v>18</v>
      </c>
      <c r="J2512">
        <f>IF($H2512=0,1,IF($I2512&lt;=1,2,0))</f>
        <v>0</v>
      </c>
      <c r="K2512">
        <v>0</v>
      </c>
      <c r="L2512">
        <f>IF(AND($J2512=0,$K2512=0),0,1)</f>
        <v>0</v>
      </c>
    </row>
    <row r="2513" spans="1:12" x14ac:dyDescent="0.2">
      <c r="A2513" t="s">
        <v>769</v>
      </c>
      <c r="B2513" t="s">
        <v>386</v>
      </c>
      <c r="C2513" t="s">
        <v>407</v>
      </c>
      <c r="D2513">
        <v>6210</v>
      </c>
      <c r="E2513">
        <v>2019</v>
      </c>
      <c r="F2513">
        <v>5</v>
      </c>
      <c r="G2513">
        <v>46904</v>
      </c>
      <c r="H2513" s="1">
        <v>3</v>
      </c>
      <c r="I2513">
        <v>17</v>
      </c>
      <c r="J2513">
        <f>IF($H2513=0,1,IF($I2513&lt;=1,2,0))</f>
        <v>0</v>
      </c>
      <c r="K2513">
        <v>0</v>
      </c>
      <c r="L2513">
        <f>IF(AND($J2513=0,$K2513=0),0,1)</f>
        <v>0</v>
      </c>
    </row>
    <row r="2514" spans="1:12" x14ac:dyDescent="0.2">
      <c r="A2514" t="s">
        <v>769</v>
      </c>
      <c r="B2514" t="s">
        <v>386</v>
      </c>
      <c r="C2514" t="s">
        <v>407</v>
      </c>
      <c r="D2514">
        <v>6210</v>
      </c>
      <c r="E2514">
        <v>2019</v>
      </c>
      <c r="F2514">
        <v>4</v>
      </c>
      <c r="G2514">
        <v>46903</v>
      </c>
      <c r="H2514" s="1">
        <v>3</v>
      </c>
      <c r="I2514">
        <v>15</v>
      </c>
      <c r="J2514">
        <f>IF($H2514=0,1,IF($I2514&lt;=1,2,0))</f>
        <v>0</v>
      </c>
      <c r="K2514">
        <v>0</v>
      </c>
      <c r="L2514">
        <f>IF(AND($J2514=0,$K2514=0),0,1)</f>
        <v>0</v>
      </c>
    </row>
    <row r="2515" spans="1:12" x14ac:dyDescent="0.2">
      <c r="A2515" t="s">
        <v>769</v>
      </c>
      <c r="B2515" t="s">
        <v>386</v>
      </c>
      <c r="C2515" t="s">
        <v>407</v>
      </c>
      <c r="D2515">
        <v>6210</v>
      </c>
      <c r="E2515">
        <v>2019</v>
      </c>
      <c r="F2515">
        <v>7</v>
      </c>
      <c r="G2515">
        <v>46906</v>
      </c>
      <c r="H2515" s="1">
        <v>3</v>
      </c>
      <c r="I2515">
        <v>14</v>
      </c>
      <c r="J2515">
        <f>IF($H2515=0,1,IF($I2515&lt;=1,2,0))</f>
        <v>0</v>
      </c>
      <c r="K2515">
        <v>0</v>
      </c>
      <c r="L2515">
        <f>IF(AND($J2515=0,$K2515=0),0,1)</f>
        <v>0</v>
      </c>
    </row>
    <row r="2516" spans="1:12" x14ac:dyDescent="0.2">
      <c r="A2516" t="s">
        <v>769</v>
      </c>
      <c r="B2516" t="s">
        <v>386</v>
      </c>
      <c r="C2516" t="s">
        <v>407</v>
      </c>
      <c r="D2516">
        <v>6210</v>
      </c>
      <c r="E2516">
        <v>2019</v>
      </c>
      <c r="F2516">
        <v>3</v>
      </c>
      <c r="G2516">
        <v>46902</v>
      </c>
      <c r="H2516" s="1">
        <v>3</v>
      </c>
      <c r="I2516">
        <v>11</v>
      </c>
      <c r="J2516">
        <f>IF($H2516=0,1,IF($I2516&lt;=1,2,0))</f>
        <v>0</v>
      </c>
      <c r="K2516">
        <v>0</v>
      </c>
      <c r="L2516">
        <f>IF(AND($J2516=0,$K2516=0),0,1)</f>
        <v>0</v>
      </c>
    </row>
    <row r="2517" spans="1:12" x14ac:dyDescent="0.2">
      <c r="A2517" t="s">
        <v>769</v>
      </c>
      <c r="B2517" t="s">
        <v>386</v>
      </c>
      <c r="C2517" t="s">
        <v>407</v>
      </c>
      <c r="D2517">
        <v>6210</v>
      </c>
      <c r="E2517">
        <v>2019</v>
      </c>
      <c r="F2517">
        <v>6</v>
      </c>
      <c r="G2517">
        <v>46905</v>
      </c>
      <c r="H2517" s="1">
        <v>3</v>
      </c>
      <c r="I2517">
        <v>9</v>
      </c>
      <c r="J2517">
        <f>IF($H2517=0,1,IF($I2517&lt;=1,2,0))</f>
        <v>0</v>
      </c>
      <c r="K2517">
        <v>0</v>
      </c>
      <c r="L2517">
        <f>IF(AND($J2517=0,$K2517=0),0,1)</f>
        <v>0</v>
      </c>
    </row>
    <row r="2518" spans="1:12" x14ac:dyDescent="0.2">
      <c r="A2518" t="s">
        <v>769</v>
      </c>
      <c r="B2518" t="s">
        <v>386</v>
      </c>
      <c r="C2518" t="s">
        <v>407</v>
      </c>
      <c r="D2518">
        <v>6310</v>
      </c>
      <c r="E2518">
        <v>2019</v>
      </c>
      <c r="F2518">
        <v>1</v>
      </c>
      <c r="G2518">
        <v>46907</v>
      </c>
      <c r="H2518" s="1">
        <v>3</v>
      </c>
      <c r="I2518">
        <v>17</v>
      </c>
      <c r="J2518">
        <f>IF($H2518=0,1,IF($I2518&lt;=1,2,0))</f>
        <v>0</v>
      </c>
      <c r="K2518">
        <v>0</v>
      </c>
      <c r="L2518">
        <f>IF(AND($J2518=0,$K2518=0),0,1)</f>
        <v>0</v>
      </c>
    </row>
    <row r="2519" spans="1:12" x14ac:dyDescent="0.2">
      <c r="A2519" t="s">
        <v>769</v>
      </c>
      <c r="B2519" t="s">
        <v>386</v>
      </c>
      <c r="C2519" t="s">
        <v>407</v>
      </c>
      <c r="D2519">
        <v>6310</v>
      </c>
      <c r="E2519">
        <v>2019</v>
      </c>
      <c r="F2519">
        <v>5</v>
      </c>
      <c r="G2519">
        <v>17997</v>
      </c>
      <c r="H2519" s="1">
        <v>3</v>
      </c>
      <c r="I2519">
        <v>13</v>
      </c>
      <c r="J2519">
        <f>IF($H2519=0,1,IF($I2519&lt;=1,2,0))</f>
        <v>0</v>
      </c>
      <c r="K2519">
        <v>0</v>
      </c>
      <c r="L2519">
        <f>IF(AND($J2519=0,$K2519=0),0,1)</f>
        <v>0</v>
      </c>
    </row>
    <row r="2520" spans="1:12" x14ac:dyDescent="0.2">
      <c r="A2520" t="s">
        <v>769</v>
      </c>
      <c r="B2520" t="s">
        <v>386</v>
      </c>
      <c r="C2520" t="s">
        <v>407</v>
      </c>
      <c r="D2520">
        <v>6310</v>
      </c>
      <c r="E2520">
        <v>2019</v>
      </c>
      <c r="F2520">
        <v>3</v>
      </c>
      <c r="G2520">
        <v>46909</v>
      </c>
      <c r="H2520" s="1">
        <v>3</v>
      </c>
      <c r="I2520">
        <v>9</v>
      </c>
      <c r="J2520">
        <f>IF($H2520=0,1,IF($I2520&lt;=1,2,0))</f>
        <v>0</v>
      </c>
      <c r="K2520">
        <v>0</v>
      </c>
      <c r="L2520">
        <f>IF(AND($J2520=0,$K2520=0),0,1)</f>
        <v>0</v>
      </c>
    </row>
    <row r="2521" spans="1:12" x14ac:dyDescent="0.2">
      <c r="A2521" t="s">
        <v>769</v>
      </c>
      <c r="B2521" t="s">
        <v>386</v>
      </c>
      <c r="C2521" t="s">
        <v>407</v>
      </c>
      <c r="D2521">
        <v>6310</v>
      </c>
      <c r="E2521">
        <v>2019</v>
      </c>
      <c r="F2521">
        <v>4</v>
      </c>
      <c r="G2521">
        <v>17993</v>
      </c>
      <c r="H2521" s="1">
        <v>3</v>
      </c>
      <c r="I2521">
        <v>7</v>
      </c>
      <c r="J2521">
        <f>IF($H2521=0,1,IF($I2521&lt;=1,2,0))</f>
        <v>0</v>
      </c>
      <c r="K2521">
        <v>0</v>
      </c>
      <c r="L2521">
        <f>IF(AND($J2521=0,$K2521=0),0,1)</f>
        <v>0</v>
      </c>
    </row>
    <row r="2522" spans="1:12" x14ac:dyDescent="0.2">
      <c r="A2522" t="s">
        <v>769</v>
      </c>
      <c r="B2522" t="s">
        <v>386</v>
      </c>
      <c r="C2522" t="s">
        <v>34</v>
      </c>
      <c r="D2522">
        <v>6400</v>
      </c>
      <c r="E2522">
        <v>2019</v>
      </c>
      <c r="F2522">
        <v>1</v>
      </c>
      <c r="G2522">
        <v>46910</v>
      </c>
      <c r="H2522" s="1">
        <v>3</v>
      </c>
      <c r="I2522">
        <v>12</v>
      </c>
      <c r="J2522">
        <f>IF($H2522=0,1,IF($I2522&lt;=1,2,0))</f>
        <v>0</v>
      </c>
      <c r="K2522">
        <v>0</v>
      </c>
      <c r="L2522">
        <f>IF(AND($J2522=0,$K2522=0),0,1)</f>
        <v>0</v>
      </c>
    </row>
    <row r="2523" spans="1:12" x14ac:dyDescent="0.2">
      <c r="A2523" t="s">
        <v>769</v>
      </c>
      <c r="B2523" t="s">
        <v>386</v>
      </c>
      <c r="C2523" t="s">
        <v>34</v>
      </c>
      <c r="D2523">
        <v>6400</v>
      </c>
      <c r="E2523">
        <v>2019</v>
      </c>
      <c r="F2523">
        <v>2</v>
      </c>
      <c r="G2523">
        <v>46911</v>
      </c>
      <c r="H2523" s="1">
        <v>3</v>
      </c>
      <c r="I2523">
        <v>11</v>
      </c>
      <c r="J2523">
        <f>IF($H2523=0,1,IF($I2523&lt;=1,2,0))</f>
        <v>0</v>
      </c>
      <c r="K2523">
        <v>0</v>
      </c>
      <c r="L2523">
        <f>IF(AND($J2523=0,$K2523=0),0,1)</f>
        <v>0</v>
      </c>
    </row>
    <row r="2524" spans="1:12" x14ac:dyDescent="0.2">
      <c r="A2524" t="s">
        <v>769</v>
      </c>
      <c r="B2524" t="s">
        <v>386</v>
      </c>
      <c r="C2524" t="s">
        <v>407</v>
      </c>
      <c r="D2524">
        <v>6410</v>
      </c>
      <c r="E2524">
        <v>2019</v>
      </c>
      <c r="F2524">
        <v>1</v>
      </c>
      <c r="G2524">
        <v>46912</v>
      </c>
      <c r="H2524" s="1">
        <v>3</v>
      </c>
      <c r="I2524">
        <v>15</v>
      </c>
      <c r="J2524">
        <f>IF($H2524=0,1,IF($I2524&lt;=1,2,0))</f>
        <v>0</v>
      </c>
      <c r="K2524">
        <v>0</v>
      </c>
      <c r="L2524">
        <f>IF(AND($J2524=0,$K2524=0),0,1)</f>
        <v>0</v>
      </c>
    </row>
    <row r="2525" spans="1:12" x14ac:dyDescent="0.2">
      <c r="A2525" t="s">
        <v>769</v>
      </c>
      <c r="B2525" t="s">
        <v>386</v>
      </c>
      <c r="C2525" t="s">
        <v>407</v>
      </c>
      <c r="D2525">
        <v>6510</v>
      </c>
      <c r="E2525">
        <v>2019</v>
      </c>
      <c r="F2525">
        <v>1</v>
      </c>
      <c r="G2525">
        <v>46913</v>
      </c>
      <c r="H2525" s="1">
        <v>3</v>
      </c>
      <c r="I2525">
        <v>32</v>
      </c>
      <c r="J2525">
        <f>IF($H2525=0,1,IF($I2525&lt;=1,2,0))</f>
        <v>0</v>
      </c>
      <c r="K2525">
        <v>0</v>
      </c>
      <c r="L2525">
        <f>IF(AND($J2525=0,$K2525=0),0,1)</f>
        <v>0</v>
      </c>
    </row>
    <row r="2526" spans="1:12" x14ac:dyDescent="0.2">
      <c r="A2526" t="s">
        <v>769</v>
      </c>
      <c r="B2526" t="s">
        <v>386</v>
      </c>
      <c r="C2526" t="s">
        <v>407</v>
      </c>
      <c r="D2526">
        <v>6520</v>
      </c>
      <c r="E2526">
        <v>2019</v>
      </c>
      <c r="F2526">
        <v>1</v>
      </c>
      <c r="G2526">
        <v>46914</v>
      </c>
      <c r="H2526" s="1">
        <v>3</v>
      </c>
      <c r="I2526">
        <v>31</v>
      </c>
      <c r="J2526">
        <f>IF($H2526=0,1,IF($I2526&lt;=1,2,0))</f>
        <v>0</v>
      </c>
      <c r="K2526">
        <v>0</v>
      </c>
      <c r="L2526">
        <f>IF(AND($J2526=0,$K2526=0),0,1)</f>
        <v>0</v>
      </c>
    </row>
    <row r="2527" spans="1:12" x14ac:dyDescent="0.2">
      <c r="A2527" t="s">
        <v>769</v>
      </c>
      <c r="B2527" t="s">
        <v>386</v>
      </c>
      <c r="C2527" t="s">
        <v>407</v>
      </c>
      <c r="D2527">
        <v>6530</v>
      </c>
      <c r="E2527">
        <v>2019</v>
      </c>
      <c r="F2527">
        <v>1</v>
      </c>
      <c r="G2527">
        <v>46915</v>
      </c>
      <c r="H2527" s="1">
        <v>3</v>
      </c>
      <c r="I2527">
        <v>22</v>
      </c>
      <c r="J2527">
        <f>IF($H2527=0,1,IF($I2527&lt;=1,2,0))</f>
        <v>0</v>
      </c>
      <c r="K2527">
        <v>0</v>
      </c>
      <c r="L2527">
        <f>IF(AND($J2527=0,$K2527=0),0,1)</f>
        <v>0</v>
      </c>
    </row>
    <row r="2528" spans="1:12" x14ac:dyDescent="0.2">
      <c r="A2528" t="s">
        <v>769</v>
      </c>
      <c r="B2528" t="s">
        <v>386</v>
      </c>
      <c r="C2528" t="s">
        <v>34</v>
      </c>
      <c r="D2528">
        <v>6610</v>
      </c>
      <c r="E2528">
        <v>2019</v>
      </c>
      <c r="F2528">
        <v>3</v>
      </c>
      <c r="G2528">
        <v>46928</v>
      </c>
      <c r="H2528" s="1">
        <v>1.5</v>
      </c>
      <c r="I2528">
        <v>15</v>
      </c>
      <c r="J2528">
        <f>IF($H2528=0,1,IF($I2528&lt;=1,2,0))</f>
        <v>0</v>
      </c>
      <c r="K2528">
        <v>0</v>
      </c>
      <c r="L2528">
        <f>IF(AND($J2528=0,$K2528=0),0,1)</f>
        <v>0</v>
      </c>
    </row>
    <row r="2529" spans="1:12" x14ac:dyDescent="0.2">
      <c r="A2529" t="s">
        <v>769</v>
      </c>
      <c r="B2529" t="s">
        <v>386</v>
      </c>
      <c r="C2529" t="s">
        <v>34</v>
      </c>
      <c r="D2529">
        <v>6610</v>
      </c>
      <c r="E2529">
        <v>2019</v>
      </c>
      <c r="F2529">
        <v>10</v>
      </c>
      <c r="G2529">
        <v>46935</v>
      </c>
      <c r="H2529" s="1">
        <v>1.5</v>
      </c>
      <c r="I2529">
        <v>15</v>
      </c>
      <c r="J2529">
        <f>IF($H2529=0,1,IF($I2529&lt;=1,2,0))</f>
        <v>0</v>
      </c>
      <c r="K2529">
        <v>0</v>
      </c>
      <c r="L2529">
        <f>IF(AND($J2529=0,$K2529=0),0,1)</f>
        <v>0</v>
      </c>
    </row>
    <row r="2530" spans="1:12" x14ac:dyDescent="0.2">
      <c r="A2530" t="s">
        <v>769</v>
      </c>
      <c r="B2530" t="s">
        <v>386</v>
      </c>
      <c r="C2530" t="s">
        <v>34</v>
      </c>
      <c r="D2530">
        <v>6610</v>
      </c>
      <c r="E2530">
        <v>2019</v>
      </c>
      <c r="F2530">
        <v>16</v>
      </c>
      <c r="G2530">
        <v>17995</v>
      </c>
      <c r="H2530" s="1">
        <v>1.5</v>
      </c>
      <c r="I2530">
        <v>15</v>
      </c>
      <c r="J2530">
        <f>IF($H2530=0,1,IF($I2530&lt;=1,2,0))</f>
        <v>0</v>
      </c>
      <c r="K2530">
        <v>0</v>
      </c>
      <c r="L2530">
        <f>IF(AND($J2530=0,$K2530=0),0,1)</f>
        <v>0</v>
      </c>
    </row>
    <row r="2531" spans="1:12" x14ac:dyDescent="0.2">
      <c r="A2531" t="s">
        <v>769</v>
      </c>
      <c r="B2531" t="s">
        <v>386</v>
      </c>
      <c r="C2531" t="s">
        <v>34</v>
      </c>
      <c r="D2531">
        <v>6610</v>
      </c>
      <c r="E2531">
        <v>2019</v>
      </c>
      <c r="F2531">
        <v>5</v>
      </c>
      <c r="G2531">
        <v>46930</v>
      </c>
      <c r="H2531" s="1">
        <v>1.5</v>
      </c>
      <c r="I2531">
        <v>13</v>
      </c>
      <c r="J2531">
        <f>IF($H2531=0,1,IF($I2531&lt;=1,2,0))</f>
        <v>0</v>
      </c>
      <c r="K2531">
        <v>0</v>
      </c>
      <c r="L2531">
        <f>IF(AND($J2531=0,$K2531=0),0,1)</f>
        <v>0</v>
      </c>
    </row>
    <row r="2532" spans="1:12" x14ac:dyDescent="0.2">
      <c r="A2532" t="s">
        <v>769</v>
      </c>
      <c r="B2532" t="s">
        <v>386</v>
      </c>
      <c r="C2532" t="s">
        <v>34</v>
      </c>
      <c r="D2532">
        <v>6610</v>
      </c>
      <c r="E2532">
        <v>2019</v>
      </c>
      <c r="F2532">
        <v>7</v>
      </c>
      <c r="G2532">
        <v>46932</v>
      </c>
      <c r="H2532" s="1">
        <v>1.5</v>
      </c>
      <c r="I2532">
        <v>12</v>
      </c>
      <c r="J2532">
        <f>IF($H2532=0,1,IF($I2532&lt;=1,2,0))</f>
        <v>0</v>
      </c>
      <c r="K2532">
        <v>0</v>
      </c>
      <c r="L2532">
        <f>IF(AND($J2532=0,$K2532=0),0,1)</f>
        <v>0</v>
      </c>
    </row>
    <row r="2533" spans="1:12" x14ac:dyDescent="0.2">
      <c r="A2533" t="s">
        <v>769</v>
      </c>
      <c r="B2533" t="s">
        <v>386</v>
      </c>
      <c r="C2533" t="s">
        <v>34</v>
      </c>
      <c r="D2533">
        <v>6610</v>
      </c>
      <c r="E2533">
        <v>2019</v>
      </c>
      <c r="F2533">
        <v>17</v>
      </c>
      <c r="G2533">
        <v>17996</v>
      </c>
      <c r="H2533" s="1">
        <v>1.5</v>
      </c>
      <c r="I2533">
        <v>12</v>
      </c>
      <c r="J2533">
        <f>IF($H2533=0,1,IF($I2533&lt;=1,2,0))</f>
        <v>0</v>
      </c>
      <c r="K2533">
        <v>0</v>
      </c>
      <c r="L2533">
        <f>IF(AND($J2533=0,$K2533=0),0,1)</f>
        <v>0</v>
      </c>
    </row>
    <row r="2534" spans="1:12" x14ac:dyDescent="0.2">
      <c r="A2534" t="s">
        <v>769</v>
      </c>
      <c r="B2534" t="s">
        <v>386</v>
      </c>
      <c r="C2534" t="s">
        <v>34</v>
      </c>
      <c r="D2534">
        <v>6610</v>
      </c>
      <c r="E2534">
        <v>2019</v>
      </c>
      <c r="F2534">
        <v>2</v>
      </c>
      <c r="G2534">
        <v>46927</v>
      </c>
      <c r="H2534" s="1">
        <v>1.5</v>
      </c>
      <c r="I2534">
        <v>11</v>
      </c>
      <c r="J2534">
        <f>IF($H2534=0,1,IF($I2534&lt;=1,2,0))</f>
        <v>0</v>
      </c>
      <c r="K2534">
        <v>0</v>
      </c>
      <c r="L2534">
        <f>IF(AND($J2534=0,$K2534=0),0,1)</f>
        <v>0</v>
      </c>
    </row>
    <row r="2535" spans="1:12" x14ac:dyDescent="0.2">
      <c r="A2535" t="s">
        <v>769</v>
      </c>
      <c r="B2535" t="s">
        <v>386</v>
      </c>
      <c r="C2535" t="s">
        <v>34</v>
      </c>
      <c r="D2535">
        <v>6610</v>
      </c>
      <c r="E2535">
        <v>2019</v>
      </c>
      <c r="F2535">
        <v>12</v>
      </c>
      <c r="G2535">
        <v>46937</v>
      </c>
      <c r="H2535" s="1">
        <v>1.5</v>
      </c>
      <c r="I2535">
        <v>11</v>
      </c>
      <c r="J2535">
        <f>IF($H2535=0,1,IF($I2535&lt;=1,2,0))</f>
        <v>0</v>
      </c>
      <c r="K2535">
        <v>0</v>
      </c>
      <c r="L2535">
        <f>IF(AND($J2535=0,$K2535=0),0,1)</f>
        <v>0</v>
      </c>
    </row>
    <row r="2536" spans="1:12" x14ac:dyDescent="0.2">
      <c r="A2536" t="s">
        <v>769</v>
      </c>
      <c r="B2536" t="s">
        <v>386</v>
      </c>
      <c r="C2536" t="s">
        <v>34</v>
      </c>
      <c r="D2536">
        <v>6610</v>
      </c>
      <c r="E2536">
        <v>2019</v>
      </c>
      <c r="F2536">
        <v>1</v>
      </c>
      <c r="G2536">
        <v>46926</v>
      </c>
      <c r="H2536" s="1">
        <v>1.5</v>
      </c>
      <c r="I2536">
        <v>10</v>
      </c>
      <c r="J2536">
        <f>IF($H2536=0,1,IF($I2536&lt;=1,2,0))</f>
        <v>0</v>
      </c>
      <c r="K2536">
        <v>0</v>
      </c>
      <c r="L2536">
        <f>IF(AND($J2536=0,$K2536=0),0,1)</f>
        <v>0</v>
      </c>
    </row>
    <row r="2537" spans="1:12" x14ac:dyDescent="0.2">
      <c r="A2537" t="s">
        <v>769</v>
      </c>
      <c r="B2537" t="s">
        <v>386</v>
      </c>
      <c r="C2537" t="s">
        <v>34</v>
      </c>
      <c r="D2537">
        <v>6610</v>
      </c>
      <c r="E2537">
        <v>2019</v>
      </c>
      <c r="F2537">
        <v>11</v>
      </c>
      <c r="G2537">
        <v>46936</v>
      </c>
      <c r="H2537" s="1">
        <v>1.5</v>
      </c>
      <c r="I2537">
        <v>10</v>
      </c>
      <c r="J2537">
        <f>IF($H2537=0,1,IF($I2537&lt;=1,2,0))</f>
        <v>0</v>
      </c>
      <c r="K2537">
        <v>0</v>
      </c>
      <c r="L2537">
        <f>IF(AND($J2537=0,$K2537=0),0,1)</f>
        <v>0</v>
      </c>
    </row>
    <row r="2538" spans="1:12" x14ac:dyDescent="0.2">
      <c r="A2538" t="s">
        <v>769</v>
      </c>
      <c r="B2538" t="s">
        <v>386</v>
      </c>
      <c r="C2538" t="s">
        <v>34</v>
      </c>
      <c r="D2538">
        <v>6610</v>
      </c>
      <c r="E2538">
        <v>2019</v>
      </c>
      <c r="F2538">
        <v>14</v>
      </c>
      <c r="G2538">
        <v>46939</v>
      </c>
      <c r="H2538" s="1">
        <v>1.5</v>
      </c>
      <c r="I2538">
        <v>9</v>
      </c>
      <c r="J2538">
        <f>IF($H2538=0,1,IF($I2538&lt;=1,2,0))</f>
        <v>0</v>
      </c>
      <c r="K2538">
        <v>0</v>
      </c>
      <c r="L2538">
        <f>IF(AND($J2538=0,$K2538=0),0,1)</f>
        <v>0</v>
      </c>
    </row>
    <row r="2539" spans="1:12" x14ac:dyDescent="0.2">
      <c r="A2539" t="s">
        <v>769</v>
      </c>
      <c r="B2539" t="s">
        <v>386</v>
      </c>
      <c r="C2539" t="s">
        <v>34</v>
      </c>
      <c r="D2539">
        <v>6610</v>
      </c>
      <c r="E2539">
        <v>2019</v>
      </c>
      <c r="F2539">
        <v>15</v>
      </c>
      <c r="G2539">
        <v>17994</v>
      </c>
      <c r="H2539" s="1">
        <v>1.5</v>
      </c>
      <c r="I2539">
        <v>9</v>
      </c>
      <c r="J2539">
        <f>IF($H2539=0,1,IF($I2539&lt;=1,2,0))</f>
        <v>0</v>
      </c>
      <c r="K2539">
        <v>0</v>
      </c>
      <c r="L2539">
        <f>IF(AND($J2539=0,$K2539=0),0,1)</f>
        <v>0</v>
      </c>
    </row>
    <row r="2540" spans="1:12" x14ac:dyDescent="0.2">
      <c r="A2540" t="s">
        <v>769</v>
      </c>
      <c r="B2540" t="s">
        <v>386</v>
      </c>
      <c r="C2540" t="s">
        <v>34</v>
      </c>
      <c r="D2540">
        <v>6610</v>
      </c>
      <c r="E2540">
        <v>2019</v>
      </c>
      <c r="F2540">
        <v>4</v>
      </c>
      <c r="G2540">
        <v>46929</v>
      </c>
      <c r="H2540" s="1">
        <v>1.5</v>
      </c>
      <c r="I2540">
        <v>8</v>
      </c>
      <c r="J2540">
        <f>IF($H2540=0,1,IF($I2540&lt;=1,2,0))</f>
        <v>0</v>
      </c>
      <c r="K2540">
        <v>0</v>
      </c>
      <c r="L2540">
        <f>IF(AND($J2540=0,$K2540=0),0,1)</f>
        <v>0</v>
      </c>
    </row>
    <row r="2541" spans="1:12" x14ac:dyDescent="0.2">
      <c r="A2541" t="s">
        <v>769</v>
      </c>
      <c r="B2541" t="s">
        <v>386</v>
      </c>
      <c r="C2541" t="s">
        <v>34</v>
      </c>
      <c r="D2541">
        <v>6610</v>
      </c>
      <c r="E2541">
        <v>2019</v>
      </c>
      <c r="F2541">
        <v>6</v>
      </c>
      <c r="G2541">
        <v>46931</v>
      </c>
      <c r="H2541" s="1">
        <v>1.5</v>
      </c>
      <c r="I2541">
        <v>8</v>
      </c>
      <c r="J2541">
        <f>IF($H2541=0,1,IF($I2541&lt;=1,2,0))</f>
        <v>0</v>
      </c>
      <c r="K2541">
        <v>0</v>
      </c>
      <c r="L2541">
        <f>IF(AND($J2541=0,$K2541=0),0,1)</f>
        <v>0</v>
      </c>
    </row>
    <row r="2542" spans="1:12" x14ac:dyDescent="0.2">
      <c r="A2542" t="s">
        <v>769</v>
      </c>
      <c r="B2542" t="s">
        <v>386</v>
      </c>
      <c r="C2542" t="s">
        <v>34</v>
      </c>
      <c r="D2542">
        <v>6610</v>
      </c>
      <c r="E2542">
        <v>2019</v>
      </c>
      <c r="F2542">
        <v>13</v>
      </c>
      <c r="G2542">
        <v>46938</v>
      </c>
      <c r="H2542" s="1">
        <v>1.5</v>
      </c>
      <c r="I2542">
        <v>6</v>
      </c>
      <c r="J2542">
        <f>IF($H2542=0,1,IF($I2542&lt;=1,2,0))</f>
        <v>0</v>
      </c>
      <c r="K2542">
        <v>0</v>
      </c>
      <c r="L2542">
        <f>IF(AND($J2542=0,$K2542=0),0,1)</f>
        <v>0</v>
      </c>
    </row>
    <row r="2543" spans="1:12" x14ac:dyDescent="0.2">
      <c r="A2543" t="s">
        <v>769</v>
      </c>
      <c r="B2543" t="s">
        <v>386</v>
      </c>
      <c r="C2543" t="s">
        <v>34</v>
      </c>
      <c r="D2543">
        <v>6610</v>
      </c>
      <c r="E2543">
        <v>2019</v>
      </c>
      <c r="F2543">
        <v>8</v>
      </c>
      <c r="G2543">
        <v>46933</v>
      </c>
      <c r="H2543" s="1">
        <v>1.5</v>
      </c>
      <c r="I2543">
        <v>4</v>
      </c>
      <c r="J2543">
        <f>IF($H2543=0,1,IF($I2543&lt;=1,2,0))</f>
        <v>0</v>
      </c>
      <c r="K2543">
        <v>0</v>
      </c>
      <c r="L2543">
        <f>IF(AND($J2543=0,$K2543=0),0,1)</f>
        <v>0</v>
      </c>
    </row>
    <row r="2544" spans="1:12" x14ac:dyDescent="0.2">
      <c r="A2544" t="s">
        <v>769</v>
      </c>
      <c r="B2544" t="s">
        <v>386</v>
      </c>
      <c r="C2544" t="s">
        <v>34</v>
      </c>
      <c r="D2544">
        <v>6610</v>
      </c>
      <c r="E2544">
        <v>2019</v>
      </c>
      <c r="F2544">
        <v>9</v>
      </c>
      <c r="G2544">
        <v>46934</v>
      </c>
      <c r="H2544" s="1">
        <v>1.5</v>
      </c>
      <c r="I2544">
        <v>4</v>
      </c>
      <c r="J2544">
        <f>IF($H2544=0,1,IF($I2544&lt;=1,2,0))</f>
        <v>0</v>
      </c>
      <c r="K2544">
        <v>0</v>
      </c>
      <c r="L2544">
        <f>IF(AND($J2544=0,$K2544=0),0,1)</f>
        <v>0</v>
      </c>
    </row>
    <row r="2545" spans="1:13" x14ac:dyDescent="0.2">
      <c r="A2545" t="s">
        <v>769</v>
      </c>
      <c r="B2545" t="s">
        <v>386</v>
      </c>
      <c r="C2545" t="s">
        <v>407</v>
      </c>
      <c r="D2545">
        <v>6611</v>
      </c>
      <c r="E2545">
        <v>2019</v>
      </c>
      <c r="F2545">
        <v>2</v>
      </c>
      <c r="G2545">
        <v>17987</v>
      </c>
      <c r="H2545" s="1">
        <v>1</v>
      </c>
      <c r="I2545">
        <v>16</v>
      </c>
      <c r="J2545">
        <f>IF($H2545=0,1,IF($I2545&lt;=1,2,0))</f>
        <v>0</v>
      </c>
      <c r="K2545">
        <v>0</v>
      </c>
      <c r="L2545">
        <f>IF(AND($J2545=0,$K2545=0),0,1)</f>
        <v>0</v>
      </c>
    </row>
    <row r="2546" spans="1:13" x14ac:dyDescent="0.2">
      <c r="A2546" t="s">
        <v>769</v>
      </c>
      <c r="B2546" t="s">
        <v>386</v>
      </c>
      <c r="C2546" t="s">
        <v>407</v>
      </c>
      <c r="D2546">
        <v>6611</v>
      </c>
      <c r="E2546">
        <v>2019</v>
      </c>
      <c r="F2546">
        <v>1</v>
      </c>
      <c r="G2546">
        <v>17986</v>
      </c>
      <c r="H2546" s="1">
        <v>1</v>
      </c>
      <c r="I2546">
        <v>14</v>
      </c>
      <c r="J2546">
        <f>IF($H2546=0,1,IF($I2546&lt;=1,2,0))</f>
        <v>0</v>
      </c>
      <c r="K2546">
        <v>0</v>
      </c>
      <c r="L2546">
        <f>IF(AND($J2546=0,$K2546=0),0,1)</f>
        <v>0</v>
      </c>
    </row>
    <row r="2547" spans="1:13" x14ac:dyDescent="0.2">
      <c r="A2547" t="s">
        <v>769</v>
      </c>
      <c r="B2547" t="s">
        <v>386</v>
      </c>
      <c r="C2547" t="s">
        <v>407</v>
      </c>
      <c r="D2547">
        <v>8200</v>
      </c>
      <c r="E2547">
        <v>2019</v>
      </c>
      <c r="F2547">
        <v>2</v>
      </c>
      <c r="G2547">
        <v>46917</v>
      </c>
      <c r="H2547" s="1">
        <v>9</v>
      </c>
      <c r="I2547">
        <v>10</v>
      </c>
      <c r="J2547">
        <f>IF($H2547=0,1,IF($I2547&lt;=1,2,0))</f>
        <v>0</v>
      </c>
      <c r="K2547">
        <v>0</v>
      </c>
      <c r="L2547">
        <f>IF(AND($J2547=0,$K2547=0),0,1)</f>
        <v>0</v>
      </c>
    </row>
    <row r="2548" spans="1:13" x14ac:dyDescent="0.2">
      <c r="A2548" t="s">
        <v>769</v>
      </c>
      <c r="B2548" t="s">
        <v>386</v>
      </c>
      <c r="C2548" t="s">
        <v>407</v>
      </c>
      <c r="D2548">
        <v>8200</v>
      </c>
      <c r="E2548">
        <v>2019</v>
      </c>
      <c r="F2548">
        <v>5</v>
      </c>
      <c r="G2548">
        <v>46920</v>
      </c>
      <c r="H2548" s="1">
        <v>9</v>
      </c>
      <c r="I2548">
        <v>9</v>
      </c>
      <c r="J2548">
        <f>IF($H2548=0,1,IF($I2548&lt;=1,2,0))</f>
        <v>0</v>
      </c>
      <c r="K2548">
        <v>0</v>
      </c>
      <c r="L2548">
        <f>IF(AND($J2548=0,$K2548=0),0,1)</f>
        <v>0</v>
      </c>
    </row>
    <row r="2549" spans="1:13" x14ac:dyDescent="0.2">
      <c r="A2549" t="s">
        <v>769</v>
      </c>
      <c r="B2549" t="s">
        <v>386</v>
      </c>
      <c r="C2549" t="s">
        <v>407</v>
      </c>
      <c r="D2549">
        <v>8200</v>
      </c>
      <c r="E2549">
        <v>2019</v>
      </c>
      <c r="F2549">
        <v>4</v>
      </c>
      <c r="G2549">
        <v>46919</v>
      </c>
      <c r="H2549" s="1">
        <v>9</v>
      </c>
      <c r="I2549">
        <v>8</v>
      </c>
      <c r="J2549">
        <f>IF($H2549=0,1,IF($I2549&lt;=1,2,0))</f>
        <v>0</v>
      </c>
      <c r="K2549">
        <v>0</v>
      </c>
      <c r="L2549">
        <f>IF(AND($J2549=0,$K2549=0),0,1)</f>
        <v>0</v>
      </c>
    </row>
    <row r="2550" spans="1:13" x14ac:dyDescent="0.2">
      <c r="A2550" t="s">
        <v>769</v>
      </c>
      <c r="B2550" t="s">
        <v>386</v>
      </c>
      <c r="C2550" t="s">
        <v>407</v>
      </c>
      <c r="D2550">
        <v>8200</v>
      </c>
      <c r="E2550">
        <v>2019</v>
      </c>
      <c r="F2550">
        <v>3</v>
      </c>
      <c r="G2550">
        <v>46918</v>
      </c>
      <c r="H2550" s="1">
        <v>9</v>
      </c>
      <c r="I2550">
        <v>7</v>
      </c>
      <c r="J2550">
        <f>IF($H2550=0,1,IF($I2550&lt;=1,2,0))</f>
        <v>0</v>
      </c>
      <c r="K2550">
        <v>0</v>
      </c>
      <c r="L2550">
        <f>IF(AND($J2550=0,$K2550=0),0,1)</f>
        <v>0</v>
      </c>
    </row>
    <row r="2551" spans="1:13" x14ac:dyDescent="0.2">
      <c r="A2551" t="s">
        <v>769</v>
      </c>
      <c r="B2551" t="s">
        <v>386</v>
      </c>
      <c r="C2551" t="s">
        <v>407</v>
      </c>
      <c r="D2551">
        <v>8200</v>
      </c>
      <c r="E2551">
        <v>2019</v>
      </c>
      <c r="F2551">
        <v>1</v>
      </c>
      <c r="G2551">
        <v>46916</v>
      </c>
      <c r="H2551" s="1">
        <v>9</v>
      </c>
      <c r="I2551">
        <v>6</v>
      </c>
      <c r="J2551">
        <f>IF($H2551=0,1,IF($I2551&lt;=1,2,0))</f>
        <v>0</v>
      </c>
      <c r="K2551">
        <v>0</v>
      </c>
      <c r="L2551">
        <f>IF(AND($J2551=0,$K2551=0),0,1)</f>
        <v>0</v>
      </c>
    </row>
    <row r="2552" spans="1:13" x14ac:dyDescent="0.2">
      <c r="A2552" t="s">
        <v>771</v>
      </c>
      <c r="B2552" t="s">
        <v>17</v>
      </c>
      <c r="C2552" t="s">
        <v>9</v>
      </c>
      <c r="D2552">
        <v>1101</v>
      </c>
      <c r="E2552">
        <v>2019</v>
      </c>
      <c r="F2552">
        <v>1</v>
      </c>
      <c r="G2552">
        <v>54530</v>
      </c>
      <c r="H2552" s="1">
        <v>4</v>
      </c>
      <c r="I2552">
        <v>9</v>
      </c>
      <c r="J2552">
        <f>IF($H2552=0,1,IF($I2552&lt;=1,2,0))</f>
        <v>0</v>
      </c>
      <c r="K2552">
        <v>0</v>
      </c>
      <c r="L2552">
        <f>IF(AND($J2552=0,$K2552=0),0,1)</f>
        <v>0</v>
      </c>
    </row>
    <row r="2553" spans="1:13" x14ac:dyDescent="0.2">
      <c r="A2553" t="s">
        <v>771</v>
      </c>
      <c r="B2553" t="s">
        <v>17</v>
      </c>
      <c r="C2553" t="s">
        <v>9</v>
      </c>
      <c r="D2553">
        <v>1102</v>
      </c>
      <c r="E2553">
        <v>2019</v>
      </c>
      <c r="F2553">
        <v>1</v>
      </c>
      <c r="G2553">
        <v>54546</v>
      </c>
      <c r="H2553" s="1">
        <v>4</v>
      </c>
      <c r="I2553">
        <v>6</v>
      </c>
      <c r="J2553">
        <f>IF($H2553=0,1,IF($I2553&lt;=1,2,0))</f>
        <v>0</v>
      </c>
      <c r="K2553">
        <v>0</v>
      </c>
      <c r="L2553">
        <f>IF(AND($J2553=0,$K2553=0),0,1)</f>
        <v>0</v>
      </c>
    </row>
    <row r="2554" spans="1:13" x14ac:dyDescent="0.2">
      <c r="A2554" t="s">
        <v>771</v>
      </c>
      <c r="B2554" t="s">
        <v>17</v>
      </c>
      <c r="C2554" t="s">
        <v>9</v>
      </c>
      <c r="D2554">
        <v>2101</v>
      </c>
      <c r="E2554">
        <v>2019</v>
      </c>
      <c r="F2554">
        <v>1</v>
      </c>
      <c r="G2554">
        <v>54538</v>
      </c>
      <c r="H2554" s="1">
        <v>4</v>
      </c>
      <c r="I2554">
        <v>7</v>
      </c>
      <c r="J2554">
        <f>IF($H2554=0,1,IF($I2554&lt;=1,2,0))</f>
        <v>0</v>
      </c>
      <c r="K2554">
        <v>0</v>
      </c>
      <c r="L2554">
        <f>IF(AND($J2554=0,$K2554=0),0,1)</f>
        <v>0</v>
      </c>
    </row>
    <row r="2555" spans="1:13" x14ac:dyDescent="0.2">
      <c r="A2555" t="s">
        <v>772</v>
      </c>
      <c r="B2555" t="s">
        <v>17</v>
      </c>
      <c r="C2555" t="s">
        <v>9</v>
      </c>
      <c r="D2555">
        <v>1101</v>
      </c>
      <c r="E2555">
        <v>2019</v>
      </c>
      <c r="F2555">
        <v>1</v>
      </c>
      <c r="G2555">
        <v>55390</v>
      </c>
      <c r="H2555" s="1">
        <v>4</v>
      </c>
      <c r="I2555">
        <v>3</v>
      </c>
      <c r="J2555">
        <f>IF($H2555=0,1,IF($I2555&lt;=1,2,0))</f>
        <v>0</v>
      </c>
      <c r="K2555">
        <v>0</v>
      </c>
      <c r="L2555">
        <f>IF(AND($J2555=0,$K2555=0),0,1)</f>
        <v>0</v>
      </c>
      <c r="M2555" t="s">
        <v>181</v>
      </c>
    </row>
    <row r="2556" spans="1:13" x14ac:dyDescent="0.2">
      <c r="A2556" t="s">
        <v>5</v>
      </c>
      <c r="B2556" t="s">
        <v>6</v>
      </c>
      <c r="C2556" t="s">
        <v>7</v>
      </c>
      <c r="D2556">
        <v>1001</v>
      </c>
      <c r="E2556">
        <v>2020</v>
      </c>
      <c r="F2556">
        <v>1</v>
      </c>
      <c r="G2556">
        <v>14380</v>
      </c>
      <c r="H2556" s="1">
        <v>4</v>
      </c>
      <c r="I2556">
        <v>125</v>
      </c>
      <c r="J2556">
        <f>IF($H2556=0,1,IF($I2556&lt;=1,2,0))</f>
        <v>0</v>
      </c>
      <c r="K2556">
        <v>0</v>
      </c>
      <c r="L2556">
        <f>IF(AND($J2556=0,$K2556=0),0,1)</f>
        <v>0</v>
      </c>
    </row>
    <row r="2557" spans="1:13" x14ac:dyDescent="0.2">
      <c r="A2557" t="s">
        <v>5</v>
      </c>
      <c r="B2557" t="s">
        <v>6</v>
      </c>
      <c r="C2557" t="s">
        <v>9</v>
      </c>
      <c r="D2557">
        <v>3030</v>
      </c>
      <c r="E2557">
        <v>2020</v>
      </c>
      <c r="F2557">
        <v>1</v>
      </c>
      <c r="G2557">
        <v>14381</v>
      </c>
      <c r="H2557" s="1">
        <v>3</v>
      </c>
      <c r="I2557">
        <v>13</v>
      </c>
      <c r="J2557">
        <f>IF($H2557=0,1,IF($I2557&lt;=1,2,0))</f>
        <v>0</v>
      </c>
      <c r="K2557">
        <v>0</v>
      </c>
      <c r="L2557">
        <f>IF(AND($J2557=0,$K2557=0),0,1)</f>
        <v>0</v>
      </c>
    </row>
    <row r="2558" spans="1:13" x14ac:dyDescent="0.2">
      <c r="A2558" t="s">
        <v>5</v>
      </c>
      <c r="B2558" t="s">
        <v>6</v>
      </c>
      <c r="C2558" t="s">
        <v>7</v>
      </c>
      <c r="D2558">
        <v>3930</v>
      </c>
      <c r="E2558">
        <v>2020</v>
      </c>
      <c r="F2558">
        <v>2</v>
      </c>
      <c r="G2558">
        <v>15245</v>
      </c>
      <c r="H2558" s="1">
        <v>4</v>
      </c>
      <c r="I2558">
        <v>12</v>
      </c>
      <c r="J2558">
        <f>IF($H2558=0,1,IF($I2558&lt;=1,2,0))</f>
        <v>0</v>
      </c>
      <c r="K2558">
        <v>0</v>
      </c>
      <c r="L2558">
        <f>IF(AND($J2558=0,$K2558=0),0,1)</f>
        <v>0</v>
      </c>
      <c r="M2558" t="s">
        <v>780</v>
      </c>
    </row>
    <row r="2559" spans="1:13" x14ac:dyDescent="0.2">
      <c r="A2559" t="s">
        <v>5</v>
      </c>
      <c r="B2559" t="s">
        <v>6</v>
      </c>
      <c r="C2559" t="s">
        <v>7</v>
      </c>
      <c r="D2559">
        <v>3930</v>
      </c>
      <c r="E2559">
        <v>2020</v>
      </c>
      <c r="F2559">
        <v>3</v>
      </c>
      <c r="G2559">
        <v>22367</v>
      </c>
      <c r="H2559" s="1">
        <v>4</v>
      </c>
      <c r="I2559">
        <v>11</v>
      </c>
      <c r="J2559">
        <f>IF($H2559=0,1,IF($I2559&lt;=1,2,0))</f>
        <v>0</v>
      </c>
      <c r="K2559">
        <v>0</v>
      </c>
      <c r="L2559">
        <f>IF(AND($J2559=0,$K2559=0),0,1)</f>
        <v>0</v>
      </c>
      <c r="M2559" t="s">
        <v>781</v>
      </c>
    </row>
    <row r="2560" spans="1:13" x14ac:dyDescent="0.2">
      <c r="A2560" t="s">
        <v>5</v>
      </c>
      <c r="B2560" t="s">
        <v>6</v>
      </c>
      <c r="C2560" t="s">
        <v>7</v>
      </c>
      <c r="D2560">
        <v>3930</v>
      </c>
      <c r="E2560">
        <v>2020</v>
      </c>
      <c r="F2560">
        <v>1</v>
      </c>
      <c r="G2560">
        <v>14382</v>
      </c>
      <c r="H2560" s="1">
        <v>4</v>
      </c>
      <c r="I2560">
        <v>7</v>
      </c>
      <c r="J2560">
        <f>IF($H2560=0,1,IF($I2560&lt;=1,2,0))</f>
        <v>0</v>
      </c>
      <c r="K2560">
        <v>0</v>
      </c>
      <c r="L2560">
        <f>IF(AND($J2560=0,$K2560=0),0,1)</f>
        <v>0</v>
      </c>
      <c r="M2560" t="s">
        <v>779</v>
      </c>
    </row>
    <row r="2561" spans="1:13" x14ac:dyDescent="0.2">
      <c r="A2561" t="s">
        <v>5</v>
      </c>
      <c r="B2561" t="s">
        <v>6</v>
      </c>
      <c r="C2561" t="s">
        <v>9</v>
      </c>
      <c r="D2561">
        <v>3943</v>
      </c>
      <c r="E2561">
        <v>2020</v>
      </c>
      <c r="F2561">
        <v>1</v>
      </c>
      <c r="G2561">
        <v>14385</v>
      </c>
      <c r="H2561" s="1">
        <v>4</v>
      </c>
      <c r="I2561">
        <v>2</v>
      </c>
      <c r="J2561">
        <f>IF($H2561=0,1,IF($I2561&lt;=1,2,0))</f>
        <v>0</v>
      </c>
      <c r="K2561">
        <v>0</v>
      </c>
      <c r="L2561">
        <f>IF(AND($J2561=0,$K2561=0),0,1)</f>
        <v>0</v>
      </c>
    </row>
    <row r="2562" spans="1:13" x14ac:dyDescent="0.2">
      <c r="A2562" t="s">
        <v>5</v>
      </c>
      <c r="B2562" t="s">
        <v>6</v>
      </c>
      <c r="C2562" t="s">
        <v>11</v>
      </c>
      <c r="D2562">
        <v>4080</v>
      </c>
      <c r="E2562">
        <v>2020</v>
      </c>
      <c r="F2562">
        <v>1</v>
      </c>
      <c r="G2562">
        <v>15305</v>
      </c>
      <c r="H2562" s="1">
        <v>4</v>
      </c>
      <c r="I2562">
        <v>10</v>
      </c>
      <c r="J2562">
        <f>IF($H2562=0,1,IF($I2562&lt;=1,2,0))</f>
        <v>0</v>
      </c>
      <c r="K2562">
        <v>0</v>
      </c>
      <c r="L2562">
        <f>IF(AND($J2562=0,$K2562=0),0,1)</f>
        <v>0</v>
      </c>
    </row>
    <row r="2563" spans="1:13" x14ac:dyDescent="0.2">
      <c r="A2563" t="s">
        <v>5</v>
      </c>
      <c r="B2563" t="s">
        <v>6</v>
      </c>
      <c r="C2563" t="s">
        <v>11</v>
      </c>
      <c r="D2563">
        <v>4080</v>
      </c>
      <c r="E2563">
        <v>2020</v>
      </c>
      <c r="F2563">
        <v>3</v>
      </c>
      <c r="G2563">
        <v>23315</v>
      </c>
      <c r="H2563" s="1">
        <v>4</v>
      </c>
      <c r="I2563">
        <v>4</v>
      </c>
      <c r="J2563">
        <f>IF($H2563=0,1,IF($I2563&lt;=1,2,0))</f>
        <v>0</v>
      </c>
      <c r="K2563">
        <v>0</v>
      </c>
      <c r="L2563">
        <f>IF(AND($J2563=0,$K2563=0),0,1)</f>
        <v>0</v>
      </c>
      <c r="M2563" t="s">
        <v>782</v>
      </c>
    </row>
    <row r="2564" spans="1:13" x14ac:dyDescent="0.2">
      <c r="A2564" t="s">
        <v>5</v>
      </c>
      <c r="B2564" t="s">
        <v>6</v>
      </c>
      <c r="C2564" t="s">
        <v>11</v>
      </c>
      <c r="D2564">
        <v>4080</v>
      </c>
      <c r="E2564">
        <v>2020</v>
      </c>
      <c r="F2564">
        <v>2</v>
      </c>
      <c r="G2564">
        <v>21966</v>
      </c>
      <c r="H2564" s="1">
        <v>4</v>
      </c>
      <c r="I2564">
        <v>3</v>
      </c>
      <c r="J2564">
        <f>IF($H2564=0,1,IF($I2564&lt;=1,2,0))</f>
        <v>0</v>
      </c>
      <c r="K2564">
        <v>0</v>
      </c>
      <c r="L2564">
        <f>IF(AND($J2564=0,$K2564=0),0,1)</f>
        <v>0</v>
      </c>
    </row>
    <row r="2565" spans="1:13" x14ac:dyDescent="0.2">
      <c r="A2565" t="s">
        <v>13</v>
      </c>
      <c r="B2565" t="s">
        <v>6</v>
      </c>
      <c r="C2565" t="s">
        <v>7</v>
      </c>
      <c r="D2565">
        <v>1020</v>
      </c>
      <c r="E2565">
        <v>2020</v>
      </c>
      <c r="F2565">
        <v>1</v>
      </c>
      <c r="G2565">
        <v>10841</v>
      </c>
      <c r="H2565" s="1">
        <v>4</v>
      </c>
      <c r="I2565">
        <v>15</v>
      </c>
      <c r="J2565">
        <f>IF($H2565=0,1,IF($I2565&lt;=1,2,0))</f>
        <v>0</v>
      </c>
      <c r="K2565">
        <v>0</v>
      </c>
      <c r="L2565">
        <f>IF(AND($J2565=0,$K2565=0),0,1)</f>
        <v>0</v>
      </c>
    </row>
    <row r="2566" spans="1:13" x14ac:dyDescent="0.2">
      <c r="A2566" t="s">
        <v>16</v>
      </c>
      <c r="B2566" t="s">
        <v>17</v>
      </c>
      <c r="C2566" t="s">
        <v>7</v>
      </c>
      <c r="D2566">
        <v>1007</v>
      </c>
      <c r="E2566">
        <v>2020</v>
      </c>
      <c r="F2566">
        <v>1</v>
      </c>
      <c r="G2566">
        <v>10837</v>
      </c>
      <c r="H2566" s="1">
        <v>4</v>
      </c>
      <c r="I2566">
        <v>80</v>
      </c>
      <c r="J2566">
        <f>IF($H2566=0,1,IF($I2566&lt;=1,2,0))</f>
        <v>0</v>
      </c>
      <c r="K2566">
        <v>0</v>
      </c>
      <c r="L2566">
        <f>IF(AND($J2566=0,$K2566=0),0,1)</f>
        <v>0</v>
      </c>
      <c r="M2566" t="s">
        <v>785</v>
      </c>
    </row>
    <row r="2567" spans="1:13" x14ac:dyDescent="0.2">
      <c r="A2567" t="s">
        <v>16</v>
      </c>
      <c r="B2567" t="s">
        <v>17</v>
      </c>
      <c r="C2567" t="s">
        <v>9</v>
      </c>
      <c r="D2567">
        <v>2101</v>
      </c>
      <c r="E2567">
        <v>2020</v>
      </c>
      <c r="F2567">
        <v>1</v>
      </c>
      <c r="G2567">
        <v>21478</v>
      </c>
      <c r="H2567" s="1">
        <v>3</v>
      </c>
      <c r="I2567">
        <v>20</v>
      </c>
      <c r="J2567">
        <f>IF($H2567=0,1,IF($I2567&lt;=1,2,0))</f>
        <v>0</v>
      </c>
      <c r="K2567">
        <v>0</v>
      </c>
      <c r="L2567">
        <f>IF(AND($J2567=0,$K2567=0),0,1)</f>
        <v>0</v>
      </c>
    </row>
    <row r="2568" spans="1:13" x14ac:dyDescent="0.2">
      <c r="A2568" t="s">
        <v>16</v>
      </c>
      <c r="B2568" t="s">
        <v>17</v>
      </c>
      <c r="C2568" t="s">
        <v>9</v>
      </c>
      <c r="D2568">
        <v>2105</v>
      </c>
      <c r="E2568">
        <v>2020</v>
      </c>
      <c r="F2568">
        <v>1</v>
      </c>
      <c r="G2568">
        <v>21480</v>
      </c>
      <c r="H2568" s="1">
        <v>3</v>
      </c>
      <c r="I2568">
        <v>33</v>
      </c>
      <c r="J2568">
        <f>IF($H2568=0,1,IF($I2568&lt;=1,2,0))</f>
        <v>0</v>
      </c>
      <c r="K2568">
        <v>0</v>
      </c>
      <c r="L2568">
        <f>IF(AND($J2568=0,$K2568=0),0,1)</f>
        <v>0</v>
      </c>
    </row>
    <row r="2569" spans="1:13" x14ac:dyDescent="0.2">
      <c r="A2569" t="s">
        <v>16</v>
      </c>
      <c r="B2569" t="s">
        <v>17</v>
      </c>
      <c r="C2569" t="s">
        <v>9</v>
      </c>
      <c r="D2569">
        <v>2309</v>
      </c>
      <c r="E2569">
        <v>2020</v>
      </c>
      <c r="F2569">
        <v>1</v>
      </c>
      <c r="G2569">
        <v>12524</v>
      </c>
      <c r="H2569" s="1">
        <v>3</v>
      </c>
      <c r="I2569">
        <v>46</v>
      </c>
      <c r="J2569">
        <f>IF($H2569=0,1,IF($I2569&lt;=1,2,0))</f>
        <v>0</v>
      </c>
      <c r="K2569">
        <v>0</v>
      </c>
      <c r="L2569">
        <f>IF(AND($J2569=0,$K2569=0),0,1)</f>
        <v>0</v>
      </c>
    </row>
    <row r="2570" spans="1:13" x14ac:dyDescent="0.2">
      <c r="A2570" t="s">
        <v>16</v>
      </c>
      <c r="B2570" t="s">
        <v>17</v>
      </c>
      <c r="C2570" t="s">
        <v>9</v>
      </c>
      <c r="D2570">
        <v>3000</v>
      </c>
      <c r="E2570">
        <v>2020</v>
      </c>
      <c r="F2570">
        <v>1</v>
      </c>
      <c r="G2570">
        <v>11336</v>
      </c>
      <c r="H2570" s="1">
        <v>4</v>
      </c>
      <c r="I2570">
        <v>11</v>
      </c>
      <c r="J2570">
        <f>IF($H2570=0,1,IF($I2570&lt;=1,2,0))</f>
        <v>0</v>
      </c>
      <c r="K2570">
        <v>0</v>
      </c>
      <c r="L2570">
        <f>IF(AND($J2570=0,$K2570=0),0,1)</f>
        <v>0</v>
      </c>
    </row>
    <row r="2571" spans="1:13" x14ac:dyDescent="0.2">
      <c r="A2571" t="s">
        <v>16</v>
      </c>
      <c r="B2571" t="s">
        <v>17</v>
      </c>
      <c r="C2571" t="s">
        <v>7</v>
      </c>
      <c r="D2571">
        <v>3002</v>
      </c>
      <c r="E2571">
        <v>2020</v>
      </c>
      <c r="F2571">
        <v>1</v>
      </c>
      <c r="G2571">
        <v>10838</v>
      </c>
      <c r="H2571" s="1">
        <v>3</v>
      </c>
      <c r="I2571">
        <v>9</v>
      </c>
      <c r="J2571">
        <f>IF($H2571=0,1,IF($I2571&lt;=1,2,0))</f>
        <v>0</v>
      </c>
      <c r="K2571">
        <v>0</v>
      </c>
      <c r="L2571">
        <f>IF(AND($J2571=0,$K2571=0),0,1)</f>
        <v>0</v>
      </c>
      <c r="M2571" t="s">
        <v>786</v>
      </c>
    </row>
    <row r="2572" spans="1:13" x14ac:dyDescent="0.2">
      <c r="A2572" t="s">
        <v>16</v>
      </c>
      <c r="B2572" t="s">
        <v>17</v>
      </c>
      <c r="C2572" t="s">
        <v>9</v>
      </c>
      <c r="D2572">
        <v>3101</v>
      </c>
      <c r="E2572">
        <v>2020</v>
      </c>
      <c r="F2572">
        <v>1</v>
      </c>
      <c r="G2572">
        <v>12527</v>
      </c>
      <c r="H2572" s="1">
        <v>4</v>
      </c>
      <c r="I2572">
        <v>9</v>
      </c>
      <c r="J2572">
        <f>IF($H2572=0,1,IF($I2572&lt;=1,2,0))</f>
        <v>0</v>
      </c>
      <c r="K2572">
        <v>0</v>
      </c>
      <c r="L2572">
        <f>IF(AND($J2572=0,$K2572=0),0,1)</f>
        <v>0</v>
      </c>
      <c r="M2572" t="s">
        <v>788</v>
      </c>
    </row>
    <row r="2573" spans="1:13" x14ac:dyDescent="0.2">
      <c r="A2573" t="s">
        <v>16</v>
      </c>
      <c r="B2573" t="s">
        <v>17</v>
      </c>
      <c r="C2573" t="s">
        <v>9</v>
      </c>
      <c r="D2573">
        <v>3327</v>
      </c>
      <c r="E2573">
        <v>2020</v>
      </c>
      <c r="F2573">
        <v>1</v>
      </c>
      <c r="G2573">
        <v>11838</v>
      </c>
      <c r="H2573" s="1">
        <v>4</v>
      </c>
      <c r="I2573">
        <v>11</v>
      </c>
      <c r="J2573">
        <f>IF($H2573=0,1,IF($I2573&lt;=1,2,0))</f>
        <v>0</v>
      </c>
      <c r="K2573">
        <v>0</v>
      </c>
      <c r="L2573">
        <f>IF(AND($J2573=0,$K2573=0),0,1)</f>
        <v>0</v>
      </c>
      <c r="M2573" t="s">
        <v>789</v>
      </c>
    </row>
    <row r="2574" spans="1:13" x14ac:dyDescent="0.2">
      <c r="A2574" t="s">
        <v>16</v>
      </c>
      <c r="B2574" t="s">
        <v>17</v>
      </c>
      <c r="C2574" t="s">
        <v>7</v>
      </c>
      <c r="D2574">
        <v>3413</v>
      </c>
      <c r="E2574">
        <v>2020</v>
      </c>
      <c r="F2574">
        <v>1</v>
      </c>
      <c r="G2574">
        <v>11339</v>
      </c>
      <c r="H2574" s="1">
        <v>4</v>
      </c>
      <c r="I2574">
        <v>7</v>
      </c>
      <c r="J2574">
        <f>IF($H2574=0,1,IF($I2574&lt;=1,2,0))</f>
        <v>0</v>
      </c>
      <c r="K2574">
        <v>0</v>
      </c>
      <c r="L2574">
        <f>IF(AND($J2574=0,$K2574=0),0,1)</f>
        <v>0</v>
      </c>
      <c r="M2574" t="s">
        <v>790</v>
      </c>
    </row>
    <row r="2575" spans="1:13" x14ac:dyDescent="0.2">
      <c r="A2575" t="s">
        <v>16</v>
      </c>
      <c r="B2575" t="s">
        <v>17</v>
      </c>
      <c r="C2575" t="s">
        <v>9</v>
      </c>
      <c r="D2575">
        <v>3417</v>
      </c>
      <c r="E2575">
        <v>2020</v>
      </c>
      <c r="F2575">
        <v>1</v>
      </c>
      <c r="G2575">
        <v>15287</v>
      </c>
      <c r="H2575" s="1">
        <v>4</v>
      </c>
      <c r="I2575">
        <v>10</v>
      </c>
      <c r="J2575">
        <f>IF($H2575=0,1,IF($I2575&lt;=1,2,0))</f>
        <v>0</v>
      </c>
      <c r="K2575">
        <v>0</v>
      </c>
      <c r="L2575">
        <f>IF(AND($J2575=0,$K2575=0),0,1)</f>
        <v>0</v>
      </c>
    </row>
    <row r="2576" spans="1:13" x14ac:dyDescent="0.2">
      <c r="A2576" t="s">
        <v>16</v>
      </c>
      <c r="B2576" t="s">
        <v>17</v>
      </c>
      <c r="C2576" t="s">
        <v>9</v>
      </c>
      <c r="D2576">
        <v>3453</v>
      </c>
      <c r="E2576">
        <v>2020</v>
      </c>
      <c r="F2576">
        <v>1</v>
      </c>
      <c r="G2576">
        <v>12871</v>
      </c>
      <c r="H2576" s="1">
        <v>4</v>
      </c>
      <c r="I2576">
        <v>10</v>
      </c>
      <c r="J2576">
        <f>IF($H2576=0,1,IF($I2576&lt;=1,2,0))</f>
        <v>0</v>
      </c>
      <c r="K2576">
        <v>0</v>
      </c>
      <c r="L2576">
        <f>IF(AND($J2576=0,$K2576=0),0,1)</f>
        <v>0</v>
      </c>
      <c r="M2576" t="s">
        <v>791</v>
      </c>
    </row>
    <row r="2577" spans="1:13" x14ac:dyDescent="0.2">
      <c r="A2577" t="s">
        <v>16</v>
      </c>
      <c r="B2577" t="s">
        <v>17</v>
      </c>
      <c r="C2577" t="s">
        <v>9</v>
      </c>
      <c r="D2577">
        <v>3503</v>
      </c>
      <c r="E2577">
        <v>2020</v>
      </c>
      <c r="F2577">
        <v>1</v>
      </c>
      <c r="G2577">
        <v>15247</v>
      </c>
      <c r="H2577" s="1">
        <v>4</v>
      </c>
      <c r="I2577">
        <v>14</v>
      </c>
      <c r="J2577">
        <f>IF($H2577=0,1,IF($I2577&lt;=1,2,0))</f>
        <v>0</v>
      </c>
      <c r="K2577">
        <v>0</v>
      </c>
      <c r="L2577">
        <f>IF(AND($J2577=0,$K2577=0),0,1)</f>
        <v>0</v>
      </c>
    </row>
    <row r="2578" spans="1:13" x14ac:dyDescent="0.2">
      <c r="A2578" t="s">
        <v>16</v>
      </c>
      <c r="B2578" t="s">
        <v>17</v>
      </c>
      <c r="C2578" t="s">
        <v>9</v>
      </c>
      <c r="D2578">
        <v>3708</v>
      </c>
      <c r="E2578">
        <v>2020</v>
      </c>
      <c r="F2578">
        <v>1</v>
      </c>
      <c r="G2578">
        <v>11340</v>
      </c>
      <c r="H2578" s="1">
        <v>4</v>
      </c>
      <c r="I2578">
        <v>11</v>
      </c>
      <c r="J2578">
        <f>IF($H2578=0,1,IF($I2578&lt;=1,2,0))</f>
        <v>0</v>
      </c>
      <c r="K2578">
        <v>0</v>
      </c>
      <c r="L2578">
        <f>IF(AND($J2578=0,$K2578=0),0,1)</f>
        <v>0</v>
      </c>
      <c r="M2578" t="s">
        <v>799</v>
      </c>
    </row>
    <row r="2579" spans="1:13" x14ac:dyDescent="0.2">
      <c r="A2579" t="s">
        <v>16</v>
      </c>
      <c r="B2579" t="s">
        <v>17</v>
      </c>
      <c r="C2579" t="s">
        <v>9</v>
      </c>
      <c r="D2579">
        <v>4045</v>
      </c>
      <c r="E2579">
        <v>2020</v>
      </c>
      <c r="F2579">
        <v>1</v>
      </c>
      <c r="G2579">
        <v>372</v>
      </c>
      <c r="H2579" s="1">
        <v>4</v>
      </c>
      <c r="I2579">
        <v>57</v>
      </c>
      <c r="J2579">
        <f>IF($H2579=0,1,IF($I2579&lt;=1,2,0))</f>
        <v>0</v>
      </c>
      <c r="K2579">
        <v>0</v>
      </c>
      <c r="L2579">
        <f>IF(AND($J2579=0,$K2579=0),0,1)</f>
        <v>0</v>
      </c>
      <c r="M2579" t="s">
        <v>803</v>
      </c>
    </row>
    <row r="2580" spans="1:13" x14ac:dyDescent="0.2">
      <c r="A2580" t="s">
        <v>16</v>
      </c>
      <c r="B2580" t="s">
        <v>17</v>
      </c>
      <c r="C2580" t="s">
        <v>9</v>
      </c>
      <c r="D2580">
        <v>4646</v>
      </c>
      <c r="E2580">
        <v>2020</v>
      </c>
      <c r="F2580">
        <v>1</v>
      </c>
      <c r="G2580">
        <v>11341</v>
      </c>
      <c r="H2580" s="1">
        <v>4</v>
      </c>
      <c r="I2580">
        <v>23</v>
      </c>
      <c r="J2580">
        <f>IF($H2580=0,1,IF($I2580&lt;=1,2,0))</f>
        <v>0</v>
      </c>
      <c r="K2580">
        <v>0</v>
      </c>
      <c r="L2580">
        <f>IF(AND($J2580=0,$K2580=0),0,1)</f>
        <v>0</v>
      </c>
      <c r="M2580" t="s">
        <v>804</v>
      </c>
    </row>
    <row r="2581" spans="1:13" x14ac:dyDescent="0.2">
      <c r="A2581" t="s">
        <v>16</v>
      </c>
      <c r="B2581" t="s">
        <v>17</v>
      </c>
      <c r="C2581" t="s">
        <v>9</v>
      </c>
      <c r="D2581">
        <v>4740</v>
      </c>
      <c r="E2581">
        <v>2020</v>
      </c>
      <c r="F2581">
        <v>1</v>
      </c>
      <c r="G2581">
        <v>20738</v>
      </c>
      <c r="H2581" s="1">
        <v>4</v>
      </c>
      <c r="I2581">
        <v>9</v>
      </c>
      <c r="J2581">
        <f>IF($H2581=0,1,IF($I2581&lt;=1,2,0))</f>
        <v>0</v>
      </c>
      <c r="K2581">
        <v>0</v>
      </c>
      <c r="L2581">
        <f>IF(AND($J2581=0,$K2581=0),0,1)</f>
        <v>0</v>
      </c>
      <c r="M2581" t="s">
        <v>805</v>
      </c>
    </row>
    <row r="2582" spans="1:13" x14ac:dyDescent="0.2">
      <c r="A2582" t="s">
        <v>16</v>
      </c>
      <c r="B2582" t="s">
        <v>17</v>
      </c>
      <c r="C2582" t="s">
        <v>9</v>
      </c>
      <c r="D2582">
        <v>4948</v>
      </c>
      <c r="E2582">
        <v>2020</v>
      </c>
      <c r="F2582">
        <v>1</v>
      </c>
      <c r="G2582">
        <v>14022</v>
      </c>
      <c r="H2582" s="1">
        <v>4</v>
      </c>
      <c r="I2582">
        <v>11</v>
      </c>
      <c r="J2582">
        <f>IF($H2582=0,1,IF($I2582&lt;=1,2,0))</f>
        <v>0</v>
      </c>
      <c r="K2582">
        <v>0</v>
      </c>
      <c r="L2582">
        <f>IF(AND($J2582=0,$K2582=0),0,1)</f>
        <v>0</v>
      </c>
      <c r="M2582" t="s">
        <v>806</v>
      </c>
    </row>
    <row r="2583" spans="1:13" x14ac:dyDescent="0.2">
      <c r="A2583" t="s">
        <v>16</v>
      </c>
      <c r="B2583" t="s">
        <v>17</v>
      </c>
      <c r="C2583" t="s">
        <v>11</v>
      </c>
      <c r="D2583">
        <v>5004</v>
      </c>
      <c r="E2583">
        <v>2020</v>
      </c>
      <c r="F2583">
        <v>4</v>
      </c>
      <c r="G2583">
        <v>24730</v>
      </c>
      <c r="H2583" s="1">
        <v>3</v>
      </c>
      <c r="I2583">
        <v>3</v>
      </c>
      <c r="J2583">
        <f>IF($H2583=0,1,IF($I2583&lt;=1,2,0))</f>
        <v>0</v>
      </c>
      <c r="K2583">
        <v>0</v>
      </c>
      <c r="L2583">
        <f>IF(AND($J2583=0,$K2583=0),0,1)</f>
        <v>0</v>
      </c>
    </row>
    <row r="2584" spans="1:13" x14ac:dyDescent="0.2">
      <c r="A2584" t="s">
        <v>16</v>
      </c>
      <c r="B2584" t="s">
        <v>17</v>
      </c>
      <c r="C2584" t="s">
        <v>11</v>
      </c>
      <c r="D2584">
        <v>6104</v>
      </c>
      <c r="E2584">
        <v>2020</v>
      </c>
      <c r="F2584">
        <v>1</v>
      </c>
      <c r="G2584">
        <v>11345</v>
      </c>
      <c r="H2584" s="1">
        <v>3</v>
      </c>
      <c r="I2584">
        <v>24</v>
      </c>
      <c r="J2584">
        <f>IF($H2584=0,1,IF($I2584&lt;=1,2,0))</f>
        <v>0</v>
      </c>
      <c r="K2584">
        <v>0</v>
      </c>
      <c r="L2584">
        <f>IF(AND($J2584=0,$K2584=0),0,1)</f>
        <v>0</v>
      </c>
    </row>
    <row r="2585" spans="1:13" x14ac:dyDescent="0.2">
      <c r="A2585" t="s">
        <v>16</v>
      </c>
      <c r="B2585" t="s">
        <v>17</v>
      </c>
      <c r="C2585" t="s">
        <v>11</v>
      </c>
      <c r="D2585">
        <v>8000</v>
      </c>
      <c r="E2585">
        <v>2020</v>
      </c>
      <c r="F2585">
        <v>1</v>
      </c>
      <c r="G2585">
        <v>11348</v>
      </c>
      <c r="H2585" s="1">
        <v>4</v>
      </c>
      <c r="I2585">
        <v>8</v>
      </c>
      <c r="J2585">
        <f>IF($H2585=0,1,IF($I2585&lt;=1,2,0))</f>
        <v>0</v>
      </c>
      <c r="K2585">
        <v>0</v>
      </c>
      <c r="L2585">
        <f>IF(AND($J2585=0,$K2585=0),0,1)</f>
        <v>0</v>
      </c>
      <c r="M2585" t="s">
        <v>807</v>
      </c>
    </row>
    <row r="2586" spans="1:13" x14ac:dyDescent="0.2">
      <c r="A2586" t="s">
        <v>16</v>
      </c>
      <c r="B2586" t="s">
        <v>17</v>
      </c>
      <c r="C2586" t="s">
        <v>11</v>
      </c>
      <c r="D2586">
        <v>8011</v>
      </c>
      <c r="E2586">
        <v>2020</v>
      </c>
      <c r="F2586">
        <v>1</v>
      </c>
      <c r="G2586">
        <v>24543</v>
      </c>
      <c r="H2586" s="1">
        <v>4</v>
      </c>
      <c r="I2586">
        <v>7</v>
      </c>
      <c r="J2586">
        <f>IF($H2586=0,1,IF($I2586&lt;=1,2,0))</f>
        <v>0</v>
      </c>
      <c r="K2586">
        <v>0</v>
      </c>
      <c r="L2586">
        <f>IF(AND($J2586=0,$K2586=0),0,1)</f>
        <v>0</v>
      </c>
      <c r="M2586" t="s">
        <v>808</v>
      </c>
    </row>
    <row r="2587" spans="1:13" x14ac:dyDescent="0.2">
      <c r="A2587" t="s">
        <v>16</v>
      </c>
      <c r="B2587" t="s">
        <v>17</v>
      </c>
      <c r="C2587" t="s">
        <v>11</v>
      </c>
      <c r="D2587">
        <v>8138</v>
      </c>
      <c r="E2587">
        <v>2020</v>
      </c>
      <c r="F2587">
        <v>1</v>
      </c>
      <c r="G2587">
        <v>12869</v>
      </c>
      <c r="H2587" s="1">
        <v>4</v>
      </c>
      <c r="I2587">
        <v>4</v>
      </c>
      <c r="J2587">
        <f>IF($H2587=0,1,IF($I2587&lt;=1,2,0))</f>
        <v>0</v>
      </c>
      <c r="K2587">
        <v>0</v>
      </c>
      <c r="L2587">
        <f>IF(AND($J2587=0,$K2587=0),0,1)</f>
        <v>0</v>
      </c>
      <c r="M2587" t="s">
        <v>809</v>
      </c>
    </row>
    <row r="2588" spans="1:13" x14ac:dyDescent="0.2">
      <c r="A2588" t="s">
        <v>16</v>
      </c>
      <c r="B2588" t="s">
        <v>17</v>
      </c>
      <c r="C2588" t="s">
        <v>11</v>
      </c>
      <c r="D2588">
        <v>8148</v>
      </c>
      <c r="E2588">
        <v>2020</v>
      </c>
      <c r="F2588">
        <v>1</v>
      </c>
      <c r="G2588">
        <v>20739</v>
      </c>
      <c r="H2588" s="1">
        <v>4</v>
      </c>
      <c r="I2588">
        <v>7</v>
      </c>
      <c r="J2588">
        <f>IF($H2588=0,1,IF($I2588&lt;=1,2,0))</f>
        <v>0</v>
      </c>
      <c r="K2588">
        <v>0</v>
      </c>
      <c r="L2588">
        <f>IF(AND($J2588=0,$K2588=0),0,1)</f>
        <v>0</v>
      </c>
      <c r="M2588" t="s">
        <v>810</v>
      </c>
    </row>
    <row r="2589" spans="1:13" x14ac:dyDescent="0.2">
      <c r="A2589" t="s">
        <v>16</v>
      </c>
      <c r="B2589" t="s">
        <v>17</v>
      </c>
      <c r="C2589" t="s">
        <v>11</v>
      </c>
      <c r="D2589">
        <v>8350</v>
      </c>
      <c r="E2589">
        <v>2020</v>
      </c>
      <c r="F2589">
        <v>1</v>
      </c>
      <c r="G2589">
        <v>12870</v>
      </c>
      <c r="H2589" s="1">
        <v>4</v>
      </c>
      <c r="I2589">
        <v>11</v>
      </c>
      <c r="J2589">
        <f>IF($H2589=0,1,IF($I2589&lt;=1,2,0))</f>
        <v>0</v>
      </c>
      <c r="K2589">
        <v>0</v>
      </c>
      <c r="L2589">
        <f>IF(AND($J2589=0,$K2589=0),0,1)</f>
        <v>0</v>
      </c>
      <c r="M2589" t="s">
        <v>811</v>
      </c>
    </row>
    <row r="2590" spans="1:13" x14ac:dyDescent="0.2">
      <c r="A2590" t="s">
        <v>16</v>
      </c>
      <c r="B2590" t="s">
        <v>17</v>
      </c>
      <c r="C2590" t="s">
        <v>11</v>
      </c>
      <c r="D2590">
        <v>8355</v>
      </c>
      <c r="E2590">
        <v>2020</v>
      </c>
      <c r="F2590">
        <v>1</v>
      </c>
      <c r="G2590">
        <v>23203</v>
      </c>
      <c r="H2590" s="1">
        <v>4</v>
      </c>
      <c r="I2590">
        <v>9</v>
      </c>
      <c r="J2590">
        <f>IF($H2590=0,1,IF($I2590&lt;=1,2,0))</f>
        <v>0</v>
      </c>
      <c r="K2590">
        <v>0</v>
      </c>
      <c r="L2590">
        <f>IF(AND($J2590=0,$K2590=0),0,1)</f>
        <v>0</v>
      </c>
      <c r="M2590" t="s">
        <v>23</v>
      </c>
    </row>
    <row r="2591" spans="1:13" x14ac:dyDescent="0.2">
      <c r="A2591" t="s">
        <v>16</v>
      </c>
      <c r="B2591" t="s">
        <v>17</v>
      </c>
      <c r="C2591" t="s">
        <v>11</v>
      </c>
      <c r="D2591">
        <v>8358</v>
      </c>
      <c r="E2591">
        <v>2020</v>
      </c>
      <c r="F2591">
        <v>1</v>
      </c>
      <c r="G2591">
        <v>23204</v>
      </c>
      <c r="H2591" s="1">
        <v>4</v>
      </c>
      <c r="I2591">
        <v>11</v>
      </c>
      <c r="J2591">
        <f>IF($H2591=0,1,IF($I2591&lt;=1,2,0))</f>
        <v>0</v>
      </c>
      <c r="K2591">
        <v>0</v>
      </c>
      <c r="L2591">
        <f>IF(AND($J2591=0,$K2591=0),0,1)</f>
        <v>0</v>
      </c>
      <c r="M2591" t="s">
        <v>23</v>
      </c>
    </row>
    <row r="2592" spans="1:13" x14ac:dyDescent="0.2">
      <c r="A2592" t="s">
        <v>16</v>
      </c>
      <c r="B2592" t="s">
        <v>17</v>
      </c>
      <c r="C2592" t="s">
        <v>11</v>
      </c>
      <c r="D2592">
        <v>8478</v>
      </c>
      <c r="E2592">
        <v>2020</v>
      </c>
      <c r="F2592">
        <v>1</v>
      </c>
      <c r="G2592">
        <v>11843</v>
      </c>
      <c r="H2592" s="1">
        <v>4</v>
      </c>
      <c r="I2592">
        <v>14</v>
      </c>
      <c r="J2592">
        <f>IF($H2592=0,1,IF($I2592&lt;=1,2,0))</f>
        <v>0</v>
      </c>
      <c r="K2592">
        <v>0</v>
      </c>
      <c r="L2592">
        <f>IF(AND($J2592=0,$K2592=0),0,1)</f>
        <v>0</v>
      </c>
      <c r="M2592" t="s">
        <v>812</v>
      </c>
    </row>
    <row r="2593" spans="1:13" x14ac:dyDescent="0.2">
      <c r="A2593" t="s">
        <v>16</v>
      </c>
      <c r="B2593" t="s">
        <v>17</v>
      </c>
      <c r="C2593" t="s">
        <v>11</v>
      </c>
      <c r="D2593">
        <v>8504</v>
      </c>
      <c r="E2593">
        <v>2020</v>
      </c>
      <c r="F2593">
        <v>1</v>
      </c>
      <c r="G2593">
        <v>14020</v>
      </c>
      <c r="H2593" s="1">
        <v>4</v>
      </c>
      <c r="I2593">
        <v>10</v>
      </c>
      <c r="J2593">
        <f>IF($H2593=0,1,IF($I2593&lt;=1,2,0))</f>
        <v>0</v>
      </c>
      <c r="K2593">
        <v>0</v>
      </c>
      <c r="L2593">
        <f>IF(AND($J2593=0,$K2593=0),0,1)</f>
        <v>0</v>
      </c>
      <c r="M2593" t="s">
        <v>813</v>
      </c>
    </row>
    <row r="2594" spans="1:13" x14ac:dyDescent="0.2">
      <c r="A2594" t="s">
        <v>16</v>
      </c>
      <c r="B2594" t="s">
        <v>17</v>
      </c>
      <c r="C2594" t="s">
        <v>11</v>
      </c>
      <c r="D2594">
        <v>8657</v>
      </c>
      <c r="E2594">
        <v>2020</v>
      </c>
      <c r="F2594">
        <v>1</v>
      </c>
      <c r="G2594">
        <v>14018</v>
      </c>
      <c r="H2594" s="1">
        <v>4</v>
      </c>
      <c r="I2594">
        <v>11</v>
      </c>
      <c r="J2594">
        <f>IF($H2594=0,1,IF($I2594&lt;=1,2,0))</f>
        <v>0</v>
      </c>
      <c r="K2594">
        <v>0</v>
      </c>
      <c r="L2594">
        <f>IF(AND($J2594=0,$K2594=0),0,1)</f>
        <v>0</v>
      </c>
      <c r="M2594" t="s">
        <v>814</v>
      </c>
    </row>
    <row r="2595" spans="1:13" x14ac:dyDescent="0.2">
      <c r="A2595" t="s">
        <v>16</v>
      </c>
      <c r="B2595" t="s">
        <v>17</v>
      </c>
      <c r="C2595" t="s">
        <v>11</v>
      </c>
      <c r="D2595">
        <v>8661</v>
      </c>
      <c r="E2595">
        <v>2020</v>
      </c>
      <c r="F2595">
        <v>1</v>
      </c>
      <c r="G2595">
        <v>24512</v>
      </c>
      <c r="H2595" s="1">
        <v>4</v>
      </c>
      <c r="I2595">
        <v>2</v>
      </c>
      <c r="J2595">
        <f>IF($H2595=0,1,IF($I2595&lt;=1,2,0))</f>
        <v>0</v>
      </c>
      <c r="K2595">
        <v>0</v>
      </c>
      <c r="L2595">
        <f>IF(AND($J2595=0,$K2595=0),0,1)</f>
        <v>0</v>
      </c>
      <c r="M2595" t="s">
        <v>23</v>
      </c>
    </row>
    <row r="2596" spans="1:13" x14ac:dyDescent="0.2">
      <c r="A2596" t="s">
        <v>16</v>
      </c>
      <c r="B2596" t="s">
        <v>17</v>
      </c>
      <c r="C2596" t="s">
        <v>11</v>
      </c>
      <c r="D2596">
        <v>8714</v>
      </c>
      <c r="E2596">
        <v>2020</v>
      </c>
      <c r="F2596">
        <v>1</v>
      </c>
      <c r="G2596">
        <v>14016</v>
      </c>
      <c r="H2596" s="1">
        <v>4</v>
      </c>
      <c r="I2596">
        <v>10</v>
      </c>
      <c r="J2596">
        <f>IF($H2596=0,1,IF($I2596&lt;=1,2,0))</f>
        <v>0</v>
      </c>
      <c r="K2596">
        <v>0</v>
      </c>
      <c r="L2596">
        <f>IF(AND($J2596=0,$K2596=0),0,1)</f>
        <v>0</v>
      </c>
      <c r="M2596" t="s">
        <v>815</v>
      </c>
    </row>
    <row r="2597" spans="1:13" x14ac:dyDescent="0.2">
      <c r="A2597" t="s">
        <v>16</v>
      </c>
      <c r="B2597" t="s">
        <v>17</v>
      </c>
      <c r="C2597" t="s">
        <v>11</v>
      </c>
      <c r="D2597">
        <v>8902</v>
      </c>
      <c r="E2597">
        <v>2020</v>
      </c>
      <c r="F2597">
        <v>1</v>
      </c>
      <c r="G2597">
        <v>11349</v>
      </c>
      <c r="H2597" s="1">
        <v>4</v>
      </c>
      <c r="I2597">
        <v>2</v>
      </c>
      <c r="J2597">
        <f>IF($H2597=0,1,IF($I2597&lt;=1,2,0))</f>
        <v>0</v>
      </c>
      <c r="K2597">
        <v>0</v>
      </c>
      <c r="L2597">
        <f>IF(AND($J2597=0,$K2597=0),0,1)</f>
        <v>0</v>
      </c>
      <c r="M2597" t="s">
        <v>816</v>
      </c>
    </row>
    <row r="2598" spans="1:13" x14ac:dyDescent="0.2">
      <c r="A2598" t="s">
        <v>40</v>
      </c>
      <c r="B2598" t="s">
        <v>17</v>
      </c>
      <c r="C2598" t="s">
        <v>21</v>
      </c>
      <c r="D2598">
        <v>3321</v>
      </c>
      <c r="E2598">
        <v>2020</v>
      </c>
      <c r="F2598">
        <v>3</v>
      </c>
      <c r="G2598">
        <v>10940</v>
      </c>
      <c r="H2598" s="1">
        <v>3</v>
      </c>
      <c r="I2598">
        <v>26</v>
      </c>
      <c r="J2598">
        <f>IF($H2598=0,1,IF($I2598&lt;=1,2,0))</f>
        <v>0</v>
      </c>
      <c r="K2598">
        <v>0</v>
      </c>
      <c r="L2598">
        <f>IF(AND($J2598=0,$K2598=0),0,1)</f>
        <v>0</v>
      </c>
    </row>
    <row r="2599" spans="1:13" x14ac:dyDescent="0.2">
      <c r="A2599" t="s">
        <v>40</v>
      </c>
      <c r="B2599" t="s">
        <v>17</v>
      </c>
      <c r="C2599" t="s">
        <v>21</v>
      </c>
      <c r="D2599">
        <v>3321</v>
      </c>
      <c r="E2599">
        <v>2020</v>
      </c>
      <c r="F2599">
        <v>2</v>
      </c>
      <c r="G2599">
        <v>10937</v>
      </c>
      <c r="H2599" s="1">
        <v>3</v>
      </c>
      <c r="I2599">
        <v>24</v>
      </c>
      <c r="J2599">
        <f>IF($H2599=0,1,IF($I2599&lt;=1,2,0))</f>
        <v>0</v>
      </c>
      <c r="K2599">
        <v>0</v>
      </c>
      <c r="L2599">
        <f>IF(AND($J2599=0,$K2599=0),0,1)</f>
        <v>0</v>
      </c>
    </row>
    <row r="2600" spans="1:13" x14ac:dyDescent="0.2">
      <c r="A2600" t="s">
        <v>40</v>
      </c>
      <c r="B2600" t="s">
        <v>17</v>
      </c>
      <c r="C2600" t="s">
        <v>21</v>
      </c>
      <c r="D2600">
        <v>3321</v>
      </c>
      <c r="E2600">
        <v>2020</v>
      </c>
      <c r="F2600">
        <v>1</v>
      </c>
      <c r="G2600">
        <v>10924</v>
      </c>
      <c r="H2600" s="1">
        <v>3</v>
      </c>
      <c r="I2600">
        <v>19</v>
      </c>
      <c r="J2600">
        <f>IF($H2600=0,1,IF($I2600&lt;=1,2,0))</f>
        <v>0</v>
      </c>
      <c r="K2600">
        <v>0</v>
      </c>
      <c r="L2600">
        <f>IF(AND($J2600=0,$K2600=0),0,1)</f>
        <v>0</v>
      </c>
      <c r="M2600" t="s">
        <v>41</v>
      </c>
    </row>
    <row r="2601" spans="1:13" x14ac:dyDescent="0.2">
      <c r="A2601" t="s">
        <v>42</v>
      </c>
      <c r="B2601" t="s">
        <v>17</v>
      </c>
      <c r="C2601" t="s">
        <v>21</v>
      </c>
      <c r="D2601">
        <v>1399</v>
      </c>
      <c r="E2601">
        <v>2020</v>
      </c>
      <c r="F2601">
        <v>1</v>
      </c>
      <c r="G2601">
        <v>11992</v>
      </c>
      <c r="H2601" s="1">
        <v>4</v>
      </c>
      <c r="I2601">
        <v>19</v>
      </c>
      <c r="J2601">
        <f>IF($H2601=0,1,IF($I2601&lt;=1,2,0))</f>
        <v>0</v>
      </c>
      <c r="K2601">
        <v>0</v>
      </c>
      <c r="L2601">
        <f>IF(AND($J2601=0,$K2601=0),0,1)</f>
        <v>0</v>
      </c>
    </row>
    <row r="2602" spans="1:13" x14ac:dyDescent="0.2">
      <c r="A2602" t="s">
        <v>42</v>
      </c>
      <c r="B2602" t="s">
        <v>17</v>
      </c>
      <c r="C2602" t="s">
        <v>9</v>
      </c>
      <c r="D2602">
        <v>1399</v>
      </c>
      <c r="E2602">
        <v>2020</v>
      </c>
      <c r="F2602">
        <v>3</v>
      </c>
      <c r="G2602">
        <v>552</v>
      </c>
      <c r="H2602" s="1">
        <v>4</v>
      </c>
      <c r="I2602">
        <v>13</v>
      </c>
      <c r="J2602">
        <f>IF($H2602=0,1,IF($I2602&lt;=1,2,0))</f>
        <v>0</v>
      </c>
      <c r="K2602">
        <v>0</v>
      </c>
      <c r="L2602">
        <f>IF(AND($J2602=0,$K2602=0),0,1)</f>
        <v>0</v>
      </c>
    </row>
    <row r="2603" spans="1:13" x14ac:dyDescent="0.2">
      <c r="A2603" t="s">
        <v>42</v>
      </c>
      <c r="B2603" t="s">
        <v>17</v>
      </c>
      <c r="C2603" t="s">
        <v>21</v>
      </c>
      <c r="D2603">
        <v>1399</v>
      </c>
      <c r="E2603">
        <v>2020</v>
      </c>
      <c r="F2603">
        <v>2</v>
      </c>
      <c r="G2603">
        <v>583</v>
      </c>
      <c r="H2603" s="1">
        <v>4</v>
      </c>
      <c r="I2603">
        <v>12</v>
      </c>
      <c r="J2603">
        <f>IF($H2603=0,1,IF($I2603&lt;=1,2,0))</f>
        <v>0</v>
      </c>
      <c r="K2603">
        <v>0</v>
      </c>
      <c r="L2603">
        <f>IF(AND($J2603=0,$K2603=0),0,1)</f>
        <v>0</v>
      </c>
    </row>
    <row r="2604" spans="1:13" x14ac:dyDescent="0.2">
      <c r="A2604" t="s">
        <v>42</v>
      </c>
      <c r="B2604" t="s">
        <v>17</v>
      </c>
      <c r="C2604" t="s">
        <v>21</v>
      </c>
      <c r="D2604">
        <v>1400</v>
      </c>
      <c r="E2604">
        <v>2020</v>
      </c>
      <c r="F2604">
        <v>2</v>
      </c>
      <c r="G2604">
        <v>10613</v>
      </c>
      <c r="H2604" s="1">
        <v>4</v>
      </c>
      <c r="I2604">
        <v>23</v>
      </c>
      <c r="J2604">
        <f>IF($H2604=0,1,IF($I2604&lt;=1,2,0))</f>
        <v>0</v>
      </c>
      <c r="K2604">
        <v>0</v>
      </c>
      <c r="L2604">
        <f>IF(AND($J2604=0,$K2604=0),0,1)</f>
        <v>0</v>
      </c>
    </row>
    <row r="2605" spans="1:13" x14ac:dyDescent="0.2">
      <c r="A2605" t="s">
        <v>42</v>
      </c>
      <c r="B2605" t="s">
        <v>17</v>
      </c>
      <c r="C2605" t="s">
        <v>21</v>
      </c>
      <c r="D2605">
        <v>1400</v>
      </c>
      <c r="E2605">
        <v>2020</v>
      </c>
      <c r="F2605">
        <v>3</v>
      </c>
      <c r="G2605">
        <v>10614</v>
      </c>
      <c r="H2605" s="1">
        <v>4</v>
      </c>
      <c r="I2605">
        <v>19</v>
      </c>
      <c r="J2605">
        <f>IF($H2605=0,1,IF($I2605&lt;=1,2,0))</f>
        <v>0</v>
      </c>
      <c r="K2605">
        <v>0</v>
      </c>
      <c r="L2605">
        <f>IF(AND($J2605=0,$K2605=0),0,1)</f>
        <v>0</v>
      </c>
    </row>
    <row r="2606" spans="1:13" x14ac:dyDescent="0.2">
      <c r="A2606" t="s">
        <v>42</v>
      </c>
      <c r="B2606" t="s">
        <v>17</v>
      </c>
      <c r="C2606" t="s">
        <v>21</v>
      </c>
      <c r="D2606">
        <v>1400</v>
      </c>
      <c r="E2606">
        <v>2020</v>
      </c>
      <c r="F2606">
        <v>4</v>
      </c>
      <c r="G2606">
        <v>637</v>
      </c>
      <c r="H2606" s="1">
        <v>4</v>
      </c>
      <c r="I2606">
        <v>13</v>
      </c>
      <c r="J2606">
        <f>IF($H2606=0,1,IF($I2606&lt;=1,2,0))</f>
        <v>0</v>
      </c>
      <c r="K2606">
        <v>0</v>
      </c>
      <c r="L2606">
        <f>IF(AND($J2606=0,$K2606=0),0,1)</f>
        <v>0</v>
      </c>
    </row>
    <row r="2607" spans="1:13" x14ac:dyDescent="0.2">
      <c r="A2607" t="s">
        <v>42</v>
      </c>
      <c r="B2607" t="s">
        <v>17</v>
      </c>
      <c r="C2607" t="s">
        <v>21</v>
      </c>
      <c r="D2607">
        <v>2604</v>
      </c>
      <c r="E2607">
        <v>2020</v>
      </c>
      <c r="F2607">
        <v>1</v>
      </c>
      <c r="G2607">
        <v>15789</v>
      </c>
      <c r="H2607" s="1">
        <v>3</v>
      </c>
      <c r="I2607">
        <v>22</v>
      </c>
      <c r="J2607">
        <f>IF($H2607=0,1,IF($I2607&lt;=1,2,0))</f>
        <v>0</v>
      </c>
      <c r="K2607">
        <v>0</v>
      </c>
      <c r="L2607">
        <f>IF(AND($J2607=0,$K2607=0),0,1)</f>
        <v>0</v>
      </c>
    </row>
    <row r="2608" spans="1:13" x14ac:dyDescent="0.2">
      <c r="A2608" t="s">
        <v>42</v>
      </c>
      <c r="B2608" t="s">
        <v>17</v>
      </c>
      <c r="C2608" t="s">
        <v>21</v>
      </c>
      <c r="D2608">
        <v>2604</v>
      </c>
      <c r="E2608">
        <v>2020</v>
      </c>
      <c r="F2608">
        <v>3</v>
      </c>
      <c r="G2608">
        <v>15791</v>
      </c>
      <c r="H2608" s="1">
        <v>3</v>
      </c>
      <c r="I2608">
        <v>19</v>
      </c>
      <c r="J2608">
        <f>IF($H2608=0,1,IF($I2608&lt;=1,2,0))</f>
        <v>0</v>
      </c>
      <c r="K2608">
        <v>0</v>
      </c>
      <c r="L2608">
        <f>IF(AND($J2608=0,$K2608=0),0,1)</f>
        <v>0</v>
      </c>
    </row>
    <row r="2609" spans="1:13" x14ac:dyDescent="0.2">
      <c r="A2609" t="s">
        <v>42</v>
      </c>
      <c r="B2609" t="s">
        <v>17</v>
      </c>
      <c r="C2609" t="s">
        <v>21</v>
      </c>
      <c r="D2609">
        <v>2604</v>
      </c>
      <c r="E2609">
        <v>2020</v>
      </c>
      <c r="F2609">
        <v>2</v>
      </c>
      <c r="G2609">
        <v>15790</v>
      </c>
      <c r="H2609" s="1">
        <v>3</v>
      </c>
      <c r="I2609">
        <v>18</v>
      </c>
      <c r="J2609">
        <f>IF($H2609=0,1,IF($I2609&lt;=1,2,0))</f>
        <v>0</v>
      </c>
      <c r="K2609">
        <v>0</v>
      </c>
      <c r="L2609">
        <f>IF(AND($J2609=0,$K2609=0),0,1)</f>
        <v>0</v>
      </c>
    </row>
    <row r="2610" spans="1:13" x14ac:dyDescent="0.2">
      <c r="A2610" t="s">
        <v>42</v>
      </c>
      <c r="B2610" t="s">
        <v>17</v>
      </c>
      <c r="C2610" t="s">
        <v>21</v>
      </c>
      <c r="D2610">
        <v>2901</v>
      </c>
      <c r="E2610">
        <v>2020</v>
      </c>
      <c r="F2610">
        <v>1</v>
      </c>
      <c r="G2610">
        <v>10839</v>
      </c>
      <c r="H2610" s="1">
        <v>4</v>
      </c>
      <c r="I2610">
        <v>58</v>
      </c>
      <c r="J2610">
        <f>IF($H2610=0,1,IF($I2610&lt;=1,2,0))</f>
        <v>0</v>
      </c>
      <c r="K2610">
        <v>0</v>
      </c>
      <c r="L2610">
        <f>IF(AND($J2610=0,$K2610=0),0,1)</f>
        <v>0</v>
      </c>
      <c r="M2610" t="s">
        <v>817</v>
      </c>
    </row>
    <row r="2611" spans="1:13" x14ac:dyDescent="0.2">
      <c r="A2611" t="s">
        <v>44</v>
      </c>
      <c r="B2611" t="s">
        <v>6</v>
      </c>
      <c r="C2611" t="s">
        <v>9</v>
      </c>
      <c r="D2611">
        <v>3920</v>
      </c>
      <c r="E2611">
        <v>2020</v>
      </c>
      <c r="F2611">
        <v>1</v>
      </c>
      <c r="G2611">
        <v>14321</v>
      </c>
      <c r="H2611" s="1">
        <v>1</v>
      </c>
      <c r="I2611">
        <v>6</v>
      </c>
      <c r="J2611">
        <f>IF($H2611=0,1,IF($I2611&lt;=1,2,0))</f>
        <v>0</v>
      </c>
      <c r="K2611">
        <v>0</v>
      </c>
      <c r="L2611">
        <f>IF(AND($J2611=0,$K2611=0),0,1)</f>
        <v>0</v>
      </c>
      <c r="M2611" t="s">
        <v>819</v>
      </c>
    </row>
    <row r="2612" spans="1:13" x14ac:dyDescent="0.2">
      <c r="A2612" t="s">
        <v>44</v>
      </c>
      <c r="B2612" t="s">
        <v>6</v>
      </c>
      <c r="C2612" t="s">
        <v>9</v>
      </c>
      <c r="D2612">
        <v>3930</v>
      </c>
      <c r="E2612">
        <v>2020</v>
      </c>
      <c r="F2612">
        <v>4</v>
      </c>
      <c r="G2612">
        <v>13728</v>
      </c>
      <c r="H2612" s="1">
        <v>4</v>
      </c>
      <c r="I2612">
        <v>18</v>
      </c>
      <c r="J2612">
        <f>IF($H2612=0,1,IF($I2612&lt;=1,2,0))</f>
        <v>0</v>
      </c>
      <c r="K2612">
        <v>0</v>
      </c>
      <c r="L2612">
        <f>IF(AND($J2612=0,$K2612=0),0,1)</f>
        <v>0</v>
      </c>
      <c r="M2612" t="s">
        <v>820</v>
      </c>
    </row>
    <row r="2613" spans="1:13" x14ac:dyDescent="0.2">
      <c r="A2613" t="s">
        <v>44</v>
      </c>
      <c r="B2613" t="s">
        <v>6</v>
      </c>
      <c r="C2613" t="s">
        <v>9</v>
      </c>
      <c r="D2613">
        <v>3930</v>
      </c>
      <c r="E2613">
        <v>2020</v>
      </c>
      <c r="F2613">
        <v>9</v>
      </c>
      <c r="G2613">
        <v>14049</v>
      </c>
      <c r="H2613" s="1">
        <v>4</v>
      </c>
      <c r="I2613">
        <v>17</v>
      </c>
      <c r="J2613">
        <f>IF($H2613=0,1,IF($I2613&lt;=1,2,0))</f>
        <v>0</v>
      </c>
      <c r="K2613">
        <v>0</v>
      </c>
      <c r="L2613">
        <f>IF(AND($J2613=0,$K2613=0),0,1)</f>
        <v>0</v>
      </c>
      <c r="M2613" t="s">
        <v>820</v>
      </c>
    </row>
    <row r="2614" spans="1:13" x14ac:dyDescent="0.2">
      <c r="A2614" t="s">
        <v>44</v>
      </c>
      <c r="B2614" t="s">
        <v>6</v>
      </c>
      <c r="C2614" t="s">
        <v>9</v>
      </c>
      <c r="D2614">
        <v>3930</v>
      </c>
      <c r="E2614">
        <v>2020</v>
      </c>
      <c r="F2614">
        <v>7</v>
      </c>
      <c r="G2614">
        <v>13979</v>
      </c>
      <c r="H2614" s="1">
        <v>4</v>
      </c>
      <c r="I2614">
        <v>16</v>
      </c>
      <c r="J2614">
        <f>IF($H2614=0,1,IF($I2614&lt;=1,2,0))</f>
        <v>0</v>
      </c>
      <c r="K2614">
        <v>0</v>
      </c>
      <c r="L2614">
        <f>IF(AND($J2614=0,$K2614=0),0,1)</f>
        <v>0</v>
      </c>
      <c r="M2614" t="s">
        <v>820</v>
      </c>
    </row>
    <row r="2615" spans="1:13" x14ac:dyDescent="0.2">
      <c r="A2615" t="s">
        <v>44</v>
      </c>
      <c r="B2615" t="s">
        <v>6</v>
      </c>
      <c r="C2615" t="s">
        <v>9</v>
      </c>
      <c r="D2615">
        <v>3930</v>
      </c>
      <c r="E2615">
        <v>2020</v>
      </c>
      <c r="F2615">
        <v>5</v>
      </c>
      <c r="G2615">
        <v>13994</v>
      </c>
      <c r="H2615" s="1">
        <v>4</v>
      </c>
      <c r="I2615">
        <v>14</v>
      </c>
      <c r="J2615">
        <f>IF($H2615=0,1,IF($I2615&lt;=1,2,0))</f>
        <v>0</v>
      </c>
      <c r="K2615">
        <v>0</v>
      </c>
      <c r="L2615">
        <f>IF(AND($J2615=0,$K2615=0),0,1)</f>
        <v>0</v>
      </c>
    </row>
    <row r="2616" spans="1:13" x14ac:dyDescent="0.2">
      <c r="A2616" t="s">
        <v>44</v>
      </c>
      <c r="B2616" t="s">
        <v>6</v>
      </c>
      <c r="C2616" t="s">
        <v>9</v>
      </c>
      <c r="D2616">
        <v>3930</v>
      </c>
      <c r="E2616">
        <v>2020</v>
      </c>
      <c r="F2616">
        <v>10</v>
      </c>
      <c r="G2616">
        <v>15316</v>
      </c>
      <c r="H2616" s="1">
        <v>4</v>
      </c>
      <c r="I2616">
        <v>10</v>
      </c>
      <c r="J2616">
        <f>IF($H2616=0,1,IF($I2616&lt;=1,2,0))</f>
        <v>0</v>
      </c>
      <c r="K2616">
        <v>0</v>
      </c>
      <c r="L2616">
        <f>IF(AND($J2616=0,$K2616=0),0,1)</f>
        <v>0</v>
      </c>
      <c r="M2616" t="s">
        <v>820</v>
      </c>
    </row>
    <row r="2617" spans="1:13" x14ac:dyDescent="0.2">
      <c r="A2617" t="s">
        <v>44</v>
      </c>
      <c r="B2617" t="s">
        <v>6</v>
      </c>
      <c r="C2617" t="s">
        <v>9</v>
      </c>
      <c r="D2617">
        <v>3930</v>
      </c>
      <c r="E2617">
        <v>2020</v>
      </c>
      <c r="F2617" t="s">
        <v>821</v>
      </c>
      <c r="G2617">
        <v>13976</v>
      </c>
      <c r="H2617" s="1">
        <v>4</v>
      </c>
      <c r="I2617">
        <v>5</v>
      </c>
      <c r="J2617">
        <f>IF($H2617=0,1,IF($I2617&lt;=1,2,0))</f>
        <v>0</v>
      </c>
      <c r="K2617">
        <v>0</v>
      </c>
      <c r="L2617">
        <f>IF(AND($J2617=0,$K2617=0),0,1)</f>
        <v>0</v>
      </c>
      <c r="M2617" t="s">
        <v>820</v>
      </c>
    </row>
    <row r="2618" spans="1:13" x14ac:dyDescent="0.2">
      <c r="A2618" t="s">
        <v>50</v>
      </c>
      <c r="B2618" t="s">
        <v>6</v>
      </c>
      <c r="C2618" t="s">
        <v>21</v>
      </c>
      <c r="D2618">
        <v>3996</v>
      </c>
      <c r="E2618">
        <v>2020</v>
      </c>
      <c r="F2618">
        <v>1</v>
      </c>
      <c r="G2618">
        <v>11593</v>
      </c>
      <c r="H2618" s="1">
        <v>3</v>
      </c>
      <c r="I2618">
        <v>4</v>
      </c>
      <c r="J2618">
        <f>IF($H2618=0,1,IF($I2618&lt;=1,2,0))</f>
        <v>0</v>
      </c>
      <c r="K2618">
        <v>0</v>
      </c>
      <c r="L2618">
        <f>IF(AND($J2618=0,$K2618=0),0,1)</f>
        <v>0</v>
      </c>
    </row>
    <row r="2619" spans="1:13" x14ac:dyDescent="0.2">
      <c r="A2619" t="s">
        <v>51</v>
      </c>
      <c r="B2619" t="s">
        <v>6</v>
      </c>
      <c r="C2619" t="s">
        <v>9</v>
      </c>
      <c r="D2619">
        <v>4001</v>
      </c>
      <c r="E2619">
        <v>2020</v>
      </c>
      <c r="F2619">
        <v>1</v>
      </c>
      <c r="G2619">
        <v>15467</v>
      </c>
      <c r="H2619" s="1">
        <v>3</v>
      </c>
      <c r="I2619">
        <v>80</v>
      </c>
      <c r="J2619">
        <f>IF($H2619=0,1,IF($I2619&lt;=1,2,0))</f>
        <v>0</v>
      </c>
      <c r="K2619">
        <v>0</v>
      </c>
      <c r="L2619">
        <f>IF(AND($J2619=0,$K2619=0),0,1)</f>
        <v>0</v>
      </c>
    </row>
    <row r="2620" spans="1:13" x14ac:dyDescent="0.2">
      <c r="A2620" t="s">
        <v>54</v>
      </c>
      <c r="B2620" t="s">
        <v>6</v>
      </c>
      <c r="C2620" t="s">
        <v>21</v>
      </c>
      <c r="D2620">
        <v>1002</v>
      </c>
      <c r="E2620">
        <v>2020</v>
      </c>
      <c r="F2620">
        <v>1</v>
      </c>
      <c r="G2620">
        <v>423</v>
      </c>
      <c r="H2620" s="1">
        <v>3</v>
      </c>
      <c r="I2620">
        <v>82</v>
      </c>
      <c r="J2620">
        <f>IF($H2620=0,1,IF($I2620&lt;=1,2,0))</f>
        <v>0</v>
      </c>
      <c r="K2620">
        <v>0</v>
      </c>
      <c r="L2620">
        <f>IF(AND($J2620=0,$K2620=0),0,1)</f>
        <v>0</v>
      </c>
      <c r="M2620" t="s">
        <v>823</v>
      </c>
    </row>
    <row r="2621" spans="1:13" x14ac:dyDescent="0.2">
      <c r="A2621" t="s">
        <v>54</v>
      </c>
      <c r="B2621" t="s">
        <v>6</v>
      </c>
      <c r="C2621" t="s">
        <v>21</v>
      </c>
      <c r="D2621">
        <v>1007</v>
      </c>
      <c r="E2621">
        <v>2020</v>
      </c>
      <c r="F2621">
        <v>1</v>
      </c>
      <c r="G2621">
        <v>424</v>
      </c>
      <c r="H2621" s="1">
        <v>3</v>
      </c>
      <c r="I2621">
        <v>101</v>
      </c>
      <c r="J2621">
        <f>IF($H2621=0,1,IF($I2621&lt;=1,2,0))</f>
        <v>0</v>
      </c>
      <c r="K2621">
        <v>0</v>
      </c>
      <c r="L2621">
        <f>IF(AND($J2621=0,$K2621=0),0,1)</f>
        <v>0</v>
      </c>
      <c r="M2621" t="s">
        <v>824</v>
      </c>
    </row>
    <row r="2622" spans="1:13" x14ac:dyDescent="0.2">
      <c r="A2622" t="s">
        <v>54</v>
      </c>
      <c r="B2622" t="s">
        <v>6</v>
      </c>
      <c r="C2622" t="s">
        <v>21</v>
      </c>
      <c r="D2622">
        <v>2004</v>
      </c>
      <c r="E2622">
        <v>2020</v>
      </c>
      <c r="F2622">
        <v>1</v>
      </c>
      <c r="G2622">
        <v>10790</v>
      </c>
      <c r="H2622" s="1">
        <v>3</v>
      </c>
      <c r="I2622">
        <v>43</v>
      </c>
      <c r="J2622">
        <f>IF($H2622=0,1,IF($I2622&lt;=1,2,0))</f>
        <v>0</v>
      </c>
      <c r="K2622">
        <v>0</v>
      </c>
      <c r="L2622">
        <f>IF(AND($J2622=0,$K2622=0),0,1)</f>
        <v>0</v>
      </c>
    </row>
    <row r="2623" spans="1:13" x14ac:dyDescent="0.2">
      <c r="A2623" t="s">
        <v>54</v>
      </c>
      <c r="B2623" t="s">
        <v>6</v>
      </c>
      <c r="C2623" t="s">
        <v>21</v>
      </c>
      <c r="D2623">
        <v>2017</v>
      </c>
      <c r="E2623">
        <v>2020</v>
      </c>
      <c r="F2623">
        <v>1</v>
      </c>
      <c r="G2623">
        <v>13112</v>
      </c>
      <c r="H2623" s="1">
        <v>3</v>
      </c>
      <c r="I2623">
        <v>75</v>
      </c>
      <c r="J2623">
        <f>IF($H2623=0,1,IF($I2623&lt;=1,2,0))</f>
        <v>0</v>
      </c>
      <c r="K2623">
        <v>0</v>
      </c>
      <c r="L2623">
        <f>IF(AND($J2623=0,$K2623=0),0,1)</f>
        <v>0</v>
      </c>
    </row>
    <row r="2624" spans="1:13" x14ac:dyDescent="0.2">
      <c r="A2624" t="s">
        <v>54</v>
      </c>
      <c r="B2624" t="s">
        <v>6</v>
      </c>
      <c r="C2624" t="s">
        <v>9</v>
      </c>
      <c r="D2624">
        <v>3040</v>
      </c>
      <c r="E2624">
        <v>2020</v>
      </c>
      <c r="F2624">
        <v>1</v>
      </c>
      <c r="G2624">
        <v>426</v>
      </c>
      <c r="H2624" s="1">
        <v>4</v>
      </c>
      <c r="I2624">
        <v>23</v>
      </c>
      <c r="J2624">
        <f>IF($H2624=0,1,IF($I2624&lt;=1,2,0))</f>
        <v>0</v>
      </c>
      <c r="K2624">
        <v>0</v>
      </c>
      <c r="L2624">
        <f>IF(AND($J2624=0,$K2624=0),0,1)</f>
        <v>0</v>
      </c>
      <c r="M2624" t="s">
        <v>829</v>
      </c>
    </row>
    <row r="2625" spans="1:13" x14ac:dyDescent="0.2">
      <c r="A2625" t="s">
        <v>54</v>
      </c>
      <c r="B2625" t="s">
        <v>6</v>
      </c>
      <c r="C2625" t="s">
        <v>9</v>
      </c>
      <c r="D2625">
        <v>3151</v>
      </c>
      <c r="E2625">
        <v>2020</v>
      </c>
      <c r="F2625">
        <v>1</v>
      </c>
      <c r="G2625">
        <v>10802</v>
      </c>
      <c r="H2625" s="1">
        <v>4</v>
      </c>
      <c r="I2625">
        <v>15</v>
      </c>
      <c r="J2625">
        <f>IF($H2625=0,1,IF($I2625&lt;=1,2,0))</f>
        <v>0</v>
      </c>
      <c r="K2625">
        <v>0</v>
      </c>
      <c r="L2625">
        <f>IF(AND($J2625=0,$K2625=0),0,1)</f>
        <v>0</v>
      </c>
      <c r="M2625" t="s">
        <v>830</v>
      </c>
    </row>
    <row r="2626" spans="1:13" x14ac:dyDescent="0.2">
      <c r="A2626" t="s">
        <v>54</v>
      </c>
      <c r="B2626" t="s">
        <v>6</v>
      </c>
      <c r="C2626" t="s">
        <v>21</v>
      </c>
      <c r="D2626">
        <v>3160</v>
      </c>
      <c r="E2626">
        <v>2020</v>
      </c>
      <c r="F2626">
        <v>1</v>
      </c>
      <c r="G2626">
        <v>425</v>
      </c>
      <c r="H2626" s="1">
        <v>4</v>
      </c>
      <c r="I2626">
        <v>13</v>
      </c>
      <c r="J2626">
        <f>IF($H2626=0,1,IF($I2626&lt;=1,2,0))</f>
        <v>0</v>
      </c>
      <c r="K2626">
        <v>0</v>
      </c>
      <c r="L2626">
        <f>IF(AND($J2626=0,$K2626=0),0,1)</f>
        <v>0</v>
      </c>
      <c r="M2626" t="s">
        <v>831</v>
      </c>
    </row>
    <row r="2627" spans="1:13" x14ac:dyDescent="0.2">
      <c r="A2627" t="s">
        <v>54</v>
      </c>
      <c r="B2627" t="s">
        <v>6</v>
      </c>
      <c r="C2627" t="s">
        <v>9</v>
      </c>
      <c r="D2627">
        <v>3663</v>
      </c>
      <c r="E2627">
        <v>2020</v>
      </c>
      <c r="F2627">
        <v>1</v>
      </c>
      <c r="G2627">
        <v>437</v>
      </c>
      <c r="H2627" s="1">
        <v>4</v>
      </c>
      <c r="I2627">
        <v>17</v>
      </c>
      <c r="J2627">
        <f>IF($H2627=0,1,IF($I2627&lt;=1,2,0))</f>
        <v>0</v>
      </c>
      <c r="K2627">
        <v>0</v>
      </c>
      <c r="L2627">
        <f>IF(AND($J2627=0,$K2627=0),0,1)</f>
        <v>0</v>
      </c>
      <c r="M2627" t="s">
        <v>832</v>
      </c>
    </row>
    <row r="2628" spans="1:13" x14ac:dyDescent="0.2">
      <c r="A2628" t="s">
        <v>54</v>
      </c>
      <c r="B2628" t="s">
        <v>6</v>
      </c>
      <c r="C2628" t="s">
        <v>9</v>
      </c>
      <c r="D2628">
        <v>3664</v>
      </c>
      <c r="E2628">
        <v>2020</v>
      </c>
      <c r="F2628">
        <v>1</v>
      </c>
      <c r="G2628">
        <v>15934</v>
      </c>
      <c r="H2628" s="1">
        <v>4</v>
      </c>
      <c r="I2628">
        <v>15</v>
      </c>
      <c r="J2628">
        <f>IF($H2628=0,1,IF($I2628&lt;=1,2,0))</f>
        <v>0</v>
      </c>
      <c r="K2628">
        <v>0</v>
      </c>
      <c r="L2628">
        <f>IF(AND($J2628=0,$K2628=0),0,1)</f>
        <v>0</v>
      </c>
    </row>
    <row r="2629" spans="1:13" x14ac:dyDescent="0.2">
      <c r="A2629" t="s">
        <v>54</v>
      </c>
      <c r="B2629" t="s">
        <v>6</v>
      </c>
      <c r="C2629" t="s">
        <v>9</v>
      </c>
      <c r="D2629">
        <v>3823</v>
      </c>
      <c r="E2629">
        <v>2020</v>
      </c>
      <c r="F2629">
        <v>1</v>
      </c>
      <c r="G2629">
        <v>11289</v>
      </c>
      <c r="H2629" s="1">
        <v>4</v>
      </c>
      <c r="I2629">
        <v>4</v>
      </c>
      <c r="J2629">
        <f>IF($H2629=0,1,IF($I2629&lt;=1,2,0))</f>
        <v>0</v>
      </c>
      <c r="K2629">
        <v>0</v>
      </c>
      <c r="L2629">
        <f>IF(AND($J2629=0,$K2629=0),0,1)</f>
        <v>0</v>
      </c>
    </row>
    <row r="2630" spans="1:13" x14ac:dyDescent="0.2">
      <c r="A2630" t="s">
        <v>54</v>
      </c>
      <c r="B2630" t="s">
        <v>6</v>
      </c>
      <c r="C2630" t="s">
        <v>9</v>
      </c>
      <c r="D2630">
        <v>3862</v>
      </c>
      <c r="E2630">
        <v>2020</v>
      </c>
      <c r="F2630">
        <v>1</v>
      </c>
      <c r="G2630">
        <v>21563</v>
      </c>
      <c r="H2630" s="1">
        <v>4</v>
      </c>
      <c r="I2630">
        <v>12</v>
      </c>
      <c r="J2630">
        <f>IF($H2630=0,1,IF($I2630&lt;=1,2,0))</f>
        <v>0</v>
      </c>
      <c r="K2630">
        <v>0</v>
      </c>
      <c r="L2630">
        <f>IF(AND($J2630=0,$K2630=0),0,1)</f>
        <v>0</v>
      </c>
      <c r="M2630" t="s">
        <v>833</v>
      </c>
    </row>
    <row r="2631" spans="1:13" x14ac:dyDescent="0.2">
      <c r="A2631" t="s">
        <v>54</v>
      </c>
      <c r="B2631" t="s">
        <v>6</v>
      </c>
      <c r="C2631" t="s">
        <v>21</v>
      </c>
      <c r="D2631">
        <v>3888</v>
      </c>
      <c r="E2631">
        <v>2020</v>
      </c>
      <c r="F2631">
        <v>1</v>
      </c>
      <c r="G2631">
        <v>10978</v>
      </c>
      <c r="H2631" s="1">
        <v>4</v>
      </c>
      <c r="I2631">
        <v>12</v>
      </c>
      <c r="J2631">
        <f>IF($H2631=0,1,IF($I2631&lt;=1,2,0))</f>
        <v>0</v>
      </c>
      <c r="K2631">
        <v>0</v>
      </c>
      <c r="L2631">
        <f>IF(AND($J2631=0,$K2631=0),0,1)</f>
        <v>0</v>
      </c>
      <c r="M2631" t="s">
        <v>835</v>
      </c>
    </row>
    <row r="2632" spans="1:13" x14ac:dyDescent="0.2">
      <c r="A2632" t="s">
        <v>54</v>
      </c>
      <c r="B2632" t="s">
        <v>6</v>
      </c>
      <c r="C2632" t="s">
        <v>21</v>
      </c>
      <c r="D2632">
        <v>3999</v>
      </c>
      <c r="E2632">
        <v>2020</v>
      </c>
      <c r="F2632">
        <v>1</v>
      </c>
      <c r="G2632">
        <v>10792</v>
      </c>
      <c r="H2632" s="1">
        <v>4</v>
      </c>
      <c r="I2632">
        <v>11</v>
      </c>
      <c r="J2632">
        <f>IF($H2632=0,1,IF($I2632&lt;=1,2,0))</f>
        <v>0</v>
      </c>
      <c r="K2632">
        <v>0</v>
      </c>
      <c r="L2632">
        <f>IF(AND($J2632=0,$K2632=0),0,1)</f>
        <v>0</v>
      </c>
    </row>
    <row r="2633" spans="1:13" x14ac:dyDescent="0.2">
      <c r="A2633" t="s">
        <v>54</v>
      </c>
      <c r="B2633" t="s">
        <v>6</v>
      </c>
      <c r="C2633" t="s">
        <v>11</v>
      </c>
      <c r="D2633">
        <v>4175</v>
      </c>
      <c r="E2633">
        <v>2020</v>
      </c>
      <c r="F2633">
        <v>1</v>
      </c>
      <c r="G2633">
        <v>10804</v>
      </c>
      <c r="H2633" s="1">
        <v>3</v>
      </c>
      <c r="I2633">
        <v>8</v>
      </c>
      <c r="J2633">
        <f>IF($H2633=0,1,IF($I2633&lt;=1,2,0))</f>
        <v>0</v>
      </c>
      <c r="K2633">
        <v>0</v>
      </c>
      <c r="L2633">
        <f>IF(AND($J2633=0,$K2633=0),0,1)</f>
        <v>0</v>
      </c>
      <c r="M2633" t="s">
        <v>839</v>
      </c>
    </row>
    <row r="2634" spans="1:13" x14ac:dyDescent="0.2">
      <c r="A2634" t="s">
        <v>54</v>
      </c>
      <c r="B2634" t="s">
        <v>6</v>
      </c>
      <c r="C2634" t="s">
        <v>9</v>
      </c>
      <c r="D2634">
        <v>4345</v>
      </c>
      <c r="E2634">
        <v>2020</v>
      </c>
      <c r="F2634">
        <v>1</v>
      </c>
      <c r="G2634">
        <v>10799</v>
      </c>
      <c r="H2634" s="1">
        <v>3</v>
      </c>
      <c r="I2634">
        <v>9</v>
      </c>
      <c r="J2634">
        <f>IF($H2634=0,1,IF($I2634&lt;=1,2,0))</f>
        <v>0</v>
      </c>
      <c r="K2634">
        <v>0</v>
      </c>
      <c r="L2634">
        <f>IF(AND($J2634=0,$K2634=0),0,1)</f>
        <v>0</v>
      </c>
      <c r="M2634" t="s">
        <v>840</v>
      </c>
    </row>
    <row r="2635" spans="1:13" x14ac:dyDescent="0.2">
      <c r="A2635" t="s">
        <v>54</v>
      </c>
      <c r="B2635" t="s">
        <v>6</v>
      </c>
      <c r="C2635" t="s">
        <v>11</v>
      </c>
      <c r="D2635">
        <v>5201</v>
      </c>
      <c r="E2635">
        <v>2020</v>
      </c>
      <c r="F2635">
        <v>1</v>
      </c>
      <c r="G2635">
        <v>10789</v>
      </c>
      <c r="H2635" s="1">
        <v>3</v>
      </c>
      <c r="I2635">
        <v>9</v>
      </c>
      <c r="J2635">
        <f>IF($H2635=0,1,IF($I2635&lt;=1,2,0))</f>
        <v>0</v>
      </c>
      <c r="K2635">
        <v>0</v>
      </c>
      <c r="L2635">
        <f>IF(AND($J2635=0,$K2635=0),0,1)</f>
        <v>0</v>
      </c>
      <c r="M2635" t="s">
        <v>841</v>
      </c>
    </row>
    <row r="2636" spans="1:13" x14ac:dyDescent="0.2">
      <c r="A2636" t="s">
        <v>54</v>
      </c>
      <c r="B2636" t="s">
        <v>6</v>
      </c>
      <c r="C2636" t="s">
        <v>11</v>
      </c>
      <c r="D2636">
        <v>5361</v>
      </c>
      <c r="E2636">
        <v>2020</v>
      </c>
      <c r="F2636">
        <v>1</v>
      </c>
      <c r="G2636">
        <v>10794</v>
      </c>
      <c r="H2636" s="1">
        <v>3</v>
      </c>
      <c r="I2636">
        <v>6</v>
      </c>
      <c r="J2636">
        <f>IF($H2636=0,1,IF($I2636&lt;=1,2,0))</f>
        <v>0</v>
      </c>
      <c r="K2636">
        <v>0</v>
      </c>
      <c r="L2636">
        <f>IF(AND($J2636=0,$K2636=0),0,1)</f>
        <v>0</v>
      </c>
      <c r="M2636" t="s">
        <v>842</v>
      </c>
    </row>
    <row r="2637" spans="1:13" x14ac:dyDescent="0.2">
      <c r="A2637" t="s">
        <v>54</v>
      </c>
      <c r="B2637" t="s">
        <v>6</v>
      </c>
      <c r="C2637" t="s">
        <v>11</v>
      </c>
      <c r="D2637">
        <v>6023</v>
      </c>
      <c r="E2637">
        <v>2020</v>
      </c>
      <c r="F2637">
        <v>1</v>
      </c>
      <c r="G2637">
        <v>10800</v>
      </c>
      <c r="H2637" s="1">
        <v>3</v>
      </c>
      <c r="I2637">
        <v>23</v>
      </c>
      <c r="J2637">
        <f>IF($H2637=0,1,IF($I2637&lt;=1,2,0))</f>
        <v>0</v>
      </c>
      <c r="K2637">
        <v>0</v>
      </c>
      <c r="L2637">
        <f>IF(AND($J2637=0,$K2637=0),0,1)</f>
        <v>0</v>
      </c>
      <c r="M2637" t="s">
        <v>843</v>
      </c>
    </row>
    <row r="2638" spans="1:13" x14ac:dyDescent="0.2">
      <c r="A2638" t="s">
        <v>54</v>
      </c>
      <c r="B2638" t="s">
        <v>6</v>
      </c>
      <c r="C2638" t="s">
        <v>11</v>
      </c>
      <c r="D2638">
        <v>6051</v>
      </c>
      <c r="E2638">
        <v>2020</v>
      </c>
      <c r="F2638">
        <v>1</v>
      </c>
      <c r="G2638">
        <v>10801</v>
      </c>
      <c r="H2638" s="1">
        <v>3</v>
      </c>
      <c r="I2638">
        <v>12</v>
      </c>
      <c r="J2638">
        <f>IF($H2638=0,1,IF($I2638&lt;=1,2,0))</f>
        <v>0</v>
      </c>
      <c r="K2638">
        <v>0</v>
      </c>
      <c r="L2638">
        <f>IF(AND($J2638=0,$K2638=0),0,1)</f>
        <v>0</v>
      </c>
      <c r="M2638" t="s">
        <v>844</v>
      </c>
    </row>
    <row r="2639" spans="1:13" x14ac:dyDescent="0.2">
      <c r="A2639" t="s">
        <v>54</v>
      </c>
      <c r="B2639" t="s">
        <v>6</v>
      </c>
      <c r="C2639" t="s">
        <v>11</v>
      </c>
      <c r="D2639">
        <v>6070</v>
      </c>
      <c r="E2639">
        <v>2020</v>
      </c>
      <c r="F2639">
        <v>1</v>
      </c>
      <c r="G2639">
        <v>10793</v>
      </c>
      <c r="H2639" s="1">
        <v>3</v>
      </c>
      <c r="I2639">
        <v>10</v>
      </c>
      <c r="J2639">
        <f>IF($H2639=0,1,IF($I2639&lt;=1,2,0))</f>
        <v>0</v>
      </c>
      <c r="K2639">
        <v>0</v>
      </c>
      <c r="L2639">
        <f>IF(AND($J2639=0,$K2639=0),0,1)</f>
        <v>0</v>
      </c>
    </row>
    <row r="2640" spans="1:13" x14ac:dyDescent="0.2">
      <c r="A2640" t="s">
        <v>54</v>
      </c>
      <c r="B2640" t="s">
        <v>6</v>
      </c>
      <c r="C2640" t="s">
        <v>11</v>
      </c>
      <c r="D2640">
        <v>6079</v>
      </c>
      <c r="E2640">
        <v>2020</v>
      </c>
      <c r="F2640">
        <v>1</v>
      </c>
      <c r="G2640">
        <v>11001</v>
      </c>
      <c r="H2640" s="1">
        <v>3</v>
      </c>
      <c r="I2640">
        <v>10</v>
      </c>
      <c r="J2640">
        <f>IF($H2640=0,1,IF($I2640&lt;=1,2,0))</f>
        <v>0</v>
      </c>
      <c r="K2640">
        <v>0</v>
      </c>
      <c r="L2640">
        <f>IF(AND($J2640=0,$K2640=0),0,1)</f>
        <v>0</v>
      </c>
    </row>
    <row r="2641" spans="1:13" x14ac:dyDescent="0.2">
      <c r="A2641" t="s">
        <v>54</v>
      </c>
      <c r="B2641" t="s">
        <v>6</v>
      </c>
      <c r="C2641" t="s">
        <v>11</v>
      </c>
      <c r="D2641">
        <v>6293</v>
      </c>
      <c r="E2641">
        <v>2020</v>
      </c>
      <c r="F2641">
        <v>1</v>
      </c>
      <c r="G2641">
        <v>10787</v>
      </c>
      <c r="H2641" s="1">
        <v>3</v>
      </c>
      <c r="I2641">
        <v>18</v>
      </c>
      <c r="J2641">
        <f>IF($H2641=0,1,IF($I2641&lt;=1,2,0))</f>
        <v>0</v>
      </c>
      <c r="K2641">
        <v>0</v>
      </c>
      <c r="L2641">
        <f>IF(AND($J2641=0,$K2641=0),0,1)</f>
        <v>0</v>
      </c>
      <c r="M2641" t="s">
        <v>845</v>
      </c>
    </row>
    <row r="2642" spans="1:13" x14ac:dyDescent="0.2">
      <c r="A2642" t="s">
        <v>54</v>
      </c>
      <c r="B2642" t="s">
        <v>6</v>
      </c>
      <c r="C2642" t="s">
        <v>11</v>
      </c>
      <c r="D2642">
        <v>6352</v>
      </c>
      <c r="E2642">
        <v>2020</v>
      </c>
      <c r="F2642">
        <v>1</v>
      </c>
      <c r="G2642">
        <v>10798</v>
      </c>
      <c r="H2642" s="1">
        <v>3</v>
      </c>
      <c r="I2642">
        <v>5</v>
      </c>
      <c r="J2642">
        <f>IF($H2642=0,1,IF($I2642&lt;=1,2,0))</f>
        <v>0</v>
      </c>
      <c r="K2642">
        <v>0</v>
      </c>
      <c r="L2642">
        <f>IF(AND($J2642=0,$K2642=0),0,1)</f>
        <v>0</v>
      </c>
      <c r="M2642" t="s">
        <v>846</v>
      </c>
    </row>
    <row r="2643" spans="1:13" x14ac:dyDescent="0.2">
      <c r="A2643" t="s">
        <v>54</v>
      </c>
      <c r="B2643" t="s">
        <v>6</v>
      </c>
      <c r="C2643" t="s">
        <v>11</v>
      </c>
      <c r="D2643">
        <v>6649</v>
      </c>
      <c r="E2643">
        <v>2020</v>
      </c>
      <c r="F2643" t="s">
        <v>848</v>
      </c>
      <c r="G2643">
        <v>21473</v>
      </c>
      <c r="H2643" s="1">
        <v>3</v>
      </c>
      <c r="I2643">
        <v>13</v>
      </c>
      <c r="J2643">
        <f>IF($H2643=0,1,IF($I2643&lt;=1,2,0))</f>
        <v>0</v>
      </c>
      <c r="K2643">
        <v>0</v>
      </c>
      <c r="L2643">
        <f>IF(AND($J2643=0,$K2643=0),0,1)</f>
        <v>0</v>
      </c>
    </row>
    <row r="2644" spans="1:13" x14ac:dyDescent="0.2">
      <c r="A2644" t="s">
        <v>54</v>
      </c>
      <c r="B2644" t="s">
        <v>6</v>
      </c>
      <c r="C2644" t="s">
        <v>11</v>
      </c>
      <c r="D2644">
        <v>6652</v>
      </c>
      <c r="E2644">
        <v>2020</v>
      </c>
      <c r="F2644">
        <v>1</v>
      </c>
      <c r="G2644">
        <v>12223</v>
      </c>
      <c r="H2644" s="1">
        <v>3</v>
      </c>
      <c r="I2644">
        <v>4</v>
      </c>
      <c r="J2644">
        <f>IF($H2644=0,1,IF($I2644&lt;=1,2,0))</f>
        <v>0</v>
      </c>
      <c r="K2644">
        <v>0</v>
      </c>
      <c r="L2644">
        <f>IF(AND($J2644=0,$K2644=0),0,1)</f>
        <v>0</v>
      </c>
    </row>
    <row r="2645" spans="1:13" x14ac:dyDescent="0.2">
      <c r="A2645" t="s">
        <v>70</v>
      </c>
      <c r="B2645" t="s">
        <v>71</v>
      </c>
      <c r="C2645" t="s">
        <v>72</v>
      </c>
      <c r="D2645">
        <v>6650</v>
      </c>
      <c r="E2645">
        <v>2020</v>
      </c>
      <c r="F2645">
        <v>38</v>
      </c>
      <c r="G2645">
        <v>22280</v>
      </c>
      <c r="H2645" s="1" t="s">
        <v>1828</v>
      </c>
      <c r="I2645">
        <v>4</v>
      </c>
      <c r="J2645">
        <f>IF($H2645=0,1,IF($I2645&lt;=1,2,0))</f>
        <v>0</v>
      </c>
      <c r="K2645">
        <v>0</v>
      </c>
      <c r="L2645">
        <f>IF(AND($J2645=0,$K2645=0),0,1)</f>
        <v>0</v>
      </c>
    </row>
    <row r="2646" spans="1:13" x14ac:dyDescent="0.2">
      <c r="A2646" t="s">
        <v>70</v>
      </c>
      <c r="B2646" t="s">
        <v>71</v>
      </c>
      <c r="C2646" t="s">
        <v>72</v>
      </c>
      <c r="D2646">
        <v>6650</v>
      </c>
      <c r="E2646">
        <v>2020</v>
      </c>
      <c r="F2646">
        <v>14</v>
      </c>
      <c r="G2646">
        <v>12583</v>
      </c>
      <c r="H2646" s="1" t="s">
        <v>1828</v>
      </c>
      <c r="I2646">
        <v>2</v>
      </c>
      <c r="J2646">
        <f>IF($H2646=0,1,IF($I2646&lt;=1,2,0))</f>
        <v>0</v>
      </c>
      <c r="K2646">
        <v>0</v>
      </c>
      <c r="L2646">
        <f>IF(AND($J2646=0,$K2646=0),0,1)</f>
        <v>0</v>
      </c>
    </row>
    <row r="2647" spans="1:13" x14ac:dyDescent="0.2">
      <c r="A2647" t="s">
        <v>73</v>
      </c>
      <c r="B2647" t="s">
        <v>71</v>
      </c>
      <c r="C2647" t="s">
        <v>72</v>
      </c>
      <c r="D2647">
        <v>4650</v>
      </c>
      <c r="E2647">
        <v>2020</v>
      </c>
      <c r="F2647">
        <v>1</v>
      </c>
      <c r="G2647">
        <v>11979</v>
      </c>
      <c r="H2647" s="1">
        <v>3</v>
      </c>
      <c r="I2647">
        <v>12</v>
      </c>
      <c r="J2647">
        <f>IF($H2647=0,1,IF($I2647&lt;=1,2,0))</f>
        <v>0</v>
      </c>
      <c r="K2647">
        <v>0</v>
      </c>
      <c r="L2647">
        <f>IF(AND($J2647=0,$K2647=0),0,1)</f>
        <v>0</v>
      </c>
      <c r="M2647" t="s">
        <v>74</v>
      </c>
    </row>
    <row r="2648" spans="1:13" x14ac:dyDescent="0.2">
      <c r="A2648" t="s">
        <v>854</v>
      </c>
      <c r="B2648" t="s">
        <v>71</v>
      </c>
      <c r="C2648" t="s">
        <v>72</v>
      </c>
      <c r="D2648">
        <v>4080</v>
      </c>
      <c r="E2648">
        <v>2020</v>
      </c>
      <c r="F2648">
        <v>1</v>
      </c>
      <c r="G2648">
        <v>10123</v>
      </c>
      <c r="H2648" s="1">
        <v>3</v>
      </c>
      <c r="I2648">
        <v>12</v>
      </c>
      <c r="J2648">
        <f>IF($H2648=0,1,IF($I2648&lt;=1,2,0))</f>
        <v>0</v>
      </c>
      <c r="K2648">
        <v>0</v>
      </c>
      <c r="L2648">
        <f>IF(AND($J2648=0,$K2648=0),0,1)</f>
        <v>0</v>
      </c>
    </row>
    <row r="2649" spans="1:13" x14ac:dyDescent="0.2">
      <c r="A2649" t="s">
        <v>75</v>
      </c>
      <c r="B2649" t="s">
        <v>71</v>
      </c>
      <c r="C2649" t="s">
        <v>72</v>
      </c>
      <c r="D2649">
        <v>2000</v>
      </c>
      <c r="E2649">
        <v>2020</v>
      </c>
      <c r="F2649">
        <v>2</v>
      </c>
      <c r="G2649">
        <v>12592</v>
      </c>
      <c r="H2649" s="1">
        <v>4</v>
      </c>
      <c r="I2649">
        <v>130</v>
      </c>
      <c r="J2649">
        <f>IF($H2649=0,1,IF($I2649&lt;=1,2,0))</f>
        <v>0</v>
      </c>
      <c r="K2649">
        <v>0</v>
      </c>
      <c r="L2649">
        <f>IF(AND($J2649=0,$K2649=0),0,1)</f>
        <v>0</v>
      </c>
      <c r="M2649" t="s">
        <v>76</v>
      </c>
    </row>
    <row r="2650" spans="1:13" x14ac:dyDescent="0.2">
      <c r="A2650" t="s">
        <v>75</v>
      </c>
      <c r="B2650" t="s">
        <v>71</v>
      </c>
      <c r="C2650" t="s">
        <v>72</v>
      </c>
      <c r="D2650">
        <v>2000</v>
      </c>
      <c r="E2650">
        <v>2020</v>
      </c>
      <c r="F2650">
        <v>1</v>
      </c>
      <c r="G2650">
        <v>12591</v>
      </c>
      <c r="H2650" s="1">
        <v>4</v>
      </c>
      <c r="I2650">
        <v>57</v>
      </c>
      <c r="J2650">
        <f>IF($H2650=0,1,IF($I2650&lt;=1,2,0))</f>
        <v>0</v>
      </c>
      <c r="K2650">
        <v>0</v>
      </c>
      <c r="L2650">
        <f>IF(AND($J2650=0,$K2650=0),0,1)</f>
        <v>0</v>
      </c>
      <c r="M2650" t="s">
        <v>76</v>
      </c>
    </row>
    <row r="2651" spans="1:13" x14ac:dyDescent="0.2">
      <c r="A2651" t="s">
        <v>75</v>
      </c>
      <c r="B2651" t="s">
        <v>71</v>
      </c>
      <c r="C2651" t="s">
        <v>72</v>
      </c>
      <c r="D2651">
        <v>2000</v>
      </c>
      <c r="E2651">
        <v>2020</v>
      </c>
      <c r="F2651">
        <v>3</v>
      </c>
      <c r="G2651">
        <v>12593</v>
      </c>
      <c r="H2651" s="1">
        <v>4</v>
      </c>
      <c r="I2651">
        <v>50</v>
      </c>
      <c r="J2651">
        <f>IF($H2651=0,1,IF($I2651&lt;=1,2,0))</f>
        <v>0</v>
      </c>
      <c r="K2651">
        <v>0</v>
      </c>
      <c r="L2651">
        <f>IF(AND($J2651=0,$K2651=0),0,1)</f>
        <v>0</v>
      </c>
      <c r="M2651" t="s">
        <v>76</v>
      </c>
    </row>
    <row r="2652" spans="1:13" x14ac:dyDescent="0.2">
      <c r="A2652" t="s">
        <v>75</v>
      </c>
      <c r="B2652" t="s">
        <v>71</v>
      </c>
      <c r="C2652" t="s">
        <v>72</v>
      </c>
      <c r="D2652">
        <v>2101</v>
      </c>
      <c r="E2652">
        <v>2020</v>
      </c>
      <c r="F2652">
        <v>1</v>
      </c>
      <c r="G2652">
        <v>12619</v>
      </c>
      <c r="H2652" s="1">
        <v>3</v>
      </c>
      <c r="I2652">
        <v>50</v>
      </c>
      <c r="J2652">
        <f>IF($H2652=0,1,IF($I2652&lt;=1,2,0))</f>
        <v>0</v>
      </c>
      <c r="K2652">
        <v>0</v>
      </c>
      <c r="L2652">
        <f>IF(AND($J2652=0,$K2652=0),0,1)</f>
        <v>0</v>
      </c>
    </row>
    <row r="2653" spans="1:13" x14ac:dyDescent="0.2">
      <c r="A2653" t="s">
        <v>75</v>
      </c>
      <c r="B2653" t="s">
        <v>71</v>
      </c>
      <c r="C2653" t="s">
        <v>72</v>
      </c>
      <c r="D2653">
        <v>3101</v>
      </c>
      <c r="E2653">
        <v>2020</v>
      </c>
      <c r="F2653">
        <v>1</v>
      </c>
      <c r="G2653">
        <v>12605</v>
      </c>
      <c r="H2653" s="1">
        <v>3</v>
      </c>
      <c r="I2653">
        <v>26</v>
      </c>
      <c r="J2653">
        <f>IF($H2653=0,1,IF($I2653&lt;=1,2,0))</f>
        <v>0</v>
      </c>
      <c r="K2653">
        <v>0</v>
      </c>
      <c r="L2653">
        <f>IF(AND($J2653=0,$K2653=0),0,1)</f>
        <v>0</v>
      </c>
    </row>
    <row r="2654" spans="1:13" x14ac:dyDescent="0.2">
      <c r="A2654" t="s">
        <v>75</v>
      </c>
      <c r="B2654" t="s">
        <v>71</v>
      </c>
      <c r="C2654" t="s">
        <v>72</v>
      </c>
      <c r="D2654">
        <v>4001</v>
      </c>
      <c r="E2654">
        <v>2020</v>
      </c>
      <c r="F2654">
        <v>1</v>
      </c>
      <c r="G2654">
        <v>12622</v>
      </c>
      <c r="H2654" s="1">
        <v>3</v>
      </c>
      <c r="I2654">
        <v>55</v>
      </c>
      <c r="J2654">
        <f>IF($H2654=0,1,IF($I2654&lt;=1,2,0))</f>
        <v>0</v>
      </c>
      <c r="K2654">
        <v>0</v>
      </c>
      <c r="L2654">
        <f>IF(AND($J2654=0,$K2654=0),0,1)</f>
        <v>0</v>
      </c>
    </row>
    <row r="2655" spans="1:13" x14ac:dyDescent="0.2">
      <c r="A2655" t="s">
        <v>75</v>
      </c>
      <c r="B2655" t="s">
        <v>71</v>
      </c>
      <c r="C2655" t="s">
        <v>72</v>
      </c>
      <c r="D2655">
        <v>4001</v>
      </c>
      <c r="E2655">
        <v>2020</v>
      </c>
      <c r="F2655" t="s">
        <v>84</v>
      </c>
      <c r="G2655">
        <v>21528</v>
      </c>
      <c r="H2655" s="1">
        <v>3</v>
      </c>
      <c r="I2655">
        <v>17</v>
      </c>
      <c r="J2655">
        <f>IF($H2655=0,1,IF($I2655&lt;=1,2,0))</f>
        <v>0</v>
      </c>
      <c r="K2655">
        <v>0</v>
      </c>
      <c r="L2655">
        <f>IF(AND($J2655=0,$K2655=0),0,1)</f>
        <v>0</v>
      </c>
      <c r="M2655" t="s">
        <v>85</v>
      </c>
    </row>
    <row r="2656" spans="1:13" x14ac:dyDescent="0.2">
      <c r="A2656" t="s">
        <v>75</v>
      </c>
      <c r="B2656" t="s">
        <v>71</v>
      </c>
      <c r="C2656" t="s">
        <v>72</v>
      </c>
      <c r="D2656">
        <v>4200</v>
      </c>
      <c r="E2656">
        <v>2020</v>
      </c>
      <c r="F2656">
        <v>1</v>
      </c>
      <c r="G2656">
        <v>12607</v>
      </c>
      <c r="H2656" s="1">
        <v>3</v>
      </c>
      <c r="I2656">
        <v>72</v>
      </c>
      <c r="J2656">
        <f>IF($H2656=0,1,IF($I2656&lt;=1,2,0))</f>
        <v>0</v>
      </c>
      <c r="K2656">
        <v>0</v>
      </c>
      <c r="L2656">
        <f>IF(AND($J2656=0,$K2656=0),0,1)</f>
        <v>0</v>
      </c>
    </row>
    <row r="2657" spans="1:13" x14ac:dyDescent="0.2">
      <c r="A2657" t="s">
        <v>75</v>
      </c>
      <c r="B2657" t="s">
        <v>71</v>
      </c>
      <c r="C2657" t="s">
        <v>72</v>
      </c>
      <c r="D2657">
        <v>4200</v>
      </c>
      <c r="E2657">
        <v>2020</v>
      </c>
      <c r="F2657" t="s">
        <v>84</v>
      </c>
      <c r="G2657">
        <v>22193</v>
      </c>
      <c r="H2657" s="1">
        <v>3</v>
      </c>
      <c r="I2657">
        <v>4</v>
      </c>
      <c r="J2657">
        <f>IF($H2657=0,1,IF($I2657&lt;=1,2,0))</f>
        <v>0</v>
      </c>
      <c r="K2657">
        <v>0</v>
      </c>
      <c r="L2657">
        <f>IF(AND($J2657=0,$K2657=0),0,1)</f>
        <v>0</v>
      </c>
      <c r="M2657" t="s">
        <v>85</v>
      </c>
    </row>
    <row r="2658" spans="1:13" x14ac:dyDescent="0.2">
      <c r="A2658" t="s">
        <v>75</v>
      </c>
      <c r="B2658" t="s">
        <v>71</v>
      </c>
      <c r="C2658" t="s">
        <v>72</v>
      </c>
      <c r="D2658">
        <v>4204</v>
      </c>
      <c r="E2658">
        <v>2020</v>
      </c>
      <c r="F2658">
        <v>1</v>
      </c>
      <c r="G2658">
        <v>12610</v>
      </c>
      <c r="H2658" s="1">
        <v>3</v>
      </c>
      <c r="I2658">
        <v>75</v>
      </c>
      <c r="J2658">
        <f>IF($H2658=0,1,IF($I2658&lt;=1,2,0))</f>
        <v>0</v>
      </c>
      <c r="K2658">
        <v>0</v>
      </c>
      <c r="L2658">
        <f>IF(AND($J2658=0,$K2658=0),0,1)</f>
        <v>0</v>
      </c>
    </row>
    <row r="2659" spans="1:13" x14ac:dyDescent="0.2">
      <c r="A2659" t="s">
        <v>75</v>
      </c>
      <c r="B2659" t="s">
        <v>71</v>
      </c>
      <c r="C2659" t="s">
        <v>72</v>
      </c>
      <c r="D2659">
        <v>4204</v>
      </c>
      <c r="E2659">
        <v>2020</v>
      </c>
      <c r="F2659" t="s">
        <v>84</v>
      </c>
      <c r="G2659">
        <v>21524</v>
      </c>
      <c r="H2659" s="1">
        <v>3</v>
      </c>
      <c r="I2659">
        <v>2</v>
      </c>
      <c r="J2659">
        <f>IF($H2659=0,1,IF($I2659&lt;=1,2,0))</f>
        <v>0</v>
      </c>
      <c r="K2659">
        <v>0</v>
      </c>
      <c r="L2659">
        <f>IF(AND($J2659=0,$K2659=0),0,1)</f>
        <v>0</v>
      </c>
      <c r="M2659" t="s">
        <v>85</v>
      </c>
    </row>
    <row r="2660" spans="1:13" x14ac:dyDescent="0.2">
      <c r="A2660" t="s">
        <v>75</v>
      </c>
      <c r="B2660" t="s">
        <v>71</v>
      </c>
      <c r="C2660" t="s">
        <v>72</v>
      </c>
      <c r="D2660">
        <v>4300</v>
      </c>
      <c r="E2660">
        <v>2020</v>
      </c>
      <c r="F2660">
        <v>1</v>
      </c>
      <c r="G2660">
        <v>12612</v>
      </c>
      <c r="H2660" s="1">
        <v>3</v>
      </c>
      <c r="I2660">
        <v>120</v>
      </c>
      <c r="J2660">
        <f>IF($H2660=0,1,IF($I2660&lt;=1,2,0))</f>
        <v>0</v>
      </c>
      <c r="K2660">
        <v>0</v>
      </c>
      <c r="L2660">
        <f>IF(AND($J2660=0,$K2660=0),0,1)</f>
        <v>0</v>
      </c>
      <c r="M2660" t="s">
        <v>74</v>
      </c>
    </row>
    <row r="2661" spans="1:13" x14ac:dyDescent="0.2">
      <c r="A2661" t="s">
        <v>75</v>
      </c>
      <c r="B2661" t="s">
        <v>71</v>
      </c>
      <c r="C2661" t="s">
        <v>72</v>
      </c>
      <c r="D2661">
        <v>4300</v>
      </c>
      <c r="E2661">
        <v>2020</v>
      </c>
      <c r="F2661" t="s">
        <v>84</v>
      </c>
      <c r="G2661">
        <v>21529</v>
      </c>
      <c r="H2661" s="1">
        <v>3</v>
      </c>
      <c r="I2661">
        <v>6</v>
      </c>
      <c r="J2661">
        <f>IF($H2661=0,1,IF($I2661&lt;=1,2,0))</f>
        <v>0</v>
      </c>
      <c r="K2661">
        <v>0</v>
      </c>
      <c r="L2661">
        <f>IF(AND($J2661=0,$K2661=0),0,1)</f>
        <v>0</v>
      </c>
      <c r="M2661" t="s">
        <v>85</v>
      </c>
    </row>
    <row r="2662" spans="1:13" x14ac:dyDescent="0.2">
      <c r="A2662" t="s">
        <v>75</v>
      </c>
      <c r="B2662" t="s">
        <v>71</v>
      </c>
      <c r="C2662" t="s">
        <v>72</v>
      </c>
      <c r="D2662">
        <v>4302</v>
      </c>
      <c r="E2662">
        <v>2020</v>
      </c>
      <c r="F2662">
        <v>1</v>
      </c>
      <c r="G2662">
        <v>12613</v>
      </c>
      <c r="H2662" s="1">
        <v>3</v>
      </c>
      <c r="I2662">
        <v>22</v>
      </c>
      <c r="J2662">
        <f>IF($H2662=0,1,IF($I2662&lt;=1,2,0))</f>
        <v>0</v>
      </c>
      <c r="K2662">
        <v>0</v>
      </c>
      <c r="L2662">
        <f>IF(AND($J2662=0,$K2662=0),0,1)</f>
        <v>0</v>
      </c>
    </row>
    <row r="2663" spans="1:13" x14ac:dyDescent="0.2">
      <c r="A2663" t="s">
        <v>75</v>
      </c>
      <c r="B2663" t="s">
        <v>71</v>
      </c>
      <c r="C2663" t="s">
        <v>72</v>
      </c>
      <c r="D2663">
        <v>4901</v>
      </c>
      <c r="E2663">
        <v>2020</v>
      </c>
      <c r="F2663">
        <v>1</v>
      </c>
      <c r="G2663">
        <v>13441</v>
      </c>
      <c r="H2663" s="1" t="s">
        <v>1831</v>
      </c>
      <c r="I2663">
        <v>60</v>
      </c>
      <c r="J2663">
        <f>IF($H2663=0,1,IF($I2663&lt;=1,2,0))</f>
        <v>0</v>
      </c>
      <c r="K2663">
        <v>0</v>
      </c>
      <c r="L2663">
        <f>IF(AND($J2663=0,$K2663=0),0,1)</f>
        <v>0</v>
      </c>
    </row>
    <row r="2664" spans="1:13" x14ac:dyDescent="0.2">
      <c r="A2664" t="s">
        <v>75</v>
      </c>
      <c r="B2664" t="s">
        <v>71</v>
      </c>
      <c r="C2664" t="s">
        <v>72</v>
      </c>
      <c r="D2664">
        <v>4903</v>
      </c>
      <c r="E2664">
        <v>2020</v>
      </c>
      <c r="F2664">
        <v>1</v>
      </c>
      <c r="G2664">
        <v>13442</v>
      </c>
      <c r="H2664" s="1" t="s">
        <v>1824</v>
      </c>
      <c r="I2664">
        <v>50</v>
      </c>
      <c r="J2664">
        <f>IF($H2664=0,1,IF($I2664&lt;=1,2,0))</f>
        <v>0</v>
      </c>
      <c r="K2664">
        <v>0</v>
      </c>
      <c r="L2664">
        <f>IF(AND($J2664=0,$K2664=0),0,1)</f>
        <v>0</v>
      </c>
    </row>
    <row r="2665" spans="1:13" x14ac:dyDescent="0.2">
      <c r="A2665" t="s">
        <v>75</v>
      </c>
      <c r="B2665" t="s">
        <v>71</v>
      </c>
      <c r="C2665" t="s">
        <v>72</v>
      </c>
      <c r="D2665">
        <v>4990</v>
      </c>
      <c r="E2665">
        <v>2020</v>
      </c>
      <c r="F2665">
        <v>3</v>
      </c>
      <c r="G2665">
        <v>13954</v>
      </c>
      <c r="H2665" s="1">
        <v>3</v>
      </c>
      <c r="I2665">
        <v>20</v>
      </c>
      <c r="J2665">
        <f>IF($H2665=0,1,IF($I2665&lt;=1,2,0))</f>
        <v>0</v>
      </c>
      <c r="K2665">
        <v>0</v>
      </c>
      <c r="L2665">
        <f>IF(AND($J2665=0,$K2665=0),0,1)</f>
        <v>0</v>
      </c>
    </row>
    <row r="2666" spans="1:13" x14ac:dyDescent="0.2">
      <c r="A2666" t="s">
        <v>75</v>
      </c>
      <c r="B2666" t="s">
        <v>71</v>
      </c>
      <c r="C2666" t="s">
        <v>72</v>
      </c>
      <c r="D2666">
        <v>4990</v>
      </c>
      <c r="E2666">
        <v>2020</v>
      </c>
      <c r="F2666">
        <v>2</v>
      </c>
      <c r="G2666">
        <v>12615</v>
      </c>
      <c r="H2666" s="1">
        <v>3</v>
      </c>
      <c r="I2666">
        <v>9</v>
      </c>
      <c r="J2666">
        <f>IF($H2666=0,1,IF($I2666&lt;=1,2,0))</f>
        <v>0</v>
      </c>
      <c r="K2666">
        <v>0</v>
      </c>
      <c r="L2666">
        <f>IF(AND($J2666=0,$K2666=0),0,1)</f>
        <v>0</v>
      </c>
    </row>
    <row r="2667" spans="1:13" x14ac:dyDescent="0.2">
      <c r="A2667" t="s">
        <v>86</v>
      </c>
      <c r="B2667" t="s">
        <v>71</v>
      </c>
      <c r="C2667" t="s">
        <v>72</v>
      </c>
      <c r="D2667">
        <v>3200</v>
      </c>
      <c r="E2667">
        <v>2020</v>
      </c>
      <c r="F2667">
        <v>1</v>
      </c>
      <c r="G2667">
        <v>13552</v>
      </c>
      <c r="H2667" s="1">
        <v>3</v>
      </c>
      <c r="I2667">
        <v>8</v>
      </c>
      <c r="J2667">
        <f>IF($H2667=0,1,IF($I2667&lt;=1,2,0))</f>
        <v>0</v>
      </c>
      <c r="K2667">
        <v>0</v>
      </c>
      <c r="L2667">
        <f>IF(AND($J2667=0,$K2667=0),0,1)</f>
        <v>0</v>
      </c>
    </row>
    <row r="2668" spans="1:13" x14ac:dyDescent="0.2">
      <c r="A2668" t="s">
        <v>86</v>
      </c>
      <c r="B2668" t="s">
        <v>71</v>
      </c>
      <c r="C2668" t="s">
        <v>72</v>
      </c>
      <c r="D2668">
        <v>4010</v>
      </c>
      <c r="E2668">
        <v>2020</v>
      </c>
      <c r="F2668">
        <v>1</v>
      </c>
      <c r="G2668">
        <v>11812</v>
      </c>
      <c r="H2668" s="1">
        <v>3</v>
      </c>
      <c r="I2668">
        <v>11</v>
      </c>
      <c r="J2668">
        <f>IF($H2668=0,1,IF($I2668&lt;=1,2,0))</f>
        <v>0</v>
      </c>
      <c r="K2668">
        <v>0</v>
      </c>
      <c r="L2668">
        <f>IF(AND($J2668=0,$K2668=0),0,1)</f>
        <v>0</v>
      </c>
    </row>
    <row r="2669" spans="1:13" x14ac:dyDescent="0.2">
      <c r="A2669" t="s">
        <v>86</v>
      </c>
      <c r="B2669" t="s">
        <v>71</v>
      </c>
      <c r="C2669" t="s">
        <v>72</v>
      </c>
      <c r="D2669">
        <v>4010</v>
      </c>
      <c r="E2669">
        <v>2020</v>
      </c>
      <c r="F2669" t="s">
        <v>84</v>
      </c>
      <c r="G2669">
        <v>24536</v>
      </c>
      <c r="H2669" s="1">
        <v>3</v>
      </c>
      <c r="I2669">
        <v>2</v>
      </c>
      <c r="J2669">
        <f>IF($H2669=0,1,IF($I2669&lt;=1,2,0))</f>
        <v>0</v>
      </c>
      <c r="K2669">
        <v>0</v>
      </c>
      <c r="L2669">
        <f>IF(AND($J2669=0,$K2669=0),0,1)</f>
        <v>0</v>
      </c>
      <c r="M2669" t="s">
        <v>85</v>
      </c>
    </row>
    <row r="2670" spans="1:13" x14ac:dyDescent="0.2">
      <c r="A2670" t="s">
        <v>86</v>
      </c>
      <c r="B2670" t="s">
        <v>71</v>
      </c>
      <c r="C2670" t="s">
        <v>72</v>
      </c>
      <c r="D2670">
        <v>4100</v>
      </c>
      <c r="E2670">
        <v>2020</v>
      </c>
      <c r="F2670">
        <v>1</v>
      </c>
      <c r="G2670">
        <v>13556</v>
      </c>
      <c r="H2670" s="1">
        <v>3</v>
      </c>
      <c r="I2670">
        <v>22</v>
      </c>
      <c r="J2670">
        <f>IF($H2670=0,1,IF($I2670&lt;=1,2,0))</f>
        <v>0</v>
      </c>
      <c r="K2670">
        <v>0</v>
      </c>
      <c r="L2670">
        <f>IF(AND($J2670=0,$K2670=0),0,1)</f>
        <v>0</v>
      </c>
    </row>
    <row r="2671" spans="1:13" x14ac:dyDescent="0.2">
      <c r="A2671" t="s">
        <v>86</v>
      </c>
      <c r="B2671" t="s">
        <v>71</v>
      </c>
      <c r="C2671" t="s">
        <v>72</v>
      </c>
      <c r="D2671">
        <v>4100</v>
      </c>
      <c r="E2671">
        <v>2020</v>
      </c>
      <c r="F2671" t="s">
        <v>84</v>
      </c>
      <c r="G2671">
        <v>21530</v>
      </c>
      <c r="H2671" s="1">
        <v>3</v>
      </c>
      <c r="I2671">
        <v>4</v>
      </c>
      <c r="J2671">
        <f>IF($H2671=0,1,IF($I2671&lt;=1,2,0))</f>
        <v>0</v>
      </c>
      <c r="K2671">
        <v>0</v>
      </c>
      <c r="L2671">
        <f>IF(AND($J2671=0,$K2671=0),0,1)</f>
        <v>0</v>
      </c>
      <c r="M2671" t="s">
        <v>85</v>
      </c>
    </row>
    <row r="2672" spans="1:13" x14ac:dyDescent="0.2">
      <c r="A2672" t="s">
        <v>86</v>
      </c>
      <c r="B2672" t="s">
        <v>71</v>
      </c>
      <c r="C2672" t="s">
        <v>72</v>
      </c>
      <c r="D2672">
        <v>4112</v>
      </c>
      <c r="E2672">
        <v>2020</v>
      </c>
      <c r="F2672">
        <v>1</v>
      </c>
      <c r="G2672">
        <v>13557</v>
      </c>
      <c r="H2672" s="1">
        <v>3</v>
      </c>
      <c r="I2672">
        <v>13</v>
      </c>
      <c r="J2672">
        <f>IF($H2672=0,1,IF($I2672&lt;=1,2,0))</f>
        <v>0</v>
      </c>
      <c r="K2672">
        <v>0</v>
      </c>
      <c r="L2672">
        <f>IF(AND($J2672=0,$K2672=0),0,1)</f>
        <v>0</v>
      </c>
    </row>
    <row r="2673" spans="1:13" x14ac:dyDescent="0.2">
      <c r="A2673" t="s">
        <v>86</v>
      </c>
      <c r="B2673" t="s">
        <v>71</v>
      </c>
      <c r="C2673" t="s">
        <v>72</v>
      </c>
      <c r="D2673">
        <v>4112</v>
      </c>
      <c r="E2673">
        <v>2020</v>
      </c>
      <c r="F2673" t="s">
        <v>84</v>
      </c>
      <c r="G2673">
        <v>21920</v>
      </c>
      <c r="H2673" s="1">
        <v>3</v>
      </c>
      <c r="I2673">
        <v>3</v>
      </c>
      <c r="J2673">
        <f>IF($H2673=0,1,IF($I2673&lt;=1,2,0))</f>
        <v>0</v>
      </c>
      <c r="K2673">
        <v>0</v>
      </c>
      <c r="L2673">
        <f>IF(AND($J2673=0,$K2673=0),0,1)</f>
        <v>0</v>
      </c>
      <c r="M2673" t="s">
        <v>85</v>
      </c>
    </row>
    <row r="2674" spans="1:13" x14ac:dyDescent="0.2">
      <c r="A2674" t="s">
        <v>86</v>
      </c>
      <c r="B2674" t="s">
        <v>71</v>
      </c>
      <c r="C2674" t="s">
        <v>72</v>
      </c>
      <c r="D2674">
        <v>4130</v>
      </c>
      <c r="E2674">
        <v>2020</v>
      </c>
      <c r="F2674">
        <v>1</v>
      </c>
      <c r="G2674">
        <v>13558</v>
      </c>
      <c r="H2674" s="1">
        <v>3</v>
      </c>
      <c r="I2674">
        <v>8</v>
      </c>
      <c r="J2674">
        <f>IF($H2674=0,1,IF($I2674&lt;=1,2,0))</f>
        <v>0</v>
      </c>
      <c r="K2674">
        <v>0</v>
      </c>
      <c r="L2674">
        <f>IF(AND($J2674=0,$K2674=0),0,1)</f>
        <v>0</v>
      </c>
    </row>
    <row r="2675" spans="1:13" x14ac:dyDescent="0.2">
      <c r="A2675" t="s">
        <v>86</v>
      </c>
      <c r="B2675" t="s">
        <v>71</v>
      </c>
      <c r="C2675" t="s">
        <v>72</v>
      </c>
      <c r="D2675">
        <v>4300</v>
      </c>
      <c r="E2675">
        <v>2020</v>
      </c>
      <c r="F2675">
        <v>1</v>
      </c>
      <c r="G2675">
        <v>13559</v>
      </c>
      <c r="H2675" s="1">
        <v>3</v>
      </c>
      <c r="I2675">
        <v>22</v>
      </c>
      <c r="J2675">
        <f>IF($H2675=0,1,IF($I2675&lt;=1,2,0))</f>
        <v>0</v>
      </c>
      <c r="K2675">
        <v>0</v>
      </c>
      <c r="L2675">
        <f>IF(AND($J2675=0,$K2675=0),0,1)</f>
        <v>0</v>
      </c>
    </row>
    <row r="2676" spans="1:13" x14ac:dyDescent="0.2">
      <c r="A2676" t="s">
        <v>86</v>
      </c>
      <c r="B2676" t="s">
        <v>71</v>
      </c>
      <c r="C2676" t="s">
        <v>72</v>
      </c>
      <c r="D2676">
        <v>4330</v>
      </c>
      <c r="E2676">
        <v>2020</v>
      </c>
      <c r="F2676">
        <v>1</v>
      </c>
      <c r="G2676">
        <v>11980</v>
      </c>
      <c r="H2676" s="1">
        <v>3</v>
      </c>
      <c r="I2676">
        <v>9</v>
      </c>
      <c r="J2676">
        <f>IF($H2676=0,1,IF($I2676&lt;=1,2,0))</f>
        <v>0</v>
      </c>
      <c r="K2676">
        <v>0</v>
      </c>
      <c r="L2676">
        <f>IF(AND($J2676=0,$K2676=0),0,1)</f>
        <v>0</v>
      </c>
    </row>
    <row r="2677" spans="1:13" x14ac:dyDescent="0.2">
      <c r="A2677" t="s">
        <v>86</v>
      </c>
      <c r="B2677" t="s">
        <v>71</v>
      </c>
      <c r="C2677" t="s">
        <v>72</v>
      </c>
      <c r="D2677">
        <v>4600</v>
      </c>
      <c r="E2677">
        <v>2020</v>
      </c>
      <c r="F2677">
        <v>1</v>
      </c>
      <c r="G2677">
        <v>11816</v>
      </c>
      <c r="H2677" s="1">
        <v>3</v>
      </c>
      <c r="I2677">
        <v>5</v>
      </c>
      <c r="J2677">
        <f>IF($H2677=0,1,IF($I2677&lt;=1,2,0))</f>
        <v>0</v>
      </c>
      <c r="K2677">
        <v>0</v>
      </c>
      <c r="L2677">
        <f>IF(AND($J2677=0,$K2677=0),0,1)</f>
        <v>0</v>
      </c>
    </row>
    <row r="2678" spans="1:13" x14ac:dyDescent="0.2">
      <c r="A2678" t="s">
        <v>86</v>
      </c>
      <c r="B2678" t="s">
        <v>71</v>
      </c>
      <c r="C2678" t="s">
        <v>72</v>
      </c>
      <c r="D2678">
        <v>4710</v>
      </c>
      <c r="E2678">
        <v>2020</v>
      </c>
      <c r="F2678">
        <v>1</v>
      </c>
      <c r="G2678">
        <v>11823</v>
      </c>
      <c r="H2678" s="1">
        <v>3</v>
      </c>
      <c r="I2678">
        <v>4</v>
      </c>
      <c r="J2678">
        <f>IF($H2678=0,1,IF($I2678&lt;=1,2,0))</f>
        <v>0</v>
      </c>
      <c r="K2678">
        <v>0</v>
      </c>
      <c r="L2678">
        <f>IF(AND($J2678=0,$K2678=0),0,1)</f>
        <v>0</v>
      </c>
      <c r="M2678" t="s">
        <v>88</v>
      </c>
    </row>
    <row r="2679" spans="1:13" x14ac:dyDescent="0.2">
      <c r="A2679" t="s">
        <v>86</v>
      </c>
      <c r="B2679" t="s">
        <v>71</v>
      </c>
      <c r="C2679" t="s">
        <v>72</v>
      </c>
      <c r="D2679">
        <v>4901</v>
      </c>
      <c r="E2679">
        <v>2020</v>
      </c>
      <c r="F2679">
        <v>1</v>
      </c>
      <c r="G2679">
        <v>13563</v>
      </c>
      <c r="H2679" s="1">
        <v>1</v>
      </c>
      <c r="I2679">
        <v>17</v>
      </c>
      <c r="J2679">
        <f>IF($H2679=0,1,IF($I2679&lt;=1,2,0))</f>
        <v>0</v>
      </c>
      <c r="K2679">
        <v>0</v>
      </c>
      <c r="L2679">
        <f>IF(AND($J2679=0,$K2679=0),0,1)</f>
        <v>0</v>
      </c>
    </row>
    <row r="2680" spans="1:13" x14ac:dyDescent="0.2">
      <c r="A2680" t="s">
        <v>86</v>
      </c>
      <c r="B2680" t="s">
        <v>71</v>
      </c>
      <c r="C2680" t="s">
        <v>72</v>
      </c>
      <c r="D2680">
        <v>4903</v>
      </c>
      <c r="E2680">
        <v>2020</v>
      </c>
      <c r="F2680">
        <v>1</v>
      </c>
      <c r="G2680">
        <v>13564</v>
      </c>
      <c r="H2680" s="1">
        <v>2</v>
      </c>
      <c r="I2680">
        <v>12</v>
      </c>
      <c r="J2680">
        <f>IF($H2680=0,1,IF($I2680&lt;=1,2,0))</f>
        <v>0</v>
      </c>
      <c r="K2680">
        <v>0</v>
      </c>
      <c r="L2680">
        <f>IF(AND($J2680=0,$K2680=0),0,1)</f>
        <v>0</v>
      </c>
    </row>
    <row r="2681" spans="1:13" x14ac:dyDescent="0.2">
      <c r="A2681" t="s">
        <v>86</v>
      </c>
      <c r="B2681" t="s">
        <v>71</v>
      </c>
      <c r="C2681" t="s">
        <v>72</v>
      </c>
      <c r="D2681">
        <v>6081</v>
      </c>
      <c r="E2681">
        <v>2020</v>
      </c>
      <c r="F2681">
        <v>0</v>
      </c>
      <c r="G2681">
        <v>13565</v>
      </c>
      <c r="H2681" s="1">
        <v>3</v>
      </c>
      <c r="I2681">
        <v>14</v>
      </c>
      <c r="J2681">
        <f>IF($H2681=0,1,IF($I2681&lt;=1,2,0))</f>
        <v>0</v>
      </c>
      <c r="K2681">
        <v>0</v>
      </c>
      <c r="L2681">
        <f>IF(AND($J2681=0,$K2681=0),0,1)</f>
        <v>0</v>
      </c>
    </row>
    <row r="2682" spans="1:13" x14ac:dyDescent="0.2">
      <c r="A2682" t="s">
        <v>86</v>
      </c>
      <c r="B2682" t="s">
        <v>71</v>
      </c>
      <c r="C2682" t="s">
        <v>72</v>
      </c>
      <c r="D2682">
        <v>6101</v>
      </c>
      <c r="E2682">
        <v>2020</v>
      </c>
      <c r="F2682">
        <v>1</v>
      </c>
      <c r="G2682">
        <v>13569</v>
      </c>
      <c r="H2682" s="1">
        <v>3</v>
      </c>
      <c r="I2682">
        <v>3</v>
      </c>
      <c r="J2682">
        <f>IF($H2682=0,1,IF($I2682&lt;=1,2,0))</f>
        <v>0</v>
      </c>
      <c r="K2682">
        <v>0</v>
      </c>
      <c r="L2682">
        <f>IF(AND($J2682=0,$K2682=0),0,1)</f>
        <v>0</v>
      </c>
    </row>
    <row r="2683" spans="1:13" x14ac:dyDescent="0.2">
      <c r="A2683" t="s">
        <v>86</v>
      </c>
      <c r="B2683" t="s">
        <v>71</v>
      </c>
      <c r="C2683" t="s">
        <v>72</v>
      </c>
      <c r="D2683">
        <v>6333</v>
      </c>
      <c r="E2683">
        <v>2020</v>
      </c>
      <c r="F2683">
        <v>1</v>
      </c>
      <c r="G2683">
        <v>11981</v>
      </c>
      <c r="H2683" s="1">
        <v>3</v>
      </c>
      <c r="I2683">
        <v>7</v>
      </c>
      <c r="J2683">
        <f>IF($H2683=0,1,IF($I2683&lt;=1,2,0))</f>
        <v>0</v>
      </c>
      <c r="K2683">
        <v>0</v>
      </c>
      <c r="L2683">
        <f>IF(AND($J2683=0,$K2683=0),0,1)</f>
        <v>0</v>
      </c>
      <c r="M2683" t="s">
        <v>89</v>
      </c>
    </row>
    <row r="2684" spans="1:13" x14ac:dyDescent="0.2">
      <c r="A2684" t="s">
        <v>86</v>
      </c>
      <c r="B2684" t="s">
        <v>71</v>
      </c>
      <c r="C2684" t="s">
        <v>72</v>
      </c>
      <c r="D2684">
        <v>6336</v>
      </c>
      <c r="E2684">
        <v>2020</v>
      </c>
      <c r="F2684">
        <v>1</v>
      </c>
      <c r="G2684">
        <v>11985</v>
      </c>
      <c r="H2684" s="1">
        <v>3</v>
      </c>
      <c r="I2684">
        <v>3</v>
      </c>
      <c r="J2684">
        <f>IF($H2684=0,1,IF($I2684&lt;=1,2,0))</f>
        <v>0</v>
      </c>
      <c r="K2684">
        <v>0</v>
      </c>
      <c r="L2684">
        <f>IF(AND($J2684=0,$K2684=0),0,1)</f>
        <v>0</v>
      </c>
    </row>
    <row r="2685" spans="1:13" x14ac:dyDescent="0.2">
      <c r="A2685" t="s">
        <v>86</v>
      </c>
      <c r="B2685" t="s">
        <v>71</v>
      </c>
      <c r="C2685" t="s">
        <v>72</v>
      </c>
      <c r="D2685">
        <v>6340</v>
      </c>
      <c r="E2685">
        <v>2020</v>
      </c>
      <c r="F2685">
        <v>1</v>
      </c>
      <c r="G2685">
        <v>11982</v>
      </c>
      <c r="H2685" s="1">
        <v>3</v>
      </c>
      <c r="I2685">
        <v>2</v>
      </c>
      <c r="J2685">
        <f>IF($H2685=0,1,IF($I2685&lt;=1,2,0))</f>
        <v>0</v>
      </c>
      <c r="K2685">
        <v>0</v>
      </c>
      <c r="L2685">
        <f>IF(AND($J2685=0,$K2685=0),0,1)</f>
        <v>0</v>
      </c>
      <c r="M2685" t="s">
        <v>90</v>
      </c>
    </row>
    <row r="2686" spans="1:13" x14ac:dyDescent="0.2">
      <c r="A2686" t="s">
        <v>86</v>
      </c>
      <c r="B2686" t="s">
        <v>71</v>
      </c>
      <c r="C2686" t="s">
        <v>72</v>
      </c>
      <c r="D2686">
        <v>6365</v>
      </c>
      <c r="E2686">
        <v>2020</v>
      </c>
      <c r="F2686">
        <v>1</v>
      </c>
      <c r="G2686">
        <v>11983</v>
      </c>
      <c r="H2686" s="1">
        <v>3</v>
      </c>
      <c r="I2686">
        <v>2</v>
      </c>
      <c r="J2686">
        <f>IF($H2686=0,1,IF($I2686&lt;=1,2,0))</f>
        <v>0</v>
      </c>
      <c r="K2686">
        <v>0</v>
      </c>
      <c r="L2686">
        <f>IF(AND($J2686=0,$K2686=0),0,1)</f>
        <v>0</v>
      </c>
      <c r="M2686" t="s">
        <v>91</v>
      </c>
    </row>
    <row r="2687" spans="1:13" x14ac:dyDescent="0.2">
      <c r="A2687" t="s">
        <v>86</v>
      </c>
      <c r="B2687" t="s">
        <v>71</v>
      </c>
      <c r="C2687" t="s">
        <v>72</v>
      </c>
      <c r="D2687">
        <v>6380</v>
      </c>
      <c r="E2687">
        <v>2020</v>
      </c>
      <c r="F2687">
        <v>1</v>
      </c>
      <c r="G2687">
        <v>11984</v>
      </c>
      <c r="H2687" s="1">
        <v>3</v>
      </c>
      <c r="I2687">
        <v>3</v>
      </c>
      <c r="J2687">
        <f>IF($H2687=0,1,IF($I2687&lt;=1,2,0))</f>
        <v>0</v>
      </c>
      <c r="K2687">
        <v>0</v>
      </c>
      <c r="L2687">
        <f>IF(AND($J2687=0,$K2687=0),0,1)</f>
        <v>0</v>
      </c>
      <c r="M2687" t="s">
        <v>92</v>
      </c>
    </row>
    <row r="2688" spans="1:13" x14ac:dyDescent="0.2">
      <c r="A2688" t="s">
        <v>93</v>
      </c>
      <c r="B2688" t="s">
        <v>17</v>
      </c>
      <c r="C2688" t="s">
        <v>9</v>
      </c>
      <c r="D2688">
        <v>1010</v>
      </c>
      <c r="E2688">
        <v>2020</v>
      </c>
      <c r="F2688">
        <v>1</v>
      </c>
      <c r="G2688">
        <v>651</v>
      </c>
      <c r="H2688" s="1">
        <v>3</v>
      </c>
      <c r="I2688">
        <v>23</v>
      </c>
      <c r="J2688">
        <f>IF($H2688=0,1,IF($I2688&lt;=1,2,0))</f>
        <v>0</v>
      </c>
      <c r="K2688">
        <v>0</v>
      </c>
      <c r="L2688">
        <f>IF(AND($J2688=0,$K2688=0),0,1)</f>
        <v>0</v>
      </c>
      <c r="M2688" t="s">
        <v>855</v>
      </c>
    </row>
    <row r="2689" spans="1:13" x14ac:dyDescent="0.2">
      <c r="A2689" t="s">
        <v>93</v>
      </c>
      <c r="B2689" t="s">
        <v>17</v>
      </c>
      <c r="C2689" t="s">
        <v>9</v>
      </c>
      <c r="D2689">
        <v>1020</v>
      </c>
      <c r="E2689">
        <v>2020</v>
      </c>
      <c r="F2689">
        <v>1</v>
      </c>
      <c r="G2689">
        <v>656</v>
      </c>
      <c r="H2689" s="1">
        <v>3</v>
      </c>
      <c r="I2689">
        <v>9</v>
      </c>
      <c r="J2689">
        <f>IF($H2689=0,1,IF($I2689&lt;=1,2,0))</f>
        <v>0</v>
      </c>
      <c r="K2689">
        <v>0</v>
      </c>
      <c r="L2689">
        <f>IF(AND($J2689=0,$K2689=0),0,1)</f>
        <v>0</v>
      </c>
      <c r="M2689" t="s">
        <v>856</v>
      </c>
    </row>
    <row r="2690" spans="1:13" x14ac:dyDescent="0.2">
      <c r="A2690" t="s">
        <v>93</v>
      </c>
      <c r="B2690" t="s">
        <v>17</v>
      </c>
      <c r="C2690" t="s">
        <v>21</v>
      </c>
      <c r="D2690">
        <v>2101</v>
      </c>
      <c r="E2690">
        <v>2020</v>
      </c>
      <c r="F2690">
        <v>1</v>
      </c>
      <c r="G2690">
        <v>658</v>
      </c>
      <c r="H2690" s="1">
        <v>4.5</v>
      </c>
      <c r="I2690">
        <v>16</v>
      </c>
      <c r="J2690">
        <f>IF($H2690=0,1,IF($I2690&lt;=1,2,0))</f>
        <v>0</v>
      </c>
      <c r="K2690">
        <v>0</v>
      </c>
      <c r="L2690">
        <f>IF(AND($J2690=0,$K2690=0),0,1)</f>
        <v>0</v>
      </c>
      <c r="M2690" t="s">
        <v>856</v>
      </c>
    </row>
    <row r="2691" spans="1:13" x14ac:dyDescent="0.2">
      <c r="A2691" t="s">
        <v>93</v>
      </c>
      <c r="B2691" t="s">
        <v>17</v>
      </c>
      <c r="C2691" t="s">
        <v>21</v>
      </c>
      <c r="D2691">
        <v>2103</v>
      </c>
      <c r="E2691">
        <v>2020</v>
      </c>
      <c r="F2691">
        <v>1</v>
      </c>
      <c r="G2691">
        <v>660</v>
      </c>
      <c r="H2691" s="1">
        <v>4.5</v>
      </c>
      <c r="I2691">
        <v>13</v>
      </c>
      <c r="J2691">
        <f>IF($H2691=0,1,IF($I2691&lt;=1,2,0))</f>
        <v>0</v>
      </c>
      <c r="K2691">
        <v>0</v>
      </c>
      <c r="L2691">
        <f>IF(AND($J2691=0,$K2691=0),0,1)</f>
        <v>0</v>
      </c>
      <c r="M2691" t="s">
        <v>856</v>
      </c>
    </row>
    <row r="2692" spans="1:13" x14ac:dyDescent="0.2">
      <c r="A2692" t="s">
        <v>93</v>
      </c>
      <c r="B2692" t="s">
        <v>17</v>
      </c>
      <c r="C2692" t="s">
        <v>21</v>
      </c>
      <c r="D2692">
        <v>3201</v>
      </c>
      <c r="E2692">
        <v>2020</v>
      </c>
      <c r="F2692">
        <v>1</v>
      </c>
      <c r="G2692">
        <v>662</v>
      </c>
      <c r="H2692" s="1">
        <v>4.5</v>
      </c>
      <c r="I2692">
        <v>35</v>
      </c>
      <c r="J2692">
        <f>IF($H2692=0,1,IF($I2692&lt;=1,2,0))</f>
        <v>0</v>
      </c>
      <c r="K2692">
        <v>0</v>
      </c>
      <c r="L2692">
        <f>IF(AND($J2692=0,$K2692=0),0,1)</f>
        <v>0</v>
      </c>
      <c r="M2692" t="s">
        <v>856</v>
      </c>
    </row>
    <row r="2693" spans="1:13" x14ac:dyDescent="0.2">
      <c r="A2693" t="s">
        <v>93</v>
      </c>
      <c r="B2693" t="s">
        <v>17</v>
      </c>
      <c r="C2693" t="s">
        <v>21</v>
      </c>
      <c r="D2693">
        <v>3290</v>
      </c>
      <c r="E2693">
        <v>2020</v>
      </c>
      <c r="F2693">
        <v>1</v>
      </c>
      <c r="G2693">
        <v>664</v>
      </c>
      <c r="H2693" s="1">
        <v>3</v>
      </c>
      <c r="I2693">
        <v>16</v>
      </c>
      <c r="J2693">
        <f>IF($H2693=0,1,IF($I2693&lt;=1,2,0))</f>
        <v>0</v>
      </c>
      <c r="K2693">
        <v>0</v>
      </c>
      <c r="L2693">
        <f>IF(AND($J2693=0,$K2693=0),0,1)</f>
        <v>0</v>
      </c>
      <c r="M2693" t="s">
        <v>856</v>
      </c>
    </row>
    <row r="2694" spans="1:13" x14ac:dyDescent="0.2">
      <c r="A2694" t="s">
        <v>93</v>
      </c>
      <c r="B2694" t="s">
        <v>17</v>
      </c>
      <c r="C2694" t="s">
        <v>9</v>
      </c>
      <c r="D2694">
        <v>3502</v>
      </c>
      <c r="E2694">
        <v>2020</v>
      </c>
      <c r="F2694">
        <v>1</v>
      </c>
      <c r="G2694">
        <v>684</v>
      </c>
      <c r="H2694" s="1">
        <v>3</v>
      </c>
      <c r="I2694">
        <v>36</v>
      </c>
      <c r="J2694">
        <f>IF($H2694=0,1,IF($I2694&lt;=1,2,0))</f>
        <v>0</v>
      </c>
      <c r="K2694">
        <v>0</v>
      </c>
      <c r="L2694">
        <f>IF(AND($J2694=0,$K2694=0),0,1)</f>
        <v>0</v>
      </c>
      <c r="M2694" t="s">
        <v>857</v>
      </c>
    </row>
    <row r="2695" spans="1:13" x14ac:dyDescent="0.2">
      <c r="A2695" t="s">
        <v>93</v>
      </c>
      <c r="B2695" t="s">
        <v>17</v>
      </c>
      <c r="C2695" t="s">
        <v>9</v>
      </c>
      <c r="D2695">
        <v>3901</v>
      </c>
      <c r="E2695">
        <v>2020</v>
      </c>
      <c r="F2695">
        <v>1</v>
      </c>
      <c r="G2695">
        <v>667</v>
      </c>
      <c r="H2695" s="1">
        <v>4</v>
      </c>
      <c r="I2695">
        <v>15</v>
      </c>
      <c r="J2695">
        <f>IF($H2695=0,1,IF($I2695&lt;=1,2,0))</f>
        <v>0</v>
      </c>
      <c r="K2695">
        <v>0</v>
      </c>
      <c r="L2695">
        <f>IF(AND($J2695=0,$K2695=0),0,1)</f>
        <v>0</v>
      </c>
      <c r="M2695" t="s">
        <v>856</v>
      </c>
    </row>
    <row r="2696" spans="1:13" x14ac:dyDescent="0.2">
      <c r="A2696" t="s">
        <v>93</v>
      </c>
      <c r="B2696" t="s">
        <v>17</v>
      </c>
      <c r="C2696" t="s">
        <v>9</v>
      </c>
      <c r="D2696">
        <v>4250</v>
      </c>
      <c r="E2696">
        <v>2020</v>
      </c>
      <c r="F2696">
        <v>1</v>
      </c>
      <c r="G2696">
        <v>766</v>
      </c>
      <c r="H2696" s="1">
        <v>4</v>
      </c>
      <c r="I2696">
        <v>15</v>
      </c>
      <c r="J2696">
        <f>IF($H2696=0,1,IF($I2696&lt;=1,2,0))</f>
        <v>0</v>
      </c>
      <c r="K2696">
        <v>0</v>
      </c>
      <c r="L2696">
        <f>IF(AND($J2696=0,$K2696=0),0,1)</f>
        <v>0</v>
      </c>
      <c r="M2696" t="s">
        <v>856</v>
      </c>
    </row>
    <row r="2697" spans="1:13" x14ac:dyDescent="0.2">
      <c r="A2697" t="s">
        <v>129</v>
      </c>
      <c r="B2697" t="s">
        <v>6</v>
      </c>
      <c r="C2697" t="s">
        <v>21</v>
      </c>
      <c r="D2697">
        <v>1359</v>
      </c>
      <c r="E2697">
        <v>2020</v>
      </c>
      <c r="F2697">
        <v>1</v>
      </c>
      <c r="G2697">
        <v>10615</v>
      </c>
      <c r="H2697" s="1">
        <v>4</v>
      </c>
      <c r="I2697">
        <v>59</v>
      </c>
      <c r="J2697">
        <f>IF($H2697=0,1,IF($I2697&lt;=1,2,0))</f>
        <v>0</v>
      </c>
      <c r="K2697">
        <v>0</v>
      </c>
      <c r="L2697">
        <f>IF(AND($J2697=0,$K2697=0),0,1)</f>
        <v>0</v>
      </c>
    </row>
    <row r="2698" spans="1:13" x14ac:dyDescent="0.2">
      <c r="A2698" t="s">
        <v>129</v>
      </c>
      <c r="B2698" t="s">
        <v>6</v>
      </c>
      <c r="C2698" t="s">
        <v>21</v>
      </c>
      <c r="D2698">
        <v>1361</v>
      </c>
      <c r="E2698">
        <v>2020</v>
      </c>
      <c r="F2698">
        <v>1</v>
      </c>
      <c r="G2698">
        <v>10617</v>
      </c>
      <c r="H2698" s="1">
        <v>4</v>
      </c>
      <c r="I2698">
        <v>63</v>
      </c>
      <c r="J2698">
        <f>IF($H2698=0,1,IF($I2698&lt;=1,2,0))</f>
        <v>0</v>
      </c>
      <c r="K2698">
        <v>0</v>
      </c>
      <c r="L2698">
        <f>IF(AND($J2698=0,$K2698=0),0,1)</f>
        <v>0</v>
      </c>
    </row>
    <row r="2699" spans="1:13" x14ac:dyDescent="0.2">
      <c r="A2699" t="s">
        <v>129</v>
      </c>
      <c r="B2699" t="s">
        <v>6</v>
      </c>
      <c r="C2699" t="s">
        <v>9</v>
      </c>
      <c r="D2699">
        <v>1367</v>
      </c>
      <c r="E2699">
        <v>2020</v>
      </c>
      <c r="F2699">
        <v>1</v>
      </c>
      <c r="G2699">
        <v>10619</v>
      </c>
      <c r="H2699" s="1">
        <v>4</v>
      </c>
      <c r="I2699">
        <v>62</v>
      </c>
      <c r="J2699">
        <f>IF($H2699=0,1,IF($I2699&lt;=1,2,0))</f>
        <v>0</v>
      </c>
      <c r="K2699">
        <v>0</v>
      </c>
      <c r="L2699">
        <f>IF(AND($J2699=0,$K2699=0),0,1)</f>
        <v>0</v>
      </c>
    </row>
    <row r="2700" spans="1:13" x14ac:dyDescent="0.2">
      <c r="A2700" t="s">
        <v>130</v>
      </c>
      <c r="B2700" t="s">
        <v>6</v>
      </c>
      <c r="C2700" t="s">
        <v>21</v>
      </c>
      <c r="D2700">
        <v>2003</v>
      </c>
      <c r="E2700">
        <v>2020</v>
      </c>
      <c r="F2700">
        <v>1</v>
      </c>
      <c r="G2700">
        <v>12229</v>
      </c>
      <c r="H2700" s="1">
        <v>4</v>
      </c>
      <c r="I2700">
        <v>57</v>
      </c>
      <c r="J2700">
        <f>IF($H2700=0,1,IF($I2700&lt;=1,2,0))</f>
        <v>0</v>
      </c>
      <c r="K2700">
        <v>0</v>
      </c>
      <c r="L2700">
        <f>IF(AND($J2700=0,$K2700=0),0,1)</f>
        <v>0</v>
      </c>
      <c r="M2700" t="s">
        <v>875</v>
      </c>
    </row>
    <row r="2701" spans="1:13" x14ac:dyDescent="0.2">
      <c r="A2701" t="s">
        <v>130</v>
      </c>
      <c r="B2701" t="s">
        <v>6</v>
      </c>
      <c r="C2701" t="s">
        <v>21</v>
      </c>
      <c r="D2701">
        <v>2357</v>
      </c>
      <c r="E2701">
        <v>2020</v>
      </c>
      <c r="F2701">
        <v>1</v>
      </c>
      <c r="G2701">
        <v>546</v>
      </c>
      <c r="H2701" s="1">
        <v>4</v>
      </c>
      <c r="I2701">
        <v>65</v>
      </c>
      <c r="J2701">
        <f>IF($H2701=0,1,IF($I2701&lt;=1,2,0))</f>
        <v>0</v>
      </c>
      <c r="K2701">
        <v>0</v>
      </c>
      <c r="L2701">
        <f>IF(AND($J2701=0,$K2701=0),0,1)</f>
        <v>0</v>
      </c>
    </row>
    <row r="2702" spans="1:13" x14ac:dyDescent="0.2">
      <c r="A2702" t="s">
        <v>877</v>
      </c>
      <c r="B2702" t="s">
        <v>133</v>
      </c>
      <c r="C2702" t="s">
        <v>9</v>
      </c>
      <c r="D2702">
        <v>1900</v>
      </c>
      <c r="E2702">
        <v>2020</v>
      </c>
      <c r="F2702">
        <v>1</v>
      </c>
      <c r="G2702">
        <v>21487</v>
      </c>
      <c r="H2702" s="1">
        <v>1</v>
      </c>
      <c r="I2702">
        <v>19</v>
      </c>
      <c r="J2702">
        <f>IF($H2702=0,1,IF($I2702&lt;=1,2,0))</f>
        <v>0</v>
      </c>
      <c r="K2702">
        <v>0</v>
      </c>
      <c r="L2702">
        <f>IF(AND($J2702=0,$K2702=0),0,1)</f>
        <v>0</v>
      </c>
    </row>
    <row r="2703" spans="1:13" x14ac:dyDescent="0.2">
      <c r="A2703" t="s">
        <v>132</v>
      </c>
      <c r="B2703" t="s">
        <v>133</v>
      </c>
      <c r="C2703" t="s">
        <v>9</v>
      </c>
      <c r="D2703">
        <v>1403</v>
      </c>
      <c r="E2703">
        <v>2020</v>
      </c>
      <c r="F2703">
        <v>1</v>
      </c>
      <c r="G2703">
        <v>12064</v>
      </c>
      <c r="H2703" s="1">
        <v>3</v>
      </c>
      <c r="I2703">
        <v>54</v>
      </c>
      <c r="J2703">
        <f>IF($H2703=0,1,IF($I2703&lt;=1,2,0))</f>
        <v>0</v>
      </c>
      <c r="K2703">
        <v>0</v>
      </c>
      <c r="L2703">
        <f>IF(AND($J2703=0,$K2703=0),0,1)</f>
        <v>0</v>
      </c>
    </row>
    <row r="2704" spans="1:13" x14ac:dyDescent="0.2">
      <c r="A2704" t="s">
        <v>132</v>
      </c>
      <c r="B2704" t="s">
        <v>133</v>
      </c>
      <c r="C2704" t="s">
        <v>9</v>
      </c>
      <c r="D2704">
        <v>1404</v>
      </c>
      <c r="E2704">
        <v>2020</v>
      </c>
      <c r="F2704">
        <v>1</v>
      </c>
      <c r="G2704">
        <v>12065</v>
      </c>
      <c r="H2704" s="1">
        <v>3</v>
      </c>
      <c r="I2704">
        <v>73</v>
      </c>
      <c r="J2704">
        <f>IF($H2704=0,1,IF($I2704&lt;=1,2,0))</f>
        <v>0</v>
      </c>
      <c r="K2704">
        <v>0</v>
      </c>
      <c r="L2704">
        <f>IF(AND($J2704=0,$K2704=0),0,1)</f>
        <v>0</v>
      </c>
    </row>
    <row r="2705" spans="1:13" x14ac:dyDescent="0.2">
      <c r="A2705" t="s">
        <v>132</v>
      </c>
      <c r="B2705" t="s">
        <v>133</v>
      </c>
      <c r="C2705" t="s">
        <v>9</v>
      </c>
      <c r="D2705">
        <v>1453</v>
      </c>
      <c r="E2705">
        <v>2020</v>
      </c>
      <c r="F2705">
        <v>1</v>
      </c>
      <c r="G2705">
        <v>20950</v>
      </c>
      <c r="H2705" s="1">
        <v>3</v>
      </c>
      <c r="I2705">
        <v>67</v>
      </c>
      <c r="J2705">
        <f>IF($H2705=0,1,IF($I2705&lt;=1,2,0))</f>
        <v>0</v>
      </c>
      <c r="K2705">
        <v>0</v>
      </c>
      <c r="L2705">
        <f>IF(AND($J2705=0,$K2705=0),0,1)</f>
        <v>0</v>
      </c>
    </row>
    <row r="2706" spans="1:13" x14ac:dyDescent="0.2">
      <c r="A2706" t="s">
        <v>132</v>
      </c>
      <c r="B2706" t="s">
        <v>133</v>
      </c>
      <c r="C2706" t="s">
        <v>7</v>
      </c>
      <c r="D2706">
        <v>1836</v>
      </c>
      <c r="E2706">
        <v>2020</v>
      </c>
      <c r="F2706">
        <v>1</v>
      </c>
      <c r="G2706">
        <v>12067</v>
      </c>
      <c r="H2706" s="1">
        <v>3</v>
      </c>
      <c r="I2706">
        <v>84</v>
      </c>
      <c r="J2706">
        <f>IF($H2706=0,1,IF($I2706&lt;=1,2,0))</f>
        <v>0</v>
      </c>
      <c r="K2706">
        <v>0</v>
      </c>
      <c r="L2706">
        <f>IF(AND($J2706=0,$K2706=0),0,1)</f>
        <v>0</v>
      </c>
    </row>
    <row r="2707" spans="1:13" x14ac:dyDescent="0.2">
      <c r="A2707" t="s">
        <v>132</v>
      </c>
      <c r="B2707" t="s">
        <v>133</v>
      </c>
      <c r="C2707" t="s">
        <v>9</v>
      </c>
      <c r="D2707">
        <v>2001</v>
      </c>
      <c r="E2707">
        <v>2020</v>
      </c>
      <c r="F2707">
        <v>1</v>
      </c>
      <c r="G2707">
        <v>12068</v>
      </c>
      <c r="H2707" s="1">
        <v>3</v>
      </c>
      <c r="I2707">
        <v>38</v>
      </c>
      <c r="J2707">
        <f>IF($H2707=0,1,IF($I2707&lt;=1,2,0))</f>
        <v>0</v>
      </c>
      <c r="K2707">
        <v>0</v>
      </c>
      <c r="L2707">
        <f>IF(AND($J2707=0,$K2707=0),0,1)</f>
        <v>0</v>
      </c>
    </row>
    <row r="2708" spans="1:13" x14ac:dyDescent="0.2">
      <c r="A2708" t="s">
        <v>132</v>
      </c>
      <c r="B2708" t="s">
        <v>133</v>
      </c>
      <c r="C2708" t="s">
        <v>9</v>
      </c>
      <c r="D2708">
        <v>2900</v>
      </c>
      <c r="E2708">
        <v>2020</v>
      </c>
      <c r="F2708">
        <v>1</v>
      </c>
      <c r="G2708">
        <v>12069</v>
      </c>
      <c r="H2708" s="1">
        <v>1</v>
      </c>
      <c r="I2708">
        <v>48</v>
      </c>
      <c r="J2708">
        <f>IF($H2708=0,1,IF($I2708&lt;=1,2,0))</f>
        <v>0</v>
      </c>
      <c r="K2708">
        <v>0</v>
      </c>
      <c r="L2708">
        <f>IF(AND($J2708=0,$K2708=0),0,1)</f>
        <v>0</v>
      </c>
    </row>
    <row r="2709" spans="1:13" x14ac:dyDescent="0.2">
      <c r="A2709" t="s">
        <v>132</v>
      </c>
      <c r="B2709" t="s">
        <v>133</v>
      </c>
      <c r="C2709" t="s">
        <v>7</v>
      </c>
      <c r="D2709">
        <v>3101</v>
      </c>
      <c r="E2709">
        <v>2020</v>
      </c>
      <c r="F2709">
        <v>1</v>
      </c>
      <c r="G2709">
        <v>12070</v>
      </c>
      <c r="H2709" s="1">
        <v>3</v>
      </c>
      <c r="I2709">
        <v>14</v>
      </c>
      <c r="J2709">
        <f>IF($H2709=0,1,IF($I2709&lt;=1,2,0))</f>
        <v>0</v>
      </c>
      <c r="K2709">
        <v>0</v>
      </c>
      <c r="L2709">
        <f>IF(AND($J2709=0,$K2709=0),0,1)</f>
        <v>0</v>
      </c>
    </row>
    <row r="2710" spans="1:13" x14ac:dyDescent="0.2">
      <c r="A2710" t="s">
        <v>132</v>
      </c>
      <c r="B2710" t="s">
        <v>133</v>
      </c>
      <c r="C2710" t="s">
        <v>7</v>
      </c>
      <c r="D2710">
        <v>3105</v>
      </c>
      <c r="E2710">
        <v>2020</v>
      </c>
      <c r="F2710">
        <v>1</v>
      </c>
      <c r="G2710">
        <v>12071</v>
      </c>
      <c r="H2710" s="1">
        <v>3</v>
      </c>
      <c r="I2710">
        <v>33</v>
      </c>
      <c r="J2710">
        <f>IF($H2710=0,1,IF($I2710&lt;=1,2,0))</f>
        <v>0</v>
      </c>
      <c r="K2710">
        <v>0</v>
      </c>
      <c r="L2710">
        <f>IF(AND($J2710=0,$K2710=0),0,1)</f>
        <v>0</v>
      </c>
    </row>
    <row r="2711" spans="1:13" x14ac:dyDescent="0.2">
      <c r="A2711" t="s">
        <v>132</v>
      </c>
      <c r="B2711" t="s">
        <v>133</v>
      </c>
      <c r="C2711" t="s">
        <v>11</v>
      </c>
      <c r="D2711">
        <v>6003</v>
      </c>
      <c r="E2711">
        <v>2020</v>
      </c>
      <c r="F2711">
        <v>1</v>
      </c>
      <c r="G2711">
        <v>12073</v>
      </c>
      <c r="H2711" s="1">
        <v>3</v>
      </c>
      <c r="I2711">
        <v>13</v>
      </c>
      <c r="J2711">
        <f>IF($H2711=0,1,IF($I2711&lt;=1,2,0))</f>
        <v>0</v>
      </c>
      <c r="K2711">
        <v>0</v>
      </c>
      <c r="L2711">
        <f>IF(AND($J2711=0,$K2711=0),0,1)</f>
        <v>0</v>
      </c>
    </row>
    <row r="2712" spans="1:13" x14ac:dyDescent="0.2">
      <c r="A2712" t="s">
        <v>132</v>
      </c>
      <c r="B2712" t="s">
        <v>133</v>
      </c>
      <c r="C2712" t="s">
        <v>11</v>
      </c>
      <c r="D2712">
        <v>6005</v>
      </c>
      <c r="E2712">
        <v>2020</v>
      </c>
      <c r="F2712">
        <v>1</v>
      </c>
      <c r="G2712">
        <v>12074</v>
      </c>
      <c r="H2712" s="1">
        <v>3</v>
      </c>
      <c r="I2712">
        <v>13</v>
      </c>
      <c r="J2712">
        <f>IF($H2712=0,1,IF($I2712&lt;=1,2,0))</f>
        <v>0</v>
      </c>
      <c r="K2712">
        <v>0</v>
      </c>
      <c r="L2712">
        <f>IF(AND($J2712=0,$K2712=0),0,1)</f>
        <v>0</v>
      </c>
    </row>
    <row r="2713" spans="1:13" x14ac:dyDescent="0.2">
      <c r="A2713" t="s">
        <v>134</v>
      </c>
      <c r="B2713" t="s">
        <v>133</v>
      </c>
      <c r="C2713" t="s">
        <v>9</v>
      </c>
      <c r="D2713">
        <v>3300</v>
      </c>
      <c r="E2713">
        <v>2020</v>
      </c>
      <c r="F2713">
        <v>1</v>
      </c>
      <c r="G2713">
        <v>11915</v>
      </c>
      <c r="H2713" s="1">
        <v>3</v>
      </c>
      <c r="I2713">
        <v>59</v>
      </c>
      <c r="J2713">
        <f>IF($H2713=0,1,IF($I2713&lt;=1,2,0))</f>
        <v>0</v>
      </c>
      <c r="K2713">
        <v>0</v>
      </c>
      <c r="L2713">
        <f>IF(AND($J2713=0,$K2713=0),0,1)</f>
        <v>0</v>
      </c>
      <c r="M2713" t="s">
        <v>1980</v>
      </c>
    </row>
    <row r="2714" spans="1:13" x14ac:dyDescent="0.2">
      <c r="A2714" t="s">
        <v>134</v>
      </c>
      <c r="B2714" t="s">
        <v>133</v>
      </c>
      <c r="C2714" t="s">
        <v>11</v>
      </c>
      <c r="D2714">
        <v>4250</v>
      </c>
      <c r="E2714">
        <v>2020</v>
      </c>
      <c r="F2714">
        <v>1</v>
      </c>
      <c r="G2714">
        <v>23267</v>
      </c>
      <c r="H2714" s="1">
        <v>4.5</v>
      </c>
      <c r="I2714">
        <v>8</v>
      </c>
      <c r="J2714">
        <f>IF($H2714=0,1,IF($I2714&lt;=1,2,0))</f>
        <v>0</v>
      </c>
      <c r="K2714">
        <v>0</v>
      </c>
      <c r="L2714">
        <f>IF(AND($J2714=0,$K2714=0),0,1)</f>
        <v>0</v>
      </c>
    </row>
    <row r="2715" spans="1:13" x14ac:dyDescent="0.2">
      <c r="A2715" t="s">
        <v>134</v>
      </c>
      <c r="B2715" t="s">
        <v>133</v>
      </c>
      <c r="C2715" t="s">
        <v>9</v>
      </c>
      <c r="D2715">
        <v>4323</v>
      </c>
      <c r="E2715">
        <v>2020</v>
      </c>
      <c r="F2715">
        <v>1</v>
      </c>
      <c r="G2715">
        <v>11636</v>
      </c>
      <c r="H2715" s="1">
        <v>4</v>
      </c>
      <c r="I2715">
        <v>21</v>
      </c>
      <c r="J2715">
        <f>IF($H2715=0,1,IF($I2715&lt;=1,2,0))</f>
        <v>0</v>
      </c>
      <c r="K2715">
        <v>0</v>
      </c>
      <c r="L2715">
        <f>IF(AND($J2715=0,$K2715=0),0,1)</f>
        <v>0</v>
      </c>
    </row>
    <row r="2716" spans="1:13" x14ac:dyDescent="0.2">
      <c r="A2716" t="s">
        <v>134</v>
      </c>
      <c r="B2716" t="s">
        <v>133</v>
      </c>
      <c r="C2716" t="s">
        <v>9</v>
      </c>
      <c r="D2716">
        <v>4501</v>
      </c>
      <c r="E2716">
        <v>2020</v>
      </c>
      <c r="F2716">
        <v>1</v>
      </c>
      <c r="G2716">
        <v>11567</v>
      </c>
      <c r="H2716" s="1">
        <v>4</v>
      </c>
      <c r="I2716">
        <v>108</v>
      </c>
      <c r="J2716">
        <f>IF($H2716=0,1,IF($I2716&lt;=1,2,0))</f>
        <v>0</v>
      </c>
      <c r="K2716">
        <v>0</v>
      </c>
      <c r="L2716">
        <f>IF(AND($J2716=0,$K2716=0),0,1)</f>
        <v>0</v>
      </c>
      <c r="M2716" t="s">
        <v>135</v>
      </c>
    </row>
    <row r="2717" spans="1:13" x14ac:dyDescent="0.2">
      <c r="A2717" t="s">
        <v>138</v>
      </c>
      <c r="B2717" t="s">
        <v>17</v>
      </c>
      <c r="C2717" t="s">
        <v>9</v>
      </c>
      <c r="D2717">
        <v>1101</v>
      </c>
      <c r="E2717">
        <v>2020</v>
      </c>
      <c r="F2717">
        <v>1</v>
      </c>
      <c r="G2717">
        <v>10534</v>
      </c>
      <c r="H2717" s="1">
        <v>4</v>
      </c>
      <c r="I2717">
        <v>14</v>
      </c>
      <c r="J2717">
        <f>IF($H2717=0,1,IF($I2717&lt;=1,2,0))</f>
        <v>0</v>
      </c>
      <c r="K2717">
        <v>0</v>
      </c>
      <c r="L2717">
        <f>IF(AND($J2717=0,$K2717=0),0,1)</f>
        <v>0</v>
      </c>
    </row>
    <row r="2718" spans="1:13" x14ac:dyDescent="0.2">
      <c r="A2718" t="s">
        <v>138</v>
      </c>
      <c r="B2718" t="s">
        <v>17</v>
      </c>
      <c r="C2718" t="s">
        <v>9</v>
      </c>
      <c r="D2718">
        <v>2101</v>
      </c>
      <c r="E2718">
        <v>2020</v>
      </c>
      <c r="F2718">
        <v>1</v>
      </c>
      <c r="G2718">
        <v>10535</v>
      </c>
      <c r="H2718" s="1">
        <v>4</v>
      </c>
      <c r="I2718">
        <v>5</v>
      </c>
      <c r="J2718">
        <f>IF($H2718=0,1,IF($I2718&lt;=1,2,0))</f>
        <v>0</v>
      </c>
      <c r="K2718">
        <v>0</v>
      </c>
      <c r="L2718">
        <f>IF(AND($J2718=0,$K2718=0),0,1)</f>
        <v>0</v>
      </c>
    </row>
    <row r="2719" spans="1:13" x14ac:dyDescent="0.2">
      <c r="A2719" t="s">
        <v>139</v>
      </c>
      <c r="B2719" t="s">
        <v>17</v>
      </c>
      <c r="C2719" t="s">
        <v>9</v>
      </c>
      <c r="D2719">
        <v>1101</v>
      </c>
      <c r="E2719">
        <v>2020</v>
      </c>
      <c r="F2719">
        <v>1</v>
      </c>
      <c r="G2719">
        <v>11948</v>
      </c>
      <c r="H2719" s="1">
        <v>4</v>
      </c>
      <c r="I2719">
        <v>12</v>
      </c>
      <c r="J2719">
        <f>IF($H2719=0,1,IF($I2719&lt;=1,2,0))</f>
        <v>0</v>
      </c>
      <c r="K2719">
        <v>0</v>
      </c>
      <c r="L2719">
        <f>IF(AND($J2719=0,$K2719=0),0,1)</f>
        <v>0</v>
      </c>
    </row>
    <row r="2720" spans="1:13" x14ac:dyDescent="0.2">
      <c r="A2720" t="s">
        <v>139</v>
      </c>
      <c r="B2720" t="s">
        <v>17</v>
      </c>
      <c r="C2720" t="s">
        <v>9</v>
      </c>
      <c r="D2720">
        <v>2101</v>
      </c>
      <c r="E2720">
        <v>2020</v>
      </c>
      <c r="F2720">
        <v>1</v>
      </c>
      <c r="G2720">
        <v>11949</v>
      </c>
      <c r="H2720" s="1">
        <v>4</v>
      </c>
      <c r="I2720">
        <v>4</v>
      </c>
      <c r="J2720">
        <f>IF($H2720=0,1,IF($I2720&lt;=1,2,0))</f>
        <v>0</v>
      </c>
      <c r="K2720">
        <v>0</v>
      </c>
      <c r="L2720">
        <f>IF(AND($J2720=0,$K2720=0),0,1)</f>
        <v>0</v>
      </c>
    </row>
    <row r="2721" spans="1:13" x14ac:dyDescent="0.2">
      <c r="A2721" t="s">
        <v>140</v>
      </c>
      <c r="B2721" t="s">
        <v>133</v>
      </c>
      <c r="C2721" t="s">
        <v>11</v>
      </c>
      <c r="D2721">
        <v>4001</v>
      </c>
      <c r="E2721">
        <v>2020</v>
      </c>
      <c r="F2721">
        <v>1</v>
      </c>
      <c r="G2721">
        <v>13051</v>
      </c>
      <c r="H2721" s="1">
        <v>3</v>
      </c>
      <c r="I2721">
        <v>15</v>
      </c>
      <c r="J2721">
        <f>IF($H2721=0,1,IF($I2721&lt;=1,2,0))</f>
        <v>0</v>
      </c>
      <c r="K2721">
        <v>0</v>
      </c>
      <c r="L2721">
        <f>IF(AND($J2721=0,$K2721=0),0,1)</f>
        <v>0</v>
      </c>
    </row>
    <row r="2722" spans="1:13" x14ac:dyDescent="0.2">
      <c r="A2722" t="s">
        <v>140</v>
      </c>
      <c r="B2722" t="s">
        <v>133</v>
      </c>
      <c r="C2722" t="s">
        <v>11</v>
      </c>
      <c r="D2722">
        <v>4003</v>
      </c>
      <c r="E2722">
        <v>2020</v>
      </c>
      <c r="F2722">
        <v>1</v>
      </c>
      <c r="G2722">
        <v>13056</v>
      </c>
      <c r="H2722" s="1">
        <v>3</v>
      </c>
      <c r="I2722">
        <v>11</v>
      </c>
      <c r="J2722">
        <f>IF($H2722=0,1,IF($I2722&lt;=1,2,0))</f>
        <v>0</v>
      </c>
      <c r="K2722">
        <v>0</v>
      </c>
      <c r="L2722">
        <f>IF(AND($J2722=0,$K2722=0),0,1)</f>
        <v>0</v>
      </c>
    </row>
    <row r="2723" spans="1:13" x14ac:dyDescent="0.2">
      <c r="A2723" t="s">
        <v>140</v>
      </c>
      <c r="B2723" t="s">
        <v>133</v>
      </c>
      <c r="C2723" t="s">
        <v>11</v>
      </c>
      <c r="D2723">
        <v>4011</v>
      </c>
      <c r="E2723">
        <v>2020</v>
      </c>
      <c r="F2723">
        <v>1</v>
      </c>
      <c r="G2723">
        <v>13064</v>
      </c>
      <c r="H2723" s="1">
        <v>3</v>
      </c>
      <c r="I2723">
        <v>6</v>
      </c>
      <c r="J2723">
        <f>IF($H2723=0,1,IF($I2723&lt;=1,2,0))</f>
        <v>0</v>
      </c>
      <c r="K2723">
        <v>0</v>
      </c>
      <c r="L2723">
        <f>IF(AND($J2723=0,$K2723=0),0,1)</f>
        <v>0</v>
      </c>
      <c r="M2723" t="s">
        <v>881</v>
      </c>
    </row>
    <row r="2724" spans="1:13" x14ac:dyDescent="0.2">
      <c r="A2724" t="s">
        <v>140</v>
      </c>
      <c r="B2724" t="s">
        <v>133</v>
      </c>
      <c r="C2724" t="s">
        <v>11</v>
      </c>
      <c r="D2724">
        <v>6001</v>
      </c>
      <c r="E2724">
        <v>2020</v>
      </c>
      <c r="F2724">
        <v>2</v>
      </c>
      <c r="G2724">
        <v>13069</v>
      </c>
      <c r="H2724" s="1" t="s">
        <v>1834</v>
      </c>
      <c r="I2724">
        <v>4</v>
      </c>
      <c r="J2724">
        <f>IF($H2724=0,1,IF($I2724&lt;=1,2,0))</f>
        <v>0</v>
      </c>
      <c r="K2724">
        <v>0</v>
      </c>
      <c r="L2724">
        <f>IF(AND($J2724=0,$K2724=0),0,1)</f>
        <v>0</v>
      </c>
    </row>
    <row r="2725" spans="1:13" x14ac:dyDescent="0.2">
      <c r="A2725" t="s">
        <v>140</v>
      </c>
      <c r="B2725" t="s">
        <v>133</v>
      </c>
      <c r="C2725" t="s">
        <v>11</v>
      </c>
      <c r="D2725">
        <v>6001</v>
      </c>
      <c r="E2725">
        <v>2020</v>
      </c>
      <c r="F2725">
        <v>9</v>
      </c>
      <c r="G2725">
        <v>13078</v>
      </c>
      <c r="H2725" s="1" t="s">
        <v>1834</v>
      </c>
      <c r="I2725">
        <v>3</v>
      </c>
      <c r="J2725">
        <f>IF($H2725=0,1,IF($I2725&lt;=1,2,0))</f>
        <v>0</v>
      </c>
      <c r="K2725">
        <v>0</v>
      </c>
      <c r="L2725">
        <f>IF(AND($J2725=0,$K2725=0),0,1)</f>
        <v>0</v>
      </c>
    </row>
    <row r="2726" spans="1:13" x14ac:dyDescent="0.2">
      <c r="A2726" t="s">
        <v>140</v>
      </c>
      <c r="B2726" t="s">
        <v>133</v>
      </c>
      <c r="C2726" t="s">
        <v>11</v>
      </c>
      <c r="D2726">
        <v>6001</v>
      </c>
      <c r="E2726">
        <v>2020</v>
      </c>
      <c r="F2726">
        <v>13</v>
      </c>
      <c r="G2726">
        <v>13082</v>
      </c>
      <c r="H2726" s="1" t="s">
        <v>1834</v>
      </c>
      <c r="I2726">
        <v>3</v>
      </c>
      <c r="J2726">
        <f>IF($H2726=0,1,IF($I2726&lt;=1,2,0))</f>
        <v>0</v>
      </c>
      <c r="K2726">
        <v>0</v>
      </c>
      <c r="L2726">
        <f>IF(AND($J2726=0,$K2726=0),0,1)</f>
        <v>0</v>
      </c>
    </row>
    <row r="2727" spans="1:13" x14ac:dyDescent="0.2">
      <c r="A2727" t="s">
        <v>140</v>
      </c>
      <c r="B2727" t="s">
        <v>133</v>
      </c>
      <c r="C2727" t="s">
        <v>11</v>
      </c>
      <c r="D2727">
        <v>6001</v>
      </c>
      <c r="E2727">
        <v>2020</v>
      </c>
      <c r="F2727">
        <v>16</v>
      </c>
      <c r="G2727">
        <v>13085</v>
      </c>
      <c r="H2727" s="1" t="s">
        <v>1834</v>
      </c>
      <c r="I2727">
        <v>3</v>
      </c>
      <c r="J2727">
        <f>IF($H2727=0,1,IF($I2727&lt;=1,2,0))</f>
        <v>0</v>
      </c>
      <c r="K2727">
        <v>0</v>
      </c>
      <c r="L2727">
        <f>IF(AND($J2727=0,$K2727=0),0,1)</f>
        <v>0</v>
      </c>
    </row>
    <row r="2728" spans="1:13" x14ac:dyDescent="0.2">
      <c r="A2728" t="s">
        <v>140</v>
      </c>
      <c r="B2728" t="s">
        <v>133</v>
      </c>
      <c r="C2728" t="s">
        <v>11</v>
      </c>
      <c r="D2728">
        <v>6001</v>
      </c>
      <c r="E2728">
        <v>2020</v>
      </c>
      <c r="F2728">
        <v>7</v>
      </c>
      <c r="G2728">
        <v>13075</v>
      </c>
      <c r="H2728" s="1" t="s">
        <v>1834</v>
      </c>
      <c r="I2728">
        <v>2</v>
      </c>
      <c r="J2728">
        <f>IF($H2728=0,1,IF($I2728&lt;=1,2,0))</f>
        <v>0</v>
      </c>
      <c r="K2728">
        <v>0</v>
      </c>
      <c r="L2728">
        <f>IF(AND($J2728=0,$K2728=0),0,1)</f>
        <v>0</v>
      </c>
    </row>
    <row r="2729" spans="1:13" x14ac:dyDescent="0.2">
      <c r="A2729" t="s">
        <v>140</v>
      </c>
      <c r="B2729" t="s">
        <v>133</v>
      </c>
      <c r="C2729" t="s">
        <v>11</v>
      </c>
      <c r="D2729">
        <v>6001</v>
      </c>
      <c r="E2729">
        <v>2020</v>
      </c>
      <c r="F2729">
        <v>12</v>
      </c>
      <c r="G2729">
        <v>13081</v>
      </c>
      <c r="H2729" s="1" t="s">
        <v>1834</v>
      </c>
      <c r="I2729">
        <v>2</v>
      </c>
      <c r="J2729">
        <f>IF($H2729=0,1,IF($I2729&lt;=1,2,0))</f>
        <v>0</v>
      </c>
      <c r="K2729">
        <v>0</v>
      </c>
      <c r="L2729">
        <f>IF(AND($J2729=0,$K2729=0),0,1)</f>
        <v>0</v>
      </c>
    </row>
    <row r="2730" spans="1:13" x14ac:dyDescent="0.2">
      <c r="A2730" t="s">
        <v>140</v>
      </c>
      <c r="B2730" t="s">
        <v>133</v>
      </c>
      <c r="C2730" t="s">
        <v>11</v>
      </c>
      <c r="D2730">
        <v>6001</v>
      </c>
      <c r="E2730">
        <v>2020</v>
      </c>
      <c r="F2730">
        <v>15</v>
      </c>
      <c r="G2730">
        <v>13084</v>
      </c>
      <c r="H2730" s="1" t="s">
        <v>1834</v>
      </c>
      <c r="I2730">
        <v>2</v>
      </c>
      <c r="J2730">
        <f>IF($H2730=0,1,IF($I2730&lt;=1,2,0))</f>
        <v>0</v>
      </c>
      <c r="K2730">
        <v>0</v>
      </c>
      <c r="L2730">
        <f>IF(AND($J2730=0,$K2730=0),0,1)</f>
        <v>0</v>
      </c>
    </row>
    <row r="2731" spans="1:13" x14ac:dyDescent="0.2">
      <c r="A2731" t="s">
        <v>140</v>
      </c>
      <c r="B2731" t="s">
        <v>133</v>
      </c>
      <c r="C2731" t="s">
        <v>11</v>
      </c>
      <c r="D2731">
        <v>6001</v>
      </c>
      <c r="E2731">
        <v>2020</v>
      </c>
      <c r="F2731">
        <v>18</v>
      </c>
      <c r="G2731">
        <v>13076</v>
      </c>
      <c r="H2731" s="1" t="s">
        <v>1834</v>
      </c>
      <c r="I2731">
        <v>2</v>
      </c>
      <c r="J2731">
        <f>IF($H2731=0,1,IF($I2731&lt;=1,2,0))</f>
        <v>0</v>
      </c>
      <c r="K2731">
        <v>0</v>
      </c>
      <c r="L2731">
        <f>IF(AND($J2731=0,$K2731=0),0,1)</f>
        <v>0</v>
      </c>
    </row>
    <row r="2732" spans="1:13" x14ac:dyDescent="0.2">
      <c r="A2732" t="s">
        <v>140</v>
      </c>
      <c r="B2732" t="s">
        <v>133</v>
      </c>
      <c r="C2732" t="s">
        <v>11</v>
      </c>
      <c r="D2732">
        <v>6001</v>
      </c>
      <c r="E2732">
        <v>2020</v>
      </c>
      <c r="F2732">
        <v>23</v>
      </c>
      <c r="G2732">
        <v>23297</v>
      </c>
      <c r="H2732" s="1" t="s">
        <v>1834</v>
      </c>
      <c r="I2732">
        <v>2</v>
      </c>
      <c r="J2732">
        <f>IF($H2732=0,1,IF($I2732&lt;=1,2,0))</f>
        <v>0</v>
      </c>
      <c r="K2732">
        <v>0</v>
      </c>
      <c r="L2732">
        <f>IF(AND($J2732=0,$K2732=0),0,1)</f>
        <v>0</v>
      </c>
    </row>
    <row r="2733" spans="1:13" x14ac:dyDescent="0.2">
      <c r="A2733" t="s">
        <v>142</v>
      </c>
      <c r="B2733" t="s">
        <v>133</v>
      </c>
      <c r="C2733" t="s">
        <v>7</v>
      </c>
      <c r="D2733">
        <v>1908</v>
      </c>
      <c r="E2733">
        <v>2020</v>
      </c>
      <c r="F2733">
        <v>1</v>
      </c>
      <c r="G2733">
        <v>12184</v>
      </c>
      <c r="H2733" s="1">
        <v>1</v>
      </c>
      <c r="I2733">
        <v>70</v>
      </c>
      <c r="J2733">
        <f>IF($H2733=0,1,IF($I2733&lt;=1,2,0))</f>
        <v>0</v>
      </c>
      <c r="K2733">
        <v>0</v>
      </c>
      <c r="L2733">
        <f>IF(AND($J2733=0,$K2733=0),0,1)</f>
        <v>0</v>
      </c>
      <c r="M2733" t="s">
        <v>888</v>
      </c>
    </row>
    <row r="2734" spans="1:13" x14ac:dyDescent="0.2">
      <c r="A2734" t="s">
        <v>142</v>
      </c>
      <c r="B2734" t="s">
        <v>133</v>
      </c>
      <c r="C2734" t="s">
        <v>7</v>
      </c>
      <c r="D2734">
        <v>2005</v>
      </c>
      <c r="E2734">
        <v>2020</v>
      </c>
      <c r="F2734">
        <v>1</v>
      </c>
      <c r="G2734">
        <v>11824</v>
      </c>
      <c r="H2734" s="1">
        <v>4</v>
      </c>
      <c r="I2734">
        <v>202</v>
      </c>
      <c r="J2734">
        <f>IF($H2734=0,1,IF($I2734&lt;=1,2,0))</f>
        <v>0</v>
      </c>
      <c r="K2734">
        <v>0</v>
      </c>
      <c r="L2734">
        <f>IF(AND($J2734=0,$K2734=0),0,1)</f>
        <v>0</v>
      </c>
      <c r="M2734" t="s">
        <v>150</v>
      </c>
    </row>
    <row r="2735" spans="1:13" x14ac:dyDescent="0.2">
      <c r="A2735" t="s">
        <v>142</v>
      </c>
      <c r="B2735" t="s">
        <v>133</v>
      </c>
      <c r="C2735" t="s">
        <v>7</v>
      </c>
      <c r="D2735">
        <v>2005</v>
      </c>
      <c r="E2735">
        <v>2020</v>
      </c>
      <c r="F2735">
        <v>2</v>
      </c>
      <c r="G2735">
        <v>11825</v>
      </c>
      <c r="H2735" s="1">
        <v>4</v>
      </c>
      <c r="I2735">
        <v>94</v>
      </c>
      <c r="J2735">
        <f>IF($H2735=0,1,IF($I2735&lt;=1,2,0))</f>
        <v>0</v>
      </c>
      <c r="K2735">
        <v>0</v>
      </c>
      <c r="L2735">
        <f>IF(AND($J2735=0,$K2735=0),0,1)</f>
        <v>0</v>
      </c>
      <c r="M2735" t="s">
        <v>150</v>
      </c>
    </row>
    <row r="2736" spans="1:13" x14ac:dyDescent="0.2">
      <c r="A2736" t="s">
        <v>142</v>
      </c>
      <c r="B2736" t="s">
        <v>133</v>
      </c>
      <c r="C2736" t="s">
        <v>153</v>
      </c>
      <c r="D2736">
        <v>2401</v>
      </c>
      <c r="E2736">
        <v>2020</v>
      </c>
      <c r="F2736">
        <v>2</v>
      </c>
      <c r="G2736">
        <v>21822</v>
      </c>
      <c r="H2736" s="1">
        <v>3</v>
      </c>
      <c r="I2736">
        <v>66</v>
      </c>
      <c r="J2736">
        <f>IF($H2736=0,1,IF($I2736&lt;=1,2,0))</f>
        <v>0</v>
      </c>
      <c r="K2736">
        <v>0</v>
      </c>
      <c r="L2736">
        <f>IF(AND($J2736=0,$K2736=0),0,1)</f>
        <v>0</v>
      </c>
      <c r="M2736" t="s">
        <v>893</v>
      </c>
    </row>
    <row r="2737" spans="1:13" x14ac:dyDescent="0.2">
      <c r="A2737" t="s">
        <v>142</v>
      </c>
      <c r="B2737" t="s">
        <v>133</v>
      </c>
      <c r="C2737" t="s">
        <v>153</v>
      </c>
      <c r="D2737">
        <v>2401</v>
      </c>
      <c r="E2737">
        <v>2020</v>
      </c>
      <c r="F2737">
        <v>1</v>
      </c>
      <c r="G2737">
        <v>11826</v>
      </c>
      <c r="H2737" s="1">
        <v>3</v>
      </c>
      <c r="I2737">
        <v>39</v>
      </c>
      <c r="J2737">
        <f>IF($H2737=0,1,IF($I2737&lt;=1,2,0))</f>
        <v>0</v>
      </c>
      <c r="K2737">
        <v>0</v>
      </c>
      <c r="L2737">
        <f>IF(AND($J2737=0,$K2737=0),0,1)</f>
        <v>0</v>
      </c>
      <c r="M2737" t="s">
        <v>893</v>
      </c>
    </row>
    <row r="2738" spans="1:13" x14ac:dyDescent="0.2">
      <c r="A2738" t="s">
        <v>142</v>
      </c>
      <c r="B2738" t="s">
        <v>133</v>
      </c>
      <c r="C2738" t="s">
        <v>9</v>
      </c>
      <c r="D2738">
        <v>3004</v>
      </c>
      <c r="E2738">
        <v>2020</v>
      </c>
      <c r="F2738">
        <v>1</v>
      </c>
      <c r="G2738">
        <v>11560</v>
      </c>
      <c r="H2738" s="1">
        <v>4</v>
      </c>
      <c r="I2738">
        <v>109</v>
      </c>
      <c r="J2738">
        <f>IF($H2738=0,1,IF($I2738&lt;=1,2,0))</f>
        <v>0</v>
      </c>
      <c r="K2738">
        <v>0</v>
      </c>
      <c r="L2738">
        <f>IF(AND($J2738=0,$K2738=0),0,1)</f>
        <v>0</v>
      </c>
      <c r="M2738" t="s">
        <v>895</v>
      </c>
    </row>
    <row r="2739" spans="1:13" x14ac:dyDescent="0.2">
      <c r="A2739" t="s">
        <v>142</v>
      </c>
      <c r="B2739" t="s">
        <v>133</v>
      </c>
      <c r="C2739" t="s">
        <v>9</v>
      </c>
      <c r="D2739">
        <v>3006</v>
      </c>
      <c r="E2739">
        <v>2020</v>
      </c>
      <c r="F2739">
        <v>1</v>
      </c>
      <c r="G2739">
        <v>11934</v>
      </c>
      <c r="H2739" s="1">
        <v>3</v>
      </c>
      <c r="I2739">
        <v>24</v>
      </c>
      <c r="J2739">
        <f>IF($H2739=0,1,IF($I2739&lt;=1,2,0))</f>
        <v>0</v>
      </c>
      <c r="K2739">
        <v>0</v>
      </c>
      <c r="L2739">
        <f>IF(AND($J2739=0,$K2739=0),0,1)</f>
        <v>0</v>
      </c>
    </row>
    <row r="2740" spans="1:13" x14ac:dyDescent="0.2">
      <c r="A2740" t="s">
        <v>142</v>
      </c>
      <c r="B2740" t="s">
        <v>133</v>
      </c>
      <c r="C2740" t="s">
        <v>9</v>
      </c>
      <c r="D2740">
        <v>3022</v>
      </c>
      <c r="E2740">
        <v>2020</v>
      </c>
      <c r="F2740">
        <v>1</v>
      </c>
      <c r="G2740">
        <v>12182</v>
      </c>
      <c r="H2740" s="1">
        <v>3</v>
      </c>
      <c r="I2740">
        <v>43</v>
      </c>
      <c r="J2740">
        <f>IF($H2740=0,1,IF($I2740&lt;=1,2,0))</f>
        <v>0</v>
      </c>
      <c r="K2740">
        <v>0</v>
      </c>
      <c r="L2740">
        <f>IF(AND($J2740=0,$K2740=0),0,1)</f>
        <v>0</v>
      </c>
      <c r="M2740" t="s">
        <v>896</v>
      </c>
    </row>
    <row r="2741" spans="1:13" x14ac:dyDescent="0.2">
      <c r="A2741" t="s">
        <v>142</v>
      </c>
      <c r="B2741" t="s">
        <v>133</v>
      </c>
      <c r="C2741" t="s">
        <v>9</v>
      </c>
      <c r="D2741">
        <v>3073</v>
      </c>
      <c r="E2741">
        <v>2020</v>
      </c>
      <c r="F2741">
        <v>1</v>
      </c>
      <c r="G2741">
        <v>11573</v>
      </c>
      <c r="H2741" s="1">
        <v>3</v>
      </c>
      <c r="I2741">
        <v>63</v>
      </c>
      <c r="J2741">
        <f>IF($H2741=0,1,IF($I2741&lt;=1,2,0))</f>
        <v>0</v>
      </c>
      <c r="K2741">
        <v>0</v>
      </c>
      <c r="L2741">
        <f>IF(AND($J2741=0,$K2741=0),0,1)</f>
        <v>0</v>
      </c>
      <c r="M2741" t="s">
        <v>897</v>
      </c>
    </row>
    <row r="2742" spans="1:13" x14ac:dyDescent="0.2">
      <c r="A2742" t="s">
        <v>142</v>
      </c>
      <c r="B2742" t="s">
        <v>133</v>
      </c>
      <c r="C2742" t="s">
        <v>9</v>
      </c>
      <c r="D2742">
        <v>3404</v>
      </c>
      <c r="E2742">
        <v>2020</v>
      </c>
      <c r="F2742">
        <v>1</v>
      </c>
      <c r="G2742">
        <v>11635</v>
      </c>
      <c r="H2742" s="1">
        <v>3</v>
      </c>
      <c r="I2742">
        <v>20</v>
      </c>
      <c r="J2742">
        <f>IF($H2742=0,1,IF($I2742&lt;=1,2,0))</f>
        <v>0</v>
      </c>
      <c r="K2742">
        <v>0</v>
      </c>
      <c r="L2742">
        <f>IF(AND($J2742=0,$K2742=0),0,1)</f>
        <v>0</v>
      </c>
    </row>
    <row r="2743" spans="1:13" x14ac:dyDescent="0.2">
      <c r="A2743" t="s">
        <v>142</v>
      </c>
      <c r="B2743" t="s">
        <v>133</v>
      </c>
      <c r="C2743" t="s">
        <v>9</v>
      </c>
      <c r="D2743">
        <v>3500</v>
      </c>
      <c r="E2743">
        <v>2020</v>
      </c>
      <c r="F2743">
        <v>1</v>
      </c>
      <c r="G2743">
        <v>11650</v>
      </c>
      <c r="H2743" s="1" t="s">
        <v>1832</v>
      </c>
      <c r="I2743">
        <v>22</v>
      </c>
      <c r="J2743">
        <f>IF($H2743=0,1,IF($I2743&lt;=1,2,0))</f>
        <v>0</v>
      </c>
      <c r="K2743">
        <v>0</v>
      </c>
      <c r="L2743">
        <f>IF(AND($J2743=0,$K2743=0),0,1)</f>
        <v>0</v>
      </c>
      <c r="M2743" t="s">
        <v>899</v>
      </c>
    </row>
    <row r="2744" spans="1:13" x14ac:dyDescent="0.2">
      <c r="A2744" t="s">
        <v>142</v>
      </c>
      <c r="B2744" t="s">
        <v>133</v>
      </c>
      <c r="C2744" t="s">
        <v>9</v>
      </c>
      <c r="D2744">
        <v>4004</v>
      </c>
      <c r="E2744">
        <v>2020</v>
      </c>
      <c r="F2744">
        <v>1</v>
      </c>
      <c r="G2744">
        <v>11563</v>
      </c>
      <c r="H2744" s="1">
        <v>4</v>
      </c>
      <c r="I2744">
        <v>6</v>
      </c>
      <c r="J2744">
        <f>IF($H2744=0,1,IF($I2744&lt;=1,2,0))</f>
        <v>0</v>
      </c>
      <c r="K2744">
        <v>0</v>
      </c>
      <c r="L2744">
        <f>IF(AND($J2744=0,$K2744=0),0,1)</f>
        <v>0</v>
      </c>
      <c r="M2744" t="s">
        <v>895</v>
      </c>
    </row>
    <row r="2745" spans="1:13" x14ac:dyDescent="0.2">
      <c r="A2745" t="s">
        <v>142</v>
      </c>
      <c r="B2745" t="s">
        <v>133</v>
      </c>
      <c r="C2745" t="s">
        <v>9</v>
      </c>
      <c r="D2745">
        <v>4022</v>
      </c>
      <c r="E2745">
        <v>2020</v>
      </c>
      <c r="F2745">
        <v>1</v>
      </c>
      <c r="G2745">
        <v>12183</v>
      </c>
      <c r="H2745" s="1">
        <v>3</v>
      </c>
      <c r="I2745">
        <v>2</v>
      </c>
      <c r="J2745">
        <f>IF($H2745=0,1,IF($I2745&lt;=1,2,0))</f>
        <v>0</v>
      </c>
      <c r="K2745">
        <v>0</v>
      </c>
      <c r="L2745">
        <f>IF(AND($J2745=0,$K2745=0),0,1)</f>
        <v>0</v>
      </c>
      <c r="M2745" t="s">
        <v>902</v>
      </c>
    </row>
    <row r="2746" spans="1:13" x14ac:dyDescent="0.2">
      <c r="A2746" t="s">
        <v>142</v>
      </c>
      <c r="B2746" t="s">
        <v>133</v>
      </c>
      <c r="C2746" t="s">
        <v>9</v>
      </c>
      <c r="D2746">
        <v>4034</v>
      </c>
      <c r="E2746">
        <v>2020</v>
      </c>
      <c r="F2746">
        <v>1</v>
      </c>
      <c r="G2746">
        <v>11572</v>
      </c>
      <c r="H2746" s="1">
        <v>3</v>
      </c>
      <c r="I2746">
        <v>27</v>
      </c>
      <c r="J2746">
        <f>IF($H2746=0,1,IF($I2746&lt;=1,2,0))</f>
        <v>0</v>
      </c>
      <c r="K2746">
        <v>0</v>
      </c>
      <c r="L2746">
        <f>IF(AND($J2746=0,$K2746=0),0,1)</f>
        <v>0</v>
      </c>
    </row>
    <row r="2747" spans="1:13" x14ac:dyDescent="0.2">
      <c r="A2747" t="s">
        <v>142</v>
      </c>
      <c r="B2747" t="s">
        <v>133</v>
      </c>
      <c r="C2747" t="s">
        <v>11</v>
      </c>
      <c r="D2747">
        <v>4260</v>
      </c>
      <c r="E2747">
        <v>2020</v>
      </c>
      <c r="F2747">
        <v>1</v>
      </c>
      <c r="G2747">
        <v>11647</v>
      </c>
      <c r="H2747" s="1">
        <v>3</v>
      </c>
      <c r="I2747">
        <v>7</v>
      </c>
      <c r="J2747">
        <f>IF($H2747=0,1,IF($I2747&lt;=1,2,0))</f>
        <v>0</v>
      </c>
      <c r="K2747">
        <v>0</v>
      </c>
      <c r="L2747">
        <f>IF(AND($J2747=0,$K2747=0),0,1)</f>
        <v>0</v>
      </c>
      <c r="M2747" t="s">
        <v>168</v>
      </c>
    </row>
    <row r="2748" spans="1:13" x14ac:dyDescent="0.2">
      <c r="A2748" t="s">
        <v>142</v>
      </c>
      <c r="B2748" t="s">
        <v>133</v>
      </c>
      <c r="C2748" t="s">
        <v>9</v>
      </c>
      <c r="D2748">
        <v>4300</v>
      </c>
      <c r="E2748">
        <v>2020</v>
      </c>
      <c r="F2748">
        <v>1</v>
      </c>
      <c r="G2748">
        <v>11933</v>
      </c>
      <c r="H2748" s="1">
        <v>3</v>
      </c>
      <c r="I2748">
        <v>30</v>
      </c>
      <c r="J2748">
        <f>IF($H2748=0,1,IF($I2748&lt;=1,2,0))</f>
        <v>0</v>
      </c>
      <c r="K2748">
        <v>0</v>
      </c>
      <c r="L2748">
        <f>IF(AND($J2748=0,$K2748=0),0,1)</f>
        <v>0</v>
      </c>
      <c r="M2748" t="s">
        <v>1982</v>
      </c>
    </row>
    <row r="2749" spans="1:13" x14ac:dyDescent="0.2">
      <c r="A2749" t="s">
        <v>142</v>
      </c>
      <c r="B2749" t="s">
        <v>133</v>
      </c>
      <c r="C2749" t="s">
        <v>11</v>
      </c>
      <c r="D2749">
        <v>4600</v>
      </c>
      <c r="E2749">
        <v>2020</v>
      </c>
      <c r="F2749">
        <v>1</v>
      </c>
      <c r="G2749">
        <v>11734</v>
      </c>
      <c r="H2749" s="1">
        <v>3</v>
      </c>
      <c r="I2749">
        <v>21</v>
      </c>
      <c r="J2749">
        <f>IF($H2749=0,1,IF($I2749&lt;=1,2,0))</f>
        <v>0</v>
      </c>
      <c r="K2749">
        <v>0</v>
      </c>
      <c r="L2749">
        <f>IF(AND($J2749=0,$K2749=0),0,1)</f>
        <v>0</v>
      </c>
      <c r="M2749" t="s">
        <v>903</v>
      </c>
    </row>
    <row r="2750" spans="1:13" x14ac:dyDescent="0.2">
      <c r="A2750" t="s">
        <v>142</v>
      </c>
      <c r="B2750" t="s">
        <v>133</v>
      </c>
      <c r="C2750" t="s">
        <v>9</v>
      </c>
      <c r="D2750">
        <v>5073</v>
      </c>
      <c r="E2750">
        <v>2020</v>
      </c>
      <c r="F2750">
        <v>1</v>
      </c>
      <c r="G2750">
        <v>11574</v>
      </c>
      <c r="H2750" s="1">
        <v>3</v>
      </c>
      <c r="I2750">
        <v>12</v>
      </c>
      <c r="J2750">
        <f>IF($H2750=0,1,IF($I2750&lt;=1,2,0))</f>
        <v>0</v>
      </c>
      <c r="K2750">
        <v>0</v>
      </c>
      <c r="L2750">
        <f>IF(AND($J2750=0,$K2750=0),0,1)</f>
        <v>0</v>
      </c>
      <c r="M2750" t="s">
        <v>897</v>
      </c>
    </row>
    <row r="2751" spans="1:13" x14ac:dyDescent="0.2">
      <c r="A2751" t="s">
        <v>142</v>
      </c>
      <c r="B2751" t="s">
        <v>133</v>
      </c>
      <c r="C2751" t="s">
        <v>11</v>
      </c>
      <c r="D2751">
        <v>6007</v>
      </c>
      <c r="E2751">
        <v>2020</v>
      </c>
      <c r="F2751">
        <v>1</v>
      </c>
      <c r="G2751">
        <v>11631</v>
      </c>
      <c r="H2751" s="1">
        <v>3</v>
      </c>
      <c r="I2751">
        <v>19</v>
      </c>
      <c r="J2751">
        <f>IF($H2751=0,1,IF($I2751&lt;=1,2,0))</f>
        <v>0</v>
      </c>
      <c r="K2751">
        <v>0</v>
      </c>
      <c r="L2751">
        <f>IF(AND($J2751=0,$K2751=0),0,1)</f>
        <v>0</v>
      </c>
    </row>
    <row r="2752" spans="1:13" x14ac:dyDescent="0.2">
      <c r="A2752" t="s">
        <v>142</v>
      </c>
      <c r="B2752" t="s">
        <v>133</v>
      </c>
      <c r="C2752" t="s">
        <v>11</v>
      </c>
      <c r="D2752">
        <v>6560</v>
      </c>
      <c r="E2752">
        <v>2020</v>
      </c>
      <c r="F2752">
        <v>1</v>
      </c>
      <c r="G2752">
        <v>11615</v>
      </c>
      <c r="H2752" s="1">
        <v>4</v>
      </c>
      <c r="I2752">
        <v>9</v>
      </c>
      <c r="J2752">
        <f>IF($H2752=0,1,IF($I2752&lt;=1,2,0))</f>
        <v>0</v>
      </c>
      <c r="K2752">
        <v>0</v>
      </c>
      <c r="L2752">
        <f>IF(AND($J2752=0,$K2752=0),0,1)</f>
        <v>0</v>
      </c>
      <c r="M2752" t="s">
        <v>905</v>
      </c>
    </row>
    <row r="2753" spans="1:13" x14ac:dyDescent="0.2">
      <c r="A2753" t="s">
        <v>171</v>
      </c>
      <c r="B2753" t="s">
        <v>133</v>
      </c>
      <c r="C2753" t="s">
        <v>9</v>
      </c>
      <c r="D2753">
        <v>4160</v>
      </c>
      <c r="E2753">
        <v>2020</v>
      </c>
      <c r="F2753">
        <v>1</v>
      </c>
      <c r="G2753">
        <v>11548</v>
      </c>
      <c r="H2753" s="1">
        <v>3</v>
      </c>
      <c r="I2753">
        <v>24</v>
      </c>
      <c r="J2753">
        <f>IF($H2753=0,1,IF($I2753&lt;=1,2,0))</f>
        <v>0</v>
      </c>
      <c r="K2753">
        <v>0</v>
      </c>
      <c r="L2753">
        <f>IF(AND($J2753=0,$K2753=0),0,1)</f>
        <v>0</v>
      </c>
    </row>
    <row r="2754" spans="1:13" x14ac:dyDescent="0.2">
      <c r="A2754" t="s">
        <v>171</v>
      </c>
      <c r="B2754" t="s">
        <v>133</v>
      </c>
      <c r="C2754" t="s">
        <v>9</v>
      </c>
      <c r="D2754">
        <v>4200</v>
      </c>
      <c r="E2754">
        <v>2020</v>
      </c>
      <c r="F2754">
        <v>1</v>
      </c>
      <c r="G2754">
        <v>11935</v>
      </c>
      <c r="H2754" s="1">
        <v>3</v>
      </c>
      <c r="I2754">
        <v>114</v>
      </c>
      <c r="J2754">
        <f>IF($H2754=0,1,IF($I2754&lt;=1,2,0))</f>
        <v>0</v>
      </c>
      <c r="K2754">
        <v>0</v>
      </c>
      <c r="L2754">
        <f>IF(AND($J2754=0,$K2754=0),0,1)</f>
        <v>0</v>
      </c>
      <c r="M2754" t="s">
        <v>172</v>
      </c>
    </row>
    <row r="2755" spans="1:13" x14ac:dyDescent="0.2">
      <c r="A2755" t="s">
        <v>173</v>
      </c>
      <c r="B2755" t="s">
        <v>71</v>
      </c>
      <c r="C2755" t="s">
        <v>9</v>
      </c>
      <c r="D2755">
        <v>4020</v>
      </c>
      <c r="E2755">
        <v>2020</v>
      </c>
      <c r="F2755">
        <v>1</v>
      </c>
      <c r="G2755">
        <v>10598</v>
      </c>
      <c r="H2755" s="1">
        <v>3</v>
      </c>
      <c r="I2755">
        <v>16</v>
      </c>
      <c r="J2755">
        <f>IF($H2755=0,1,IF($I2755&lt;=1,2,0))</f>
        <v>0</v>
      </c>
      <c r="K2755">
        <v>0</v>
      </c>
      <c r="L2755">
        <f>IF(AND($J2755=0,$K2755=0),0,1)</f>
        <v>0</v>
      </c>
    </row>
    <row r="2756" spans="1:13" x14ac:dyDescent="0.2">
      <c r="A2756" t="s">
        <v>173</v>
      </c>
      <c r="B2756" t="s">
        <v>71</v>
      </c>
      <c r="C2756" t="s">
        <v>9</v>
      </c>
      <c r="D2756">
        <v>4020</v>
      </c>
      <c r="E2756">
        <v>2020</v>
      </c>
      <c r="F2756" t="s">
        <v>84</v>
      </c>
      <c r="G2756">
        <v>21889</v>
      </c>
      <c r="H2756" s="1">
        <v>3</v>
      </c>
      <c r="I2756">
        <v>2</v>
      </c>
      <c r="J2756">
        <f>IF($H2756=0,1,IF($I2756&lt;=1,2,0))</f>
        <v>0</v>
      </c>
      <c r="K2756">
        <v>0</v>
      </c>
      <c r="L2756">
        <f>IF(AND($J2756=0,$K2756=0),0,1)</f>
        <v>0</v>
      </c>
      <c r="M2756" t="s">
        <v>85</v>
      </c>
    </row>
    <row r="2757" spans="1:13" x14ac:dyDescent="0.2">
      <c r="A2757" t="s">
        <v>908</v>
      </c>
      <c r="B2757" t="s">
        <v>71</v>
      </c>
      <c r="C2757" t="s">
        <v>72</v>
      </c>
      <c r="D2757">
        <v>4030</v>
      </c>
      <c r="E2757">
        <v>2020</v>
      </c>
      <c r="F2757">
        <v>1</v>
      </c>
      <c r="G2757">
        <v>20824</v>
      </c>
      <c r="H2757" s="1">
        <v>3</v>
      </c>
      <c r="I2757">
        <v>24</v>
      </c>
      <c r="J2757">
        <f>IF($H2757=0,1,IF($I2757&lt;=1,2,0))</f>
        <v>0</v>
      </c>
      <c r="K2757">
        <v>0</v>
      </c>
      <c r="L2757">
        <f>IF(AND($J2757=0,$K2757=0),0,1)</f>
        <v>0</v>
      </c>
    </row>
    <row r="2758" spans="1:13" x14ac:dyDescent="0.2">
      <c r="A2758" t="s">
        <v>174</v>
      </c>
      <c r="B2758" t="s">
        <v>71</v>
      </c>
      <c r="C2758" t="s">
        <v>72</v>
      </c>
      <c r="D2758">
        <v>3010</v>
      </c>
      <c r="E2758">
        <v>2020</v>
      </c>
      <c r="F2758">
        <v>1</v>
      </c>
      <c r="G2758">
        <v>13151</v>
      </c>
      <c r="H2758" s="1">
        <v>3</v>
      </c>
      <c r="I2758">
        <v>46</v>
      </c>
      <c r="J2758">
        <f>IF($H2758=0,1,IF($I2758&lt;=1,2,0))</f>
        <v>0</v>
      </c>
      <c r="K2758">
        <v>0</v>
      </c>
      <c r="L2758">
        <f>IF(AND($J2758=0,$K2758=0),0,1)</f>
        <v>0</v>
      </c>
    </row>
    <row r="2759" spans="1:13" x14ac:dyDescent="0.2">
      <c r="A2759" t="s">
        <v>174</v>
      </c>
      <c r="B2759" t="s">
        <v>71</v>
      </c>
      <c r="C2759" t="s">
        <v>72</v>
      </c>
      <c r="D2759">
        <v>3910</v>
      </c>
      <c r="E2759">
        <v>2020</v>
      </c>
      <c r="F2759">
        <v>1</v>
      </c>
      <c r="G2759">
        <v>13156</v>
      </c>
      <c r="H2759" s="1">
        <v>4</v>
      </c>
      <c r="I2759">
        <v>39</v>
      </c>
      <c r="J2759">
        <f>IF($H2759=0,1,IF($I2759&lt;=1,2,0))</f>
        <v>0</v>
      </c>
      <c r="K2759">
        <v>0</v>
      </c>
      <c r="L2759">
        <f>IF(AND($J2759=0,$K2759=0),0,1)</f>
        <v>0</v>
      </c>
    </row>
    <row r="2760" spans="1:13" x14ac:dyDescent="0.2">
      <c r="A2760" t="s">
        <v>174</v>
      </c>
      <c r="B2760" t="s">
        <v>71</v>
      </c>
      <c r="C2760" t="s">
        <v>72</v>
      </c>
      <c r="D2760">
        <v>4000</v>
      </c>
      <c r="E2760">
        <v>2020</v>
      </c>
      <c r="F2760">
        <v>1</v>
      </c>
      <c r="G2760">
        <v>21311</v>
      </c>
      <c r="H2760" s="1">
        <v>3</v>
      </c>
      <c r="I2760">
        <v>26</v>
      </c>
      <c r="J2760">
        <f>IF($H2760=0,1,IF($I2760&lt;=1,2,0))</f>
        <v>0</v>
      </c>
      <c r="K2760">
        <v>0</v>
      </c>
      <c r="L2760">
        <f>IF(AND($J2760=0,$K2760=0),0,1)</f>
        <v>0</v>
      </c>
      <c r="M2760" t="s">
        <v>909</v>
      </c>
    </row>
    <row r="2761" spans="1:13" x14ac:dyDescent="0.2">
      <c r="A2761" t="s">
        <v>174</v>
      </c>
      <c r="B2761" t="s">
        <v>71</v>
      </c>
      <c r="C2761" t="s">
        <v>72</v>
      </c>
      <c r="D2761">
        <v>4001</v>
      </c>
      <c r="E2761">
        <v>2020</v>
      </c>
      <c r="F2761">
        <v>1</v>
      </c>
      <c r="G2761">
        <v>13153</v>
      </c>
      <c r="H2761" s="1">
        <v>3</v>
      </c>
      <c r="I2761">
        <v>76</v>
      </c>
      <c r="J2761">
        <f>IF($H2761=0,1,IF($I2761&lt;=1,2,0))</f>
        <v>0</v>
      </c>
      <c r="K2761">
        <v>0</v>
      </c>
      <c r="L2761">
        <f>IF(AND($J2761=0,$K2761=0),0,1)</f>
        <v>0</v>
      </c>
    </row>
    <row r="2762" spans="1:13" x14ac:dyDescent="0.2">
      <c r="A2762" t="s">
        <v>174</v>
      </c>
      <c r="B2762" t="s">
        <v>71</v>
      </c>
      <c r="C2762" t="s">
        <v>72</v>
      </c>
      <c r="D2762">
        <v>4001</v>
      </c>
      <c r="E2762">
        <v>2020</v>
      </c>
      <c r="F2762" t="s">
        <v>84</v>
      </c>
      <c r="G2762">
        <v>22873</v>
      </c>
      <c r="H2762" s="1">
        <v>3</v>
      </c>
      <c r="I2762">
        <v>2</v>
      </c>
      <c r="J2762">
        <f>IF($H2762=0,1,IF($I2762&lt;=1,2,0))</f>
        <v>0</v>
      </c>
      <c r="K2762">
        <v>0</v>
      </c>
      <c r="L2762">
        <f>IF(AND($J2762=0,$K2762=0),0,1)</f>
        <v>0</v>
      </c>
      <c r="M2762" t="s">
        <v>85</v>
      </c>
    </row>
    <row r="2763" spans="1:13" x14ac:dyDescent="0.2">
      <c r="A2763" t="s">
        <v>174</v>
      </c>
      <c r="B2763" t="s">
        <v>71</v>
      </c>
      <c r="C2763" t="s">
        <v>72</v>
      </c>
      <c r="D2763">
        <v>4110</v>
      </c>
      <c r="E2763">
        <v>2020</v>
      </c>
      <c r="F2763">
        <v>1</v>
      </c>
      <c r="G2763">
        <v>13157</v>
      </c>
      <c r="H2763" s="1">
        <v>4</v>
      </c>
      <c r="I2763">
        <v>108</v>
      </c>
      <c r="J2763">
        <f>IF($H2763=0,1,IF($I2763&lt;=1,2,0))</f>
        <v>0</v>
      </c>
      <c r="K2763">
        <v>0</v>
      </c>
      <c r="L2763">
        <f>IF(AND($J2763=0,$K2763=0),0,1)</f>
        <v>0</v>
      </c>
    </row>
    <row r="2764" spans="1:13" x14ac:dyDescent="0.2">
      <c r="A2764" t="s">
        <v>174</v>
      </c>
      <c r="B2764" t="s">
        <v>71</v>
      </c>
      <c r="C2764" t="s">
        <v>72</v>
      </c>
      <c r="D2764">
        <v>4302</v>
      </c>
      <c r="E2764">
        <v>2020</v>
      </c>
      <c r="F2764">
        <v>1</v>
      </c>
      <c r="G2764">
        <v>15444</v>
      </c>
      <c r="H2764" s="1">
        <v>3</v>
      </c>
      <c r="I2764">
        <v>29</v>
      </c>
      <c r="J2764">
        <f>IF($H2764=0,1,IF($I2764&lt;=1,2,0))</f>
        <v>0</v>
      </c>
      <c r="K2764">
        <v>0</v>
      </c>
      <c r="L2764">
        <f>IF(AND($J2764=0,$K2764=0),0,1)</f>
        <v>0</v>
      </c>
    </row>
    <row r="2765" spans="1:13" x14ac:dyDescent="0.2">
      <c r="A2765" t="s">
        <v>174</v>
      </c>
      <c r="B2765" t="s">
        <v>71</v>
      </c>
      <c r="C2765" t="s">
        <v>72</v>
      </c>
      <c r="D2765">
        <v>4480</v>
      </c>
      <c r="E2765">
        <v>2020</v>
      </c>
      <c r="F2765">
        <v>1</v>
      </c>
      <c r="G2765">
        <v>15445</v>
      </c>
      <c r="H2765" s="1">
        <v>3</v>
      </c>
      <c r="I2765">
        <v>49</v>
      </c>
      <c r="J2765">
        <f>IF($H2765=0,1,IF($I2765&lt;=1,2,0))</f>
        <v>0</v>
      </c>
      <c r="K2765">
        <v>0</v>
      </c>
      <c r="L2765">
        <f>IF(AND($J2765=0,$K2765=0),0,1)</f>
        <v>0</v>
      </c>
    </row>
    <row r="2766" spans="1:13" x14ac:dyDescent="0.2">
      <c r="A2766" t="s">
        <v>174</v>
      </c>
      <c r="B2766" t="s">
        <v>71</v>
      </c>
      <c r="C2766" t="s">
        <v>72</v>
      </c>
      <c r="D2766">
        <v>4510</v>
      </c>
      <c r="E2766">
        <v>2020</v>
      </c>
      <c r="F2766">
        <v>1</v>
      </c>
      <c r="G2766">
        <v>15446</v>
      </c>
      <c r="H2766" s="1">
        <v>3</v>
      </c>
      <c r="I2766">
        <v>53</v>
      </c>
      <c r="J2766">
        <f>IF($H2766=0,1,IF($I2766&lt;=1,2,0))</f>
        <v>0</v>
      </c>
      <c r="K2766">
        <v>0</v>
      </c>
      <c r="L2766">
        <f>IF(AND($J2766=0,$K2766=0),0,1)</f>
        <v>0</v>
      </c>
    </row>
    <row r="2767" spans="1:13" x14ac:dyDescent="0.2">
      <c r="A2767" t="s">
        <v>174</v>
      </c>
      <c r="B2767" t="s">
        <v>71</v>
      </c>
      <c r="C2767" t="s">
        <v>72</v>
      </c>
      <c r="D2767">
        <v>4520</v>
      </c>
      <c r="E2767">
        <v>2020</v>
      </c>
      <c r="F2767">
        <v>1</v>
      </c>
      <c r="G2767">
        <v>15447</v>
      </c>
      <c r="H2767" s="1">
        <v>3</v>
      </c>
      <c r="I2767">
        <v>30</v>
      </c>
      <c r="J2767">
        <f>IF($H2767=0,1,IF($I2767&lt;=1,2,0))</f>
        <v>0</v>
      </c>
      <c r="K2767">
        <v>0</v>
      </c>
      <c r="L2767">
        <f>IF(AND($J2767=0,$K2767=0),0,1)</f>
        <v>0</v>
      </c>
    </row>
    <row r="2768" spans="1:13" x14ac:dyDescent="0.2">
      <c r="A2768" t="s">
        <v>174</v>
      </c>
      <c r="B2768" t="s">
        <v>71</v>
      </c>
      <c r="C2768" t="s">
        <v>72</v>
      </c>
      <c r="D2768">
        <v>4530</v>
      </c>
      <c r="E2768">
        <v>2020</v>
      </c>
      <c r="F2768">
        <v>1</v>
      </c>
      <c r="G2768">
        <v>15448</v>
      </c>
      <c r="H2768" s="1">
        <v>3</v>
      </c>
      <c r="I2768">
        <v>42</v>
      </c>
      <c r="J2768">
        <f>IF($H2768=0,1,IF($I2768&lt;=1,2,0))</f>
        <v>0</v>
      </c>
      <c r="K2768">
        <v>0</v>
      </c>
      <c r="L2768">
        <f>IF(AND($J2768=0,$K2768=0),0,1)</f>
        <v>0</v>
      </c>
    </row>
    <row r="2769" spans="1:13" x14ac:dyDescent="0.2">
      <c r="A2769" t="s">
        <v>174</v>
      </c>
      <c r="B2769" t="s">
        <v>71</v>
      </c>
      <c r="C2769" t="s">
        <v>72</v>
      </c>
      <c r="D2769">
        <v>4590</v>
      </c>
      <c r="E2769">
        <v>2020</v>
      </c>
      <c r="F2769">
        <v>1</v>
      </c>
      <c r="G2769">
        <v>15449</v>
      </c>
      <c r="H2769" s="1">
        <v>3</v>
      </c>
      <c r="I2769">
        <v>29</v>
      </c>
      <c r="J2769">
        <f>IF($H2769=0,1,IF($I2769&lt;=1,2,0))</f>
        <v>0</v>
      </c>
      <c r="K2769">
        <v>0</v>
      </c>
      <c r="L2769">
        <f>IF(AND($J2769=0,$K2769=0),0,1)</f>
        <v>0</v>
      </c>
    </row>
    <row r="2770" spans="1:13" x14ac:dyDescent="0.2">
      <c r="A2770" t="s">
        <v>174</v>
      </c>
      <c r="B2770" t="s">
        <v>71</v>
      </c>
      <c r="C2770" t="s">
        <v>72</v>
      </c>
      <c r="D2770">
        <v>6001</v>
      </c>
      <c r="E2770">
        <v>2020</v>
      </c>
      <c r="F2770">
        <v>1</v>
      </c>
      <c r="G2770">
        <v>20930</v>
      </c>
      <c r="H2770" s="1">
        <v>3</v>
      </c>
      <c r="I2770">
        <v>13</v>
      </c>
      <c r="J2770">
        <f>IF($H2770=0,1,IF($I2770&lt;=1,2,0))</f>
        <v>0</v>
      </c>
      <c r="K2770">
        <v>0</v>
      </c>
      <c r="L2770">
        <f>IF(AND($J2770=0,$K2770=0),0,1)</f>
        <v>0</v>
      </c>
    </row>
    <row r="2771" spans="1:13" x14ac:dyDescent="0.2">
      <c r="A2771" t="s">
        <v>174</v>
      </c>
      <c r="B2771" t="s">
        <v>71</v>
      </c>
      <c r="C2771" t="s">
        <v>72</v>
      </c>
      <c r="D2771">
        <v>6410</v>
      </c>
      <c r="E2771">
        <v>2020</v>
      </c>
      <c r="F2771">
        <v>1</v>
      </c>
      <c r="G2771">
        <v>15451</v>
      </c>
      <c r="H2771" s="1">
        <v>3</v>
      </c>
      <c r="I2771">
        <v>6</v>
      </c>
      <c r="J2771">
        <f>IF($H2771=0,1,IF($I2771&lt;=1,2,0))</f>
        <v>0</v>
      </c>
      <c r="K2771">
        <v>0</v>
      </c>
      <c r="L2771">
        <f>IF(AND($J2771=0,$K2771=0),0,1)</f>
        <v>0</v>
      </c>
      <c r="M2771" t="s">
        <v>911</v>
      </c>
    </row>
    <row r="2772" spans="1:13" x14ac:dyDescent="0.2">
      <c r="A2772" t="s">
        <v>182</v>
      </c>
      <c r="B2772" t="s">
        <v>6</v>
      </c>
      <c r="C2772" t="s">
        <v>9</v>
      </c>
      <c r="D2772">
        <v>3013</v>
      </c>
      <c r="E2772">
        <v>2020</v>
      </c>
      <c r="F2772">
        <v>1</v>
      </c>
      <c r="G2772">
        <v>13641</v>
      </c>
      <c r="H2772" s="1">
        <v>3</v>
      </c>
      <c r="I2772">
        <v>61</v>
      </c>
      <c r="J2772">
        <f>IF($H2772=0,1,IF($I2772&lt;=1,2,0))</f>
        <v>0</v>
      </c>
      <c r="K2772">
        <v>0</v>
      </c>
      <c r="L2772">
        <f>IF(AND($J2772=0,$K2772=0),0,1)</f>
        <v>0</v>
      </c>
      <c r="M2772" t="s">
        <v>912</v>
      </c>
    </row>
    <row r="2773" spans="1:13" x14ac:dyDescent="0.2">
      <c r="A2773" t="s">
        <v>182</v>
      </c>
      <c r="B2773" t="s">
        <v>6</v>
      </c>
      <c r="C2773" t="s">
        <v>9</v>
      </c>
      <c r="D2773">
        <v>3021</v>
      </c>
      <c r="E2773">
        <v>2020</v>
      </c>
      <c r="F2773">
        <v>1</v>
      </c>
      <c r="G2773">
        <v>13642</v>
      </c>
      <c r="H2773" s="1">
        <v>3</v>
      </c>
      <c r="I2773">
        <v>69</v>
      </c>
      <c r="J2773">
        <f>IF($H2773=0,1,IF($I2773&lt;=1,2,0))</f>
        <v>0</v>
      </c>
      <c r="K2773">
        <v>0</v>
      </c>
      <c r="L2773">
        <f>IF(AND($J2773=0,$K2773=0),0,1)</f>
        <v>0</v>
      </c>
    </row>
    <row r="2774" spans="1:13" x14ac:dyDescent="0.2">
      <c r="A2774" t="s">
        <v>182</v>
      </c>
      <c r="B2774" t="s">
        <v>6</v>
      </c>
      <c r="C2774" t="s">
        <v>9</v>
      </c>
      <c r="D2774">
        <v>3702</v>
      </c>
      <c r="E2774">
        <v>2020</v>
      </c>
      <c r="F2774">
        <v>1</v>
      </c>
      <c r="G2774">
        <v>14335</v>
      </c>
      <c r="H2774" s="1">
        <v>3</v>
      </c>
      <c r="I2774">
        <v>62</v>
      </c>
      <c r="J2774">
        <f>IF($H2774=0,1,IF($I2774&lt;=1,2,0))</f>
        <v>0</v>
      </c>
      <c r="K2774">
        <v>0</v>
      </c>
      <c r="L2774">
        <f>IF(AND($J2774=0,$K2774=0),0,1)</f>
        <v>0</v>
      </c>
    </row>
    <row r="2775" spans="1:13" x14ac:dyDescent="0.2">
      <c r="A2775" t="s">
        <v>182</v>
      </c>
      <c r="B2775" t="s">
        <v>6</v>
      </c>
      <c r="C2775" t="s">
        <v>9</v>
      </c>
      <c r="D2775">
        <v>3703</v>
      </c>
      <c r="E2775">
        <v>2020</v>
      </c>
      <c r="F2775">
        <v>1</v>
      </c>
      <c r="G2775">
        <v>13645</v>
      </c>
      <c r="H2775" s="1">
        <v>3</v>
      </c>
      <c r="I2775">
        <v>52</v>
      </c>
      <c r="J2775">
        <f>IF($H2775=0,1,IF($I2775&lt;=1,2,0))</f>
        <v>0</v>
      </c>
      <c r="K2775">
        <v>0</v>
      </c>
      <c r="L2775">
        <f>IF(AND($J2775=0,$K2775=0),0,1)</f>
        <v>0</v>
      </c>
    </row>
    <row r="2776" spans="1:13" x14ac:dyDescent="0.2">
      <c r="A2776" t="s">
        <v>920</v>
      </c>
      <c r="B2776" t="s">
        <v>71</v>
      </c>
      <c r="C2776" t="s">
        <v>9</v>
      </c>
      <c r="D2776">
        <v>4761</v>
      </c>
      <c r="E2776">
        <v>2020</v>
      </c>
      <c r="F2776">
        <v>1</v>
      </c>
      <c r="G2776">
        <v>21883</v>
      </c>
      <c r="H2776" s="1">
        <v>3</v>
      </c>
      <c r="I2776">
        <v>16</v>
      </c>
      <c r="J2776">
        <f>IF($H2776=0,1,IF($I2776&lt;=1,2,0))</f>
        <v>0</v>
      </c>
      <c r="K2776">
        <v>0</v>
      </c>
      <c r="L2776">
        <f>IF(AND($J2776=0,$K2776=0),0,1)</f>
        <v>0</v>
      </c>
    </row>
    <row r="2777" spans="1:13" x14ac:dyDescent="0.2">
      <c r="A2777" t="s">
        <v>195</v>
      </c>
      <c r="B2777" t="s">
        <v>71</v>
      </c>
      <c r="C2777" t="s">
        <v>72</v>
      </c>
      <c r="D2777">
        <v>4011</v>
      </c>
      <c r="E2777">
        <v>2020</v>
      </c>
      <c r="F2777">
        <v>1</v>
      </c>
      <c r="G2777">
        <v>21875</v>
      </c>
      <c r="H2777" s="1">
        <v>3</v>
      </c>
      <c r="I2777">
        <v>8</v>
      </c>
      <c r="J2777">
        <f>IF($H2777=0,1,IF($I2777&lt;=1,2,0))</f>
        <v>0</v>
      </c>
      <c r="K2777">
        <v>0</v>
      </c>
      <c r="L2777">
        <f>IF(AND($J2777=0,$K2777=0),0,1)</f>
        <v>0</v>
      </c>
    </row>
    <row r="2778" spans="1:13" x14ac:dyDescent="0.2">
      <c r="A2778" t="s">
        <v>196</v>
      </c>
      <c r="B2778" t="s">
        <v>6</v>
      </c>
      <c r="C2778" t="s">
        <v>9</v>
      </c>
      <c r="D2778">
        <v>3401</v>
      </c>
      <c r="E2778">
        <v>2020</v>
      </c>
      <c r="F2778">
        <v>1</v>
      </c>
      <c r="G2778">
        <v>11266</v>
      </c>
      <c r="H2778" s="1">
        <v>4</v>
      </c>
      <c r="I2778">
        <v>24</v>
      </c>
      <c r="J2778">
        <f>IF($H2778=0,1,IF($I2778&lt;=1,2,0))</f>
        <v>0</v>
      </c>
      <c r="K2778">
        <v>0</v>
      </c>
      <c r="L2778">
        <f>IF(AND($J2778=0,$K2778=0),0,1)</f>
        <v>0</v>
      </c>
    </row>
    <row r="2779" spans="1:13" x14ac:dyDescent="0.2">
      <c r="A2779" t="s">
        <v>196</v>
      </c>
      <c r="B2779" t="s">
        <v>6</v>
      </c>
      <c r="C2779" t="s">
        <v>11</v>
      </c>
      <c r="D2779">
        <v>6320</v>
      </c>
      <c r="E2779">
        <v>2020</v>
      </c>
      <c r="F2779">
        <v>1</v>
      </c>
      <c r="G2779">
        <v>21517</v>
      </c>
      <c r="H2779" s="1">
        <v>3</v>
      </c>
      <c r="I2779">
        <v>9</v>
      </c>
      <c r="J2779">
        <f>IF($H2779=0,1,IF($I2779&lt;=1,2,0))</f>
        <v>0</v>
      </c>
      <c r="K2779">
        <v>0</v>
      </c>
      <c r="L2779">
        <f>IF(AND($J2779=0,$K2779=0),0,1)</f>
        <v>0</v>
      </c>
      <c r="M2779" t="s">
        <v>923</v>
      </c>
    </row>
    <row r="2780" spans="1:13" x14ac:dyDescent="0.2">
      <c r="A2780" t="s">
        <v>200</v>
      </c>
      <c r="B2780" t="s">
        <v>71</v>
      </c>
      <c r="C2780" t="s">
        <v>72</v>
      </c>
      <c r="D2780">
        <v>4120</v>
      </c>
      <c r="E2780">
        <v>2020</v>
      </c>
      <c r="F2780">
        <v>1</v>
      </c>
      <c r="G2780">
        <v>10124</v>
      </c>
      <c r="H2780" s="1">
        <v>3</v>
      </c>
      <c r="I2780">
        <v>52</v>
      </c>
      <c r="J2780">
        <f>IF($H2780=0,1,IF($I2780&lt;=1,2,0))</f>
        <v>0</v>
      </c>
      <c r="K2780">
        <v>0</v>
      </c>
      <c r="L2780">
        <f>IF(AND($J2780=0,$K2780=0),0,1)</f>
        <v>0</v>
      </c>
    </row>
    <row r="2781" spans="1:13" x14ac:dyDescent="0.2">
      <c r="A2781" t="s">
        <v>200</v>
      </c>
      <c r="B2781" t="s">
        <v>71</v>
      </c>
      <c r="C2781" t="s">
        <v>72</v>
      </c>
      <c r="D2781">
        <v>4120</v>
      </c>
      <c r="E2781">
        <v>2020</v>
      </c>
      <c r="F2781" t="s">
        <v>84</v>
      </c>
      <c r="G2781">
        <v>22874</v>
      </c>
      <c r="H2781" s="1">
        <v>3</v>
      </c>
      <c r="I2781">
        <v>3</v>
      </c>
      <c r="J2781">
        <f>IF($H2781=0,1,IF($I2781&lt;=1,2,0))</f>
        <v>0</v>
      </c>
      <c r="K2781">
        <v>0</v>
      </c>
      <c r="L2781">
        <f>IF(AND($J2781=0,$K2781=0),0,1)</f>
        <v>0</v>
      </c>
      <c r="M2781" t="s">
        <v>85</v>
      </c>
    </row>
    <row r="2782" spans="1:13" x14ac:dyDescent="0.2">
      <c r="A2782" t="s">
        <v>201</v>
      </c>
      <c r="B2782" t="s">
        <v>71</v>
      </c>
      <c r="C2782" t="s">
        <v>72</v>
      </c>
      <c r="D2782">
        <v>3010</v>
      </c>
      <c r="E2782">
        <v>2020</v>
      </c>
      <c r="F2782">
        <v>1</v>
      </c>
      <c r="G2782">
        <v>10125</v>
      </c>
      <c r="H2782" s="1">
        <v>3</v>
      </c>
      <c r="I2782">
        <v>42</v>
      </c>
      <c r="J2782">
        <f>IF($H2782=0,1,IF($I2782&lt;=1,2,0))</f>
        <v>0</v>
      </c>
      <c r="K2782">
        <v>0</v>
      </c>
      <c r="L2782">
        <f>IF(AND($J2782=0,$K2782=0),0,1)</f>
        <v>0</v>
      </c>
    </row>
    <row r="2783" spans="1:13" x14ac:dyDescent="0.2">
      <c r="A2783" t="s">
        <v>201</v>
      </c>
      <c r="B2783" t="s">
        <v>71</v>
      </c>
      <c r="C2783" t="s">
        <v>72</v>
      </c>
      <c r="D2783">
        <v>4252</v>
      </c>
      <c r="E2783">
        <v>2020</v>
      </c>
      <c r="F2783">
        <v>1</v>
      </c>
      <c r="G2783">
        <v>12838</v>
      </c>
      <c r="H2783" s="1">
        <v>3</v>
      </c>
      <c r="I2783">
        <v>7</v>
      </c>
      <c r="J2783">
        <f>IF($H2783=0,1,IF($I2783&lt;=1,2,0))</f>
        <v>0</v>
      </c>
      <c r="K2783">
        <v>0</v>
      </c>
      <c r="L2783">
        <f>IF(AND($J2783=0,$K2783=0),0,1)</f>
        <v>0</v>
      </c>
    </row>
    <row r="2784" spans="1:13" x14ac:dyDescent="0.2">
      <c r="A2784" t="s">
        <v>202</v>
      </c>
      <c r="B2784" t="s">
        <v>133</v>
      </c>
      <c r="C2784" t="s">
        <v>9</v>
      </c>
      <c r="D2784">
        <v>1403</v>
      </c>
      <c r="E2784">
        <v>2020</v>
      </c>
      <c r="F2784">
        <v>1</v>
      </c>
      <c r="G2784">
        <v>10910</v>
      </c>
      <c r="H2784" s="1">
        <v>4</v>
      </c>
      <c r="I2784">
        <v>243</v>
      </c>
      <c r="J2784">
        <f>IF($H2784=0,1,IF($I2784&lt;=1,2,0))</f>
        <v>0</v>
      </c>
      <c r="K2784">
        <v>0</v>
      </c>
      <c r="L2784">
        <f>IF(AND($J2784=0,$K2784=0),0,1)</f>
        <v>0</v>
      </c>
      <c r="M2784" t="s">
        <v>925</v>
      </c>
    </row>
    <row r="2785" spans="1:13" x14ac:dyDescent="0.2">
      <c r="A2785" t="s">
        <v>202</v>
      </c>
      <c r="B2785" t="s">
        <v>133</v>
      </c>
      <c r="C2785" t="s">
        <v>9</v>
      </c>
      <c r="D2785">
        <v>1403</v>
      </c>
      <c r="E2785">
        <v>2020</v>
      </c>
      <c r="F2785">
        <v>2</v>
      </c>
      <c r="G2785">
        <v>10835</v>
      </c>
      <c r="H2785" s="1">
        <v>4</v>
      </c>
      <c r="I2785">
        <v>194</v>
      </c>
      <c r="J2785">
        <f>IF($H2785=0,1,IF($I2785&lt;=1,2,0))</f>
        <v>0</v>
      </c>
      <c r="K2785">
        <v>0</v>
      </c>
      <c r="L2785">
        <f>IF(AND($J2785=0,$K2785=0),0,1)</f>
        <v>0</v>
      </c>
      <c r="M2785" t="s">
        <v>925</v>
      </c>
    </row>
    <row r="2786" spans="1:13" x14ac:dyDescent="0.2">
      <c r="A2786" t="s">
        <v>202</v>
      </c>
      <c r="B2786" t="s">
        <v>133</v>
      </c>
      <c r="C2786" t="s">
        <v>9</v>
      </c>
      <c r="D2786">
        <v>1403</v>
      </c>
      <c r="E2786">
        <v>2020</v>
      </c>
      <c r="F2786">
        <v>3</v>
      </c>
      <c r="G2786">
        <v>10832</v>
      </c>
      <c r="H2786" s="1">
        <v>4</v>
      </c>
      <c r="I2786">
        <v>189</v>
      </c>
      <c r="J2786">
        <f>IF($H2786=0,1,IF($I2786&lt;=1,2,0))</f>
        <v>0</v>
      </c>
      <c r="K2786">
        <v>0</v>
      </c>
      <c r="L2786">
        <f>IF(AND($J2786=0,$K2786=0),0,1)</f>
        <v>0</v>
      </c>
      <c r="M2786" t="s">
        <v>925</v>
      </c>
    </row>
    <row r="2787" spans="1:13" x14ac:dyDescent="0.2">
      <c r="A2787" t="s">
        <v>202</v>
      </c>
      <c r="B2787" t="s">
        <v>133</v>
      </c>
      <c r="C2787" t="s">
        <v>9</v>
      </c>
      <c r="D2787">
        <v>1507</v>
      </c>
      <c r="E2787">
        <v>2020</v>
      </c>
      <c r="F2787">
        <v>2</v>
      </c>
      <c r="G2787">
        <v>10927</v>
      </c>
      <c r="H2787" s="1">
        <v>3</v>
      </c>
      <c r="I2787">
        <v>12</v>
      </c>
      <c r="J2787">
        <f>IF($H2787=0,1,IF($I2787&lt;=1,2,0))</f>
        <v>0</v>
      </c>
      <c r="K2787">
        <v>0</v>
      </c>
      <c r="L2787">
        <f>IF(AND($J2787=0,$K2787=0),0,1)</f>
        <v>0</v>
      </c>
    </row>
    <row r="2788" spans="1:13" x14ac:dyDescent="0.2">
      <c r="A2788" t="s">
        <v>202</v>
      </c>
      <c r="B2788" t="s">
        <v>133</v>
      </c>
      <c r="C2788" t="s">
        <v>9</v>
      </c>
      <c r="D2788">
        <v>1507</v>
      </c>
      <c r="E2788">
        <v>2020</v>
      </c>
      <c r="F2788">
        <v>1</v>
      </c>
      <c r="G2788">
        <v>10926</v>
      </c>
      <c r="H2788" s="1">
        <v>3</v>
      </c>
      <c r="I2788">
        <v>8</v>
      </c>
      <c r="J2788">
        <f>IF($H2788=0,1,IF($I2788&lt;=1,2,0))</f>
        <v>0</v>
      </c>
      <c r="K2788">
        <v>0</v>
      </c>
      <c r="L2788">
        <f>IF(AND($J2788=0,$K2788=0),0,1)</f>
        <v>0</v>
      </c>
    </row>
    <row r="2789" spans="1:13" x14ac:dyDescent="0.2">
      <c r="A2789" t="s">
        <v>202</v>
      </c>
      <c r="B2789" t="s">
        <v>133</v>
      </c>
      <c r="C2789" t="s">
        <v>9</v>
      </c>
      <c r="D2789">
        <v>1604</v>
      </c>
      <c r="E2789">
        <v>2020</v>
      </c>
      <c r="F2789">
        <v>1</v>
      </c>
      <c r="G2789">
        <v>12207</v>
      </c>
      <c r="H2789" s="1">
        <v>4</v>
      </c>
      <c r="I2789">
        <v>99</v>
      </c>
      <c r="J2789">
        <f>IF($H2789=0,1,IF($I2789&lt;=1,2,0))</f>
        <v>0</v>
      </c>
      <c r="K2789">
        <v>0</v>
      </c>
      <c r="L2789">
        <f>IF(AND($J2789=0,$K2789=0),0,1)</f>
        <v>0</v>
      </c>
      <c r="M2789" t="s">
        <v>1903</v>
      </c>
    </row>
    <row r="2790" spans="1:13" x14ac:dyDescent="0.2">
      <c r="A2790" t="s">
        <v>202</v>
      </c>
      <c r="B2790" t="s">
        <v>133</v>
      </c>
      <c r="C2790" t="s">
        <v>9</v>
      </c>
      <c r="D2790">
        <v>2443</v>
      </c>
      <c r="E2790">
        <v>2020</v>
      </c>
      <c r="F2790">
        <v>1</v>
      </c>
      <c r="G2790">
        <v>11032</v>
      </c>
      <c r="H2790" s="1">
        <v>4</v>
      </c>
      <c r="I2790">
        <v>183</v>
      </c>
      <c r="J2790">
        <f>IF($H2790=0,1,IF($I2790&lt;=1,2,0))</f>
        <v>0</v>
      </c>
      <c r="K2790">
        <v>0</v>
      </c>
      <c r="L2790">
        <f>IF(AND($J2790=0,$K2790=0),0,1)</f>
        <v>0</v>
      </c>
      <c r="M2790" t="s">
        <v>1904</v>
      </c>
    </row>
    <row r="2791" spans="1:13" x14ac:dyDescent="0.2">
      <c r="A2791" t="s">
        <v>202</v>
      </c>
      <c r="B2791" t="s">
        <v>133</v>
      </c>
      <c r="C2791" t="s">
        <v>9</v>
      </c>
      <c r="D2791">
        <v>2443</v>
      </c>
      <c r="E2791">
        <v>2020</v>
      </c>
      <c r="F2791">
        <v>3</v>
      </c>
      <c r="G2791">
        <v>11033</v>
      </c>
      <c r="H2791" s="1">
        <v>4</v>
      </c>
      <c r="I2791">
        <v>158</v>
      </c>
      <c r="J2791">
        <f>IF($H2791=0,1,IF($I2791&lt;=1,2,0))</f>
        <v>0</v>
      </c>
      <c r="K2791">
        <v>0</v>
      </c>
      <c r="L2791">
        <f>IF(AND($J2791=0,$K2791=0),0,1)</f>
        <v>0</v>
      </c>
      <c r="M2791" t="s">
        <v>1906</v>
      </c>
    </row>
    <row r="2792" spans="1:13" x14ac:dyDescent="0.2">
      <c r="A2792" t="s">
        <v>202</v>
      </c>
      <c r="B2792" t="s">
        <v>133</v>
      </c>
      <c r="C2792" t="s">
        <v>9</v>
      </c>
      <c r="D2792">
        <v>2543</v>
      </c>
      <c r="E2792">
        <v>2020</v>
      </c>
      <c r="F2792">
        <v>1</v>
      </c>
      <c r="G2792">
        <v>21618</v>
      </c>
      <c r="H2792" s="1">
        <v>3</v>
      </c>
      <c r="I2792">
        <v>19</v>
      </c>
      <c r="J2792">
        <f>IF($H2792=0,1,IF($I2792&lt;=1,2,0))</f>
        <v>0</v>
      </c>
      <c r="K2792">
        <v>0</v>
      </c>
      <c r="L2792">
        <f>IF(AND($J2792=0,$K2792=0),0,1)</f>
        <v>0</v>
      </c>
    </row>
    <row r="2793" spans="1:13" x14ac:dyDescent="0.2">
      <c r="A2793" t="s">
        <v>202</v>
      </c>
      <c r="B2793" t="s">
        <v>133</v>
      </c>
      <c r="C2793" t="s">
        <v>9</v>
      </c>
      <c r="D2793">
        <v>2543</v>
      </c>
      <c r="E2793">
        <v>2020</v>
      </c>
      <c r="F2793">
        <v>3</v>
      </c>
      <c r="G2793">
        <v>21620</v>
      </c>
      <c r="H2793" s="1">
        <v>3</v>
      </c>
      <c r="I2793">
        <v>15</v>
      </c>
      <c r="J2793">
        <f>IF($H2793=0,1,IF($I2793&lt;=1,2,0))</f>
        <v>0</v>
      </c>
      <c r="K2793">
        <v>0</v>
      </c>
      <c r="L2793">
        <f>IF(AND($J2793=0,$K2793=0),0,1)</f>
        <v>0</v>
      </c>
      <c r="M2793" t="s">
        <v>926</v>
      </c>
    </row>
    <row r="2794" spans="1:13" x14ac:dyDescent="0.2">
      <c r="A2794" t="s">
        <v>202</v>
      </c>
      <c r="B2794" t="s">
        <v>133</v>
      </c>
      <c r="C2794" t="s">
        <v>9</v>
      </c>
      <c r="D2794">
        <v>2543</v>
      </c>
      <c r="E2794">
        <v>2020</v>
      </c>
      <c r="F2794">
        <v>2</v>
      </c>
      <c r="G2794">
        <v>21619</v>
      </c>
      <c r="H2794" s="1">
        <v>3</v>
      </c>
      <c r="I2794">
        <v>7</v>
      </c>
      <c r="J2794">
        <f>IF($H2794=0,1,IF($I2794&lt;=1,2,0))</f>
        <v>0</v>
      </c>
      <c r="K2794">
        <v>0</v>
      </c>
      <c r="L2794">
        <f>IF(AND($J2794=0,$K2794=0),0,1)</f>
        <v>0</v>
      </c>
    </row>
    <row r="2795" spans="1:13" x14ac:dyDescent="0.2">
      <c r="A2795" t="s">
        <v>202</v>
      </c>
      <c r="B2795" t="s">
        <v>133</v>
      </c>
      <c r="C2795" t="s">
        <v>9</v>
      </c>
      <c r="D2795">
        <v>2545</v>
      </c>
      <c r="E2795">
        <v>2020</v>
      </c>
      <c r="F2795">
        <v>1</v>
      </c>
      <c r="G2795">
        <v>10932</v>
      </c>
      <c r="H2795" s="1">
        <v>3</v>
      </c>
      <c r="I2795">
        <v>7</v>
      </c>
      <c r="J2795">
        <f>IF($H2795=0,1,IF($I2795&lt;=1,2,0))</f>
        <v>0</v>
      </c>
      <c r="K2795">
        <v>0</v>
      </c>
      <c r="L2795">
        <f>IF(AND($J2795=0,$K2795=0),0,1)</f>
        <v>0</v>
      </c>
    </row>
    <row r="2796" spans="1:13" x14ac:dyDescent="0.2">
      <c r="A2796" t="s">
        <v>202</v>
      </c>
      <c r="B2796" t="s">
        <v>133</v>
      </c>
      <c r="C2796" t="s">
        <v>9</v>
      </c>
      <c r="D2796">
        <v>2545</v>
      </c>
      <c r="E2796">
        <v>2020</v>
      </c>
      <c r="F2796">
        <v>2</v>
      </c>
      <c r="G2796">
        <v>10933</v>
      </c>
      <c r="H2796" s="1">
        <v>3</v>
      </c>
      <c r="I2796">
        <v>6</v>
      </c>
      <c r="J2796">
        <f>IF($H2796=0,1,IF($I2796&lt;=1,2,0))</f>
        <v>0</v>
      </c>
      <c r="K2796">
        <v>0</v>
      </c>
      <c r="L2796">
        <f>IF(AND($J2796=0,$K2796=0),0,1)</f>
        <v>0</v>
      </c>
    </row>
    <row r="2797" spans="1:13" x14ac:dyDescent="0.2">
      <c r="A2797" t="s">
        <v>202</v>
      </c>
      <c r="B2797" t="s">
        <v>133</v>
      </c>
      <c r="C2797" t="s">
        <v>9</v>
      </c>
      <c r="D2797">
        <v>3079</v>
      </c>
      <c r="E2797">
        <v>2020</v>
      </c>
      <c r="F2797">
        <v>1</v>
      </c>
      <c r="G2797">
        <v>11073</v>
      </c>
      <c r="H2797" s="1">
        <v>4</v>
      </c>
      <c r="I2797">
        <v>35</v>
      </c>
      <c r="J2797">
        <f>IF($H2797=0,1,IF($I2797&lt;=1,2,0))</f>
        <v>0</v>
      </c>
      <c r="K2797">
        <v>0</v>
      </c>
      <c r="L2797">
        <f>IF(AND($J2797=0,$K2797=0),0,1)</f>
        <v>0</v>
      </c>
      <c r="M2797" t="s">
        <v>927</v>
      </c>
    </row>
    <row r="2798" spans="1:13" x14ac:dyDescent="0.2">
      <c r="A2798" t="s">
        <v>202</v>
      </c>
      <c r="B2798" t="s">
        <v>133</v>
      </c>
      <c r="C2798" t="s">
        <v>9</v>
      </c>
      <c r="D2798">
        <v>3085</v>
      </c>
      <c r="E2798">
        <v>2020</v>
      </c>
      <c r="F2798">
        <v>1</v>
      </c>
      <c r="G2798">
        <v>10928</v>
      </c>
      <c r="H2798" s="1">
        <v>4</v>
      </c>
      <c r="I2798">
        <v>10</v>
      </c>
      <c r="J2798">
        <f>IF($H2798=0,1,IF($I2798&lt;=1,2,0))</f>
        <v>0</v>
      </c>
      <c r="K2798">
        <v>0</v>
      </c>
      <c r="L2798">
        <f>IF(AND($J2798=0,$K2798=0),0,1)</f>
        <v>0</v>
      </c>
    </row>
    <row r="2799" spans="1:13" x14ac:dyDescent="0.2">
      <c r="A2799" t="s">
        <v>202</v>
      </c>
      <c r="B2799" t="s">
        <v>133</v>
      </c>
      <c r="C2799" t="s">
        <v>9</v>
      </c>
      <c r="D2799">
        <v>3920</v>
      </c>
      <c r="E2799">
        <v>2020</v>
      </c>
      <c r="F2799">
        <v>1</v>
      </c>
      <c r="G2799">
        <v>10931</v>
      </c>
      <c r="H2799" s="1">
        <v>2</v>
      </c>
      <c r="I2799">
        <v>11</v>
      </c>
      <c r="J2799">
        <f>IF($H2799=0,1,IF($I2799&lt;=1,2,0))</f>
        <v>0</v>
      </c>
      <c r="K2799">
        <v>0</v>
      </c>
      <c r="L2799">
        <f>IF(AND($J2799=0,$K2799=0),0,1)</f>
        <v>0</v>
      </c>
    </row>
    <row r="2800" spans="1:13" x14ac:dyDescent="0.2">
      <c r="A2800" t="s">
        <v>202</v>
      </c>
      <c r="B2800" t="s">
        <v>133</v>
      </c>
      <c r="C2800" t="s">
        <v>11</v>
      </c>
      <c r="D2800">
        <v>4147</v>
      </c>
      <c r="E2800">
        <v>2020</v>
      </c>
      <c r="F2800">
        <v>1</v>
      </c>
      <c r="G2800">
        <v>11027</v>
      </c>
      <c r="H2800" s="1">
        <v>4.5</v>
      </c>
      <c r="I2800">
        <v>12</v>
      </c>
      <c r="J2800">
        <f>IF($H2800=0,1,IF($I2800&lt;=1,2,0))</f>
        <v>0</v>
      </c>
      <c r="K2800">
        <v>0</v>
      </c>
      <c r="L2800">
        <f>IF(AND($J2800=0,$K2800=0),0,1)</f>
        <v>0</v>
      </c>
    </row>
    <row r="2801" spans="1:13" x14ac:dyDescent="0.2">
      <c r="A2801" t="s">
        <v>202</v>
      </c>
      <c r="B2801" t="s">
        <v>133</v>
      </c>
      <c r="C2801" t="s">
        <v>11</v>
      </c>
      <c r="D2801">
        <v>4148</v>
      </c>
      <c r="E2801">
        <v>2020</v>
      </c>
      <c r="F2801">
        <v>1</v>
      </c>
      <c r="G2801">
        <v>11028</v>
      </c>
      <c r="H2801" s="1">
        <v>4.5</v>
      </c>
      <c r="I2801">
        <v>13</v>
      </c>
      <c r="J2801">
        <f>IF($H2801=0,1,IF($I2801&lt;=1,2,0))</f>
        <v>0</v>
      </c>
      <c r="K2801">
        <v>0</v>
      </c>
      <c r="L2801">
        <f>IF(AND($J2801=0,$K2801=0),0,1)</f>
        <v>0</v>
      </c>
    </row>
    <row r="2802" spans="1:13" x14ac:dyDescent="0.2">
      <c r="A2802" t="s">
        <v>202</v>
      </c>
      <c r="B2802" t="s">
        <v>133</v>
      </c>
      <c r="C2802" t="s">
        <v>11</v>
      </c>
      <c r="D2802">
        <v>4221</v>
      </c>
      <c r="E2802">
        <v>2020</v>
      </c>
      <c r="F2802">
        <v>1</v>
      </c>
      <c r="G2802">
        <v>11029</v>
      </c>
      <c r="H2802" s="1">
        <v>4.5</v>
      </c>
      <c r="I2802">
        <v>14</v>
      </c>
      <c r="J2802">
        <f>IF($H2802=0,1,IF($I2802&lt;=1,2,0))</f>
        <v>0</v>
      </c>
      <c r="K2802">
        <v>0</v>
      </c>
      <c r="L2802">
        <f>IF(AND($J2802=0,$K2802=0),0,1)</f>
        <v>0</v>
      </c>
    </row>
    <row r="2803" spans="1:13" x14ac:dyDescent="0.2">
      <c r="A2803" t="s">
        <v>202</v>
      </c>
      <c r="B2803" t="s">
        <v>133</v>
      </c>
      <c r="C2803" t="s">
        <v>11</v>
      </c>
      <c r="D2803">
        <v>4230</v>
      </c>
      <c r="E2803">
        <v>2020</v>
      </c>
      <c r="F2803">
        <v>1</v>
      </c>
      <c r="G2803">
        <v>11030</v>
      </c>
      <c r="H2803" s="1">
        <v>4.5</v>
      </c>
      <c r="I2803">
        <v>11</v>
      </c>
      <c r="J2803">
        <f>IF($H2803=0,1,IF($I2803&lt;=1,2,0))</f>
        <v>0</v>
      </c>
      <c r="K2803">
        <v>0</v>
      </c>
      <c r="L2803">
        <f>IF(AND($J2803=0,$K2803=0),0,1)</f>
        <v>0</v>
      </c>
    </row>
    <row r="2804" spans="1:13" x14ac:dyDescent="0.2">
      <c r="A2804" t="s">
        <v>202</v>
      </c>
      <c r="B2804" t="s">
        <v>133</v>
      </c>
      <c r="C2804" t="s">
        <v>9</v>
      </c>
      <c r="D2804">
        <v>4312</v>
      </c>
      <c r="E2804">
        <v>2020</v>
      </c>
      <c r="F2804">
        <v>1</v>
      </c>
      <c r="G2804">
        <v>11840</v>
      </c>
      <c r="H2804" s="1">
        <v>4</v>
      </c>
      <c r="I2804">
        <v>11</v>
      </c>
      <c r="J2804">
        <f>IF($H2804=0,1,IF($I2804&lt;=1,2,0))</f>
        <v>0</v>
      </c>
      <c r="K2804">
        <v>0</v>
      </c>
      <c r="L2804">
        <f>IF(AND($J2804=0,$K2804=0),0,1)</f>
        <v>0</v>
      </c>
    </row>
    <row r="2805" spans="1:13" x14ac:dyDescent="0.2">
      <c r="A2805" t="s">
        <v>210</v>
      </c>
      <c r="B2805" t="s">
        <v>71</v>
      </c>
      <c r="C2805" t="s">
        <v>72</v>
      </c>
      <c r="D2805">
        <v>2100</v>
      </c>
      <c r="E2805">
        <v>2020</v>
      </c>
      <c r="F2805">
        <v>1</v>
      </c>
      <c r="G2805">
        <v>10126</v>
      </c>
      <c r="H2805" s="1">
        <v>3</v>
      </c>
      <c r="I2805">
        <v>28</v>
      </c>
      <c r="J2805">
        <f>IF($H2805=0,1,IF($I2805&lt;=1,2,0))</f>
        <v>0</v>
      </c>
      <c r="K2805">
        <v>0</v>
      </c>
      <c r="L2805">
        <f>IF(AND($J2805=0,$K2805=0),0,1)</f>
        <v>0</v>
      </c>
    </row>
    <row r="2806" spans="1:13" x14ac:dyDescent="0.2">
      <c r="A2806" t="s">
        <v>210</v>
      </c>
      <c r="B2806" t="s">
        <v>71</v>
      </c>
      <c r="C2806" t="s">
        <v>72</v>
      </c>
      <c r="D2806">
        <v>3020</v>
      </c>
      <c r="E2806">
        <v>2020</v>
      </c>
      <c r="F2806">
        <v>1</v>
      </c>
      <c r="G2806">
        <v>12428</v>
      </c>
      <c r="H2806" s="1">
        <v>3</v>
      </c>
      <c r="I2806">
        <v>23</v>
      </c>
      <c r="J2806">
        <f>IF($H2806=0,1,IF($I2806&lt;=1,2,0))</f>
        <v>0</v>
      </c>
      <c r="K2806">
        <v>0</v>
      </c>
      <c r="L2806">
        <f>IF(AND($J2806=0,$K2806=0),0,1)</f>
        <v>0</v>
      </c>
    </row>
    <row r="2807" spans="1:13" x14ac:dyDescent="0.2">
      <c r="A2807" t="s">
        <v>210</v>
      </c>
      <c r="B2807" t="s">
        <v>71</v>
      </c>
      <c r="C2807" t="s">
        <v>72</v>
      </c>
      <c r="D2807">
        <v>3110</v>
      </c>
      <c r="E2807">
        <v>2020</v>
      </c>
      <c r="F2807">
        <v>1</v>
      </c>
      <c r="G2807">
        <v>10127</v>
      </c>
      <c r="H2807" s="1">
        <v>3</v>
      </c>
      <c r="I2807">
        <v>22</v>
      </c>
      <c r="J2807">
        <f>IF($H2807=0,1,IF($I2807&lt;=1,2,0))</f>
        <v>0</v>
      </c>
      <c r="K2807">
        <v>0</v>
      </c>
      <c r="L2807">
        <f>IF(AND($J2807=0,$K2807=0),0,1)</f>
        <v>0</v>
      </c>
    </row>
    <row r="2808" spans="1:13" x14ac:dyDescent="0.2">
      <c r="A2808" t="s">
        <v>210</v>
      </c>
      <c r="B2808" t="s">
        <v>71</v>
      </c>
      <c r="C2808" t="s">
        <v>72</v>
      </c>
      <c r="D2808">
        <v>4010</v>
      </c>
      <c r="E2808">
        <v>2020</v>
      </c>
      <c r="F2808">
        <v>1</v>
      </c>
      <c r="G2808">
        <v>10133</v>
      </c>
      <c r="H2808" s="1">
        <v>3</v>
      </c>
      <c r="I2808">
        <v>37</v>
      </c>
      <c r="J2808">
        <f>IF($H2808=0,1,IF($I2808&lt;=1,2,0))</f>
        <v>0</v>
      </c>
      <c r="K2808">
        <v>0</v>
      </c>
      <c r="L2808">
        <f>IF(AND($J2808=0,$K2808=0),0,1)</f>
        <v>0</v>
      </c>
    </row>
    <row r="2809" spans="1:13" x14ac:dyDescent="0.2">
      <c r="A2809" t="s">
        <v>210</v>
      </c>
      <c r="B2809" t="s">
        <v>71</v>
      </c>
      <c r="C2809" t="s">
        <v>72</v>
      </c>
      <c r="D2809">
        <v>4010</v>
      </c>
      <c r="E2809">
        <v>2020</v>
      </c>
      <c r="F2809" t="s">
        <v>84</v>
      </c>
      <c r="G2809">
        <v>21932</v>
      </c>
      <c r="H2809" s="1">
        <v>3</v>
      </c>
      <c r="I2809">
        <v>3</v>
      </c>
      <c r="J2809">
        <f>IF($H2809=0,1,IF($I2809&lt;=1,2,0))</f>
        <v>0</v>
      </c>
      <c r="K2809">
        <v>0</v>
      </c>
      <c r="L2809">
        <f>IF(AND($J2809=0,$K2809=0),0,1)</f>
        <v>0</v>
      </c>
      <c r="M2809" t="s">
        <v>85</v>
      </c>
    </row>
    <row r="2810" spans="1:13" x14ac:dyDescent="0.2">
      <c r="A2810" t="s">
        <v>210</v>
      </c>
      <c r="B2810" t="s">
        <v>71</v>
      </c>
      <c r="C2810" t="s">
        <v>72</v>
      </c>
      <c r="D2810">
        <v>4110</v>
      </c>
      <c r="E2810">
        <v>2020</v>
      </c>
      <c r="F2810">
        <v>1</v>
      </c>
      <c r="G2810">
        <v>10135</v>
      </c>
      <c r="H2810" s="1">
        <v>3</v>
      </c>
      <c r="I2810">
        <v>34</v>
      </c>
      <c r="J2810">
        <f>IF($H2810=0,1,IF($I2810&lt;=1,2,0))</f>
        <v>0</v>
      </c>
      <c r="K2810">
        <v>0</v>
      </c>
      <c r="L2810">
        <f>IF(AND($J2810=0,$K2810=0),0,1)</f>
        <v>0</v>
      </c>
    </row>
    <row r="2811" spans="1:13" x14ac:dyDescent="0.2">
      <c r="A2811" t="s">
        <v>210</v>
      </c>
      <c r="B2811" t="s">
        <v>71</v>
      </c>
      <c r="C2811" t="s">
        <v>72</v>
      </c>
      <c r="D2811">
        <v>4130</v>
      </c>
      <c r="E2811">
        <v>2020</v>
      </c>
      <c r="F2811">
        <v>1</v>
      </c>
      <c r="G2811">
        <v>10136</v>
      </c>
      <c r="H2811" s="1">
        <v>3</v>
      </c>
      <c r="I2811">
        <v>24</v>
      </c>
      <c r="J2811">
        <f>IF($H2811=0,1,IF($I2811&lt;=1,2,0))</f>
        <v>0</v>
      </c>
      <c r="K2811">
        <v>0</v>
      </c>
      <c r="L2811">
        <f>IF(AND($J2811=0,$K2811=0),0,1)</f>
        <v>0</v>
      </c>
    </row>
    <row r="2812" spans="1:13" x14ac:dyDescent="0.2">
      <c r="A2812" t="s">
        <v>210</v>
      </c>
      <c r="B2812" t="s">
        <v>71</v>
      </c>
      <c r="C2812" t="s">
        <v>72</v>
      </c>
      <c r="D2812">
        <v>4130</v>
      </c>
      <c r="E2812">
        <v>2020</v>
      </c>
      <c r="F2812" t="s">
        <v>84</v>
      </c>
      <c r="G2812">
        <v>21535</v>
      </c>
      <c r="H2812" s="1">
        <v>3</v>
      </c>
      <c r="I2812">
        <v>4</v>
      </c>
      <c r="J2812">
        <f>IF($H2812=0,1,IF($I2812&lt;=1,2,0))</f>
        <v>0</v>
      </c>
      <c r="K2812">
        <v>0</v>
      </c>
      <c r="L2812">
        <f>IF(AND($J2812=0,$K2812=0),0,1)</f>
        <v>0</v>
      </c>
      <c r="M2812" t="s">
        <v>85</v>
      </c>
    </row>
    <row r="2813" spans="1:13" x14ac:dyDescent="0.2">
      <c r="A2813" t="s">
        <v>210</v>
      </c>
      <c r="B2813" t="s">
        <v>71</v>
      </c>
      <c r="C2813" t="s">
        <v>72</v>
      </c>
      <c r="D2813">
        <v>4140</v>
      </c>
      <c r="E2813">
        <v>2020</v>
      </c>
      <c r="F2813">
        <v>1</v>
      </c>
      <c r="G2813">
        <v>10137</v>
      </c>
      <c r="H2813" s="1">
        <v>3</v>
      </c>
      <c r="I2813">
        <v>31</v>
      </c>
      <c r="J2813">
        <f>IF($H2813=0,1,IF($I2813&lt;=1,2,0))</f>
        <v>0</v>
      </c>
      <c r="K2813">
        <v>0</v>
      </c>
      <c r="L2813">
        <f>IF(AND($J2813=0,$K2813=0),0,1)</f>
        <v>0</v>
      </c>
    </row>
    <row r="2814" spans="1:13" x14ac:dyDescent="0.2">
      <c r="A2814" t="s">
        <v>210</v>
      </c>
      <c r="B2814" t="s">
        <v>71</v>
      </c>
      <c r="C2814" t="s">
        <v>72</v>
      </c>
      <c r="D2814">
        <v>4201</v>
      </c>
      <c r="E2814">
        <v>2020</v>
      </c>
      <c r="F2814">
        <v>1</v>
      </c>
      <c r="G2814">
        <v>10138</v>
      </c>
      <c r="H2814" s="1">
        <v>3</v>
      </c>
      <c r="I2814">
        <v>41</v>
      </c>
      <c r="J2814">
        <f>IF($H2814=0,1,IF($I2814&lt;=1,2,0))</f>
        <v>0</v>
      </c>
      <c r="K2814">
        <v>0</v>
      </c>
      <c r="L2814">
        <f>IF(AND($J2814=0,$K2814=0),0,1)</f>
        <v>0</v>
      </c>
    </row>
    <row r="2815" spans="1:13" x14ac:dyDescent="0.2">
      <c r="A2815" t="s">
        <v>210</v>
      </c>
      <c r="B2815" t="s">
        <v>71</v>
      </c>
      <c r="C2815" t="s">
        <v>72</v>
      </c>
      <c r="D2815">
        <v>4231</v>
      </c>
      <c r="E2815">
        <v>2020</v>
      </c>
      <c r="F2815">
        <v>1</v>
      </c>
      <c r="G2815">
        <v>10139</v>
      </c>
      <c r="H2815" s="1">
        <v>3</v>
      </c>
      <c r="I2815">
        <v>22</v>
      </c>
      <c r="J2815">
        <f>IF($H2815=0,1,IF($I2815&lt;=1,2,0))</f>
        <v>0</v>
      </c>
      <c r="K2815">
        <v>0</v>
      </c>
      <c r="L2815">
        <f>IF(AND($J2815=0,$K2815=0),0,1)</f>
        <v>0</v>
      </c>
    </row>
    <row r="2816" spans="1:13" x14ac:dyDescent="0.2">
      <c r="A2816" t="s">
        <v>210</v>
      </c>
      <c r="B2816" t="s">
        <v>71</v>
      </c>
      <c r="C2816" t="s">
        <v>72</v>
      </c>
      <c r="D2816">
        <v>4231</v>
      </c>
      <c r="E2816">
        <v>2020</v>
      </c>
      <c r="F2816" t="s">
        <v>84</v>
      </c>
      <c r="G2816">
        <v>22192</v>
      </c>
      <c r="H2816" s="1">
        <v>3</v>
      </c>
      <c r="I2816">
        <v>3</v>
      </c>
      <c r="J2816">
        <f>IF($H2816=0,1,IF($I2816&lt;=1,2,0))</f>
        <v>0</v>
      </c>
      <c r="K2816">
        <v>0</v>
      </c>
      <c r="L2816">
        <f>IF(AND($J2816=0,$K2816=0),0,1)</f>
        <v>0</v>
      </c>
      <c r="M2816" t="s">
        <v>85</v>
      </c>
    </row>
    <row r="2817" spans="1:13" x14ac:dyDescent="0.2">
      <c r="A2817" t="s">
        <v>210</v>
      </c>
      <c r="B2817" t="s">
        <v>71</v>
      </c>
      <c r="C2817" t="s">
        <v>72</v>
      </c>
      <c r="D2817">
        <v>4300</v>
      </c>
      <c r="E2817">
        <v>2020</v>
      </c>
      <c r="F2817">
        <v>1</v>
      </c>
      <c r="G2817">
        <v>10141</v>
      </c>
      <c r="H2817" s="1">
        <v>3</v>
      </c>
      <c r="I2817">
        <v>30</v>
      </c>
      <c r="J2817">
        <f>IF($H2817=0,1,IF($I2817&lt;=1,2,0))</f>
        <v>0</v>
      </c>
      <c r="K2817">
        <v>0</v>
      </c>
      <c r="L2817">
        <f>IF(AND($J2817=0,$K2817=0),0,1)</f>
        <v>0</v>
      </c>
    </row>
    <row r="2818" spans="1:13" x14ac:dyDescent="0.2">
      <c r="A2818" t="s">
        <v>210</v>
      </c>
      <c r="B2818" t="s">
        <v>71</v>
      </c>
      <c r="C2818" t="s">
        <v>72</v>
      </c>
      <c r="D2818">
        <v>4500</v>
      </c>
      <c r="E2818">
        <v>2020</v>
      </c>
      <c r="F2818">
        <v>1</v>
      </c>
      <c r="G2818">
        <v>10142</v>
      </c>
      <c r="H2818" s="1">
        <v>4</v>
      </c>
      <c r="I2818">
        <v>30</v>
      </c>
      <c r="J2818">
        <f>IF($H2818=0,1,IF($I2818&lt;=1,2,0))</f>
        <v>0</v>
      </c>
      <c r="K2818">
        <v>0</v>
      </c>
      <c r="L2818">
        <f>IF(AND($J2818=0,$K2818=0),0,1)</f>
        <v>0</v>
      </c>
    </row>
    <row r="2819" spans="1:13" x14ac:dyDescent="0.2">
      <c r="A2819" t="s">
        <v>210</v>
      </c>
      <c r="B2819" t="s">
        <v>71</v>
      </c>
      <c r="C2819" t="s">
        <v>72</v>
      </c>
      <c r="D2819">
        <v>4580</v>
      </c>
      <c r="E2819">
        <v>2020</v>
      </c>
      <c r="F2819">
        <v>1</v>
      </c>
      <c r="G2819">
        <v>10144</v>
      </c>
      <c r="H2819" s="1">
        <v>3</v>
      </c>
      <c r="I2819">
        <v>12</v>
      </c>
      <c r="J2819">
        <f>IF($H2819=0,1,IF($I2819&lt;=1,2,0))</f>
        <v>0</v>
      </c>
      <c r="K2819">
        <v>0</v>
      </c>
      <c r="L2819">
        <f>IF(AND($J2819=0,$K2819=0),0,1)</f>
        <v>0</v>
      </c>
    </row>
    <row r="2820" spans="1:13" x14ac:dyDescent="0.2">
      <c r="A2820" t="s">
        <v>210</v>
      </c>
      <c r="B2820" t="s">
        <v>71</v>
      </c>
      <c r="C2820" t="s">
        <v>72</v>
      </c>
      <c r="D2820">
        <v>4660</v>
      </c>
      <c r="E2820">
        <v>2020</v>
      </c>
      <c r="F2820">
        <v>1</v>
      </c>
      <c r="G2820">
        <v>10145</v>
      </c>
      <c r="H2820" s="1">
        <v>3</v>
      </c>
      <c r="I2820">
        <v>39</v>
      </c>
      <c r="J2820">
        <f>IF($H2820=0,1,IF($I2820&lt;=1,2,0))</f>
        <v>0</v>
      </c>
      <c r="K2820">
        <v>0</v>
      </c>
      <c r="L2820">
        <f>IF(AND($J2820=0,$K2820=0),0,1)</f>
        <v>0</v>
      </c>
    </row>
    <row r="2821" spans="1:13" x14ac:dyDescent="0.2">
      <c r="A2821" t="s">
        <v>210</v>
      </c>
      <c r="B2821" t="s">
        <v>71</v>
      </c>
      <c r="C2821" t="s">
        <v>72</v>
      </c>
      <c r="D2821">
        <v>4670</v>
      </c>
      <c r="E2821">
        <v>2020</v>
      </c>
      <c r="F2821">
        <v>1</v>
      </c>
      <c r="G2821">
        <v>10283</v>
      </c>
      <c r="H2821" s="1">
        <v>3</v>
      </c>
      <c r="I2821">
        <v>36</v>
      </c>
      <c r="J2821">
        <f>IF($H2821=0,1,IF($I2821&lt;=1,2,0))</f>
        <v>0</v>
      </c>
      <c r="K2821">
        <v>0</v>
      </c>
      <c r="L2821">
        <f>IF(AND($J2821=0,$K2821=0),0,1)</f>
        <v>0</v>
      </c>
    </row>
    <row r="2822" spans="1:13" x14ac:dyDescent="0.2">
      <c r="A2822" t="s">
        <v>210</v>
      </c>
      <c r="B2822" t="s">
        <v>71</v>
      </c>
      <c r="C2822" t="s">
        <v>72</v>
      </c>
      <c r="D2822">
        <v>4670</v>
      </c>
      <c r="E2822">
        <v>2020</v>
      </c>
      <c r="F2822" t="s">
        <v>84</v>
      </c>
      <c r="G2822">
        <v>21892</v>
      </c>
      <c r="H2822" s="1">
        <v>3</v>
      </c>
      <c r="I2822">
        <v>4</v>
      </c>
      <c r="J2822">
        <f>IF($H2822=0,1,IF($I2822&lt;=1,2,0))</f>
        <v>0</v>
      </c>
      <c r="K2822">
        <v>0</v>
      </c>
      <c r="L2822">
        <f>IF(AND($J2822=0,$K2822=0),0,1)</f>
        <v>0</v>
      </c>
      <c r="M2822" t="s">
        <v>85</v>
      </c>
    </row>
    <row r="2823" spans="1:13" x14ac:dyDescent="0.2">
      <c r="A2823" t="s">
        <v>210</v>
      </c>
      <c r="B2823" t="s">
        <v>71</v>
      </c>
      <c r="C2823" t="s">
        <v>72</v>
      </c>
      <c r="D2823">
        <v>4700</v>
      </c>
      <c r="E2823">
        <v>2020</v>
      </c>
      <c r="F2823">
        <v>1</v>
      </c>
      <c r="G2823">
        <v>10146</v>
      </c>
      <c r="H2823" s="1">
        <v>3</v>
      </c>
      <c r="I2823">
        <v>23</v>
      </c>
      <c r="J2823">
        <f>IF($H2823=0,1,IF($I2823&lt;=1,2,0))</f>
        <v>0</v>
      </c>
      <c r="K2823">
        <v>0</v>
      </c>
      <c r="L2823">
        <f>IF(AND($J2823=0,$K2823=0),0,1)</f>
        <v>0</v>
      </c>
    </row>
    <row r="2824" spans="1:13" x14ac:dyDescent="0.2">
      <c r="A2824" t="s">
        <v>210</v>
      </c>
      <c r="B2824" t="s">
        <v>71</v>
      </c>
      <c r="C2824" t="s">
        <v>72</v>
      </c>
      <c r="D2824">
        <v>4860</v>
      </c>
      <c r="E2824">
        <v>2020</v>
      </c>
      <c r="F2824">
        <v>1</v>
      </c>
      <c r="G2824">
        <v>10152</v>
      </c>
      <c r="H2824" s="1">
        <v>3</v>
      </c>
      <c r="I2824">
        <v>11</v>
      </c>
      <c r="J2824">
        <f>IF($H2824=0,1,IF($I2824&lt;=1,2,0))</f>
        <v>0</v>
      </c>
      <c r="K2824">
        <v>0</v>
      </c>
      <c r="L2824">
        <f>IF(AND($J2824=0,$K2824=0),0,1)</f>
        <v>0</v>
      </c>
    </row>
    <row r="2825" spans="1:13" x14ac:dyDescent="0.2">
      <c r="A2825" t="s">
        <v>210</v>
      </c>
      <c r="B2825" t="s">
        <v>71</v>
      </c>
      <c r="C2825" t="s">
        <v>72</v>
      </c>
      <c r="D2825">
        <v>4920</v>
      </c>
      <c r="E2825">
        <v>2020</v>
      </c>
      <c r="F2825">
        <v>1</v>
      </c>
      <c r="G2825">
        <v>10147</v>
      </c>
      <c r="H2825" s="1">
        <v>3</v>
      </c>
      <c r="I2825">
        <v>33</v>
      </c>
      <c r="J2825">
        <f>IF($H2825=0,1,IF($I2825&lt;=1,2,0))</f>
        <v>0</v>
      </c>
      <c r="K2825">
        <v>0</v>
      </c>
      <c r="L2825">
        <f>IF(AND($J2825=0,$K2825=0),0,1)</f>
        <v>0</v>
      </c>
    </row>
    <row r="2826" spans="1:13" x14ac:dyDescent="0.2">
      <c r="A2826" t="s">
        <v>216</v>
      </c>
      <c r="B2826" t="s">
        <v>17</v>
      </c>
      <c r="C2826" t="s">
        <v>7</v>
      </c>
      <c r="D2826">
        <v>1011</v>
      </c>
      <c r="E2826">
        <v>2020</v>
      </c>
      <c r="F2826">
        <v>2</v>
      </c>
      <c r="G2826">
        <v>10812</v>
      </c>
      <c r="H2826" s="1">
        <v>2.5</v>
      </c>
      <c r="I2826">
        <v>6</v>
      </c>
      <c r="J2826">
        <f>IF($H2826=0,1,IF($I2826&lt;=1,2,0))</f>
        <v>0</v>
      </c>
      <c r="K2826">
        <v>0</v>
      </c>
      <c r="L2826">
        <f>IF(AND($J2826=0,$K2826=0),0,1)</f>
        <v>0</v>
      </c>
    </row>
    <row r="2827" spans="1:13" x14ac:dyDescent="0.2">
      <c r="A2827" t="s">
        <v>216</v>
      </c>
      <c r="B2827" t="s">
        <v>17</v>
      </c>
      <c r="C2827" t="s">
        <v>7</v>
      </c>
      <c r="D2827">
        <v>1011</v>
      </c>
      <c r="E2827">
        <v>2020</v>
      </c>
      <c r="F2827">
        <v>1</v>
      </c>
      <c r="G2827">
        <v>10621</v>
      </c>
      <c r="H2827" s="1">
        <v>2.5</v>
      </c>
      <c r="I2827">
        <v>3</v>
      </c>
      <c r="J2827">
        <f>IF($H2827=0,1,IF($I2827&lt;=1,2,0))</f>
        <v>0</v>
      </c>
      <c r="K2827">
        <v>0</v>
      </c>
      <c r="L2827">
        <f>IF(AND($J2827=0,$K2827=0),0,1)</f>
        <v>0</v>
      </c>
    </row>
    <row r="2828" spans="1:13" x14ac:dyDescent="0.2">
      <c r="A2828" t="s">
        <v>216</v>
      </c>
      <c r="B2828" t="s">
        <v>17</v>
      </c>
      <c r="C2828" t="s">
        <v>7</v>
      </c>
      <c r="D2828">
        <v>1101</v>
      </c>
      <c r="E2828">
        <v>2020</v>
      </c>
      <c r="F2828">
        <v>2</v>
      </c>
      <c r="G2828">
        <v>10623</v>
      </c>
      <c r="H2828" s="1">
        <v>5</v>
      </c>
      <c r="I2828">
        <v>16</v>
      </c>
      <c r="J2828">
        <f>IF($H2828=0,1,IF($I2828&lt;=1,2,0))</f>
        <v>0</v>
      </c>
      <c r="K2828">
        <v>0</v>
      </c>
      <c r="L2828">
        <f>IF(AND($J2828=0,$K2828=0),0,1)</f>
        <v>0</v>
      </c>
    </row>
    <row r="2829" spans="1:13" x14ac:dyDescent="0.2">
      <c r="A2829" t="s">
        <v>216</v>
      </c>
      <c r="B2829" t="s">
        <v>17</v>
      </c>
      <c r="C2829" t="s">
        <v>7</v>
      </c>
      <c r="D2829">
        <v>1101</v>
      </c>
      <c r="E2829">
        <v>2020</v>
      </c>
      <c r="F2829">
        <v>6</v>
      </c>
      <c r="G2829">
        <v>10628</v>
      </c>
      <c r="H2829" s="1">
        <v>5</v>
      </c>
      <c r="I2829">
        <v>15</v>
      </c>
      <c r="J2829">
        <f>IF($H2829=0,1,IF($I2829&lt;=1,2,0))</f>
        <v>0</v>
      </c>
      <c r="K2829">
        <v>0</v>
      </c>
      <c r="L2829">
        <f>IF(AND($J2829=0,$K2829=0),0,1)</f>
        <v>0</v>
      </c>
    </row>
    <row r="2830" spans="1:13" x14ac:dyDescent="0.2">
      <c r="A2830" t="s">
        <v>216</v>
      </c>
      <c r="B2830" t="s">
        <v>17</v>
      </c>
      <c r="C2830" t="s">
        <v>7</v>
      </c>
      <c r="D2830">
        <v>1101</v>
      </c>
      <c r="E2830">
        <v>2020</v>
      </c>
      <c r="F2830">
        <v>5</v>
      </c>
      <c r="G2830">
        <v>10627</v>
      </c>
      <c r="H2830" s="1">
        <v>5</v>
      </c>
      <c r="I2830">
        <v>13</v>
      </c>
      <c r="J2830">
        <f>IF($H2830=0,1,IF($I2830&lt;=1,2,0))</f>
        <v>0</v>
      </c>
      <c r="K2830">
        <v>0</v>
      </c>
      <c r="L2830">
        <f>IF(AND($J2830=0,$K2830=0),0,1)</f>
        <v>0</v>
      </c>
    </row>
    <row r="2831" spans="1:13" x14ac:dyDescent="0.2">
      <c r="A2831" t="s">
        <v>216</v>
      </c>
      <c r="B2831" t="s">
        <v>17</v>
      </c>
      <c r="C2831" t="s">
        <v>7</v>
      </c>
      <c r="D2831">
        <v>1101</v>
      </c>
      <c r="E2831">
        <v>2020</v>
      </c>
      <c r="F2831">
        <v>3</v>
      </c>
      <c r="G2831">
        <v>10624</v>
      </c>
      <c r="H2831" s="1">
        <v>5</v>
      </c>
      <c r="I2831">
        <v>11</v>
      </c>
      <c r="J2831">
        <f>IF($H2831=0,1,IF($I2831&lt;=1,2,0))</f>
        <v>0</v>
      </c>
      <c r="K2831">
        <v>0</v>
      </c>
      <c r="L2831">
        <f>IF(AND($J2831=0,$K2831=0),0,1)</f>
        <v>0</v>
      </c>
    </row>
    <row r="2832" spans="1:13" x14ac:dyDescent="0.2">
      <c r="A2832" t="s">
        <v>216</v>
      </c>
      <c r="B2832" t="s">
        <v>17</v>
      </c>
      <c r="C2832" t="s">
        <v>7</v>
      </c>
      <c r="D2832">
        <v>1101</v>
      </c>
      <c r="E2832">
        <v>2020</v>
      </c>
      <c r="F2832">
        <v>4</v>
      </c>
      <c r="G2832">
        <v>10626</v>
      </c>
      <c r="H2832" s="1">
        <v>5</v>
      </c>
      <c r="I2832">
        <v>10</v>
      </c>
      <c r="J2832">
        <f>IF($H2832=0,1,IF($I2832&lt;=1,2,0))</f>
        <v>0</v>
      </c>
      <c r="K2832">
        <v>0</v>
      </c>
      <c r="L2832">
        <f>IF(AND($J2832=0,$K2832=0),0,1)</f>
        <v>0</v>
      </c>
    </row>
    <row r="2833" spans="1:12" x14ac:dyDescent="0.2">
      <c r="A2833" t="s">
        <v>216</v>
      </c>
      <c r="B2833" t="s">
        <v>17</v>
      </c>
      <c r="C2833" t="s">
        <v>7</v>
      </c>
      <c r="D2833">
        <v>1111</v>
      </c>
      <c r="E2833">
        <v>2020</v>
      </c>
      <c r="F2833">
        <v>1</v>
      </c>
      <c r="G2833">
        <v>10630</v>
      </c>
      <c r="H2833" s="1">
        <v>5</v>
      </c>
      <c r="I2833">
        <v>15</v>
      </c>
      <c r="J2833">
        <f>IF($H2833=0,1,IF($I2833&lt;=1,2,0))</f>
        <v>0</v>
      </c>
      <c r="K2833">
        <v>0</v>
      </c>
      <c r="L2833">
        <f>IF(AND($J2833=0,$K2833=0),0,1)</f>
        <v>0</v>
      </c>
    </row>
    <row r="2834" spans="1:12" x14ac:dyDescent="0.2">
      <c r="A2834" t="s">
        <v>216</v>
      </c>
      <c r="B2834" t="s">
        <v>17</v>
      </c>
      <c r="C2834" t="s">
        <v>7</v>
      </c>
      <c r="D2834">
        <v>1111</v>
      </c>
      <c r="E2834">
        <v>2020</v>
      </c>
      <c r="F2834">
        <v>2</v>
      </c>
      <c r="G2834">
        <v>10631</v>
      </c>
      <c r="H2834" s="1">
        <v>5</v>
      </c>
      <c r="I2834">
        <v>14</v>
      </c>
      <c r="J2834">
        <f>IF($H2834=0,1,IF($I2834&lt;=1,2,0))</f>
        <v>0</v>
      </c>
      <c r="K2834">
        <v>0</v>
      </c>
      <c r="L2834">
        <f>IF(AND($J2834=0,$K2834=0),0,1)</f>
        <v>0</v>
      </c>
    </row>
    <row r="2835" spans="1:12" x14ac:dyDescent="0.2">
      <c r="A2835" t="s">
        <v>216</v>
      </c>
      <c r="B2835" t="s">
        <v>17</v>
      </c>
      <c r="C2835" t="s">
        <v>7</v>
      </c>
      <c r="D2835">
        <v>2201</v>
      </c>
      <c r="E2835">
        <v>2020</v>
      </c>
      <c r="F2835">
        <v>2</v>
      </c>
      <c r="G2835">
        <v>10633</v>
      </c>
      <c r="H2835" s="1">
        <v>5</v>
      </c>
      <c r="I2835">
        <v>16</v>
      </c>
      <c r="J2835">
        <f>IF($H2835=0,1,IF($I2835&lt;=1,2,0))</f>
        <v>0</v>
      </c>
      <c r="K2835">
        <v>0</v>
      </c>
      <c r="L2835">
        <f>IF(AND($J2835=0,$K2835=0),0,1)</f>
        <v>0</v>
      </c>
    </row>
    <row r="2836" spans="1:12" x14ac:dyDescent="0.2">
      <c r="A2836" t="s">
        <v>216</v>
      </c>
      <c r="B2836" t="s">
        <v>17</v>
      </c>
      <c r="C2836" t="s">
        <v>7</v>
      </c>
      <c r="D2836">
        <v>2201</v>
      </c>
      <c r="E2836">
        <v>2020</v>
      </c>
      <c r="F2836">
        <v>3</v>
      </c>
      <c r="G2836">
        <v>10634</v>
      </c>
      <c r="H2836" s="1">
        <v>5</v>
      </c>
      <c r="I2836">
        <v>15</v>
      </c>
      <c r="J2836">
        <f>IF($H2836=0,1,IF($I2836&lt;=1,2,0))</f>
        <v>0</v>
      </c>
      <c r="K2836">
        <v>0</v>
      </c>
      <c r="L2836">
        <f>IF(AND($J2836=0,$K2836=0),0,1)</f>
        <v>0</v>
      </c>
    </row>
    <row r="2837" spans="1:12" x14ac:dyDescent="0.2">
      <c r="A2837" t="s">
        <v>216</v>
      </c>
      <c r="B2837" t="s">
        <v>17</v>
      </c>
      <c r="C2837" t="s">
        <v>7</v>
      </c>
      <c r="D2837">
        <v>2201</v>
      </c>
      <c r="E2837">
        <v>2020</v>
      </c>
      <c r="F2837">
        <v>4</v>
      </c>
      <c r="G2837">
        <v>10635</v>
      </c>
      <c r="H2837" s="1">
        <v>5</v>
      </c>
      <c r="I2837">
        <v>13</v>
      </c>
      <c r="J2837">
        <f>IF($H2837=0,1,IF($I2837&lt;=1,2,0))</f>
        <v>0</v>
      </c>
      <c r="K2837">
        <v>0</v>
      </c>
      <c r="L2837">
        <f>IF(AND($J2837=0,$K2837=0),0,1)</f>
        <v>0</v>
      </c>
    </row>
    <row r="2838" spans="1:12" x14ac:dyDescent="0.2">
      <c r="A2838" t="s">
        <v>216</v>
      </c>
      <c r="B2838" t="s">
        <v>17</v>
      </c>
      <c r="C2838" t="s">
        <v>7</v>
      </c>
      <c r="D2838">
        <v>2201</v>
      </c>
      <c r="E2838">
        <v>2020</v>
      </c>
      <c r="F2838">
        <v>5</v>
      </c>
      <c r="G2838">
        <v>10636</v>
      </c>
      <c r="H2838" s="1">
        <v>5</v>
      </c>
      <c r="I2838">
        <v>12</v>
      </c>
      <c r="J2838">
        <f>IF($H2838=0,1,IF($I2838&lt;=1,2,0))</f>
        <v>0</v>
      </c>
      <c r="K2838">
        <v>0</v>
      </c>
      <c r="L2838">
        <f>IF(AND($J2838=0,$K2838=0),0,1)</f>
        <v>0</v>
      </c>
    </row>
    <row r="2839" spans="1:12" x14ac:dyDescent="0.2">
      <c r="A2839" t="s">
        <v>216</v>
      </c>
      <c r="B2839" t="s">
        <v>17</v>
      </c>
      <c r="C2839" t="s">
        <v>7</v>
      </c>
      <c r="D2839">
        <v>2201</v>
      </c>
      <c r="E2839">
        <v>2020</v>
      </c>
      <c r="F2839">
        <v>1</v>
      </c>
      <c r="G2839">
        <v>10632</v>
      </c>
      <c r="H2839" s="1">
        <v>5</v>
      </c>
      <c r="I2839">
        <v>9</v>
      </c>
      <c r="J2839">
        <f>IF($H2839=0,1,IF($I2839&lt;=1,2,0))</f>
        <v>0</v>
      </c>
      <c r="K2839">
        <v>0</v>
      </c>
      <c r="L2839">
        <f>IF(AND($J2839=0,$K2839=0),0,1)</f>
        <v>0</v>
      </c>
    </row>
    <row r="2840" spans="1:12" x14ac:dyDescent="0.2">
      <c r="A2840" t="s">
        <v>216</v>
      </c>
      <c r="B2840" t="s">
        <v>17</v>
      </c>
      <c r="C2840" t="s">
        <v>7</v>
      </c>
      <c r="D2840">
        <v>2201</v>
      </c>
      <c r="E2840">
        <v>2020</v>
      </c>
      <c r="F2840">
        <v>6</v>
      </c>
      <c r="G2840">
        <v>10637</v>
      </c>
      <c r="H2840" s="1">
        <v>5</v>
      </c>
      <c r="I2840">
        <v>6</v>
      </c>
      <c r="J2840">
        <f>IF($H2840=0,1,IF($I2840&lt;=1,2,0))</f>
        <v>0</v>
      </c>
      <c r="K2840">
        <v>0</v>
      </c>
      <c r="L2840">
        <f>IF(AND($J2840=0,$K2840=0),0,1)</f>
        <v>0</v>
      </c>
    </row>
    <row r="2841" spans="1:12" x14ac:dyDescent="0.2">
      <c r="A2841" t="s">
        <v>216</v>
      </c>
      <c r="B2841" t="s">
        <v>17</v>
      </c>
      <c r="C2841" t="s">
        <v>7</v>
      </c>
      <c r="D2841">
        <v>2221</v>
      </c>
      <c r="E2841">
        <v>2020</v>
      </c>
      <c r="F2841">
        <v>2</v>
      </c>
      <c r="G2841">
        <v>10639</v>
      </c>
      <c r="H2841" s="1">
        <v>5</v>
      </c>
      <c r="I2841">
        <v>5</v>
      </c>
      <c r="J2841">
        <f>IF($H2841=0,1,IF($I2841&lt;=1,2,0))</f>
        <v>0</v>
      </c>
      <c r="K2841">
        <v>0</v>
      </c>
      <c r="L2841">
        <f>IF(AND($J2841=0,$K2841=0),0,1)</f>
        <v>0</v>
      </c>
    </row>
    <row r="2842" spans="1:12" x14ac:dyDescent="0.2">
      <c r="A2842" t="s">
        <v>216</v>
      </c>
      <c r="B2842" t="s">
        <v>17</v>
      </c>
      <c r="C2842" t="s">
        <v>9</v>
      </c>
      <c r="D2842">
        <v>3003</v>
      </c>
      <c r="E2842">
        <v>2020</v>
      </c>
      <c r="F2842">
        <v>2</v>
      </c>
      <c r="G2842">
        <v>10641</v>
      </c>
      <c r="H2842" s="1">
        <v>5</v>
      </c>
      <c r="I2842">
        <v>11</v>
      </c>
      <c r="J2842">
        <f>IF($H2842=0,1,IF($I2842&lt;=1,2,0))</f>
        <v>0</v>
      </c>
      <c r="K2842">
        <v>0</v>
      </c>
      <c r="L2842">
        <f>IF(AND($J2842=0,$K2842=0),0,1)</f>
        <v>0</v>
      </c>
    </row>
    <row r="2843" spans="1:12" x14ac:dyDescent="0.2">
      <c r="A2843" t="s">
        <v>216</v>
      </c>
      <c r="B2843" t="s">
        <v>17</v>
      </c>
      <c r="C2843" t="s">
        <v>9</v>
      </c>
      <c r="D2843">
        <v>3003</v>
      </c>
      <c r="E2843">
        <v>2020</v>
      </c>
      <c r="F2843">
        <v>3</v>
      </c>
      <c r="G2843">
        <v>10642</v>
      </c>
      <c r="H2843" s="1">
        <v>5</v>
      </c>
      <c r="I2843">
        <v>11</v>
      </c>
      <c r="J2843">
        <f>IF($H2843=0,1,IF($I2843&lt;=1,2,0))</f>
        <v>0</v>
      </c>
      <c r="K2843">
        <v>0</v>
      </c>
      <c r="L2843">
        <f>IF(AND($J2843=0,$K2843=0),0,1)</f>
        <v>0</v>
      </c>
    </row>
    <row r="2844" spans="1:12" x14ac:dyDescent="0.2">
      <c r="A2844" t="s">
        <v>216</v>
      </c>
      <c r="B2844" t="s">
        <v>17</v>
      </c>
      <c r="C2844" t="s">
        <v>9</v>
      </c>
      <c r="D2844">
        <v>3003</v>
      </c>
      <c r="E2844">
        <v>2020</v>
      </c>
      <c r="F2844">
        <v>5</v>
      </c>
      <c r="G2844">
        <v>10644</v>
      </c>
      <c r="H2844" s="1">
        <v>5</v>
      </c>
      <c r="I2844">
        <v>11</v>
      </c>
      <c r="J2844">
        <f>IF($H2844=0,1,IF($I2844&lt;=1,2,0))</f>
        <v>0</v>
      </c>
      <c r="K2844">
        <v>0</v>
      </c>
      <c r="L2844">
        <f>IF(AND($J2844=0,$K2844=0),0,1)</f>
        <v>0</v>
      </c>
    </row>
    <row r="2845" spans="1:12" x14ac:dyDescent="0.2">
      <c r="A2845" t="s">
        <v>216</v>
      </c>
      <c r="B2845" t="s">
        <v>17</v>
      </c>
      <c r="C2845" t="s">
        <v>9</v>
      </c>
      <c r="D2845">
        <v>3003</v>
      </c>
      <c r="E2845">
        <v>2020</v>
      </c>
      <c r="F2845">
        <v>1</v>
      </c>
      <c r="G2845">
        <v>10640</v>
      </c>
      <c r="H2845" s="1">
        <v>5</v>
      </c>
      <c r="I2845">
        <v>8</v>
      </c>
      <c r="J2845">
        <f>IF($H2845=0,1,IF($I2845&lt;=1,2,0))</f>
        <v>0</v>
      </c>
      <c r="K2845">
        <v>0</v>
      </c>
      <c r="L2845">
        <f>IF(AND($J2845=0,$K2845=0),0,1)</f>
        <v>0</v>
      </c>
    </row>
    <row r="2846" spans="1:12" x14ac:dyDescent="0.2">
      <c r="A2846" t="s">
        <v>216</v>
      </c>
      <c r="B2846" t="s">
        <v>17</v>
      </c>
      <c r="C2846" t="s">
        <v>9</v>
      </c>
      <c r="D2846">
        <v>3005</v>
      </c>
      <c r="E2846">
        <v>2020</v>
      </c>
      <c r="F2846">
        <v>1</v>
      </c>
      <c r="G2846">
        <v>10645</v>
      </c>
      <c r="H2846" s="1">
        <v>5</v>
      </c>
      <c r="I2846">
        <v>15</v>
      </c>
      <c r="J2846">
        <f>IF($H2846=0,1,IF($I2846&lt;=1,2,0))</f>
        <v>0</v>
      </c>
      <c r="K2846">
        <v>0</v>
      </c>
      <c r="L2846">
        <f>IF(AND($J2846=0,$K2846=0),0,1)</f>
        <v>0</v>
      </c>
    </row>
    <row r="2847" spans="1:12" x14ac:dyDescent="0.2">
      <c r="A2847" t="s">
        <v>216</v>
      </c>
      <c r="B2847" t="s">
        <v>17</v>
      </c>
      <c r="C2847" t="s">
        <v>9</v>
      </c>
      <c r="D2847">
        <v>4012</v>
      </c>
      <c r="E2847">
        <v>2020</v>
      </c>
      <c r="F2847">
        <v>1</v>
      </c>
      <c r="G2847">
        <v>10646</v>
      </c>
      <c r="H2847" s="1">
        <v>4</v>
      </c>
      <c r="I2847">
        <v>7</v>
      </c>
      <c r="J2847">
        <f>IF($H2847=0,1,IF($I2847&lt;=1,2,0))</f>
        <v>0</v>
      </c>
      <c r="K2847">
        <v>0</v>
      </c>
      <c r="L2847">
        <f>IF(AND($J2847=0,$K2847=0),0,1)</f>
        <v>0</v>
      </c>
    </row>
    <row r="2848" spans="1:12" x14ac:dyDescent="0.2">
      <c r="A2848" t="s">
        <v>216</v>
      </c>
      <c r="B2848" t="s">
        <v>17</v>
      </c>
      <c r="C2848" t="s">
        <v>9</v>
      </c>
      <c r="D2848">
        <v>4014</v>
      </c>
      <c r="E2848">
        <v>2020</v>
      </c>
      <c r="F2848">
        <v>1</v>
      </c>
      <c r="G2848">
        <v>10648</v>
      </c>
      <c r="H2848" s="1">
        <v>4</v>
      </c>
      <c r="I2848">
        <v>8</v>
      </c>
      <c r="J2848">
        <f>IF($H2848=0,1,IF($I2848&lt;=1,2,0))</f>
        <v>0</v>
      </c>
      <c r="K2848">
        <v>0</v>
      </c>
      <c r="L2848">
        <f>IF(AND($J2848=0,$K2848=0),0,1)</f>
        <v>0</v>
      </c>
    </row>
    <row r="2849" spans="1:12" x14ac:dyDescent="0.2">
      <c r="A2849" t="s">
        <v>216</v>
      </c>
      <c r="B2849" t="s">
        <v>17</v>
      </c>
      <c r="C2849" t="s">
        <v>9</v>
      </c>
      <c r="D2849">
        <v>4014</v>
      </c>
      <c r="E2849">
        <v>2020</v>
      </c>
      <c r="F2849">
        <v>2</v>
      </c>
      <c r="G2849">
        <v>10647</v>
      </c>
      <c r="H2849" s="1">
        <v>4</v>
      </c>
      <c r="I2849">
        <v>4</v>
      </c>
      <c r="J2849">
        <f>IF($H2849=0,1,IF($I2849&lt;=1,2,0))</f>
        <v>0</v>
      </c>
      <c r="K2849">
        <v>0</v>
      </c>
      <c r="L2849">
        <f>IF(AND($J2849=0,$K2849=0),0,1)</f>
        <v>0</v>
      </c>
    </row>
    <row r="2850" spans="1:12" x14ac:dyDescent="0.2">
      <c r="A2850" t="s">
        <v>216</v>
      </c>
      <c r="B2850" t="s">
        <v>17</v>
      </c>
      <c r="C2850" t="s">
        <v>11</v>
      </c>
      <c r="D2850">
        <v>4015</v>
      </c>
      <c r="E2850">
        <v>2020</v>
      </c>
      <c r="F2850">
        <v>1</v>
      </c>
      <c r="G2850">
        <v>10649</v>
      </c>
      <c r="H2850" s="1">
        <v>4</v>
      </c>
      <c r="I2850">
        <v>8</v>
      </c>
      <c r="J2850">
        <f>IF($H2850=0,1,IF($I2850&lt;=1,2,0))</f>
        <v>0</v>
      </c>
      <c r="K2850">
        <v>0</v>
      </c>
      <c r="L2850">
        <f>IF(AND($J2850=0,$K2850=0),0,1)</f>
        <v>0</v>
      </c>
    </row>
    <row r="2851" spans="1:12" x14ac:dyDescent="0.2">
      <c r="A2851" t="s">
        <v>216</v>
      </c>
      <c r="B2851" t="s">
        <v>17</v>
      </c>
      <c r="C2851" t="s">
        <v>11</v>
      </c>
      <c r="D2851">
        <v>4015</v>
      </c>
      <c r="E2851">
        <v>2020</v>
      </c>
      <c r="F2851">
        <v>2</v>
      </c>
      <c r="G2851">
        <v>10650</v>
      </c>
      <c r="H2851" s="1">
        <v>4</v>
      </c>
      <c r="I2851">
        <v>4</v>
      </c>
      <c r="J2851">
        <f>IF($H2851=0,1,IF($I2851&lt;=1,2,0))</f>
        <v>0</v>
      </c>
      <c r="K2851">
        <v>0</v>
      </c>
      <c r="L2851">
        <f>IF(AND($J2851=0,$K2851=0),0,1)</f>
        <v>0</v>
      </c>
    </row>
    <row r="2852" spans="1:12" x14ac:dyDescent="0.2">
      <c r="A2852" t="s">
        <v>216</v>
      </c>
      <c r="B2852" t="s">
        <v>17</v>
      </c>
      <c r="C2852" t="s">
        <v>9</v>
      </c>
      <c r="D2852">
        <v>4017</v>
      </c>
      <c r="E2852">
        <v>2020</v>
      </c>
      <c r="F2852">
        <v>1</v>
      </c>
      <c r="G2852">
        <v>10651</v>
      </c>
      <c r="H2852" s="1">
        <v>4</v>
      </c>
      <c r="I2852">
        <v>14</v>
      </c>
      <c r="J2852">
        <f>IF($H2852=0,1,IF($I2852&lt;=1,2,0))</f>
        <v>0</v>
      </c>
      <c r="K2852">
        <v>0</v>
      </c>
      <c r="L2852">
        <f>IF(AND($J2852=0,$K2852=0),0,1)</f>
        <v>0</v>
      </c>
    </row>
    <row r="2853" spans="1:12" x14ac:dyDescent="0.2">
      <c r="A2853" t="s">
        <v>216</v>
      </c>
      <c r="B2853" t="s">
        <v>17</v>
      </c>
      <c r="C2853" t="s">
        <v>9</v>
      </c>
      <c r="D2853">
        <v>4112</v>
      </c>
      <c r="E2853">
        <v>2020</v>
      </c>
      <c r="F2853">
        <v>1</v>
      </c>
      <c r="G2853">
        <v>13004</v>
      </c>
      <c r="H2853" s="1">
        <v>4</v>
      </c>
      <c r="I2853">
        <v>9</v>
      </c>
      <c r="J2853">
        <f>IF($H2853=0,1,IF($I2853&lt;=1,2,0))</f>
        <v>0</v>
      </c>
      <c r="K2853">
        <v>0</v>
      </c>
      <c r="L2853">
        <f>IF(AND($J2853=0,$K2853=0),0,1)</f>
        <v>0</v>
      </c>
    </row>
    <row r="2854" spans="1:12" x14ac:dyDescent="0.2">
      <c r="A2854" t="s">
        <v>216</v>
      </c>
      <c r="B2854" t="s">
        <v>17</v>
      </c>
      <c r="C2854" t="s">
        <v>9</v>
      </c>
      <c r="D2854">
        <v>4301</v>
      </c>
      <c r="E2854">
        <v>2020</v>
      </c>
      <c r="F2854">
        <v>1</v>
      </c>
      <c r="G2854">
        <v>10653</v>
      </c>
      <c r="H2854" s="1">
        <v>3</v>
      </c>
      <c r="I2854">
        <v>15</v>
      </c>
      <c r="J2854">
        <f>IF($H2854=0,1,IF($I2854&lt;=1,2,0))</f>
        <v>0</v>
      </c>
      <c r="K2854">
        <v>0</v>
      </c>
      <c r="L2854">
        <f>IF(AND($J2854=0,$K2854=0),0,1)</f>
        <v>0</v>
      </c>
    </row>
    <row r="2855" spans="1:12" x14ac:dyDescent="0.2">
      <c r="A2855" t="s">
        <v>216</v>
      </c>
      <c r="B2855" t="s">
        <v>17</v>
      </c>
      <c r="C2855" t="s">
        <v>9</v>
      </c>
      <c r="D2855">
        <v>4507</v>
      </c>
      <c r="E2855">
        <v>2020</v>
      </c>
      <c r="F2855">
        <v>1</v>
      </c>
      <c r="G2855">
        <v>10654</v>
      </c>
      <c r="H2855" s="1">
        <v>3</v>
      </c>
      <c r="I2855">
        <v>11</v>
      </c>
      <c r="J2855">
        <f>IF($H2855=0,1,IF($I2855&lt;=1,2,0))</f>
        <v>0</v>
      </c>
      <c r="K2855">
        <v>0</v>
      </c>
      <c r="L2855">
        <f>IF(AND($J2855=0,$K2855=0),0,1)</f>
        <v>0</v>
      </c>
    </row>
    <row r="2856" spans="1:12" x14ac:dyDescent="0.2">
      <c r="A2856" t="s">
        <v>216</v>
      </c>
      <c r="B2856" t="s">
        <v>17</v>
      </c>
      <c r="C2856" t="s">
        <v>11</v>
      </c>
      <c r="D2856">
        <v>4516</v>
      </c>
      <c r="E2856">
        <v>2020</v>
      </c>
      <c r="F2856">
        <v>1</v>
      </c>
      <c r="G2856">
        <v>10655</v>
      </c>
      <c r="H2856" s="1">
        <v>4</v>
      </c>
      <c r="I2856">
        <v>9</v>
      </c>
      <c r="J2856">
        <f>IF($H2856=0,1,IF($I2856&lt;=1,2,0))</f>
        <v>0</v>
      </c>
      <c r="K2856">
        <v>0</v>
      </c>
      <c r="L2856">
        <f>IF(AND($J2856=0,$K2856=0),0,1)</f>
        <v>0</v>
      </c>
    </row>
    <row r="2857" spans="1:12" x14ac:dyDescent="0.2">
      <c r="A2857" t="s">
        <v>216</v>
      </c>
      <c r="B2857" t="s">
        <v>17</v>
      </c>
      <c r="C2857" t="s">
        <v>11</v>
      </c>
      <c r="D2857">
        <v>5013</v>
      </c>
      <c r="E2857">
        <v>2020</v>
      </c>
      <c r="F2857">
        <v>1</v>
      </c>
      <c r="G2857">
        <v>10658</v>
      </c>
      <c r="H2857" s="1">
        <v>4</v>
      </c>
      <c r="I2857">
        <v>5</v>
      </c>
      <c r="J2857">
        <f>IF($H2857=0,1,IF($I2857&lt;=1,2,0))</f>
        <v>0</v>
      </c>
      <c r="K2857">
        <v>0</v>
      </c>
      <c r="L2857">
        <f>IF(AND($J2857=0,$K2857=0),0,1)</f>
        <v>0</v>
      </c>
    </row>
    <row r="2858" spans="1:12" x14ac:dyDescent="0.2">
      <c r="A2858" t="s">
        <v>217</v>
      </c>
      <c r="B2858" t="s">
        <v>71</v>
      </c>
      <c r="C2858" t="s">
        <v>72</v>
      </c>
      <c r="D2858">
        <v>4252</v>
      </c>
      <c r="E2858">
        <v>2020</v>
      </c>
      <c r="F2858">
        <v>1</v>
      </c>
      <c r="G2858">
        <v>13591</v>
      </c>
      <c r="H2858" s="1">
        <v>3</v>
      </c>
      <c r="I2858">
        <v>27</v>
      </c>
      <c r="J2858">
        <f>IF($H2858=0,1,IF($I2858&lt;=1,2,0))</f>
        <v>0</v>
      </c>
      <c r="K2858">
        <v>0</v>
      </c>
      <c r="L2858">
        <f>IF(AND($J2858=0,$K2858=0),0,1)</f>
        <v>0</v>
      </c>
    </row>
    <row r="2859" spans="1:12" x14ac:dyDescent="0.2">
      <c r="A2859" t="s">
        <v>218</v>
      </c>
      <c r="B2859" t="s">
        <v>71</v>
      </c>
      <c r="C2859" t="s">
        <v>72</v>
      </c>
      <c r="D2859">
        <v>3111</v>
      </c>
      <c r="E2859">
        <v>2020</v>
      </c>
      <c r="F2859">
        <v>1</v>
      </c>
      <c r="G2859">
        <v>11698</v>
      </c>
      <c r="H2859" s="1">
        <v>3.5</v>
      </c>
      <c r="I2859">
        <v>18</v>
      </c>
      <c r="J2859">
        <f>IF($H2859=0,1,IF($I2859&lt;=1,2,0))</f>
        <v>0</v>
      </c>
      <c r="K2859">
        <v>0</v>
      </c>
      <c r="L2859">
        <f>IF(AND($J2859=0,$K2859=0),0,1)</f>
        <v>0</v>
      </c>
    </row>
    <row r="2860" spans="1:12" x14ac:dyDescent="0.2">
      <c r="A2860" t="s">
        <v>218</v>
      </c>
      <c r="B2860" t="s">
        <v>71</v>
      </c>
      <c r="C2860" t="s">
        <v>72</v>
      </c>
      <c r="D2860">
        <v>3127</v>
      </c>
      <c r="E2860">
        <v>2020</v>
      </c>
      <c r="F2860">
        <v>1</v>
      </c>
      <c r="G2860">
        <v>11699</v>
      </c>
      <c r="H2860" s="1">
        <v>3</v>
      </c>
      <c r="I2860">
        <v>12</v>
      </c>
      <c r="J2860">
        <f>IF($H2860=0,1,IF($I2860&lt;=1,2,0))</f>
        <v>0</v>
      </c>
      <c r="K2860">
        <v>0</v>
      </c>
      <c r="L2860">
        <f>IF(AND($J2860=0,$K2860=0),0,1)</f>
        <v>0</v>
      </c>
    </row>
    <row r="2861" spans="1:12" x14ac:dyDescent="0.2">
      <c r="A2861" t="s">
        <v>218</v>
      </c>
      <c r="B2861" t="s">
        <v>71</v>
      </c>
      <c r="C2861" t="s">
        <v>72</v>
      </c>
      <c r="D2861">
        <v>3129</v>
      </c>
      <c r="E2861">
        <v>2020</v>
      </c>
      <c r="F2861">
        <v>1</v>
      </c>
      <c r="G2861">
        <v>11700</v>
      </c>
      <c r="H2861" s="1">
        <v>3</v>
      </c>
      <c r="I2861">
        <v>21</v>
      </c>
      <c r="J2861">
        <f>IF($H2861=0,1,IF($I2861&lt;=1,2,0))</f>
        <v>0</v>
      </c>
      <c r="K2861">
        <v>0</v>
      </c>
      <c r="L2861">
        <f>IF(AND($J2861=0,$K2861=0),0,1)</f>
        <v>0</v>
      </c>
    </row>
    <row r="2862" spans="1:12" x14ac:dyDescent="0.2">
      <c r="A2862" t="s">
        <v>218</v>
      </c>
      <c r="B2862" t="s">
        <v>71</v>
      </c>
      <c r="C2862" t="s">
        <v>72</v>
      </c>
      <c r="D2862">
        <v>3304</v>
      </c>
      <c r="E2862">
        <v>2020</v>
      </c>
      <c r="F2862">
        <v>4</v>
      </c>
      <c r="G2862">
        <v>22107</v>
      </c>
      <c r="H2862" s="1" t="s">
        <v>1827</v>
      </c>
      <c r="I2862">
        <v>2</v>
      </c>
      <c r="J2862">
        <f>IF($H2862=0,1,IF($I2862&lt;=1,2,0))</f>
        <v>0</v>
      </c>
      <c r="K2862">
        <v>0</v>
      </c>
      <c r="L2862">
        <f>IF(AND($J2862=0,$K2862=0),0,1)</f>
        <v>0</v>
      </c>
    </row>
    <row r="2863" spans="1:12" x14ac:dyDescent="0.2">
      <c r="A2863" t="s">
        <v>218</v>
      </c>
      <c r="B2863" t="s">
        <v>71</v>
      </c>
      <c r="C2863" t="s">
        <v>72</v>
      </c>
      <c r="D2863">
        <v>3304</v>
      </c>
      <c r="E2863">
        <v>2020</v>
      </c>
      <c r="F2863">
        <v>9</v>
      </c>
      <c r="G2863">
        <v>22112</v>
      </c>
      <c r="H2863" s="1" t="s">
        <v>1827</v>
      </c>
      <c r="I2863">
        <v>2</v>
      </c>
      <c r="J2863">
        <f>IF($H2863=0,1,IF($I2863&lt;=1,2,0))</f>
        <v>0</v>
      </c>
      <c r="K2863">
        <v>0</v>
      </c>
      <c r="L2863">
        <f>IF(AND($J2863=0,$K2863=0),0,1)</f>
        <v>0</v>
      </c>
    </row>
    <row r="2864" spans="1:12" x14ac:dyDescent="0.2">
      <c r="A2864" t="s">
        <v>218</v>
      </c>
      <c r="B2864" t="s">
        <v>71</v>
      </c>
      <c r="C2864" t="s">
        <v>72</v>
      </c>
      <c r="D2864">
        <v>3304</v>
      </c>
      <c r="E2864">
        <v>2020</v>
      </c>
      <c r="F2864">
        <v>13</v>
      </c>
      <c r="G2864">
        <v>22117</v>
      </c>
      <c r="H2864" s="1" t="s">
        <v>1827</v>
      </c>
      <c r="I2864">
        <v>2</v>
      </c>
      <c r="J2864">
        <f>IF($H2864=0,1,IF($I2864&lt;=1,2,0))</f>
        <v>0</v>
      </c>
      <c r="K2864">
        <v>0</v>
      </c>
      <c r="L2864">
        <f>IF(AND($J2864=0,$K2864=0),0,1)</f>
        <v>0</v>
      </c>
    </row>
    <row r="2865" spans="1:13" x14ac:dyDescent="0.2">
      <c r="A2865" t="s">
        <v>218</v>
      </c>
      <c r="B2865" t="s">
        <v>71</v>
      </c>
      <c r="C2865" t="s">
        <v>72</v>
      </c>
      <c r="D2865">
        <v>4021</v>
      </c>
      <c r="E2865">
        <v>2020</v>
      </c>
      <c r="F2865">
        <v>1</v>
      </c>
      <c r="G2865">
        <v>11702</v>
      </c>
      <c r="H2865" s="1">
        <v>3</v>
      </c>
      <c r="I2865">
        <v>28</v>
      </c>
      <c r="J2865">
        <f>IF($H2865=0,1,IF($I2865&lt;=1,2,0))</f>
        <v>0</v>
      </c>
      <c r="K2865">
        <v>0</v>
      </c>
      <c r="L2865">
        <f>IF(AND($J2865=0,$K2865=0),0,1)</f>
        <v>0</v>
      </c>
    </row>
    <row r="2866" spans="1:13" x14ac:dyDescent="0.2">
      <c r="A2866" t="s">
        <v>218</v>
      </c>
      <c r="B2866" t="s">
        <v>71</v>
      </c>
      <c r="C2866" t="s">
        <v>72</v>
      </c>
      <c r="D2866">
        <v>4021</v>
      </c>
      <c r="E2866">
        <v>2020</v>
      </c>
      <c r="F2866" t="s">
        <v>84</v>
      </c>
      <c r="G2866">
        <v>22195</v>
      </c>
      <c r="H2866" s="1">
        <v>3</v>
      </c>
      <c r="I2866">
        <v>5</v>
      </c>
      <c r="J2866">
        <f>IF($H2866=0,1,IF($I2866&lt;=1,2,0))</f>
        <v>0</v>
      </c>
      <c r="K2866">
        <v>0</v>
      </c>
      <c r="L2866">
        <f>IF(AND($J2866=0,$K2866=0),0,1)</f>
        <v>0</v>
      </c>
      <c r="M2866" t="s">
        <v>85</v>
      </c>
    </row>
    <row r="2867" spans="1:13" x14ac:dyDescent="0.2">
      <c r="A2867" t="s">
        <v>218</v>
      </c>
      <c r="B2867" t="s">
        <v>71</v>
      </c>
      <c r="C2867" t="s">
        <v>72</v>
      </c>
      <c r="D2867">
        <v>4129</v>
      </c>
      <c r="E2867">
        <v>2020</v>
      </c>
      <c r="F2867">
        <v>1</v>
      </c>
      <c r="G2867">
        <v>11704</v>
      </c>
      <c r="H2867" s="1">
        <v>3</v>
      </c>
      <c r="I2867">
        <v>21</v>
      </c>
      <c r="J2867">
        <f>IF($H2867=0,1,IF($I2867&lt;=1,2,0))</f>
        <v>0</v>
      </c>
      <c r="K2867">
        <v>0</v>
      </c>
      <c r="L2867">
        <f>IF(AND($J2867=0,$K2867=0),0,1)</f>
        <v>0</v>
      </c>
    </row>
    <row r="2868" spans="1:13" x14ac:dyDescent="0.2">
      <c r="A2868" t="s">
        <v>218</v>
      </c>
      <c r="B2868" t="s">
        <v>71</v>
      </c>
      <c r="C2868" t="s">
        <v>72</v>
      </c>
      <c r="D2868">
        <v>4129</v>
      </c>
      <c r="E2868">
        <v>2020</v>
      </c>
      <c r="F2868" t="s">
        <v>84</v>
      </c>
      <c r="G2868">
        <v>22196</v>
      </c>
      <c r="H2868" s="1">
        <v>3</v>
      </c>
      <c r="I2868">
        <v>3</v>
      </c>
      <c r="J2868">
        <f>IF($H2868=0,1,IF($I2868&lt;=1,2,0))</f>
        <v>0</v>
      </c>
      <c r="K2868">
        <v>0</v>
      </c>
      <c r="L2868">
        <f>IF(AND($J2868=0,$K2868=0),0,1)</f>
        <v>0</v>
      </c>
      <c r="M2868" t="s">
        <v>85</v>
      </c>
    </row>
    <row r="2869" spans="1:13" x14ac:dyDescent="0.2">
      <c r="A2869" t="s">
        <v>218</v>
      </c>
      <c r="B2869" t="s">
        <v>71</v>
      </c>
      <c r="C2869" t="s">
        <v>72</v>
      </c>
      <c r="D2869">
        <v>4131</v>
      </c>
      <c r="E2869">
        <v>2020</v>
      </c>
      <c r="F2869">
        <v>1</v>
      </c>
      <c r="G2869">
        <v>13946</v>
      </c>
      <c r="H2869" s="1">
        <v>3</v>
      </c>
      <c r="I2869">
        <v>44</v>
      </c>
      <c r="J2869">
        <f>IF($H2869=0,1,IF($I2869&lt;=1,2,0))</f>
        <v>0</v>
      </c>
      <c r="K2869">
        <v>0</v>
      </c>
      <c r="L2869">
        <f>IF(AND($J2869=0,$K2869=0),0,1)</f>
        <v>0</v>
      </c>
    </row>
    <row r="2870" spans="1:13" x14ac:dyDescent="0.2">
      <c r="A2870" t="s">
        <v>218</v>
      </c>
      <c r="B2870" t="s">
        <v>71</v>
      </c>
      <c r="C2870" t="s">
        <v>72</v>
      </c>
      <c r="D2870">
        <v>4132</v>
      </c>
      <c r="E2870">
        <v>2020</v>
      </c>
      <c r="F2870">
        <v>1</v>
      </c>
      <c r="G2870">
        <v>11706</v>
      </c>
      <c r="H2870" s="1">
        <v>3</v>
      </c>
      <c r="I2870">
        <v>19</v>
      </c>
      <c r="J2870">
        <f>IF($H2870=0,1,IF($I2870&lt;=1,2,0))</f>
        <v>0</v>
      </c>
      <c r="K2870">
        <v>0</v>
      </c>
      <c r="L2870">
        <f>IF(AND($J2870=0,$K2870=0),0,1)</f>
        <v>0</v>
      </c>
    </row>
    <row r="2871" spans="1:13" x14ac:dyDescent="0.2">
      <c r="A2871" t="s">
        <v>218</v>
      </c>
      <c r="B2871" t="s">
        <v>71</v>
      </c>
      <c r="C2871" t="s">
        <v>72</v>
      </c>
      <c r="D2871">
        <v>4132</v>
      </c>
      <c r="E2871">
        <v>2020</v>
      </c>
      <c r="F2871" t="s">
        <v>84</v>
      </c>
      <c r="G2871">
        <v>21538</v>
      </c>
      <c r="H2871" s="1">
        <v>3</v>
      </c>
      <c r="I2871">
        <v>6</v>
      </c>
      <c r="J2871">
        <f>IF($H2871=0,1,IF($I2871&lt;=1,2,0))</f>
        <v>0</v>
      </c>
      <c r="K2871">
        <v>0</v>
      </c>
      <c r="L2871">
        <f>IF(AND($J2871=0,$K2871=0),0,1)</f>
        <v>0</v>
      </c>
      <c r="M2871" t="s">
        <v>85</v>
      </c>
    </row>
    <row r="2872" spans="1:13" x14ac:dyDescent="0.2">
      <c r="A2872" t="s">
        <v>218</v>
      </c>
      <c r="B2872" t="s">
        <v>71</v>
      </c>
      <c r="C2872" t="s">
        <v>72</v>
      </c>
      <c r="D2872">
        <v>4133</v>
      </c>
      <c r="E2872">
        <v>2020</v>
      </c>
      <c r="F2872">
        <v>1</v>
      </c>
      <c r="G2872">
        <v>11707</v>
      </c>
      <c r="H2872" s="1">
        <v>3</v>
      </c>
      <c r="I2872">
        <v>34</v>
      </c>
      <c r="J2872">
        <f>IF($H2872=0,1,IF($I2872&lt;=1,2,0))</f>
        <v>0</v>
      </c>
      <c r="K2872">
        <v>0</v>
      </c>
      <c r="L2872">
        <f>IF(AND($J2872=0,$K2872=0),0,1)</f>
        <v>0</v>
      </c>
    </row>
    <row r="2873" spans="1:13" x14ac:dyDescent="0.2">
      <c r="A2873" t="s">
        <v>218</v>
      </c>
      <c r="B2873" t="s">
        <v>71</v>
      </c>
      <c r="C2873" t="s">
        <v>72</v>
      </c>
      <c r="D2873">
        <v>4139</v>
      </c>
      <c r="E2873">
        <v>2020</v>
      </c>
      <c r="F2873">
        <v>1</v>
      </c>
      <c r="G2873">
        <v>11708</v>
      </c>
      <c r="H2873" s="1">
        <v>3</v>
      </c>
      <c r="I2873">
        <v>26</v>
      </c>
      <c r="J2873">
        <f>IF($H2873=0,1,IF($I2873&lt;=1,2,0))</f>
        <v>0</v>
      </c>
      <c r="K2873">
        <v>0</v>
      </c>
      <c r="L2873">
        <f>IF(AND($J2873=0,$K2873=0),0,1)</f>
        <v>0</v>
      </c>
    </row>
    <row r="2874" spans="1:13" x14ac:dyDescent="0.2">
      <c r="A2874" t="s">
        <v>218</v>
      </c>
      <c r="B2874" t="s">
        <v>71</v>
      </c>
      <c r="C2874" t="s">
        <v>72</v>
      </c>
      <c r="D2874">
        <v>4142</v>
      </c>
      <c r="E2874">
        <v>2020</v>
      </c>
      <c r="F2874">
        <v>1</v>
      </c>
      <c r="G2874">
        <v>11710</v>
      </c>
      <c r="H2874" s="1">
        <v>3</v>
      </c>
      <c r="I2874">
        <v>14</v>
      </c>
      <c r="J2874">
        <f>IF($H2874=0,1,IF($I2874&lt;=1,2,0))</f>
        <v>0</v>
      </c>
      <c r="K2874">
        <v>0</v>
      </c>
      <c r="L2874">
        <f>IF(AND($J2874=0,$K2874=0),0,1)</f>
        <v>0</v>
      </c>
    </row>
    <row r="2875" spans="1:13" x14ac:dyDescent="0.2">
      <c r="A2875" t="s">
        <v>218</v>
      </c>
      <c r="B2875" t="s">
        <v>71</v>
      </c>
      <c r="C2875" t="s">
        <v>72</v>
      </c>
      <c r="D2875">
        <v>4142</v>
      </c>
      <c r="E2875">
        <v>2020</v>
      </c>
      <c r="F2875" t="s">
        <v>84</v>
      </c>
      <c r="G2875">
        <v>21893</v>
      </c>
      <c r="H2875" s="1">
        <v>3</v>
      </c>
      <c r="I2875">
        <v>6</v>
      </c>
      <c r="J2875">
        <f>IF($H2875=0,1,IF($I2875&lt;=1,2,0))</f>
        <v>0</v>
      </c>
      <c r="K2875">
        <v>0</v>
      </c>
      <c r="L2875">
        <f>IF(AND($J2875=0,$K2875=0),0,1)</f>
        <v>0</v>
      </c>
      <c r="M2875" t="s">
        <v>85</v>
      </c>
    </row>
    <row r="2876" spans="1:13" x14ac:dyDescent="0.2">
      <c r="A2876" t="s">
        <v>218</v>
      </c>
      <c r="B2876" t="s">
        <v>71</v>
      </c>
      <c r="C2876" t="s">
        <v>72</v>
      </c>
      <c r="D2876">
        <v>4144</v>
      </c>
      <c r="E2876">
        <v>2020</v>
      </c>
      <c r="F2876">
        <v>1</v>
      </c>
      <c r="G2876">
        <v>11711</v>
      </c>
      <c r="H2876" s="1">
        <v>3</v>
      </c>
      <c r="I2876">
        <v>38</v>
      </c>
      <c r="J2876">
        <f>IF($H2876=0,1,IF($I2876&lt;=1,2,0))</f>
        <v>0</v>
      </c>
      <c r="K2876">
        <v>0</v>
      </c>
      <c r="L2876">
        <f>IF(AND($J2876=0,$K2876=0),0,1)</f>
        <v>0</v>
      </c>
    </row>
    <row r="2877" spans="1:13" x14ac:dyDescent="0.2">
      <c r="A2877" t="s">
        <v>218</v>
      </c>
      <c r="B2877" t="s">
        <v>71</v>
      </c>
      <c r="C2877" t="s">
        <v>72</v>
      </c>
      <c r="D2877">
        <v>4144</v>
      </c>
      <c r="E2877">
        <v>2020</v>
      </c>
      <c r="F2877" t="s">
        <v>84</v>
      </c>
      <c r="G2877">
        <v>24540</v>
      </c>
      <c r="H2877" s="1">
        <v>3</v>
      </c>
      <c r="I2877">
        <v>2</v>
      </c>
      <c r="J2877">
        <f>IF($H2877=0,1,IF($I2877&lt;=1,2,0))</f>
        <v>0</v>
      </c>
      <c r="K2877">
        <v>0</v>
      </c>
      <c r="L2877">
        <f>IF(AND($J2877=0,$K2877=0),0,1)</f>
        <v>0</v>
      </c>
      <c r="M2877" t="s">
        <v>85</v>
      </c>
    </row>
    <row r="2878" spans="1:13" x14ac:dyDescent="0.2">
      <c r="A2878" t="s">
        <v>218</v>
      </c>
      <c r="B2878" t="s">
        <v>71</v>
      </c>
      <c r="C2878" t="s">
        <v>72</v>
      </c>
      <c r="D2878">
        <v>4232</v>
      </c>
      <c r="E2878">
        <v>2020</v>
      </c>
      <c r="F2878">
        <v>1</v>
      </c>
      <c r="G2878">
        <v>11713</v>
      </c>
      <c r="H2878" s="1">
        <v>3</v>
      </c>
      <c r="I2878">
        <v>20</v>
      </c>
      <c r="J2878">
        <f>IF($H2878=0,1,IF($I2878&lt;=1,2,0))</f>
        <v>0</v>
      </c>
      <c r="K2878">
        <v>0</v>
      </c>
      <c r="L2878">
        <f>IF(AND($J2878=0,$K2878=0),0,1)</f>
        <v>0</v>
      </c>
    </row>
    <row r="2879" spans="1:13" x14ac:dyDescent="0.2">
      <c r="A2879" t="s">
        <v>218</v>
      </c>
      <c r="B2879" t="s">
        <v>71</v>
      </c>
      <c r="C2879" t="s">
        <v>72</v>
      </c>
      <c r="D2879">
        <v>4233</v>
      </c>
      <c r="E2879">
        <v>2020</v>
      </c>
      <c r="F2879">
        <v>1</v>
      </c>
      <c r="G2879">
        <v>11714</v>
      </c>
      <c r="H2879" s="1">
        <v>3</v>
      </c>
      <c r="I2879">
        <v>13</v>
      </c>
      <c r="J2879">
        <f>IF($H2879=0,1,IF($I2879&lt;=1,2,0))</f>
        <v>0</v>
      </c>
      <c r="K2879">
        <v>0</v>
      </c>
      <c r="L2879">
        <f>IF(AND($J2879=0,$K2879=0),0,1)</f>
        <v>0</v>
      </c>
    </row>
    <row r="2880" spans="1:13" x14ac:dyDescent="0.2">
      <c r="A2880" t="s">
        <v>218</v>
      </c>
      <c r="B2880" t="s">
        <v>71</v>
      </c>
      <c r="C2880" t="s">
        <v>72</v>
      </c>
      <c r="D2880">
        <v>4235</v>
      </c>
      <c r="E2880">
        <v>2020</v>
      </c>
      <c r="F2880">
        <v>1</v>
      </c>
      <c r="G2880">
        <v>11715</v>
      </c>
      <c r="H2880" s="1">
        <v>3</v>
      </c>
      <c r="I2880">
        <v>21</v>
      </c>
      <c r="J2880">
        <f>IF($H2880=0,1,IF($I2880&lt;=1,2,0))</f>
        <v>0</v>
      </c>
      <c r="K2880">
        <v>0</v>
      </c>
      <c r="L2880">
        <f>IF(AND($J2880=0,$K2880=0),0,1)</f>
        <v>0</v>
      </c>
    </row>
    <row r="2881" spans="1:12" x14ac:dyDescent="0.2">
      <c r="A2881" t="s">
        <v>218</v>
      </c>
      <c r="B2881" t="s">
        <v>71</v>
      </c>
      <c r="C2881" t="s">
        <v>72</v>
      </c>
      <c r="D2881">
        <v>4241</v>
      </c>
      <c r="E2881">
        <v>2020</v>
      </c>
      <c r="F2881">
        <v>1</v>
      </c>
      <c r="G2881">
        <v>11716</v>
      </c>
      <c r="H2881" s="1">
        <v>3</v>
      </c>
      <c r="I2881">
        <v>16</v>
      </c>
      <c r="J2881">
        <f>IF($H2881=0,1,IF($I2881&lt;=1,2,0))</f>
        <v>0</v>
      </c>
      <c r="K2881">
        <v>0</v>
      </c>
      <c r="L2881">
        <f>IF(AND($J2881=0,$K2881=0),0,1)</f>
        <v>0</v>
      </c>
    </row>
    <row r="2882" spans="1:12" x14ac:dyDescent="0.2">
      <c r="A2882" t="s">
        <v>223</v>
      </c>
      <c r="B2882" t="s">
        <v>6</v>
      </c>
      <c r="C2882" t="s">
        <v>9</v>
      </c>
      <c r="D2882">
        <v>3008</v>
      </c>
      <c r="E2882">
        <v>2020</v>
      </c>
      <c r="F2882">
        <v>1</v>
      </c>
      <c r="G2882">
        <v>13941</v>
      </c>
      <c r="H2882" s="1">
        <v>3</v>
      </c>
      <c r="I2882">
        <v>14</v>
      </c>
      <c r="J2882">
        <f>IF($H2882=0,1,IF($I2882&lt;=1,2,0))</f>
        <v>0</v>
      </c>
      <c r="K2882">
        <v>0</v>
      </c>
      <c r="L2882">
        <f>IF(AND($J2882=0,$K2882=0),0,1)</f>
        <v>0</v>
      </c>
    </row>
    <row r="2883" spans="1:12" x14ac:dyDescent="0.2">
      <c r="A2883" t="s">
        <v>223</v>
      </c>
      <c r="B2883" t="s">
        <v>6</v>
      </c>
      <c r="C2883" t="s">
        <v>9</v>
      </c>
      <c r="D2883">
        <v>4440</v>
      </c>
      <c r="E2883">
        <v>2020</v>
      </c>
      <c r="F2883">
        <v>1</v>
      </c>
      <c r="G2883">
        <v>757</v>
      </c>
      <c r="H2883" s="1">
        <v>4</v>
      </c>
      <c r="I2883">
        <v>12</v>
      </c>
      <c r="J2883">
        <f>IF($H2883=0,1,IF($I2883&lt;=1,2,0))</f>
        <v>0</v>
      </c>
      <c r="K2883">
        <v>0</v>
      </c>
      <c r="L2883">
        <f>IF(AND($J2883=0,$K2883=0),0,1)</f>
        <v>0</v>
      </c>
    </row>
    <row r="2884" spans="1:12" x14ac:dyDescent="0.2">
      <c r="A2884" t="s">
        <v>223</v>
      </c>
      <c r="B2884" t="s">
        <v>6</v>
      </c>
      <c r="C2884" t="s">
        <v>11</v>
      </c>
      <c r="D2884">
        <v>5010</v>
      </c>
      <c r="E2884">
        <v>2020</v>
      </c>
      <c r="F2884">
        <v>1</v>
      </c>
      <c r="G2884">
        <v>11600</v>
      </c>
      <c r="H2884" s="1">
        <v>2</v>
      </c>
      <c r="I2884">
        <v>5</v>
      </c>
      <c r="J2884">
        <f>IF($H2884=0,1,IF($I2884&lt;=1,2,0))</f>
        <v>0</v>
      </c>
      <c r="K2884">
        <v>0</v>
      </c>
      <c r="L2884">
        <f>IF(AND($J2884=0,$K2884=0),0,1)</f>
        <v>0</v>
      </c>
    </row>
    <row r="2885" spans="1:12" x14ac:dyDescent="0.2">
      <c r="A2885" t="s">
        <v>225</v>
      </c>
      <c r="B2885" t="s">
        <v>17</v>
      </c>
      <c r="C2885" t="s">
        <v>9</v>
      </c>
      <c r="D2885">
        <v>4030</v>
      </c>
      <c r="E2885">
        <v>2020</v>
      </c>
      <c r="F2885">
        <v>1</v>
      </c>
      <c r="G2885">
        <v>10422</v>
      </c>
      <c r="H2885" s="1">
        <v>3</v>
      </c>
      <c r="I2885">
        <v>4</v>
      </c>
      <c r="J2885">
        <f>IF($H2885=0,1,IF($I2885&lt;=1,2,0))</f>
        <v>0</v>
      </c>
      <c r="K2885">
        <v>0</v>
      </c>
      <c r="L2885">
        <f>IF(AND($J2885=0,$K2885=0),0,1)</f>
        <v>0</v>
      </c>
    </row>
    <row r="2886" spans="1:12" x14ac:dyDescent="0.2">
      <c r="A2886" t="s">
        <v>226</v>
      </c>
      <c r="B2886" t="s">
        <v>17</v>
      </c>
      <c r="C2886" t="s">
        <v>9</v>
      </c>
      <c r="D2886">
        <v>3720</v>
      </c>
      <c r="E2886">
        <v>2020</v>
      </c>
      <c r="F2886">
        <v>1</v>
      </c>
      <c r="G2886">
        <v>11937</v>
      </c>
      <c r="H2886" s="1">
        <v>4</v>
      </c>
      <c r="I2886">
        <v>14</v>
      </c>
      <c r="J2886">
        <f>IF($H2886=0,1,IF($I2886&lt;=1,2,0))</f>
        <v>0</v>
      </c>
      <c r="K2886">
        <v>0</v>
      </c>
      <c r="L2886">
        <f>IF(AND($J2886=0,$K2886=0),0,1)</f>
        <v>0</v>
      </c>
    </row>
    <row r="2887" spans="1:12" x14ac:dyDescent="0.2">
      <c r="A2887" t="s">
        <v>226</v>
      </c>
      <c r="B2887" t="s">
        <v>17</v>
      </c>
      <c r="C2887" t="s">
        <v>9</v>
      </c>
      <c r="D2887">
        <v>3942</v>
      </c>
      <c r="E2887">
        <v>2020</v>
      </c>
      <c r="F2887">
        <v>1</v>
      </c>
      <c r="G2887">
        <v>10038</v>
      </c>
      <c r="H2887" s="1">
        <v>4</v>
      </c>
      <c r="I2887">
        <v>11</v>
      </c>
      <c r="J2887">
        <f>IF($H2887=0,1,IF($I2887&lt;=1,2,0))</f>
        <v>0</v>
      </c>
      <c r="K2887">
        <v>0</v>
      </c>
      <c r="L2887">
        <f>IF(AND($J2887=0,$K2887=0),0,1)</f>
        <v>0</v>
      </c>
    </row>
    <row r="2888" spans="1:12" x14ac:dyDescent="0.2">
      <c r="A2888" t="s">
        <v>226</v>
      </c>
      <c r="B2888" t="s">
        <v>17</v>
      </c>
      <c r="C2888" t="s">
        <v>9</v>
      </c>
      <c r="D2888">
        <v>4199</v>
      </c>
      <c r="E2888">
        <v>2020</v>
      </c>
      <c r="F2888">
        <v>1</v>
      </c>
      <c r="G2888">
        <v>10036</v>
      </c>
      <c r="H2888" s="1">
        <v>3</v>
      </c>
      <c r="I2888">
        <v>45</v>
      </c>
      <c r="J2888">
        <f>IF($H2888=0,1,IF($I2888&lt;=1,2,0))</f>
        <v>0</v>
      </c>
      <c r="K2888">
        <v>0</v>
      </c>
      <c r="L2888">
        <f>IF(AND($J2888=0,$K2888=0),0,1)</f>
        <v>0</v>
      </c>
    </row>
    <row r="2889" spans="1:12" x14ac:dyDescent="0.2">
      <c r="A2889" t="s">
        <v>226</v>
      </c>
      <c r="B2889" t="s">
        <v>17</v>
      </c>
      <c r="C2889" t="s">
        <v>9</v>
      </c>
      <c r="D2889">
        <v>4550</v>
      </c>
      <c r="E2889">
        <v>2020</v>
      </c>
      <c r="F2889">
        <v>1</v>
      </c>
      <c r="G2889">
        <v>10035</v>
      </c>
      <c r="H2889" s="1">
        <v>3</v>
      </c>
      <c r="I2889">
        <v>59</v>
      </c>
      <c r="J2889">
        <f>IF($H2889=0,1,IF($I2889&lt;=1,2,0))</f>
        <v>0</v>
      </c>
      <c r="K2889">
        <v>0</v>
      </c>
      <c r="L2889">
        <f>IF(AND($J2889=0,$K2889=0),0,1)</f>
        <v>0</v>
      </c>
    </row>
    <row r="2890" spans="1:12" x14ac:dyDescent="0.2">
      <c r="A2890" t="s">
        <v>226</v>
      </c>
      <c r="B2890" t="s">
        <v>17</v>
      </c>
      <c r="C2890" t="s">
        <v>9</v>
      </c>
      <c r="D2890">
        <v>4560</v>
      </c>
      <c r="E2890">
        <v>2020</v>
      </c>
      <c r="F2890">
        <v>1</v>
      </c>
      <c r="G2890">
        <v>10033</v>
      </c>
      <c r="H2890" s="1">
        <v>3</v>
      </c>
      <c r="I2890">
        <v>25</v>
      </c>
      <c r="J2890">
        <f>IF($H2890=0,1,IF($I2890&lt;=1,2,0))</f>
        <v>0</v>
      </c>
      <c r="K2890">
        <v>0</v>
      </c>
      <c r="L2890">
        <f>IF(AND($J2890=0,$K2890=0),0,1)</f>
        <v>0</v>
      </c>
    </row>
    <row r="2891" spans="1:12" x14ac:dyDescent="0.2">
      <c r="A2891" t="s">
        <v>226</v>
      </c>
      <c r="B2891" t="s">
        <v>17</v>
      </c>
      <c r="C2891" t="s">
        <v>9</v>
      </c>
      <c r="D2891">
        <v>4644</v>
      </c>
      <c r="E2891">
        <v>2020</v>
      </c>
      <c r="F2891">
        <v>1</v>
      </c>
      <c r="G2891">
        <v>22087</v>
      </c>
      <c r="H2891" s="1">
        <v>4</v>
      </c>
      <c r="I2891">
        <v>24</v>
      </c>
      <c r="J2891">
        <f>IF($H2891=0,1,IF($I2891&lt;=1,2,0))</f>
        <v>0</v>
      </c>
      <c r="K2891">
        <v>0</v>
      </c>
      <c r="L2891">
        <f>IF(AND($J2891=0,$K2891=0),0,1)</f>
        <v>0</v>
      </c>
    </row>
    <row r="2892" spans="1:12" x14ac:dyDescent="0.2">
      <c r="A2892" t="s">
        <v>226</v>
      </c>
      <c r="B2892" t="s">
        <v>17</v>
      </c>
      <c r="C2892" t="s">
        <v>11</v>
      </c>
      <c r="D2892">
        <v>6793</v>
      </c>
      <c r="E2892">
        <v>2020</v>
      </c>
      <c r="F2892">
        <v>1</v>
      </c>
      <c r="G2892">
        <v>10032</v>
      </c>
      <c r="H2892" s="1">
        <v>4</v>
      </c>
      <c r="I2892">
        <v>13</v>
      </c>
      <c r="J2892">
        <f>IF($H2892=0,1,IF($I2892&lt;=1,2,0))</f>
        <v>0</v>
      </c>
      <c r="K2892">
        <v>0</v>
      </c>
      <c r="L2892">
        <f>IF(AND($J2892=0,$K2892=0),0,1)</f>
        <v>0</v>
      </c>
    </row>
    <row r="2893" spans="1:12" x14ac:dyDescent="0.2">
      <c r="A2893" t="s">
        <v>229</v>
      </c>
      <c r="B2893" t="s">
        <v>17</v>
      </c>
      <c r="C2893" t="s">
        <v>11</v>
      </c>
      <c r="D2893">
        <v>4421</v>
      </c>
      <c r="E2893">
        <v>2020</v>
      </c>
      <c r="F2893">
        <v>1</v>
      </c>
      <c r="G2893">
        <v>15463</v>
      </c>
      <c r="H2893" s="1">
        <v>3</v>
      </c>
      <c r="I2893">
        <v>11</v>
      </c>
      <c r="J2893">
        <f>IF($H2893=0,1,IF($I2893&lt;=1,2,0))</f>
        <v>0</v>
      </c>
      <c r="K2893">
        <v>0</v>
      </c>
      <c r="L2893">
        <f>IF(AND($J2893=0,$K2893=0),0,1)</f>
        <v>0</v>
      </c>
    </row>
    <row r="2894" spans="1:12" x14ac:dyDescent="0.2">
      <c r="A2894" t="s">
        <v>229</v>
      </c>
      <c r="B2894" t="s">
        <v>17</v>
      </c>
      <c r="C2894" t="s">
        <v>9</v>
      </c>
      <c r="D2894">
        <v>4500</v>
      </c>
      <c r="E2894">
        <v>2020</v>
      </c>
      <c r="F2894">
        <v>1</v>
      </c>
      <c r="G2894">
        <v>15505</v>
      </c>
      <c r="H2894" s="1">
        <v>3</v>
      </c>
      <c r="I2894">
        <v>10</v>
      </c>
      <c r="J2894">
        <f>IF($H2894=0,1,IF($I2894&lt;=1,2,0))</f>
        <v>0</v>
      </c>
      <c r="K2894">
        <v>0</v>
      </c>
      <c r="L2894">
        <f>IF(AND($J2894=0,$K2894=0),0,1)</f>
        <v>0</v>
      </c>
    </row>
    <row r="2895" spans="1:12" x14ac:dyDescent="0.2">
      <c r="A2895" t="s">
        <v>932</v>
      </c>
      <c r="B2895" t="s">
        <v>17</v>
      </c>
      <c r="C2895" t="s">
        <v>9</v>
      </c>
      <c r="D2895">
        <v>4300</v>
      </c>
      <c r="E2895">
        <v>2020</v>
      </c>
      <c r="F2895">
        <v>2</v>
      </c>
      <c r="G2895">
        <v>11978</v>
      </c>
      <c r="H2895" s="1">
        <v>4</v>
      </c>
      <c r="I2895">
        <v>7</v>
      </c>
      <c r="J2895">
        <f>IF($H2895=0,1,IF($I2895&lt;=1,2,0))</f>
        <v>0</v>
      </c>
      <c r="K2895">
        <v>0</v>
      </c>
      <c r="L2895">
        <f>IF(AND($J2895=0,$K2895=0),0,1)</f>
        <v>0</v>
      </c>
    </row>
    <row r="2896" spans="1:12" x14ac:dyDescent="0.2">
      <c r="A2896" t="s">
        <v>230</v>
      </c>
      <c r="B2896" t="s">
        <v>17</v>
      </c>
      <c r="C2896" t="s">
        <v>9</v>
      </c>
      <c r="D2896">
        <v>3000</v>
      </c>
      <c r="E2896">
        <v>2020</v>
      </c>
      <c r="F2896">
        <v>1</v>
      </c>
      <c r="G2896">
        <v>13337</v>
      </c>
      <c r="H2896" s="1">
        <v>3</v>
      </c>
      <c r="I2896">
        <v>44</v>
      </c>
      <c r="J2896">
        <f>IF($H2896=0,1,IF($I2896&lt;=1,2,0))</f>
        <v>0</v>
      </c>
      <c r="K2896">
        <v>0</v>
      </c>
      <c r="L2896">
        <f>IF(AND($J2896=0,$K2896=0),0,1)</f>
        <v>0</v>
      </c>
    </row>
    <row r="2897" spans="1:13" x14ac:dyDescent="0.2">
      <c r="A2897" t="s">
        <v>230</v>
      </c>
      <c r="B2897" t="s">
        <v>17</v>
      </c>
      <c r="C2897" t="s">
        <v>11</v>
      </c>
      <c r="D2897">
        <v>4270</v>
      </c>
      <c r="E2897">
        <v>2020</v>
      </c>
      <c r="F2897">
        <v>1</v>
      </c>
      <c r="G2897">
        <v>13443</v>
      </c>
      <c r="H2897" s="1">
        <v>3</v>
      </c>
      <c r="I2897">
        <v>9</v>
      </c>
      <c r="J2897">
        <f>IF($H2897=0,1,IF($I2897&lt;=1,2,0))</f>
        <v>0</v>
      </c>
      <c r="K2897">
        <v>0</v>
      </c>
      <c r="L2897">
        <f>IF(AND($J2897=0,$K2897=0),0,1)</f>
        <v>0</v>
      </c>
    </row>
    <row r="2898" spans="1:13" x14ac:dyDescent="0.2">
      <c r="A2898" t="s">
        <v>933</v>
      </c>
      <c r="B2898" t="s">
        <v>17</v>
      </c>
      <c r="C2898" t="s">
        <v>9</v>
      </c>
      <c r="D2898">
        <v>4023</v>
      </c>
      <c r="E2898">
        <v>2020</v>
      </c>
      <c r="F2898">
        <v>1</v>
      </c>
      <c r="G2898">
        <v>10122</v>
      </c>
      <c r="H2898" s="1">
        <v>3</v>
      </c>
      <c r="I2898">
        <v>11</v>
      </c>
      <c r="J2898">
        <f>IF($H2898=0,1,IF($I2898&lt;=1,2,0))</f>
        <v>0</v>
      </c>
      <c r="K2898">
        <v>0</v>
      </c>
      <c r="L2898">
        <f>IF(AND($J2898=0,$K2898=0),0,1)</f>
        <v>0</v>
      </c>
    </row>
    <row r="2899" spans="1:13" x14ac:dyDescent="0.2">
      <c r="A2899" t="s">
        <v>232</v>
      </c>
      <c r="B2899" t="s">
        <v>17</v>
      </c>
      <c r="C2899" t="s">
        <v>21</v>
      </c>
      <c r="D2899">
        <v>3132</v>
      </c>
      <c r="E2899">
        <v>2020</v>
      </c>
      <c r="F2899">
        <v>1</v>
      </c>
      <c r="G2899">
        <v>548</v>
      </c>
      <c r="H2899" s="1">
        <v>3</v>
      </c>
      <c r="I2899">
        <v>43</v>
      </c>
      <c r="J2899">
        <f>IF($H2899=0,1,IF($I2899&lt;=1,2,0))</f>
        <v>0</v>
      </c>
      <c r="K2899">
        <v>0</v>
      </c>
      <c r="L2899">
        <f>IF(AND($J2899=0,$K2899=0),0,1)</f>
        <v>0</v>
      </c>
    </row>
    <row r="2900" spans="1:13" x14ac:dyDescent="0.2">
      <c r="A2900" t="s">
        <v>233</v>
      </c>
      <c r="B2900" t="s">
        <v>17</v>
      </c>
      <c r="C2900" t="s">
        <v>9</v>
      </c>
      <c r="D2900">
        <v>3928</v>
      </c>
      <c r="E2900">
        <v>2020</v>
      </c>
      <c r="F2900">
        <v>1</v>
      </c>
      <c r="G2900">
        <v>13134</v>
      </c>
      <c r="H2900" s="1">
        <v>3</v>
      </c>
      <c r="I2900">
        <v>19</v>
      </c>
      <c r="J2900">
        <f>IF($H2900=0,1,IF($I2900&lt;=1,2,0))</f>
        <v>0</v>
      </c>
      <c r="K2900">
        <v>0</v>
      </c>
      <c r="L2900">
        <f>IF(AND($J2900=0,$K2900=0),0,1)</f>
        <v>0</v>
      </c>
    </row>
    <row r="2901" spans="1:13" x14ac:dyDescent="0.2">
      <c r="A2901" t="s">
        <v>233</v>
      </c>
      <c r="B2901" t="s">
        <v>17</v>
      </c>
      <c r="C2901" t="s">
        <v>11</v>
      </c>
      <c r="D2901">
        <v>4042</v>
      </c>
      <c r="E2901">
        <v>2020</v>
      </c>
      <c r="F2901">
        <v>1</v>
      </c>
      <c r="G2901">
        <v>13148</v>
      </c>
      <c r="H2901" s="1">
        <v>4</v>
      </c>
      <c r="I2901">
        <v>13</v>
      </c>
      <c r="J2901">
        <f>IF($H2901=0,1,IF($I2901&lt;=1,2,0))</f>
        <v>0</v>
      </c>
      <c r="K2901">
        <v>0</v>
      </c>
      <c r="L2901">
        <f>IF(AND($J2901=0,$K2901=0),0,1)</f>
        <v>0</v>
      </c>
    </row>
    <row r="2902" spans="1:13" x14ac:dyDescent="0.2">
      <c r="A2902" t="s">
        <v>234</v>
      </c>
      <c r="B2902" t="s">
        <v>17</v>
      </c>
      <c r="C2902" t="s">
        <v>11</v>
      </c>
      <c r="D2902">
        <v>4901</v>
      </c>
      <c r="E2902">
        <v>2020</v>
      </c>
      <c r="F2902">
        <v>9</v>
      </c>
      <c r="G2902">
        <v>13586</v>
      </c>
      <c r="H2902" s="1">
        <v>3</v>
      </c>
      <c r="I2902">
        <v>3</v>
      </c>
      <c r="J2902">
        <f>IF($H2902=0,1,IF($I2902&lt;=1,2,0))</f>
        <v>0</v>
      </c>
      <c r="K2902">
        <v>0</v>
      </c>
      <c r="L2902">
        <f>IF(AND($J2902=0,$K2902=0),0,1)</f>
        <v>0</v>
      </c>
    </row>
    <row r="2903" spans="1:13" x14ac:dyDescent="0.2">
      <c r="A2903" t="s">
        <v>234</v>
      </c>
      <c r="B2903" t="s">
        <v>17</v>
      </c>
      <c r="C2903" t="s">
        <v>11</v>
      </c>
      <c r="D2903">
        <v>4901</v>
      </c>
      <c r="E2903">
        <v>2020</v>
      </c>
      <c r="F2903">
        <v>8</v>
      </c>
      <c r="G2903">
        <v>13585</v>
      </c>
      <c r="H2903" s="1">
        <v>3</v>
      </c>
      <c r="I2903">
        <v>2</v>
      </c>
      <c r="J2903">
        <f>IF($H2903=0,1,IF($I2903&lt;=1,2,0))</f>
        <v>0</v>
      </c>
      <c r="K2903">
        <v>0</v>
      </c>
      <c r="L2903">
        <f>IF(AND($J2903=0,$K2903=0),0,1)</f>
        <v>0</v>
      </c>
    </row>
    <row r="2904" spans="1:13" x14ac:dyDescent="0.2">
      <c r="A2904" t="s">
        <v>235</v>
      </c>
      <c r="B2904" t="s">
        <v>17</v>
      </c>
      <c r="C2904" t="s">
        <v>11</v>
      </c>
      <c r="D2904">
        <v>4200</v>
      </c>
      <c r="E2904">
        <v>2020</v>
      </c>
      <c r="F2904">
        <v>1</v>
      </c>
      <c r="G2904">
        <v>10227</v>
      </c>
      <c r="H2904" s="1">
        <v>3</v>
      </c>
      <c r="I2904">
        <v>11</v>
      </c>
      <c r="J2904">
        <f>IF($H2904=0,1,IF($I2904&lt;=1,2,0))</f>
        <v>0</v>
      </c>
      <c r="K2904">
        <v>0</v>
      </c>
      <c r="L2904">
        <f>IF(AND($J2904=0,$K2904=0),0,1)</f>
        <v>0</v>
      </c>
    </row>
    <row r="2905" spans="1:13" x14ac:dyDescent="0.2">
      <c r="A2905" t="s">
        <v>235</v>
      </c>
      <c r="B2905" t="s">
        <v>17</v>
      </c>
      <c r="C2905" t="s">
        <v>9</v>
      </c>
      <c r="D2905">
        <v>4251</v>
      </c>
      <c r="E2905">
        <v>2020</v>
      </c>
      <c r="F2905">
        <v>1</v>
      </c>
      <c r="G2905">
        <v>10044</v>
      </c>
      <c r="H2905" s="1">
        <v>3</v>
      </c>
      <c r="I2905">
        <v>6</v>
      </c>
      <c r="J2905">
        <f>IF($H2905=0,1,IF($I2905&lt;=1,2,0))</f>
        <v>0</v>
      </c>
      <c r="K2905">
        <v>0</v>
      </c>
      <c r="L2905">
        <f>IF(AND($J2905=0,$K2905=0),0,1)</f>
        <v>0</v>
      </c>
      <c r="M2905" t="s">
        <v>1986</v>
      </c>
    </row>
    <row r="2906" spans="1:13" x14ac:dyDescent="0.2">
      <c r="A2906" t="s">
        <v>235</v>
      </c>
      <c r="B2906" t="s">
        <v>17</v>
      </c>
      <c r="C2906" t="s">
        <v>11</v>
      </c>
      <c r="D2906">
        <v>6600</v>
      </c>
      <c r="E2906">
        <v>2020</v>
      </c>
      <c r="F2906">
        <v>1</v>
      </c>
      <c r="G2906">
        <v>20643</v>
      </c>
      <c r="H2906" s="1">
        <v>0.5</v>
      </c>
      <c r="I2906">
        <v>3</v>
      </c>
      <c r="J2906">
        <f>IF($H2906=0,1,IF($I2906&lt;=1,2,0))</f>
        <v>0</v>
      </c>
      <c r="K2906">
        <v>0</v>
      </c>
      <c r="L2906">
        <f>IF(AND($J2906=0,$K2906=0),0,1)</f>
        <v>0</v>
      </c>
      <c r="M2906" t="s">
        <v>934</v>
      </c>
    </row>
    <row r="2907" spans="1:13" x14ac:dyDescent="0.2">
      <c r="A2907" t="s">
        <v>236</v>
      </c>
      <c r="B2907" t="s">
        <v>17</v>
      </c>
      <c r="C2907" t="s">
        <v>9</v>
      </c>
      <c r="D2907">
        <v>4011</v>
      </c>
      <c r="E2907">
        <v>2020</v>
      </c>
      <c r="F2907">
        <v>1</v>
      </c>
      <c r="G2907">
        <v>10417</v>
      </c>
      <c r="H2907" s="1">
        <v>3</v>
      </c>
      <c r="I2907">
        <v>34</v>
      </c>
      <c r="J2907">
        <f>IF($H2907=0,1,IF($I2907&lt;=1,2,0))</f>
        <v>0</v>
      </c>
      <c r="K2907">
        <v>0</v>
      </c>
      <c r="L2907">
        <f>IF(AND($J2907=0,$K2907=0),0,1)</f>
        <v>0</v>
      </c>
    </row>
    <row r="2908" spans="1:13" x14ac:dyDescent="0.2">
      <c r="A2908" t="s">
        <v>236</v>
      </c>
      <c r="B2908" t="s">
        <v>17</v>
      </c>
      <c r="C2908" t="s">
        <v>9</v>
      </c>
      <c r="D2908">
        <v>4213</v>
      </c>
      <c r="E2908">
        <v>2020</v>
      </c>
      <c r="F2908">
        <v>1</v>
      </c>
      <c r="G2908">
        <v>20774</v>
      </c>
      <c r="H2908" s="1">
        <v>3</v>
      </c>
      <c r="I2908">
        <v>11</v>
      </c>
      <c r="J2908">
        <f>IF($H2908=0,1,IF($I2908&lt;=1,2,0))</f>
        <v>0</v>
      </c>
      <c r="K2908">
        <v>0</v>
      </c>
      <c r="L2908">
        <f>IF(AND($J2908=0,$K2908=0),0,1)</f>
        <v>0</v>
      </c>
    </row>
    <row r="2909" spans="1:13" x14ac:dyDescent="0.2">
      <c r="A2909" t="s">
        <v>237</v>
      </c>
      <c r="B2909" t="s">
        <v>17</v>
      </c>
      <c r="C2909" t="s">
        <v>9</v>
      </c>
      <c r="D2909">
        <v>4075</v>
      </c>
      <c r="E2909">
        <v>2020</v>
      </c>
      <c r="F2909">
        <v>1</v>
      </c>
      <c r="G2909">
        <v>10454</v>
      </c>
      <c r="H2909" s="1">
        <v>3</v>
      </c>
      <c r="I2909">
        <v>10</v>
      </c>
      <c r="J2909">
        <f>IF($H2909=0,1,IF($I2909&lt;=1,2,0))</f>
        <v>0</v>
      </c>
      <c r="K2909">
        <v>0</v>
      </c>
      <c r="L2909">
        <f>IF(AND($J2909=0,$K2909=0),0,1)</f>
        <v>0</v>
      </c>
    </row>
    <row r="2910" spans="1:13" x14ac:dyDescent="0.2">
      <c r="A2910" t="s">
        <v>935</v>
      </c>
      <c r="B2910" t="s">
        <v>17</v>
      </c>
      <c r="C2910" t="s">
        <v>11</v>
      </c>
      <c r="D2910">
        <v>8999</v>
      </c>
      <c r="E2910">
        <v>2020</v>
      </c>
      <c r="F2910">
        <v>2</v>
      </c>
      <c r="G2910">
        <v>10785</v>
      </c>
      <c r="H2910" s="1">
        <v>4</v>
      </c>
      <c r="I2910">
        <v>3</v>
      </c>
      <c r="J2910">
        <f>IF($H2910=0,1,IF($I2910&lt;=1,2,0))</f>
        <v>0</v>
      </c>
      <c r="K2910">
        <v>0</v>
      </c>
      <c r="L2910">
        <f>IF(AND($J2910=0,$K2910=0),0,1)</f>
        <v>0</v>
      </c>
    </row>
    <row r="2911" spans="1:13" x14ac:dyDescent="0.2">
      <c r="A2911" t="s">
        <v>238</v>
      </c>
      <c r="B2911" t="s">
        <v>17</v>
      </c>
      <c r="C2911" t="s">
        <v>9</v>
      </c>
      <c r="D2911">
        <v>3500</v>
      </c>
      <c r="E2911">
        <v>2020</v>
      </c>
      <c r="F2911">
        <v>1</v>
      </c>
      <c r="G2911">
        <v>13141</v>
      </c>
      <c r="H2911" s="1">
        <v>3</v>
      </c>
      <c r="I2911">
        <v>19</v>
      </c>
      <c r="J2911">
        <f>IF($H2911=0,1,IF($I2911&lt;=1,2,0))</f>
        <v>0</v>
      </c>
      <c r="K2911">
        <v>0</v>
      </c>
      <c r="L2911">
        <f>IF(AND($J2911=0,$K2911=0),0,1)</f>
        <v>0</v>
      </c>
    </row>
    <row r="2912" spans="1:13" x14ac:dyDescent="0.2">
      <c r="A2912" t="s">
        <v>240</v>
      </c>
      <c r="B2912" t="s">
        <v>241</v>
      </c>
      <c r="C2912" t="s">
        <v>7</v>
      </c>
      <c r="D2912">
        <v>1101</v>
      </c>
      <c r="E2912">
        <v>2020</v>
      </c>
      <c r="F2912">
        <v>4</v>
      </c>
      <c r="G2912">
        <v>11938</v>
      </c>
      <c r="H2912" s="1">
        <v>4</v>
      </c>
      <c r="I2912">
        <v>22</v>
      </c>
      <c r="J2912">
        <f>IF($H2912=0,1,IF($I2912&lt;=1,2,0))</f>
        <v>0</v>
      </c>
      <c r="K2912">
        <v>0</v>
      </c>
      <c r="L2912">
        <f>IF(AND($J2912=0,$K2912=0),0,1)</f>
        <v>0</v>
      </c>
    </row>
    <row r="2913" spans="1:12" x14ac:dyDescent="0.2">
      <c r="A2913" t="s">
        <v>240</v>
      </c>
      <c r="B2913" t="s">
        <v>241</v>
      </c>
      <c r="C2913" t="s">
        <v>7</v>
      </c>
      <c r="D2913">
        <v>1101</v>
      </c>
      <c r="E2913">
        <v>2020</v>
      </c>
      <c r="F2913">
        <v>5</v>
      </c>
      <c r="G2913">
        <v>11993</v>
      </c>
      <c r="H2913" s="1">
        <v>4</v>
      </c>
      <c r="I2913">
        <v>22</v>
      </c>
      <c r="J2913">
        <f>IF($H2913=0,1,IF($I2913&lt;=1,2,0))</f>
        <v>0</v>
      </c>
      <c r="K2913">
        <v>0</v>
      </c>
      <c r="L2913">
        <f>IF(AND($J2913=0,$K2913=0),0,1)</f>
        <v>0</v>
      </c>
    </row>
    <row r="2914" spans="1:12" x14ac:dyDescent="0.2">
      <c r="A2914" t="s">
        <v>240</v>
      </c>
      <c r="B2914" t="s">
        <v>241</v>
      </c>
      <c r="C2914" t="s">
        <v>7</v>
      </c>
      <c r="D2914">
        <v>1101</v>
      </c>
      <c r="E2914">
        <v>2020</v>
      </c>
      <c r="F2914">
        <v>6</v>
      </c>
      <c r="G2914">
        <v>11738</v>
      </c>
      <c r="H2914" s="1">
        <v>4</v>
      </c>
      <c r="I2914">
        <v>22</v>
      </c>
      <c r="J2914">
        <f>IF($H2914=0,1,IF($I2914&lt;=1,2,0))</f>
        <v>0</v>
      </c>
      <c r="K2914">
        <v>0</v>
      </c>
      <c r="L2914">
        <f>IF(AND($J2914=0,$K2914=0),0,1)</f>
        <v>0</v>
      </c>
    </row>
    <row r="2915" spans="1:12" x14ac:dyDescent="0.2">
      <c r="A2915" t="s">
        <v>240</v>
      </c>
      <c r="B2915" t="s">
        <v>241</v>
      </c>
      <c r="C2915" t="s">
        <v>7</v>
      </c>
      <c r="D2915">
        <v>1101</v>
      </c>
      <c r="E2915">
        <v>2020</v>
      </c>
      <c r="F2915">
        <v>7</v>
      </c>
      <c r="G2915">
        <v>11739</v>
      </c>
      <c r="H2915" s="1">
        <v>4</v>
      </c>
      <c r="I2915">
        <v>22</v>
      </c>
      <c r="J2915">
        <f>IF($H2915=0,1,IF($I2915&lt;=1,2,0))</f>
        <v>0</v>
      </c>
      <c r="K2915">
        <v>0</v>
      </c>
      <c r="L2915">
        <f>IF(AND($J2915=0,$K2915=0),0,1)</f>
        <v>0</v>
      </c>
    </row>
    <row r="2916" spans="1:12" x14ac:dyDescent="0.2">
      <c r="A2916" t="s">
        <v>240</v>
      </c>
      <c r="B2916" t="s">
        <v>241</v>
      </c>
      <c r="C2916" t="s">
        <v>7</v>
      </c>
      <c r="D2916">
        <v>1101</v>
      </c>
      <c r="E2916">
        <v>2020</v>
      </c>
      <c r="F2916">
        <v>9</v>
      </c>
      <c r="G2916">
        <v>11994</v>
      </c>
      <c r="H2916" s="1">
        <v>4</v>
      </c>
      <c r="I2916">
        <v>22</v>
      </c>
      <c r="J2916">
        <f>IF($H2916=0,1,IF($I2916&lt;=1,2,0))</f>
        <v>0</v>
      </c>
      <c r="K2916">
        <v>0</v>
      </c>
      <c r="L2916">
        <f>IF(AND($J2916=0,$K2916=0),0,1)</f>
        <v>0</v>
      </c>
    </row>
    <row r="2917" spans="1:12" x14ac:dyDescent="0.2">
      <c r="A2917" t="s">
        <v>240</v>
      </c>
      <c r="B2917" t="s">
        <v>241</v>
      </c>
      <c r="C2917" t="s">
        <v>7</v>
      </c>
      <c r="D2917">
        <v>1101</v>
      </c>
      <c r="E2917">
        <v>2020</v>
      </c>
      <c r="F2917">
        <v>11</v>
      </c>
      <c r="G2917">
        <v>11741</v>
      </c>
      <c r="H2917" s="1">
        <v>4</v>
      </c>
      <c r="I2917">
        <v>22</v>
      </c>
      <c r="J2917">
        <f>IF($H2917=0,1,IF($I2917&lt;=1,2,0))</f>
        <v>0</v>
      </c>
      <c r="K2917">
        <v>0</v>
      </c>
      <c r="L2917">
        <f>IF(AND($J2917=0,$K2917=0),0,1)</f>
        <v>0</v>
      </c>
    </row>
    <row r="2918" spans="1:12" x14ac:dyDescent="0.2">
      <c r="A2918" t="s">
        <v>240</v>
      </c>
      <c r="B2918" t="s">
        <v>241</v>
      </c>
      <c r="C2918" t="s">
        <v>7</v>
      </c>
      <c r="D2918">
        <v>1101</v>
      </c>
      <c r="E2918">
        <v>2020</v>
      </c>
      <c r="F2918">
        <v>13</v>
      </c>
      <c r="G2918">
        <v>11745</v>
      </c>
      <c r="H2918" s="1">
        <v>4</v>
      </c>
      <c r="I2918">
        <v>22</v>
      </c>
      <c r="J2918">
        <f>IF($H2918=0,1,IF($I2918&lt;=1,2,0))</f>
        <v>0</v>
      </c>
      <c r="K2918">
        <v>0</v>
      </c>
      <c r="L2918">
        <f>IF(AND($J2918=0,$K2918=0),0,1)</f>
        <v>0</v>
      </c>
    </row>
    <row r="2919" spans="1:12" x14ac:dyDescent="0.2">
      <c r="A2919" t="s">
        <v>240</v>
      </c>
      <c r="B2919" t="s">
        <v>241</v>
      </c>
      <c r="C2919" t="s">
        <v>7</v>
      </c>
      <c r="D2919">
        <v>1101</v>
      </c>
      <c r="E2919">
        <v>2020</v>
      </c>
      <c r="F2919">
        <v>15</v>
      </c>
      <c r="G2919">
        <v>11998</v>
      </c>
      <c r="H2919" s="1">
        <v>4</v>
      </c>
      <c r="I2919">
        <v>22</v>
      </c>
      <c r="J2919">
        <f>IF($H2919=0,1,IF($I2919&lt;=1,2,0))</f>
        <v>0</v>
      </c>
      <c r="K2919">
        <v>0</v>
      </c>
      <c r="L2919">
        <f>IF(AND($J2919=0,$K2919=0),0,1)</f>
        <v>0</v>
      </c>
    </row>
    <row r="2920" spans="1:12" x14ac:dyDescent="0.2">
      <c r="A2920" t="s">
        <v>240</v>
      </c>
      <c r="B2920" t="s">
        <v>241</v>
      </c>
      <c r="C2920" t="s">
        <v>7</v>
      </c>
      <c r="D2920">
        <v>1101</v>
      </c>
      <c r="E2920">
        <v>2020</v>
      </c>
      <c r="F2920">
        <v>17</v>
      </c>
      <c r="G2920">
        <v>11999</v>
      </c>
      <c r="H2920" s="1">
        <v>4</v>
      </c>
      <c r="I2920">
        <v>22</v>
      </c>
      <c r="J2920">
        <f>IF($H2920=0,1,IF($I2920&lt;=1,2,0))</f>
        <v>0</v>
      </c>
      <c r="K2920">
        <v>0</v>
      </c>
      <c r="L2920">
        <f>IF(AND($J2920=0,$K2920=0),0,1)</f>
        <v>0</v>
      </c>
    </row>
    <row r="2921" spans="1:12" x14ac:dyDescent="0.2">
      <c r="A2921" t="s">
        <v>240</v>
      </c>
      <c r="B2921" t="s">
        <v>241</v>
      </c>
      <c r="C2921" t="s">
        <v>7</v>
      </c>
      <c r="D2921">
        <v>1101</v>
      </c>
      <c r="E2921">
        <v>2020</v>
      </c>
      <c r="F2921">
        <v>19</v>
      </c>
      <c r="G2921">
        <v>11748</v>
      </c>
      <c r="H2921" s="1">
        <v>4</v>
      </c>
      <c r="I2921">
        <v>22</v>
      </c>
      <c r="J2921">
        <f>IF($H2921=0,1,IF($I2921&lt;=1,2,0))</f>
        <v>0</v>
      </c>
      <c r="K2921">
        <v>0</v>
      </c>
      <c r="L2921">
        <f>IF(AND($J2921=0,$K2921=0),0,1)</f>
        <v>0</v>
      </c>
    </row>
    <row r="2922" spans="1:12" x14ac:dyDescent="0.2">
      <c r="A2922" t="s">
        <v>240</v>
      </c>
      <c r="B2922" t="s">
        <v>241</v>
      </c>
      <c r="C2922" t="s">
        <v>7</v>
      </c>
      <c r="D2922">
        <v>1101</v>
      </c>
      <c r="E2922">
        <v>2020</v>
      </c>
      <c r="F2922">
        <v>20</v>
      </c>
      <c r="G2922">
        <v>12023</v>
      </c>
      <c r="H2922" s="1">
        <v>4</v>
      </c>
      <c r="I2922">
        <v>22</v>
      </c>
      <c r="J2922">
        <f>IF($H2922=0,1,IF($I2922&lt;=1,2,0))</f>
        <v>0</v>
      </c>
      <c r="K2922">
        <v>0</v>
      </c>
      <c r="L2922">
        <f>IF(AND($J2922=0,$K2922=0),0,1)</f>
        <v>0</v>
      </c>
    </row>
    <row r="2923" spans="1:12" x14ac:dyDescent="0.2">
      <c r="A2923" t="s">
        <v>240</v>
      </c>
      <c r="B2923" t="s">
        <v>241</v>
      </c>
      <c r="C2923" t="s">
        <v>7</v>
      </c>
      <c r="D2923">
        <v>1101</v>
      </c>
      <c r="E2923">
        <v>2020</v>
      </c>
      <c r="F2923">
        <v>23</v>
      </c>
      <c r="G2923">
        <v>12002</v>
      </c>
      <c r="H2923" s="1">
        <v>4</v>
      </c>
      <c r="I2923">
        <v>22</v>
      </c>
      <c r="J2923">
        <f>IF($H2923=0,1,IF($I2923&lt;=1,2,0))</f>
        <v>0</v>
      </c>
      <c r="K2923">
        <v>0</v>
      </c>
      <c r="L2923">
        <f>IF(AND($J2923=0,$K2923=0),0,1)</f>
        <v>0</v>
      </c>
    </row>
    <row r="2924" spans="1:12" x14ac:dyDescent="0.2">
      <c r="A2924" t="s">
        <v>240</v>
      </c>
      <c r="B2924" t="s">
        <v>241</v>
      </c>
      <c r="C2924" t="s">
        <v>7</v>
      </c>
      <c r="D2924">
        <v>1101</v>
      </c>
      <c r="E2924">
        <v>2020</v>
      </c>
      <c r="F2924">
        <v>25</v>
      </c>
      <c r="G2924">
        <v>12004</v>
      </c>
      <c r="H2924" s="1">
        <v>4</v>
      </c>
      <c r="I2924">
        <v>22</v>
      </c>
      <c r="J2924">
        <f>IF($H2924=0,1,IF($I2924&lt;=1,2,0))</f>
        <v>0</v>
      </c>
      <c r="K2924">
        <v>0</v>
      </c>
      <c r="L2924">
        <f>IF(AND($J2924=0,$K2924=0),0,1)</f>
        <v>0</v>
      </c>
    </row>
    <row r="2925" spans="1:12" x14ac:dyDescent="0.2">
      <c r="A2925" t="s">
        <v>240</v>
      </c>
      <c r="B2925" t="s">
        <v>241</v>
      </c>
      <c r="C2925" t="s">
        <v>7</v>
      </c>
      <c r="D2925">
        <v>1101</v>
      </c>
      <c r="E2925">
        <v>2020</v>
      </c>
      <c r="F2925">
        <v>31</v>
      </c>
      <c r="G2925">
        <v>12010</v>
      </c>
      <c r="H2925" s="1">
        <v>4</v>
      </c>
      <c r="I2925">
        <v>22</v>
      </c>
      <c r="J2925">
        <f>IF($H2925=0,1,IF($I2925&lt;=1,2,0))</f>
        <v>0</v>
      </c>
      <c r="K2925">
        <v>0</v>
      </c>
      <c r="L2925">
        <f>IF(AND($J2925=0,$K2925=0),0,1)</f>
        <v>0</v>
      </c>
    </row>
    <row r="2926" spans="1:12" x14ac:dyDescent="0.2">
      <c r="A2926" t="s">
        <v>240</v>
      </c>
      <c r="B2926" t="s">
        <v>241</v>
      </c>
      <c r="C2926" t="s">
        <v>7</v>
      </c>
      <c r="D2926">
        <v>1101</v>
      </c>
      <c r="E2926">
        <v>2020</v>
      </c>
      <c r="F2926">
        <v>36</v>
      </c>
      <c r="G2926">
        <v>12015</v>
      </c>
      <c r="H2926" s="1">
        <v>4</v>
      </c>
      <c r="I2926">
        <v>22</v>
      </c>
      <c r="J2926">
        <f>IF($H2926=0,1,IF($I2926&lt;=1,2,0))</f>
        <v>0</v>
      </c>
      <c r="K2926">
        <v>0</v>
      </c>
      <c r="L2926">
        <f>IF(AND($J2926=0,$K2926=0),0,1)</f>
        <v>0</v>
      </c>
    </row>
    <row r="2927" spans="1:12" x14ac:dyDescent="0.2">
      <c r="A2927" t="s">
        <v>240</v>
      </c>
      <c r="B2927" t="s">
        <v>241</v>
      </c>
      <c r="C2927" t="s">
        <v>7</v>
      </c>
      <c r="D2927">
        <v>1101</v>
      </c>
      <c r="E2927">
        <v>2020</v>
      </c>
      <c r="F2927">
        <v>37</v>
      </c>
      <c r="G2927">
        <v>12016</v>
      </c>
      <c r="H2927" s="1">
        <v>4</v>
      </c>
      <c r="I2927">
        <v>22</v>
      </c>
      <c r="J2927">
        <f>IF($H2927=0,1,IF($I2927&lt;=1,2,0))</f>
        <v>0</v>
      </c>
      <c r="K2927">
        <v>0</v>
      </c>
      <c r="L2927">
        <f>IF(AND($J2927=0,$K2927=0),0,1)</f>
        <v>0</v>
      </c>
    </row>
    <row r="2928" spans="1:12" x14ac:dyDescent="0.2">
      <c r="A2928" t="s">
        <v>240</v>
      </c>
      <c r="B2928" t="s">
        <v>241</v>
      </c>
      <c r="C2928" t="s">
        <v>7</v>
      </c>
      <c r="D2928">
        <v>1101</v>
      </c>
      <c r="E2928">
        <v>2020</v>
      </c>
      <c r="F2928">
        <v>43</v>
      </c>
      <c r="G2928">
        <v>12020</v>
      </c>
      <c r="H2928" s="1">
        <v>4</v>
      </c>
      <c r="I2928">
        <v>22</v>
      </c>
      <c r="J2928">
        <f>IF($H2928=0,1,IF($I2928&lt;=1,2,0))</f>
        <v>0</v>
      </c>
      <c r="K2928">
        <v>0</v>
      </c>
      <c r="L2928">
        <f>IF(AND($J2928=0,$K2928=0),0,1)</f>
        <v>0</v>
      </c>
    </row>
    <row r="2929" spans="1:12" x14ac:dyDescent="0.2">
      <c r="A2929" t="s">
        <v>240</v>
      </c>
      <c r="B2929" t="s">
        <v>241</v>
      </c>
      <c r="C2929" t="s">
        <v>7</v>
      </c>
      <c r="D2929">
        <v>1101</v>
      </c>
      <c r="E2929">
        <v>2020</v>
      </c>
      <c r="F2929">
        <v>50</v>
      </c>
      <c r="G2929">
        <v>12029</v>
      </c>
      <c r="H2929" s="1">
        <v>4</v>
      </c>
      <c r="I2929">
        <v>22</v>
      </c>
      <c r="J2929">
        <f>IF($H2929=0,1,IF($I2929&lt;=1,2,0))</f>
        <v>0</v>
      </c>
      <c r="K2929">
        <v>0</v>
      </c>
      <c r="L2929">
        <f>IF(AND($J2929=0,$K2929=0),0,1)</f>
        <v>0</v>
      </c>
    </row>
    <row r="2930" spans="1:12" x14ac:dyDescent="0.2">
      <c r="A2930" t="s">
        <v>240</v>
      </c>
      <c r="B2930" t="s">
        <v>241</v>
      </c>
      <c r="C2930" t="s">
        <v>7</v>
      </c>
      <c r="D2930">
        <v>1101</v>
      </c>
      <c r="E2930">
        <v>2020</v>
      </c>
      <c r="F2930">
        <v>51</v>
      </c>
      <c r="G2930">
        <v>12030</v>
      </c>
      <c r="H2930" s="1">
        <v>4</v>
      </c>
      <c r="I2930">
        <v>22</v>
      </c>
      <c r="J2930">
        <f>IF($H2930=0,1,IF($I2930&lt;=1,2,0))</f>
        <v>0</v>
      </c>
      <c r="K2930">
        <v>0</v>
      </c>
      <c r="L2930">
        <f>IF(AND($J2930=0,$K2930=0),0,1)</f>
        <v>0</v>
      </c>
    </row>
    <row r="2931" spans="1:12" x14ac:dyDescent="0.2">
      <c r="A2931" t="s">
        <v>240</v>
      </c>
      <c r="B2931" t="s">
        <v>241</v>
      </c>
      <c r="C2931" t="s">
        <v>7</v>
      </c>
      <c r="D2931">
        <v>1101</v>
      </c>
      <c r="E2931">
        <v>2020</v>
      </c>
      <c r="F2931">
        <v>1</v>
      </c>
      <c r="G2931">
        <v>11735</v>
      </c>
      <c r="H2931" s="1">
        <v>4</v>
      </c>
      <c r="I2931">
        <v>21</v>
      </c>
      <c r="J2931">
        <f>IF($H2931=0,1,IF($I2931&lt;=1,2,0))</f>
        <v>0</v>
      </c>
      <c r="K2931">
        <v>0</v>
      </c>
      <c r="L2931">
        <f>IF(AND($J2931=0,$K2931=0),0,1)</f>
        <v>0</v>
      </c>
    </row>
    <row r="2932" spans="1:12" x14ac:dyDescent="0.2">
      <c r="A2932" t="s">
        <v>240</v>
      </c>
      <c r="B2932" t="s">
        <v>241</v>
      </c>
      <c r="C2932" t="s">
        <v>7</v>
      </c>
      <c r="D2932">
        <v>1101</v>
      </c>
      <c r="E2932">
        <v>2020</v>
      </c>
      <c r="F2932">
        <v>8</v>
      </c>
      <c r="G2932">
        <v>12022</v>
      </c>
      <c r="H2932" s="1">
        <v>4</v>
      </c>
      <c r="I2932">
        <v>21</v>
      </c>
      <c r="J2932">
        <f>IF($H2932=0,1,IF($I2932&lt;=1,2,0))</f>
        <v>0</v>
      </c>
      <c r="K2932">
        <v>0</v>
      </c>
      <c r="L2932">
        <f>IF(AND($J2932=0,$K2932=0),0,1)</f>
        <v>0</v>
      </c>
    </row>
    <row r="2933" spans="1:12" x14ac:dyDescent="0.2">
      <c r="A2933" t="s">
        <v>240</v>
      </c>
      <c r="B2933" t="s">
        <v>241</v>
      </c>
      <c r="C2933" t="s">
        <v>7</v>
      </c>
      <c r="D2933">
        <v>1101</v>
      </c>
      <c r="E2933">
        <v>2020</v>
      </c>
      <c r="F2933">
        <v>14</v>
      </c>
      <c r="G2933">
        <v>11746</v>
      </c>
      <c r="H2933" s="1">
        <v>4</v>
      </c>
      <c r="I2933">
        <v>21</v>
      </c>
      <c r="J2933">
        <f>IF($H2933=0,1,IF($I2933&lt;=1,2,0))</f>
        <v>0</v>
      </c>
      <c r="K2933">
        <v>0</v>
      </c>
      <c r="L2933">
        <f>IF(AND($J2933=0,$K2933=0),0,1)</f>
        <v>0</v>
      </c>
    </row>
    <row r="2934" spans="1:12" x14ac:dyDescent="0.2">
      <c r="A2934" t="s">
        <v>240</v>
      </c>
      <c r="B2934" t="s">
        <v>241</v>
      </c>
      <c r="C2934" t="s">
        <v>7</v>
      </c>
      <c r="D2934">
        <v>1101</v>
      </c>
      <c r="E2934">
        <v>2020</v>
      </c>
      <c r="F2934">
        <v>26</v>
      </c>
      <c r="G2934">
        <v>12005</v>
      </c>
      <c r="H2934" s="1">
        <v>4</v>
      </c>
      <c r="I2934">
        <v>21</v>
      </c>
      <c r="J2934">
        <f>IF($H2934=0,1,IF($I2934&lt;=1,2,0))</f>
        <v>0</v>
      </c>
      <c r="K2934">
        <v>0</v>
      </c>
      <c r="L2934">
        <f>IF(AND($J2934=0,$K2934=0),0,1)</f>
        <v>0</v>
      </c>
    </row>
    <row r="2935" spans="1:12" x14ac:dyDescent="0.2">
      <c r="A2935" t="s">
        <v>240</v>
      </c>
      <c r="B2935" t="s">
        <v>241</v>
      </c>
      <c r="C2935" t="s">
        <v>7</v>
      </c>
      <c r="D2935">
        <v>1101</v>
      </c>
      <c r="E2935">
        <v>2020</v>
      </c>
      <c r="F2935">
        <v>29</v>
      </c>
      <c r="G2935">
        <v>12008</v>
      </c>
      <c r="H2935" s="1">
        <v>4</v>
      </c>
      <c r="I2935">
        <v>21</v>
      </c>
      <c r="J2935">
        <f>IF($H2935=0,1,IF($I2935&lt;=1,2,0))</f>
        <v>0</v>
      </c>
      <c r="K2935">
        <v>0</v>
      </c>
      <c r="L2935">
        <f>IF(AND($J2935=0,$K2935=0),0,1)</f>
        <v>0</v>
      </c>
    </row>
    <row r="2936" spans="1:12" x14ac:dyDescent="0.2">
      <c r="A2936" t="s">
        <v>240</v>
      </c>
      <c r="B2936" t="s">
        <v>241</v>
      </c>
      <c r="C2936" t="s">
        <v>7</v>
      </c>
      <c r="D2936">
        <v>1101</v>
      </c>
      <c r="E2936">
        <v>2020</v>
      </c>
      <c r="F2936">
        <v>30</v>
      </c>
      <c r="G2936">
        <v>12009</v>
      </c>
      <c r="H2936" s="1">
        <v>4</v>
      </c>
      <c r="I2936">
        <v>21</v>
      </c>
      <c r="J2936">
        <f>IF($H2936=0,1,IF($I2936&lt;=1,2,0))</f>
        <v>0</v>
      </c>
      <c r="K2936">
        <v>0</v>
      </c>
      <c r="L2936">
        <f>IF(AND($J2936=0,$K2936=0),0,1)</f>
        <v>0</v>
      </c>
    </row>
    <row r="2937" spans="1:12" x14ac:dyDescent="0.2">
      <c r="A2937" t="s">
        <v>240</v>
      </c>
      <c r="B2937" t="s">
        <v>241</v>
      </c>
      <c r="C2937" t="s">
        <v>7</v>
      </c>
      <c r="D2937">
        <v>1101</v>
      </c>
      <c r="E2937">
        <v>2020</v>
      </c>
      <c r="F2937">
        <v>32</v>
      </c>
      <c r="G2937">
        <v>12011</v>
      </c>
      <c r="H2937" s="1">
        <v>4</v>
      </c>
      <c r="I2937">
        <v>21</v>
      </c>
      <c r="J2937">
        <f>IF($H2937=0,1,IF($I2937&lt;=1,2,0))</f>
        <v>0</v>
      </c>
      <c r="K2937">
        <v>0</v>
      </c>
      <c r="L2937">
        <f>IF(AND($J2937=0,$K2937=0),0,1)</f>
        <v>0</v>
      </c>
    </row>
    <row r="2938" spans="1:12" x14ac:dyDescent="0.2">
      <c r="A2938" t="s">
        <v>240</v>
      </c>
      <c r="B2938" t="s">
        <v>241</v>
      </c>
      <c r="C2938" t="s">
        <v>7</v>
      </c>
      <c r="D2938">
        <v>1101</v>
      </c>
      <c r="E2938">
        <v>2020</v>
      </c>
      <c r="F2938">
        <v>33</v>
      </c>
      <c r="G2938">
        <v>12012</v>
      </c>
      <c r="H2938" s="1">
        <v>4</v>
      </c>
      <c r="I2938">
        <v>21</v>
      </c>
      <c r="J2938">
        <f>IF($H2938=0,1,IF($I2938&lt;=1,2,0))</f>
        <v>0</v>
      </c>
      <c r="K2938">
        <v>0</v>
      </c>
      <c r="L2938">
        <f>IF(AND($J2938=0,$K2938=0),0,1)</f>
        <v>0</v>
      </c>
    </row>
    <row r="2939" spans="1:12" x14ac:dyDescent="0.2">
      <c r="A2939" t="s">
        <v>240</v>
      </c>
      <c r="B2939" t="s">
        <v>241</v>
      </c>
      <c r="C2939" t="s">
        <v>7</v>
      </c>
      <c r="D2939">
        <v>1101</v>
      </c>
      <c r="E2939">
        <v>2020</v>
      </c>
      <c r="F2939">
        <v>38</v>
      </c>
      <c r="G2939">
        <v>12017</v>
      </c>
      <c r="H2939" s="1">
        <v>4</v>
      </c>
      <c r="I2939">
        <v>21</v>
      </c>
      <c r="J2939">
        <f>IF($H2939=0,1,IF($I2939&lt;=1,2,0))</f>
        <v>0</v>
      </c>
      <c r="K2939">
        <v>0</v>
      </c>
      <c r="L2939">
        <f>IF(AND($J2939=0,$K2939=0),0,1)</f>
        <v>0</v>
      </c>
    </row>
    <row r="2940" spans="1:12" x14ac:dyDescent="0.2">
      <c r="A2940" t="s">
        <v>240</v>
      </c>
      <c r="B2940" t="s">
        <v>241</v>
      </c>
      <c r="C2940" t="s">
        <v>7</v>
      </c>
      <c r="D2940">
        <v>1101</v>
      </c>
      <c r="E2940">
        <v>2020</v>
      </c>
      <c r="F2940">
        <v>41</v>
      </c>
      <c r="G2940">
        <v>11995</v>
      </c>
      <c r="H2940" s="1">
        <v>4</v>
      </c>
      <c r="I2940">
        <v>21</v>
      </c>
      <c r="J2940">
        <f>IF($H2940=0,1,IF($I2940&lt;=1,2,0))</f>
        <v>0</v>
      </c>
      <c r="K2940">
        <v>0</v>
      </c>
      <c r="L2940">
        <f>IF(AND($J2940=0,$K2940=0),0,1)</f>
        <v>0</v>
      </c>
    </row>
    <row r="2941" spans="1:12" x14ac:dyDescent="0.2">
      <c r="A2941" t="s">
        <v>240</v>
      </c>
      <c r="B2941" t="s">
        <v>241</v>
      </c>
      <c r="C2941" t="s">
        <v>7</v>
      </c>
      <c r="D2941">
        <v>1101</v>
      </c>
      <c r="E2941">
        <v>2020</v>
      </c>
      <c r="F2941">
        <v>42</v>
      </c>
      <c r="G2941">
        <v>11996</v>
      </c>
      <c r="H2941" s="1">
        <v>4</v>
      </c>
      <c r="I2941">
        <v>21</v>
      </c>
      <c r="J2941">
        <f>IF($H2941=0,1,IF($I2941&lt;=1,2,0))</f>
        <v>0</v>
      </c>
      <c r="K2941">
        <v>0</v>
      </c>
      <c r="L2941">
        <f>IF(AND($J2941=0,$K2941=0),0,1)</f>
        <v>0</v>
      </c>
    </row>
    <row r="2942" spans="1:12" x14ac:dyDescent="0.2">
      <c r="A2942" t="s">
        <v>240</v>
      </c>
      <c r="B2942" t="s">
        <v>241</v>
      </c>
      <c r="C2942" t="s">
        <v>7</v>
      </c>
      <c r="D2942">
        <v>1101</v>
      </c>
      <c r="E2942">
        <v>2020</v>
      </c>
      <c r="F2942">
        <v>44</v>
      </c>
      <c r="G2942">
        <v>12021</v>
      </c>
      <c r="H2942" s="1">
        <v>4</v>
      </c>
      <c r="I2942">
        <v>21</v>
      </c>
      <c r="J2942">
        <f>IF($H2942=0,1,IF($I2942&lt;=1,2,0))</f>
        <v>0</v>
      </c>
      <c r="K2942">
        <v>0</v>
      </c>
      <c r="L2942">
        <f>IF(AND($J2942=0,$K2942=0),0,1)</f>
        <v>0</v>
      </c>
    </row>
    <row r="2943" spans="1:12" x14ac:dyDescent="0.2">
      <c r="A2943" t="s">
        <v>240</v>
      </c>
      <c r="B2943" t="s">
        <v>241</v>
      </c>
      <c r="C2943" t="s">
        <v>7</v>
      </c>
      <c r="D2943">
        <v>1101</v>
      </c>
      <c r="E2943">
        <v>2020</v>
      </c>
      <c r="F2943">
        <v>53</v>
      </c>
      <c r="G2943">
        <v>12032</v>
      </c>
      <c r="H2943" s="1">
        <v>4</v>
      </c>
      <c r="I2943">
        <v>21</v>
      </c>
      <c r="J2943">
        <f>IF($H2943=0,1,IF($I2943&lt;=1,2,0))</f>
        <v>0</v>
      </c>
      <c r="K2943">
        <v>0</v>
      </c>
      <c r="L2943">
        <f>IF(AND($J2943=0,$K2943=0),0,1)</f>
        <v>0</v>
      </c>
    </row>
    <row r="2944" spans="1:12" x14ac:dyDescent="0.2">
      <c r="A2944" t="s">
        <v>240</v>
      </c>
      <c r="B2944" t="s">
        <v>241</v>
      </c>
      <c r="C2944" t="s">
        <v>7</v>
      </c>
      <c r="D2944">
        <v>1101</v>
      </c>
      <c r="E2944">
        <v>2020</v>
      </c>
      <c r="F2944">
        <v>2</v>
      </c>
      <c r="G2944">
        <v>11736</v>
      </c>
      <c r="H2944" s="1">
        <v>4</v>
      </c>
      <c r="I2944">
        <v>20</v>
      </c>
      <c r="J2944">
        <f>IF($H2944=0,1,IF($I2944&lt;=1,2,0))</f>
        <v>0</v>
      </c>
      <c r="K2944">
        <v>0</v>
      </c>
      <c r="L2944">
        <f>IF(AND($J2944=0,$K2944=0),0,1)</f>
        <v>0</v>
      </c>
    </row>
    <row r="2945" spans="1:12" x14ac:dyDescent="0.2">
      <c r="A2945" t="s">
        <v>240</v>
      </c>
      <c r="B2945" t="s">
        <v>241</v>
      </c>
      <c r="C2945" t="s">
        <v>7</v>
      </c>
      <c r="D2945">
        <v>1101</v>
      </c>
      <c r="E2945">
        <v>2020</v>
      </c>
      <c r="F2945">
        <v>3</v>
      </c>
      <c r="G2945">
        <v>11737</v>
      </c>
      <c r="H2945" s="1">
        <v>4</v>
      </c>
      <c r="I2945">
        <v>20</v>
      </c>
      <c r="J2945">
        <f>IF($H2945=0,1,IF($I2945&lt;=1,2,0))</f>
        <v>0</v>
      </c>
      <c r="K2945">
        <v>0</v>
      </c>
      <c r="L2945">
        <f>IF(AND($J2945=0,$K2945=0),0,1)</f>
        <v>0</v>
      </c>
    </row>
    <row r="2946" spans="1:12" x14ac:dyDescent="0.2">
      <c r="A2946" t="s">
        <v>240</v>
      </c>
      <c r="B2946" t="s">
        <v>241</v>
      </c>
      <c r="C2946" t="s">
        <v>7</v>
      </c>
      <c r="D2946">
        <v>1101</v>
      </c>
      <c r="E2946">
        <v>2020</v>
      </c>
      <c r="F2946">
        <v>16</v>
      </c>
      <c r="G2946">
        <v>11747</v>
      </c>
      <c r="H2946" s="1">
        <v>4</v>
      </c>
      <c r="I2946">
        <v>20</v>
      </c>
      <c r="J2946">
        <f>IF($H2946=0,1,IF($I2946&lt;=1,2,0))</f>
        <v>0</v>
      </c>
      <c r="K2946">
        <v>0</v>
      </c>
      <c r="L2946">
        <f>IF(AND($J2946=0,$K2946=0),0,1)</f>
        <v>0</v>
      </c>
    </row>
    <row r="2947" spans="1:12" x14ac:dyDescent="0.2">
      <c r="A2947" t="s">
        <v>240</v>
      </c>
      <c r="B2947" t="s">
        <v>241</v>
      </c>
      <c r="C2947" t="s">
        <v>7</v>
      </c>
      <c r="D2947">
        <v>1101</v>
      </c>
      <c r="E2947">
        <v>2020</v>
      </c>
      <c r="F2947">
        <v>21</v>
      </c>
      <c r="G2947">
        <v>12000</v>
      </c>
      <c r="H2947" s="1">
        <v>4</v>
      </c>
      <c r="I2947">
        <v>20</v>
      </c>
      <c r="J2947">
        <f>IF($H2947=0,1,IF($I2947&lt;=1,2,0))</f>
        <v>0</v>
      </c>
      <c r="K2947">
        <v>0</v>
      </c>
      <c r="L2947">
        <f>IF(AND($J2947=0,$K2947=0),0,1)</f>
        <v>0</v>
      </c>
    </row>
    <row r="2948" spans="1:12" x14ac:dyDescent="0.2">
      <c r="A2948" t="s">
        <v>240</v>
      </c>
      <c r="B2948" t="s">
        <v>241</v>
      </c>
      <c r="C2948" t="s">
        <v>7</v>
      </c>
      <c r="D2948">
        <v>1101</v>
      </c>
      <c r="E2948">
        <v>2020</v>
      </c>
      <c r="F2948">
        <v>28</v>
      </c>
      <c r="G2948">
        <v>12007</v>
      </c>
      <c r="H2948" s="1">
        <v>4</v>
      </c>
      <c r="I2948">
        <v>20</v>
      </c>
      <c r="J2948">
        <f>IF($H2948=0,1,IF($I2948&lt;=1,2,0))</f>
        <v>0</v>
      </c>
      <c r="K2948">
        <v>0</v>
      </c>
      <c r="L2948">
        <f>IF(AND($J2948=0,$K2948=0),0,1)</f>
        <v>0</v>
      </c>
    </row>
    <row r="2949" spans="1:12" x14ac:dyDescent="0.2">
      <c r="A2949" t="s">
        <v>240</v>
      </c>
      <c r="B2949" t="s">
        <v>241</v>
      </c>
      <c r="C2949" t="s">
        <v>7</v>
      </c>
      <c r="D2949">
        <v>1101</v>
      </c>
      <c r="E2949">
        <v>2020</v>
      </c>
      <c r="F2949">
        <v>35</v>
      </c>
      <c r="G2949">
        <v>12014</v>
      </c>
      <c r="H2949" s="1">
        <v>4</v>
      </c>
      <c r="I2949">
        <v>20</v>
      </c>
      <c r="J2949">
        <f>IF($H2949=0,1,IF($I2949&lt;=1,2,0))</f>
        <v>0</v>
      </c>
      <c r="K2949">
        <v>0</v>
      </c>
      <c r="L2949">
        <f>IF(AND($J2949=0,$K2949=0),0,1)</f>
        <v>0</v>
      </c>
    </row>
    <row r="2950" spans="1:12" x14ac:dyDescent="0.2">
      <c r="A2950" t="s">
        <v>240</v>
      </c>
      <c r="B2950" t="s">
        <v>241</v>
      </c>
      <c r="C2950" t="s">
        <v>7</v>
      </c>
      <c r="D2950">
        <v>1101</v>
      </c>
      <c r="E2950">
        <v>2020</v>
      </c>
      <c r="F2950">
        <v>46</v>
      </c>
      <c r="G2950">
        <v>12025</v>
      </c>
      <c r="H2950" s="1">
        <v>4</v>
      </c>
      <c r="I2950">
        <v>20</v>
      </c>
      <c r="J2950">
        <f>IF($H2950=0,1,IF($I2950&lt;=1,2,0))</f>
        <v>0</v>
      </c>
      <c r="K2950">
        <v>0</v>
      </c>
      <c r="L2950">
        <f>IF(AND($J2950=0,$K2950=0),0,1)</f>
        <v>0</v>
      </c>
    </row>
    <row r="2951" spans="1:12" x14ac:dyDescent="0.2">
      <c r="A2951" t="s">
        <v>240</v>
      </c>
      <c r="B2951" t="s">
        <v>241</v>
      </c>
      <c r="C2951" t="s">
        <v>7</v>
      </c>
      <c r="D2951">
        <v>1101</v>
      </c>
      <c r="E2951">
        <v>2020</v>
      </c>
      <c r="F2951">
        <v>47</v>
      </c>
      <c r="G2951">
        <v>12026</v>
      </c>
      <c r="H2951" s="1">
        <v>4</v>
      </c>
      <c r="I2951">
        <v>20</v>
      </c>
      <c r="J2951">
        <f>IF($H2951=0,1,IF($I2951&lt;=1,2,0))</f>
        <v>0</v>
      </c>
      <c r="K2951">
        <v>0</v>
      </c>
      <c r="L2951">
        <f>IF(AND($J2951=0,$K2951=0),0,1)</f>
        <v>0</v>
      </c>
    </row>
    <row r="2952" spans="1:12" x14ac:dyDescent="0.2">
      <c r="A2952" t="s">
        <v>240</v>
      </c>
      <c r="B2952" t="s">
        <v>241</v>
      </c>
      <c r="C2952" t="s">
        <v>7</v>
      </c>
      <c r="D2952">
        <v>1101</v>
      </c>
      <c r="E2952">
        <v>2020</v>
      </c>
      <c r="F2952">
        <v>48</v>
      </c>
      <c r="G2952">
        <v>12027</v>
      </c>
      <c r="H2952" s="1">
        <v>4</v>
      </c>
      <c r="I2952">
        <v>20</v>
      </c>
      <c r="J2952">
        <f>IF($H2952=0,1,IF($I2952&lt;=1,2,0))</f>
        <v>0</v>
      </c>
      <c r="K2952">
        <v>0</v>
      </c>
      <c r="L2952">
        <f>IF(AND($J2952=0,$K2952=0),0,1)</f>
        <v>0</v>
      </c>
    </row>
    <row r="2953" spans="1:12" x14ac:dyDescent="0.2">
      <c r="A2953" t="s">
        <v>240</v>
      </c>
      <c r="B2953" t="s">
        <v>241</v>
      </c>
      <c r="C2953" t="s">
        <v>7</v>
      </c>
      <c r="D2953">
        <v>1101</v>
      </c>
      <c r="E2953">
        <v>2020</v>
      </c>
      <c r="F2953">
        <v>52</v>
      </c>
      <c r="G2953">
        <v>12031</v>
      </c>
      <c r="H2953" s="1">
        <v>4</v>
      </c>
      <c r="I2953">
        <v>20</v>
      </c>
      <c r="J2953">
        <f>IF($H2953=0,1,IF($I2953&lt;=1,2,0))</f>
        <v>0</v>
      </c>
      <c r="K2953">
        <v>0</v>
      </c>
      <c r="L2953">
        <f>IF(AND($J2953=0,$K2953=0),0,1)</f>
        <v>0</v>
      </c>
    </row>
    <row r="2954" spans="1:12" x14ac:dyDescent="0.2">
      <c r="A2954" t="s">
        <v>240</v>
      </c>
      <c r="B2954" t="s">
        <v>241</v>
      </c>
      <c r="C2954" t="s">
        <v>7</v>
      </c>
      <c r="D2954">
        <v>1101</v>
      </c>
      <c r="E2954">
        <v>2020</v>
      </c>
      <c r="F2954">
        <v>54</v>
      </c>
      <c r="G2954">
        <v>12033</v>
      </c>
      <c r="H2954" s="1">
        <v>4</v>
      </c>
      <c r="I2954">
        <v>20</v>
      </c>
      <c r="J2954">
        <f>IF($H2954=0,1,IF($I2954&lt;=1,2,0))</f>
        <v>0</v>
      </c>
      <c r="K2954">
        <v>0</v>
      </c>
      <c r="L2954">
        <f>IF(AND($J2954=0,$K2954=0),0,1)</f>
        <v>0</v>
      </c>
    </row>
    <row r="2955" spans="1:12" x14ac:dyDescent="0.2">
      <c r="A2955" t="s">
        <v>240</v>
      </c>
      <c r="B2955" t="s">
        <v>241</v>
      </c>
      <c r="C2955" t="s">
        <v>7</v>
      </c>
      <c r="D2955">
        <v>1101</v>
      </c>
      <c r="E2955">
        <v>2020</v>
      </c>
      <c r="F2955">
        <v>55</v>
      </c>
      <c r="G2955">
        <v>12034</v>
      </c>
      <c r="H2955" s="1">
        <v>4</v>
      </c>
      <c r="I2955">
        <v>20</v>
      </c>
      <c r="J2955">
        <f>IF($H2955=0,1,IF($I2955&lt;=1,2,0))</f>
        <v>0</v>
      </c>
      <c r="K2955">
        <v>0</v>
      </c>
      <c r="L2955">
        <f>IF(AND($J2955=0,$K2955=0),0,1)</f>
        <v>0</v>
      </c>
    </row>
    <row r="2956" spans="1:12" x14ac:dyDescent="0.2">
      <c r="A2956" t="s">
        <v>240</v>
      </c>
      <c r="B2956" t="s">
        <v>241</v>
      </c>
      <c r="C2956" t="s">
        <v>7</v>
      </c>
      <c r="D2956">
        <v>1101</v>
      </c>
      <c r="E2956">
        <v>2020</v>
      </c>
      <c r="F2956">
        <v>57</v>
      </c>
      <c r="G2956">
        <v>12036</v>
      </c>
      <c r="H2956" s="1">
        <v>4</v>
      </c>
      <c r="I2956">
        <v>20</v>
      </c>
      <c r="J2956">
        <f>IF($H2956=0,1,IF($I2956&lt;=1,2,0))</f>
        <v>0</v>
      </c>
      <c r="K2956">
        <v>0</v>
      </c>
      <c r="L2956">
        <f>IF(AND($J2956=0,$K2956=0),0,1)</f>
        <v>0</v>
      </c>
    </row>
    <row r="2957" spans="1:12" x14ac:dyDescent="0.2">
      <c r="A2957" t="s">
        <v>240</v>
      </c>
      <c r="B2957" t="s">
        <v>241</v>
      </c>
      <c r="C2957" t="s">
        <v>7</v>
      </c>
      <c r="D2957">
        <v>1101</v>
      </c>
      <c r="E2957">
        <v>2020</v>
      </c>
      <c r="F2957">
        <v>60</v>
      </c>
      <c r="G2957">
        <v>15280</v>
      </c>
      <c r="H2957" s="1">
        <v>4</v>
      </c>
      <c r="I2957">
        <v>20</v>
      </c>
      <c r="J2957">
        <f>IF($H2957=0,1,IF($I2957&lt;=1,2,0))</f>
        <v>0</v>
      </c>
      <c r="K2957">
        <v>0</v>
      </c>
      <c r="L2957">
        <f>IF(AND($J2957=0,$K2957=0),0,1)</f>
        <v>0</v>
      </c>
    </row>
    <row r="2958" spans="1:12" x14ac:dyDescent="0.2">
      <c r="A2958" t="s">
        <v>240</v>
      </c>
      <c r="B2958" t="s">
        <v>241</v>
      </c>
      <c r="C2958" t="s">
        <v>7</v>
      </c>
      <c r="D2958">
        <v>1101</v>
      </c>
      <c r="E2958">
        <v>2020</v>
      </c>
      <c r="F2958">
        <v>24</v>
      </c>
      <c r="G2958">
        <v>12003</v>
      </c>
      <c r="H2958" s="1">
        <v>4</v>
      </c>
      <c r="I2958">
        <v>19</v>
      </c>
      <c r="J2958">
        <f>IF($H2958=0,1,IF($I2958&lt;=1,2,0))</f>
        <v>0</v>
      </c>
      <c r="K2958">
        <v>0</v>
      </c>
      <c r="L2958">
        <f>IF(AND($J2958=0,$K2958=0),0,1)</f>
        <v>0</v>
      </c>
    </row>
    <row r="2959" spans="1:12" x14ac:dyDescent="0.2">
      <c r="A2959" t="s">
        <v>240</v>
      </c>
      <c r="B2959" t="s">
        <v>241</v>
      </c>
      <c r="C2959" t="s">
        <v>7</v>
      </c>
      <c r="D2959">
        <v>1101</v>
      </c>
      <c r="E2959">
        <v>2020</v>
      </c>
      <c r="F2959">
        <v>34</v>
      </c>
      <c r="G2959">
        <v>12013</v>
      </c>
      <c r="H2959" s="1">
        <v>4</v>
      </c>
      <c r="I2959">
        <v>19</v>
      </c>
      <c r="J2959">
        <f>IF($H2959=0,1,IF($I2959&lt;=1,2,0))</f>
        <v>0</v>
      </c>
      <c r="K2959">
        <v>0</v>
      </c>
      <c r="L2959">
        <f>IF(AND($J2959=0,$K2959=0),0,1)</f>
        <v>0</v>
      </c>
    </row>
    <row r="2960" spans="1:12" x14ac:dyDescent="0.2">
      <c r="A2960" t="s">
        <v>240</v>
      </c>
      <c r="B2960" t="s">
        <v>241</v>
      </c>
      <c r="C2960" t="s">
        <v>7</v>
      </c>
      <c r="D2960">
        <v>1101</v>
      </c>
      <c r="E2960">
        <v>2020</v>
      </c>
      <c r="F2960">
        <v>45</v>
      </c>
      <c r="G2960">
        <v>12024</v>
      </c>
      <c r="H2960" s="1">
        <v>4</v>
      </c>
      <c r="I2960">
        <v>19</v>
      </c>
      <c r="J2960">
        <f>IF($H2960=0,1,IF($I2960&lt;=1,2,0))</f>
        <v>0</v>
      </c>
      <c r="K2960">
        <v>0</v>
      </c>
      <c r="L2960">
        <f>IF(AND($J2960=0,$K2960=0),0,1)</f>
        <v>0</v>
      </c>
    </row>
    <row r="2961" spans="1:13" x14ac:dyDescent="0.2">
      <c r="A2961" t="s">
        <v>240</v>
      </c>
      <c r="B2961" t="s">
        <v>241</v>
      </c>
      <c r="C2961" t="s">
        <v>7</v>
      </c>
      <c r="D2961">
        <v>1101</v>
      </c>
      <c r="E2961">
        <v>2020</v>
      </c>
      <c r="F2961">
        <v>56</v>
      </c>
      <c r="G2961">
        <v>12035</v>
      </c>
      <c r="H2961" s="1">
        <v>4</v>
      </c>
      <c r="I2961">
        <v>19</v>
      </c>
      <c r="J2961">
        <f>IF($H2961=0,1,IF($I2961&lt;=1,2,0))</f>
        <v>0</v>
      </c>
      <c r="K2961">
        <v>0</v>
      </c>
      <c r="L2961">
        <f>IF(AND($J2961=0,$K2961=0),0,1)</f>
        <v>0</v>
      </c>
    </row>
    <row r="2962" spans="1:13" x14ac:dyDescent="0.2">
      <c r="A2962" t="s">
        <v>240</v>
      </c>
      <c r="B2962" t="s">
        <v>241</v>
      </c>
      <c r="C2962" t="s">
        <v>7</v>
      </c>
      <c r="D2962">
        <v>1101</v>
      </c>
      <c r="E2962">
        <v>2020</v>
      </c>
      <c r="F2962">
        <v>10</v>
      </c>
      <c r="G2962">
        <v>11740</v>
      </c>
      <c r="H2962" s="1">
        <v>4</v>
      </c>
      <c r="I2962">
        <v>18</v>
      </c>
      <c r="J2962">
        <f>IF($H2962=0,1,IF($I2962&lt;=1,2,0))</f>
        <v>0</v>
      </c>
      <c r="K2962">
        <v>0</v>
      </c>
      <c r="L2962">
        <f>IF(AND($J2962=0,$K2962=0),0,1)</f>
        <v>0</v>
      </c>
    </row>
    <row r="2963" spans="1:13" x14ac:dyDescent="0.2">
      <c r="A2963" t="s">
        <v>240</v>
      </c>
      <c r="B2963" t="s">
        <v>241</v>
      </c>
      <c r="C2963" t="s">
        <v>7</v>
      </c>
      <c r="D2963">
        <v>1101</v>
      </c>
      <c r="E2963">
        <v>2020</v>
      </c>
      <c r="F2963">
        <v>39</v>
      </c>
      <c r="G2963">
        <v>12018</v>
      </c>
      <c r="H2963" s="1">
        <v>4</v>
      </c>
      <c r="I2963">
        <v>18</v>
      </c>
      <c r="J2963">
        <f>IF($H2963=0,1,IF($I2963&lt;=1,2,0))</f>
        <v>0</v>
      </c>
      <c r="K2963">
        <v>0</v>
      </c>
      <c r="L2963">
        <f>IF(AND($J2963=0,$K2963=0),0,1)</f>
        <v>0</v>
      </c>
    </row>
    <row r="2964" spans="1:13" x14ac:dyDescent="0.2">
      <c r="A2964" t="s">
        <v>240</v>
      </c>
      <c r="B2964" t="s">
        <v>241</v>
      </c>
      <c r="C2964" t="s">
        <v>7</v>
      </c>
      <c r="D2964">
        <v>1101</v>
      </c>
      <c r="E2964">
        <v>2020</v>
      </c>
      <c r="F2964">
        <v>12</v>
      </c>
      <c r="G2964">
        <v>11744</v>
      </c>
      <c r="H2964" s="1">
        <v>4</v>
      </c>
      <c r="I2964">
        <v>17</v>
      </c>
      <c r="J2964">
        <f>IF($H2964=0,1,IF($I2964&lt;=1,2,0))</f>
        <v>0</v>
      </c>
      <c r="K2964">
        <v>0</v>
      </c>
      <c r="L2964">
        <f>IF(AND($J2964=0,$K2964=0),0,1)</f>
        <v>0</v>
      </c>
    </row>
    <row r="2965" spans="1:13" x14ac:dyDescent="0.2">
      <c r="A2965" t="s">
        <v>240</v>
      </c>
      <c r="B2965" t="s">
        <v>241</v>
      </c>
      <c r="C2965" t="s">
        <v>7</v>
      </c>
      <c r="D2965">
        <v>1101</v>
      </c>
      <c r="E2965">
        <v>2020</v>
      </c>
      <c r="F2965">
        <v>49</v>
      </c>
      <c r="G2965">
        <v>12028</v>
      </c>
      <c r="H2965" s="1">
        <v>4</v>
      </c>
      <c r="I2965">
        <v>17</v>
      </c>
      <c r="J2965">
        <f>IF($H2965=0,1,IF($I2965&lt;=1,2,0))</f>
        <v>0</v>
      </c>
      <c r="K2965">
        <v>0</v>
      </c>
      <c r="L2965">
        <f>IF(AND($J2965=0,$K2965=0),0,1)</f>
        <v>0</v>
      </c>
    </row>
    <row r="2966" spans="1:13" x14ac:dyDescent="0.2">
      <c r="A2966" t="s">
        <v>240</v>
      </c>
      <c r="B2966" t="s">
        <v>241</v>
      </c>
      <c r="C2966" t="s">
        <v>153</v>
      </c>
      <c r="D2966">
        <v>1101</v>
      </c>
      <c r="E2966">
        <v>2020</v>
      </c>
      <c r="F2966">
        <v>58</v>
      </c>
      <c r="G2966">
        <v>12037</v>
      </c>
      <c r="H2966" s="1">
        <v>4</v>
      </c>
      <c r="I2966">
        <v>17</v>
      </c>
      <c r="J2966">
        <f>IF($H2966=0,1,IF($I2966&lt;=1,2,0))</f>
        <v>0</v>
      </c>
      <c r="K2966">
        <v>0</v>
      </c>
      <c r="L2966">
        <f>IF(AND($J2966=0,$K2966=0),0,1)</f>
        <v>0</v>
      </c>
    </row>
    <row r="2967" spans="1:13" x14ac:dyDescent="0.2">
      <c r="A2967" t="s">
        <v>240</v>
      </c>
      <c r="B2967" t="s">
        <v>241</v>
      </c>
      <c r="C2967" t="s">
        <v>7</v>
      </c>
      <c r="D2967">
        <v>1101</v>
      </c>
      <c r="E2967">
        <v>2020</v>
      </c>
      <c r="F2967">
        <v>62</v>
      </c>
      <c r="G2967">
        <v>24535</v>
      </c>
      <c r="H2967" s="1">
        <v>4</v>
      </c>
      <c r="I2967">
        <v>17</v>
      </c>
      <c r="J2967">
        <f>IF($H2967=0,1,IF($I2967&lt;=1,2,0))</f>
        <v>0</v>
      </c>
      <c r="K2967">
        <v>0</v>
      </c>
      <c r="L2967">
        <f>IF(AND($J2967=0,$K2967=0),0,1)</f>
        <v>0</v>
      </c>
    </row>
    <row r="2968" spans="1:13" x14ac:dyDescent="0.2">
      <c r="A2968" t="s">
        <v>240</v>
      </c>
      <c r="B2968" t="s">
        <v>241</v>
      </c>
      <c r="C2968" t="s">
        <v>7</v>
      </c>
      <c r="D2968">
        <v>1101</v>
      </c>
      <c r="E2968">
        <v>2020</v>
      </c>
      <c r="F2968">
        <v>27</v>
      </c>
      <c r="G2968">
        <v>12006</v>
      </c>
      <c r="H2968" s="1">
        <v>4</v>
      </c>
      <c r="I2968">
        <v>16</v>
      </c>
      <c r="J2968">
        <f>IF($H2968=0,1,IF($I2968&lt;=1,2,0))</f>
        <v>0</v>
      </c>
      <c r="K2968">
        <v>0</v>
      </c>
      <c r="L2968">
        <f>IF(AND($J2968=0,$K2968=0),0,1)</f>
        <v>0</v>
      </c>
    </row>
    <row r="2969" spans="1:13" x14ac:dyDescent="0.2">
      <c r="A2969" t="s">
        <v>240</v>
      </c>
      <c r="B2969" t="s">
        <v>241</v>
      </c>
      <c r="C2969" t="s">
        <v>7</v>
      </c>
      <c r="D2969">
        <v>1101</v>
      </c>
      <c r="E2969">
        <v>2020</v>
      </c>
      <c r="F2969">
        <v>40</v>
      </c>
      <c r="G2969">
        <v>12019</v>
      </c>
      <c r="H2969" s="1">
        <v>4</v>
      </c>
      <c r="I2969">
        <v>16</v>
      </c>
      <c r="J2969">
        <f>IF($H2969=0,1,IF($I2969&lt;=1,2,0))</f>
        <v>0</v>
      </c>
      <c r="K2969">
        <v>0</v>
      </c>
      <c r="L2969">
        <f>IF(AND($J2969=0,$K2969=0),0,1)</f>
        <v>0</v>
      </c>
    </row>
    <row r="2970" spans="1:13" x14ac:dyDescent="0.2">
      <c r="A2970" t="s">
        <v>240</v>
      </c>
      <c r="B2970" t="s">
        <v>241</v>
      </c>
      <c r="C2970" t="s">
        <v>7</v>
      </c>
      <c r="D2970">
        <v>1101</v>
      </c>
      <c r="E2970">
        <v>2020</v>
      </c>
      <c r="F2970">
        <v>18</v>
      </c>
      <c r="G2970">
        <v>11997</v>
      </c>
      <c r="H2970" s="1">
        <v>4</v>
      </c>
      <c r="I2970">
        <v>15</v>
      </c>
      <c r="J2970">
        <f>IF($H2970=0,1,IF($I2970&lt;=1,2,0))</f>
        <v>0</v>
      </c>
      <c r="K2970">
        <v>0</v>
      </c>
      <c r="L2970">
        <f>IF(AND($J2970=0,$K2970=0),0,1)</f>
        <v>0</v>
      </c>
    </row>
    <row r="2971" spans="1:13" x14ac:dyDescent="0.2">
      <c r="A2971" t="s">
        <v>240</v>
      </c>
      <c r="B2971" t="s">
        <v>241</v>
      </c>
      <c r="C2971" t="s">
        <v>153</v>
      </c>
      <c r="D2971">
        <v>1101</v>
      </c>
      <c r="E2971">
        <v>2020</v>
      </c>
      <c r="F2971">
        <v>59</v>
      </c>
      <c r="G2971">
        <v>12038</v>
      </c>
      <c r="H2971" s="1">
        <v>4</v>
      </c>
      <c r="I2971">
        <v>15</v>
      </c>
      <c r="J2971">
        <f>IF($H2971=0,1,IF($I2971&lt;=1,2,0))</f>
        <v>0</v>
      </c>
      <c r="K2971">
        <v>0</v>
      </c>
      <c r="L2971">
        <f>IF(AND($J2971=0,$K2971=0),0,1)</f>
        <v>0</v>
      </c>
    </row>
    <row r="2972" spans="1:13" x14ac:dyDescent="0.2">
      <c r="A2972" t="s">
        <v>240</v>
      </c>
      <c r="B2972" t="s">
        <v>241</v>
      </c>
      <c r="C2972" t="s">
        <v>7</v>
      </c>
      <c r="D2972">
        <v>1101</v>
      </c>
      <c r="E2972">
        <v>2020</v>
      </c>
      <c r="F2972">
        <v>22</v>
      </c>
      <c r="G2972">
        <v>12001</v>
      </c>
      <c r="H2972" s="1">
        <v>4</v>
      </c>
      <c r="I2972">
        <v>13</v>
      </c>
      <c r="J2972">
        <f>IF($H2972=0,1,IF($I2972&lt;=1,2,0))</f>
        <v>0</v>
      </c>
      <c r="K2972">
        <v>0</v>
      </c>
      <c r="L2972">
        <f>IF(AND($J2972=0,$K2972=0),0,1)</f>
        <v>0</v>
      </c>
    </row>
    <row r="2973" spans="1:13" x14ac:dyDescent="0.2">
      <c r="A2973" t="s">
        <v>240</v>
      </c>
      <c r="B2973" t="s">
        <v>241</v>
      </c>
      <c r="C2973" t="s">
        <v>153</v>
      </c>
      <c r="D2973">
        <v>1101</v>
      </c>
      <c r="E2973">
        <v>2020</v>
      </c>
      <c r="F2973">
        <v>61</v>
      </c>
      <c r="G2973">
        <v>20056</v>
      </c>
      <c r="H2973" s="1">
        <v>4</v>
      </c>
      <c r="I2973">
        <v>13</v>
      </c>
      <c r="J2973">
        <f>IF($H2973=0,1,IF($I2973&lt;=1,2,0))</f>
        <v>0</v>
      </c>
      <c r="K2973">
        <v>0</v>
      </c>
      <c r="L2973">
        <f>IF(AND($J2973=0,$K2973=0),0,1)</f>
        <v>0</v>
      </c>
    </row>
    <row r="2974" spans="1:13" x14ac:dyDescent="0.2">
      <c r="A2974" t="s">
        <v>240</v>
      </c>
      <c r="B2974" t="s">
        <v>241</v>
      </c>
      <c r="C2974" t="s">
        <v>7</v>
      </c>
      <c r="D2974">
        <v>1101</v>
      </c>
      <c r="E2974">
        <v>2020</v>
      </c>
      <c r="F2974">
        <v>63</v>
      </c>
      <c r="G2974">
        <v>24655</v>
      </c>
      <c r="H2974" s="1">
        <v>4</v>
      </c>
      <c r="I2974">
        <v>6</v>
      </c>
      <c r="J2974">
        <f>IF($H2974=0,1,IF($I2974&lt;=1,2,0))</f>
        <v>0</v>
      </c>
      <c r="K2974">
        <v>0</v>
      </c>
      <c r="L2974">
        <f>IF(AND($J2974=0,$K2974=0),0,1)</f>
        <v>0</v>
      </c>
    </row>
    <row r="2975" spans="1:13" x14ac:dyDescent="0.2">
      <c r="A2975" t="s">
        <v>240</v>
      </c>
      <c r="B2975" t="s">
        <v>241</v>
      </c>
      <c r="C2975" t="s">
        <v>11</v>
      </c>
      <c r="D2975">
        <v>8604</v>
      </c>
      <c r="E2975">
        <v>2020</v>
      </c>
      <c r="F2975">
        <v>1</v>
      </c>
      <c r="G2975">
        <v>12047</v>
      </c>
      <c r="H2975" s="1">
        <v>3</v>
      </c>
      <c r="I2975">
        <v>10</v>
      </c>
      <c r="J2975">
        <f>IF($H2975=0,1,IF($I2975&lt;=1,2,0))</f>
        <v>0</v>
      </c>
      <c r="K2975">
        <v>0</v>
      </c>
      <c r="L2975">
        <f>IF(AND($J2975=0,$K2975=0),0,1)</f>
        <v>0</v>
      </c>
    </row>
    <row r="2976" spans="1:13" x14ac:dyDescent="0.2">
      <c r="A2976" t="s">
        <v>242</v>
      </c>
      <c r="B2976" t="s">
        <v>71</v>
      </c>
      <c r="C2976" t="s">
        <v>9</v>
      </c>
      <c r="D2976">
        <v>1002</v>
      </c>
      <c r="E2976">
        <v>2020</v>
      </c>
      <c r="F2976">
        <v>1</v>
      </c>
      <c r="G2976">
        <v>11682</v>
      </c>
      <c r="H2976" s="1">
        <v>4</v>
      </c>
      <c r="I2976">
        <v>239</v>
      </c>
      <c r="J2976">
        <f>IF($H2976=0,1,IF($I2976&lt;=1,2,0))</f>
        <v>0</v>
      </c>
      <c r="K2976">
        <v>0</v>
      </c>
      <c r="L2976">
        <f>IF(AND($J2976=0,$K2976=0),0,1)</f>
        <v>0</v>
      </c>
      <c r="M2976" t="s">
        <v>936</v>
      </c>
    </row>
    <row r="2977" spans="1:12" x14ac:dyDescent="0.2">
      <c r="A2977" t="s">
        <v>242</v>
      </c>
      <c r="B2977" t="s">
        <v>71</v>
      </c>
      <c r="C2977" t="s">
        <v>9</v>
      </c>
      <c r="D2977">
        <v>1004</v>
      </c>
      <c r="E2977">
        <v>2020</v>
      </c>
      <c r="F2977">
        <v>1</v>
      </c>
      <c r="G2977">
        <v>11692</v>
      </c>
      <c r="H2977" s="1">
        <v>3</v>
      </c>
      <c r="I2977">
        <v>393</v>
      </c>
      <c r="J2977">
        <f>IF($H2977=0,1,IF($I2977&lt;=1,2,0))</f>
        <v>0</v>
      </c>
      <c r="K2977">
        <v>0</v>
      </c>
      <c r="L2977">
        <f>IF(AND($J2977=0,$K2977=0),0,1)</f>
        <v>0</v>
      </c>
    </row>
    <row r="2978" spans="1:12" x14ac:dyDescent="0.2">
      <c r="A2978" t="s">
        <v>242</v>
      </c>
      <c r="B2978" t="s">
        <v>71</v>
      </c>
      <c r="C2978" t="s">
        <v>9</v>
      </c>
      <c r="D2978">
        <v>1404</v>
      </c>
      <c r="E2978">
        <v>2020</v>
      </c>
      <c r="F2978">
        <v>6</v>
      </c>
      <c r="G2978">
        <v>24499</v>
      </c>
      <c r="H2978" s="1">
        <v>1</v>
      </c>
      <c r="I2978">
        <v>14</v>
      </c>
      <c r="J2978">
        <f>IF($H2978=0,1,IF($I2978&lt;=1,2,0))</f>
        <v>0</v>
      </c>
      <c r="K2978">
        <v>0</v>
      </c>
      <c r="L2978">
        <f>IF(AND($J2978=0,$K2978=0),0,1)</f>
        <v>0</v>
      </c>
    </row>
    <row r="2979" spans="1:12" x14ac:dyDescent="0.2">
      <c r="A2979" t="s">
        <v>242</v>
      </c>
      <c r="B2979" t="s">
        <v>71</v>
      </c>
      <c r="C2979" t="s">
        <v>9</v>
      </c>
      <c r="D2979">
        <v>1404</v>
      </c>
      <c r="E2979">
        <v>2020</v>
      </c>
      <c r="F2979">
        <v>7</v>
      </c>
      <c r="G2979">
        <v>24500</v>
      </c>
      <c r="H2979" s="1">
        <v>1</v>
      </c>
      <c r="I2979">
        <v>14</v>
      </c>
      <c r="J2979">
        <f>IF($H2979=0,1,IF($I2979&lt;=1,2,0))</f>
        <v>0</v>
      </c>
      <c r="K2979">
        <v>0</v>
      </c>
      <c r="L2979">
        <f>IF(AND($J2979=0,$K2979=0),0,1)</f>
        <v>0</v>
      </c>
    </row>
    <row r="2980" spans="1:12" x14ac:dyDescent="0.2">
      <c r="A2980" t="s">
        <v>242</v>
      </c>
      <c r="B2980" t="s">
        <v>71</v>
      </c>
      <c r="C2980" t="s">
        <v>9</v>
      </c>
      <c r="D2980">
        <v>1404</v>
      </c>
      <c r="E2980">
        <v>2020</v>
      </c>
      <c r="F2980">
        <v>4</v>
      </c>
      <c r="G2980">
        <v>24497</v>
      </c>
      <c r="H2980" s="1">
        <v>1</v>
      </c>
      <c r="I2980">
        <v>13</v>
      </c>
      <c r="J2980">
        <f>IF($H2980=0,1,IF($I2980&lt;=1,2,0))</f>
        <v>0</v>
      </c>
      <c r="K2980">
        <v>0</v>
      </c>
      <c r="L2980">
        <f>IF(AND($J2980=0,$K2980=0),0,1)</f>
        <v>0</v>
      </c>
    </row>
    <row r="2981" spans="1:12" x14ac:dyDescent="0.2">
      <c r="A2981" t="s">
        <v>242</v>
      </c>
      <c r="B2981" t="s">
        <v>71</v>
      </c>
      <c r="C2981" t="s">
        <v>9</v>
      </c>
      <c r="D2981">
        <v>1404</v>
      </c>
      <c r="E2981">
        <v>2020</v>
      </c>
      <c r="F2981">
        <v>8</v>
      </c>
      <c r="G2981">
        <v>24501</v>
      </c>
      <c r="H2981" s="1">
        <v>1</v>
      </c>
      <c r="I2981">
        <v>13</v>
      </c>
      <c r="J2981">
        <f>IF($H2981=0,1,IF($I2981&lt;=1,2,0))</f>
        <v>0</v>
      </c>
      <c r="K2981">
        <v>0</v>
      </c>
      <c r="L2981">
        <f>IF(AND($J2981=0,$K2981=0),0,1)</f>
        <v>0</v>
      </c>
    </row>
    <row r="2982" spans="1:12" x14ac:dyDescent="0.2">
      <c r="A2982" t="s">
        <v>242</v>
      </c>
      <c r="B2982" t="s">
        <v>71</v>
      </c>
      <c r="C2982" t="s">
        <v>9</v>
      </c>
      <c r="D2982">
        <v>1404</v>
      </c>
      <c r="E2982">
        <v>2020</v>
      </c>
      <c r="F2982">
        <v>1</v>
      </c>
      <c r="G2982">
        <v>24494</v>
      </c>
      <c r="H2982" s="1">
        <v>1</v>
      </c>
      <c r="I2982">
        <v>12</v>
      </c>
      <c r="J2982">
        <f>IF($H2982=0,1,IF($I2982&lt;=1,2,0))</f>
        <v>0</v>
      </c>
      <c r="K2982">
        <v>0</v>
      </c>
      <c r="L2982">
        <f>IF(AND($J2982=0,$K2982=0),0,1)</f>
        <v>0</v>
      </c>
    </row>
    <row r="2983" spans="1:12" x14ac:dyDescent="0.2">
      <c r="A2983" t="s">
        <v>242</v>
      </c>
      <c r="B2983" t="s">
        <v>71</v>
      </c>
      <c r="C2983" t="s">
        <v>9</v>
      </c>
      <c r="D2983">
        <v>1404</v>
      </c>
      <c r="E2983">
        <v>2020</v>
      </c>
      <c r="F2983">
        <v>3</v>
      </c>
      <c r="G2983">
        <v>24496</v>
      </c>
      <c r="H2983" s="1">
        <v>1</v>
      </c>
      <c r="I2983">
        <v>12</v>
      </c>
      <c r="J2983">
        <f>IF($H2983=0,1,IF($I2983&lt;=1,2,0))</f>
        <v>0</v>
      </c>
      <c r="K2983">
        <v>0</v>
      </c>
      <c r="L2983">
        <f>IF(AND($J2983=0,$K2983=0),0,1)</f>
        <v>0</v>
      </c>
    </row>
    <row r="2984" spans="1:12" x14ac:dyDescent="0.2">
      <c r="A2984" t="s">
        <v>242</v>
      </c>
      <c r="B2984" t="s">
        <v>71</v>
      </c>
      <c r="C2984" t="s">
        <v>9</v>
      </c>
      <c r="D2984">
        <v>1404</v>
      </c>
      <c r="E2984">
        <v>2020</v>
      </c>
      <c r="F2984">
        <v>2</v>
      </c>
      <c r="G2984">
        <v>24495</v>
      </c>
      <c r="H2984" s="1">
        <v>1</v>
      </c>
      <c r="I2984">
        <v>8</v>
      </c>
      <c r="J2984">
        <f>IF($H2984=0,1,IF($I2984&lt;=1,2,0))</f>
        <v>0</v>
      </c>
      <c r="K2984">
        <v>0</v>
      </c>
      <c r="L2984">
        <f>IF(AND($J2984=0,$K2984=0),0,1)</f>
        <v>0</v>
      </c>
    </row>
    <row r="2985" spans="1:12" x14ac:dyDescent="0.2">
      <c r="A2985" t="s">
        <v>242</v>
      </c>
      <c r="B2985" t="s">
        <v>71</v>
      </c>
      <c r="C2985" t="s">
        <v>9</v>
      </c>
      <c r="D2985">
        <v>1404</v>
      </c>
      <c r="E2985">
        <v>2020</v>
      </c>
      <c r="F2985">
        <v>5</v>
      </c>
      <c r="G2985">
        <v>24498</v>
      </c>
      <c r="H2985" s="1">
        <v>1</v>
      </c>
      <c r="I2985">
        <v>6</v>
      </c>
      <c r="J2985">
        <f>IF($H2985=0,1,IF($I2985&lt;=1,2,0))</f>
        <v>0</v>
      </c>
      <c r="K2985">
        <v>0</v>
      </c>
      <c r="L2985">
        <f>IF(AND($J2985=0,$K2985=0),0,1)</f>
        <v>0</v>
      </c>
    </row>
    <row r="2986" spans="1:12" x14ac:dyDescent="0.2">
      <c r="A2986" t="s">
        <v>242</v>
      </c>
      <c r="B2986" t="s">
        <v>71</v>
      </c>
      <c r="C2986" t="s">
        <v>9</v>
      </c>
      <c r="D2986">
        <v>3102</v>
      </c>
      <c r="E2986">
        <v>2020</v>
      </c>
      <c r="F2986">
        <v>1</v>
      </c>
      <c r="G2986">
        <v>24811</v>
      </c>
      <c r="H2986" s="1">
        <v>1</v>
      </c>
      <c r="I2986">
        <v>59</v>
      </c>
      <c r="J2986">
        <f>IF($H2986=0,1,IF($I2986&lt;=1,2,0))</f>
        <v>0</v>
      </c>
      <c r="K2986">
        <v>0</v>
      </c>
      <c r="L2986">
        <f>IF(AND($J2986=0,$K2986=0),0,1)</f>
        <v>0</v>
      </c>
    </row>
    <row r="2987" spans="1:12" x14ac:dyDescent="0.2">
      <c r="A2987" t="s">
        <v>242</v>
      </c>
      <c r="B2987" t="s">
        <v>71</v>
      </c>
      <c r="C2987" t="s">
        <v>9</v>
      </c>
      <c r="D2987">
        <v>3107</v>
      </c>
      <c r="E2987">
        <v>2020</v>
      </c>
      <c r="F2987">
        <v>1</v>
      </c>
      <c r="G2987">
        <v>15932</v>
      </c>
      <c r="H2987" s="1">
        <v>3</v>
      </c>
      <c r="I2987">
        <v>35</v>
      </c>
      <c r="J2987">
        <f>IF($H2987=0,1,IF($I2987&lt;=1,2,0))</f>
        <v>0</v>
      </c>
      <c r="K2987">
        <v>0</v>
      </c>
      <c r="L2987">
        <f>IF(AND($J2987=0,$K2987=0),0,1)</f>
        <v>0</v>
      </c>
    </row>
    <row r="2988" spans="1:12" x14ac:dyDescent="0.2">
      <c r="A2988" t="s">
        <v>242</v>
      </c>
      <c r="B2988" t="s">
        <v>71</v>
      </c>
      <c r="C2988" t="s">
        <v>9</v>
      </c>
      <c r="D2988">
        <v>3134</v>
      </c>
      <c r="E2988">
        <v>2020</v>
      </c>
      <c r="F2988">
        <v>1</v>
      </c>
      <c r="G2988">
        <v>10066</v>
      </c>
      <c r="H2988" s="1">
        <v>3</v>
      </c>
      <c r="I2988">
        <v>360</v>
      </c>
      <c r="J2988">
        <f>IF($H2988=0,1,IF($I2988&lt;=1,2,0))</f>
        <v>0</v>
      </c>
      <c r="K2988">
        <v>0</v>
      </c>
      <c r="L2988">
        <f>IF(AND($J2988=0,$K2988=0),0,1)</f>
        <v>0</v>
      </c>
    </row>
    <row r="2989" spans="1:12" x14ac:dyDescent="0.2">
      <c r="A2989" t="s">
        <v>242</v>
      </c>
      <c r="B2989" t="s">
        <v>71</v>
      </c>
      <c r="C2989" t="s">
        <v>9</v>
      </c>
      <c r="D2989">
        <v>3157</v>
      </c>
      <c r="E2989">
        <v>2020</v>
      </c>
      <c r="F2989">
        <v>1</v>
      </c>
      <c r="G2989">
        <v>10067</v>
      </c>
      <c r="H2989" s="1">
        <v>4</v>
      </c>
      <c r="I2989">
        <v>344</v>
      </c>
      <c r="J2989">
        <f>IF($H2989=0,1,IF($I2989&lt;=1,2,0))</f>
        <v>0</v>
      </c>
      <c r="K2989">
        <v>0</v>
      </c>
      <c r="L2989">
        <f>IF(AND($J2989=0,$K2989=0),0,1)</f>
        <v>0</v>
      </c>
    </row>
    <row r="2990" spans="1:12" x14ac:dyDescent="0.2">
      <c r="A2990" t="s">
        <v>242</v>
      </c>
      <c r="B2990" t="s">
        <v>71</v>
      </c>
      <c r="C2990" t="s">
        <v>9</v>
      </c>
      <c r="D2990">
        <v>3203</v>
      </c>
      <c r="E2990">
        <v>2020</v>
      </c>
      <c r="F2990">
        <v>1</v>
      </c>
      <c r="G2990">
        <v>11672</v>
      </c>
      <c r="H2990" s="1">
        <v>4</v>
      </c>
      <c r="I2990">
        <v>157</v>
      </c>
      <c r="J2990">
        <f>IF($H2990=0,1,IF($I2990&lt;=1,2,0))</f>
        <v>0</v>
      </c>
      <c r="K2990">
        <v>0</v>
      </c>
      <c r="L2990">
        <f>IF(AND($J2990=0,$K2990=0),0,1)</f>
        <v>0</v>
      </c>
    </row>
    <row r="2991" spans="1:12" x14ac:dyDescent="0.2">
      <c r="A2991" t="s">
        <v>242</v>
      </c>
      <c r="B2991" t="s">
        <v>71</v>
      </c>
      <c r="C2991" t="s">
        <v>9</v>
      </c>
      <c r="D2991">
        <v>3203</v>
      </c>
      <c r="E2991">
        <v>2020</v>
      </c>
      <c r="F2991">
        <v>2</v>
      </c>
      <c r="G2991">
        <v>11673</v>
      </c>
      <c r="H2991" s="1">
        <v>4</v>
      </c>
      <c r="I2991">
        <v>147</v>
      </c>
      <c r="J2991">
        <f>IF($H2991=0,1,IF($I2991&lt;=1,2,0))</f>
        <v>0</v>
      </c>
      <c r="K2991">
        <v>0</v>
      </c>
      <c r="L2991">
        <f>IF(AND($J2991=0,$K2991=0),0,1)</f>
        <v>0</v>
      </c>
    </row>
    <row r="2992" spans="1:12" x14ac:dyDescent="0.2">
      <c r="A2992" t="s">
        <v>242</v>
      </c>
      <c r="B2992" t="s">
        <v>71</v>
      </c>
      <c r="C2992" t="s">
        <v>9</v>
      </c>
      <c r="D2992">
        <v>3261</v>
      </c>
      <c r="E2992">
        <v>2020</v>
      </c>
      <c r="F2992">
        <v>2</v>
      </c>
      <c r="G2992">
        <v>11667</v>
      </c>
      <c r="H2992" s="1">
        <v>3</v>
      </c>
      <c r="I2992">
        <v>156</v>
      </c>
      <c r="J2992">
        <f>IF($H2992=0,1,IF($I2992&lt;=1,2,0))</f>
        <v>0</v>
      </c>
      <c r="K2992">
        <v>0</v>
      </c>
      <c r="L2992">
        <f>IF(AND($J2992=0,$K2992=0),0,1)</f>
        <v>0</v>
      </c>
    </row>
    <row r="2993" spans="1:13" x14ac:dyDescent="0.2">
      <c r="A2993" t="s">
        <v>242</v>
      </c>
      <c r="B2993" t="s">
        <v>71</v>
      </c>
      <c r="C2993" t="s">
        <v>9</v>
      </c>
      <c r="D2993">
        <v>3261</v>
      </c>
      <c r="E2993">
        <v>2020</v>
      </c>
      <c r="F2993">
        <v>1</v>
      </c>
      <c r="G2993">
        <v>11666</v>
      </c>
      <c r="H2993" s="1">
        <v>3</v>
      </c>
      <c r="I2993">
        <v>137</v>
      </c>
      <c r="J2993">
        <f>IF($H2993=0,1,IF($I2993&lt;=1,2,0))</f>
        <v>0</v>
      </c>
      <c r="K2993">
        <v>0</v>
      </c>
      <c r="L2993">
        <f>IF(AND($J2993=0,$K2993=0),0,1)</f>
        <v>0</v>
      </c>
    </row>
    <row r="2994" spans="1:13" x14ac:dyDescent="0.2">
      <c r="A2994" t="s">
        <v>242</v>
      </c>
      <c r="B2994" t="s">
        <v>71</v>
      </c>
      <c r="C2994" t="s">
        <v>9</v>
      </c>
      <c r="D2994">
        <v>3410</v>
      </c>
      <c r="E2994">
        <v>2020</v>
      </c>
      <c r="F2994">
        <v>1</v>
      </c>
      <c r="G2994">
        <v>11022</v>
      </c>
      <c r="H2994" s="1">
        <v>3</v>
      </c>
      <c r="I2994">
        <v>44</v>
      </c>
      <c r="J2994">
        <f>IF($H2994=0,1,IF($I2994&lt;=1,2,0))</f>
        <v>0</v>
      </c>
      <c r="K2994">
        <v>0</v>
      </c>
      <c r="L2994">
        <f>IF(AND($J2994=0,$K2994=0),0,1)</f>
        <v>0</v>
      </c>
    </row>
    <row r="2995" spans="1:13" x14ac:dyDescent="0.2">
      <c r="A2995" t="s">
        <v>242</v>
      </c>
      <c r="B2995" t="s">
        <v>71</v>
      </c>
      <c r="C2995" t="s">
        <v>9</v>
      </c>
      <c r="D2995">
        <v>4111</v>
      </c>
      <c r="E2995">
        <v>2020</v>
      </c>
      <c r="F2995">
        <v>2</v>
      </c>
      <c r="G2995">
        <v>10873</v>
      </c>
      <c r="H2995" s="1">
        <v>3</v>
      </c>
      <c r="I2995">
        <v>217</v>
      </c>
      <c r="J2995">
        <f>IF($H2995=0,1,IF($I2995&lt;=1,2,0))</f>
        <v>0</v>
      </c>
      <c r="K2995">
        <v>0</v>
      </c>
      <c r="L2995">
        <f>IF(AND($J2995=0,$K2995=0),0,1)</f>
        <v>0</v>
      </c>
    </row>
    <row r="2996" spans="1:13" x14ac:dyDescent="0.2">
      <c r="A2996" t="s">
        <v>242</v>
      </c>
      <c r="B2996" t="s">
        <v>71</v>
      </c>
      <c r="C2996" t="s">
        <v>9</v>
      </c>
      <c r="D2996">
        <v>4111</v>
      </c>
      <c r="E2996">
        <v>2020</v>
      </c>
      <c r="F2996">
        <v>1</v>
      </c>
      <c r="G2996">
        <v>10069</v>
      </c>
      <c r="H2996" s="1">
        <v>3</v>
      </c>
      <c r="I2996">
        <v>162</v>
      </c>
      <c r="J2996">
        <f>IF($H2996=0,1,IF($I2996&lt;=1,2,0))</f>
        <v>0</v>
      </c>
      <c r="K2996">
        <v>0</v>
      </c>
      <c r="L2996">
        <f>IF(AND($J2996=0,$K2996=0),0,1)</f>
        <v>0</v>
      </c>
    </row>
    <row r="2997" spans="1:13" x14ac:dyDescent="0.2">
      <c r="A2997" t="s">
        <v>242</v>
      </c>
      <c r="B2997" t="s">
        <v>71</v>
      </c>
      <c r="C2997" t="s">
        <v>9</v>
      </c>
      <c r="D2997">
        <v>4111</v>
      </c>
      <c r="E2997">
        <v>2020</v>
      </c>
      <c r="F2997">
        <v>3</v>
      </c>
      <c r="G2997">
        <v>10874</v>
      </c>
      <c r="H2997" s="1">
        <v>3</v>
      </c>
      <c r="I2997">
        <v>42</v>
      </c>
      <c r="J2997">
        <f>IF($H2997=0,1,IF($I2997&lt;=1,2,0))</f>
        <v>0</v>
      </c>
      <c r="K2997">
        <v>0</v>
      </c>
      <c r="L2997">
        <f>IF(AND($J2997=0,$K2997=0),0,1)</f>
        <v>0</v>
      </c>
    </row>
    <row r="2998" spans="1:13" x14ac:dyDescent="0.2">
      <c r="A2998" t="s">
        <v>242</v>
      </c>
      <c r="B2998" t="s">
        <v>71</v>
      </c>
      <c r="C2998" t="s">
        <v>9</v>
      </c>
      <c r="D2998">
        <v>4111</v>
      </c>
      <c r="E2998">
        <v>2020</v>
      </c>
      <c r="F2998" t="s">
        <v>945</v>
      </c>
      <c r="G2998">
        <v>21543</v>
      </c>
      <c r="H2998" s="1">
        <v>3</v>
      </c>
      <c r="I2998">
        <v>16</v>
      </c>
      <c r="J2998">
        <f>IF($H2998=0,1,IF($I2998&lt;=1,2,0))</f>
        <v>0</v>
      </c>
      <c r="K2998">
        <v>0</v>
      </c>
      <c r="L2998">
        <f>IF(AND($J2998=0,$K2998=0),0,1)</f>
        <v>0</v>
      </c>
      <c r="M2998" t="s">
        <v>85</v>
      </c>
    </row>
    <row r="2999" spans="1:13" x14ac:dyDescent="0.2">
      <c r="A2999" t="s">
        <v>242</v>
      </c>
      <c r="B2999" t="s">
        <v>71</v>
      </c>
      <c r="C2999" t="s">
        <v>9</v>
      </c>
      <c r="D2999">
        <v>4113</v>
      </c>
      <c r="E2999">
        <v>2020</v>
      </c>
      <c r="F2999">
        <v>1</v>
      </c>
      <c r="G2999">
        <v>11671</v>
      </c>
      <c r="H2999" s="1">
        <v>3</v>
      </c>
      <c r="I2999">
        <v>169</v>
      </c>
      <c r="J2999">
        <f>IF($H2999=0,1,IF($I2999&lt;=1,2,0))</f>
        <v>0</v>
      </c>
      <c r="K2999">
        <v>0</v>
      </c>
      <c r="L2999">
        <f>IF(AND($J2999=0,$K2999=0),0,1)</f>
        <v>0</v>
      </c>
    </row>
    <row r="3000" spans="1:13" x14ac:dyDescent="0.2">
      <c r="A3000" t="s">
        <v>242</v>
      </c>
      <c r="B3000" t="s">
        <v>71</v>
      </c>
      <c r="C3000" t="s">
        <v>9</v>
      </c>
      <c r="D3000">
        <v>4113</v>
      </c>
      <c r="E3000">
        <v>2020</v>
      </c>
      <c r="F3000" t="s">
        <v>84</v>
      </c>
      <c r="G3000">
        <v>21545</v>
      </c>
      <c r="H3000" s="1">
        <v>3</v>
      </c>
      <c r="I3000">
        <v>15</v>
      </c>
      <c r="J3000">
        <f>IF($H3000=0,1,IF($I3000&lt;=1,2,0))</f>
        <v>0</v>
      </c>
      <c r="K3000">
        <v>0</v>
      </c>
      <c r="L3000">
        <f>IF(AND($J3000=0,$K3000=0),0,1)</f>
        <v>0</v>
      </c>
      <c r="M3000" t="s">
        <v>85</v>
      </c>
    </row>
    <row r="3001" spans="1:13" x14ac:dyDescent="0.2">
      <c r="A3001" t="s">
        <v>242</v>
      </c>
      <c r="B3001" t="s">
        <v>71</v>
      </c>
      <c r="C3001" t="s">
        <v>9</v>
      </c>
      <c r="D3001">
        <v>4115</v>
      </c>
      <c r="E3001">
        <v>2020</v>
      </c>
      <c r="F3001">
        <v>1</v>
      </c>
      <c r="G3001">
        <v>10070</v>
      </c>
      <c r="H3001" s="1">
        <v>3</v>
      </c>
      <c r="I3001">
        <v>111</v>
      </c>
      <c r="J3001">
        <f>IF($H3001=0,1,IF($I3001&lt;=1,2,0))</f>
        <v>0</v>
      </c>
      <c r="K3001">
        <v>0</v>
      </c>
      <c r="L3001">
        <f>IF(AND($J3001=0,$K3001=0),0,1)</f>
        <v>0</v>
      </c>
    </row>
    <row r="3002" spans="1:13" x14ac:dyDescent="0.2">
      <c r="A3002" t="s">
        <v>242</v>
      </c>
      <c r="B3002" t="s">
        <v>71</v>
      </c>
      <c r="C3002" t="s">
        <v>9</v>
      </c>
      <c r="D3002">
        <v>4118</v>
      </c>
      <c r="E3002">
        <v>2020</v>
      </c>
      <c r="F3002">
        <v>1</v>
      </c>
      <c r="G3002">
        <v>10071</v>
      </c>
      <c r="H3002" s="1">
        <v>3</v>
      </c>
      <c r="I3002">
        <v>66</v>
      </c>
      <c r="J3002">
        <f>IF($H3002=0,1,IF($I3002&lt;=1,2,0))</f>
        <v>0</v>
      </c>
      <c r="K3002">
        <v>0</v>
      </c>
      <c r="L3002">
        <f>IF(AND($J3002=0,$K3002=0),0,1)</f>
        <v>0</v>
      </c>
    </row>
    <row r="3003" spans="1:13" x14ac:dyDescent="0.2">
      <c r="A3003" t="s">
        <v>242</v>
      </c>
      <c r="B3003" t="s">
        <v>71</v>
      </c>
      <c r="C3003" t="s">
        <v>9</v>
      </c>
      <c r="D3003">
        <v>4118</v>
      </c>
      <c r="E3003">
        <v>2020</v>
      </c>
      <c r="F3003" t="s">
        <v>84</v>
      </c>
      <c r="G3003">
        <v>21548</v>
      </c>
      <c r="H3003" s="1">
        <v>3</v>
      </c>
      <c r="I3003">
        <v>2</v>
      </c>
      <c r="J3003">
        <f>IF($H3003=0,1,IF($I3003&lt;=1,2,0))</f>
        <v>0</v>
      </c>
      <c r="K3003">
        <v>0</v>
      </c>
      <c r="L3003">
        <f>IF(AND($J3003=0,$K3003=0),0,1)</f>
        <v>0</v>
      </c>
      <c r="M3003" t="s">
        <v>85</v>
      </c>
    </row>
    <row r="3004" spans="1:13" x14ac:dyDescent="0.2">
      <c r="A3004" t="s">
        <v>242</v>
      </c>
      <c r="B3004" t="s">
        <v>71</v>
      </c>
      <c r="C3004" t="s">
        <v>9</v>
      </c>
      <c r="D3004">
        <v>4156</v>
      </c>
      <c r="E3004">
        <v>2020</v>
      </c>
      <c r="F3004">
        <v>1</v>
      </c>
      <c r="G3004">
        <v>10072</v>
      </c>
      <c r="H3004" s="1">
        <v>3</v>
      </c>
      <c r="I3004">
        <v>106</v>
      </c>
      <c r="J3004">
        <f>IF($H3004=0,1,IF($I3004&lt;=1,2,0))</f>
        <v>0</v>
      </c>
      <c r="K3004">
        <v>0</v>
      </c>
      <c r="L3004">
        <f>IF(AND($J3004=0,$K3004=0),0,1)</f>
        <v>0</v>
      </c>
    </row>
    <row r="3005" spans="1:13" x14ac:dyDescent="0.2">
      <c r="A3005" t="s">
        <v>242</v>
      </c>
      <c r="B3005" t="s">
        <v>71</v>
      </c>
      <c r="C3005" t="s">
        <v>9</v>
      </c>
      <c r="D3005">
        <v>4156</v>
      </c>
      <c r="E3005">
        <v>2020</v>
      </c>
      <c r="F3005" t="s">
        <v>84</v>
      </c>
      <c r="G3005">
        <v>21552</v>
      </c>
      <c r="H3005" s="1">
        <v>3</v>
      </c>
      <c r="I3005">
        <v>7</v>
      </c>
      <c r="J3005">
        <f>IF($H3005=0,1,IF($I3005&lt;=1,2,0))</f>
        <v>0</v>
      </c>
      <c r="K3005">
        <v>0</v>
      </c>
      <c r="L3005">
        <f>IF(AND($J3005=0,$K3005=0),0,1)</f>
        <v>0</v>
      </c>
      <c r="M3005" t="s">
        <v>85</v>
      </c>
    </row>
    <row r="3006" spans="1:13" x14ac:dyDescent="0.2">
      <c r="A3006" t="s">
        <v>242</v>
      </c>
      <c r="B3006" t="s">
        <v>71</v>
      </c>
      <c r="C3006" t="s">
        <v>9</v>
      </c>
      <c r="D3006">
        <v>4167</v>
      </c>
      <c r="E3006">
        <v>2020</v>
      </c>
      <c r="F3006">
        <v>1</v>
      </c>
      <c r="G3006">
        <v>11388</v>
      </c>
      <c r="H3006" s="1">
        <v>3</v>
      </c>
      <c r="I3006">
        <v>41</v>
      </c>
      <c r="J3006">
        <f>IF($H3006=0,1,IF($I3006&lt;=1,2,0))</f>
        <v>0</v>
      </c>
      <c r="K3006">
        <v>0</v>
      </c>
      <c r="L3006">
        <f>IF(AND($J3006=0,$K3006=0),0,1)</f>
        <v>0</v>
      </c>
    </row>
    <row r="3007" spans="1:13" x14ac:dyDescent="0.2">
      <c r="A3007" t="s">
        <v>242</v>
      </c>
      <c r="B3007" t="s">
        <v>71</v>
      </c>
      <c r="C3007" t="s">
        <v>9</v>
      </c>
      <c r="D3007">
        <v>4167</v>
      </c>
      <c r="E3007">
        <v>2020</v>
      </c>
      <c r="F3007" t="s">
        <v>84</v>
      </c>
      <c r="G3007">
        <v>22364</v>
      </c>
      <c r="H3007" s="1">
        <v>3</v>
      </c>
      <c r="I3007">
        <v>3</v>
      </c>
      <c r="J3007">
        <f>IF($H3007=0,1,IF($I3007&lt;=1,2,0))</f>
        <v>0</v>
      </c>
      <c r="K3007">
        <v>0</v>
      </c>
      <c r="L3007">
        <f>IF(AND($J3007=0,$K3007=0),0,1)</f>
        <v>0</v>
      </c>
      <c r="M3007" t="s">
        <v>85</v>
      </c>
    </row>
    <row r="3008" spans="1:13" x14ac:dyDescent="0.2">
      <c r="A3008" t="s">
        <v>242</v>
      </c>
      <c r="B3008" t="s">
        <v>71</v>
      </c>
      <c r="C3008" t="s">
        <v>9</v>
      </c>
      <c r="D3008">
        <v>4170</v>
      </c>
      <c r="E3008">
        <v>2020</v>
      </c>
      <c r="F3008">
        <v>1</v>
      </c>
      <c r="G3008">
        <v>10073</v>
      </c>
      <c r="H3008" s="1">
        <v>3</v>
      </c>
      <c r="I3008">
        <v>124</v>
      </c>
      <c r="J3008">
        <f>IF($H3008=0,1,IF($I3008&lt;=1,2,0))</f>
        <v>0</v>
      </c>
      <c r="K3008">
        <v>0</v>
      </c>
      <c r="L3008">
        <f>IF(AND($J3008=0,$K3008=0),0,1)</f>
        <v>0</v>
      </c>
    </row>
    <row r="3009" spans="1:13" x14ac:dyDescent="0.2">
      <c r="A3009" t="s">
        <v>242</v>
      </c>
      <c r="B3009" t="s">
        <v>71</v>
      </c>
      <c r="C3009" t="s">
        <v>9</v>
      </c>
      <c r="D3009">
        <v>4181</v>
      </c>
      <c r="E3009">
        <v>2020</v>
      </c>
      <c r="F3009">
        <v>1</v>
      </c>
      <c r="G3009">
        <v>10074</v>
      </c>
      <c r="H3009" s="1">
        <v>3</v>
      </c>
      <c r="I3009">
        <v>87</v>
      </c>
      <c r="J3009">
        <f>IF($H3009=0,1,IF($I3009&lt;=1,2,0))</f>
        <v>0</v>
      </c>
      <c r="K3009">
        <v>0</v>
      </c>
      <c r="L3009">
        <f>IF(AND($J3009=0,$K3009=0),0,1)</f>
        <v>0</v>
      </c>
    </row>
    <row r="3010" spans="1:13" x14ac:dyDescent="0.2">
      <c r="A3010" t="s">
        <v>242</v>
      </c>
      <c r="B3010" t="s">
        <v>71</v>
      </c>
      <c r="C3010" t="s">
        <v>9</v>
      </c>
      <c r="D3010">
        <v>4181</v>
      </c>
      <c r="E3010">
        <v>2020</v>
      </c>
      <c r="F3010" t="s">
        <v>84</v>
      </c>
      <c r="G3010">
        <v>21553</v>
      </c>
      <c r="H3010" s="1">
        <v>3</v>
      </c>
      <c r="I3010">
        <v>3</v>
      </c>
      <c r="J3010">
        <f>IF($H3010=0,1,IF($I3010&lt;=1,2,0))</f>
        <v>0</v>
      </c>
      <c r="K3010">
        <v>0</v>
      </c>
      <c r="L3010">
        <f>IF(AND($J3010=0,$K3010=0),0,1)</f>
        <v>0</v>
      </c>
      <c r="M3010" t="s">
        <v>85</v>
      </c>
    </row>
    <row r="3011" spans="1:13" x14ac:dyDescent="0.2">
      <c r="A3011" t="s">
        <v>242</v>
      </c>
      <c r="B3011" t="s">
        <v>71</v>
      </c>
      <c r="C3011" t="s">
        <v>9</v>
      </c>
      <c r="D3011">
        <v>4186</v>
      </c>
      <c r="E3011">
        <v>2020</v>
      </c>
      <c r="F3011">
        <v>1</v>
      </c>
      <c r="G3011">
        <v>22036</v>
      </c>
      <c r="H3011" s="1">
        <v>3</v>
      </c>
      <c r="I3011">
        <v>11</v>
      </c>
      <c r="J3011">
        <f>IF($H3011=0,1,IF($I3011&lt;=1,2,0))</f>
        <v>0</v>
      </c>
      <c r="K3011">
        <v>0</v>
      </c>
      <c r="L3011">
        <f>IF(AND($J3011=0,$K3011=0),0,1)</f>
        <v>0</v>
      </c>
    </row>
    <row r="3012" spans="1:13" x14ac:dyDescent="0.2">
      <c r="A3012" t="s">
        <v>242</v>
      </c>
      <c r="B3012" t="s">
        <v>71</v>
      </c>
      <c r="C3012" t="s">
        <v>9</v>
      </c>
      <c r="D3012">
        <v>4236</v>
      </c>
      <c r="E3012">
        <v>2020</v>
      </c>
      <c r="F3012">
        <v>1</v>
      </c>
      <c r="G3012">
        <v>11562</v>
      </c>
      <c r="H3012" s="1">
        <v>3</v>
      </c>
      <c r="I3012">
        <v>48</v>
      </c>
      <c r="J3012">
        <f>IF($H3012=0,1,IF($I3012&lt;=1,2,0))</f>
        <v>0</v>
      </c>
      <c r="K3012">
        <v>0</v>
      </c>
      <c r="L3012">
        <f>IF(AND($J3012=0,$K3012=0),0,1)</f>
        <v>0</v>
      </c>
    </row>
    <row r="3013" spans="1:13" x14ac:dyDescent="0.2">
      <c r="A3013" t="s">
        <v>242</v>
      </c>
      <c r="B3013" t="s">
        <v>71</v>
      </c>
      <c r="C3013" t="s">
        <v>9</v>
      </c>
      <c r="D3013">
        <v>4236</v>
      </c>
      <c r="E3013">
        <v>2020</v>
      </c>
      <c r="F3013" t="s">
        <v>84</v>
      </c>
      <c r="G3013">
        <v>21554</v>
      </c>
      <c r="H3013" s="1">
        <v>3</v>
      </c>
      <c r="I3013">
        <v>5</v>
      </c>
      <c r="J3013">
        <f>IF($H3013=0,1,IF($I3013&lt;=1,2,0))</f>
        <v>0</v>
      </c>
      <c r="K3013">
        <v>0</v>
      </c>
      <c r="L3013">
        <f>IF(AND($J3013=0,$K3013=0),0,1)</f>
        <v>0</v>
      </c>
      <c r="M3013" t="s">
        <v>85</v>
      </c>
    </row>
    <row r="3014" spans="1:13" x14ac:dyDescent="0.2">
      <c r="A3014" t="s">
        <v>242</v>
      </c>
      <c r="B3014" t="s">
        <v>71</v>
      </c>
      <c r="C3014" t="s">
        <v>9</v>
      </c>
      <c r="D3014">
        <v>4419</v>
      </c>
      <c r="E3014">
        <v>2020</v>
      </c>
      <c r="F3014">
        <v>1</v>
      </c>
      <c r="G3014">
        <v>10075</v>
      </c>
      <c r="H3014" s="1">
        <v>3</v>
      </c>
      <c r="I3014">
        <v>28</v>
      </c>
      <c r="J3014">
        <f>IF($H3014=0,1,IF($I3014&lt;=1,2,0))</f>
        <v>0</v>
      </c>
      <c r="K3014">
        <v>0</v>
      </c>
      <c r="L3014">
        <f>IF(AND($J3014=0,$K3014=0),0,1)</f>
        <v>0</v>
      </c>
    </row>
    <row r="3015" spans="1:13" x14ac:dyDescent="0.2">
      <c r="A3015" t="s">
        <v>242</v>
      </c>
      <c r="B3015" t="s">
        <v>71</v>
      </c>
      <c r="C3015" t="s">
        <v>9</v>
      </c>
      <c r="D3015">
        <v>4444</v>
      </c>
      <c r="E3015">
        <v>2020</v>
      </c>
      <c r="F3015">
        <v>1</v>
      </c>
      <c r="G3015">
        <v>10315</v>
      </c>
      <c r="H3015" s="1">
        <v>3</v>
      </c>
      <c r="I3015">
        <v>16</v>
      </c>
      <c r="J3015">
        <f>IF($H3015=0,1,IF($I3015&lt;=1,2,0))</f>
        <v>0</v>
      </c>
      <c r="K3015">
        <v>0</v>
      </c>
      <c r="L3015">
        <f>IF(AND($J3015=0,$K3015=0),0,1)</f>
        <v>0</v>
      </c>
    </row>
    <row r="3016" spans="1:13" x14ac:dyDescent="0.2">
      <c r="A3016" t="s">
        <v>242</v>
      </c>
      <c r="B3016" t="s">
        <v>71</v>
      </c>
      <c r="C3016" t="s">
        <v>9</v>
      </c>
      <c r="D3016">
        <v>4701</v>
      </c>
      <c r="E3016">
        <v>2020</v>
      </c>
      <c r="F3016">
        <v>1</v>
      </c>
      <c r="G3016">
        <v>10076</v>
      </c>
      <c r="H3016" s="1">
        <v>3</v>
      </c>
      <c r="I3016">
        <v>150</v>
      </c>
      <c r="J3016">
        <f>IF($H3016=0,1,IF($I3016&lt;=1,2,0))</f>
        <v>0</v>
      </c>
      <c r="K3016">
        <v>0</v>
      </c>
      <c r="L3016">
        <f>IF(AND($J3016=0,$K3016=0),0,1)</f>
        <v>0</v>
      </c>
    </row>
    <row r="3017" spans="1:13" x14ac:dyDescent="0.2">
      <c r="A3017" t="s">
        <v>242</v>
      </c>
      <c r="B3017" t="s">
        <v>71</v>
      </c>
      <c r="C3017" t="s">
        <v>9</v>
      </c>
      <c r="D3017">
        <v>4701</v>
      </c>
      <c r="E3017">
        <v>2020</v>
      </c>
      <c r="F3017">
        <v>2</v>
      </c>
      <c r="G3017">
        <v>21411</v>
      </c>
      <c r="H3017" s="1">
        <v>3</v>
      </c>
      <c r="I3017">
        <v>106</v>
      </c>
      <c r="J3017">
        <f>IF($H3017=0,1,IF($I3017&lt;=1,2,0))</f>
        <v>0</v>
      </c>
      <c r="K3017">
        <v>0</v>
      </c>
      <c r="L3017">
        <f>IF(AND($J3017=0,$K3017=0),0,1)</f>
        <v>0</v>
      </c>
    </row>
    <row r="3018" spans="1:13" x14ac:dyDescent="0.2">
      <c r="A3018" t="s">
        <v>242</v>
      </c>
      <c r="B3018" t="s">
        <v>71</v>
      </c>
      <c r="C3018" t="s">
        <v>9</v>
      </c>
      <c r="D3018">
        <v>4701</v>
      </c>
      <c r="E3018">
        <v>2020</v>
      </c>
      <c r="F3018" t="s">
        <v>84</v>
      </c>
      <c r="G3018">
        <v>21555</v>
      </c>
      <c r="H3018" s="1">
        <v>3</v>
      </c>
      <c r="I3018">
        <v>16</v>
      </c>
      <c r="J3018">
        <f>IF($H3018=0,1,IF($I3018&lt;=1,2,0))</f>
        <v>0</v>
      </c>
      <c r="K3018">
        <v>0</v>
      </c>
      <c r="L3018">
        <f>IF(AND($J3018=0,$K3018=0),0,1)</f>
        <v>0</v>
      </c>
      <c r="M3018" t="s">
        <v>85</v>
      </c>
    </row>
    <row r="3019" spans="1:13" x14ac:dyDescent="0.2">
      <c r="A3019" t="s">
        <v>242</v>
      </c>
      <c r="B3019" t="s">
        <v>71</v>
      </c>
      <c r="C3019" t="s">
        <v>9</v>
      </c>
      <c r="D3019">
        <v>4705</v>
      </c>
      <c r="E3019">
        <v>2020</v>
      </c>
      <c r="F3019">
        <v>1</v>
      </c>
      <c r="G3019">
        <v>14312</v>
      </c>
      <c r="H3019" s="1">
        <v>3</v>
      </c>
      <c r="I3019">
        <v>197</v>
      </c>
      <c r="J3019">
        <f>IF($H3019=0,1,IF($I3019&lt;=1,2,0))</f>
        <v>0</v>
      </c>
      <c r="K3019">
        <v>0</v>
      </c>
      <c r="L3019">
        <f>IF(AND($J3019=0,$K3019=0),0,1)</f>
        <v>0</v>
      </c>
    </row>
    <row r="3020" spans="1:13" x14ac:dyDescent="0.2">
      <c r="A3020" t="s">
        <v>242</v>
      </c>
      <c r="B3020" t="s">
        <v>71</v>
      </c>
      <c r="C3020" t="s">
        <v>9</v>
      </c>
      <c r="D3020">
        <v>4705</v>
      </c>
      <c r="E3020">
        <v>2020</v>
      </c>
      <c r="F3020">
        <v>2</v>
      </c>
      <c r="G3020">
        <v>22057</v>
      </c>
      <c r="H3020" s="1">
        <v>3</v>
      </c>
      <c r="I3020">
        <v>100</v>
      </c>
      <c r="J3020">
        <f>IF($H3020=0,1,IF($I3020&lt;=1,2,0))</f>
        <v>0</v>
      </c>
      <c r="K3020">
        <v>0</v>
      </c>
      <c r="L3020">
        <f>IF(AND($J3020=0,$K3020=0),0,1)</f>
        <v>0</v>
      </c>
    </row>
    <row r="3021" spans="1:13" x14ac:dyDescent="0.2">
      <c r="A3021" t="s">
        <v>242</v>
      </c>
      <c r="B3021" t="s">
        <v>71</v>
      </c>
      <c r="C3021" t="s">
        <v>9</v>
      </c>
      <c r="D3021">
        <v>4705</v>
      </c>
      <c r="E3021">
        <v>2020</v>
      </c>
      <c r="F3021" t="s">
        <v>250</v>
      </c>
      <c r="G3021">
        <v>24741</v>
      </c>
      <c r="H3021" s="1">
        <v>3</v>
      </c>
      <c r="I3021">
        <v>4</v>
      </c>
      <c r="J3021">
        <f>IF($H3021=0,1,IF($I3021&lt;=1,2,0))</f>
        <v>0</v>
      </c>
      <c r="K3021">
        <v>0</v>
      </c>
      <c r="L3021">
        <f>IF(AND($J3021=0,$K3021=0),0,1)</f>
        <v>0</v>
      </c>
      <c r="M3021" t="s">
        <v>85</v>
      </c>
    </row>
    <row r="3022" spans="1:13" x14ac:dyDescent="0.2">
      <c r="A3022" t="s">
        <v>242</v>
      </c>
      <c r="B3022" t="s">
        <v>71</v>
      </c>
      <c r="C3022" t="s">
        <v>9</v>
      </c>
      <c r="D3022">
        <v>4733</v>
      </c>
      <c r="E3022">
        <v>2020</v>
      </c>
      <c r="F3022">
        <v>1</v>
      </c>
      <c r="G3022">
        <v>10077</v>
      </c>
      <c r="H3022" s="1">
        <v>3</v>
      </c>
      <c r="I3022">
        <v>74</v>
      </c>
      <c r="J3022">
        <f>IF($H3022=0,1,IF($I3022&lt;=1,2,0))</f>
        <v>0</v>
      </c>
      <c r="K3022">
        <v>0</v>
      </c>
      <c r="L3022">
        <f>IF(AND($J3022=0,$K3022=0),0,1)</f>
        <v>0</v>
      </c>
    </row>
    <row r="3023" spans="1:13" x14ac:dyDescent="0.2">
      <c r="A3023" t="s">
        <v>242</v>
      </c>
      <c r="B3023" t="s">
        <v>71</v>
      </c>
      <c r="C3023" t="s">
        <v>9</v>
      </c>
      <c r="D3023">
        <v>4771</v>
      </c>
      <c r="E3023">
        <v>2020</v>
      </c>
      <c r="F3023">
        <v>2</v>
      </c>
      <c r="G3023">
        <v>10079</v>
      </c>
      <c r="H3023" s="1">
        <v>3</v>
      </c>
      <c r="I3023">
        <v>78</v>
      </c>
      <c r="J3023">
        <f>IF($H3023=0,1,IF($I3023&lt;=1,2,0))</f>
        <v>0</v>
      </c>
      <c r="K3023">
        <v>0</v>
      </c>
      <c r="L3023">
        <f>IF(AND($J3023=0,$K3023=0),0,1)</f>
        <v>0</v>
      </c>
    </row>
    <row r="3024" spans="1:13" x14ac:dyDescent="0.2">
      <c r="A3024" t="s">
        <v>242</v>
      </c>
      <c r="B3024" t="s">
        <v>71</v>
      </c>
      <c r="C3024" t="s">
        <v>9</v>
      </c>
      <c r="D3024">
        <v>4771</v>
      </c>
      <c r="E3024">
        <v>2020</v>
      </c>
      <c r="F3024">
        <v>1</v>
      </c>
      <c r="G3024">
        <v>10078</v>
      </c>
      <c r="H3024" s="1">
        <v>3</v>
      </c>
      <c r="I3024">
        <v>72</v>
      </c>
      <c r="J3024">
        <f>IF($H3024=0,1,IF($I3024&lt;=1,2,0))</f>
        <v>0</v>
      </c>
      <c r="K3024">
        <v>0</v>
      </c>
      <c r="L3024">
        <f>IF(AND($J3024=0,$K3024=0),0,1)</f>
        <v>0</v>
      </c>
    </row>
    <row r="3025" spans="1:13" x14ac:dyDescent="0.2">
      <c r="A3025" t="s">
        <v>242</v>
      </c>
      <c r="B3025" t="s">
        <v>71</v>
      </c>
      <c r="C3025" t="s">
        <v>9</v>
      </c>
      <c r="D3025">
        <v>4771</v>
      </c>
      <c r="E3025">
        <v>2020</v>
      </c>
      <c r="F3025" t="s">
        <v>84</v>
      </c>
      <c r="G3025">
        <v>21924</v>
      </c>
      <c r="H3025" s="1">
        <v>3</v>
      </c>
      <c r="I3025">
        <v>7</v>
      </c>
      <c r="J3025">
        <f>IF($H3025=0,1,IF($I3025&lt;=1,2,0))</f>
        <v>0</v>
      </c>
      <c r="K3025">
        <v>0</v>
      </c>
      <c r="L3025">
        <f>IF(AND($J3025=0,$K3025=0),0,1)</f>
        <v>0</v>
      </c>
      <c r="M3025" t="s">
        <v>85</v>
      </c>
    </row>
    <row r="3026" spans="1:13" x14ac:dyDescent="0.2">
      <c r="A3026" t="s">
        <v>242</v>
      </c>
      <c r="B3026" t="s">
        <v>71</v>
      </c>
      <c r="C3026" t="s">
        <v>9</v>
      </c>
      <c r="D3026">
        <v>4774</v>
      </c>
      <c r="E3026">
        <v>2020</v>
      </c>
      <c r="F3026">
        <v>1</v>
      </c>
      <c r="G3026">
        <v>21884</v>
      </c>
      <c r="H3026" s="1">
        <v>3</v>
      </c>
      <c r="I3026">
        <v>12</v>
      </c>
      <c r="J3026">
        <f>IF($H3026=0,1,IF($I3026&lt;=1,2,0))</f>
        <v>0</v>
      </c>
      <c r="K3026">
        <v>0</v>
      </c>
      <c r="L3026">
        <f>IF(AND($J3026=0,$K3026=0),0,1)</f>
        <v>0</v>
      </c>
    </row>
    <row r="3027" spans="1:13" x14ac:dyDescent="0.2">
      <c r="A3027" t="s">
        <v>242</v>
      </c>
      <c r="B3027" t="s">
        <v>71</v>
      </c>
      <c r="C3027" t="s">
        <v>9</v>
      </c>
      <c r="D3027">
        <v>4775</v>
      </c>
      <c r="E3027">
        <v>2020</v>
      </c>
      <c r="F3027">
        <v>1</v>
      </c>
      <c r="G3027">
        <v>21899</v>
      </c>
      <c r="H3027" s="1">
        <v>3</v>
      </c>
      <c r="I3027">
        <v>27</v>
      </c>
      <c r="J3027">
        <f>IF($H3027=0,1,IF($I3027&lt;=1,2,0))</f>
        <v>0</v>
      </c>
      <c r="K3027">
        <v>0</v>
      </c>
      <c r="L3027">
        <f>IF(AND($J3027=0,$K3027=0),0,1)</f>
        <v>0</v>
      </c>
    </row>
    <row r="3028" spans="1:13" x14ac:dyDescent="0.2">
      <c r="A3028" t="s">
        <v>242</v>
      </c>
      <c r="B3028" t="s">
        <v>71</v>
      </c>
      <c r="C3028" t="s">
        <v>9</v>
      </c>
      <c r="D3028">
        <v>4995</v>
      </c>
      <c r="E3028">
        <v>2020</v>
      </c>
      <c r="F3028">
        <v>9</v>
      </c>
      <c r="G3028">
        <v>21413</v>
      </c>
      <c r="H3028" s="1">
        <v>3</v>
      </c>
      <c r="I3028">
        <v>177</v>
      </c>
      <c r="J3028">
        <f>IF($H3028=0,1,IF($I3028&lt;=1,2,0))</f>
        <v>0</v>
      </c>
      <c r="K3028">
        <v>0</v>
      </c>
      <c r="L3028">
        <f>IF(AND($J3028=0,$K3028=0),0,1)</f>
        <v>0</v>
      </c>
    </row>
    <row r="3029" spans="1:13" x14ac:dyDescent="0.2">
      <c r="A3029" t="s">
        <v>242</v>
      </c>
      <c r="B3029" t="s">
        <v>71</v>
      </c>
      <c r="C3029" t="s">
        <v>9</v>
      </c>
      <c r="D3029">
        <v>4995</v>
      </c>
      <c r="E3029">
        <v>2020</v>
      </c>
      <c r="F3029">
        <v>8</v>
      </c>
      <c r="G3029">
        <v>21412</v>
      </c>
      <c r="H3029" s="1">
        <v>3</v>
      </c>
      <c r="I3029">
        <v>67</v>
      </c>
      <c r="J3029">
        <f>IF($H3029=0,1,IF($I3029&lt;=1,2,0))</f>
        <v>0</v>
      </c>
      <c r="K3029">
        <v>0</v>
      </c>
      <c r="L3029">
        <f>IF(AND($J3029=0,$K3029=0),0,1)</f>
        <v>0</v>
      </c>
    </row>
    <row r="3030" spans="1:13" x14ac:dyDescent="0.2">
      <c r="A3030" t="s">
        <v>242</v>
      </c>
      <c r="B3030" t="s">
        <v>71</v>
      </c>
      <c r="C3030" t="s">
        <v>9</v>
      </c>
      <c r="D3030">
        <v>4995</v>
      </c>
      <c r="E3030">
        <v>2020</v>
      </c>
      <c r="F3030">
        <v>4</v>
      </c>
      <c r="G3030">
        <v>10850</v>
      </c>
      <c r="H3030" s="1">
        <v>3</v>
      </c>
      <c r="I3030">
        <v>58</v>
      </c>
      <c r="J3030">
        <f>IF($H3030=0,1,IF($I3030&lt;=1,2,0))</f>
        <v>0</v>
      </c>
      <c r="K3030">
        <v>0</v>
      </c>
      <c r="L3030">
        <f>IF(AND($J3030=0,$K3030=0),0,1)</f>
        <v>0</v>
      </c>
    </row>
    <row r="3031" spans="1:13" x14ac:dyDescent="0.2">
      <c r="A3031" t="s">
        <v>242</v>
      </c>
      <c r="B3031" t="s">
        <v>71</v>
      </c>
      <c r="C3031" t="s">
        <v>9</v>
      </c>
      <c r="D3031">
        <v>4995</v>
      </c>
      <c r="E3031">
        <v>2020</v>
      </c>
      <c r="F3031">
        <v>10</v>
      </c>
      <c r="G3031">
        <v>22251</v>
      </c>
      <c r="H3031" s="1">
        <v>3</v>
      </c>
      <c r="I3031">
        <v>53</v>
      </c>
      <c r="J3031">
        <f>IF($H3031=0,1,IF($I3031&lt;=1,2,0))</f>
        <v>0</v>
      </c>
      <c r="K3031">
        <v>0</v>
      </c>
      <c r="L3031">
        <f>IF(AND($J3031=0,$K3031=0),0,1)</f>
        <v>0</v>
      </c>
    </row>
    <row r="3032" spans="1:13" x14ac:dyDescent="0.2">
      <c r="A3032" t="s">
        <v>242</v>
      </c>
      <c r="B3032" t="s">
        <v>71</v>
      </c>
      <c r="C3032" t="s">
        <v>9</v>
      </c>
      <c r="D3032">
        <v>4995</v>
      </c>
      <c r="E3032">
        <v>2020</v>
      </c>
      <c r="F3032">
        <v>3</v>
      </c>
      <c r="G3032">
        <v>10082</v>
      </c>
      <c r="H3032" s="1">
        <v>3</v>
      </c>
      <c r="I3032">
        <v>39</v>
      </c>
      <c r="J3032">
        <f>IF($H3032=0,1,IF($I3032&lt;=1,2,0))</f>
        <v>0</v>
      </c>
      <c r="K3032">
        <v>0</v>
      </c>
      <c r="L3032">
        <f>IF(AND($J3032=0,$K3032=0),0,1)</f>
        <v>0</v>
      </c>
    </row>
    <row r="3033" spans="1:13" x14ac:dyDescent="0.2">
      <c r="A3033" t="s">
        <v>242</v>
      </c>
      <c r="B3033" t="s">
        <v>71</v>
      </c>
      <c r="C3033" t="s">
        <v>9</v>
      </c>
      <c r="D3033">
        <v>4995</v>
      </c>
      <c r="E3033">
        <v>2020</v>
      </c>
      <c r="F3033">
        <v>1</v>
      </c>
      <c r="G3033">
        <v>10081</v>
      </c>
      <c r="H3033" s="1">
        <v>3</v>
      </c>
      <c r="I3033">
        <v>23</v>
      </c>
      <c r="J3033">
        <f>IF($H3033=0,1,IF($I3033&lt;=1,2,0))</f>
        <v>0</v>
      </c>
      <c r="K3033">
        <v>0</v>
      </c>
      <c r="L3033">
        <f>IF(AND($J3033=0,$K3033=0),0,1)</f>
        <v>0</v>
      </c>
    </row>
    <row r="3034" spans="1:13" x14ac:dyDescent="0.2">
      <c r="A3034" t="s">
        <v>242</v>
      </c>
      <c r="B3034" t="s">
        <v>71</v>
      </c>
      <c r="C3034" t="s">
        <v>9</v>
      </c>
      <c r="D3034">
        <v>4995</v>
      </c>
      <c r="E3034">
        <v>2020</v>
      </c>
      <c r="F3034">
        <v>6</v>
      </c>
      <c r="G3034">
        <v>14067</v>
      </c>
      <c r="H3034" s="1">
        <v>3</v>
      </c>
      <c r="I3034">
        <v>20</v>
      </c>
      <c r="J3034">
        <f>IF($H3034=0,1,IF($I3034&lt;=1,2,0))</f>
        <v>0</v>
      </c>
      <c r="K3034">
        <v>0</v>
      </c>
      <c r="L3034">
        <f>IF(AND($J3034=0,$K3034=0),0,1)</f>
        <v>0</v>
      </c>
    </row>
    <row r="3035" spans="1:13" x14ac:dyDescent="0.2">
      <c r="A3035" t="s">
        <v>242</v>
      </c>
      <c r="B3035" t="s">
        <v>71</v>
      </c>
      <c r="C3035" t="s">
        <v>9</v>
      </c>
      <c r="D3035">
        <v>4995</v>
      </c>
      <c r="E3035">
        <v>2020</v>
      </c>
      <c r="F3035" t="s">
        <v>948</v>
      </c>
      <c r="G3035">
        <v>21959</v>
      </c>
      <c r="H3035" s="1">
        <v>3</v>
      </c>
      <c r="I3035">
        <v>15</v>
      </c>
      <c r="J3035">
        <f>IF($H3035=0,1,IF($I3035&lt;=1,2,0))</f>
        <v>0</v>
      </c>
      <c r="K3035">
        <v>0</v>
      </c>
      <c r="L3035">
        <f>IF(AND($J3035=0,$K3035=0),0,1)</f>
        <v>0</v>
      </c>
      <c r="M3035" t="s">
        <v>85</v>
      </c>
    </row>
    <row r="3036" spans="1:13" x14ac:dyDescent="0.2">
      <c r="A3036" t="s">
        <v>242</v>
      </c>
      <c r="B3036" t="s">
        <v>71</v>
      </c>
      <c r="C3036" t="s">
        <v>72</v>
      </c>
      <c r="D3036">
        <v>6113</v>
      </c>
      <c r="E3036">
        <v>2020</v>
      </c>
      <c r="F3036">
        <v>1</v>
      </c>
      <c r="G3036">
        <v>10884</v>
      </c>
      <c r="H3036" s="1">
        <v>3</v>
      </c>
      <c r="I3036">
        <v>13</v>
      </c>
      <c r="J3036">
        <f>IF($H3036=0,1,IF($I3036&lt;=1,2,0))</f>
        <v>0</v>
      </c>
      <c r="K3036">
        <v>0</v>
      </c>
      <c r="L3036">
        <f>IF(AND($J3036=0,$K3036=0),0,1)</f>
        <v>0</v>
      </c>
    </row>
    <row r="3037" spans="1:13" x14ac:dyDescent="0.2">
      <c r="A3037" t="s">
        <v>242</v>
      </c>
      <c r="B3037" t="s">
        <v>71</v>
      </c>
      <c r="C3037" t="s">
        <v>72</v>
      </c>
      <c r="D3037">
        <v>6113</v>
      </c>
      <c r="E3037">
        <v>2020</v>
      </c>
      <c r="F3037" t="s">
        <v>84</v>
      </c>
      <c r="G3037">
        <v>21894</v>
      </c>
      <c r="H3037" s="1">
        <v>3</v>
      </c>
      <c r="I3037">
        <v>2</v>
      </c>
      <c r="J3037">
        <f>IF($H3037=0,1,IF($I3037&lt;=1,2,0))</f>
        <v>0</v>
      </c>
      <c r="K3037">
        <v>0</v>
      </c>
      <c r="L3037">
        <f>IF(AND($J3037=0,$K3037=0),0,1)</f>
        <v>0</v>
      </c>
      <c r="M3037" t="s">
        <v>85</v>
      </c>
    </row>
    <row r="3038" spans="1:13" x14ac:dyDescent="0.2">
      <c r="A3038" t="s">
        <v>242</v>
      </c>
      <c r="B3038" t="s">
        <v>71</v>
      </c>
      <c r="C3038" t="s">
        <v>72</v>
      </c>
      <c r="D3038">
        <v>6156</v>
      </c>
      <c r="E3038">
        <v>2020</v>
      </c>
      <c r="F3038">
        <v>1</v>
      </c>
      <c r="G3038">
        <v>11991</v>
      </c>
      <c r="H3038" s="1">
        <v>3</v>
      </c>
      <c r="I3038">
        <v>112</v>
      </c>
      <c r="J3038">
        <f>IF($H3038=0,1,IF($I3038&lt;=1,2,0))</f>
        <v>0</v>
      </c>
      <c r="K3038">
        <v>0</v>
      </c>
      <c r="L3038">
        <f>IF(AND($J3038=0,$K3038=0),0,1)</f>
        <v>0</v>
      </c>
    </row>
    <row r="3039" spans="1:13" x14ac:dyDescent="0.2">
      <c r="A3039" t="s">
        <v>242</v>
      </c>
      <c r="B3039" t="s">
        <v>71</v>
      </c>
      <c r="C3039" t="s">
        <v>72</v>
      </c>
      <c r="D3039">
        <v>6156</v>
      </c>
      <c r="E3039">
        <v>2020</v>
      </c>
      <c r="F3039" t="s">
        <v>84</v>
      </c>
      <c r="G3039">
        <v>21566</v>
      </c>
      <c r="H3039" s="1">
        <v>3</v>
      </c>
      <c r="I3039">
        <v>13</v>
      </c>
      <c r="J3039">
        <f>IF($H3039=0,1,IF($I3039&lt;=1,2,0))</f>
        <v>0</v>
      </c>
      <c r="K3039">
        <v>0</v>
      </c>
      <c r="L3039">
        <f>IF(AND($J3039=0,$K3039=0),0,1)</f>
        <v>0</v>
      </c>
      <c r="M3039" t="s">
        <v>85</v>
      </c>
    </row>
    <row r="3040" spans="1:13" x14ac:dyDescent="0.2">
      <c r="A3040" t="s">
        <v>242</v>
      </c>
      <c r="B3040" t="s">
        <v>71</v>
      </c>
      <c r="C3040" t="s">
        <v>72</v>
      </c>
      <c r="D3040">
        <v>6998</v>
      </c>
      <c r="E3040">
        <v>2020</v>
      </c>
      <c r="F3040">
        <v>9</v>
      </c>
      <c r="G3040">
        <v>15470</v>
      </c>
      <c r="H3040" s="1">
        <v>3</v>
      </c>
      <c r="I3040">
        <v>96</v>
      </c>
      <c r="J3040">
        <f>IF($H3040=0,1,IF($I3040&lt;=1,2,0))</f>
        <v>0</v>
      </c>
      <c r="K3040">
        <v>0</v>
      </c>
      <c r="L3040">
        <f>IF(AND($J3040=0,$K3040=0),0,1)</f>
        <v>0</v>
      </c>
    </row>
    <row r="3041" spans="1:13" x14ac:dyDescent="0.2">
      <c r="A3041" t="s">
        <v>242</v>
      </c>
      <c r="B3041" t="s">
        <v>71</v>
      </c>
      <c r="C3041" t="s">
        <v>72</v>
      </c>
      <c r="D3041">
        <v>6998</v>
      </c>
      <c r="E3041">
        <v>2020</v>
      </c>
      <c r="F3041">
        <v>8</v>
      </c>
      <c r="G3041">
        <v>11695</v>
      </c>
      <c r="H3041" s="1">
        <v>3</v>
      </c>
      <c r="I3041">
        <v>45</v>
      </c>
      <c r="J3041">
        <f>IF($H3041=0,1,IF($I3041&lt;=1,2,0))</f>
        <v>0</v>
      </c>
      <c r="K3041">
        <v>0</v>
      </c>
      <c r="L3041">
        <f>IF(AND($J3041=0,$K3041=0),0,1)</f>
        <v>0</v>
      </c>
    </row>
    <row r="3042" spans="1:13" x14ac:dyDescent="0.2">
      <c r="A3042" t="s">
        <v>242</v>
      </c>
      <c r="B3042" t="s">
        <v>71</v>
      </c>
      <c r="C3042" t="s">
        <v>72</v>
      </c>
      <c r="D3042">
        <v>6998</v>
      </c>
      <c r="E3042">
        <v>2020</v>
      </c>
      <c r="F3042">
        <v>1</v>
      </c>
      <c r="G3042">
        <v>10083</v>
      </c>
      <c r="H3042" s="1">
        <v>3</v>
      </c>
      <c r="I3042">
        <v>37</v>
      </c>
      <c r="J3042">
        <f>IF($H3042=0,1,IF($I3042&lt;=1,2,0))</f>
        <v>0</v>
      </c>
      <c r="K3042">
        <v>0</v>
      </c>
      <c r="L3042">
        <f>IF(AND($J3042=0,$K3042=0),0,1)</f>
        <v>0</v>
      </c>
    </row>
    <row r="3043" spans="1:13" x14ac:dyDescent="0.2">
      <c r="A3043" t="s">
        <v>242</v>
      </c>
      <c r="B3043" t="s">
        <v>71</v>
      </c>
      <c r="C3043" t="s">
        <v>72</v>
      </c>
      <c r="D3043">
        <v>6998</v>
      </c>
      <c r="E3043">
        <v>2020</v>
      </c>
      <c r="F3043">
        <v>10</v>
      </c>
      <c r="G3043">
        <v>15275</v>
      </c>
      <c r="H3043" s="1">
        <v>3</v>
      </c>
      <c r="I3043">
        <v>35</v>
      </c>
      <c r="J3043">
        <f>IF($H3043=0,1,IF($I3043&lt;=1,2,0))</f>
        <v>0</v>
      </c>
      <c r="K3043">
        <v>0</v>
      </c>
      <c r="L3043">
        <f>IF(AND($J3043=0,$K3043=0),0,1)</f>
        <v>0</v>
      </c>
    </row>
    <row r="3044" spans="1:13" x14ac:dyDescent="0.2">
      <c r="A3044" t="s">
        <v>242</v>
      </c>
      <c r="B3044" t="s">
        <v>71</v>
      </c>
      <c r="C3044" t="s">
        <v>72</v>
      </c>
      <c r="D3044">
        <v>6998</v>
      </c>
      <c r="E3044">
        <v>2020</v>
      </c>
      <c r="F3044">
        <v>4</v>
      </c>
      <c r="G3044">
        <v>10854</v>
      </c>
      <c r="H3044" s="1">
        <v>3</v>
      </c>
      <c r="I3044">
        <v>31</v>
      </c>
      <c r="J3044">
        <f>IF($H3044=0,1,IF($I3044&lt;=1,2,0))</f>
        <v>0</v>
      </c>
      <c r="K3044">
        <v>0</v>
      </c>
      <c r="L3044">
        <f>IF(AND($J3044=0,$K3044=0),0,1)</f>
        <v>0</v>
      </c>
    </row>
    <row r="3045" spans="1:13" x14ac:dyDescent="0.2">
      <c r="A3045" t="s">
        <v>242</v>
      </c>
      <c r="B3045" t="s">
        <v>71</v>
      </c>
      <c r="C3045" t="s">
        <v>72</v>
      </c>
      <c r="D3045">
        <v>6998</v>
      </c>
      <c r="E3045">
        <v>2020</v>
      </c>
      <c r="F3045">
        <v>12</v>
      </c>
      <c r="G3045">
        <v>15276</v>
      </c>
      <c r="H3045" s="1">
        <v>3</v>
      </c>
      <c r="I3045">
        <v>30</v>
      </c>
      <c r="J3045">
        <f>IF($H3045=0,1,IF($I3045&lt;=1,2,0))</f>
        <v>0</v>
      </c>
      <c r="K3045">
        <v>0</v>
      </c>
      <c r="L3045">
        <f>IF(AND($J3045=0,$K3045=0),0,1)</f>
        <v>0</v>
      </c>
    </row>
    <row r="3046" spans="1:13" x14ac:dyDescent="0.2">
      <c r="A3046" t="s">
        <v>242</v>
      </c>
      <c r="B3046" t="s">
        <v>71</v>
      </c>
      <c r="C3046" t="s">
        <v>72</v>
      </c>
      <c r="D3046">
        <v>6998</v>
      </c>
      <c r="E3046">
        <v>2020</v>
      </c>
      <c r="F3046">
        <v>3</v>
      </c>
      <c r="G3046">
        <v>10085</v>
      </c>
      <c r="H3046" s="1">
        <v>3</v>
      </c>
      <c r="I3046">
        <v>27</v>
      </c>
      <c r="J3046">
        <f>IF($H3046=0,1,IF($I3046&lt;=1,2,0))</f>
        <v>0</v>
      </c>
      <c r="K3046">
        <v>0</v>
      </c>
      <c r="L3046">
        <f>IF(AND($J3046=0,$K3046=0),0,1)</f>
        <v>0</v>
      </c>
    </row>
    <row r="3047" spans="1:13" x14ac:dyDescent="0.2">
      <c r="A3047" t="s">
        <v>242</v>
      </c>
      <c r="B3047" t="s">
        <v>71</v>
      </c>
      <c r="C3047" t="s">
        <v>72</v>
      </c>
      <c r="D3047">
        <v>6998</v>
      </c>
      <c r="E3047">
        <v>2020</v>
      </c>
      <c r="F3047">
        <v>6</v>
      </c>
      <c r="G3047">
        <v>11665</v>
      </c>
      <c r="H3047" s="1">
        <v>3</v>
      </c>
      <c r="I3047">
        <v>25</v>
      </c>
      <c r="J3047">
        <f>IF($H3047=0,1,IF($I3047&lt;=1,2,0))</f>
        <v>0</v>
      </c>
      <c r="K3047">
        <v>0</v>
      </c>
      <c r="L3047">
        <f>IF(AND($J3047=0,$K3047=0),0,1)</f>
        <v>0</v>
      </c>
    </row>
    <row r="3048" spans="1:13" x14ac:dyDescent="0.2">
      <c r="A3048" t="s">
        <v>242</v>
      </c>
      <c r="B3048" t="s">
        <v>71</v>
      </c>
      <c r="C3048" t="s">
        <v>72</v>
      </c>
      <c r="D3048">
        <v>6998</v>
      </c>
      <c r="E3048">
        <v>2020</v>
      </c>
      <c r="F3048">
        <v>7</v>
      </c>
      <c r="G3048">
        <v>12965</v>
      </c>
      <c r="H3048" s="1">
        <v>3</v>
      </c>
      <c r="I3048">
        <v>20</v>
      </c>
      <c r="J3048">
        <f>IF($H3048=0,1,IF($I3048&lt;=1,2,0))</f>
        <v>0</v>
      </c>
      <c r="K3048">
        <v>0</v>
      </c>
      <c r="L3048">
        <f>IF(AND($J3048=0,$K3048=0),0,1)</f>
        <v>0</v>
      </c>
    </row>
    <row r="3049" spans="1:13" x14ac:dyDescent="0.2">
      <c r="A3049" t="s">
        <v>242</v>
      </c>
      <c r="B3049" t="s">
        <v>71</v>
      </c>
      <c r="C3049" t="s">
        <v>72</v>
      </c>
      <c r="D3049">
        <v>6998</v>
      </c>
      <c r="E3049">
        <v>2020</v>
      </c>
      <c r="F3049">
        <v>16</v>
      </c>
      <c r="G3049">
        <v>22061</v>
      </c>
      <c r="H3049" s="1">
        <v>3</v>
      </c>
      <c r="I3049">
        <v>16</v>
      </c>
      <c r="J3049">
        <f>IF($H3049=0,1,IF($I3049&lt;=1,2,0))</f>
        <v>0</v>
      </c>
      <c r="K3049">
        <v>0</v>
      </c>
      <c r="L3049">
        <f>IF(AND($J3049=0,$K3049=0),0,1)</f>
        <v>0</v>
      </c>
    </row>
    <row r="3050" spans="1:13" x14ac:dyDescent="0.2">
      <c r="A3050" t="s">
        <v>242</v>
      </c>
      <c r="B3050" t="s">
        <v>71</v>
      </c>
      <c r="C3050" t="s">
        <v>72</v>
      </c>
      <c r="D3050">
        <v>6998</v>
      </c>
      <c r="E3050">
        <v>2020</v>
      </c>
      <c r="F3050">
        <v>13</v>
      </c>
      <c r="G3050">
        <v>15474</v>
      </c>
      <c r="H3050" s="1">
        <v>3</v>
      </c>
      <c r="I3050">
        <v>11</v>
      </c>
      <c r="J3050">
        <f>IF($H3050=0,1,IF($I3050&lt;=1,2,0))</f>
        <v>0</v>
      </c>
      <c r="K3050">
        <v>0</v>
      </c>
      <c r="L3050">
        <f>IF(AND($J3050=0,$K3050=0),0,1)</f>
        <v>0</v>
      </c>
    </row>
    <row r="3051" spans="1:13" x14ac:dyDescent="0.2">
      <c r="A3051" t="s">
        <v>242</v>
      </c>
      <c r="B3051" t="s">
        <v>71</v>
      </c>
      <c r="C3051" t="s">
        <v>72</v>
      </c>
      <c r="D3051">
        <v>6998</v>
      </c>
      <c r="E3051">
        <v>2020</v>
      </c>
      <c r="F3051">
        <v>2</v>
      </c>
      <c r="G3051">
        <v>10084</v>
      </c>
      <c r="H3051" s="1">
        <v>3</v>
      </c>
      <c r="I3051">
        <v>8</v>
      </c>
      <c r="J3051">
        <f>IF($H3051=0,1,IF($I3051&lt;=1,2,0))</f>
        <v>0</v>
      </c>
      <c r="K3051">
        <v>0</v>
      </c>
      <c r="L3051">
        <f>IF(AND($J3051=0,$K3051=0),0,1)</f>
        <v>0</v>
      </c>
    </row>
    <row r="3052" spans="1:13" x14ac:dyDescent="0.2">
      <c r="A3052" t="s">
        <v>242</v>
      </c>
      <c r="B3052" t="s">
        <v>71</v>
      </c>
      <c r="C3052" t="s">
        <v>72</v>
      </c>
      <c r="D3052">
        <v>6998</v>
      </c>
      <c r="E3052">
        <v>2020</v>
      </c>
      <c r="F3052">
        <v>15</v>
      </c>
      <c r="G3052">
        <v>21610</v>
      </c>
      <c r="H3052" s="1">
        <v>3</v>
      </c>
      <c r="I3052">
        <v>7</v>
      </c>
      <c r="J3052">
        <f>IF($H3052=0,1,IF($I3052&lt;=1,2,0))</f>
        <v>0</v>
      </c>
      <c r="K3052">
        <v>0</v>
      </c>
      <c r="L3052">
        <f>IF(AND($J3052=0,$K3052=0),0,1)</f>
        <v>0</v>
      </c>
    </row>
    <row r="3053" spans="1:13" x14ac:dyDescent="0.2">
      <c r="A3053" t="s">
        <v>242</v>
      </c>
      <c r="B3053" t="s">
        <v>71</v>
      </c>
      <c r="C3053" t="s">
        <v>72</v>
      </c>
      <c r="D3053">
        <v>6998</v>
      </c>
      <c r="E3053">
        <v>2020</v>
      </c>
      <c r="F3053" t="s">
        <v>84</v>
      </c>
      <c r="G3053">
        <v>21567</v>
      </c>
      <c r="H3053" s="1">
        <v>3</v>
      </c>
      <c r="I3053">
        <v>5</v>
      </c>
      <c r="J3053">
        <f>IF($H3053=0,1,IF($I3053&lt;=1,2,0))</f>
        <v>0</v>
      </c>
      <c r="K3053">
        <v>0</v>
      </c>
      <c r="L3053">
        <f>IF(AND($J3053=0,$K3053=0),0,1)</f>
        <v>0</v>
      </c>
      <c r="M3053" t="s">
        <v>85</v>
      </c>
    </row>
    <row r="3054" spans="1:13" x14ac:dyDescent="0.2">
      <c r="A3054" t="s">
        <v>242</v>
      </c>
      <c r="B3054" t="s">
        <v>71</v>
      </c>
      <c r="C3054" t="s">
        <v>72</v>
      </c>
      <c r="D3054">
        <v>6998</v>
      </c>
      <c r="E3054">
        <v>2020</v>
      </c>
      <c r="F3054" t="s">
        <v>952</v>
      </c>
      <c r="G3054">
        <v>22024</v>
      </c>
      <c r="H3054" s="1">
        <v>3</v>
      </c>
      <c r="I3054">
        <v>5</v>
      </c>
      <c r="J3054">
        <f>IF($H3054=0,1,IF($I3054&lt;=1,2,0))</f>
        <v>0</v>
      </c>
      <c r="K3054">
        <v>0</v>
      </c>
      <c r="L3054">
        <f>IF(AND($J3054=0,$K3054=0),0,1)</f>
        <v>0</v>
      </c>
      <c r="M3054" t="s">
        <v>85</v>
      </c>
    </row>
    <row r="3055" spans="1:13" x14ac:dyDescent="0.2">
      <c r="A3055" t="s">
        <v>242</v>
      </c>
      <c r="B3055" t="s">
        <v>71</v>
      </c>
      <c r="C3055" t="s">
        <v>72</v>
      </c>
      <c r="D3055">
        <v>6998</v>
      </c>
      <c r="E3055">
        <v>2020</v>
      </c>
      <c r="F3055" t="s">
        <v>253</v>
      </c>
      <c r="G3055">
        <v>22025</v>
      </c>
      <c r="H3055" s="1">
        <v>3</v>
      </c>
      <c r="I3055">
        <v>5</v>
      </c>
      <c r="J3055">
        <f>IF($H3055=0,1,IF($I3055&lt;=1,2,0))</f>
        <v>0</v>
      </c>
      <c r="K3055">
        <v>0</v>
      </c>
      <c r="L3055">
        <f>IF(AND($J3055=0,$K3055=0),0,1)</f>
        <v>0</v>
      </c>
      <c r="M3055" t="s">
        <v>85</v>
      </c>
    </row>
    <row r="3056" spans="1:13" x14ac:dyDescent="0.2">
      <c r="A3056" t="s">
        <v>242</v>
      </c>
      <c r="B3056" t="s">
        <v>71</v>
      </c>
      <c r="C3056" t="s">
        <v>72</v>
      </c>
      <c r="D3056">
        <v>6998</v>
      </c>
      <c r="E3056">
        <v>2020</v>
      </c>
      <c r="F3056" t="s">
        <v>953</v>
      </c>
      <c r="G3056">
        <v>22026</v>
      </c>
      <c r="H3056" s="1">
        <v>3</v>
      </c>
      <c r="I3056">
        <v>5</v>
      </c>
      <c r="J3056">
        <f>IF($H3056=0,1,IF($I3056&lt;=1,2,0))</f>
        <v>0</v>
      </c>
      <c r="K3056">
        <v>0</v>
      </c>
      <c r="L3056">
        <f>IF(AND($J3056=0,$K3056=0),0,1)</f>
        <v>0</v>
      </c>
      <c r="M3056" t="s">
        <v>85</v>
      </c>
    </row>
    <row r="3057" spans="1:13" x14ac:dyDescent="0.2">
      <c r="A3057" t="s">
        <v>242</v>
      </c>
      <c r="B3057" t="s">
        <v>71</v>
      </c>
      <c r="C3057" t="s">
        <v>72</v>
      </c>
      <c r="D3057">
        <v>6998</v>
      </c>
      <c r="E3057">
        <v>2020</v>
      </c>
      <c r="F3057">
        <v>5</v>
      </c>
      <c r="G3057">
        <v>10858</v>
      </c>
      <c r="H3057" s="1">
        <v>3</v>
      </c>
      <c r="I3057">
        <v>4</v>
      </c>
      <c r="J3057">
        <f>IF($H3057=0,1,IF($I3057&lt;=1,2,0))</f>
        <v>0</v>
      </c>
      <c r="K3057">
        <v>0</v>
      </c>
      <c r="L3057">
        <f>IF(AND($J3057=0,$K3057=0),0,1)</f>
        <v>0</v>
      </c>
    </row>
    <row r="3058" spans="1:13" x14ac:dyDescent="0.2">
      <c r="A3058" t="s">
        <v>242</v>
      </c>
      <c r="B3058" t="s">
        <v>71</v>
      </c>
      <c r="C3058" t="s">
        <v>72</v>
      </c>
      <c r="D3058">
        <v>6998</v>
      </c>
      <c r="E3058">
        <v>2020</v>
      </c>
      <c r="F3058" t="s">
        <v>250</v>
      </c>
      <c r="G3058">
        <v>23273</v>
      </c>
      <c r="H3058" s="1">
        <v>3</v>
      </c>
      <c r="I3058">
        <v>2</v>
      </c>
      <c r="J3058">
        <f>IF($H3058=0,1,IF($I3058&lt;=1,2,0))</f>
        <v>0</v>
      </c>
      <c r="K3058">
        <v>0</v>
      </c>
      <c r="L3058">
        <f>IF(AND($J3058=0,$K3058=0),0,1)</f>
        <v>0</v>
      </c>
      <c r="M3058" t="s">
        <v>85</v>
      </c>
    </row>
    <row r="3059" spans="1:13" x14ac:dyDescent="0.2">
      <c r="A3059" t="s">
        <v>242</v>
      </c>
      <c r="B3059" t="s">
        <v>71</v>
      </c>
      <c r="C3059" t="s">
        <v>72</v>
      </c>
      <c r="D3059">
        <v>6998</v>
      </c>
      <c r="E3059">
        <v>2020</v>
      </c>
      <c r="F3059" t="s">
        <v>954</v>
      </c>
      <c r="G3059">
        <v>22027</v>
      </c>
      <c r="H3059" s="1">
        <v>3</v>
      </c>
      <c r="I3059">
        <v>2</v>
      </c>
      <c r="J3059">
        <f>IF($H3059=0,1,IF($I3059&lt;=1,2,0))</f>
        <v>0</v>
      </c>
      <c r="K3059">
        <v>0</v>
      </c>
      <c r="L3059">
        <f>IF(AND($J3059=0,$K3059=0),0,1)</f>
        <v>0</v>
      </c>
      <c r="M3059" t="s">
        <v>85</v>
      </c>
    </row>
    <row r="3060" spans="1:13" x14ac:dyDescent="0.2">
      <c r="A3060" t="s">
        <v>255</v>
      </c>
      <c r="B3060" t="s">
        <v>17</v>
      </c>
      <c r="C3060" t="s">
        <v>9</v>
      </c>
      <c r="D3060">
        <v>3511</v>
      </c>
      <c r="E3060">
        <v>2020</v>
      </c>
      <c r="F3060">
        <v>1</v>
      </c>
      <c r="G3060">
        <v>24551</v>
      </c>
      <c r="H3060" s="1">
        <v>3</v>
      </c>
      <c r="I3060">
        <v>4</v>
      </c>
      <c r="J3060">
        <f>IF($H3060=0,1,IF($I3060&lt;=1,2,0))</f>
        <v>0</v>
      </c>
      <c r="K3060">
        <v>0</v>
      </c>
      <c r="L3060">
        <f>IF(AND($J3060=0,$K3060=0),0,1)</f>
        <v>0</v>
      </c>
    </row>
    <row r="3061" spans="1:13" x14ac:dyDescent="0.2">
      <c r="A3061" t="s">
        <v>255</v>
      </c>
      <c r="B3061" t="s">
        <v>17</v>
      </c>
      <c r="C3061" t="s">
        <v>9</v>
      </c>
      <c r="D3061">
        <v>3980</v>
      </c>
      <c r="E3061">
        <v>2020</v>
      </c>
      <c r="F3061">
        <v>1</v>
      </c>
      <c r="G3061">
        <v>15662</v>
      </c>
      <c r="H3061" s="1">
        <v>3</v>
      </c>
      <c r="I3061">
        <v>7</v>
      </c>
      <c r="J3061">
        <f>IF($H3061=0,1,IF($I3061&lt;=1,2,0))</f>
        <v>0</v>
      </c>
      <c r="K3061">
        <v>0</v>
      </c>
      <c r="L3061">
        <f>IF(AND($J3061=0,$K3061=0),0,1)</f>
        <v>0</v>
      </c>
      <c r="M3061" t="s">
        <v>955</v>
      </c>
    </row>
    <row r="3062" spans="1:13" x14ac:dyDescent="0.2">
      <c r="A3062" t="s">
        <v>255</v>
      </c>
      <c r="B3062" t="s">
        <v>17</v>
      </c>
      <c r="C3062" t="s">
        <v>21</v>
      </c>
      <c r="D3062">
        <v>3991</v>
      </c>
      <c r="E3062">
        <v>2020</v>
      </c>
      <c r="F3062">
        <v>1</v>
      </c>
      <c r="G3062">
        <v>10228</v>
      </c>
      <c r="H3062" s="1">
        <v>3</v>
      </c>
      <c r="I3062">
        <v>17</v>
      </c>
      <c r="J3062">
        <f>IF($H3062=0,1,IF($I3062&lt;=1,2,0))</f>
        <v>0</v>
      </c>
      <c r="K3062">
        <v>0</v>
      </c>
      <c r="L3062">
        <f>IF(AND($J3062=0,$K3062=0),0,1)</f>
        <v>0</v>
      </c>
      <c r="M3062" t="s">
        <v>1987</v>
      </c>
    </row>
    <row r="3063" spans="1:13" x14ac:dyDescent="0.2">
      <c r="A3063" t="s">
        <v>255</v>
      </c>
      <c r="B3063" t="s">
        <v>17</v>
      </c>
      <c r="C3063" t="s">
        <v>9</v>
      </c>
      <c r="D3063">
        <v>4810</v>
      </c>
      <c r="E3063">
        <v>2020</v>
      </c>
      <c r="F3063">
        <v>1</v>
      </c>
      <c r="G3063">
        <v>13055</v>
      </c>
      <c r="H3063" s="1">
        <v>4</v>
      </c>
      <c r="I3063">
        <v>17</v>
      </c>
      <c r="J3063">
        <f>IF($H3063=0,1,IF($I3063&lt;=1,2,0))</f>
        <v>0</v>
      </c>
      <c r="K3063">
        <v>0</v>
      </c>
      <c r="L3063">
        <f>IF(AND($J3063=0,$K3063=0),0,1)</f>
        <v>0</v>
      </c>
    </row>
    <row r="3064" spans="1:13" x14ac:dyDescent="0.2">
      <c r="A3064" t="s">
        <v>255</v>
      </c>
      <c r="B3064" t="s">
        <v>17</v>
      </c>
      <c r="C3064" t="s">
        <v>11</v>
      </c>
      <c r="D3064">
        <v>6115</v>
      </c>
      <c r="E3064">
        <v>2020</v>
      </c>
      <c r="F3064">
        <v>1</v>
      </c>
      <c r="G3064">
        <v>10229</v>
      </c>
      <c r="H3064" s="1">
        <v>3</v>
      </c>
      <c r="I3064">
        <v>15</v>
      </c>
      <c r="J3064">
        <f>IF($H3064=0,1,IF($I3064&lt;=1,2,0))</f>
        <v>0</v>
      </c>
      <c r="K3064">
        <v>0</v>
      </c>
      <c r="L3064">
        <f>IF(AND($J3064=0,$K3064=0),0,1)</f>
        <v>0</v>
      </c>
    </row>
    <row r="3065" spans="1:13" x14ac:dyDescent="0.2">
      <c r="A3065" t="s">
        <v>255</v>
      </c>
      <c r="B3065" t="s">
        <v>17</v>
      </c>
      <c r="C3065" t="s">
        <v>11</v>
      </c>
      <c r="D3065">
        <v>6121</v>
      </c>
      <c r="E3065">
        <v>2020</v>
      </c>
      <c r="F3065">
        <v>1</v>
      </c>
      <c r="G3065">
        <v>10231</v>
      </c>
      <c r="H3065" s="1">
        <v>4</v>
      </c>
      <c r="I3065">
        <v>16</v>
      </c>
      <c r="J3065">
        <f>IF($H3065=0,1,IF($I3065&lt;=1,2,0))</f>
        <v>0</v>
      </c>
      <c r="K3065">
        <v>0</v>
      </c>
      <c r="L3065">
        <f>IF(AND($J3065=0,$K3065=0),0,1)</f>
        <v>0</v>
      </c>
      <c r="M3065" t="s">
        <v>958</v>
      </c>
    </row>
    <row r="3066" spans="1:13" x14ac:dyDescent="0.2">
      <c r="A3066" t="s">
        <v>255</v>
      </c>
      <c r="B3066" t="s">
        <v>17</v>
      </c>
      <c r="C3066" t="s">
        <v>11</v>
      </c>
      <c r="D3066">
        <v>6333</v>
      </c>
      <c r="E3066">
        <v>2020</v>
      </c>
      <c r="F3066">
        <v>1</v>
      </c>
      <c r="G3066">
        <v>11910</v>
      </c>
      <c r="H3066" s="1">
        <v>3</v>
      </c>
      <c r="I3066">
        <v>7</v>
      </c>
      <c r="J3066">
        <f>IF($H3066=0,1,IF($I3066&lt;=1,2,0))</f>
        <v>0</v>
      </c>
      <c r="K3066">
        <v>0</v>
      </c>
      <c r="L3066">
        <f>IF(AND($J3066=0,$K3066=0),0,1)</f>
        <v>0</v>
      </c>
    </row>
    <row r="3067" spans="1:13" x14ac:dyDescent="0.2">
      <c r="A3067" t="s">
        <v>255</v>
      </c>
      <c r="B3067" t="s">
        <v>17</v>
      </c>
      <c r="C3067" t="s">
        <v>11</v>
      </c>
      <c r="D3067">
        <v>8866</v>
      </c>
      <c r="E3067">
        <v>2020</v>
      </c>
      <c r="F3067">
        <v>1</v>
      </c>
      <c r="G3067">
        <v>22279</v>
      </c>
      <c r="H3067" s="1">
        <v>1</v>
      </c>
      <c r="I3067">
        <v>8</v>
      </c>
      <c r="J3067">
        <f>IF($H3067=0,1,IF($I3067&lt;=1,2,0))</f>
        <v>0</v>
      </c>
      <c r="K3067">
        <v>0</v>
      </c>
      <c r="L3067">
        <f>IF(AND($J3067=0,$K3067=0),0,1)</f>
        <v>0</v>
      </c>
      <c r="M3067" t="s">
        <v>959</v>
      </c>
    </row>
    <row r="3068" spans="1:13" x14ac:dyDescent="0.2">
      <c r="A3068" t="s">
        <v>261</v>
      </c>
      <c r="B3068" t="s">
        <v>71</v>
      </c>
      <c r="C3068" t="s">
        <v>9</v>
      </c>
      <c r="D3068">
        <v>3827</v>
      </c>
      <c r="E3068">
        <v>2020</v>
      </c>
      <c r="F3068">
        <v>2</v>
      </c>
      <c r="G3068">
        <v>10807</v>
      </c>
      <c r="H3068" s="1">
        <v>3</v>
      </c>
      <c r="I3068">
        <v>155</v>
      </c>
      <c r="J3068">
        <f>IF($H3068=0,1,IF($I3068&lt;=1,2,0))</f>
        <v>0</v>
      </c>
      <c r="K3068">
        <v>0</v>
      </c>
      <c r="L3068">
        <f>IF(AND($J3068=0,$K3068=0),0,1)</f>
        <v>0</v>
      </c>
    </row>
    <row r="3069" spans="1:13" x14ac:dyDescent="0.2">
      <c r="A3069" t="s">
        <v>261</v>
      </c>
      <c r="B3069" t="s">
        <v>71</v>
      </c>
      <c r="C3069" t="s">
        <v>9</v>
      </c>
      <c r="D3069">
        <v>3827</v>
      </c>
      <c r="E3069">
        <v>2020</v>
      </c>
      <c r="F3069">
        <v>1</v>
      </c>
      <c r="G3069">
        <v>10806</v>
      </c>
      <c r="H3069" s="1">
        <v>3</v>
      </c>
      <c r="I3069">
        <v>131</v>
      </c>
      <c r="J3069">
        <f>IF($H3069=0,1,IF($I3069&lt;=1,2,0))</f>
        <v>0</v>
      </c>
      <c r="K3069">
        <v>0</v>
      </c>
      <c r="L3069">
        <f>IF(AND($J3069=0,$K3069=0),0,1)</f>
        <v>0</v>
      </c>
    </row>
    <row r="3070" spans="1:13" x14ac:dyDescent="0.2">
      <c r="A3070" t="s">
        <v>261</v>
      </c>
      <c r="B3070" t="s">
        <v>71</v>
      </c>
      <c r="C3070" t="s">
        <v>9</v>
      </c>
      <c r="D3070">
        <v>4119</v>
      </c>
      <c r="E3070">
        <v>2020</v>
      </c>
      <c r="F3070">
        <v>1</v>
      </c>
      <c r="G3070">
        <v>13939</v>
      </c>
      <c r="H3070" s="1">
        <v>3</v>
      </c>
      <c r="I3070">
        <v>70</v>
      </c>
      <c r="J3070">
        <f>IF($H3070=0,1,IF($I3070&lt;=1,2,0))</f>
        <v>0</v>
      </c>
      <c r="K3070">
        <v>0</v>
      </c>
      <c r="L3070">
        <f>IF(AND($J3070=0,$K3070=0),0,1)</f>
        <v>0</v>
      </c>
    </row>
    <row r="3071" spans="1:13" x14ac:dyDescent="0.2">
      <c r="A3071" t="s">
        <v>261</v>
      </c>
      <c r="B3071" t="s">
        <v>71</v>
      </c>
      <c r="C3071" t="s">
        <v>9</v>
      </c>
      <c r="D3071">
        <v>4119</v>
      </c>
      <c r="E3071">
        <v>2020</v>
      </c>
      <c r="F3071">
        <v>2</v>
      </c>
      <c r="G3071">
        <v>21498</v>
      </c>
      <c r="H3071" s="1">
        <v>3</v>
      </c>
      <c r="I3071">
        <v>13</v>
      </c>
      <c r="J3071">
        <f>IF($H3071=0,1,IF($I3071&lt;=1,2,0))</f>
        <v>0</v>
      </c>
      <c r="K3071">
        <v>0</v>
      </c>
      <c r="L3071">
        <f>IF(AND($J3071=0,$K3071=0),0,1)</f>
        <v>0</v>
      </c>
    </row>
    <row r="3072" spans="1:13" x14ac:dyDescent="0.2">
      <c r="A3072" t="s">
        <v>261</v>
      </c>
      <c r="B3072" t="s">
        <v>71</v>
      </c>
      <c r="C3072" t="s">
        <v>9</v>
      </c>
      <c r="D3072">
        <v>4119</v>
      </c>
      <c r="E3072">
        <v>2020</v>
      </c>
      <c r="F3072" t="s">
        <v>84</v>
      </c>
      <c r="G3072">
        <v>24503</v>
      </c>
      <c r="H3072" s="1">
        <v>3</v>
      </c>
      <c r="I3072">
        <v>2</v>
      </c>
      <c r="J3072">
        <f>IF($H3072=0,1,IF($I3072&lt;=1,2,0))</f>
        <v>0</v>
      </c>
      <c r="K3072">
        <v>0</v>
      </c>
      <c r="L3072">
        <f>IF(AND($J3072=0,$K3072=0),0,1)</f>
        <v>0</v>
      </c>
      <c r="M3072" t="s">
        <v>85</v>
      </c>
    </row>
    <row r="3073" spans="1:13" x14ac:dyDescent="0.2">
      <c r="A3073" t="s">
        <v>261</v>
      </c>
      <c r="B3073" t="s">
        <v>71</v>
      </c>
      <c r="C3073" t="s">
        <v>9</v>
      </c>
      <c r="D3073">
        <v>4823</v>
      </c>
      <c r="E3073">
        <v>2020</v>
      </c>
      <c r="F3073">
        <v>1</v>
      </c>
      <c r="G3073">
        <v>10727</v>
      </c>
      <c r="H3073" s="1">
        <v>3</v>
      </c>
      <c r="I3073">
        <v>33</v>
      </c>
      <c r="J3073">
        <f>IF($H3073=0,1,IF($I3073&lt;=1,2,0))</f>
        <v>0</v>
      </c>
      <c r="K3073">
        <v>0</v>
      </c>
      <c r="L3073">
        <f>IF(AND($J3073=0,$K3073=0),0,1)</f>
        <v>0</v>
      </c>
    </row>
    <row r="3074" spans="1:13" x14ac:dyDescent="0.2">
      <c r="A3074" t="s">
        <v>261</v>
      </c>
      <c r="B3074" t="s">
        <v>71</v>
      </c>
      <c r="C3074" t="s">
        <v>9</v>
      </c>
      <c r="D3074">
        <v>4824</v>
      </c>
      <c r="E3074">
        <v>2020</v>
      </c>
      <c r="F3074">
        <v>1</v>
      </c>
      <c r="G3074">
        <v>10811</v>
      </c>
      <c r="H3074" s="1">
        <v>3</v>
      </c>
      <c r="I3074">
        <v>42</v>
      </c>
      <c r="J3074">
        <f>IF($H3074=0,1,IF($I3074&lt;=1,2,0))</f>
        <v>0</v>
      </c>
      <c r="K3074">
        <v>0</v>
      </c>
      <c r="L3074">
        <f>IF(AND($J3074=0,$K3074=0),0,1)</f>
        <v>0</v>
      </c>
    </row>
    <row r="3075" spans="1:13" x14ac:dyDescent="0.2">
      <c r="A3075" t="s">
        <v>261</v>
      </c>
      <c r="B3075" t="s">
        <v>71</v>
      </c>
      <c r="C3075" t="s">
        <v>9</v>
      </c>
      <c r="D3075">
        <v>4824</v>
      </c>
      <c r="E3075">
        <v>2020</v>
      </c>
      <c r="F3075" t="s">
        <v>84</v>
      </c>
      <c r="G3075">
        <v>21557</v>
      </c>
      <c r="H3075" s="1">
        <v>3</v>
      </c>
      <c r="I3075">
        <v>3</v>
      </c>
      <c r="J3075">
        <f>IF($H3075=0,1,IF($I3075&lt;=1,2,0))</f>
        <v>0</v>
      </c>
      <c r="K3075">
        <v>0</v>
      </c>
      <c r="L3075">
        <f>IF(AND($J3075=0,$K3075=0),0,1)</f>
        <v>0</v>
      </c>
      <c r="M3075" t="s">
        <v>85</v>
      </c>
    </row>
    <row r="3076" spans="1:13" x14ac:dyDescent="0.2">
      <c r="A3076" t="s">
        <v>261</v>
      </c>
      <c r="B3076" t="s">
        <v>71</v>
      </c>
      <c r="C3076" t="s">
        <v>9</v>
      </c>
      <c r="D3076">
        <v>4868</v>
      </c>
      <c r="E3076">
        <v>2020</v>
      </c>
      <c r="F3076">
        <v>1</v>
      </c>
      <c r="G3076">
        <v>11670</v>
      </c>
      <c r="H3076" s="1">
        <v>3</v>
      </c>
      <c r="I3076">
        <v>28</v>
      </c>
      <c r="J3076">
        <f>IF($H3076=0,1,IF($I3076&lt;=1,2,0))</f>
        <v>0</v>
      </c>
      <c r="K3076">
        <v>0</v>
      </c>
      <c r="L3076">
        <f>IF(AND($J3076=0,$K3076=0),0,1)</f>
        <v>0</v>
      </c>
    </row>
    <row r="3077" spans="1:13" x14ac:dyDescent="0.2">
      <c r="A3077" t="s">
        <v>261</v>
      </c>
      <c r="B3077" t="s">
        <v>71</v>
      </c>
      <c r="C3077" t="s">
        <v>72</v>
      </c>
      <c r="D3077">
        <v>6863</v>
      </c>
      <c r="E3077">
        <v>2020</v>
      </c>
      <c r="F3077">
        <v>1</v>
      </c>
      <c r="G3077">
        <v>15292</v>
      </c>
      <c r="H3077" s="1">
        <v>3</v>
      </c>
      <c r="I3077">
        <v>38</v>
      </c>
      <c r="J3077">
        <f>IF($H3077=0,1,IF($I3077&lt;=1,2,0))</f>
        <v>0</v>
      </c>
      <c r="K3077">
        <v>0</v>
      </c>
      <c r="L3077">
        <f>IF(AND($J3077=0,$K3077=0),0,1)</f>
        <v>0</v>
      </c>
    </row>
    <row r="3078" spans="1:13" x14ac:dyDescent="0.2">
      <c r="A3078" t="s">
        <v>262</v>
      </c>
      <c r="B3078" t="s">
        <v>6</v>
      </c>
      <c r="C3078" t="s">
        <v>9</v>
      </c>
      <c r="D3078">
        <v>1010</v>
      </c>
      <c r="E3078">
        <v>2020</v>
      </c>
      <c r="F3078">
        <v>1</v>
      </c>
      <c r="G3078">
        <v>20893</v>
      </c>
      <c r="H3078" s="1">
        <v>4</v>
      </c>
      <c r="I3078">
        <v>74</v>
      </c>
      <c r="J3078">
        <f>IF($H3078=0,1,IF($I3078&lt;=1,2,0))</f>
        <v>0</v>
      </c>
      <c r="K3078">
        <v>0</v>
      </c>
      <c r="L3078">
        <f>IF(AND($J3078=0,$K3078=0),0,1)</f>
        <v>0</v>
      </c>
      <c r="M3078" t="s">
        <v>962</v>
      </c>
    </row>
    <row r="3079" spans="1:13" x14ac:dyDescent="0.2">
      <c r="A3079" t="s">
        <v>262</v>
      </c>
      <c r="B3079" t="s">
        <v>6</v>
      </c>
      <c r="C3079" t="s">
        <v>9</v>
      </c>
      <c r="D3079">
        <v>1040</v>
      </c>
      <c r="E3079">
        <v>2020</v>
      </c>
      <c r="F3079">
        <v>1</v>
      </c>
      <c r="G3079">
        <v>15492</v>
      </c>
      <c r="H3079" s="1">
        <v>3</v>
      </c>
      <c r="I3079">
        <v>17</v>
      </c>
      <c r="J3079">
        <f>IF($H3079=0,1,IF($I3079&lt;=1,2,0))</f>
        <v>0</v>
      </c>
      <c r="K3079">
        <v>0</v>
      </c>
      <c r="L3079">
        <f>IF(AND($J3079=0,$K3079=0),0,1)</f>
        <v>0</v>
      </c>
      <c r="M3079" t="s">
        <v>963</v>
      </c>
    </row>
    <row r="3080" spans="1:13" x14ac:dyDescent="0.2">
      <c r="A3080" t="s">
        <v>262</v>
      </c>
      <c r="B3080" t="s">
        <v>6</v>
      </c>
      <c r="C3080" t="s">
        <v>9</v>
      </c>
      <c r="D3080">
        <v>3303</v>
      </c>
      <c r="E3080">
        <v>2020</v>
      </c>
      <c r="F3080">
        <v>1</v>
      </c>
      <c r="G3080">
        <v>15460</v>
      </c>
      <c r="H3080" s="1">
        <v>4</v>
      </c>
      <c r="I3080">
        <v>22</v>
      </c>
      <c r="J3080">
        <f>IF($H3080=0,1,IF($I3080&lt;=1,2,0))</f>
        <v>0</v>
      </c>
      <c r="K3080">
        <v>0</v>
      </c>
      <c r="L3080">
        <f>IF(AND($J3080=0,$K3080=0),0,1)</f>
        <v>0</v>
      </c>
      <c r="M3080" t="s">
        <v>964</v>
      </c>
    </row>
    <row r="3081" spans="1:13" x14ac:dyDescent="0.2">
      <c r="A3081" t="s">
        <v>262</v>
      </c>
      <c r="B3081" t="s">
        <v>6</v>
      </c>
      <c r="C3081" t="s">
        <v>9</v>
      </c>
      <c r="D3081">
        <v>3444</v>
      </c>
      <c r="E3081">
        <v>2020</v>
      </c>
      <c r="F3081">
        <v>1</v>
      </c>
      <c r="G3081">
        <v>15465</v>
      </c>
      <c r="H3081" s="1">
        <v>4</v>
      </c>
      <c r="I3081">
        <v>11</v>
      </c>
      <c r="J3081">
        <f>IF($H3081=0,1,IF($I3081&lt;=1,2,0))</f>
        <v>0</v>
      </c>
      <c r="K3081">
        <v>0</v>
      </c>
      <c r="L3081">
        <f>IF(AND($J3081=0,$K3081=0),0,1)</f>
        <v>0</v>
      </c>
      <c r="M3081" t="s">
        <v>965</v>
      </c>
    </row>
    <row r="3082" spans="1:13" x14ac:dyDescent="0.2">
      <c r="A3082" t="s">
        <v>262</v>
      </c>
      <c r="B3082" t="s">
        <v>6</v>
      </c>
      <c r="C3082" t="s">
        <v>9</v>
      </c>
      <c r="D3082">
        <v>3490</v>
      </c>
      <c r="E3082">
        <v>2020</v>
      </c>
      <c r="F3082">
        <v>1</v>
      </c>
      <c r="G3082">
        <v>11309</v>
      </c>
      <c r="H3082" s="1">
        <v>4</v>
      </c>
      <c r="I3082">
        <v>19</v>
      </c>
      <c r="J3082">
        <f>IF($H3082=0,1,IF($I3082&lt;=1,2,0))</f>
        <v>0</v>
      </c>
      <c r="K3082">
        <v>0</v>
      </c>
      <c r="L3082">
        <f>IF(AND($J3082=0,$K3082=0),0,1)</f>
        <v>0</v>
      </c>
    </row>
    <row r="3083" spans="1:13" x14ac:dyDescent="0.2">
      <c r="A3083" t="s">
        <v>262</v>
      </c>
      <c r="B3083" t="s">
        <v>6</v>
      </c>
      <c r="C3083" t="s">
        <v>9</v>
      </c>
      <c r="D3083">
        <v>3919</v>
      </c>
      <c r="E3083">
        <v>2020</v>
      </c>
      <c r="F3083">
        <v>1</v>
      </c>
      <c r="G3083">
        <v>11311</v>
      </c>
      <c r="H3083" s="1">
        <v>4</v>
      </c>
      <c r="I3083">
        <v>12</v>
      </c>
      <c r="J3083">
        <f>IF($H3083=0,1,IF($I3083&lt;=1,2,0))</f>
        <v>0</v>
      </c>
      <c r="K3083">
        <v>0</v>
      </c>
      <c r="L3083">
        <f>IF(AND($J3083=0,$K3083=0),0,1)</f>
        <v>0</v>
      </c>
      <c r="M3083" t="s">
        <v>264</v>
      </c>
    </row>
    <row r="3084" spans="1:13" x14ac:dyDescent="0.2">
      <c r="A3084" t="s">
        <v>262</v>
      </c>
      <c r="B3084" t="s">
        <v>6</v>
      </c>
      <c r="C3084" t="s">
        <v>9</v>
      </c>
      <c r="D3084">
        <v>3922</v>
      </c>
      <c r="E3084">
        <v>2020</v>
      </c>
      <c r="F3084">
        <v>1</v>
      </c>
      <c r="G3084">
        <v>11312</v>
      </c>
      <c r="H3084" s="1">
        <v>4</v>
      </c>
      <c r="I3084">
        <v>23</v>
      </c>
      <c r="J3084">
        <f>IF($H3084=0,1,IF($I3084&lt;=1,2,0))</f>
        <v>0</v>
      </c>
      <c r="K3084">
        <v>0</v>
      </c>
      <c r="L3084">
        <f>IF(AND($J3084=0,$K3084=0),0,1)</f>
        <v>0</v>
      </c>
    </row>
    <row r="3085" spans="1:13" x14ac:dyDescent="0.2">
      <c r="A3085" t="s">
        <v>262</v>
      </c>
      <c r="B3085" t="s">
        <v>6</v>
      </c>
      <c r="C3085" t="s">
        <v>9</v>
      </c>
      <c r="D3085">
        <v>3923</v>
      </c>
      <c r="E3085">
        <v>2020</v>
      </c>
      <c r="F3085">
        <v>1</v>
      </c>
      <c r="G3085">
        <v>13942</v>
      </c>
      <c r="H3085" s="1">
        <v>4</v>
      </c>
      <c r="I3085">
        <v>15</v>
      </c>
      <c r="J3085">
        <f>IF($H3085=0,1,IF($I3085&lt;=1,2,0))</f>
        <v>0</v>
      </c>
      <c r="K3085">
        <v>0</v>
      </c>
      <c r="L3085">
        <f>IF(AND($J3085=0,$K3085=0),0,1)</f>
        <v>0</v>
      </c>
    </row>
    <row r="3086" spans="1:13" x14ac:dyDescent="0.2">
      <c r="A3086" t="s">
        <v>262</v>
      </c>
      <c r="B3086" t="s">
        <v>6</v>
      </c>
      <c r="C3086" t="s">
        <v>9</v>
      </c>
      <c r="D3086">
        <v>3926</v>
      </c>
      <c r="E3086">
        <v>2020</v>
      </c>
      <c r="F3086">
        <v>1</v>
      </c>
      <c r="G3086">
        <v>11318</v>
      </c>
      <c r="H3086" s="1">
        <v>4</v>
      </c>
      <c r="I3086">
        <v>18</v>
      </c>
      <c r="J3086">
        <f>IF($H3086=0,1,IF($I3086&lt;=1,2,0))</f>
        <v>0</v>
      </c>
      <c r="K3086">
        <v>0</v>
      </c>
      <c r="L3086">
        <f>IF(AND($J3086=0,$K3086=0),0,1)</f>
        <v>0</v>
      </c>
    </row>
    <row r="3087" spans="1:13" x14ac:dyDescent="0.2">
      <c r="A3087" t="s">
        <v>262</v>
      </c>
      <c r="B3087" t="s">
        <v>6</v>
      </c>
      <c r="C3087" t="s">
        <v>9</v>
      </c>
      <c r="D3087">
        <v>3928</v>
      </c>
      <c r="E3087">
        <v>2020</v>
      </c>
      <c r="F3087">
        <v>1</v>
      </c>
      <c r="G3087">
        <v>12187</v>
      </c>
      <c r="H3087" s="1">
        <v>4</v>
      </c>
      <c r="I3087">
        <v>19</v>
      </c>
      <c r="J3087">
        <f>IF($H3087=0,1,IF($I3087&lt;=1,2,0))</f>
        <v>0</v>
      </c>
      <c r="K3087">
        <v>0</v>
      </c>
      <c r="L3087">
        <f>IF(AND($J3087=0,$K3087=0),0,1)</f>
        <v>0</v>
      </c>
      <c r="M3087" t="s">
        <v>264</v>
      </c>
    </row>
    <row r="3088" spans="1:13" x14ac:dyDescent="0.2">
      <c r="A3088" t="s">
        <v>262</v>
      </c>
      <c r="B3088" t="s">
        <v>6</v>
      </c>
      <c r="C3088" t="s">
        <v>9</v>
      </c>
      <c r="D3088">
        <v>3932</v>
      </c>
      <c r="E3088">
        <v>2020</v>
      </c>
      <c r="F3088">
        <v>1</v>
      </c>
      <c r="G3088">
        <v>11325</v>
      </c>
      <c r="H3088" s="1">
        <v>4</v>
      </c>
      <c r="I3088">
        <v>15</v>
      </c>
      <c r="J3088">
        <f>IF($H3088=0,1,IF($I3088&lt;=1,2,0))</f>
        <v>0</v>
      </c>
      <c r="K3088">
        <v>0</v>
      </c>
      <c r="L3088">
        <f>IF(AND($J3088=0,$K3088=0),0,1)</f>
        <v>0</v>
      </c>
    </row>
    <row r="3089" spans="1:13" x14ac:dyDescent="0.2">
      <c r="A3089" t="s">
        <v>262</v>
      </c>
      <c r="B3089" t="s">
        <v>6</v>
      </c>
      <c r="C3089" t="s">
        <v>9</v>
      </c>
      <c r="D3089">
        <v>4361</v>
      </c>
      <c r="E3089">
        <v>2020</v>
      </c>
      <c r="F3089">
        <v>1</v>
      </c>
      <c r="G3089">
        <v>21368</v>
      </c>
      <c r="H3089" s="1">
        <v>4</v>
      </c>
      <c r="I3089">
        <v>17</v>
      </c>
      <c r="J3089">
        <f>IF($H3089=0,1,IF($I3089&lt;=1,2,0))</f>
        <v>0</v>
      </c>
      <c r="K3089">
        <v>0</v>
      </c>
      <c r="L3089">
        <f>IF(AND($J3089=0,$K3089=0),0,1)</f>
        <v>0</v>
      </c>
      <c r="M3089" t="s">
        <v>962</v>
      </c>
    </row>
    <row r="3090" spans="1:13" x14ac:dyDescent="0.2">
      <c r="A3090" t="s">
        <v>262</v>
      </c>
      <c r="B3090" t="s">
        <v>6</v>
      </c>
      <c r="C3090" t="s">
        <v>11</v>
      </c>
      <c r="D3090">
        <v>5000</v>
      </c>
      <c r="E3090">
        <v>2020</v>
      </c>
      <c r="F3090">
        <v>2</v>
      </c>
      <c r="G3090">
        <v>11327</v>
      </c>
      <c r="H3090" s="1">
        <v>3</v>
      </c>
      <c r="I3090">
        <v>15</v>
      </c>
      <c r="J3090">
        <f>IF($H3090=0,1,IF($I3090&lt;=1,2,0))</f>
        <v>0</v>
      </c>
      <c r="K3090">
        <v>0</v>
      </c>
      <c r="L3090">
        <f>IF(AND($J3090=0,$K3090=0),0,1)</f>
        <v>0</v>
      </c>
    </row>
    <row r="3091" spans="1:13" x14ac:dyDescent="0.2">
      <c r="A3091" t="s">
        <v>265</v>
      </c>
      <c r="B3091" t="s">
        <v>71</v>
      </c>
      <c r="C3091" t="s">
        <v>9</v>
      </c>
      <c r="D3091">
        <v>4231</v>
      </c>
      <c r="E3091">
        <v>2020</v>
      </c>
      <c r="F3091">
        <v>1</v>
      </c>
      <c r="G3091">
        <v>11668</v>
      </c>
      <c r="H3091" s="1">
        <v>3</v>
      </c>
      <c r="I3091">
        <v>118</v>
      </c>
      <c r="J3091">
        <f>IF($H3091=0,1,IF($I3091&lt;=1,2,0))</f>
        <v>0</v>
      </c>
      <c r="K3091">
        <v>0</v>
      </c>
      <c r="L3091">
        <f>IF(AND($J3091=0,$K3091=0),0,1)</f>
        <v>0</v>
      </c>
    </row>
    <row r="3092" spans="1:13" x14ac:dyDescent="0.2">
      <c r="A3092" t="s">
        <v>265</v>
      </c>
      <c r="B3092" t="s">
        <v>71</v>
      </c>
      <c r="C3092" t="s">
        <v>9</v>
      </c>
      <c r="D3092">
        <v>4231</v>
      </c>
      <c r="E3092">
        <v>2020</v>
      </c>
      <c r="F3092">
        <v>2</v>
      </c>
      <c r="G3092">
        <v>11694</v>
      </c>
      <c r="H3092" s="1">
        <v>3</v>
      </c>
      <c r="I3092">
        <v>74</v>
      </c>
      <c r="J3092">
        <f>IF($H3092=0,1,IF($I3092&lt;=1,2,0))</f>
        <v>0</v>
      </c>
      <c r="K3092">
        <v>0</v>
      </c>
      <c r="L3092">
        <f>IF(AND($J3092=0,$K3092=0),0,1)</f>
        <v>0</v>
      </c>
    </row>
    <row r="3093" spans="1:13" x14ac:dyDescent="0.2">
      <c r="A3093" t="s">
        <v>265</v>
      </c>
      <c r="B3093" t="s">
        <v>71</v>
      </c>
      <c r="C3093" t="s">
        <v>9</v>
      </c>
      <c r="D3093">
        <v>4231</v>
      </c>
      <c r="E3093">
        <v>2020</v>
      </c>
      <c r="F3093" t="s">
        <v>250</v>
      </c>
      <c r="G3093">
        <v>21558</v>
      </c>
      <c r="H3093" s="1">
        <v>3</v>
      </c>
      <c r="I3093">
        <v>13</v>
      </c>
      <c r="J3093">
        <f>IF($H3093=0,1,IF($I3093&lt;=1,2,0))</f>
        <v>0</v>
      </c>
      <c r="K3093">
        <v>0</v>
      </c>
      <c r="L3093">
        <f>IF(AND($J3093=0,$K3093=0),0,1)</f>
        <v>0</v>
      </c>
      <c r="M3093" t="s">
        <v>85</v>
      </c>
    </row>
    <row r="3094" spans="1:13" x14ac:dyDescent="0.2">
      <c r="A3094" t="s">
        <v>265</v>
      </c>
      <c r="B3094" t="s">
        <v>71</v>
      </c>
      <c r="C3094" t="s">
        <v>9</v>
      </c>
      <c r="D3094">
        <v>4246</v>
      </c>
      <c r="E3094">
        <v>2020</v>
      </c>
      <c r="F3094">
        <v>1</v>
      </c>
      <c r="G3094">
        <v>10808</v>
      </c>
      <c r="H3094" s="1">
        <v>3</v>
      </c>
      <c r="I3094">
        <v>129</v>
      </c>
      <c r="J3094">
        <f>IF($H3094=0,1,IF($I3094&lt;=1,2,0))</f>
        <v>0</v>
      </c>
      <c r="K3094">
        <v>0</v>
      </c>
      <c r="L3094">
        <f>IF(AND($J3094=0,$K3094=0),0,1)</f>
        <v>0</v>
      </c>
    </row>
    <row r="3095" spans="1:13" x14ac:dyDescent="0.2">
      <c r="A3095" t="s">
        <v>265</v>
      </c>
      <c r="B3095" t="s">
        <v>71</v>
      </c>
      <c r="C3095" t="s">
        <v>9</v>
      </c>
      <c r="D3095">
        <v>4246</v>
      </c>
      <c r="E3095">
        <v>2020</v>
      </c>
      <c r="F3095" t="s">
        <v>84</v>
      </c>
      <c r="G3095">
        <v>21559</v>
      </c>
      <c r="H3095" s="1">
        <v>3</v>
      </c>
      <c r="I3095">
        <v>6</v>
      </c>
      <c r="J3095">
        <f>IF($H3095=0,1,IF($I3095&lt;=1,2,0))</f>
        <v>0</v>
      </c>
      <c r="K3095">
        <v>0</v>
      </c>
      <c r="L3095">
        <f>IF(AND($J3095=0,$K3095=0),0,1)</f>
        <v>0</v>
      </c>
      <c r="M3095" t="s">
        <v>85</v>
      </c>
    </row>
    <row r="3096" spans="1:13" x14ac:dyDescent="0.2">
      <c r="A3096" t="s">
        <v>966</v>
      </c>
      <c r="B3096" t="s">
        <v>133</v>
      </c>
      <c r="C3096" t="s">
        <v>11</v>
      </c>
      <c r="D3096">
        <v>4802</v>
      </c>
      <c r="E3096">
        <v>2020</v>
      </c>
      <c r="F3096">
        <v>1</v>
      </c>
      <c r="G3096">
        <v>11570</v>
      </c>
      <c r="H3096" s="1">
        <v>3</v>
      </c>
      <c r="I3096">
        <v>9</v>
      </c>
      <c r="J3096">
        <f>IF($H3096=0,1,IF($I3096&lt;=1,2,0))</f>
        <v>0</v>
      </c>
      <c r="K3096">
        <v>0</v>
      </c>
      <c r="L3096">
        <f>IF(AND($J3096=0,$K3096=0),0,1)</f>
        <v>0</v>
      </c>
      <c r="M3096" t="s">
        <v>967</v>
      </c>
    </row>
    <row r="3097" spans="1:13" x14ac:dyDescent="0.2">
      <c r="A3097" t="s">
        <v>267</v>
      </c>
      <c r="B3097" t="s">
        <v>17</v>
      </c>
      <c r="C3097" t="s">
        <v>9</v>
      </c>
      <c r="D3097">
        <v>1101</v>
      </c>
      <c r="E3097">
        <v>2020</v>
      </c>
      <c r="F3097">
        <v>1</v>
      </c>
      <c r="G3097">
        <v>10592</v>
      </c>
      <c r="H3097" s="1">
        <v>4</v>
      </c>
      <c r="I3097">
        <v>6</v>
      </c>
      <c r="J3097">
        <f>IF($H3097=0,1,IF($I3097&lt;=1,2,0))</f>
        <v>0</v>
      </c>
      <c r="K3097">
        <v>0</v>
      </c>
      <c r="L3097">
        <f>IF(AND($J3097=0,$K3097=0),0,1)</f>
        <v>0</v>
      </c>
    </row>
    <row r="3098" spans="1:13" x14ac:dyDescent="0.2">
      <c r="A3098" t="s">
        <v>272</v>
      </c>
      <c r="B3098" t="s">
        <v>17</v>
      </c>
      <c r="C3098" t="s">
        <v>9</v>
      </c>
      <c r="D3098">
        <v>1101</v>
      </c>
      <c r="E3098">
        <v>2020</v>
      </c>
      <c r="F3098">
        <v>1</v>
      </c>
      <c r="G3098">
        <v>13160</v>
      </c>
      <c r="H3098" s="1">
        <v>4</v>
      </c>
      <c r="I3098">
        <v>25</v>
      </c>
      <c r="J3098">
        <f>IF($H3098=0,1,IF($I3098&lt;=1,2,0))</f>
        <v>0</v>
      </c>
      <c r="K3098">
        <v>0</v>
      </c>
      <c r="L3098">
        <f>IF(AND($J3098=0,$K3098=0),0,1)</f>
        <v>0</v>
      </c>
    </row>
    <row r="3099" spans="1:13" x14ac:dyDescent="0.2">
      <c r="A3099" t="s">
        <v>272</v>
      </c>
      <c r="B3099" t="s">
        <v>17</v>
      </c>
      <c r="C3099" t="s">
        <v>9</v>
      </c>
      <c r="D3099">
        <v>2101</v>
      </c>
      <c r="E3099">
        <v>2020</v>
      </c>
      <c r="F3099">
        <v>1</v>
      </c>
      <c r="G3099">
        <v>13163</v>
      </c>
      <c r="H3099" s="1">
        <v>4</v>
      </c>
      <c r="I3099">
        <v>16</v>
      </c>
      <c r="J3099">
        <f>IF($H3099=0,1,IF($I3099&lt;=1,2,0))</f>
        <v>0</v>
      </c>
      <c r="K3099">
        <v>0</v>
      </c>
      <c r="L3099">
        <f>IF(AND($J3099=0,$K3099=0),0,1)</f>
        <v>0</v>
      </c>
    </row>
    <row r="3100" spans="1:13" x14ac:dyDescent="0.2">
      <c r="A3100" t="s">
        <v>272</v>
      </c>
      <c r="B3100" t="s">
        <v>17</v>
      </c>
      <c r="C3100" t="s">
        <v>9</v>
      </c>
      <c r="D3100">
        <v>3101</v>
      </c>
      <c r="E3100">
        <v>2020</v>
      </c>
      <c r="F3100">
        <v>1</v>
      </c>
      <c r="G3100">
        <v>13192</v>
      </c>
      <c r="H3100" s="1">
        <v>3</v>
      </c>
      <c r="I3100">
        <v>7</v>
      </c>
      <c r="J3100">
        <f>IF($H3100=0,1,IF($I3100&lt;=1,2,0))</f>
        <v>0</v>
      </c>
      <c r="K3100">
        <v>0</v>
      </c>
      <c r="L3100">
        <f>IF(AND($J3100=0,$K3100=0),0,1)</f>
        <v>0</v>
      </c>
    </row>
    <row r="3101" spans="1:13" x14ac:dyDescent="0.2">
      <c r="A3101" t="s">
        <v>273</v>
      </c>
      <c r="B3101" t="s">
        <v>17</v>
      </c>
      <c r="C3101" t="s">
        <v>9</v>
      </c>
      <c r="D3101">
        <v>2342</v>
      </c>
      <c r="E3101">
        <v>2020</v>
      </c>
      <c r="F3101">
        <v>1</v>
      </c>
      <c r="G3101">
        <v>10659</v>
      </c>
      <c r="H3101" s="1">
        <v>4</v>
      </c>
      <c r="I3101">
        <v>19</v>
      </c>
      <c r="J3101">
        <f>IF($H3101=0,1,IF($I3101&lt;=1,2,0))</f>
        <v>0</v>
      </c>
      <c r="K3101">
        <v>0</v>
      </c>
      <c r="L3101">
        <f>IF(AND($J3101=0,$K3101=0),0,1)</f>
        <v>0</v>
      </c>
    </row>
    <row r="3102" spans="1:13" x14ac:dyDescent="0.2">
      <c r="A3102" t="s">
        <v>273</v>
      </c>
      <c r="B3102" t="s">
        <v>17</v>
      </c>
      <c r="C3102" t="s">
        <v>9</v>
      </c>
      <c r="D3102">
        <v>3217</v>
      </c>
      <c r="E3102">
        <v>2020</v>
      </c>
      <c r="F3102">
        <v>1</v>
      </c>
      <c r="G3102">
        <v>14126</v>
      </c>
      <c r="H3102" s="1">
        <v>4</v>
      </c>
      <c r="I3102">
        <v>15</v>
      </c>
      <c r="J3102">
        <f>IF($H3102=0,1,IF($I3102&lt;=1,2,0))</f>
        <v>0</v>
      </c>
      <c r="K3102">
        <v>0</v>
      </c>
      <c r="L3102">
        <f>IF(AND($J3102=0,$K3102=0),0,1)</f>
        <v>0</v>
      </c>
    </row>
    <row r="3103" spans="1:13" x14ac:dyDescent="0.2">
      <c r="A3103" t="s">
        <v>273</v>
      </c>
      <c r="B3103" t="s">
        <v>17</v>
      </c>
      <c r="C3103" t="s">
        <v>9</v>
      </c>
      <c r="D3103">
        <v>3423</v>
      </c>
      <c r="E3103">
        <v>2020</v>
      </c>
      <c r="F3103">
        <v>1</v>
      </c>
      <c r="G3103">
        <v>15459</v>
      </c>
      <c r="H3103" s="1">
        <v>4</v>
      </c>
      <c r="I3103">
        <v>3</v>
      </c>
      <c r="J3103">
        <f>IF($H3103=0,1,IF($I3103&lt;=1,2,0))</f>
        <v>0</v>
      </c>
      <c r="K3103">
        <v>0</v>
      </c>
      <c r="L3103">
        <f>IF(AND($J3103=0,$K3103=0),0,1)</f>
        <v>0</v>
      </c>
    </row>
    <row r="3104" spans="1:13" x14ac:dyDescent="0.2">
      <c r="A3104" t="s">
        <v>273</v>
      </c>
      <c r="B3104" t="s">
        <v>17</v>
      </c>
      <c r="C3104" t="s">
        <v>9</v>
      </c>
      <c r="D3104">
        <v>3435</v>
      </c>
      <c r="E3104">
        <v>2020</v>
      </c>
      <c r="F3104">
        <v>1</v>
      </c>
      <c r="G3104">
        <v>15495</v>
      </c>
      <c r="H3104" s="1">
        <v>4</v>
      </c>
      <c r="I3104">
        <v>20</v>
      </c>
      <c r="J3104">
        <f>IF($H3104=0,1,IF($I3104&lt;=1,2,0))</f>
        <v>0</v>
      </c>
      <c r="K3104">
        <v>0</v>
      </c>
      <c r="L3104">
        <f>IF(AND($J3104=0,$K3104=0),0,1)</f>
        <v>0</v>
      </c>
    </row>
    <row r="3105" spans="1:13" x14ac:dyDescent="0.2">
      <c r="A3105" t="s">
        <v>273</v>
      </c>
      <c r="B3105" t="s">
        <v>17</v>
      </c>
      <c r="C3105" t="s">
        <v>21</v>
      </c>
      <c r="D3105">
        <v>3844</v>
      </c>
      <c r="E3105">
        <v>2020</v>
      </c>
      <c r="F3105">
        <v>1</v>
      </c>
      <c r="G3105">
        <v>553</v>
      </c>
      <c r="H3105" s="1">
        <v>4</v>
      </c>
      <c r="I3105">
        <v>107</v>
      </c>
      <c r="J3105">
        <f>IF($H3105=0,1,IF($I3105&lt;=1,2,0))</f>
        <v>0</v>
      </c>
      <c r="K3105">
        <v>0</v>
      </c>
      <c r="L3105">
        <f>IF(AND($J3105=0,$K3105=0),0,1)</f>
        <v>0</v>
      </c>
      <c r="M3105" t="s">
        <v>972</v>
      </c>
    </row>
    <row r="3106" spans="1:13" x14ac:dyDescent="0.2">
      <c r="A3106" t="s">
        <v>273</v>
      </c>
      <c r="B3106" t="s">
        <v>17</v>
      </c>
      <c r="C3106" t="s">
        <v>21</v>
      </c>
      <c r="D3106">
        <v>3927</v>
      </c>
      <c r="E3106">
        <v>2020</v>
      </c>
      <c r="F3106">
        <v>1</v>
      </c>
      <c r="G3106">
        <v>10661</v>
      </c>
      <c r="H3106" s="1">
        <v>3</v>
      </c>
      <c r="I3106">
        <v>23</v>
      </c>
      <c r="J3106">
        <f>IF($H3106=0,1,IF($I3106&lt;=1,2,0))</f>
        <v>0</v>
      </c>
      <c r="K3106">
        <v>0</v>
      </c>
      <c r="L3106">
        <f>IF(AND($J3106=0,$K3106=0),0,1)</f>
        <v>0</v>
      </c>
    </row>
    <row r="3107" spans="1:13" x14ac:dyDescent="0.2">
      <c r="A3107" t="s">
        <v>273</v>
      </c>
      <c r="B3107" t="s">
        <v>17</v>
      </c>
      <c r="C3107" t="s">
        <v>9</v>
      </c>
      <c r="D3107">
        <v>3990</v>
      </c>
      <c r="E3107">
        <v>2020</v>
      </c>
      <c r="F3107">
        <v>1</v>
      </c>
      <c r="G3107">
        <v>10662</v>
      </c>
      <c r="H3107" s="1">
        <v>4</v>
      </c>
      <c r="I3107">
        <v>24</v>
      </c>
      <c r="J3107">
        <f>IF($H3107=0,1,IF($I3107&lt;=1,2,0))</f>
        <v>0</v>
      </c>
      <c r="K3107">
        <v>0</v>
      </c>
      <c r="L3107">
        <f>IF(AND($J3107=0,$K3107=0),0,1)</f>
        <v>0</v>
      </c>
      <c r="M3107" t="s">
        <v>973</v>
      </c>
    </row>
    <row r="3108" spans="1:13" x14ac:dyDescent="0.2">
      <c r="A3108" t="s">
        <v>273</v>
      </c>
      <c r="B3108" t="s">
        <v>17</v>
      </c>
      <c r="C3108" t="s">
        <v>9</v>
      </c>
      <c r="D3108">
        <v>4017</v>
      </c>
      <c r="E3108">
        <v>2020</v>
      </c>
      <c r="F3108">
        <v>1</v>
      </c>
      <c r="G3108">
        <v>21481</v>
      </c>
      <c r="H3108" s="1">
        <v>4</v>
      </c>
      <c r="I3108">
        <v>9</v>
      </c>
      <c r="J3108">
        <f>IF($H3108=0,1,IF($I3108&lt;=1,2,0))</f>
        <v>0</v>
      </c>
      <c r="K3108">
        <v>0</v>
      </c>
      <c r="L3108">
        <f>IF(AND($J3108=0,$K3108=0),0,1)</f>
        <v>0</v>
      </c>
    </row>
    <row r="3109" spans="1:13" x14ac:dyDescent="0.2">
      <c r="A3109" t="s">
        <v>273</v>
      </c>
      <c r="B3109" t="s">
        <v>17</v>
      </c>
      <c r="C3109" t="s">
        <v>9</v>
      </c>
      <c r="D3109">
        <v>4122</v>
      </c>
      <c r="E3109">
        <v>2020</v>
      </c>
      <c r="F3109">
        <v>1</v>
      </c>
      <c r="G3109">
        <v>10664</v>
      </c>
      <c r="H3109" s="1">
        <v>4</v>
      </c>
      <c r="I3109">
        <v>17</v>
      </c>
      <c r="J3109">
        <f>IF($H3109=0,1,IF($I3109&lt;=1,2,0))</f>
        <v>0</v>
      </c>
      <c r="K3109">
        <v>0</v>
      </c>
      <c r="L3109">
        <f>IF(AND($J3109=0,$K3109=0),0,1)</f>
        <v>0</v>
      </c>
    </row>
    <row r="3110" spans="1:13" x14ac:dyDescent="0.2">
      <c r="A3110" t="s">
        <v>273</v>
      </c>
      <c r="B3110" t="s">
        <v>17</v>
      </c>
      <c r="C3110" t="s">
        <v>11</v>
      </c>
      <c r="D3110">
        <v>4160</v>
      </c>
      <c r="E3110">
        <v>2020</v>
      </c>
      <c r="F3110">
        <v>1</v>
      </c>
      <c r="G3110">
        <v>10665</v>
      </c>
      <c r="H3110" s="1">
        <v>3</v>
      </c>
      <c r="I3110">
        <v>16</v>
      </c>
      <c r="J3110">
        <f>IF($H3110=0,1,IF($I3110&lt;=1,2,0))</f>
        <v>0</v>
      </c>
      <c r="K3110">
        <v>0</v>
      </c>
      <c r="L3110">
        <f>IF(AND($J3110=0,$K3110=0),0,1)</f>
        <v>0</v>
      </c>
    </row>
    <row r="3111" spans="1:13" x14ac:dyDescent="0.2">
      <c r="A3111" t="s">
        <v>273</v>
      </c>
      <c r="B3111" t="s">
        <v>17</v>
      </c>
      <c r="C3111" t="s">
        <v>9</v>
      </c>
      <c r="D3111">
        <v>4226</v>
      </c>
      <c r="E3111">
        <v>2020</v>
      </c>
      <c r="F3111">
        <v>1</v>
      </c>
      <c r="G3111">
        <v>10666</v>
      </c>
      <c r="H3111" s="1">
        <v>4</v>
      </c>
      <c r="I3111">
        <v>23</v>
      </c>
      <c r="J3111">
        <f>IF($H3111=0,1,IF($I3111&lt;=1,2,0))</f>
        <v>0</v>
      </c>
      <c r="K3111">
        <v>0</v>
      </c>
      <c r="L3111">
        <f>IF(AND($J3111=0,$K3111=0),0,1)</f>
        <v>0</v>
      </c>
    </row>
    <row r="3112" spans="1:13" x14ac:dyDescent="0.2">
      <c r="A3112" t="s">
        <v>273</v>
      </c>
      <c r="B3112" t="s">
        <v>17</v>
      </c>
      <c r="C3112" t="s">
        <v>9</v>
      </c>
      <c r="D3112">
        <v>4236</v>
      </c>
      <c r="E3112">
        <v>2020</v>
      </c>
      <c r="F3112">
        <v>1</v>
      </c>
      <c r="G3112">
        <v>13006</v>
      </c>
      <c r="H3112" s="1">
        <v>4</v>
      </c>
      <c r="I3112">
        <v>17</v>
      </c>
      <c r="J3112">
        <f>IF($H3112=0,1,IF($I3112&lt;=1,2,0))</f>
        <v>0</v>
      </c>
      <c r="K3112">
        <v>0</v>
      </c>
      <c r="L3112">
        <f>IF(AND($J3112=0,$K3112=0),0,1)</f>
        <v>0</v>
      </c>
    </row>
    <row r="3113" spans="1:13" x14ac:dyDescent="0.2">
      <c r="A3113" t="s">
        <v>273</v>
      </c>
      <c r="B3113" t="s">
        <v>17</v>
      </c>
      <c r="C3113" t="s">
        <v>11</v>
      </c>
      <c r="D3113">
        <v>8992</v>
      </c>
      <c r="E3113">
        <v>2020</v>
      </c>
      <c r="F3113">
        <v>1</v>
      </c>
      <c r="G3113">
        <v>10671</v>
      </c>
      <c r="H3113" s="1">
        <v>4</v>
      </c>
      <c r="I3113">
        <v>15</v>
      </c>
      <c r="J3113">
        <f>IF($H3113=0,1,IF($I3113&lt;=1,2,0))</f>
        <v>0</v>
      </c>
      <c r="K3113">
        <v>0</v>
      </c>
      <c r="L3113">
        <f>IF(AND($J3113=0,$K3113=0),0,1)</f>
        <v>0</v>
      </c>
    </row>
    <row r="3114" spans="1:13" x14ac:dyDescent="0.2">
      <c r="A3114" t="s">
        <v>276</v>
      </c>
      <c r="B3114" t="s">
        <v>71</v>
      </c>
      <c r="C3114" t="s">
        <v>72</v>
      </c>
      <c r="D3114">
        <v>2100</v>
      </c>
      <c r="E3114">
        <v>2020</v>
      </c>
      <c r="F3114">
        <v>1</v>
      </c>
      <c r="G3114">
        <v>12841</v>
      </c>
      <c r="H3114" s="1">
        <v>3</v>
      </c>
      <c r="I3114">
        <v>41</v>
      </c>
      <c r="J3114">
        <f>IF($H3114=0,1,IF($I3114&lt;=1,2,0))</f>
        <v>0</v>
      </c>
      <c r="K3114">
        <v>0</v>
      </c>
      <c r="L3114">
        <f>IF(AND($J3114=0,$K3114=0),0,1)</f>
        <v>0</v>
      </c>
    </row>
    <row r="3115" spans="1:13" x14ac:dyDescent="0.2">
      <c r="A3115" t="s">
        <v>276</v>
      </c>
      <c r="B3115" t="s">
        <v>71</v>
      </c>
      <c r="C3115" t="s">
        <v>72</v>
      </c>
      <c r="D3115">
        <v>3103</v>
      </c>
      <c r="E3115">
        <v>2020</v>
      </c>
      <c r="F3115">
        <v>1</v>
      </c>
      <c r="G3115">
        <v>13589</v>
      </c>
      <c r="H3115" s="1">
        <v>3</v>
      </c>
      <c r="I3115">
        <v>26</v>
      </c>
      <c r="J3115">
        <f>IF($H3115=0,1,IF($I3115&lt;=1,2,0))</f>
        <v>0</v>
      </c>
      <c r="K3115">
        <v>0</v>
      </c>
      <c r="L3115">
        <f>IF(AND($J3115=0,$K3115=0),0,1)</f>
        <v>0</v>
      </c>
    </row>
    <row r="3116" spans="1:13" x14ac:dyDescent="0.2">
      <c r="A3116" t="s">
        <v>276</v>
      </c>
      <c r="B3116" t="s">
        <v>71</v>
      </c>
      <c r="C3116" t="s">
        <v>72</v>
      </c>
      <c r="D3116">
        <v>3200</v>
      </c>
      <c r="E3116">
        <v>2020</v>
      </c>
      <c r="F3116">
        <v>1</v>
      </c>
      <c r="G3116">
        <v>12842</v>
      </c>
      <c r="H3116" s="1">
        <v>3</v>
      </c>
      <c r="I3116">
        <v>21</v>
      </c>
      <c r="J3116">
        <f>IF($H3116=0,1,IF($I3116&lt;=1,2,0))</f>
        <v>0</v>
      </c>
      <c r="K3116">
        <v>0</v>
      </c>
      <c r="L3116">
        <f>IF(AND($J3116=0,$K3116=0),0,1)</f>
        <v>0</v>
      </c>
    </row>
    <row r="3117" spans="1:13" x14ac:dyDescent="0.2">
      <c r="A3117" t="s">
        <v>276</v>
      </c>
      <c r="B3117" t="s">
        <v>71</v>
      </c>
      <c r="C3117" t="s">
        <v>72</v>
      </c>
      <c r="D3117">
        <v>3800</v>
      </c>
      <c r="E3117">
        <v>2020</v>
      </c>
      <c r="F3117">
        <v>1</v>
      </c>
      <c r="G3117">
        <v>12843</v>
      </c>
      <c r="H3117" s="1">
        <v>2</v>
      </c>
      <c r="I3117">
        <v>10</v>
      </c>
      <c r="J3117">
        <f>IF($H3117=0,1,IF($I3117&lt;=1,2,0))</f>
        <v>0</v>
      </c>
      <c r="K3117">
        <v>0</v>
      </c>
      <c r="L3117">
        <f>IF(AND($J3117=0,$K3117=0),0,1)</f>
        <v>0</v>
      </c>
    </row>
    <row r="3118" spans="1:13" x14ac:dyDescent="0.2">
      <c r="A3118" t="s">
        <v>276</v>
      </c>
      <c r="B3118" t="s">
        <v>71</v>
      </c>
      <c r="C3118" t="s">
        <v>72</v>
      </c>
      <c r="D3118">
        <v>4000</v>
      </c>
      <c r="E3118">
        <v>2020</v>
      </c>
      <c r="F3118">
        <v>1</v>
      </c>
      <c r="G3118">
        <v>15600</v>
      </c>
      <c r="H3118" s="1">
        <v>3</v>
      </c>
      <c r="I3118">
        <v>10</v>
      </c>
      <c r="J3118">
        <f>IF($H3118=0,1,IF($I3118&lt;=1,2,0))</f>
        <v>0</v>
      </c>
      <c r="K3118">
        <v>0</v>
      </c>
      <c r="L3118">
        <f>IF(AND($J3118=0,$K3118=0),0,1)</f>
        <v>0</v>
      </c>
    </row>
    <row r="3119" spans="1:13" x14ac:dyDescent="0.2">
      <c r="A3119" t="s">
        <v>276</v>
      </c>
      <c r="B3119" t="s">
        <v>71</v>
      </c>
      <c r="C3119" t="s">
        <v>72</v>
      </c>
      <c r="D3119">
        <v>4001</v>
      </c>
      <c r="E3119">
        <v>2020</v>
      </c>
      <c r="F3119">
        <v>1</v>
      </c>
      <c r="G3119">
        <v>13593</v>
      </c>
      <c r="H3119" s="1">
        <v>3</v>
      </c>
      <c r="I3119">
        <v>30</v>
      </c>
      <c r="J3119">
        <f>IF($H3119=0,1,IF($I3119&lt;=1,2,0))</f>
        <v>0</v>
      </c>
      <c r="K3119">
        <v>0</v>
      </c>
      <c r="L3119">
        <f>IF(AND($J3119=0,$K3119=0),0,1)</f>
        <v>0</v>
      </c>
    </row>
    <row r="3120" spans="1:13" x14ac:dyDescent="0.2">
      <c r="A3120" t="s">
        <v>276</v>
      </c>
      <c r="B3120" t="s">
        <v>71</v>
      </c>
      <c r="C3120" t="s">
        <v>72</v>
      </c>
      <c r="D3120">
        <v>4003</v>
      </c>
      <c r="E3120">
        <v>2020</v>
      </c>
      <c r="F3120">
        <v>1</v>
      </c>
      <c r="G3120">
        <v>12839</v>
      </c>
      <c r="H3120" s="1">
        <v>3</v>
      </c>
      <c r="I3120">
        <v>36</v>
      </c>
      <c r="J3120">
        <f>IF($H3120=0,1,IF($I3120&lt;=1,2,0))</f>
        <v>0</v>
      </c>
      <c r="K3120">
        <v>0</v>
      </c>
      <c r="L3120">
        <f>IF(AND($J3120=0,$K3120=0),0,1)</f>
        <v>0</v>
      </c>
    </row>
    <row r="3121" spans="1:13" x14ac:dyDescent="0.2">
      <c r="A3121" t="s">
        <v>276</v>
      </c>
      <c r="B3121" t="s">
        <v>71</v>
      </c>
      <c r="C3121" t="s">
        <v>72</v>
      </c>
      <c r="D3121">
        <v>4200</v>
      </c>
      <c r="E3121">
        <v>2020</v>
      </c>
      <c r="F3121">
        <v>1</v>
      </c>
      <c r="G3121">
        <v>21579</v>
      </c>
      <c r="H3121" s="1">
        <v>3</v>
      </c>
      <c r="I3121">
        <v>12</v>
      </c>
      <c r="J3121">
        <f>IF($H3121=0,1,IF($I3121&lt;=1,2,0))</f>
        <v>0</v>
      </c>
      <c r="K3121">
        <v>0</v>
      </c>
      <c r="L3121">
        <f>IF(AND($J3121=0,$K3121=0),0,1)</f>
        <v>0</v>
      </c>
    </row>
    <row r="3122" spans="1:13" x14ac:dyDescent="0.2">
      <c r="A3122" t="s">
        <v>276</v>
      </c>
      <c r="B3122" t="s">
        <v>71</v>
      </c>
      <c r="C3122" t="s">
        <v>72</v>
      </c>
      <c r="D3122">
        <v>4220</v>
      </c>
      <c r="E3122">
        <v>2020</v>
      </c>
      <c r="F3122">
        <v>1</v>
      </c>
      <c r="G3122">
        <v>15253</v>
      </c>
      <c r="H3122" s="1">
        <v>3</v>
      </c>
      <c r="I3122">
        <v>39</v>
      </c>
      <c r="J3122">
        <f>IF($H3122=0,1,IF($I3122&lt;=1,2,0))</f>
        <v>0</v>
      </c>
      <c r="K3122">
        <v>0</v>
      </c>
      <c r="L3122">
        <f>IF(AND($J3122=0,$K3122=0),0,1)</f>
        <v>0</v>
      </c>
    </row>
    <row r="3123" spans="1:13" x14ac:dyDescent="0.2">
      <c r="A3123" t="s">
        <v>276</v>
      </c>
      <c r="B3123" t="s">
        <v>71</v>
      </c>
      <c r="C3123" t="s">
        <v>72</v>
      </c>
      <c r="D3123">
        <v>4304</v>
      </c>
      <c r="E3123">
        <v>2020</v>
      </c>
      <c r="F3123">
        <v>1</v>
      </c>
      <c r="G3123">
        <v>15457</v>
      </c>
      <c r="H3123" s="1">
        <v>3</v>
      </c>
      <c r="I3123">
        <v>3</v>
      </c>
      <c r="J3123">
        <f>IF($H3123=0,1,IF($I3123&lt;=1,2,0))</f>
        <v>0</v>
      </c>
      <c r="K3123">
        <v>0</v>
      </c>
      <c r="L3123">
        <f>IF(AND($J3123=0,$K3123=0),0,1)</f>
        <v>0</v>
      </c>
    </row>
    <row r="3124" spans="1:13" x14ac:dyDescent="0.2">
      <c r="A3124" t="s">
        <v>276</v>
      </c>
      <c r="B3124" t="s">
        <v>71</v>
      </c>
      <c r="C3124" t="s">
        <v>72</v>
      </c>
      <c r="D3124">
        <v>4550</v>
      </c>
      <c r="E3124">
        <v>2020</v>
      </c>
      <c r="F3124">
        <v>1</v>
      </c>
      <c r="G3124">
        <v>12840</v>
      </c>
      <c r="H3124" s="1">
        <v>3</v>
      </c>
      <c r="I3124">
        <v>15</v>
      </c>
      <c r="J3124">
        <f>IF($H3124=0,1,IF($I3124&lt;=1,2,0))</f>
        <v>0</v>
      </c>
      <c r="K3124">
        <v>0</v>
      </c>
      <c r="L3124">
        <f>IF(AND($J3124=0,$K3124=0),0,1)</f>
        <v>0</v>
      </c>
    </row>
    <row r="3125" spans="1:13" x14ac:dyDescent="0.2">
      <c r="A3125" t="s">
        <v>276</v>
      </c>
      <c r="B3125" t="s">
        <v>71</v>
      </c>
      <c r="C3125" t="s">
        <v>72</v>
      </c>
      <c r="D3125">
        <v>6181</v>
      </c>
      <c r="E3125">
        <v>2020</v>
      </c>
      <c r="F3125">
        <v>1</v>
      </c>
      <c r="G3125">
        <v>20724</v>
      </c>
      <c r="H3125" s="1">
        <v>3</v>
      </c>
      <c r="I3125">
        <v>15</v>
      </c>
      <c r="J3125">
        <f>IF($H3125=0,1,IF($I3125&lt;=1,2,0))</f>
        <v>0</v>
      </c>
      <c r="K3125">
        <v>0</v>
      </c>
      <c r="L3125">
        <f>IF(AND($J3125=0,$K3125=0),0,1)</f>
        <v>0</v>
      </c>
    </row>
    <row r="3126" spans="1:13" x14ac:dyDescent="0.2">
      <c r="A3126" t="s">
        <v>277</v>
      </c>
      <c r="B3126" t="s">
        <v>17</v>
      </c>
      <c r="C3126" t="s">
        <v>9</v>
      </c>
      <c r="D3126">
        <v>4312</v>
      </c>
      <c r="E3126">
        <v>2020</v>
      </c>
      <c r="F3126">
        <v>1</v>
      </c>
      <c r="G3126">
        <v>10673</v>
      </c>
      <c r="H3126" s="1">
        <v>4</v>
      </c>
      <c r="I3126">
        <v>15</v>
      </c>
      <c r="J3126">
        <f>IF($H3126=0,1,IF($I3126&lt;=1,2,0))</f>
        <v>0</v>
      </c>
      <c r="K3126">
        <v>0</v>
      </c>
      <c r="L3126">
        <f>IF(AND($J3126=0,$K3126=0),0,1)</f>
        <v>0</v>
      </c>
    </row>
    <row r="3127" spans="1:13" x14ac:dyDescent="0.2">
      <c r="A3127" t="s">
        <v>277</v>
      </c>
      <c r="B3127" t="s">
        <v>17</v>
      </c>
      <c r="C3127" t="s">
        <v>9</v>
      </c>
      <c r="D3127">
        <v>4320</v>
      </c>
      <c r="E3127">
        <v>2020</v>
      </c>
      <c r="F3127">
        <v>1</v>
      </c>
      <c r="G3127">
        <v>15485</v>
      </c>
      <c r="H3127" s="1">
        <v>4</v>
      </c>
      <c r="I3127">
        <v>8</v>
      </c>
      <c r="J3127">
        <f>IF($H3127=0,1,IF($I3127&lt;=1,2,0))</f>
        <v>0</v>
      </c>
      <c r="K3127">
        <v>0</v>
      </c>
      <c r="L3127">
        <f>IF(AND($J3127=0,$K3127=0),0,1)</f>
        <v>0</v>
      </c>
    </row>
    <row r="3128" spans="1:13" x14ac:dyDescent="0.2">
      <c r="A3128" t="s">
        <v>277</v>
      </c>
      <c r="B3128" t="s">
        <v>17</v>
      </c>
      <c r="C3128" t="s">
        <v>9</v>
      </c>
      <c r="D3128">
        <v>4324</v>
      </c>
      <c r="E3128">
        <v>2020</v>
      </c>
      <c r="F3128">
        <v>1</v>
      </c>
      <c r="G3128">
        <v>21525</v>
      </c>
      <c r="H3128" s="1">
        <v>4</v>
      </c>
      <c r="I3128">
        <v>2</v>
      </c>
      <c r="J3128">
        <f>IF($H3128=0,1,IF($I3128&lt;=1,2,0))</f>
        <v>0</v>
      </c>
      <c r="K3128">
        <v>0</v>
      </c>
      <c r="L3128">
        <f>IF(AND($J3128=0,$K3128=0),0,1)</f>
        <v>0</v>
      </c>
    </row>
    <row r="3129" spans="1:13" x14ac:dyDescent="0.2">
      <c r="A3129" t="s">
        <v>277</v>
      </c>
      <c r="B3129" t="s">
        <v>17</v>
      </c>
      <c r="C3129" t="s">
        <v>9</v>
      </c>
      <c r="D3129">
        <v>4410</v>
      </c>
      <c r="E3129">
        <v>2020</v>
      </c>
      <c r="F3129">
        <v>1</v>
      </c>
      <c r="G3129">
        <v>13009</v>
      </c>
      <c r="H3129" s="1">
        <v>4</v>
      </c>
      <c r="I3129">
        <v>14</v>
      </c>
      <c r="J3129">
        <f>IF($H3129=0,1,IF($I3129&lt;=1,2,0))</f>
        <v>0</v>
      </c>
      <c r="K3129">
        <v>0</v>
      </c>
      <c r="L3129">
        <f>IF(AND($J3129=0,$K3129=0),0,1)</f>
        <v>0</v>
      </c>
    </row>
    <row r="3130" spans="1:13" x14ac:dyDescent="0.2">
      <c r="A3130" t="s">
        <v>278</v>
      </c>
      <c r="B3130" t="s">
        <v>6</v>
      </c>
      <c r="C3130" t="s">
        <v>11</v>
      </c>
      <c r="D3130">
        <v>6220</v>
      </c>
      <c r="E3130">
        <v>2020</v>
      </c>
      <c r="F3130">
        <v>1</v>
      </c>
      <c r="G3130">
        <v>12809</v>
      </c>
      <c r="H3130" s="1">
        <v>4</v>
      </c>
      <c r="I3130">
        <v>10</v>
      </c>
      <c r="J3130">
        <f>IF($H3130=0,1,IF($I3130&lt;=1,2,0))</f>
        <v>0</v>
      </c>
      <c r="K3130">
        <v>0</v>
      </c>
      <c r="L3130">
        <f>IF(AND($J3130=0,$K3130=0),0,1)</f>
        <v>0</v>
      </c>
    </row>
    <row r="3131" spans="1:13" x14ac:dyDescent="0.2">
      <c r="A3131" t="s">
        <v>279</v>
      </c>
      <c r="B3131" t="s">
        <v>71</v>
      </c>
      <c r="C3131" t="s">
        <v>72</v>
      </c>
      <c r="D3131">
        <v>4040</v>
      </c>
      <c r="E3131">
        <v>2020</v>
      </c>
      <c r="F3131">
        <v>1</v>
      </c>
      <c r="G3131">
        <v>10599</v>
      </c>
      <c r="H3131" s="1">
        <v>3</v>
      </c>
      <c r="I3131">
        <v>92</v>
      </c>
      <c r="J3131">
        <f>IF($H3131=0,1,IF($I3131&lt;=1,2,0))</f>
        <v>0</v>
      </c>
      <c r="K3131">
        <v>0</v>
      </c>
      <c r="L3131">
        <f>IF(AND($J3131=0,$K3131=0),0,1)</f>
        <v>0</v>
      </c>
    </row>
    <row r="3132" spans="1:13" x14ac:dyDescent="0.2">
      <c r="A3132" t="s">
        <v>279</v>
      </c>
      <c r="B3132" t="s">
        <v>71</v>
      </c>
      <c r="C3132" t="s">
        <v>72</v>
      </c>
      <c r="D3132">
        <v>4040</v>
      </c>
      <c r="E3132">
        <v>2020</v>
      </c>
      <c r="F3132" t="s">
        <v>84</v>
      </c>
      <c r="G3132">
        <v>21574</v>
      </c>
      <c r="H3132" s="1">
        <v>3</v>
      </c>
      <c r="I3132">
        <v>2</v>
      </c>
      <c r="J3132">
        <f>IF($H3132=0,1,IF($I3132&lt;=1,2,0))</f>
        <v>0</v>
      </c>
      <c r="K3132">
        <v>0</v>
      </c>
      <c r="L3132">
        <f>IF(AND($J3132=0,$K3132=0),0,1)</f>
        <v>0</v>
      </c>
      <c r="M3132" t="s">
        <v>85</v>
      </c>
    </row>
    <row r="3133" spans="1:13" x14ac:dyDescent="0.2">
      <c r="A3133" t="s">
        <v>279</v>
      </c>
      <c r="B3133" t="s">
        <v>71</v>
      </c>
      <c r="C3133" t="s">
        <v>72</v>
      </c>
      <c r="D3133">
        <v>4060</v>
      </c>
      <c r="E3133">
        <v>2020</v>
      </c>
      <c r="F3133">
        <v>1</v>
      </c>
      <c r="G3133">
        <v>15255</v>
      </c>
      <c r="H3133" s="1">
        <v>3</v>
      </c>
      <c r="I3133">
        <v>10</v>
      </c>
      <c r="J3133">
        <f>IF($H3133=0,1,IF($I3133&lt;=1,2,0))</f>
        <v>0</v>
      </c>
      <c r="K3133">
        <v>0</v>
      </c>
      <c r="L3133">
        <f>IF(AND($J3133=0,$K3133=0),0,1)</f>
        <v>0</v>
      </c>
    </row>
    <row r="3134" spans="1:13" x14ac:dyDescent="0.2">
      <c r="A3134" t="s">
        <v>282</v>
      </c>
      <c r="B3134" t="s">
        <v>6</v>
      </c>
      <c r="C3134" t="s">
        <v>9</v>
      </c>
      <c r="D3134">
        <v>1105</v>
      </c>
      <c r="E3134">
        <v>2020</v>
      </c>
      <c r="F3134">
        <v>1</v>
      </c>
      <c r="G3134">
        <v>10542</v>
      </c>
      <c r="H3134" s="1">
        <v>4</v>
      </c>
      <c r="I3134">
        <v>300</v>
      </c>
      <c r="J3134">
        <f>IF($H3134=0,1,IF($I3134&lt;=1,2,0))</f>
        <v>0</v>
      </c>
      <c r="K3134">
        <v>0</v>
      </c>
      <c r="L3134">
        <f>IF(AND($J3134=0,$K3134=0),0,1)</f>
        <v>0</v>
      </c>
      <c r="M3134" t="s">
        <v>283</v>
      </c>
    </row>
    <row r="3135" spans="1:13" x14ac:dyDescent="0.2">
      <c r="A3135" t="s">
        <v>282</v>
      </c>
      <c r="B3135" t="s">
        <v>6</v>
      </c>
      <c r="C3135" t="s">
        <v>9</v>
      </c>
      <c r="D3135">
        <v>1105</v>
      </c>
      <c r="E3135">
        <v>2020</v>
      </c>
      <c r="F3135">
        <v>2</v>
      </c>
      <c r="G3135">
        <v>10541</v>
      </c>
      <c r="H3135" s="1">
        <v>4</v>
      </c>
      <c r="I3135">
        <v>255</v>
      </c>
      <c r="J3135">
        <f>IF($H3135=0,1,IF($I3135&lt;=1,2,0))</f>
        <v>0</v>
      </c>
      <c r="K3135">
        <v>0</v>
      </c>
      <c r="L3135">
        <f>IF(AND($J3135=0,$K3135=0),0,1)</f>
        <v>0</v>
      </c>
      <c r="M3135" t="s">
        <v>283</v>
      </c>
    </row>
    <row r="3136" spans="1:13" x14ac:dyDescent="0.2">
      <c r="A3136" t="s">
        <v>282</v>
      </c>
      <c r="B3136" t="s">
        <v>6</v>
      </c>
      <c r="C3136" t="s">
        <v>21</v>
      </c>
      <c r="D3136">
        <v>2029</v>
      </c>
      <c r="E3136">
        <v>2020</v>
      </c>
      <c r="F3136">
        <v>1</v>
      </c>
      <c r="G3136">
        <v>10544</v>
      </c>
      <c r="H3136" s="1">
        <v>1</v>
      </c>
      <c r="I3136">
        <v>15</v>
      </c>
      <c r="J3136">
        <f>IF($H3136=0,1,IF($I3136&lt;=1,2,0))</f>
        <v>0</v>
      </c>
      <c r="K3136">
        <v>0</v>
      </c>
      <c r="L3136">
        <f>IF(AND($J3136=0,$K3136=0),0,1)</f>
        <v>0</v>
      </c>
    </row>
    <row r="3137" spans="1:13" x14ac:dyDescent="0.2">
      <c r="A3137" t="s">
        <v>282</v>
      </c>
      <c r="B3137" t="s">
        <v>6</v>
      </c>
      <c r="C3137" t="s">
        <v>9</v>
      </c>
      <c r="D3137">
        <v>2105</v>
      </c>
      <c r="E3137">
        <v>2020</v>
      </c>
      <c r="F3137">
        <v>1</v>
      </c>
      <c r="G3137">
        <v>11912</v>
      </c>
      <c r="H3137" s="1">
        <v>3</v>
      </c>
      <c r="I3137">
        <v>65</v>
      </c>
      <c r="J3137">
        <f>IF($H3137=0,1,IF($I3137&lt;=1,2,0))</f>
        <v>0</v>
      </c>
      <c r="K3137">
        <v>0</v>
      </c>
      <c r="L3137">
        <f>IF(AND($J3137=0,$K3137=0),0,1)</f>
        <v>0</v>
      </c>
    </row>
    <row r="3138" spans="1:13" x14ac:dyDescent="0.2">
      <c r="A3138" t="s">
        <v>282</v>
      </c>
      <c r="B3138" t="s">
        <v>6</v>
      </c>
      <c r="C3138" t="s">
        <v>21</v>
      </c>
      <c r="D3138">
        <v>3025</v>
      </c>
      <c r="E3138">
        <v>2020</v>
      </c>
      <c r="F3138">
        <v>1</v>
      </c>
      <c r="G3138">
        <v>10545</v>
      </c>
      <c r="H3138" s="1">
        <v>3</v>
      </c>
      <c r="I3138">
        <v>87</v>
      </c>
      <c r="J3138">
        <f>IF($H3138=0,1,IF($I3138&lt;=1,2,0))</f>
        <v>0</v>
      </c>
      <c r="K3138">
        <v>0</v>
      </c>
      <c r="L3138">
        <f>IF(AND($J3138=0,$K3138=0),0,1)</f>
        <v>0</v>
      </c>
    </row>
    <row r="3139" spans="1:13" x14ac:dyDescent="0.2">
      <c r="A3139" t="s">
        <v>282</v>
      </c>
      <c r="B3139" t="s">
        <v>6</v>
      </c>
      <c r="C3139" t="s">
        <v>9</v>
      </c>
      <c r="D3139">
        <v>3211</v>
      </c>
      <c r="E3139">
        <v>2020</v>
      </c>
      <c r="F3139">
        <v>1</v>
      </c>
      <c r="G3139">
        <v>11176</v>
      </c>
      <c r="H3139" s="1">
        <v>4</v>
      </c>
      <c r="I3139">
        <v>84</v>
      </c>
      <c r="J3139">
        <f>IF($H3139=0,1,IF($I3139&lt;=1,2,0))</f>
        <v>0</v>
      </c>
      <c r="K3139">
        <v>0</v>
      </c>
      <c r="L3139">
        <f>IF(AND($J3139=0,$K3139=0),0,1)</f>
        <v>0</v>
      </c>
      <c r="M3139" t="s">
        <v>295</v>
      </c>
    </row>
    <row r="3140" spans="1:13" x14ac:dyDescent="0.2">
      <c r="A3140" t="s">
        <v>282</v>
      </c>
      <c r="B3140" t="s">
        <v>6</v>
      </c>
      <c r="C3140" t="s">
        <v>9</v>
      </c>
      <c r="D3140">
        <v>3211</v>
      </c>
      <c r="E3140">
        <v>2020</v>
      </c>
      <c r="F3140">
        <v>2</v>
      </c>
      <c r="G3140">
        <v>10546</v>
      </c>
      <c r="H3140" s="1">
        <v>4</v>
      </c>
      <c r="I3140">
        <v>74</v>
      </c>
      <c r="J3140">
        <f>IF($H3140=0,1,IF($I3140&lt;=1,2,0))</f>
        <v>0</v>
      </c>
      <c r="K3140">
        <v>0</v>
      </c>
      <c r="L3140">
        <f>IF(AND($J3140=0,$K3140=0),0,1)</f>
        <v>0</v>
      </c>
      <c r="M3140" t="s">
        <v>295</v>
      </c>
    </row>
    <row r="3141" spans="1:13" x14ac:dyDescent="0.2">
      <c r="A3141" t="s">
        <v>282</v>
      </c>
      <c r="B3141" t="s">
        <v>6</v>
      </c>
      <c r="C3141" t="s">
        <v>9</v>
      </c>
      <c r="D3141">
        <v>3211</v>
      </c>
      <c r="E3141">
        <v>2020</v>
      </c>
      <c r="F3141">
        <v>3</v>
      </c>
      <c r="G3141">
        <v>10547</v>
      </c>
      <c r="H3141" s="1">
        <v>4</v>
      </c>
      <c r="I3141">
        <v>68</v>
      </c>
      <c r="J3141">
        <f>IF($H3141=0,1,IF($I3141&lt;=1,2,0))</f>
        <v>0</v>
      </c>
      <c r="K3141">
        <v>0</v>
      </c>
      <c r="L3141">
        <f>IF(AND($J3141=0,$K3141=0),0,1)</f>
        <v>0</v>
      </c>
      <c r="M3141" t="s">
        <v>295</v>
      </c>
    </row>
    <row r="3142" spans="1:13" x14ac:dyDescent="0.2">
      <c r="A3142" t="s">
        <v>282</v>
      </c>
      <c r="B3142" t="s">
        <v>6</v>
      </c>
      <c r="C3142" t="s">
        <v>9</v>
      </c>
      <c r="D3142">
        <v>3213</v>
      </c>
      <c r="E3142">
        <v>2020</v>
      </c>
      <c r="F3142">
        <v>1</v>
      </c>
      <c r="G3142">
        <v>10550</v>
      </c>
      <c r="H3142" s="1">
        <v>4</v>
      </c>
      <c r="I3142">
        <v>191</v>
      </c>
      <c r="J3142">
        <f>IF($H3142=0,1,IF($I3142&lt;=1,2,0))</f>
        <v>0</v>
      </c>
      <c r="K3142">
        <v>0</v>
      </c>
      <c r="L3142">
        <f>IF(AND($J3142=0,$K3142=0),0,1)</f>
        <v>0</v>
      </c>
      <c r="M3142" t="s">
        <v>296</v>
      </c>
    </row>
    <row r="3143" spans="1:13" x14ac:dyDescent="0.2">
      <c r="A3143" t="s">
        <v>282</v>
      </c>
      <c r="B3143" t="s">
        <v>6</v>
      </c>
      <c r="C3143" t="s">
        <v>9</v>
      </c>
      <c r="D3143">
        <v>3213</v>
      </c>
      <c r="E3143">
        <v>2020</v>
      </c>
      <c r="F3143">
        <v>2</v>
      </c>
      <c r="G3143">
        <v>10551</v>
      </c>
      <c r="H3143" s="1">
        <v>4</v>
      </c>
      <c r="I3143">
        <v>140</v>
      </c>
      <c r="J3143">
        <f>IF($H3143=0,1,IF($I3143&lt;=1,2,0))</f>
        <v>0</v>
      </c>
      <c r="K3143">
        <v>0</v>
      </c>
      <c r="L3143">
        <f>IF(AND($J3143=0,$K3143=0),0,1)</f>
        <v>0</v>
      </c>
      <c r="M3143" t="s">
        <v>296</v>
      </c>
    </row>
    <row r="3144" spans="1:13" x14ac:dyDescent="0.2">
      <c r="A3144" t="s">
        <v>282</v>
      </c>
      <c r="B3144" t="s">
        <v>6</v>
      </c>
      <c r="C3144" t="s">
        <v>21</v>
      </c>
      <c r="D3144">
        <v>3265</v>
      </c>
      <c r="E3144">
        <v>2020</v>
      </c>
      <c r="F3144">
        <v>1</v>
      </c>
      <c r="G3144">
        <v>295</v>
      </c>
      <c r="H3144" s="1">
        <v>3</v>
      </c>
      <c r="I3144">
        <v>77</v>
      </c>
      <c r="J3144">
        <f>IF($H3144=0,1,IF($I3144&lt;=1,2,0))</f>
        <v>0</v>
      </c>
      <c r="K3144">
        <v>0</v>
      </c>
      <c r="L3144">
        <f>IF(AND($J3144=0,$K3144=0),0,1)</f>
        <v>0</v>
      </c>
      <c r="M3144" t="s">
        <v>1991</v>
      </c>
    </row>
    <row r="3145" spans="1:13" x14ac:dyDescent="0.2">
      <c r="A3145" t="s">
        <v>282</v>
      </c>
      <c r="B3145" t="s">
        <v>6</v>
      </c>
      <c r="C3145" t="s">
        <v>9</v>
      </c>
      <c r="D3145">
        <v>3412</v>
      </c>
      <c r="E3145">
        <v>2020</v>
      </c>
      <c r="F3145">
        <v>2</v>
      </c>
      <c r="G3145">
        <v>10554</v>
      </c>
      <c r="H3145" s="1">
        <v>4</v>
      </c>
      <c r="I3145">
        <v>96</v>
      </c>
      <c r="J3145">
        <f>IF($H3145=0,1,IF($I3145&lt;=1,2,0))</f>
        <v>0</v>
      </c>
      <c r="K3145">
        <v>0</v>
      </c>
      <c r="L3145">
        <f>IF(AND($J3145=0,$K3145=0),0,1)</f>
        <v>0</v>
      </c>
      <c r="M3145" t="s">
        <v>297</v>
      </c>
    </row>
    <row r="3146" spans="1:13" x14ac:dyDescent="0.2">
      <c r="A3146" t="s">
        <v>282</v>
      </c>
      <c r="B3146" t="s">
        <v>6</v>
      </c>
      <c r="C3146" t="s">
        <v>9</v>
      </c>
      <c r="D3146">
        <v>3412</v>
      </c>
      <c r="E3146">
        <v>2020</v>
      </c>
      <c r="F3146">
        <v>1</v>
      </c>
      <c r="G3146">
        <v>10553</v>
      </c>
      <c r="H3146" s="1">
        <v>4</v>
      </c>
      <c r="I3146">
        <v>83</v>
      </c>
      <c r="J3146">
        <f>IF($H3146=0,1,IF($I3146&lt;=1,2,0))</f>
        <v>0</v>
      </c>
      <c r="K3146">
        <v>0</v>
      </c>
      <c r="L3146">
        <f>IF(AND($J3146=0,$K3146=0),0,1)</f>
        <v>0</v>
      </c>
      <c r="M3146" t="s">
        <v>297</v>
      </c>
    </row>
    <row r="3147" spans="1:13" x14ac:dyDescent="0.2">
      <c r="A3147" t="s">
        <v>282</v>
      </c>
      <c r="B3147" t="s">
        <v>6</v>
      </c>
      <c r="C3147" t="s">
        <v>9</v>
      </c>
      <c r="D3147">
        <v>4020</v>
      </c>
      <c r="E3147">
        <v>2020</v>
      </c>
      <c r="F3147">
        <v>1</v>
      </c>
      <c r="G3147">
        <v>10558</v>
      </c>
      <c r="H3147" s="1">
        <v>3</v>
      </c>
      <c r="I3147">
        <v>28</v>
      </c>
      <c r="J3147">
        <f>IF($H3147=0,1,IF($I3147&lt;=1,2,0))</f>
        <v>0</v>
      </c>
      <c r="K3147">
        <v>0</v>
      </c>
      <c r="L3147">
        <f>IF(AND($J3147=0,$K3147=0),0,1)</f>
        <v>0</v>
      </c>
    </row>
    <row r="3148" spans="1:13" x14ac:dyDescent="0.2">
      <c r="A3148" t="s">
        <v>282</v>
      </c>
      <c r="B3148" t="s">
        <v>6</v>
      </c>
      <c r="C3148" t="s">
        <v>9</v>
      </c>
      <c r="D3148">
        <v>4251</v>
      </c>
      <c r="E3148">
        <v>2020</v>
      </c>
      <c r="F3148">
        <v>1</v>
      </c>
      <c r="G3148">
        <v>12227</v>
      </c>
      <c r="H3148" s="1">
        <v>3</v>
      </c>
      <c r="I3148">
        <v>43</v>
      </c>
      <c r="J3148">
        <f>IF($H3148=0,1,IF($I3148&lt;=1,2,0))</f>
        <v>0</v>
      </c>
      <c r="K3148">
        <v>0</v>
      </c>
      <c r="L3148">
        <f>IF(AND($J3148=0,$K3148=0),0,1)</f>
        <v>0</v>
      </c>
    </row>
    <row r="3149" spans="1:13" x14ac:dyDescent="0.2">
      <c r="A3149" t="s">
        <v>282</v>
      </c>
      <c r="B3149" t="s">
        <v>6</v>
      </c>
      <c r="C3149" t="s">
        <v>9</v>
      </c>
      <c r="D3149">
        <v>4280</v>
      </c>
      <c r="E3149">
        <v>2020</v>
      </c>
      <c r="F3149">
        <v>2</v>
      </c>
      <c r="G3149">
        <v>10563</v>
      </c>
      <c r="H3149" s="1">
        <v>3</v>
      </c>
      <c r="I3149">
        <v>95</v>
      </c>
      <c r="J3149">
        <f>IF($H3149=0,1,IF($I3149&lt;=1,2,0))</f>
        <v>0</v>
      </c>
      <c r="K3149">
        <v>0</v>
      </c>
      <c r="L3149">
        <f>IF(AND($J3149=0,$K3149=0),0,1)</f>
        <v>0</v>
      </c>
    </row>
    <row r="3150" spans="1:13" x14ac:dyDescent="0.2">
      <c r="A3150" t="s">
        <v>282</v>
      </c>
      <c r="B3150" t="s">
        <v>6</v>
      </c>
      <c r="C3150" t="s">
        <v>9</v>
      </c>
      <c r="D3150">
        <v>4280</v>
      </c>
      <c r="E3150">
        <v>2020</v>
      </c>
      <c r="F3150">
        <v>1</v>
      </c>
      <c r="G3150">
        <v>11178</v>
      </c>
      <c r="H3150" s="1">
        <v>3</v>
      </c>
      <c r="I3150">
        <v>49</v>
      </c>
      <c r="J3150">
        <f>IF($H3150=0,1,IF($I3150&lt;=1,2,0))</f>
        <v>0</v>
      </c>
      <c r="K3150">
        <v>0</v>
      </c>
      <c r="L3150">
        <f>IF(AND($J3150=0,$K3150=0),0,1)</f>
        <v>0</v>
      </c>
    </row>
    <row r="3151" spans="1:13" x14ac:dyDescent="0.2">
      <c r="A3151" t="s">
        <v>282</v>
      </c>
      <c r="B3151" t="s">
        <v>6</v>
      </c>
      <c r="C3151" t="s">
        <v>9</v>
      </c>
      <c r="D3151">
        <v>4301</v>
      </c>
      <c r="E3151">
        <v>2020</v>
      </c>
      <c r="F3151">
        <v>1</v>
      </c>
      <c r="G3151">
        <v>10564</v>
      </c>
      <c r="H3151" s="1">
        <v>3</v>
      </c>
      <c r="I3151">
        <v>76</v>
      </c>
      <c r="J3151">
        <f>IF($H3151=0,1,IF($I3151&lt;=1,2,0))</f>
        <v>0</v>
      </c>
      <c r="K3151">
        <v>0</v>
      </c>
      <c r="L3151">
        <f>IF(AND($J3151=0,$K3151=0),0,1)</f>
        <v>0</v>
      </c>
    </row>
    <row r="3152" spans="1:13" x14ac:dyDescent="0.2">
      <c r="A3152" t="s">
        <v>282</v>
      </c>
      <c r="B3152" t="s">
        <v>6</v>
      </c>
      <c r="C3152" t="s">
        <v>9</v>
      </c>
      <c r="D3152">
        <v>4325</v>
      </c>
      <c r="E3152">
        <v>2020</v>
      </c>
      <c r="F3152">
        <v>1</v>
      </c>
      <c r="G3152">
        <v>10565</v>
      </c>
      <c r="H3152" s="1">
        <v>3</v>
      </c>
      <c r="I3152">
        <v>58</v>
      </c>
      <c r="J3152">
        <f>IF($H3152=0,1,IF($I3152&lt;=1,2,0))</f>
        <v>0</v>
      </c>
      <c r="K3152">
        <v>0</v>
      </c>
      <c r="L3152">
        <f>IF(AND($J3152=0,$K3152=0),0,1)</f>
        <v>0</v>
      </c>
    </row>
    <row r="3153" spans="1:12" x14ac:dyDescent="0.2">
      <c r="A3153" t="s">
        <v>282</v>
      </c>
      <c r="B3153" t="s">
        <v>6</v>
      </c>
      <c r="C3153" t="s">
        <v>9</v>
      </c>
      <c r="D3153">
        <v>4370</v>
      </c>
      <c r="E3153">
        <v>2020</v>
      </c>
      <c r="F3153">
        <v>1</v>
      </c>
      <c r="G3153">
        <v>10566</v>
      </c>
      <c r="H3153" s="1">
        <v>3</v>
      </c>
      <c r="I3153">
        <v>49</v>
      </c>
      <c r="J3153">
        <f>IF($H3153=0,1,IF($I3153&lt;=1,2,0))</f>
        <v>0</v>
      </c>
      <c r="K3153">
        <v>0</v>
      </c>
      <c r="L3153">
        <f>IF(AND($J3153=0,$K3153=0),0,1)</f>
        <v>0</v>
      </c>
    </row>
    <row r="3154" spans="1:12" x14ac:dyDescent="0.2">
      <c r="A3154" t="s">
        <v>282</v>
      </c>
      <c r="B3154" t="s">
        <v>6</v>
      </c>
      <c r="C3154" t="s">
        <v>9</v>
      </c>
      <c r="D3154">
        <v>4412</v>
      </c>
      <c r="E3154">
        <v>2020</v>
      </c>
      <c r="F3154">
        <v>1</v>
      </c>
      <c r="G3154">
        <v>10568</v>
      </c>
      <c r="H3154" s="1">
        <v>4</v>
      </c>
      <c r="I3154">
        <v>15</v>
      </c>
      <c r="J3154">
        <f>IF($H3154=0,1,IF($I3154&lt;=1,2,0))</f>
        <v>0</v>
      </c>
      <c r="K3154">
        <v>0</v>
      </c>
      <c r="L3154">
        <f>IF(AND($J3154=0,$K3154=0),0,1)</f>
        <v>0</v>
      </c>
    </row>
    <row r="3155" spans="1:12" x14ac:dyDescent="0.2">
      <c r="A3155" t="s">
        <v>282</v>
      </c>
      <c r="B3155" t="s">
        <v>6</v>
      </c>
      <c r="C3155" t="s">
        <v>9</v>
      </c>
      <c r="D3155">
        <v>4415</v>
      </c>
      <c r="E3155">
        <v>2020</v>
      </c>
      <c r="F3155">
        <v>1</v>
      </c>
      <c r="G3155">
        <v>11913</v>
      </c>
      <c r="H3155" s="1">
        <v>3</v>
      </c>
      <c r="I3155">
        <v>77</v>
      </c>
      <c r="J3155">
        <f>IF($H3155=0,1,IF($I3155&lt;=1,2,0))</f>
        <v>0</v>
      </c>
      <c r="K3155">
        <v>0</v>
      </c>
      <c r="L3155">
        <f>IF(AND($J3155=0,$K3155=0),0,1)</f>
        <v>0</v>
      </c>
    </row>
    <row r="3156" spans="1:12" x14ac:dyDescent="0.2">
      <c r="A3156" t="s">
        <v>282</v>
      </c>
      <c r="B3156" t="s">
        <v>6</v>
      </c>
      <c r="C3156" t="s">
        <v>9</v>
      </c>
      <c r="D3156">
        <v>4438</v>
      </c>
      <c r="E3156">
        <v>2020</v>
      </c>
      <c r="F3156">
        <v>1</v>
      </c>
      <c r="G3156">
        <v>10569</v>
      </c>
      <c r="H3156" s="1">
        <v>3</v>
      </c>
      <c r="I3156">
        <v>79</v>
      </c>
      <c r="J3156">
        <f>IF($H3156=0,1,IF($I3156&lt;=1,2,0))</f>
        <v>0</v>
      </c>
      <c r="K3156">
        <v>0</v>
      </c>
      <c r="L3156">
        <f>IF(AND($J3156=0,$K3156=0),0,1)</f>
        <v>0</v>
      </c>
    </row>
    <row r="3157" spans="1:12" x14ac:dyDescent="0.2">
      <c r="A3157" t="s">
        <v>282</v>
      </c>
      <c r="B3157" t="s">
        <v>6</v>
      </c>
      <c r="C3157" t="s">
        <v>9</v>
      </c>
      <c r="D3157">
        <v>4500</v>
      </c>
      <c r="E3157">
        <v>2020</v>
      </c>
      <c r="F3157">
        <v>1</v>
      </c>
      <c r="G3157">
        <v>11179</v>
      </c>
      <c r="H3157" s="1">
        <v>3</v>
      </c>
      <c r="I3157">
        <v>35</v>
      </c>
      <c r="J3157">
        <f>IF($H3157=0,1,IF($I3157&lt;=1,2,0))</f>
        <v>0</v>
      </c>
      <c r="K3157">
        <v>0</v>
      </c>
      <c r="L3157">
        <f>IF(AND($J3157=0,$K3157=0),0,1)</f>
        <v>0</v>
      </c>
    </row>
    <row r="3158" spans="1:12" x14ac:dyDescent="0.2">
      <c r="A3158" t="s">
        <v>282</v>
      </c>
      <c r="B3158" t="s">
        <v>6</v>
      </c>
      <c r="C3158" t="s">
        <v>9</v>
      </c>
      <c r="D3158">
        <v>4750</v>
      </c>
      <c r="E3158">
        <v>2020</v>
      </c>
      <c r="F3158">
        <v>1</v>
      </c>
      <c r="G3158">
        <v>10573</v>
      </c>
      <c r="H3158" s="1">
        <v>3</v>
      </c>
      <c r="I3158">
        <v>49</v>
      </c>
      <c r="J3158">
        <f>IF($H3158=0,1,IF($I3158&lt;=1,2,0))</f>
        <v>0</v>
      </c>
      <c r="K3158">
        <v>0</v>
      </c>
      <c r="L3158">
        <f>IF(AND($J3158=0,$K3158=0),0,1)</f>
        <v>0</v>
      </c>
    </row>
    <row r="3159" spans="1:12" x14ac:dyDescent="0.2">
      <c r="A3159" t="s">
        <v>282</v>
      </c>
      <c r="B3159" t="s">
        <v>6</v>
      </c>
      <c r="C3159" t="s">
        <v>9</v>
      </c>
      <c r="D3159">
        <v>4911</v>
      </c>
      <c r="E3159">
        <v>2020</v>
      </c>
      <c r="F3159">
        <v>3</v>
      </c>
      <c r="G3159">
        <v>11181</v>
      </c>
      <c r="H3159" s="1">
        <v>4</v>
      </c>
      <c r="I3159">
        <v>16</v>
      </c>
      <c r="J3159">
        <f>IF($H3159=0,1,IF($I3159&lt;=1,2,0))</f>
        <v>0</v>
      </c>
      <c r="K3159">
        <v>0</v>
      </c>
      <c r="L3159">
        <f>IF(AND($J3159=0,$K3159=0),0,1)</f>
        <v>0</v>
      </c>
    </row>
    <row r="3160" spans="1:12" x14ac:dyDescent="0.2">
      <c r="A3160" t="s">
        <v>282</v>
      </c>
      <c r="B3160" t="s">
        <v>6</v>
      </c>
      <c r="C3160" t="s">
        <v>9</v>
      </c>
      <c r="D3160">
        <v>4911</v>
      </c>
      <c r="E3160">
        <v>2020</v>
      </c>
      <c r="F3160">
        <v>4</v>
      </c>
      <c r="G3160">
        <v>10579</v>
      </c>
      <c r="H3160" s="1">
        <v>4</v>
      </c>
      <c r="I3160">
        <v>16</v>
      </c>
      <c r="J3160">
        <f>IF($H3160=0,1,IF($I3160&lt;=1,2,0))</f>
        <v>0</v>
      </c>
      <c r="K3160">
        <v>0</v>
      </c>
      <c r="L3160">
        <f>IF(AND($J3160=0,$K3160=0),0,1)</f>
        <v>0</v>
      </c>
    </row>
    <row r="3161" spans="1:12" x14ac:dyDescent="0.2">
      <c r="A3161" t="s">
        <v>282</v>
      </c>
      <c r="B3161" t="s">
        <v>6</v>
      </c>
      <c r="C3161" t="s">
        <v>9</v>
      </c>
      <c r="D3161">
        <v>4911</v>
      </c>
      <c r="E3161">
        <v>2020</v>
      </c>
      <c r="F3161">
        <v>1</v>
      </c>
      <c r="G3161">
        <v>10576</v>
      </c>
      <c r="H3161" s="1">
        <v>4</v>
      </c>
      <c r="I3161">
        <v>15</v>
      </c>
      <c r="J3161">
        <f>IF($H3161=0,1,IF($I3161&lt;=1,2,0))</f>
        <v>0</v>
      </c>
      <c r="K3161">
        <v>0</v>
      </c>
      <c r="L3161">
        <f>IF(AND($J3161=0,$K3161=0),0,1)</f>
        <v>0</v>
      </c>
    </row>
    <row r="3162" spans="1:12" x14ac:dyDescent="0.2">
      <c r="A3162" t="s">
        <v>282</v>
      </c>
      <c r="B3162" t="s">
        <v>6</v>
      </c>
      <c r="C3162" t="s">
        <v>9</v>
      </c>
      <c r="D3162">
        <v>4911</v>
      </c>
      <c r="E3162">
        <v>2020</v>
      </c>
      <c r="F3162">
        <v>2</v>
      </c>
      <c r="G3162">
        <v>10578</v>
      </c>
      <c r="H3162" s="1">
        <v>4</v>
      </c>
      <c r="I3162">
        <v>15</v>
      </c>
      <c r="J3162">
        <f>IF($H3162=0,1,IF($I3162&lt;=1,2,0))</f>
        <v>0</v>
      </c>
      <c r="K3162">
        <v>0</v>
      </c>
      <c r="L3162">
        <f>IF(AND($J3162=0,$K3162=0),0,1)</f>
        <v>0</v>
      </c>
    </row>
    <row r="3163" spans="1:12" x14ac:dyDescent="0.2">
      <c r="A3163" t="s">
        <v>282</v>
      </c>
      <c r="B3163" t="s">
        <v>6</v>
      </c>
      <c r="C3163" t="s">
        <v>9</v>
      </c>
      <c r="D3163">
        <v>4911</v>
      </c>
      <c r="E3163">
        <v>2020</v>
      </c>
      <c r="F3163">
        <v>6</v>
      </c>
      <c r="G3163">
        <v>10580</v>
      </c>
      <c r="H3163" s="1">
        <v>4</v>
      </c>
      <c r="I3163">
        <v>14</v>
      </c>
      <c r="J3163">
        <f>IF($H3163=0,1,IF($I3163&lt;=1,2,0))</f>
        <v>0</v>
      </c>
      <c r="K3163">
        <v>0</v>
      </c>
      <c r="L3163">
        <f>IF(AND($J3163=0,$K3163=0),0,1)</f>
        <v>0</v>
      </c>
    </row>
    <row r="3164" spans="1:12" x14ac:dyDescent="0.2">
      <c r="A3164" t="s">
        <v>282</v>
      </c>
      <c r="B3164" t="s">
        <v>6</v>
      </c>
      <c r="C3164" t="s">
        <v>9</v>
      </c>
      <c r="D3164">
        <v>4913</v>
      </c>
      <c r="E3164">
        <v>2020</v>
      </c>
      <c r="F3164">
        <v>1</v>
      </c>
      <c r="G3164">
        <v>11186</v>
      </c>
      <c r="H3164" s="1">
        <v>4</v>
      </c>
      <c r="I3164">
        <v>7</v>
      </c>
      <c r="J3164">
        <f>IF($H3164=0,1,IF($I3164&lt;=1,2,0))</f>
        <v>0</v>
      </c>
      <c r="K3164">
        <v>0</v>
      </c>
      <c r="L3164">
        <f>IF(AND($J3164=0,$K3164=0),0,1)</f>
        <v>0</v>
      </c>
    </row>
    <row r="3165" spans="1:12" x14ac:dyDescent="0.2">
      <c r="A3165" t="s">
        <v>282</v>
      </c>
      <c r="B3165" t="s">
        <v>6</v>
      </c>
      <c r="C3165" t="s">
        <v>9</v>
      </c>
      <c r="D3165">
        <v>4913</v>
      </c>
      <c r="E3165">
        <v>2020</v>
      </c>
      <c r="F3165">
        <v>3</v>
      </c>
      <c r="G3165">
        <v>10581</v>
      </c>
      <c r="H3165" s="1">
        <v>4</v>
      </c>
      <c r="I3165">
        <v>6</v>
      </c>
      <c r="J3165">
        <f>IF($H3165=0,1,IF($I3165&lt;=1,2,0))</f>
        <v>0</v>
      </c>
      <c r="K3165">
        <v>0</v>
      </c>
      <c r="L3165">
        <f>IF(AND($J3165=0,$K3165=0),0,1)</f>
        <v>0</v>
      </c>
    </row>
    <row r="3166" spans="1:12" x14ac:dyDescent="0.2">
      <c r="A3166" t="s">
        <v>282</v>
      </c>
      <c r="B3166" t="s">
        <v>6</v>
      </c>
      <c r="C3166" t="s">
        <v>9</v>
      </c>
      <c r="D3166">
        <v>4913</v>
      </c>
      <c r="E3166">
        <v>2020</v>
      </c>
      <c r="F3166">
        <v>2</v>
      </c>
      <c r="G3166">
        <v>11187</v>
      </c>
      <c r="H3166" s="1">
        <v>4</v>
      </c>
      <c r="I3166">
        <v>4</v>
      </c>
      <c r="J3166">
        <f>IF($H3166=0,1,IF($I3166&lt;=1,2,0))</f>
        <v>0</v>
      </c>
      <c r="K3166">
        <v>0</v>
      </c>
      <c r="L3166">
        <f>IF(AND($J3166=0,$K3166=0),0,1)</f>
        <v>0</v>
      </c>
    </row>
    <row r="3167" spans="1:12" x14ac:dyDescent="0.2">
      <c r="A3167" t="s">
        <v>282</v>
      </c>
      <c r="B3167" t="s">
        <v>6</v>
      </c>
      <c r="C3167" t="s">
        <v>9</v>
      </c>
      <c r="D3167">
        <v>4995</v>
      </c>
      <c r="E3167">
        <v>2020</v>
      </c>
      <c r="F3167">
        <v>1</v>
      </c>
      <c r="G3167">
        <v>10582</v>
      </c>
      <c r="H3167" s="1">
        <v>1</v>
      </c>
      <c r="I3167">
        <v>5</v>
      </c>
      <c r="J3167">
        <f>IF($H3167=0,1,IF($I3167&lt;=1,2,0))</f>
        <v>0</v>
      </c>
      <c r="K3167">
        <v>0</v>
      </c>
      <c r="L3167">
        <f>IF(AND($J3167=0,$K3167=0),0,1)</f>
        <v>0</v>
      </c>
    </row>
    <row r="3168" spans="1:12" x14ac:dyDescent="0.2">
      <c r="A3168" t="s">
        <v>282</v>
      </c>
      <c r="B3168" t="s">
        <v>6</v>
      </c>
      <c r="C3168" t="s">
        <v>9</v>
      </c>
      <c r="D3168">
        <v>4996</v>
      </c>
      <c r="E3168">
        <v>2020</v>
      </c>
      <c r="F3168">
        <v>1</v>
      </c>
      <c r="G3168">
        <v>10583</v>
      </c>
      <c r="H3168" s="1" t="s">
        <v>1837</v>
      </c>
      <c r="I3168">
        <v>35</v>
      </c>
      <c r="J3168">
        <f>IF($H3168=0,1,IF($I3168&lt;=1,2,0))</f>
        <v>0</v>
      </c>
      <c r="K3168">
        <v>0</v>
      </c>
      <c r="L3168">
        <f>IF(AND($J3168=0,$K3168=0),0,1)</f>
        <v>0</v>
      </c>
    </row>
    <row r="3169" spans="1:13" x14ac:dyDescent="0.2">
      <c r="A3169" t="s">
        <v>282</v>
      </c>
      <c r="B3169" t="s">
        <v>6</v>
      </c>
      <c r="C3169" t="s">
        <v>11</v>
      </c>
      <c r="D3169">
        <v>6211</v>
      </c>
      <c r="E3169">
        <v>2020</v>
      </c>
      <c r="F3169">
        <v>1</v>
      </c>
      <c r="G3169">
        <v>10748</v>
      </c>
      <c r="H3169" s="1">
        <v>4</v>
      </c>
      <c r="I3169">
        <v>37</v>
      </c>
      <c r="J3169">
        <f>IF($H3169=0,1,IF($I3169&lt;=1,2,0))</f>
        <v>0</v>
      </c>
      <c r="K3169">
        <v>0</v>
      </c>
      <c r="L3169">
        <f>IF(AND($J3169=0,$K3169=0),0,1)</f>
        <v>0</v>
      </c>
      <c r="M3169" t="s">
        <v>977</v>
      </c>
    </row>
    <row r="3170" spans="1:13" x14ac:dyDescent="0.2">
      <c r="A3170" t="s">
        <v>282</v>
      </c>
      <c r="B3170" t="s">
        <v>6</v>
      </c>
      <c r="C3170" t="s">
        <v>11</v>
      </c>
      <c r="D3170">
        <v>6215</v>
      </c>
      <c r="E3170">
        <v>2020</v>
      </c>
      <c r="F3170">
        <v>1</v>
      </c>
      <c r="G3170">
        <v>10749</v>
      </c>
      <c r="H3170" s="1">
        <v>4</v>
      </c>
      <c r="I3170">
        <v>33</v>
      </c>
      <c r="J3170">
        <f>IF($H3170=0,1,IF($I3170&lt;=1,2,0))</f>
        <v>0</v>
      </c>
      <c r="K3170">
        <v>0</v>
      </c>
      <c r="L3170">
        <f>IF(AND($J3170=0,$K3170=0),0,1)</f>
        <v>0</v>
      </c>
      <c r="M3170" t="s">
        <v>977</v>
      </c>
    </row>
    <row r="3171" spans="1:13" x14ac:dyDescent="0.2">
      <c r="A3171" t="s">
        <v>282</v>
      </c>
      <c r="B3171" t="s">
        <v>6</v>
      </c>
      <c r="C3171" t="s">
        <v>11</v>
      </c>
      <c r="D3171">
        <v>6231</v>
      </c>
      <c r="E3171">
        <v>2020</v>
      </c>
      <c r="F3171">
        <v>1</v>
      </c>
      <c r="G3171">
        <v>10750</v>
      </c>
      <c r="H3171" s="1">
        <v>3</v>
      </c>
      <c r="I3171">
        <v>10</v>
      </c>
      <c r="J3171">
        <f>IF($H3171=0,1,IF($I3171&lt;=1,2,0))</f>
        <v>0</v>
      </c>
      <c r="K3171">
        <v>0</v>
      </c>
      <c r="L3171">
        <f>IF(AND($J3171=0,$K3171=0),0,1)</f>
        <v>0</v>
      </c>
      <c r="M3171" t="s">
        <v>978</v>
      </c>
    </row>
    <row r="3172" spans="1:13" x14ac:dyDescent="0.2">
      <c r="A3172" t="s">
        <v>282</v>
      </c>
      <c r="B3172" t="s">
        <v>6</v>
      </c>
      <c r="C3172" t="s">
        <v>11</v>
      </c>
      <c r="D3172">
        <v>6253</v>
      </c>
      <c r="E3172">
        <v>2020</v>
      </c>
      <c r="F3172">
        <v>1</v>
      </c>
      <c r="G3172">
        <v>10751</v>
      </c>
      <c r="H3172" s="1">
        <v>3</v>
      </c>
      <c r="I3172">
        <v>10</v>
      </c>
      <c r="J3172">
        <f>IF($H3172=0,1,IF($I3172&lt;=1,2,0))</f>
        <v>0</v>
      </c>
      <c r="K3172">
        <v>0</v>
      </c>
      <c r="L3172">
        <f>IF(AND($J3172=0,$K3172=0),0,1)</f>
        <v>0</v>
      </c>
      <c r="M3172" t="s">
        <v>978</v>
      </c>
    </row>
    <row r="3173" spans="1:13" x14ac:dyDescent="0.2">
      <c r="A3173" t="s">
        <v>282</v>
      </c>
      <c r="B3173" t="s">
        <v>6</v>
      </c>
      <c r="C3173" t="s">
        <v>11</v>
      </c>
      <c r="D3173">
        <v>6254</v>
      </c>
      <c r="E3173">
        <v>2020</v>
      </c>
      <c r="F3173">
        <v>1</v>
      </c>
      <c r="G3173">
        <v>10752</v>
      </c>
      <c r="H3173" s="1">
        <v>3</v>
      </c>
      <c r="I3173">
        <v>14</v>
      </c>
      <c r="J3173">
        <f>IF($H3173=0,1,IF($I3173&lt;=1,2,0))</f>
        <v>0</v>
      </c>
      <c r="K3173">
        <v>0</v>
      </c>
      <c r="L3173">
        <f>IF(AND($J3173=0,$K3173=0),0,1)</f>
        <v>0</v>
      </c>
      <c r="M3173" t="s">
        <v>978</v>
      </c>
    </row>
    <row r="3174" spans="1:13" x14ac:dyDescent="0.2">
      <c r="A3174" t="s">
        <v>282</v>
      </c>
      <c r="B3174" t="s">
        <v>6</v>
      </c>
      <c r="C3174" t="s">
        <v>11</v>
      </c>
      <c r="D3174">
        <v>6307</v>
      </c>
      <c r="E3174">
        <v>2020</v>
      </c>
      <c r="F3174">
        <v>1</v>
      </c>
      <c r="G3174">
        <v>10753</v>
      </c>
      <c r="H3174" s="1">
        <v>3</v>
      </c>
      <c r="I3174">
        <v>13</v>
      </c>
      <c r="J3174">
        <f>IF($H3174=0,1,IF($I3174&lt;=1,2,0))</f>
        <v>0</v>
      </c>
      <c r="K3174">
        <v>0</v>
      </c>
      <c r="L3174">
        <f>IF(AND($J3174=0,$K3174=0),0,1)</f>
        <v>0</v>
      </c>
      <c r="M3174" t="s">
        <v>978</v>
      </c>
    </row>
    <row r="3175" spans="1:13" x14ac:dyDescent="0.2">
      <c r="A3175" t="s">
        <v>282</v>
      </c>
      <c r="B3175" t="s">
        <v>6</v>
      </c>
      <c r="C3175" t="s">
        <v>11</v>
      </c>
      <c r="D3175">
        <v>6410</v>
      </c>
      <c r="E3175">
        <v>2020</v>
      </c>
      <c r="F3175">
        <v>1</v>
      </c>
      <c r="G3175">
        <v>10754</v>
      </c>
      <c r="H3175" s="1">
        <v>4</v>
      </c>
      <c r="I3175">
        <v>25</v>
      </c>
      <c r="J3175">
        <f>IF($H3175=0,1,IF($I3175&lt;=1,2,0))</f>
        <v>0</v>
      </c>
      <c r="K3175">
        <v>0</v>
      </c>
      <c r="L3175">
        <f>IF(AND($J3175=0,$K3175=0),0,1)</f>
        <v>0</v>
      </c>
      <c r="M3175" t="s">
        <v>977</v>
      </c>
    </row>
    <row r="3176" spans="1:13" x14ac:dyDescent="0.2">
      <c r="A3176" t="s">
        <v>282</v>
      </c>
      <c r="B3176" t="s">
        <v>6</v>
      </c>
      <c r="C3176" t="s">
        <v>11</v>
      </c>
      <c r="D3176">
        <v>6411</v>
      </c>
      <c r="E3176">
        <v>2020</v>
      </c>
      <c r="F3176">
        <v>1</v>
      </c>
      <c r="G3176">
        <v>10755</v>
      </c>
      <c r="H3176" s="1">
        <v>4</v>
      </c>
      <c r="I3176">
        <v>36</v>
      </c>
      <c r="J3176">
        <f>IF($H3176=0,1,IF($I3176&lt;=1,2,0))</f>
        <v>0</v>
      </c>
      <c r="K3176">
        <v>0</v>
      </c>
      <c r="L3176">
        <f>IF(AND($J3176=0,$K3176=0),0,1)</f>
        <v>0</v>
      </c>
      <c r="M3176" t="s">
        <v>977</v>
      </c>
    </row>
    <row r="3177" spans="1:13" x14ac:dyDescent="0.2">
      <c r="A3177" t="s">
        <v>282</v>
      </c>
      <c r="B3177" t="s">
        <v>6</v>
      </c>
      <c r="C3177" t="s">
        <v>11</v>
      </c>
      <c r="D3177">
        <v>6413</v>
      </c>
      <c r="E3177">
        <v>2020</v>
      </c>
      <c r="F3177">
        <v>1</v>
      </c>
      <c r="G3177">
        <v>10756</v>
      </c>
      <c r="H3177" s="1">
        <v>3</v>
      </c>
      <c r="I3177">
        <v>9</v>
      </c>
      <c r="J3177">
        <f>IF($H3177=0,1,IF($I3177&lt;=1,2,0))</f>
        <v>0</v>
      </c>
      <c r="K3177">
        <v>0</v>
      </c>
      <c r="L3177">
        <f>IF(AND($J3177=0,$K3177=0),0,1)</f>
        <v>0</v>
      </c>
      <c r="M3177" t="s">
        <v>978</v>
      </c>
    </row>
    <row r="3178" spans="1:13" x14ac:dyDescent="0.2">
      <c r="A3178" t="s">
        <v>282</v>
      </c>
      <c r="B3178" t="s">
        <v>6</v>
      </c>
      <c r="C3178" t="s">
        <v>11</v>
      </c>
      <c r="D3178">
        <v>6427</v>
      </c>
      <c r="E3178">
        <v>2020</v>
      </c>
      <c r="F3178">
        <v>1</v>
      </c>
      <c r="G3178">
        <v>11914</v>
      </c>
      <c r="H3178" s="1">
        <v>3</v>
      </c>
      <c r="I3178">
        <v>14</v>
      </c>
      <c r="J3178">
        <f>IF($H3178=0,1,IF($I3178&lt;=1,2,0))</f>
        <v>0</v>
      </c>
      <c r="K3178">
        <v>0</v>
      </c>
      <c r="L3178">
        <f>IF(AND($J3178=0,$K3178=0),0,1)</f>
        <v>0</v>
      </c>
      <c r="M3178" t="s">
        <v>978</v>
      </c>
    </row>
    <row r="3179" spans="1:13" x14ac:dyDescent="0.2">
      <c r="A3179" t="s">
        <v>282</v>
      </c>
      <c r="B3179" t="s">
        <v>6</v>
      </c>
      <c r="C3179" t="s">
        <v>11</v>
      </c>
      <c r="D3179">
        <v>6449</v>
      </c>
      <c r="E3179">
        <v>2020</v>
      </c>
      <c r="F3179">
        <v>1</v>
      </c>
      <c r="G3179">
        <v>13987</v>
      </c>
      <c r="H3179" s="1">
        <v>3</v>
      </c>
      <c r="I3179">
        <v>3</v>
      </c>
      <c r="J3179">
        <f>IF($H3179=0,1,IF($I3179&lt;=1,2,0))</f>
        <v>0</v>
      </c>
      <c r="K3179">
        <v>0</v>
      </c>
      <c r="L3179">
        <f>IF(AND($J3179=0,$K3179=0),0,1)</f>
        <v>0</v>
      </c>
      <c r="M3179" t="s">
        <v>978</v>
      </c>
    </row>
    <row r="3180" spans="1:13" x14ac:dyDescent="0.2">
      <c r="A3180" t="s">
        <v>282</v>
      </c>
      <c r="B3180" t="s">
        <v>6</v>
      </c>
      <c r="C3180" t="s">
        <v>11</v>
      </c>
      <c r="D3180">
        <v>6493</v>
      </c>
      <c r="E3180">
        <v>2020</v>
      </c>
      <c r="F3180">
        <v>1</v>
      </c>
      <c r="G3180">
        <v>15792</v>
      </c>
      <c r="H3180" s="1">
        <v>4</v>
      </c>
      <c r="I3180">
        <v>10</v>
      </c>
      <c r="J3180">
        <f>IF($H3180=0,1,IF($I3180&lt;=1,2,0))</f>
        <v>0</v>
      </c>
      <c r="K3180">
        <v>0</v>
      </c>
      <c r="L3180">
        <f>IF(AND($J3180=0,$K3180=0),0,1)</f>
        <v>0</v>
      </c>
      <c r="M3180" t="s">
        <v>978</v>
      </c>
    </row>
    <row r="3181" spans="1:13" x14ac:dyDescent="0.2">
      <c r="A3181" t="s">
        <v>282</v>
      </c>
      <c r="B3181" t="s">
        <v>6</v>
      </c>
      <c r="C3181" t="s">
        <v>11</v>
      </c>
      <c r="D3181">
        <v>6805</v>
      </c>
      <c r="E3181">
        <v>2020</v>
      </c>
      <c r="F3181">
        <v>1</v>
      </c>
      <c r="G3181">
        <v>10758</v>
      </c>
      <c r="H3181" s="1">
        <v>3</v>
      </c>
      <c r="I3181">
        <v>7</v>
      </c>
      <c r="J3181">
        <f>IF($H3181=0,1,IF($I3181&lt;=1,2,0))</f>
        <v>0</v>
      </c>
      <c r="K3181">
        <v>0</v>
      </c>
      <c r="L3181">
        <f>IF(AND($J3181=0,$K3181=0),0,1)</f>
        <v>0</v>
      </c>
      <c r="M3181" t="s">
        <v>978</v>
      </c>
    </row>
    <row r="3182" spans="1:13" x14ac:dyDescent="0.2">
      <c r="A3182" t="s">
        <v>282</v>
      </c>
      <c r="B3182" t="s">
        <v>6</v>
      </c>
      <c r="C3182" t="s">
        <v>11</v>
      </c>
      <c r="D3182">
        <v>6903</v>
      </c>
      <c r="E3182">
        <v>2020</v>
      </c>
      <c r="F3182">
        <v>1</v>
      </c>
      <c r="G3182">
        <v>10759</v>
      </c>
      <c r="H3182" s="1">
        <v>3</v>
      </c>
      <c r="I3182">
        <v>7</v>
      </c>
      <c r="J3182">
        <f>IF($H3182=0,1,IF($I3182&lt;=1,2,0))</f>
        <v>0</v>
      </c>
      <c r="K3182">
        <v>0</v>
      </c>
      <c r="L3182">
        <f>IF(AND($J3182=0,$K3182=0),0,1)</f>
        <v>0</v>
      </c>
      <c r="M3182" t="s">
        <v>978</v>
      </c>
    </row>
    <row r="3183" spans="1:13" x14ac:dyDescent="0.2">
      <c r="A3183" t="s">
        <v>282</v>
      </c>
      <c r="B3183" t="s">
        <v>6</v>
      </c>
      <c r="C3183" t="s">
        <v>11</v>
      </c>
      <c r="D3183">
        <v>8310</v>
      </c>
      <c r="E3183">
        <v>2020</v>
      </c>
      <c r="F3183">
        <v>1</v>
      </c>
      <c r="G3183">
        <v>10760</v>
      </c>
      <c r="H3183" s="1">
        <v>2</v>
      </c>
      <c r="I3183">
        <v>9</v>
      </c>
      <c r="J3183">
        <f>IF($H3183=0,1,IF($I3183&lt;=1,2,0))</f>
        <v>0</v>
      </c>
      <c r="K3183">
        <v>0</v>
      </c>
      <c r="L3183">
        <f>IF(AND($J3183=0,$K3183=0),0,1)</f>
        <v>0</v>
      </c>
    </row>
    <row r="3184" spans="1:13" x14ac:dyDescent="0.2">
      <c r="A3184" t="s">
        <v>282</v>
      </c>
      <c r="B3184" t="s">
        <v>6</v>
      </c>
      <c r="C3184" t="s">
        <v>11</v>
      </c>
      <c r="D3184">
        <v>8315</v>
      </c>
      <c r="E3184">
        <v>2020</v>
      </c>
      <c r="F3184">
        <v>1</v>
      </c>
      <c r="G3184">
        <v>10762</v>
      </c>
      <c r="H3184" s="1">
        <v>2</v>
      </c>
      <c r="I3184">
        <v>21</v>
      </c>
      <c r="J3184">
        <f>IF($H3184=0,1,IF($I3184&lt;=1,2,0))</f>
        <v>0</v>
      </c>
      <c r="K3184">
        <v>0</v>
      </c>
      <c r="L3184">
        <f>IF(AND($J3184=0,$K3184=0),0,1)</f>
        <v>0</v>
      </c>
    </row>
    <row r="3185" spans="1:13" x14ac:dyDescent="0.2">
      <c r="A3185" t="s">
        <v>282</v>
      </c>
      <c r="B3185" t="s">
        <v>6</v>
      </c>
      <c r="C3185" t="s">
        <v>11</v>
      </c>
      <c r="D3185">
        <v>8420</v>
      </c>
      <c r="E3185">
        <v>2020</v>
      </c>
      <c r="F3185">
        <v>1</v>
      </c>
      <c r="G3185">
        <v>10763</v>
      </c>
      <c r="H3185" s="1">
        <v>2</v>
      </c>
      <c r="I3185">
        <v>20</v>
      </c>
      <c r="J3185">
        <f>IF($H3185=0,1,IF($I3185&lt;=1,2,0))</f>
        <v>0</v>
      </c>
      <c r="K3185">
        <v>0</v>
      </c>
      <c r="L3185">
        <f>IF(AND($J3185=0,$K3185=0),0,1)</f>
        <v>0</v>
      </c>
    </row>
    <row r="3186" spans="1:13" x14ac:dyDescent="0.2">
      <c r="A3186" t="s">
        <v>282</v>
      </c>
      <c r="B3186" t="s">
        <v>6</v>
      </c>
      <c r="C3186" t="s">
        <v>11</v>
      </c>
      <c r="D3186">
        <v>8440</v>
      </c>
      <c r="E3186">
        <v>2020</v>
      </c>
      <c r="F3186">
        <v>1</v>
      </c>
      <c r="G3186">
        <v>10764</v>
      </c>
      <c r="H3186" s="1">
        <v>2</v>
      </c>
      <c r="I3186">
        <v>10</v>
      </c>
      <c r="J3186">
        <f>IF($H3186=0,1,IF($I3186&lt;=1,2,0))</f>
        <v>0</v>
      </c>
      <c r="K3186">
        <v>0</v>
      </c>
      <c r="L3186">
        <f>IF(AND($J3186=0,$K3186=0),0,1)</f>
        <v>0</v>
      </c>
    </row>
    <row r="3187" spans="1:13" x14ac:dyDescent="0.2">
      <c r="A3187" t="s">
        <v>282</v>
      </c>
      <c r="B3187" t="s">
        <v>6</v>
      </c>
      <c r="C3187" t="s">
        <v>11</v>
      </c>
      <c r="D3187">
        <v>8708</v>
      </c>
      <c r="E3187">
        <v>2020</v>
      </c>
      <c r="F3187">
        <v>1</v>
      </c>
      <c r="G3187">
        <v>10765</v>
      </c>
      <c r="H3187" s="1">
        <v>2</v>
      </c>
      <c r="I3187">
        <v>9</v>
      </c>
      <c r="J3187">
        <f>IF($H3187=0,1,IF($I3187&lt;=1,2,0))</f>
        <v>0</v>
      </c>
      <c r="K3187">
        <v>0</v>
      </c>
      <c r="L3187">
        <f>IF(AND($J3187=0,$K3187=0),0,1)</f>
        <v>0</v>
      </c>
    </row>
    <row r="3188" spans="1:13" x14ac:dyDescent="0.2">
      <c r="A3188" t="s">
        <v>282</v>
      </c>
      <c r="B3188" t="s">
        <v>6</v>
      </c>
      <c r="C3188" t="s">
        <v>11</v>
      </c>
      <c r="D3188">
        <v>8712</v>
      </c>
      <c r="E3188">
        <v>2020</v>
      </c>
      <c r="F3188">
        <v>1</v>
      </c>
      <c r="G3188">
        <v>10766</v>
      </c>
      <c r="H3188" s="1">
        <v>2</v>
      </c>
      <c r="I3188">
        <v>11</v>
      </c>
      <c r="J3188">
        <f>IF($H3188=0,1,IF($I3188&lt;=1,2,0))</f>
        <v>0</v>
      </c>
      <c r="K3188">
        <v>0</v>
      </c>
      <c r="L3188">
        <f>IF(AND($J3188=0,$K3188=0),0,1)</f>
        <v>0</v>
      </c>
    </row>
    <row r="3189" spans="1:13" x14ac:dyDescent="0.2">
      <c r="A3189" t="s">
        <v>282</v>
      </c>
      <c r="B3189" t="s">
        <v>6</v>
      </c>
      <c r="C3189" t="s">
        <v>11</v>
      </c>
      <c r="D3189">
        <v>8713</v>
      </c>
      <c r="E3189">
        <v>2020</v>
      </c>
      <c r="F3189">
        <v>1</v>
      </c>
      <c r="G3189">
        <v>10901</v>
      </c>
      <c r="H3189" s="1">
        <v>2</v>
      </c>
      <c r="I3189">
        <v>9</v>
      </c>
      <c r="J3189">
        <f>IF($H3189=0,1,IF($I3189&lt;=1,2,0))</f>
        <v>0</v>
      </c>
      <c r="K3189">
        <v>0</v>
      </c>
      <c r="L3189">
        <f>IF(AND($J3189=0,$K3189=0),0,1)</f>
        <v>0</v>
      </c>
    </row>
    <row r="3190" spans="1:13" x14ac:dyDescent="0.2">
      <c r="A3190" t="s">
        <v>282</v>
      </c>
      <c r="B3190" t="s">
        <v>6</v>
      </c>
      <c r="C3190" t="s">
        <v>11</v>
      </c>
      <c r="D3190">
        <v>8714</v>
      </c>
      <c r="E3190">
        <v>2020</v>
      </c>
      <c r="F3190">
        <v>1</v>
      </c>
      <c r="G3190">
        <v>10768</v>
      </c>
      <c r="H3190" s="1">
        <v>2</v>
      </c>
      <c r="I3190">
        <v>30</v>
      </c>
      <c r="J3190">
        <f>IF($H3190=0,1,IF($I3190&lt;=1,2,0))</f>
        <v>0</v>
      </c>
      <c r="K3190">
        <v>0</v>
      </c>
      <c r="L3190">
        <f>IF(AND($J3190=0,$K3190=0),0,1)</f>
        <v>0</v>
      </c>
    </row>
    <row r="3191" spans="1:13" x14ac:dyDescent="0.2">
      <c r="A3191" t="s">
        <v>282</v>
      </c>
      <c r="B3191" t="s">
        <v>6</v>
      </c>
      <c r="C3191" t="s">
        <v>11</v>
      </c>
      <c r="D3191">
        <v>8730</v>
      </c>
      <c r="E3191">
        <v>2020</v>
      </c>
      <c r="F3191">
        <v>1</v>
      </c>
      <c r="G3191">
        <v>10770</v>
      </c>
      <c r="H3191" s="1">
        <v>2</v>
      </c>
      <c r="I3191">
        <v>7</v>
      </c>
      <c r="J3191">
        <f>IF($H3191=0,1,IF($I3191&lt;=1,2,0))</f>
        <v>0</v>
      </c>
      <c r="K3191">
        <v>0</v>
      </c>
      <c r="L3191">
        <f>IF(AND($J3191=0,$K3191=0),0,1)</f>
        <v>0</v>
      </c>
    </row>
    <row r="3192" spans="1:13" x14ac:dyDescent="0.2">
      <c r="A3192" t="s">
        <v>309</v>
      </c>
      <c r="B3192" t="s">
        <v>71</v>
      </c>
      <c r="C3192" t="s">
        <v>72</v>
      </c>
      <c r="D3192">
        <v>6091</v>
      </c>
      <c r="E3192">
        <v>2020</v>
      </c>
      <c r="F3192">
        <v>1</v>
      </c>
      <c r="G3192">
        <v>10728</v>
      </c>
      <c r="H3192" s="1">
        <v>3</v>
      </c>
      <c r="I3192">
        <v>7</v>
      </c>
      <c r="J3192">
        <f>IF($H3192=0,1,IF($I3192&lt;=1,2,0))</f>
        <v>0</v>
      </c>
      <c r="K3192">
        <v>0</v>
      </c>
      <c r="L3192">
        <f>IF(AND($J3192=0,$K3192=0),0,1)</f>
        <v>0</v>
      </c>
    </row>
    <row r="3193" spans="1:13" x14ac:dyDescent="0.2">
      <c r="A3193" t="s">
        <v>310</v>
      </c>
      <c r="B3193" t="s">
        <v>71</v>
      </c>
      <c r="C3193" t="s">
        <v>72</v>
      </c>
      <c r="D3193">
        <v>4321</v>
      </c>
      <c r="E3193">
        <v>2020</v>
      </c>
      <c r="F3193">
        <v>1</v>
      </c>
      <c r="G3193">
        <v>10605</v>
      </c>
      <c r="H3193" s="1">
        <v>3</v>
      </c>
      <c r="I3193">
        <v>24</v>
      </c>
      <c r="J3193">
        <f>IF($H3193=0,1,IF($I3193&lt;=1,2,0))</f>
        <v>0</v>
      </c>
      <c r="K3193">
        <v>0</v>
      </c>
      <c r="L3193">
        <f>IF(AND($J3193=0,$K3193=0),0,1)</f>
        <v>0</v>
      </c>
    </row>
    <row r="3194" spans="1:13" x14ac:dyDescent="0.2">
      <c r="A3194" t="s">
        <v>310</v>
      </c>
      <c r="B3194" t="s">
        <v>71</v>
      </c>
      <c r="C3194" t="s">
        <v>72</v>
      </c>
      <c r="D3194">
        <v>4750</v>
      </c>
      <c r="E3194">
        <v>2020</v>
      </c>
      <c r="F3194">
        <v>1</v>
      </c>
      <c r="G3194">
        <v>10625</v>
      </c>
      <c r="H3194" s="1">
        <v>3</v>
      </c>
      <c r="I3194">
        <v>11</v>
      </c>
      <c r="J3194">
        <f>IF($H3194=0,1,IF($I3194&lt;=1,2,0))</f>
        <v>0</v>
      </c>
      <c r="K3194">
        <v>0</v>
      </c>
      <c r="L3194">
        <f>IF(AND($J3194=0,$K3194=0),0,1)</f>
        <v>0</v>
      </c>
    </row>
    <row r="3195" spans="1:13" x14ac:dyDescent="0.2">
      <c r="A3195" t="s">
        <v>310</v>
      </c>
      <c r="B3195" t="s">
        <v>71</v>
      </c>
      <c r="C3195" t="s">
        <v>72</v>
      </c>
      <c r="D3195">
        <v>4750</v>
      </c>
      <c r="E3195">
        <v>2020</v>
      </c>
      <c r="F3195" t="s">
        <v>84</v>
      </c>
      <c r="G3195">
        <v>21575</v>
      </c>
      <c r="H3195" s="1">
        <v>3</v>
      </c>
      <c r="I3195">
        <v>2</v>
      </c>
      <c r="J3195">
        <f>IF($H3195=0,1,IF($I3195&lt;=1,2,0))</f>
        <v>0</v>
      </c>
      <c r="K3195">
        <v>0</v>
      </c>
      <c r="L3195">
        <f>IF(AND($J3195=0,$K3195=0),0,1)</f>
        <v>0</v>
      </c>
      <c r="M3195" t="s">
        <v>85</v>
      </c>
    </row>
    <row r="3196" spans="1:13" x14ac:dyDescent="0.2">
      <c r="A3196" t="s">
        <v>310</v>
      </c>
      <c r="B3196" t="s">
        <v>71</v>
      </c>
      <c r="C3196" t="s">
        <v>72</v>
      </c>
      <c r="D3196">
        <v>4764</v>
      </c>
      <c r="E3196">
        <v>2020</v>
      </c>
      <c r="F3196">
        <v>1</v>
      </c>
      <c r="G3196">
        <v>10656</v>
      </c>
      <c r="H3196" s="1">
        <v>3</v>
      </c>
      <c r="I3196">
        <v>40</v>
      </c>
      <c r="J3196">
        <f>IF($H3196=0,1,IF($I3196&lt;=1,2,0))</f>
        <v>0</v>
      </c>
      <c r="K3196">
        <v>0</v>
      </c>
      <c r="L3196">
        <f>IF(AND($J3196=0,$K3196=0),0,1)</f>
        <v>0</v>
      </c>
    </row>
    <row r="3197" spans="1:13" x14ac:dyDescent="0.2">
      <c r="A3197" t="s">
        <v>310</v>
      </c>
      <c r="B3197" t="s">
        <v>71</v>
      </c>
      <c r="C3197" t="s">
        <v>72</v>
      </c>
      <c r="D3197">
        <v>6690</v>
      </c>
      <c r="E3197">
        <v>2020</v>
      </c>
      <c r="F3197">
        <v>1</v>
      </c>
      <c r="G3197">
        <v>10732</v>
      </c>
      <c r="H3197" s="1">
        <v>3</v>
      </c>
      <c r="I3197">
        <v>23</v>
      </c>
      <c r="J3197">
        <f>IF($H3197=0,1,IF($I3197&lt;=1,2,0))</f>
        <v>0</v>
      </c>
      <c r="K3197">
        <v>0</v>
      </c>
      <c r="L3197">
        <f>IF(AND($J3197=0,$K3197=0),0,1)</f>
        <v>0</v>
      </c>
    </row>
    <row r="3198" spans="1:13" x14ac:dyDescent="0.2">
      <c r="A3198" t="s">
        <v>310</v>
      </c>
      <c r="B3198" t="s">
        <v>71</v>
      </c>
      <c r="C3198" t="s">
        <v>72</v>
      </c>
      <c r="D3198">
        <v>6720</v>
      </c>
      <c r="E3198">
        <v>2020</v>
      </c>
      <c r="F3198">
        <v>1</v>
      </c>
      <c r="G3198">
        <v>10733</v>
      </c>
      <c r="H3198" s="1">
        <v>3</v>
      </c>
      <c r="I3198">
        <v>90</v>
      </c>
      <c r="J3198">
        <f>IF($H3198=0,1,IF($I3198&lt;=1,2,0))</f>
        <v>0</v>
      </c>
      <c r="K3198">
        <v>0</v>
      </c>
      <c r="L3198">
        <f>IF(AND($J3198=0,$K3198=0),0,1)</f>
        <v>0</v>
      </c>
    </row>
    <row r="3199" spans="1:13" x14ac:dyDescent="0.2">
      <c r="A3199" t="s">
        <v>310</v>
      </c>
      <c r="B3199" t="s">
        <v>71</v>
      </c>
      <c r="C3199" t="s">
        <v>72</v>
      </c>
      <c r="D3199">
        <v>6720</v>
      </c>
      <c r="E3199">
        <v>2020</v>
      </c>
      <c r="F3199" t="s">
        <v>84</v>
      </c>
      <c r="G3199">
        <v>21974</v>
      </c>
      <c r="H3199" s="1">
        <v>3</v>
      </c>
      <c r="I3199">
        <v>14</v>
      </c>
      <c r="J3199">
        <f>IF($H3199=0,1,IF($I3199&lt;=1,2,0))</f>
        <v>0</v>
      </c>
      <c r="K3199">
        <v>0</v>
      </c>
      <c r="L3199">
        <f>IF(AND($J3199=0,$K3199=0),0,1)</f>
        <v>0</v>
      </c>
      <c r="M3199" t="s">
        <v>85</v>
      </c>
    </row>
    <row r="3200" spans="1:13" x14ac:dyDescent="0.2">
      <c r="A3200" t="s">
        <v>310</v>
      </c>
      <c r="B3200" t="s">
        <v>71</v>
      </c>
      <c r="C3200" t="s">
        <v>72</v>
      </c>
      <c r="D3200">
        <v>6890</v>
      </c>
      <c r="E3200">
        <v>2020</v>
      </c>
      <c r="F3200">
        <v>1</v>
      </c>
      <c r="G3200">
        <v>13940</v>
      </c>
      <c r="H3200" s="1">
        <v>3</v>
      </c>
      <c r="I3200">
        <v>3</v>
      </c>
      <c r="J3200">
        <f>IF($H3200=0,1,IF($I3200&lt;=1,2,0))</f>
        <v>0</v>
      </c>
      <c r="K3200">
        <v>0</v>
      </c>
      <c r="L3200">
        <f>IF(AND($J3200=0,$K3200=0),0,1)</f>
        <v>0</v>
      </c>
    </row>
    <row r="3201" spans="1:13" x14ac:dyDescent="0.2">
      <c r="A3201" t="s">
        <v>310</v>
      </c>
      <c r="B3201" t="s">
        <v>71</v>
      </c>
      <c r="C3201" t="s">
        <v>72</v>
      </c>
      <c r="D3201">
        <v>6893</v>
      </c>
      <c r="E3201">
        <v>2020</v>
      </c>
      <c r="F3201">
        <v>2</v>
      </c>
      <c r="G3201">
        <v>21504</v>
      </c>
      <c r="H3201" s="1">
        <v>3</v>
      </c>
      <c r="I3201">
        <v>10</v>
      </c>
      <c r="J3201">
        <f>IF($H3201=0,1,IF($I3201&lt;=1,2,0))</f>
        <v>0</v>
      </c>
      <c r="K3201">
        <v>0</v>
      </c>
      <c r="L3201">
        <f>IF(AND($J3201=0,$K3201=0),0,1)</f>
        <v>0</v>
      </c>
    </row>
    <row r="3202" spans="1:13" x14ac:dyDescent="0.2">
      <c r="A3202" t="s">
        <v>310</v>
      </c>
      <c r="B3202" t="s">
        <v>71</v>
      </c>
      <c r="C3202" t="s">
        <v>72</v>
      </c>
      <c r="D3202">
        <v>6893</v>
      </c>
      <c r="E3202">
        <v>2020</v>
      </c>
      <c r="F3202" t="s">
        <v>250</v>
      </c>
      <c r="G3202">
        <v>21577</v>
      </c>
      <c r="H3202" s="1">
        <v>3</v>
      </c>
      <c r="I3202">
        <v>8</v>
      </c>
      <c r="J3202">
        <f>IF($H3202=0,1,IF($I3202&lt;=1,2,0))</f>
        <v>0</v>
      </c>
      <c r="K3202">
        <v>0</v>
      </c>
      <c r="L3202">
        <f>IF(AND($J3202=0,$K3202=0),0,1)</f>
        <v>0</v>
      </c>
      <c r="M3202" t="s">
        <v>85</v>
      </c>
    </row>
    <row r="3203" spans="1:13" x14ac:dyDescent="0.2">
      <c r="A3203" t="s">
        <v>310</v>
      </c>
      <c r="B3203" t="s">
        <v>71</v>
      </c>
      <c r="C3203" t="s">
        <v>72</v>
      </c>
      <c r="D3203">
        <v>6897</v>
      </c>
      <c r="E3203">
        <v>2020</v>
      </c>
      <c r="F3203">
        <v>1</v>
      </c>
      <c r="G3203">
        <v>10736</v>
      </c>
      <c r="H3203" s="1">
        <v>3</v>
      </c>
      <c r="I3203">
        <v>8</v>
      </c>
      <c r="J3203">
        <f>IF($H3203=0,1,IF($I3203&lt;=1,2,0))</f>
        <v>0</v>
      </c>
      <c r="K3203">
        <v>0</v>
      </c>
      <c r="L3203">
        <f>IF(AND($J3203=0,$K3203=0),0,1)</f>
        <v>0</v>
      </c>
    </row>
    <row r="3204" spans="1:13" x14ac:dyDescent="0.2">
      <c r="A3204" t="s">
        <v>313</v>
      </c>
      <c r="B3204" t="s">
        <v>133</v>
      </c>
      <c r="C3204" t="s">
        <v>9</v>
      </c>
      <c r="D3204">
        <v>1010</v>
      </c>
      <c r="E3204">
        <v>2020</v>
      </c>
      <c r="F3204">
        <v>1</v>
      </c>
      <c r="G3204">
        <v>13955</v>
      </c>
      <c r="H3204" s="1">
        <v>3</v>
      </c>
      <c r="I3204">
        <v>73</v>
      </c>
      <c r="J3204">
        <f>IF($H3204=0,1,IF($I3204&lt;=1,2,0))</f>
        <v>0</v>
      </c>
      <c r="K3204">
        <v>0</v>
      </c>
      <c r="L3204">
        <f>IF(AND($J3204=0,$K3204=0),0,1)</f>
        <v>0</v>
      </c>
      <c r="M3204" t="s">
        <v>982</v>
      </c>
    </row>
    <row r="3205" spans="1:13" x14ac:dyDescent="0.2">
      <c r="A3205" t="s">
        <v>313</v>
      </c>
      <c r="B3205" t="s">
        <v>133</v>
      </c>
      <c r="C3205" t="s">
        <v>9</v>
      </c>
      <c r="D3205">
        <v>2001</v>
      </c>
      <c r="E3205">
        <v>2020</v>
      </c>
      <c r="F3205">
        <v>1</v>
      </c>
      <c r="G3205">
        <v>13960</v>
      </c>
      <c r="H3205" s="1">
        <v>3</v>
      </c>
      <c r="I3205">
        <v>41</v>
      </c>
      <c r="J3205">
        <f>IF($H3205=0,1,IF($I3205&lt;=1,2,0))</f>
        <v>0</v>
      </c>
      <c r="K3205">
        <v>0</v>
      </c>
      <c r="L3205">
        <f>IF(AND($J3205=0,$K3205=0),0,1)</f>
        <v>0</v>
      </c>
    </row>
    <row r="3206" spans="1:13" x14ac:dyDescent="0.2">
      <c r="A3206" t="s">
        <v>313</v>
      </c>
      <c r="B3206" t="s">
        <v>133</v>
      </c>
      <c r="C3206" t="s">
        <v>9</v>
      </c>
      <c r="D3206">
        <v>3005</v>
      </c>
      <c r="E3206">
        <v>2020</v>
      </c>
      <c r="F3206">
        <v>1</v>
      </c>
      <c r="G3206">
        <v>13961</v>
      </c>
      <c r="H3206" s="1">
        <v>3</v>
      </c>
      <c r="I3206">
        <v>29</v>
      </c>
      <c r="J3206">
        <f>IF($H3206=0,1,IF($I3206&lt;=1,2,0))</f>
        <v>0</v>
      </c>
      <c r="K3206">
        <v>0</v>
      </c>
      <c r="L3206">
        <f>IF(AND($J3206=0,$K3206=0),0,1)</f>
        <v>0</v>
      </c>
    </row>
    <row r="3207" spans="1:13" x14ac:dyDescent="0.2">
      <c r="A3207" t="s">
        <v>313</v>
      </c>
      <c r="B3207" t="s">
        <v>133</v>
      </c>
      <c r="C3207" t="s">
        <v>9</v>
      </c>
      <c r="D3207">
        <v>3991</v>
      </c>
      <c r="E3207">
        <v>2020</v>
      </c>
      <c r="F3207">
        <v>1</v>
      </c>
      <c r="G3207">
        <v>13964</v>
      </c>
      <c r="H3207" s="1">
        <v>3</v>
      </c>
      <c r="I3207">
        <v>4</v>
      </c>
      <c r="J3207">
        <f>IF($H3207=0,1,IF($I3207&lt;=1,2,0))</f>
        <v>0</v>
      </c>
      <c r="K3207">
        <v>0</v>
      </c>
      <c r="L3207">
        <f>IF(AND($J3207=0,$K3207=0),0,1)</f>
        <v>0</v>
      </c>
    </row>
    <row r="3208" spans="1:13" x14ac:dyDescent="0.2">
      <c r="A3208" t="s">
        <v>313</v>
      </c>
      <c r="B3208" t="s">
        <v>133</v>
      </c>
      <c r="C3208" t="s">
        <v>9</v>
      </c>
      <c r="D3208">
        <v>3993</v>
      </c>
      <c r="E3208">
        <v>2020</v>
      </c>
      <c r="F3208">
        <v>1</v>
      </c>
      <c r="G3208">
        <v>13965</v>
      </c>
      <c r="H3208" s="1" t="s">
        <v>1823</v>
      </c>
      <c r="I3208">
        <v>5</v>
      </c>
      <c r="J3208">
        <f>IF($H3208=0,1,IF($I3208&lt;=1,2,0))</f>
        <v>0</v>
      </c>
      <c r="K3208">
        <v>0</v>
      </c>
      <c r="L3208">
        <f>IF(AND($J3208=0,$K3208=0),0,1)</f>
        <v>0</v>
      </c>
    </row>
    <row r="3209" spans="1:13" x14ac:dyDescent="0.2">
      <c r="A3209" t="s">
        <v>313</v>
      </c>
      <c r="B3209" t="s">
        <v>133</v>
      </c>
      <c r="C3209" t="s">
        <v>9</v>
      </c>
      <c r="D3209">
        <v>4100</v>
      </c>
      <c r="E3209">
        <v>2020</v>
      </c>
      <c r="F3209">
        <v>1</v>
      </c>
      <c r="G3209">
        <v>13966</v>
      </c>
      <c r="H3209" s="1">
        <v>4</v>
      </c>
      <c r="I3209">
        <v>16</v>
      </c>
      <c r="J3209">
        <f>IF($H3209=0,1,IF($I3209&lt;=1,2,0))</f>
        <v>0</v>
      </c>
      <c r="K3209">
        <v>0</v>
      </c>
      <c r="L3209">
        <f>IF(AND($J3209=0,$K3209=0),0,1)</f>
        <v>0</v>
      </c>
      <c r="M3209" t="s">
        <v>984</v>
      </c>
    </row>
    <row r="3210" spans="1:13" x14ac:dyDescent="0.2">
      <c r="A3210" t="s">
        <v>313</v>
      </c>
      <c r="B3210" t="s">
        <v>133</v>
      </c>
      <c r="C3210" t="s">
        <v>11</v>
      </c>
      <c r="D3210">
        <v>4140</v>
      </c>
      <c r="E3210">
        <v>2020</v>
      </c>
      <c r="F3210">
        <v>1</v>
      </c>
      <c r="G3210">
        <v>13971</v>
      </c>
      <c r="H3210" s="1">
        <v>3</v>
      </c>
      <c r="I3210">
        <v>12</v>
      </c>
      <c r="J3210">
        <f>IF($H3210=0,1,IF($I3210&lt;=1,2,0))</f>
        <v>0</v>
      </c>
      <c r="K3210">
        <v>0</v>
      </c>
      <c r="L3210">
        <f>IF(AND($J3210=0,$K3210=0),0,1)</f>
        <v>0</v>
      </c>
      <c r="M3210" t="s">
        <v>985</v>
      </c>
    </row>
    <row r="3211" spans="1:13" x14ac:dyDescent="0.2">
      <c r="A3211" t="s">
        <v>313</v>
      </c>
      <c r="B3211" t="s">
        <v>133</v>
      </c>
      <c r="C3211" t="s">
        <v>9</v>
      </c>
      <c r="D3211">
        <v>4201</v>
      </c>
      <c r="E3211">
        <v>2020</v>
      </c>
      <c r="F3211">
        <v>1</v>
      </c>
      <c r="G3211">
        <v>13975</v>
      </c>
      <c r="H3211" s="1">
        <v>3</v>
      </c>
      <c r="I3211">
        <v>12</v>
      </c>
      <c r="J3211">
        <f>IF($H3211=0,1,IF($I3211&lt;=1,2,0))</f>
        <v>0</v>
      </c>
      <c r="K3211">
        <v>0</v>
      </c>
      <c r="L3211">
        <f>IF(AND($J3211=0,$K3211=0),0,1)</f>
        <v>0</v>
      </c>
    </row>
    <row r="3212" spans="1:13" x14ac:dyDescent="0.2">
      <c r="A3212" t="s">
        <v>313</v>
      </c>
      <c r="B3212" t="s">
        <v>133</v>
      </c>
      <c r="C3212" t="s">
        <v>11</v>
      </c>
      <c r="D3212">
        <v>4260</v>
      </c>
      <c r="E3212">
        <v>2020</v>
      </c>
      <c r="F3212">
        <v>1</v>
      </c>
      <c r="G3212">
        <v>13980</v>
      </c>
      <c r="H3212" s="1">
        <v>3</v>
      </c>
      <c r="I3212">
        <v>29</v>
      </c>
      <c r="J3212">
        <f>IF($H3212=0,1,IF($I3212&lt;=1,2,0))</f>
        <v>0</v>
      </c>
      <c r="K3212">
        <v>0</v>
      </c>
      <c r="L3212">
        <f>IF(AND($J3212=0,$K3212=0),0,1)</f>
        <v>0</v>
      </c>
    </row>
    <row r="3213" spans="1:13" x14ac:dyDescent="0.2">
      <c r="A3213" t="s">
        <v>313</v>
      </c>
      <c r="B3213" t="s">
        <v>133</v>
      </c>
      <c r="C3213" t="s">
        <v>9</v>
      </c>
      <c r="D3213">
        <v>4321</v>
      </c>
      <c r="E3213">
        <v>2020</v>
      </c>
      <c r="F3213">
        <v>1</v>
      </c>
      <c r="G3213">
        <v>13983</v>
      </c>
      <c r="H3213" s="1">
        <v>4</v>
      </c>
      <c r="I3213">
        <v>19</v>
      </c>
      <c r="J3213">
        <f>IF($H3213=0,1,IF($I3213&lt;=1,2,0))</f>
        <v>0</v>
      </c>
      <c r="K3213">
        <v>0</v>
      </c>
      <c r="L3213">
        <f>IF(AND($J3213=0,$K3213=0),0,1)</f>
        <v>0</v>
      </c>
    </row>
    <row r="3214" spans="1:13" x14ac:dyDescent="0.2">
      <c r="A3214" t="s">
        <v>313</v>
      </c>
      <c r="B3214" t="s">
        <v>133</v>
      </c>
      <c r="C3214" t="s">
        <v>9</v>
      </c>
      <c r="D3214">
        <v>4350</v>
      </c>
      <c r="E3214">
        <v>2020</v>
      </c>
      <c r="F3214">
        <v>1</v>
      </c>
      <c r="G3214">
        <v>13985</v>
      </c>
      <c r="H3214" s="1">
        <v>3</v>
      </c>
      <c r="I3214">
        <v>15</v>
      </c>
      <c r="J3214">
        <f>IF($H3214=0,1,IF($I3214&lt;=1,2,0))</f>
        <v>0</v>
      </c>
      <c r="K3214">
        <v>0</v>
      </c>
      <c r="L3214">
        <f>IF(AND($J3214=0,$K3214=0),0,1)</f>
        <v>0</v>
      </c>
    </row>
    <row r="3215" spans="1:13" x14ac:dyDescent="0.2">
      <c r="A3215" t="s">
        <v>313</v>
      </c>
      <c r="B3215" t="s">
        <v>133</v>
      </c>
      <c r="C3215" t="s">
        <v>11</v>
      </c>
      <c r="D3215">
        <v>5005</v>
      </c>
      <c r="E3215">
        <v>2020</v>
      </c>
      <c r="F3215">
        <v>1</v>
      </c>
      <c r="G3215">
        <v>13988</v>
      </c>
      <c r="H3215" s="1">
        <v>3</v>
      </c>
      <c r="I3215">
        <v>11</v>
      </c>
      <c r="J3215">
        <f>IF($H3215=0,1,IF($I3215&lt;=1,2,0))</f>
        <v>0</v>
      </c>
      <c r="K3215">
        <v>0</v>
      </c>
      <c r="L3215">
        <f>IF(AND($J3215=0,$K3215=0),0,1)</f>
        <v>0</v>
      </c>
    </row>
    <row r="3216" spans="1:13" x14ac:dyDescent="0.2">
      <c r="A3216" t="s">
        <v>313</v>
      </c>
      <c r="B3216" t="s">
        <v>133</v>
      </c>
      <c r="C3216" t="s">
        <v>11</v>
      </c>
      <c r="D3216">
        <v>5010</v>
      </c>
      <c r="E3216">
        <v>2020</v>
      </c>
      <c r="F3216">
        <v>1</v>
      </c>
      <c r="G3216">
        <v>13993</v>
      </c>
      <c r="H3216" s="1">
        <v>6</v>
      </c>
      <c r="I3216">
        <v>14</v>
      </c>
      <c r="J3216">
        <f>IF($H3216=0,1,IF($I3216&lt;=1,2,0))</f>
        <v>0</v>
      </c>
      <c r="K3216">
        <v>0</v>
      </c>
      <c r="L3216">
        <f>IF(AND($J3216=0,$K3216=0),0,1)</f>
        <v>0</v>
      </c>
      <c r="M3216" t="s">
        <v>986</v>
      </c>
    </row>
    <row r="3217" spans="1:13" x14ac:dyDescent="0.2">
      <c r="A3217" t="s">
        <v>313</v>
      </c>
      <c r="B3217" t="s">
        <v>133</v>
      </c>
      <c r="C3217" t="s">
        <v>11</v>
      </c>
      <c r="D3217">
        <v>6110</v>
      </c>
      <c r="E3217">
        <v>2020</v>
      </c>
      <c r="F3217">
        <v>1</v>
      </c>
      <c r="G3217">
        <v>14017</v>
      </c>
      <c r="H3217" s="1">
        <v>3</v>
      </c>
      <c r="I3217">
        <v>19</v>
      </c>
      <c r="J3217">
        <f>IF($H3217=0,1,IF($I3217&lt;=1,2,0))</f>
        <v>0</v>
      </c>
      <c r="K3217">
        <v>0</v>
      </c>
      <c r="L3217">
        <f>IF(AND($J3217=0,$K3217=0),0,1)</f>
        <v>0</v>
      </c>
    </row>
    <row r="3218" spans="1:13" x14ac:dyDescent="0.2">
      <c r="A3218" t="s">
        <v>313</v>
      </c>
      <c r="B3218" t="s">
        <v>133</v>
      </c>
      <c r="C3218" t="s">
        <v>11</v>
      </c>
      <c r="D3218">
        <v>6300</v>
      </c>
      <c r="E3218">
        <v>2020</v>
      </c>
      <c r="F3218">
        <v>1</v>
      </c>
      <c r="G3218">
        <v>14019</v>
      </c>
      <c r="H3218" s="1">
        <v>1</v>
      </c>
      <c r="I3218">
        <v>31</v>
      </c>
      <c r="J3218">
        <f>IF($H3218=0,1,IF($I3218&lt;=1,2,0))</f>
        <v>0</v>
      </c>
      <c r="K3218">
        <v>0</v>
      </c>
      <c r="L3218">
        <f>IF(AND($J3218=0,$K3218=0),0,1)</f>
        <v>0</v>
      </c>
    </row>
    <row r="3219" spans="1:13" x14ac:dyDescent="0.2">
      <c r="A3219" t="s">
        <v>313</v>
      </c>
      <c r="B3219" t="s">
        <v>133</v>
      </c>
      <c r="C3219" t="s">
        <v>11</v>
      </c>
      <c r="D3219">
        <v>6445</v>
      </c>
      <c r="E3219">
        <v>2020</v>
      </c>
      <c r="F3219">
        <v>1</v>
      </c>
      <c r="G3219">
        <v>14023</v>
      </c>
      <c r="H3219" s="1">
        <v>3</v>
      </c>
      <c r="I3219">
        <v>8</v>
      </c>
      <c r="J3219">
        <f>IF($H3219=0,1,IF($I3219&lt;=1,2,0))</f>
        <v>0</v>
      </c>
      <c r="K3219">
        <v>0</v>
      </c>
      <c r="L3219">
        <f>IF(AND($J3219=0,$K3219=0),0,1)</f>
        <v>0</v>
      </c>
    </row>
    <row r="3220" spans="1:13" x14ac:dyDescent="0.2">
      <c r="A3220" t="s">
        <v>317</v>
      </c>
      <c r="B3220" t="s">
        <v>71</v>
      </c>
      <c r="C3220" t="s">
        <v>72</v>
      </c>
      <c r="D3220">
        <v>3601</v>
      </c>
      <c r="E3220">
        <v>2020</v>
      </c>
      <c r="F3220">
        <v>1</v>
      </c>
      <c r="G3220">
        <v>10234</v>
      </c>
      <c r="H3220" s="1">
        <v>3</v>
      </c>
      <c r="I3220">
        <v>64</v>
      </c>
      <c r="J3220">
        <f>IF($H3220=0,1,IF($I3220&lt;=1,2,0))</f>
        <v>0</v>
      </c>
      <c r="K3220">
        <v>0</v>
      </c>
      <c r="L3220">
        <f>IF(AND($J3220=0,$K3220=0),0,1)</f>
        <v>0</v>
      </c>
    </row>
    <row r="3221" spans="1:13" x14ac:dyDescent="0.2">
      <c r="A3221" t="s">
        <v>317</v>
      </c>
      <c r="B3221" t="s">
        <v>71</v>
      </c>
      <c r="C3221" t="s">
        <v>72</v>
      </c>
      <c r="D3221">
        <v>6601</v>
      </c>
      <c r="E3221">
        <v>2020</v>
      </c>
      <c r="F3221">
        <v>1</v>
      </c>
      <c r="G3221">
        <v>10235</v>
      </c>
      <c r="H3221" s="1">
        <v>3</v>
      </c>
      <c r="I3221">
        <v>51</v>
      </c>
      <c r="J3221">
        <f>IF($H3221=0,1,IF($I3221&lt;=1,2,0))</f>
        <v>0</v>
      </c>
      <c r="K3221">
        <v>0</v>
      </c>
      <c r="L3221">
        <f>IF(AND($J3221=0,$K3221=0),0,1)</f>
        <v>0</v>
      </c>
    </row>
    <row r="3222" spans="1:13" x14ac:dyDescent="0.2">
      <c r="A3222" t="s">
        <v>317</v>
      </c>
      <c r="B3222" t="s">
        <v>71</v>
      </c>
      <c r="C3222" t="s">
        <v>72</v>
      </c>
      <c r="D3222">
        <v>6601</v>
      </c>
      <c r="E3222">
        <v>2020</v>
      </c>
      <c r="F3222" t="s">
        <v>87</v>
      </c>
      <c r="G3222">
        <v>21580</v>
      </c>
      <c r="H3222" s="1">
        <v>3</v>
      </c>
      <c r="I3222">
        <v>2</v>
      </c>
      <c r="J3222">
        <f>IF($H3222=0,1,IF($I3222&lt;=1,2,0))</f>
        <v>0</v>
      </c>
      <c r="K3222">
        <v>0</v>
      </c>
      <c r="L3222">
        <f>IF(AND($J3222=0,$K3222=0),0,1)</f>
        <v>0</v>
      </c>
      <c r="M3222" t="s">
        <v>85</v>
      </c>
    </row>
    <row r="3223" spans="1:13" x14ac:dyDescent="0.2">
      <c r="A3223" t="s">
        <v>987</v>
      </c>
      <c r="B3223" t="s">
        <v>71</v>
      </c>
      <c r="C3223" t="s">
        <v>72</v>
      </c>
      <c r="D3223">
        <v>4650</v>
      </c>
      <c r="E3223">
        <v>2020</v>
      </c>
      <c r="F3223">
        <v>1</v>
      </c>
      <c r="G3223">
        <v>10616</v>
      </c>
      <c r="H3223" s="1">
        <v>3</v>
      </c>
      <c r="I3223">
        <v>37</v>
      </c>
      <c r="J3223">
        <f>IF($H3223=0,1,IF($I3223&lt;=1,2,0))</f>
        <v>0</v>
      </c>
      <c r="K3223">
        <v>0</v>
      </c>
      <c r="L3223">
        <f>IF(AND($J3223=0,$K3223=0),0,1)</f>
        <v>0</v>
      </c>
    </row>
    <row r="3224" spans="1:13" x14ac:dyDescent="0.2">
      <c r="A3224" t="s">
        <v>318</v>
      </c>
      <c r="B3224" t="s">
        <v>133</v>
      </c>
      <c r="C3224" t="s">
        <v>9</v>
      </c>
      <c r="D3224">
        <v>1001</v>
      </c>
      <c r="E3224">
        <v>2020</v>
      </c>
      <c r="F3224">
        <v>1</v>
      </c>
      <c r="G3224">
        <v>12438</v>
      </c>
      <c r="H3224" s="1">
        <v>4</v>
      </c>
      <c r="I3224">
        <v>15</v>
      </c>
      <c r="J3224">
        <f>IF($H3224=0,1,IF($I3224&lt;=1,2,0))</f>
        <v>0</v>
      </c>
      <c r="K3224">
        <v>0</v>
      </c>
      <c r="L3224">
        <f>IF(AND($J3224=0,$K3224=0),0,1)</f>
        <v>0</v>
      </c>
    </row>
    <row r="3225" spans="1:13" x14ac:dyDescent="0.2">
      <c r="A3225" t="s">
        <v>318</v>
      </c>
      <c r="B3225" t="s">
        <v>133</v>
      </c>
      <c r="C3225" t="s">
        <v>9</v>
      </c>
      <c r="D3225">
        <v>1201</v>
      </c>
      <c r="E3225">
        <v>2020</v>
      </c>
      <c r="F3225">
        <v>1</v>
      </c>
      <c r="G3225">
        <v>12439</v>
      </c>
      <c r="H3225" s="1">
        <v>3</v>
      </c>
      <c r="I3225">
        <v>51</v>
      </c>
      <c r="J3225">
        <f>IF($H3225=0,1,IF($I3225&lt;=1,2,0))</f>
        <v>0</v>
      </c>
      <c r="K3225">
        <v>0</v>
      </c>
      <c r="L3225">
        <f>IF(AND($J3225=0,$K3225=0),0,1)</f>
        <v>0</v>
      </c>
    </row>
    <row r="3226" spans="1:13" x14ac:dyDescent="0.2">
      <c r="A3226" t="s">
        <v>318</v>
      </c>
      <c r="B3226" t="s">
        <v>133</v>
      </c>
      <c r="C3226" t="s">
        <v>9</v>
      </c>
      <c r="D3226">
        <v>1401</v>
      </c>
      <c r="E3226">
        <v>2020</v>
      </c>
      <c r="F3226">
        <v>1</v>
      </c>
      <c r="G3226">
        <v>12440</v>
      </c>
      <c r="H3226" s="1">
        <v>3</v>
      </c>
      <c r="I3226">
        <v>49</v>
      </c>
      <c r="J3226">
        <f>IF($H3226=0,1,IF($I3226&lt;=1,2,0))</f>
        <v>0</v>
      </c>
      <c r="K3226">
        <v>0</v>
      </c>
      <c r="L3226">
        <f>IF(AND($J3226=0,$K3226=0),0,1)</f>
        <v>0</v>
      </c>
    </row>
    <row r="3227" spans="1:13" x14ac:dyDescent="0.2">
      <c r="A3227" t="s">
        <v>318</v>
      </c>
      <c r="B3227" t="s">
        <v>133</v>
      </c>
      <c r="C3227" t="s">
        <v>9</v>
      </c>
      <c r="D3227">
        <v>1600</v>
      </c>
      <c r="E3227">
        <v>2020</v>
      </c>
      <c r="F3227">
        <v>1</v>
      </c>
      <c r="G3227">
        <v>12441</v>
      </c>
      <c r="H3227" s="1">
        <v>3</v>
      </c>
      <c r="I3227">
        <v>125</v>
      </c>
      <c r="J3227">
        <f>IF($H3227=0,1,IF($I3227&lt;=1,2,0))</f>
        <v>0</v>
      </c>
      <c r="K3227">
        <v>0</v>
      </c>
      <c r="L3227">
        <f>IF(AND($J3227=0,$K3227=0),0,1)</f>
        <v>0</v>
      </c>
      <c r="M3227" t="s">
        <v>989</v>
      </c>
    </row>
    <row r="3228" spans="1:13" x14ac:dyDescent="0.2">
      <c r="A3228" t="s">
        <v>318</v>
      </c>
      <c r="B3228" t="s">
        <v>133</v>
      </c>
      <c r="C3228" t="s">
        <v>9</v>
      </c>
      <c r="D3228">
        <v>2100</v>
      </c>
      <c r="E3228">
        <v>2020</v>
      </c>
      <c r="F3228">
        <v>1</v>
      </c>
      <c r="G3228">
        <v>12442</v>
      </c>
      <c r="H3228" s="1">
        <v>4.5</v>
      </c>
      <c r="I3228">
        <v>43</v>
      </c>
      <c r="J3228">
        <f>IF($H3228=0,1,IF($I3228&lt;=1,2,0))</f>
        <v>0</v>
      </c>
      <c r="K3228">
        <v>0</v>
      </c>
      <c r="L3228">
        <f>IF(AND($J3228=0,$K3228=0),0,1)</f>
        <v>0</v>
      </c>
    </row>
    <row r="3229" spans="1:13" x14ac:dyDescent="0.2">
      <c r="A3229" t="s">
        <v>318</v>
      </c>
      <c r="B3229" t="s">
        <v>133</v>
      </c>
      <c r="C3229" t="s">
        <v>9</v>
      </c>
      <c r="D3229">
        <v>2200</v>
      </c>
      <c r="E3229">
        <v>2020</v>
      </c>
      <c r="F3229">
        <v>1</v>
      </c>
      <c r="G3229">
        <v>12443</v>
      </c>
      <c r="H3229" s="1">
        <v>4.5</v>
      </c>
      <c r="I3229">
        <v>53</v>
      </c>
      <c r="J3229">
        <f>IF($H3229=0,1,IF($I3229&lt;=1,2,0))</f>
        <v>0</v>
      </c>
      <c r="K3229">
        <v>0</v>
      </c>
      <c r="L3229">
        <f>IF(AND($J3229=0,$K3229=0),0,1)</f>
        <v>0</v>
      </c>
      <c r="M3229" t="s">
        <v>990</v>
      </c>
    </row>
    <row r="3230" spans="1:13" x14ac:dyDescent="0.2">
      <c r="A3230" t="s">
        <v>318</v>
      </c>
      <c r="B3230" t="s">
        <v>133</v>
      </c>
      <c r="C3230" t="s">
        <v>9</v>
      </c>
      <c r="D3230">
        <v>2330</v>
      </c>
      <c r="E3230">
        <v>2020</v>
      </c>
      <c r="F3230">
        <v>1</v>
      </c>
      <c r="G3230">
        <v>12444</v>
      </c>
      <c r="H3230" s="1">
        <v>3</v>
      </c>
      <c r="I3230">
        <v>112</v>
      </c>
      <c r="J3230">
        <f>IF($H3230=0,1,IF($I3230&lt;=1,2,0))</f>
        <v>0</v>
      </c>
      <c r="K3230">
        <v>0</v>
      </c>
      <c r="L3230">
        <f>IF(AND($J3230=0,$K3230=0),0,1)</f>
        <v>0</v>
      </c>
    </row>
    <row r="3231" spans="1:13" x14ac:dyDescent="0.2">
      <c r="A3231" t="s">
        <v>318</v>
      </c>
      <c r="B3231" t="s">
        <v>133</v>
      </c>
      <c r="C3231" t="s">
        <v>9</v>
      </c>
      <c r="D3231">
        <v>3000</v>
      </c>
      <c r="E3231">
        <v>2020</v>
      </c>
      <c r="F3231">
        <v>1</v>
      </c>
      <c r="G3231">
        <v>21076</v>
      </c>
      <c r="H3231" s="1" t="s">
        <v>1827</v>
      </c>
      <c r="I3231">
        <v>2</v>
      </c>
      <c r="J3231">
        <f>IF($H3231=0,1,IF($I3231&lt;=1,2,0))</f>
        <v>0</v>
      </c>
      <c r="K3231">
        <v>0</v>
      </c>
      <c r="L3231">
        <f>IF(AND($J3231=0,$K3231=0),0,1)</f>
        <v>0</v>
      </c>
      <c r="M3231" t="s">
        <v>991</v>
      </c>
    </row>
    <row r="3232" spans="1:13" x14ac:dyDescent="0.2">
      <c r="A3232" t="s">
        <v>318</v>
      </c>
      <c r="B3232" t="s">
        <v>133</v>
      </c>
      <c r="C3232" t="s">
        <v>9</v>
      </c>
      <c r="D3232">
        <v>3101</v>
      </c>
      <c r="E3232">
        <v>2020</v>
      </c>
      <c r="F3232">
        <v>1</v>
      </c>
      <c r="G3232">
        <v>12445</v>
      </c>
      <c r="H3232" s="1">
        <v>3</v>
      </c>
      <c r="I3232">
        <v>27</v>
      </c>
      <c r="J3232">
        <f>IF($H3232=0,1,IF($I3232&lt;=1,2,0))</f>
        <v>0</v>
      </c>
      <c r="K3232">
        <v>0</v>
      </c>
      <c r="L3232">
        <f>IF(AND($J3232=0,$K3232=0),0,1)</f>
        <v>0</v>
      </c>
    </row>
    <row r="3233" spans="1:13" x14ac:dyDescent="0.2">
      <c r="A3233" t="s">
        <v>318</v>
      </c>
      <c r="B3233" t="s">
        <v>133</v>
      </c>
      <c r="C3233" t="s">
        <v>9</v>
      </c>
      <c r="D3233">
        <v>3901</v>
      </c>
      <c r="E3233">
        <v>2020</v>
      </c>
      <c r="F3233">
        <v>1</v>
      </c>
      <c r="G3233">
        <v>12446</v>
      </c>
      <c r="H3233" s="1">
        <v>3</v>
      </c>
      <c r="I3233">
        <v>8</v>
      </c>
      <c r="J3233">
        <f>IF($H3233=0,1,IF($I3233&lt;=1,2,0))</f>
        <v>0</v>
      </c>
      <c r="K3233">
        <v>0</v>
      </c>
      <c r="L3233">
        <f>IF(AND($J3233=0,$K3233=0),0,1)</f>
        <v>0</v>
      </c>
      <c r="M3233" t="s">
        <v>993</v>
      </c>
    </row>
    <row r="3234" spans="1:13" x14ac:dyDescent="0.2">
      <c r="A3234" t="s">
        <v>318</v>
      </c>
      <c r="B3234" t="s">
        <v>133</v>
      </c>
      <c r="C3234" t="s">
        <v>9</v>
      </c>
      <c r="D3234">
        <v>4008</v>
      </c>
      <c r="E3234">
        <v>2020</v>
      </c>
      <c r="F3234">
        <v>1</v>
      </c>
      <c r="G3234">
        <v>12447</v>
      </c>
      <c r="H3234" s="1">
        <v>3</v>
      </c>
      <c r="I3234">
        <v>25</v>
      </c>
      <c r="J3234">
        <f>IF($H3234=0,1,IF($I3234&lt;=1,2,0))</f>
        <v>0</v>
      </c>
      <c r="K3234">
        <v>0</v>
      </c>
      <c r="L3234">
        <f>IF(AND($J3234=0,$K3234=0),0,1)</f>
        <v>0</v>
      </c>
    </row>
    <row r="3235" spans="1:13" x14ac:dyDescent="0.2">
      <c r="A3235" t="s">
        <v>318</v>
      </c>
      <c r="B3235" t="s">
        <v>133</v>
      </c>
      <c r="C3235" t="s">
        <v>9</v>
      </c>
      <c r="D3235">
        <v>4050</v>
      </c>
      <c r="E3235">
        <v>2020</v>
      </c>
      <c r="F3235">
        <v>1</v>
      </c>
      <c r="G3235">
        <v>12448</v>
      </c>
      <c r="H3235" s="1">
        <v>3</v>
      </c>
      <c r="I3235">
        <v>13</v>
      </c>
      <c r="J3235">
        <f>IF($H3235=0,1,IF($I3235&lt;=1,2,0))</f>
        <v>0</v>
      </c>
      <c r="K3235">
        <v>0</v>
      </c>
      <c r="L3235">
        <f>IF(AND($J3235=0,$K3235=0),0,1)</f>
        <v>0</v>
      </c>
      <c r="M3235" t="s">
        <v>995</v>
      </c>
    </row>
    <row r="3236" spans="1:13" x14ac:dyDescent="0.2">
      <c r="A3236" t="s">
        <v>318</v>
      </c>
      <c r="B3236" t="s">
        <v>133</v>
      </c>
      <c r="C3236" t="s">
        <v>9</v>
      </c>
      <c r="D3236">
        <v>4330</v>
      </c>
      <c r="E3236">
        <v>2020</v>
      </c>
      <c r="F3236">
        <v>1</v>
      </c>
      <c r="G3236">
        <v>12452</v>
      </c>
      <c r="H3236" s="1">
        <v>3</v>
      </c>
      <c r="I3236">
        <v>18</v>
      </c>
      <c r="J3236">
        <f>IF($H3236=0,1,IF($I3236&lt;=1,2,0))</f>
        <v>0</v>
      </c>
      <c r="K3236">
        <v>0</v>
      </c>
      <c r="L3236">
        <f>IF(AND($J3236=0,$K3236=0),0,1)</f>
        <v>0</v>
      </c>
      <c r="M3236" t="s">
        <v>996</v>
      </c>
    </row>
    <row r="3237" spans="1:13" x14ac:dyDescent="0.2">
      <c r="A3237" t="s">
        <v>318</v>
      </c>
      <c r="B3237" t="s">
        <v>133</v>
      </c>
      <c r="C3237" t="s">
        <v>9</v>
      </c>
      <c r="D3237">
        <v>4600</v>
      </c>
      <c r="E3237">
        <v>2020</v>
      </c>
      <c r="F3237">
        <v>1</v>
      </c>
      <c r="G3237">
        <v>12453</v>
      </c>
      <c r="H3237" s="1">
        <v>3</v>
      </c>
      <c r="I3237">
        <v>20</v>
      </c>
      <c r="J3237">
        <f>IF($H3237=0,1,IF($I3237&lt;=1,2,0))</f>
        <v>0</v>
      </c>
      <c r="K3237">
        <v>0</v>
      </c>
      <c r="L3237">
        <f>IF(AND($J3237=0,$K3237=0),0,1)</f>
        <v>0</v>
      </c>
      <c r="M3237" t="s">
        <v>997</v>
      </c>
    </row>
    <row r="3238" spans="1:13" x14ac:dyDescent="0.2">
      <c r="A3238" t="s">
        <v>318</v>
      </c>
      <c r="B3238" t="s">
        <v>133</v>
      </c>
      <c r="C3238" t="s">
        <v>9</v>
      </c>
      <c r="D3238">
        <v>4887</v>
      </c>
      <c r="E3238">
        <v>2020</v>
      </c>
      <c r="F3238">
        <v>1</v>
      </c>
      <c r="G3238">
        <v>12454</v>
      </c>
      <c r="H3238" s="1">
        <v>3</v>
      </c>
      <c r="I3238">
        <v>10</v>
      </c>
      <c r="J3238">
        <f>IF($H3238=0,1,IF($I3238&lt;=1,2,0))</f>
        <v>0</v>
      </c>
      <c r="K3238">
        <v>0</v>
      </c>
      <c r="L3238">
        <f>IF(AND($J3238=0,$K3238=0),0,1)</f>
        <v>0</v>
      </c>
      <c r="M3238" t="s">
        <v>996</v>
      </c>
    </row>
    <row r="3239" spans="1:13" x14ac:dyDescent="0.2">
      <c r="A3239" t="s">
        <v>318</v>
      </c>
      <c r="B3239" t="s">
        <v>133</v>
      </c>
      <c r="C3239" t="s">
        <v>9</v>
      </c>
      <c r="D3239">
        <v>4917</v>
      </c>
      <c r="E3239">
        <v>2020</v>
      </c>
      <c r="F3239">
        <v>1</v>
      </c>
      <c r="G3239">
        <v>12455</v>
      </c>
      <c r="H3239" s="1">
        <v>3</v>
      </c>
      <c r="I3239">
        <v>16</v>
      </c>
      <c r="J3239">
        <f>IF($H3239=0,1,IF($I3239&lt;=1,2,0))</f>
        <v>0</v>
      </c>
      <c r="K3239">
        <v>0</v>
      </c>
      <c r="L3239">
        <f>IF(AND($J3239=0,$K3239=0),0,1)</f>
        <v>0</v>
      </c>
    </row>
    <row r="3240" spans="1:13" x14ac:dyDescent="0.2">
      <c r="A3240" t="s">
        <v>318</v>
      </c>
      <c r="B3240" t="s">
        <v>133</v>
      </c>
      <c r="C3240" t="s">
        <v>9</v>
      </c>
      <c r="D3240">
        <v>4923</v>
      </c>
      <c r="E3240">
        <v>2020</v>
      </c>
      <c r="F3240">
        <v>1</v>
      </c>
      <c r="G3240">
        <v>15271</v>
      </c>
      <c r="H3240" s="1">
        <v>3</v>
      </c>
      <c r="I3240">
        <v>6</v>
      </c>
      <c r="J3240">
        <f>IF($H3240=0,1,IF($I3240&lt;=1,2,0))</f>
        <v>0</v>
      </c>
      <c r="K3240">
        <v>0</v>
      </c>
      <c r="L3240">
        <f>IF(AND($J3240=0,$K3240=0),0,1)</f>
        <v>0</v>
      </c>
    </row>
    <row r="3241" spans="1:13" x14ac:dyDescent="0.2">
      <c r="A3241" t="s">
        <v>318</v>
      </c>
      <c r="B3241" t="s">
        <v>133</v>
      </c>
      <c r="C3241" t="s">
        <v>9</v>
      </c>
      <c r="D3241">
        <v>4925</v>
      </c>
      <c r="E3241">
        <v>2020</v>
      </c>
      <c r="F3241">
        <v>1</v>
      </c>
      <c r="G3241">
        <v>12456</v>
      </c>
      <c r="H3241" s="1">
        <v>3</v>
      </c>
      <c r="I3241">
        <v>14</v>
      </c>
      <c r="J3241">
        <f>IF($H3241=0,1,IF($I3241&lt;=1,2,0))</f>
        <v>0</v>
      </c>
      <c r="K3241">
        <v>0</v>
      </c>
      <c r="L3241">
        <f>IF(AND($J3241=0,$K3241=0),0,1)</f>
        <v>0</v>
      </c>
      <c r="M3241" t="s">
        <v>996</v>
      </c>
    </row>
    <row r="3242" spans="1:13" x14ac:dyDescent="0.2">
      <c r="A3242" t="s">
        <v>318</v>
      </c>
      <c r="B3242" t="s">
        <v>133</v>
      </c>
      <c r="C3242" t="s">
        <v>9</v>
      </c>
      <c r="D3242">
        <v>4949</v>
      </c>
      <c r="E3242">
        <v>2020</v>
      </c>
      <c r="F3242">
        <v>1</v>
      </c>
      <c r="G3242">
        <v>12457</v>
      </c>
      <c r="H3242" s="1">
        <v>3</v>
      </c>
      <c r="I3242">
        <v>3</v>
      </c>
      <c r="J3242">
        <f>IF($H3242=0,1,IF($I3242&lt;=1,2,0))</f>
        <v>0</v>
      </c>
      <c r="K3242">
        <v>0</v>
      </c>
      <c r="L3242">
        <f>IF(AND($J3242=0,$K3242=0),0,1)</f>
        <v>0</v>
      </c>
      <c r="M3242" t="s">
        <v>996</v>
      </c>
    </row>
    <row r="3243" spans="1:13" x14ac:dyDescent="0.2">
      <c r="A3243" t="s">
        <v>318</v>
      </c>
      <c r="B3243" t="s">
        <v>133</v>
      </c>
      <c r="C3243" t="s">
        <v>11</v>
      </c>
      <c r="D3243">
        <v>5400</v>
      </c>
      <c r="E3243">
        <v>2020</v>
      </c>
      <c r="F3243">
        <v>1</v>
      </c>
      <c r="G3243">
        <v>12458</v>
      </c>
      <c r="H3243" s="1">
        <v>3</v>
      </c>
      <c r="I3243">
        <v>28</v>
      </c>
      <c r="J3243">
        <f>IF($H3243=0,1,IF($I3243&lt;=1,2,0))</f>
        <v>0</v>
      </c>
      <c r="K3243">
        <v>0</v>
      </c>
      <c r="L3243">
        <f>IF(AND($J3243=0,$K3243=0),0,1)</f>
        <v>0</v>
      </c>
      <c r="M3243" t="s">
        <v>996</v>
      </c>
    </row>
    <row r="3244" spans="1:13" x14ac:dyDescent="0.2">
      <c r="A3244" t="s">
        <v>318</v>
      </c>
      <c r="B3244" t="s">
        <v>133</v>
      </c>
      <c r="C3244" t="s">
        <v>11</v>
      </c>
      <c r="D3244">
        <v>5401</v>
      </c>
      <c r="E3244">
        <v>2020</v>
      </c>
      <c r="F3244">
        <v>1</v>
      </c>
      <c r="G3244">
        <v>12459</v>
      </c>
      <c r="H3244" s="1">
        <v>4</v>
      </c>
      <c r="I3244">
        <v>21</v>
      </c>
      <c r="J3244">
        <f>IF($H3244=0,1,IF($I3244&lt;=1,2,0))</f>
        <v>0</v>
      </c>
      <c r="K3244">
        <v>0</v>
      </c>
      <c r="L3244">
        <f>IF(AND($J3244=0,$K3244=0),0,1)</f>
        <v>0</v>
      </c>
    </row>
    <row r="3245" spans="1:13" x14ac:dyDescent="0.2">
      <c r="A3245" t="s">
        <v>318</v>
      </c>
      <c r="B3245" t="s">
        <v>133</v>
      </c>
      <c r="C3245" t="s">
        <v>11</v>
      </c>
      <c r="D3245">
        <v>5403</v>
      </c>
      <c r="E3245">
        <v>2020</v>
      </c>
      <c r="F3245">
        <v>1</v>
      </c>
      <c r="G3245">
        <v>12460</v>
      </c>
      <c r="H3245" s="1">
        <v>3</v>
      </c>
      <c r="I3245">
        <v>31</v>
      </c>
      <c r="J3245">
        <f>IF($H3245=0,1,IF($I3245&lt;=1,2,0))</f>
        <v>0</v>
      </c>
      <c r="K3245">
        <v>0</v>
      </c>
      <c r="L3245">
        <f>IF(AND($J3245=0,$K3245=0),0,1)</f>
        <v>0</v>
      </c>
    </row>
    <row r="3246" spans="1:13" x14ac:dyDescent="0.2">
      <c r="A3246" t="s">
        <v>318</v>
      </c>
      <c r="B3246" t="s">
        <v>133</v>
      </c>
      <c r="C3246" t="s">
        <v>11</v>
      </c>
      <c r="D3246">
        <v>6001</v>
      </c>
      <c r="E3246">
        <v>2020</v>
      </c>
      <c r="F3246">
        <v>1</v>
      </c>
      <c r="G3246">
        <v>12461</v>
      </c>
      <c r="H3246" s="1">
        <v>1</v>
      </c>
      <c r="I3246">
        <v>43</v>
      </c>
      <c r="J3246">
        <f>IF($H3246=0,1,IF($I3246&lt;=1,2,0))</f>
        <v>0</v>
      </c>
      <c r="K3246">
        <v>0</v>
      </c>
      <c r="L3246">
        <f>IF(AND($J3246=0,$K3246=0),0,1)</f>
        <v>0</v>
      </c>
    </row>
    <row r="3247" spans="1:13" x14ac:dyDescent="0.2">
      <c r="A3247" t="s">
        <v>318</v>
      </c>
      <c r="B3247" t="s">
        <v>133</v>
      </c>
      <c r="C3247" t="s">
        <v>11</v>
      </c>
      <c r="D3247">
        <v>6400</v>
      </c>
      <c r="E3247">
        <v>2020</v>
      </c>
      <c r="F3247">
        <v>1</v>
      </c>
      <c r="G3247">
        <v>12462</v>
      </c>
      <c r="H3247" s="1">
        <v>3</v>
      </c>
      <c r="I3247">
        <v>5</v>
      </c>
      <c r="J3247">
        <f>IF($H3247=0,1,IF($I3247&lt;=1,2,0))</f>
        <v>0</v>
      </c>
      <c r="K3247">
        <v>0</v>
      </c>
      <c r="L3247">
        <f>IF(AND($J3247=0,$K3247=0),0,1)</f>
        <v>0</v>
      </c>
    </row>
    <row r="3248" spans="1:13" x14ac:dyDescent="0.2">
      <c r="A3248" t="s">
        <v>318</v>
      </c>
      <c r="B3248" t="s">
        <v>133</v>
      </c>
      <c r="C3248" t="s">
        <v>11</v>
      </c>
      <c r="D3248">
        <v>6901</v>
      </c>
      <c r="E3248">
        <v>2020</v>
      </c>
      <c r="F3248">
        <v>1</v>
      </c>
      <c r="G3248">
        <v>13686</v>
      </c>
      <c r="H3248" s="1">
        <v>3</v>
      </c>
      <c r="I3248">
        <v>19</v>
      </c>
      <c r="J3248">
        <f>IF($H3248=0,1,IF($I3248&lt;=1,2,0))</f>
        <v>0</v>
      </c>
      <c r="K3248">
        <v>0</v>
      </c>
      <c r="L3248">
        <f>IF(AND($J3248=0,$K3248=0),0,1)</f>
        <v>0</v>
      </c>
    </row>
    <row r="3249" spans="1:13" x14ac:dyDescent="0.2">
      <c r="A3249" t="s">
        <v>318</v>
      </c>
      <c r="B3249" t="s">
        <v>133</v>
      </c>
      <c r="C3249" t="s">
        <v>11</v>
      </c>
      <c r="D3249">
        <v>6908</v>
      </c>
      <c r="E3249">
        <v>2020</v>
      </c>
      <c r="F3249">
        <v>1</v>
      </c>
      <c r="G3249">
        <v>12464</v>
      </c>
      <c r="H3249" s="1">
        <v>4</v>
      </c>
      <c r="I3249">
        <v>21</v>
      </c>
      <c r="J3249">
        <f>IF($H3249=0,1,IF($I3249&lt;=1,2,0))</f>
        <v>0</v>
      </c>
      <c r="K3249">
        <v>0</v>
      </c>
      <c r="L3249">
        <f>IF(AND($J3249=0,$K3249=0),0,1)</f>
        <v>0</v>
      </c>
    </row>
    <row r="3250" spans="1:13" x14ac:dyDescent="0.2">
      <c r="A3250" t="s">
        <v>343</v>
      </c>
      <c r="B3250" t="s">
        <v>6</v>
      </c>
      <c r="C3250" t="s">
        <v>11</v>
      </c>
      <c r="D3250">
        <v>6100</v>
      </c>
      <c r="E3250">
        <v>2020</v>
      </c>
      <c r="F3250">
        <v>1</v>
      </c>
      <c r="G3250">
        <v>13544</v>
      </c>
      <c r="H3250" s="1">
        <v>4</v>
      </c>
      <c r="I3250">
        <v>17</v>
      </c>
      <c r="J3250">
        <f>IF($H3250=0,1,IF($I3250&lt;=1,2,0))</f>
        <v>0</v>
      </c>
      <c r="K3250">
        <v>0</v>
      </c>
      <c r="L3250">
        <f>IF(AND($J3250=0,$K3250=0),0,1)</f>
        <v>0</v>
      </c>
    </row>
    <row r="3251" spans="1:13" x14ac:dyDescent="0.2">
      <c r="A3251" t="s">
        <v>344</v>
      </c>
      <c r="B3251" t="s">
        <v>71</v>
      </c>
      <c r="C3251" t="s">
        <v>72</v>
      </c>
      <c r="D3251">
        <v>1101</v>
      </c>
      <c r="E3251">
        <v>2020</v>
      </c>
      <c r="F3251">
        <v>1</v>
      </c>
      <c r="G3251">
        <v>10524</v>
      </c>
      <c r="H3251" s="1">
        <v>3</v>
      </c>
      <c r="I3251">
        <v>72</v>
      </c>
      <c r="J3251">
        <f>IF($H3251=0,1,IF($I3251&lt;=1,2,0))</f>
        <v>0</v>
      </c>
      <c r="K3251">
        <v>0</v>
      </c>
      <c r="L3251">
        <f>IF(AND($J3251=0,$K3251=0),0,1)</f>
        <v>0</v>
      </c>
    </row>
    <row r="3252" spans="1:13" x14ac:dyDescent="0.2">
      <c r="A3252" t="s">
        <v>344</v>
      </c>
      <c r="B3252" t="s">
        <v>71</v>
      </c>
      <c r="C3252" t="s">
        <v>72</v>
      </c>
      <c r="D3252">
        <v>1201</v>
      </c>
      <c r="E3252">
        <v>2020</v>
      </c>
      <c r="F3252">
        <v>1</v>
      </c>
      <c r="G3252">
        <v>10525</v>
      </c>
      <c r="H3252" s="1">
        <v>3.5</v>
      </c>
      <c r="I3252">
        <v>83</v>
      </c>
      <c r="J3252">
        <f>IF($H3252=0,1,IF($I3252&lt;=1,2,0))</f>
        <v>0</v>
      </c>
      <c r="K3252">
        <v>0</v>
      </c>
      <c r="L3252">
        <f>IF(AND($J3252=0,$K3252=0),0,1)</f>
        <v>0</v>
      </c>
    </row>
    <row r="3253" spans="1:13" x14ac:dyDescent="0.2">
      <c r="A3253" t="s">
        <v>344</v>
      </c>
      <c r="B3253" t="s">
        <v>71</v>
      </c>
      <c r="C3253" t="s">
        <v>72</v>
      </c>
      <c r="D3253">
        <v>3043</v>
      </c>
      <c r="E3253">
        <v>2020</v>
      </c>
      <c r="F3253">
        <v>1</v>
      </c>
      <c r="G3253">
        <v>10527</v>
      </c>
      <c r="H3253" s="1">
        <v>3</v>
      </c>
      <c r="I3253">
        <v>20</v>
      </c>
      <c r="J3253">
        <f>IF($H3253=0,1,IF($I3253&lt;=1,2,0))</f>
        <v>0</v>
      </c>
      <c r="K3253">
        <v>0</v>
      </c>
      <c r="L3253">
        <f>IF(AND($J3253=0,$K3253=0),0,1)</f>
        <v>0</v>
      </c>
    </row>
    <row r="3254" spans="1:13" x14ac:dyDescent="0.2">
      <c r="A3254" t="s">
        <v>344</v>
      </c>
      <c r="B3254" t="s">
        <v>71</v>
      </c>
      <c r="C3254" t="s">
        <v>72</v>
      </c>
      <c r="D3254">
        <v>3106</v>
      </c>
      <c r="E3254">
        <v>2020</v>
      </c>
      <c r="F3254">
        <v>1</v>
      </c>
      <c r="G3254">
        <v>10559</v>
      </c>
      <c r="H3254" s="1">
        <v>3.5</v>
      </c>
      <c r="I3254">
        <v>33</v>
      </c>
      <c r="J3254">
        <f>IF($H3254=0,1,IF($I3254&lt;=1,2,0))</f>
        <v>0</v>
      </c>
      <c r="K3254">
        <v>0</v>
      </c>
      <c r="L3254">
        <f>IF(AND($J3254=0,$K3254=0),0,1)</f>
        <v>0</v>
      </c>
    </row>
    <row r="3255" spans="1:13" x14ac:dyDescent="0.2">
      <c r="A3255" t="s">
        <v>344</v>
      </c>
      <c r="B3255" t="s">
        <v>71</v>
      </c>
      <c r="C3255" t="s">
        <v>72</v>
      </c>
      <c r="D3255">
        <v>3201</v>
      </c>
      <c r="E3255">
        <v>2020</v>
      </c>
      <c r="F3255">
        <v>1</v>
      </c>
      <c r="G3255">
        <v>10595</v>
      </c>
      <c r="H3255" s="1">
        <v>3.5</v>
      </c>
      <c r="I3255">
        <v>52</v>
      </c>
      <c r="J3255">
        <f>IF($H3255=0,1,IF($I3255&lt;=1,2,0))</f>
        <v>0</v>
      </c>
      <c r="K3255">
        <v>0</v>
      </c>
      <c r="L3255">
        <f>IF(AND($J3255=0,$K3255=0),0,1)</f>
        <v>0</v>
      </c>
    </row>
    <row r="3256" spans="1:13" x14ac:dyDescent="0.2">
      <c r="A3256" t="s">
        <v>344</v>
      </c>
      <c r="B3256" t="s">
        <v>71</v>
      </c>
      <c r="C3256" t="s">
        <v>72</v>
      </c>
      <c r="D3256">
        <v>3399</v>
      </c>
      <c r="E3256">
        <v>2020</v>
      </c>
      <c r="F3256">
        <v>2</v>
      </c>
      <c r="G3256">
        <v>15898</v>
      </c>
      <c r="H3256" s="1">
        <v>1</v>
      </c>
      <c r="I3256">
        <v>11</v>
      </c>
      <c r="J3256">
        <f>IF($H3256=0,1,IF($I3256&lt;=1,2,0))</f>
        <v>0</v>
      </c>
      <c r="K3256">
        <v>0</v>
      </c>
      <c r="L3256">
        <f>IF(AND($J3256=0,$K3256=0),0,1)</f>
        <v>0</v>
      </c>
    </row>
    <row r="3257" spans="1:13" x14ac:dyDescent="0.2">
      <c r="A3257" t="s">
        <v>344</v>
      </c>
      <c r="B3257" t="s">
        <v>71</v>
      </c>
      <c r="C3257" t="s">
        <v>72</v>
      </c>
      <c r="D3257">
        <v>3399</v>
      </c>
      <c r="E3257">
        <v>2020</v>
      </c>
      <c r="F3257">
        <v>1</v>
      </c>
      <c r="G3257">
        <v>10596</v>
      </c>
      <c r="H3257" s="1">
        <v>1</v>
      </c>
      <c r="I3257">
        <v>9</v>
      </c>
      <c r="J3257">
        <f>IF($H3257=0,1,IF($I3257&lt;=1,2,0))</f>
        <v>0</v>
      </c>
      <c r="K3257">
        <v>0</v>
      </c>
      <c r="L3257">
        <f>IF(AND($J3257=0,$K3257=0),0,1)</f>
        <v>0</v>
      </c>
    </row>
    <row r="3258" spans="1:13" x14ac:dyDescent="0.2">
      <c r="A3258" t="s">
        <v>344</v>
      </c>
      <c r="B3258" t="s">
        <v>71</v>
      </c>
      <c r="C3258" t="s">
        <v>72</v>
      </c>
      <c r="D3258">
        <v>3801</v>
      </c>
      <c r="E3258">
        <v>2020</v>
      </c>
      <c r="F3258">
        <v>1</v>
      </c>
      <c r="G3258">
        <v>10597</v>
      </c>
      <c r="H3258" s="1">
        <v>3.5</v>
      </c>
      <c r="I3258">
        <v>63</v>
      </c>
      <c r="J3258">
        <f>IF($H3258=0,1,IF($I3258&lt;=1,2,0))</f>
        <v>0</v>
      </c>
      <c r="K3258">
        <v>0</v>
      </c>
      <c r="L3258">
        <f>IF(AND($J3258=0,$K3258=0),0,1)</f>
        <v>0</v>
      </c>
    </row>
    <row r="3259" spans="1:13" x14ac:dyDescent="0.2">
      <c r="A3259" t="s">
        <v>344</v>
      </c>
      <c r="B3259" t="s">
        <v>71</v>
      </c>
      <c r="C3259" t="s">
        <v>72</v>
      </c>
      <c r="D3259">
        <v>4193</v>
      </c>
      <c r="E3259">
        <v>2020</v>
      </c>
      <c r="F3259">
        <v>2</v>
      </c>
      <c r="G3259">
        <v>21497</v>
      </c>
      <c r="H3259" s="1">
        <v>3</v>
      </c>
      <c r="I3259">
        <v>15</v>
      </c>
      <c r="J3259">
        <f>IF($H3259=0,1,IF($I3259&lt;=1,2,0))</f>
        <v>0</v>
      </c>
      <c r="K3259">
        <v>0</v>
      </c>
      <c r="L3259">
        <f>IF(AND($J3259=0,$K3259=0),0,1)</f>
        <v>0</v>
      </c>
    </row>
    <row r="3260" spans="1:13" x14ac:dyDescent="0.2">
      <c r="A3260" t="s">
        <v>344</v>
      </c>
      <c r="B3260" t="s">
        <v>71</v>
      </c>
      <c r="C3260" t="s">
        <v>72</v>
      </c>
      <c r="D3260">
        <v>4215</v>
      </c>
      <c r="E3260">
        <v>2020</v>
      </c>
      <c r="F3260">
        <v>1</v>
      </c>
      <c r="G3260">
        <v>10604</v>
      </c>
      <c r="H3260" s="1">
        <v>3</v>
      </c>
      <c r="I3260">
        <v>15</v>
      </c>
      <c r="J3260">
        <f>IF($H3260=0,1,IF($I3260&lt;=1,2,0))</f>
        <v>0</v>
      </c>
      <c r="K3260">
        <v>0</v>
      </c>
      <c r="L3260">
        <f>IF(AND($J3260=0,$K3260=0),0,1)</f>
        <v>0</v>
      </c>
    </row>
    <row r="3261" spans="1:13" x14ac:dyDescent="0.2">
      <c r="A3261" t="s">
        <v>344</v>
      </c>
      <c r="B3261" t="s">
        <v>71</v>
      </c>
      <c r="C3261" t="s">
        <v>72</v>
      </c>
      <c r="D3261">
        <v>4312</v>
      </c>
      <c r="E3261">
        <v>2020</v>
      </c>
      <c r="F3261">
        <v>1</v>
      </c>
      <c r="G3261">
        <v>15256</v>
      </c>
      <c r="H3261" s="1">
        <v>3</v>
      </c>
      <c r="I3261">
        <v>27</v>
      </c>
      <c r="J3261">
        <f>IF($H3261=0,1,IF($I3261&lt;=1,2,0))</f>
        <v>0</v>
      </c>
      <c r="K3261">
        <v>0</v>
      </c>
      <c r="L3261">
        <f>IF(AND($J3261=0,$K3261=0),0,1)</f>
        <v>0</v>
      </c>
    </row>
    <row r="3262" spans="1:13" x14ac:dyDescent="0.2">
      <c r="A3262" t="s">
        <v>344</v>
      </c>
      <c r="B3262" t="s">
        <v>71</v>
      </c>
      <c r="C3262" t="s">
        <v>72</v>
      </c>
      <c r="D3262">
        <v>4312</v>
      </c>
      <c r="E3262">
        <v>2020</v>
      </c>
      <c r="F3262">
        <v>2</v>
      </c>
      <c r="G3262">
        <v>21495</v>
      </c>
      <c r="H3262" s="1">
        <v>3</v>
      </c>
      <c r="I3262">
        <v>5</v>
      </c>
      <c r="J3262">
        <f>IF($H3262=0,1,IF($I3262&lt;=1,2,0))</f>
        <v>0</v>
      </c>
      <c r="K3262">
        <v>0</v>
      </c>
      <c r="L3262">
        <f>IF(AND($J3262=0,$K3262=0),0,1)</f>
        <v>0</v>
      </c>
    </row>
    <row r="3263" spans="1:13" x14ac:dyDescent="0.2">
      <c r="A3263" t="s">
        <v>344</v>
      </c>
      <c r="B3263" t="s">
        <v>71</v>
      </c>
      <c r="C3263" t="s">
        <v>72</v>
      </c>
      <c r="D3263">
        <v>4312</v>
      </c>
      <c r="E3263">
        <v>2020</v>
      </c>
      <c r="F3263" t="s">
        <v>84</v>
      </c>
      <c r="G3263">
        <v>21581</v>
      </c>
      <c r="H3263" s="1">
        <v>3</v>
      </c>
      <c r="I3263">
        <v>5</v>
      </c>
      <c r="J3263">
        <f>IF($H3263=0,1,IF($I3263&lt;=1,2,0))</f>
        <v>0</v>
      </c>
      <c r="K3263">
        <v>0</v>
      </c>
      <c r="L3263">
        <f>IF(AND($J3263=0,$K3263=0),0,1)</f>
        <v>0</v>
      </c>
      <c r="M3263" t="s">
        <v>85</v>
      </c>
    </row>
    <row r="3264" spans="1:13" x14ac:dyDescent="0.2">
      <c r="A3264" t="s">
        <v>344</v>
      </c>
      <c r="B3264" t="s">
        <v>71</v>
      </c>
      <c r="C3264" t="s">
        <v>72</v>
      </c>
      <c r="D3264">
        <v>4411</v>
      </c>
      <c r="E3264">
        <v>2020</v>
      </c>
      <c r="F3264">
        <v>2</v>
      </c>
      <c r="G3264">
        <v>21499</v>
      </c>
      <c r="H3264" s="1">
        <v>3</v>
      </c>
      <c r="I3264">
        <v>23</v>
      </c>
      <c r="J3264">
        <f>IF($H3264=0,1,IF($I3264&lt;=1,2,0))</f>
        <v>0</v>
      </c>
      <c r="K3264">
        <v>0</v>
      </c>
      <c r="L3264">
        <f>IF(AND($J3264=0,$K3264=0),0,1)</f>
        <v>0</v>
      </c>
    </row>
    <row r="3265" spans="1:13" x14ac:dyDescent="0.2">
      <c r="A3265" t="s">
        <v>344</v>
      </c>
      <c r="B3265" t="s">
        <v>71</v>
      </c>
      <c r="C3265" t="s">
        <v>72</v>
      </c>
      <c r="D3265">
        <v>4488</v>
      </c>
      <c r="E3265">
        <v>2020</v>
      </c>
      <c r="F3265">
        <v>1</v>
      </c>
      <c r="G3265">
        <v>10611</v>
      </c>
      <c r="H3265" s="1">
        <v>3</v>
      </c>
      <c r="I3265">
        <v>15</v>
      </c>
      <c r="J3265">
        <f>IF($H3265=0,1,IF($I3265&lt;=1,2,0))</f>
        <v>0</v>
      </c>
      <c r="K3265">
        <v>0</v>
      </c>
      <c r="L3265">
        <f>IF(AND($J3265=0,$K3265=0),0,1)</f>
        <v>0</v>
      </c>
    </row>
    <row r="3266" spans="1:13" x14ac:dyDescent="0.2">
      <c r="A3266" t="s">
        <v>344</v>
      </c>
      <c r="B3266" t="s">
        <v>71</v>
      </c>
      <c r="C3266" t="s">
        <v>72</v>
      </c>
      <c r="D3266">
        <v>4488</v>
      </c>
      <c r="E3266">
        <v>2020</v>
      </c>
      <c r="F3266" t="s">
        <v>84</v>
      </c>
      <c r="G3266">
        <v>21582</v>
      </c>
      <c r="H3266" s="1">
        <v>3</v>
      </c>
      <c r="I3266">
        <v>2</v>
      </c>
      <c r="J3266">
        <f>IF($H3266=0,1,IF($I3266&lt;=1,2,0))</f>
        <v>0</v>
      </c>
      <c r="K3266">
        <v>0</v>
      </c>
      <c r="L3266">
        <f>IF(AND($J3266=0,$K3266=0),0,1)</f>
        <v>0</v>
      </c>
      <c r="M3266" t="s">
        <v>85</v>
      </c>
    </row>
    <row r="3267" spans="1:13" x14ac:dyDescent="0.2">
      <c r="A3267" t="s">
        <v>344</v>
      </c>
      <c r="B3267" t="s">
        <v>71</v>
      </c>
      <c r="C3267" t="s">
        <v>72</v>
      </c>
      <c r="D3267">
        <v>4810</v>
      </c>
      <c r="E3267">
        <v>2020</v>
      </c>
      <c r="F3267">
        <v>2</v>
      </c>
      <c r="G3267">
        <v>21500</v>
      </c>
      <c r="H3267" s="1">
        <v>3</v>
      </c>
      <c r="I3267">
        <v>27</v>
      </c>
      <c r="J3267">
        <f>IF($H3267=0,1,IF($I3267&lt;=1,2,0))</f>
        <v>0</v>
      </c>
      <c r="K3267">
        <v>0</v>
      </c>
      <c r="L3267">
        <f>IF(AND($J3267=0,$K3267=0),0,1)</f>
        <v>0</v>
      </c>
    </row>
    <row r="3268" spans="1:13" x14ac:dyDescent="0.2">
      <c r="A3268" t="s">
        <v>344</v>
      </c>
      <c r="B3268" t="s">
        <v>71</v>
      </c>
      <c r="C3268" t="s">
        <v>72</v>
      </c>
      <c r="D3268">
        <v>6001</v>
      </c>
      <c r="E3268">
        <v>2020</v>
      </c>
      <c r="F3268">
        <v>11</v>
      </c>
      <c r="G3268">
        <v>11452</v>
      </c>
      <c r="H3268" s="1" t="s">
        <v>1823</v>
      </c>
      <c r="I3268">
        <v>4</v>
      </c>
      <c r="J3268">
        <f>IF($H3268=0,1,IF($I3268&lt;=1,2,0))</f>
        <v>0</v>
      </c>
      <c r="K3268">
        <v>0</v>
      </c>
      <c r="L3268">
        <f>IF(AND($J3268=0,$K3268=0),0,1)</f>
        <v>0</v>
      </c>
    </row>
    <row r="3269" spans="1:13" x14ac:dyDescent="0.2">
      <c r="A3269" t="s">
        <v>344</v>
      </c>
      <c r="B3269" t="s">
        <v>71</v>
      </c>
      <c r="C3269" t="s">
        <v>72</v>
      </c>
      <c r="D3269">
        <v>6001</v>
      </c>
      <c r="E3269">
        <v>2020</v>
      </c>
      <c r="F3269">
        <v>19</v>
      </c>
      <c r="G3269">
        <v>11467</v>
      </c>
      <c r="H3269" s="1" t="s">
        <v>1823</v>
      </c>
      <c r="I3269">
        <v>4</v>
      </c>
      <c r="J3269">
        <f>IF($H3269=0,1,IF($I3269&lt;=1,2,0))</f>
        <v>0</v>
      </c>
      <c r="K3269">
        <v>0</v>
      </c>
      <c r="L3269">
        <f>IF(AND($J3269=0,$K3269=0),0,1)</f>
        <v>0</v>
      </c>
    </row>
    <row r="3270" spans="1:13" x14ac:dyDescent="0.2">
      <c r="A3270" t="s">
        <v>344</v>
      </c>
      <c r="B3270" t="s">
        <v>71</v>
      </c>
      <c r="C3270" t="s">
        <v>72</v>
      </c>
      <c r="D3270">
        <v>6001</v>
      </c>
      <c r="E3270">
        <v>2020</v>
      </c>
      <c r="F3270">
        <v>2</v>
      </c>
      <c r="G3270">
        <v>11439</v>
      </c>
      <c r="H3270" s="1" t="s">
        <v>1823</v>
      </c>
      <c r="I3270">
        <v>3</v>
      </c>
      <c r="J3270">
        <f>IF($H3270=0,1,IF($I3270&lt;=1,2,0))</f>
        <v>0</v>
      </c>
      <c r="K3270">
        <v>0</v>
      </c>
      <c r="L3270">
        <f>IF(AND($J3270=0,$K3270=0),0,1)</f>
        <v>0</v>
      </c>
    </row>
    <row r="3271" spans="1:13" x14ac:dyDescent="0.2">
      <c r="A3271" t="s">
        <v>344</v>
      </c>
      <c r="B3271" t="s">
        <v>71</v>
      </c>
      <c r="C3271" t="s">
        <v>72</v>
      </c>
      <c r="D3271">
        <v>6001</v>
      </c>
      <c r="E3271">
        <v>2020</v>
      </c>
      <c r="F3271">
        <v>12</v>
      </c>
      <c r="G3271">
        <v>11454</v>
      </c>
      <c r="H3271" s="1" t="s">
        <v>1823</v>
      </c>
      <c r="I3271">
        <v>3</v>
      </c>
      <c r="J3271">
        <f>IF($H3271=0,1,IF($I3271&lt;=1,2,0))</f>
        <v>0</v>
      </c>
      <c r="K3271">
        <v>0</v>
      </c>
      <c r="L3271">
        <f>IF(AND($J3271=0,$K3271=0),0,1)</f>
        <v>0</v>
      </c>
    </row>
    <row r="3272" spans="1:13" x14ac:dyDescent="0.2">
      <c r="A3272" t="s">
        <v>344</v>
      </c>
      <c r="B3272" t="s">
        <v>71</v>
      </c>
      <c r="C3272" t="s">
        <v>72</v>
      </c>
      <c r="D3272">
        <v>6001</v>
      </c>
      <c r="E3272">
        <v>2020</v>
      </c>
      <c r="F3272">
        <v>21</v>
      </c>
      <c r="G3272">
        <v>11472</v>
      </c>
      <c r="H3272" s="1" t="s">
        <v>1823</v>
      </c>
      <c r="I3272">
        <v>3</v>
      </c>
      <c r="J3272">
        <f>IF($H3272=0,1,IF($I3272&lt;=1,2,0))</f>
        <v>0</v>
      </c>
      <c r="K3272">
        <v>0</v>
      </c>
      <c r="L3272">
        <f>IF(AND($J3272=0,$K3272=0),0,1)</f>
        <v>0</v>
      </c>
    </row>
    <row r="3273" spans="1:13" x14ac:dyDescent="0.2">
      <c r="A3273" t="s">
        <v>344</v>
      </c>
      <c r="B3273" t="s">
        <v>71</v>
      </c>
      <c r="C3273" t="s">
        <v>72</v>
      </c>
      <c r="D3273">
        <v>6001</v>
      </c>
      <c r="E3273">
        <v>2020</v>
      </c>
      <c r="F3273">
        <v>7</v>
      </c>
      <c r="G3273">
        <v>11445</v>
      </c>
      <c r="H3273" s="1" t="s">
        <v>1823</v>
      </c>
      <c r="I3273">
        <v>2</v>
      </c>
      <c r="J3273">
        <f>IF($H3273=0,1,IF($I3273&lt;=1,2,0))</f>
        <v>0</v>
      </c>
      <c r="K3273">
        <v>0</v>
      </c>
      <c r="L3273">
        <f>IF(AND($J3273=0,$K3273=0),0,1)</f>
        <v>0</v>
      </c>
    </row>
    <row r="3274" spans="1:13" x14ac:dyDescent="0.2">
      <c r="A3274" t="s">
        <v>344</v>
      </c>
      <c r="B3274" t="s">
        <v>71</v>
      </c>
      <c r="C3274" t="s">
        <v>72</v>
      </c>
      <c r="D3274">
        <v>6001</v>
      </c>
      <c r="E3274">
        <v>2020</v>
      </c>
      <c r="F3274">
        <v>13</v>
      </c>
      <c r="G3274">
        <v>11458</v>
      </c>
      <c r="H3274" s="1" t="s">
        <v>1823</v>
      </c>
      <c r="I3274">
        <v>2</v>
      </c>
      <c r="J3274">
        <f>IF($H3274=0,1,IF($I3274&lt;=1,2,0))</f>
        <v>0</v>
      </c>
      <c r="K3274">
        <v>0</v>
      </c>
      <c r="L3274">
        <f>IF(AND($J3274=0,$K3274=0),0,1)</f>
        <v>0</v>
      </c>
    </row>
    <row r="3275" spans="1:13" x14ac:dyDescent="0.2">
      <c r="A3275" t="s">
        <v>344</v>
      </c>
      <c r="B3275" t="s">
        <v>71</v>
      </c>
      <c r="C3275" t="s">
        <v>72</v>
      </c>
      <c r="D3275">
        <v>6001</v>
      </c>
      <c r="E3275">
        <v>2020</v>
      </c>
      <c r="F3275">
        <v>20</v>
      </c>
      <c r="G3275">
        <v>11468</v>
      </c>
      <c r="H3275" s="1" t="s">
        <v>1823</v>
      </c>
      <c r="I3275">
        <v>2</v>
      </c>
      <c r="J3275">
        <f>IF($H3275=0,1,IF($I3275&lt;=1,2,0))</f>
        <v>0</v>
      </c>
      <c r="K3275">
        <v>0</v>
      </c>
      <c r="L3275">
        <f>IF(AND($J3275=0,$K3275=0),0,1)</f>
        <v>0</v>
      </c>
    </row>
    <row r="3276" spans="1:13" x14ac:dyDescent="0.2">
      <c r="A3276" t="s">
        <v>344</v>
      </c>
      <c r="B3276" t="s">
        <v>71</v>
      </c>
      <c r="C3276" t="s">
        <v>72</v>
      </c>
      <c r="D3276">
        <v>6302</v>
      </c>
      <c r="E3276">
        <v>2020</v>
      </c>
      <c r="F3276">
        <v>1</v>
      </c>
      <c r="G3276">
        <v>10729</v>
      </c>
      <c r="H3276" s="1">
        <v>3</v>
      </c>
      <c r="I3276">
        <v>28</v>
      </c>
      <c r="J3276">
        <f>IF($H3276=0,1,IF($I3276&lt;=1,2,0))</f>
        <v>0</v>
      </c>
      <c r="K3276">
        <v>0</v>
      </c>
      <c r="L3276">
        <f>IF(AND($J3276=0,$K3276=0),0,1)</f>
        <v>0</v>
      </c>
    </row>
    <row r="3277" spans="1:13" x14ac:dyDescent="0.2">
      <c r="A3277" t="s">
        <v>344</v>
      </c>
      <c r="B3277" t="s">
        <v>71</v>
      </c>
      <c r="C3277" t="s">
        <v>72</v>
      </c>
      <c r="D3277">
        <v>6761</v>
      </c>
      <c r="E3277">
        <v>2020</v>
      </c>
      <c r="F3277">
        <v>1</v>
      </c>
      <c r="G3277">
        <v>10734</v>
      </c>
      <c r="H3277" s="1">
        <v>3</v>
      </c>
      <c r="I3277">
        <v>43</v>
      </c>
      <c r="J3277">
        <f>IF($H3277=0,1,IF($I3277&lt;=1,2,0))</f>
        <v>0</v>
      </c>
      <c r="K3277">
        <v>0</v>
      </c>
      <c r="L3277">
        <f>IF(AND($J3277=0,$K3277=0),0,1)</f>
        <v>0</v>
      </c>
    </row>
    <row r="3278" spans="1:13" x14ac:dyDescent="0.2">
      <c r="A3278" t="s">
        <v>344</v>
      </c>
      <c r="B3278" t="s">
        <v>71</v>
      </c>
      <c r="C3278" t="s">
        <v>72</v>
      </c>
      <c r="D3278">
        <v>6767</v>
      </c>
      <c r="E3278">
        <v>2020</v>
      </c>
      <c r="F3278">
        <v>1</v>
      </c>
      <c r="G3278">
        <v>10735</v>
      </c>
      <c r="H3278" s="1">
        <v>3</v>
      </c>
      <c r="I3278">
        <v>19</v>
      </c>
      <c r="J3278">
        <f>IF($H3278=0,1,IF($I3278&lt;=1,2,0))</f>
        <v>0</v>
      </c>
      <c r="K3278">
        <v>0</v>
      </c>
      <c r="L3278">
        <f>IF(AND($J3278=0,$K3278=0),0,1)</f>
        <v>0</v>
      </c>
    </row>
    <row r="3279" spans="1:13" x14ac:dyDescent="0.2">
      <c r="A3279" t="s">
        <v>344</v>
      </c>
      <c r="B3279" t="s">
        <v>71</v>
      </c>
      <c r="C3279" t="s">
        <v>72</v>
      </c>
      <c r="D3279">
        <v>6767</v>
      </c>
      <c r="E3279">
        <v>2020</v>
      </c>
      <c r="F3279" t="s">
        <v>84</v>
      </c>
      <c r="G3279">
        <v>21583</v>
      </c>
      <c r="H3279" s="1">
        <v>3</v>
      </c>
      <c r="I3279">
        <v>2</v>
      </c>
      <c r="J3279">
        <f>IF($H3279=0,1,IF($I3279&lt;=1,2,0))</f>
        <v>0</v>
      </c>
      <c r="K3279">
        <v>0</v>
      </c>
      <c r="L3279">
        <f>IF(AND($J3279=0,$K3279=0),0,1)</f>
        <v>0</v>
      </c>
      <c r="M3279" t="s">
        <v>85</v>
      </c>
    </row>
    <row r="3280" spans="1:13" x14ac:dyDescent="0.2">
      <c r="A3280" t="s">
        <v>344</v>
      </c>
      <c r="B3280" t="s">
        <v>71</v>
      </c>
      <c r="C3280" t="s">
        <v>72</v>
      </c>
      <c r="D3280">
        <v>6885</v>
      </c>
      <c r="E3280">
        <v>2020</v>
      </c>
      <c r="F3280">
        <v>1</v>
      </c>
      <c r="G3280">
        <v>15260</v>
      </c>
      <c r="H3280" s="1">
        <v>3</v>
      </c>
      <c r="I3280">
        <v>66</v>
      </c>
      <c r="J3280">
        <f>IF($H3280=0,1,IF($I3280&lt;=1,2,0))</f>
        <v>0</v>
      </c>
      <c r="K3280">
        <v>0</v>
      </c>
      <c r="L3280">
        <f>IF(AND($J3280=0,$K3280=0),0,1)</f>
        <v>0</v>
      </c>
    </row>
    <row r="3281" spans="1:13" x14ac:dyDescent="0.2">
      <c r="A3281" t="s">
        <v>344</v>
      </c>
      <c r="B3281" t="s">
        <v>71</v>
      </c>
      <c r="C3281" t="s">
        <v>72</v>
      </c>
      <c r="D3281">
        <v>6885</v>
      </c>
      <c r="E3281">
        <v>2020</v>
      </c>
      <c r="F3281" t="s">
        <v>84</v>
      </c>
      <c r="G3281">
        <v>21896</v>
      </c>
      <c r="H3281" s="1">
        <v>3</v>
      </c>
      <c r="I3281">
        <v>3</v>
      </c>
      <c r="J3281">
        <f>IF($H3281=0,1,IF($I3281&lt;=1,2,0))</f>
        <v>0</v>
      </c>
      <c r="K3281">
        <v>0</v>
      </c>
      <c r="L3281">
        <f>IF(AND($J3281=0,$K3281=0),0,1)</f>
        <v>0</v>
      </c>
      <c r="M3281" t="s">
        <v>85</v>
      </c>
    </row>
    <row r="3282" spans="1:13" x14ac:dyDescent="0.2">
      <c r="A3282" t="s">
        <v>345</v>
      </c>
      <c r="B3282" t="s">
        <v>71</v>
      </c>
      <c r="C3282" t="s">
        <v>72</v>
      </c>
      <c r="D3282">
        <v>1006</v>
      </c>
      <c r="E3282">
        <v>2020</v>
      </c>
      <c r="F3282">
        <v>1</v>
      </c>
      <c r="G3282">
        <v>10086</v>
      </c>
      <c r="H3282" s="1">
        <v>3</v>
      </c>
      <c r="I3282">
        <v>230</v>
      </c>
      <c r="J3282">
        <f>IF($H3282=0,1,IF($I3282&lt;=1,2,0))</f>
        <v>0</v>
      </c>
      <c r="K3282">
        <v>0</v>
      </c>
      <c r="L3282">
        <f>IF(AND($J3282=0,$K3282=0),0,1)</f>
        <v>0</v>
      </c>
    </row>
    <row r="3283" spans="1:13" x14ac:dyDescent="0.2">
      <c r="A3283" t="s">
        <v>345</v>
      </c>
      <c r="B3283" t="s">
        <v>71</v>
      </c>
      <c r="C3283" t="s">
        <v>72</v>
      </c>
      <c r="D3283">
        <v>1102</v>
      </c>
      <c r="E3283">
        <v>2020</v>
      </c>
      <c r="F3283">
        <v>1</v>
      </c>
      <c r="G3283">
        <v>12897</v>
      </c>
      <c r="H3283" s="1">
        <v>4</v>
      </c>
      <c r="I3283">
        <v>375</v>
      </c>
      <c r="J3283">
        <f>IF($H3283=0,1,IF($I3283&lt;=1,2,0))</f>
        <v>0</v>
      </c>
      <c r="K3283">
        <v>0</v>
      </c>
      <c r="L3283">
        <f>IF(AND($J3283=0,$K3283=0),0,1)</f>
        <v>0</v>
      </c>
    </row>
    <row r="3284" spans="1:13" x14ac:dyDescent="0.2">
      <c r="A3284" t="s">
        <v>345</v>
      </c>
      <c r="B3284" t="s">
        <v>71</v>
      </c>
      <c r="C3284" t="s">
        <v>72</v>
      </c>
      <c r="D3284">
        <v>4800</v>
      </c>
      <c r="E3284">
        <v>2020</v>
      </c>
      <c r="F3284">
        <v>1</v>
      </c>
      <c r="G3284">
        <v>14316</v>
      </c>
      <c r="H3284" s="1">
        <v>3</v>
      </c>
      <c r="I3284">
        <v>158</v>
      </c>
      <c r="J3284">
        <f>IF($H3284=0,1,IF($I3284&lt;=1,2,0))</f>
        <v>0</v>
      </c>
      <c r="K3284">
        <v>0</v>
      </c>
      <c r="L3284">
        <f>IF(AND($J3284=0,$K3284=0),0,1)</f>
        <v>0</v>
      </c>
      <c r="M3284" t="s">
        <v>1011</v>
      </c>
    </row>
    <row r="3285" spans="1:13" x14ac:dyDescent="0.2">
      <c r="A3285" t="s">
        <v>349</v>
      </c>
      <c r="B3285" t="s">
        <v>241</v>
      </c>
      <c r="C3285" t="s">
        <v>7</v>
      </c>
      <c r="D3285">
        <v>1010</v>
      </c>
      <c r="E3285">
        <v>2020</v>
      </c>
      <c r="F3285">
        <v>1</v>
      </c>
      <c r="G3285">
        <v>22134</v>
      </c>
      <c r="H3285" s="1">
        <v>3</v>
      </c>
      <c r="I3285">
        <v>14</v>
      </c>
      <c r="J3285">
        <f>IF($H3285=0,1,IF($I3285&lt;=1,2,0))</f>
        <v>0</v>
      </c>
      <c r="K3285">
        <v>0</v>
      </c>
      <c r="L3285">
        <f>IF(AND($J3285=0,$K3285=0),0,1)</f>
        <v>0</v>
      </c>
    </row>
    <row r="3286" spans="1:13" x14ac:dyDescent="0.2">
      <c r="A3286" t="s">
        <v>349</v>
      </c>
      <c r="B3286" t="s">
        <v>241</v>
      </c>
      <c r="C3286" t="s">
        <v>7</v>
      </c>
      <c r="D3286">
        <v>1010</v>
      </c>
      <c r="E3286">
        <v>2020</v>
      </c>
      <c r="F3286">
        <v>2</v>
      </c>
      <c r="G3286">
        <v>24589</v>
      </c>
      <c r="H3286" s="1">
        <v>3</v>
      </c>
      <c r="I3286">
        <v>14</v>
      </c>
      <c r="J3286">
        <f>IF($H3286=0,1,IF($I3286&lt;=1,2,0))</f>
        <v>0</v>
      </c>
      <c r="K3286">
        <v>0</v>
      </c>
      <c r="L3286">
        <f>IF(AND($J3286=0,$K3286=0),0,1)</f>
        <v>0</v>
      </c>
    </row>
    <row r="3287" spans="1:13" x14ac:dyDescent="0.2">
      <c r="A3287" t="s">
        <v>349</v>
      </c>
      <c r="B3287" t="s">
        <v>241</v>
      </c>
      <c r="C3287" t="s">
        <v>153</v>
      </c>
      <c r="D3287">
        <v>1010</v>
      </c>
      <c r="E3287">
        <v>2020</v>
      </c>
      <c r="F3287">
        <v>6</v>
      </c>
      <c r="G3287">
        <v>22200</v>
      </c>
      <c r="H3287" s="1">
        <v>3</v>
      </c>
      <c r="I3287">
        <v>14</v>
      </c>
      <c r="J3287">
        <f>IF($H3287=0,1,IF($I3287&lt;=1,2,0))</f>
        <v>0</v>
      </c>
      <c r="K3287">
        <v>0</v>
      </c>
      <c r="L3287">
        <f>IF(AND($J3287=0,$K3287=0),0,1)</f>
        <v>0</v>
      </c>
    </row>
    <row r="3288" spans="1:13" x14ac:dyDescent="0.2">
      <c r="A3288" t="s">
        <v>349</v>
      </c>
      <c r="B3288" t="s">
        <v>241</v>
      </c>
      <c r="C3288" t="s">
        <v>153</v>
      </c>
      <c r="D3288">
        <v>1010</v>
      </c>
      <c r="E3288">
        <v>2020</v>
      </c>
      <c r="F3288">
        <v>7</v>
      </c>
      <c r="G3288">
        <v>22201</v>
      </c>
      <c r="H3288" s="1">
        <v>3</v>
      </c>
      <c r="I3288">
        <v>14</v>
      </c>
      <c r="J3288">
        <f>IF($H3288=0,1,IF($I3288&lt;=1,2,0))</f>
        <v>0</v>
      </c>
      <c r="K3288">
        <v>0</v>
      </c>
      <c r="L3288">
        <f>IF(AND($J3288=0,$K3288=0),0,1)</f>
        <v>0</v>
      </c>
    </row>
    <row r="3289" spans="1:13" x14ac:dyDescent="0.2">
      <c r="A3289" t="s">
        <v>349</v>
      </c>
      <c r="B3289" t="s">
        <v>241</v>
      </c>
      <c r="C3289" t="s">
        <v>153</v>
      </c>
      <c r="D3289">
        <v>1010</v>
      </c>
      <c r="E3289">
        <v>2020</v>
      </c>
      <c r="F3289">
        <v>9</v>
      </c>
      <c r="G3289">
        <v>22203</v>
      </c>
      <c r="H3289" s="1">
        <v>3</v>
      </c>
      <c r="I3289">
        <v>14</v>
      </c>
      <c r="J3289">
        <f>IF($H3289=0,1,IF($I3289&lt;=1,2,0))</f>
        <v>0</v>
      </c>
      <c r="K3289">
        <v>0</v>
      </c>
      <c r="L3289">
        <f>IF(AND($J3289=0,$K3289=0),0,1)</f>
        <v>0</v>
      </c>
    </row>
    <row r="3290" spans="1:13" x14ac:dyDescent="0.2">
      <c r="A3290" t="s">
        <v>349</v>
      </c>
      <c r="B3290" t="s">
        <v>241</v>
      </c>
      <c r="C3290" t="s">
        <v>153</v>
      </c>
      <c r="D3290">
        <v>1010</v>
      </c>
      <c r="E3290">
        <v>2020</v>
      </c>
      <c r="F3290">
        <v>12</v>
      </c>
      <c r="G3290">
        <v>22204</v>
      </c>
      <c r="H3290" s="1">
        <v>3</v>
      </c>
      <c r="I3290">
        <v>14</v>
      </c>
      <c r="J3290">
        <f>IF($H3290=0,1,IF($I3290&lt;=1,2,0))</f>
        <v>0</v>
      </c>
      <c r="K3290">
        <v>0</v>
      </c>
      <c r="L3290">
        <f>IF(AND($J3290=0,$K3290=0),0,1)</f>
        <v>0</v>
      </c>
    </row>
    <row r="3291" spans="1:13" x14ac:dyDescent="0.2">
      <c r="A3291" t="s">
        <v>349</v>
      </c>
      <c r="B3291" t="s">
        <v>241</v>
      </c>
      <c r="C3291" t="s">
        <v>153</v>
      </c>
      <c r="D3291">
        <v>1010</v>
      </c>
      <c r="E3291">
        <v>2020</v>
      </c>
      <c r="F3291">
        <v>14</v>
      </c>
      <c r="G3291">
        <v>24547</v>
      </c>
      <c r="H3291" s="1">
        <v>3</v>
      </c>
      <c r="I3291">
        <v>14</v>
      </c>
      <c r="J3291">
        <f>IF($H3291=0,1,IF($I3291&lt;=1,2,0))</f>
        <v>0</v>
      </c>
      <c r="K3291">
        <v>0</v>
      </c>
      <c r="L3291">
        <f>IF(AND($J3291=0,$K3291=0),0,1)</f>
        <v>0</v>
      </c>
      <c r="M3291" t="s">
        <v>356</v>
      </c>
    </row>
    <row r="3292" spans="1:13" x14ac:dyDescent="0.2">
      <c r="A3292" t="s">
        <v>349</v>
      </c>
      <c r="B3292" t="s">
        <v>241</v>
      </c>
      <c r="C3292" t="s">
        <v>153</v>
      </c>
      <c r="D3292">
        <v>1010</v>
      </c>
      <c r="E3292">
        <v>2020</v>
      </c>
      <c r="F3292">
        <v>16</v>
      </c>
      <c r="G3292">
        <v>22205</v>
      </c>
      <c r="H3292" s="1">
        <v>3</v>
      </c>
      <c r="I3292">
        <v>14</v>
      </c>
      <c r="J3292">
        <f>IF($H3292=0,1,IF($I3292&lt;=1,2,0))</f>
        <v>0</v>
      </c>
      <c r="K3292">
        <v>0</v>
      </c>
      <c r="L3292">
        <f>IF(AND($J3292=0,$K3292=0),0,1)</f>
        <v>0</v>
      </c>
      <c r="M3292" t="s">
        <v>356</v>
      </c>
    </row>
    <row r="3293" spans="1:13" x14ac:dyDescent="0.2">
      <c r="A3293" t="s">
        <v>349</v>
      </c>
      <c r="B3293" t="s">
        <v>241</v>
      </c>
      <c r="C3293" t="s">
        <v>7</v>
      </c>
      <c r="D3293">
        <v>1010</v>
      </c>
      <c r="E3293">
        <v>2020</v>
      </c>
      <c r="F3293">
        <v>21</v>
      </c>
      <c r="G3293">
        <v>22138</v>
      </c>
      <c r="H3293" s="1">
        <v>3</v>
      </c>
      <c r="I3293">
        <v>14</v>
      </c>
      <c r="J3293">
        <f>IF($H3293=0,1,IF($I3293&lt;=1,2,0))</f>
        <v>0</v>
      </c>
      <c r="K3293">
        <v>0</v>
      </c>
      <c r="L3293">
        <f>IF(AND($J3293=0,$K3293=0),0,1)</f>
        <v>0</v>
      </c>
    </row>
    <row r="3294" spans="1:13" x14ac:dyDescent="0.2">
      <c r="A3294" t="s">
        <v>349</v>
      </c>
      <c r="B3294" t="s">
        <v>241</v>
      </c>
      <c r="C3294" t="s">
        <v>7</v>
      </c>
      <c r="D3294">
        <v>1010</v>
      </c>
      <c r="E3294">
        <v>2020</v>
      </c>
      <c r="F3294">
        <v>26</v>
      </c>
      <c r="G3294">
        <v>22140</v>
      </c>
      <c r="H3294" s="1">
        <v>3</v>
      </c>
      <c r="I3294">
        <v>14</v>
      </c>
      <c r="J3294">
        <f>IF($H3294=0,1,IF($I3294&lt;=1,2,0))</f>
        <v>0</v>
      </c>
      <c r="K3294">
        <v>0</v>
      </c>
      <c r="L3294">
        <f>IF(AND($J3294=0,$K3294=0),0,1)</f>
        <v>0</v>
      </c>
    </row>
    <row r="3295" spans="1:13" x14ac:dyDescent="0.2">
      <c r="A3295" t="s">
        <v>349</v>
      </c>
      <c r="B3295" t="s">
        <v>241</v>
      </c>
      <c r="C3295" t="s">
        <v>7</v>
      </c>
      <c r="D3295">
        <v>1010</v>
      </c>
      <c r="E3295">
        <v>2020</v>
      </c>
      <c r="F3295">
        <v>30</v>
      </c>
      <c r="G3295">
        <v>22142</v>
      </c>
      <c r="H3295" s="1">
        <v>3</v>
      </c>
      <c r="I3295">
        <v>14</v>
      </c>
      <c r="J3295">
        <f>IF($H3295=0,1,IF($I3295&lt;=1,2,0))</f>
        <v>0</v>
      </c>
      <c r="K3295">
        <v>0</v>
      </c>
      <c r="L3295">
        <f>IF(AND($J3295=0,$K3295=0),0,1)</f>
        <v>0</v>
      </c>
    </row>
    <row r="3296" spans="1:13" x14ac:dyDescent="0.2">
      <c r="A3296" t="s">
        <v>349</v>
      </c>
      <c r="B3296" t="s">
        <v>241</v>
      </c>
      <c r="C3296" t="s">
        <v>7</v>
      </c>
      <c r="D3296">
        <v>1010</v>
      </c>
      <c r="E3296">
        <v>2020</v>
      </c>
      <c r="F3296">
        <v>37</v>
      </c>
      <c r="G3296">
        <v>22144</v>
      </c>
      <c r="H3296" s="1">
        <v>3</v>
      </c>
      <c r="I3296">
        <v>14</v>
      </c>
      <c r="J3296">
        <f>IF($H3296=0,1,IF($I3296&lt;=1,2,0))</f>
        <v>0</v>
      </c>
      <c r="K3296">
        <v>0</v>
      </c>
      <c r="L3296">
        <f>IF(AND($J3296=0,$K3296=0),0,1)</f>
        <v>0</v>
      </c>
    </row>
    <row r="3297" spans="1:12" x14ac:dyDescent="0.2">
      <c r="A3297" t="s">
        <v>349</v>
      </c>
      <c r="B3297" t="s">
        <v>241</v>
      </c>
      <c r="C3297" t="s">
        <v>7</v>
      </c>
      <c r="D3297">
        <v>1010</v>
      </c>
      <c r="E3297">
        <v>2020</v>
      </c>
      <c r="F3297">
        <v>41</v>
      </c>
      <c r="G3297">
        <v>22145</v>
      </c>
      <c r="H3297" s="1">
        <v>3</v>
      </c>
      <c r="I3297">
        <v>14</v>
      </c>
      <c r="J3297">
        <f>IF($H3297=0,1,IF($I3297&lt;=1,2,0))</f>
        <v>0</v>
      </c>
      <c r="K3297">
        <v>0</v>
      </c>
      <c r="L3297">
        <f>IF(AND($J3297=0,$K3297=0),0,1)</f>
        <v>0</v>
      </c>
    </row>
    <row r="3298" spans="1:12" x14ac:dyDescent="0.2">
      <c r="A3298" t="s">
        <v>349</v>
      </c>
      <c r="B3298" t="s">
        <v>241</v>
      </c>
      <c r="C3298" t="s">
        <v>7</v>
      </c>
      <c r="D3298">
        <v>1010</v>
      </c>
      <c r="E3298">
        <v>2020</v>
      </c>
      <c r="F3298">
        <v>108</v>
      </c>
      <c r="G3298">
        <v>22148</v>
      </c>
      <c r="H3298" s="1">
        <v>3</v>
      </c>
      <c r="I3298">
        <v>14</v>
      </c>
      <c r="J3298">
        <f>IF($H3298=0,1,IF($I3298&lt;=1,2,0))</f>
        <v>0</v>
      </c>
      <c r="K3298">
        <v>0</v>
      </c>
      <c r="L3298">
        <f>IF(AND($J3298=0,$K3298=0),0,1)</f>
        <v>0</v>
      </c>
    </row>
    <row r="3299" spans="1:12" x14ac:dyDescent="0.2">
      <c r="A3299" t="s">
        <v>349</v>
      </c>
      <c r="B3299" t="s">
        <v>241</v>
      </c>
      <c r="C3299" t="s">
        <v>7</v>
      </c>
      <c r="D3299">
        <v>1010</v>
      </c>
      <c r="E3299">
        <v>2020</v>
      </c>
      <c r="F3299">
        <v>123</v>
      </c>
      <c r="G3299">
        <v>22150</v>
      </c>
      <c r="H3299" s="1">
        <v>3</v>
      </c>
      <c r="I3299">
        <v>14</v>
      </c>
      <c r="J3299">
        <f>IF($H3299=0,1,IF($I3299&lt;=1,2,0))</f>
        <v>0</v>
      </c>
      <c r="K3299">
        <v>0</v>
      </c>
      <c r="L3299">
        <f>IF(AND($J3299=0,$K3299=0),0,1)</f>
        <v>0</v>
      </c>
    </row>
    <row r="3300" spans="1:12" x14ac:dyDescent="0.2">
      <c r="A3300" t="s">
        <v>349</v>
      </c>
      <c r="B3300" t="s">
        <v>241</v>
      </c>
      <c r="C3300" t="s">
        <v>7</v>
      </c>
      <c r="D3300">
        <v>1010</v>
      </c>
      <c r="E3300">
        <v>2020</v>
      </c>
      <c r="F3300">
        <v>139</v>
      </c>
      <c r="G3300">
        <v>22151</v>
      </c>
      <c r="H3300" s="1">
        <v>3</v>
      </c>
      <c r="I3300">
        <v>14</v>
      </c>
      <c r="J3300">
        <f>IF($H3300=0,1,IF($I3300&lt;=1,2,0))</f>
        <v>0</v>
      </c>
      <c r="K3300">
        <v>0</v>
      </c>
      <c r="L3300">
        <f>IF(AND($J3300=0,$K3300=0),0,1)</f>
        <v>0</v>
      </c>
    </row>
    <row r="3301" spans="1:12" x14ac:dyDescent="0.2">
      <c r="A3301" t="s">
        <v>349</v>
      </c>
      <c r="B3301" t="s">
        <v>241</v>
      </c>
      <c r="C3301" t="s">
        <v>7</v>
      </c>
      <c r="D3301">
        <v>1010</v>
      </c>
      <c r="E3301">
        <v>2020</v>
      </c>
      <c r="F3301">
        <v>207</v>
      </c>
      <c r="G3301">
        <v>22154</v>
      </c>
      <c r="H3301" s="1">
        <v>3</v>
      </c>
      <c r="I3301">
        <v>14</v>
      </c>
      <c r="J3301">
        <f>IF($H3301=0,1,IF($I3301&lt;=1,2,0))</f>
        <v>0</v>
      </c>
      <c r="K3301">
        <v>0</v>
      </c>
      <c r="L3301">
        <f>IF(AND($J3301=0,$K3301=0),0,1)</f>
        <v>0</v>
      </c>
    </row>
    <row r="3302" spans="1:12" x14ac:dyDescent="0.2">
      <c r="A3302" t="s">
        <v>349</v>
      </c>
      <c r="B3302" t="s">
        <v>241</v>
      </c>
      <c r="C3302" t="s">
        <v>7</v>
      </c>
      <c r="D3302">
        <v>1010</v>
      </c>
      <c r="E3302">
        <v>2020</v>
      </c>
      <c r="F3302">
        <v>210</v>
      </c>
      <c r="G3302">
        <v>22155</v>
      </c>
      <c r="H3302" s="1">
        <v>3</v>
      </c>
      <c r="I3302">
        <v>14</v>
      </c>
      <c r="J3302">
        <f>IF($H3302=0,1,IF($I3302&lt;=1,2,0))</f>
        <v>0</v>
      </c>
      <c r="K3302">
        <v>0</v>
      </c>
      <c r="L3302">
        <f>IF(AND($J3302=0,$K3302=0),0,1)</f>
        <v>0</v>
      </c>
    </row>
    <row r="3303" spans="1:12" x14ac:dyDescent="0.2">
      <c r="A3303" t="s">
        <v>349</v>
      </c>
      <c r="B3303" t="s">
        <v>241</v>
      </c>
      <c r="C3303" t="s">
        <v>7</v>
      </c>
      <c r="D3303">
        <v>1010</v>
      </c>
      <c r="E3303">
        <v>2020</v>
      </c>
      <c r="F3303">
        <v>218</v>
      </c>
      <c r="G3303">
        <v>22157</v>
      </c>
      <c r="H3303" s="1">
        <v>3</v>
      </c>
      <c r="I3303">
        <v>14</v>
      </c>
      <c r="J3303">
        <f>IF($H3303=0,1,IF($I3303&lt;=1,2,0))</f>
        <v>0</v>
      </c>
      <c r="K3303">
        <v>0</v>
      </c>
      <c r="L3303">
        <f>IF(AND($J3303=0,$K3303=0),0,1)</f>
        <v>0</v>
      </c>
    </row>
    <row r="3304" spans="1:12" x14ac:dyDescent="0.2">
      <c r="A3304" t="s">
        <v>349</v>
      </c>
      <c r="B3304" t="s">
        <v>241</v>
      </c>
      <c r="C3304" t="s">
        <v>153</v>
      </c>
      <c r="D3304">
        <v>1010</v>
      </c>
      <c r="E3304">
        <v>2020</v>
      </c>
      <c r="F3304">
        <v>220</v>
      </c>
      <c r="G3304">
        <v>22210</v>
      </c>
      <c r="H3304" s="1">
        <v>3</v>
      </c>
      <c r="I3304">
        <v>14</v>
      </c>
      <c r="J3304">
        <f>IF($H3304=0,1,IF($I3304&lt;=1,2,0))</f>
        <v>0</v>
      </c>
      <c r="K3304">
        <v>0</v>
      </c>
      <c r="L3304">
        <f>IF(AND($J3304=0,$K3304=0),0,1)</f>
        <v>0</v>
      </c>
    </row>
    <row r="3305" spans="1:12" x14ac:dyDescent="0.2">
      <c r="A3305" t="s">
        <v>349</v>
      </c>
      <c r="B3305" t="s">
        <v>241</v>
      </c>
      <c r="C3305" t="s">
        <v>7</v>
      </c>
      <c r="D3305">
        <v>1010</v>
      </c>
      <c r="E3305">
        <v>2020</v>
      </c>
      <c r="F3305">
        <v>319</v>
      </c>
      <c r="G3305">
        <v>22166</v>
      </c>
      <c r="H3305" s="1">
        <v>3</v>
      </c>
      <c r="I3305">
        <v>14</v>
      </c>
      <c r="J3305">
        <f>IF($H3305=0,1,IF($I3305&lt;=1,2,0))</f>
        <v>0</v>
      </c>
      <c r="K3305">
        <v>0</v>
      </c>
      <c r="L3305">
        <f>IF(AND($J3305=0,$K3305=0),0,1)</f>
        <v>0</v>
      </c>
    </row>
    <row r="3306" spans="1:12" x14ac:dyDescent="0.2">
      <c r="A3306" t="s">
        <v>349</v>
      </c>
      <c r="B3306" t="s">
        <v>241</v>
      </c>
      <c r="C3306" t="s">
        <v>7</v>
      </c>
      <c r="D3306">
        <v>1010</v>
      </c>
      <c r="E3306">
        <v>2020</v>
      </c>
      <c r="F3306">
        <v>331</v>
      </c>
      <c r="G3306">
        <v>22363</v>
      </c>
      <c r="H3306" s="1">
        <v>3</v>
      </c>
      <c r="I3306">
        <v>14</v>
      </c>
      <c r="J3306">
        <f>IF($H3306=0,1,IF($I3306&lt;=1,2,0))</f>
        <v>0</v>
      </c>
      <c r="K3306">
        <v>0</v>
      </c>
      <c r="L3306">
        <f>IF(AND($J3306=0,$K3306=0),0,1)</f>
        <v>0</v>
      </c>
    </row>
    <row r="3307" spans="1:12" x14ac:dyDescent="0.2">
      <c r="A3307" t="s">
        <v>349</v>
      </c>
      <c r="B3307" t="s">
        <v>241</v>
      </c>
      <c r="C3307" t="s">
        <v>7</v>
      </c>
      <c r="D3307">
        <v>1010</v>
      </c>
      <c r="E3307">
        <v>2020</v>
      </c>
      <c r="F3307">
        <v>346</v>
      </c>
      <c r="G3307">
        <v>22168</v>
      </c>
      <c r="H3307" s="1">
        <v>3</v>
      </c>
      <c r="I3307">
        <v>14</v>
      </c>
      <c r="J3307">
        <f>IF($H3307=0,1,IF($I3307&lt;=1,2,0))</f>
        <v>0</v>
      </c>
      <c r="K3307">
        <v>0</v>
      </c>
      <c r="L3307">
        <f>IF(AND($J3307=0,$K3307=0),0,1)</f>
        <v>0</v>
      </c>
    </row>
    <row r="3308" spans="1:12" x14ac:dyDescent="0.2">
      <c r="A3308" t="s">
        <v>349</v>
      </c>
      <c r="B3308" t="s">
        <v>241</v>
      </c>
      <c r="C3308" t="s">
        <v>7</v>
      </c>
      <c r="D3308">
        <v>1010</v>
      </c>
      <c r="E3308">
        <v>2020</v>
      </c>
      <c r="F3308">
        <v>348</v>
      </c>
      <c r="G3308">
        <v>22169</v>
      </c>
      <c r="H3308" s="1">
        <v>3</v>
      </c>
      <c r="I3308">
        <v>14</v>
      </c>
      <c r="J3308">
        <f>IF($H3308=0,1,IF($I3308&lt;=1,2,0))</f>
        <v>0</v>
      </c>
      <c r="K3308">
        <v>0</v>
      </c>
      <c r="L3308">
        <f>IF(AND($J3308=0,$K3308=0),0,1)</f>
        <v>0</v>
      </c>
    </row>
    <row r="3309" spans="1:12" x14ac:dyDescent="0.2">
      <c r="A3309" t="s">
        <v>349</v>
      </c>
      <c r="B3309" t="s">
        <v>241</v>
      </c>
      <c r="C3309" t="s">
        <v>7</v>
      </c>
      <c r="D3309">
        <v>1010</v>
      </c>
      <c r="E3309">
        <v>2020</v>
      </c>
      <c r="F3309">
        <v>420</v>
      </c>
      <c r="G3309">
        <v>22173</v>
      </c>
      <c r="H3309" s="1">
        <v>3</v>
      </c>
      <c r="I3309">
        <v>14</v>
      </c>
      <c r="J3309">
        <f>IF($H3309=0,1,IF($I3309&lt;=1,2,0))</f>
        <v>0</v>
      </c>
      <c r="K3309">
        <v>0</v>
      </c>
      <c r="L3309">
        <f>IF(AND($J3309=0,$K3309=0),0,1)</f>
        <v>0</v>
      </c>
    </row>
    <row r="3310" spans="1:12" x14ac:dyDescent="0.2">
      <c r="A3310" t="s">
        <v>349</v>
      </c>
      <c r="B3310" t="s">
        <v>241</v>
      </c>
      <c r="C3310" t="s">
        <v>7</v>
      </c>
      <c r="D3310">
        <v>1010</v>
      </c>
      <c r="E3310">
        <v>2020</v>
      </c>
      <c r="F3310">
        <v>425</v>
      </c>
      <c r="G3310">
        <v>22176</v>
      </c>
      <c r="H3310" s="1">
        <v>3</v>
      </c>
      <c r="I3310">
        <v>14</v>
      </c>
      <c r="J3310">
        <f>IF($H3310=0,1,IF($I3310&lt;=1,2,0))</f>
        <v>0</v>
      </c>
      <c r="K3310">
        <v>0</v>
      </c>
      <c r="L3310">
        <f>IF(AND($J3310=0,$K3310=0),0,1)</f>
        <v>0</v>
      </c>
    </row>
    <row r="3311" spans="1:12" x14ac:dyDescent="0.2">
      <c r="A3311" t="s">
        <v>349</v>
      </c>
      <c r="B3311" t="s">
        <v>241</v>
      </c>
      <c r="C3311" t="s">
        <v>7</v>
      </c>
      <c r="D3311">
        <v>1010</v>
      </c>
      <c r="E3311">
        <v>2020</v>
      </c>
      <c r="F3311">
        <v>513</v>
      </c>
      <c r="G3311">
        <v>22177</v>
      </c>
      <c r="H3311" s="1">
        <v>3</v>
      </c>
      <c r="I3311">
        <v>14</v>
      </c>
      <c r="J3311">
        <f>IF($H3311=0,1,IF($I3311&lt;=1,2,0))</f>
        <v>0</v>
      </c>
      <c r="K3311">
        <v>0</v>
      </c>
      <c r="L3311">
        <f>IF(AND($J3311=0,$K3311=0),0,1)</f>
        <v>0</v>
      </c>
    </row>
    <row r="3312" spans="1:12" x14ac:dyDescent="0.2">
      <c r="A3312" t="s">
        <v>349</v>
      </c>
      <c r="B3312" t="s">
        <v>241</v>
      </c>
      <c r="C3312" t="s">
        <v>7</v>
      </c>
      <c r="D3312">
        <v>1010</v>
      </c>
      <c r="E3312">
        <v>2020</v>
      </c>
      <c r="F3312">
        <v>547</v>
      </c>
      <c r="G3312">
        <v>22179</v>
      </c>
      <c r="H3312" s="1">
        <v>3</v>
      </c>
      <c r="I3312">
        <v>14</v>
      </c>
      <c r="J3312">
        <f>IF($H3312=0,1,IF($I3312&lt;=1,2,0))</f>
        <v>0</v>
      </c>
      <c r="K3312">
        <v>0</v>
      </c>
      <c r="L3312">
        <f>IF(AND($J3312=0,$K3312=0),0,1)</f>
        <v>0</v>
      </c>
    </row>
    <row r="3313" spans="1:13" x14ac:dyDescent="0.2">
      <c r="A3313" t="s">
        <v>349</v>
      </c>
      <c r="B3313" t="s">
        <v>241</v>
      </c>
      <c r="C3313" t="s">
        <v>153</v>
      </c>
      <c r="D3313">
        <v>1010</v>
      </c>
      <c r="E3313">
        <v>2020</v>
      </c>
      <c r="F3313">
        <v>613</v>
      </c>
      <c r="G3313">
        <v>22215</v>
      </c>
      <c r="H3313" s="1">
        <v>3</v>
      </c>
      <c r="I3313">
        <v>14</v>
      </c>
      <c r="J3313">
        <f>IF($H3313=0,1,IF($I3313&lt;=1,2,0))</f>
        <v>0</v>
      </c>
      <c r="K3313">
        <v>0</v>
      </c>
      <c r="L3313">
        <f>IF(AND($J3313=0,$K3313=0),0,1)</f>
        <v>0</v>
      </c>
      <c r="M3313" t="s">
        <v>356</v>
      </c>
    </row>
    <row r="3314" spans="1:13" x14ac:dyDescent="0.2">
      <c r="A3314" t="s">
        <v>349</v>
      </c>
      <c r="B3314" t="s">
        <v>241</v>
      </c>
      <c r="C3314" t="s">
        <v>7</v>
      </c>
      <c r="D3314">
        <v>1010</v>
      </c>
      <c r="E3314">
        <v>2020</v>
      </c>
      <c r="F3314">
        <v>614</v>
      </c>
      <c r="G3314">
        <v>22180</v>
      </c>
      <c r="H3314" s="1">
        <v>3</v>
      </c>
      <c r="I3314">
        <v>14</v>
      </c>
      <c r="J3314">
        <f>IF($H3314=0,1,IF($I3314&lt;=1,2,0))</f>
        <v>0</v>
      </c>
      <c r="K3314">
        <v>0</v>
      </c>
      <c r="L3314">
        <f>IF(AND($J3314=0,$K3314=0),0,1)</f>
        <v>0</v>
      </c>
    </row>
    <row r="3315" spans="1:13" x14ac:dyDescent="0.2">
      <c r="A3315" t="s">
        <v>349</v>
      </c>
      <c r="B3315" t="s">
        <v>241</v>
      </c>
      <c r="C3315" t="s">
        <v>7</v>
      </c>
      <c r="D3315">
        <v>1010</v>
      </c>
      <c r="E3315">
        <v>2020</v>
      </c>
      <c r="F3315">
        <v>617</v>
      </c>
      <c r="G3315">
        <v>22181</v>
      </c>
      <c r="H3315" s="1">
        <v>3</v>
      </c>
      <c r="I3315">
        <v>14</v>
      </c>
      <c r="J3315">
        <f>IF($H3315=0,1,IF($I3315&lt;=1,2,0))</f>
        <v>0</v>
      </c>
      <c r="K3315">
        <v>0</v>
      </c>
      <c r="L3315">
        <f>IF(AND($J3315=0,$K3315=0),0,1)</f>
        <v>0</v>
      </c>
    </row>
    <row r="3316" spans="1:13" x14ac:dyDescent="0.2">
      <c r="A3316" t="s">
        <v>349</v>
      </c>
      <c r="B3316" t="s">
        <v>241</v>
      </c>
      <c r="C3316" t="s">
        <v>153</v>
      </c>
      <c r="D3316">
        <v>1010</v>
      </c>
      <c r="E3316">
        <v>2020</v>
      </c>
      <c r="F3316">
        <v>618</v>
      </c>
      <c r="G3316">
        <v>24590</v>
      </c>
      <c r="H3316" s="1">
        <v>3</v>
      </c>
      <c r="I3316">
        <v>14</v>
      </c>
      <c r="J3316">
        <f>IF($H3316=0,1,IF($I3316&lt;=1,2,0))</f>
        <v>0</v>
      </c>
      <c r="K3316">
        <v>0</v>
      </c>
      <c r="L3316">
        <f>IF(AND($J3316=0,$K3316=0),0,1)</f>
        <v>0</v>
      </c>
      <c r="M3316" t="s">
        <v>356</v>
      </c>
    </row>
    <row r="3317" spans="1:13" x14ac:dyDescent="0.2">
      <c r="A3317" t="s">
        <v>349</v>
      </c>
      <c r="B3317" t="s">
        <v>241</v>
      </c>
      <c r="C3317" t="s">
        <v>7</v>
      </c>
      <c r="D3317">
        <v>1010</v>
      </c>
      <c r="E3317">
        <v>2020</v>
      </c>
      <c r="F3317">
        <v>632</v>
      </c>
      <c r="G3317">
        <v>22182</v>
      </c>
      <c r="H3317" s="1">
        <v>3</v>
      </c>
      <c r="I3317">
        <v>14</v>
      </c>
      <c r="J3317">
        <f>IF($H3317=0,1,IF($I3317&lt;=1,2,0))</f>
        <v>0</v>
      </c>
      <c r="K3317">
        <v>0</v>
      </c>
      <c r="L3317">
        <f>IF(AND($J3317=0,$K3317=0),0,1)</f>
        <v>0</v>
      </c>
    </row>
    <row r="3318" spans="1:13" x14ac:dyDescent="0.2">
      <c r="A3318" t="s">
        <v>349</v>
      </c>
      <c r="B3318" t="s">
        <v>241</v>
      </c>
      <c r="C3318" t="s">
        <v>7</v>
      </c>
      <c r="D3318">
        <v>1010</v>
      </c>
      <c r="E3318">
        <v>2020</v>
      </c>
      <c r="F3318">
        <v>635</v>
      </c>
      <c r="G3318">
        <v>22183</v>
      </c>
      <c r="H3318" s="1">
        <v>3</v>
      </c>
      <c r="I3318">
        <v>14</v>
      </c>
      <c r="J3318">
        <f>IF($H3318=0,1,IF($I3318&lt;=1,2,0))</f>
        <v>0</v>
      </c>
      <c r="K3318">
        <v>0</v>
      </c>
      <c r="L3318">
        <f>IF(AND($J3318=0,$K3318=0),0,1)</f>
        <v>0</v>
      </c>
    </row>
    <row r="3319" spans="1:13" x14ac:dyDescent="0.2">
      <c r="A3319" t="s">
        <v>349</v>
      </c>
      <c r="B3319" t="s">
        <v>241</v>
      </c>
      <c r="C3319" t="s">
        <v>7</v>
      </c>
      <c r="D3319">
        <v>1010</v>
      </c>
      <c r="E3319">
        <v>2020</v>
      </c>
      <c r="F3319">
        <v>640</v>
      </c>
      <c r="G3319">
        <v>22184</v>
      </c>
      <c r="H3319" s="1">
        <v>3</v>
      </c>
      <c r="I3319">
        <v>14</v>
      </c>
      <c r="J3319">
        <f>IF($H3319=0,1,IF($I3319&lt;=1,2,0))</f>
        <v>0</v>
      </c>
      <c r="K3319">
        <v>0</v>
      </c>
      <c r="L3319">
        <f>IF(AND($J3319=0,$K3319=0),0,1)</f>
        <v>0</v>
      </c>
    </row>
    <row r="3320" spans="1:13" x14ac:dyDescent="0.2">
      <c r="A3320" t="s">
        <v>349</v>
      </c>
      <c r="B3320" t="s">
        <v>241</v>
      </c>
      <c r="C3320" t="s">
        <v>7</v>
      </c>
      <c r="D3320">
        <v>1010</v>
      </c>
      <c r="E3320">
        <v>2020</v>
      </c>
      <c r="F3320">
        <v>706</v>
      </c>
      <c r="G3320">
        <v>22191</v>
      </c>
      <c r="H3320" s="1">
        <v>3</v>
      </c>
      <c r="I3320">
        <v>14</v>
      </c>
      <c r="J3320">
        <f>IF($H3320=0,1,IF($I3320&lt;=1,2,0))</f>
        <v>0</v>
      </c>
      <c r="K3320">
        <v>0</v>
      </c>
      <c r="L3320">
        <f>IF(AND($J3320=0,$K3320=0),0,1)</f>
        <v>0</v>
      </c>
    </row>
    <row r="3321" spans="1:13" x14ac:dyDescent="0.2">
      <c r="A3321" t="s">
        <v>349</v>
      </c>
      <c r="B3321" t="s">
        <v>241</v>
      </c>
      <c r="C3321" t="s">
        <v>7</v>
      </c>
      <c r="D3321">
        <v>1010</v>
      </c>
      <c r="E3321">
        <v>2020</v>
      </c>
      <c r="F3321">
        <v>729</v>
      </c>
      <c r="G3321">
        <v>22185</v>
      </c>
      <c r="H3321" s="1">
        <v>3</v>
      </c>
      <c r="I3321">
        <v>14</v>
      </c>
      <c r="J3321">
        <f>IF($H3321=0,1,IF($I3321&lt;=1,2,0))</f>
        <v>0</v>
      </c>
      <c r="K3321">
        <v>0</v>
      </c>
      <c r="L3321">
        <f>IF(AND($J3321=0,$K3321=0),0,1)</f>
        <v>0</v>
      </c>
    </row>
    <row r="3322" spans="1:13" x14ac:dyDescent="0.2">
      <c r="A3322" t="s">
        <v>349</v>
      </c>
      <c r="B3322" t="s">
        <v>241</v>
      </c>
      <c r="C3322" t="s">
        <v>153</v>
      </c>
      <c r="D3322">
        <v>1010</v>
      </c>
      <c r="E3322">
        <v>2020</v>
      </c>
      <c r="F3322">
        <v>917</v>
      </c>
      <c r="G3322">
        <v>22217</v>
      </c>
      <c r="H3322" s="1">
        <v>3</v>
      </c>
      <c r="I3322">
        <v>14</v>
      </c>
      <c r="J3322">
        <f>IF($H3322=0,1,IF($I3322&lt;=1,2,0))</f>
        <v>0</v>
      </c>
      <c r="K3322">
        <v>0</v>
      </c>
      <c r="L3322">
        <f>IF(AND($J3322=0,$K3322=0),0,1)</f>
        <v>0</v>
      </c>
      <c r="M3322" t="s">
        <v>356</v>
      </c>
    </row>
    <row r="3323" spans="1:13" x14ac:dyDescent="0.2">
      <c r="A3323" t="s">
        <v>349</v>
      </c>
      <c r="B3323" t="s">
        <v>241</v>
      </c>
      <c r="C3323" t="s">
        <v>153</v>
      </c>
      <c r="D3323">
        <v>1010</v>
      </c>
      <c r="E3323">
        <v>2020</v>
      </c>
      <c r="F3323">
        <v>919</v>
      </c>
      <c r="G3323">
        <v>22218</v>
      </c>
      <c r="H3323" s="1">
        <v>3</v>
      </c>
      <c r="I3323">
        <v>14</v>
      </c>
      <c r="J3323">
        <f>IF($H3323=0,1,IF($I3323&lt;=1,2,0))</f>
        <v>0</v>
      </c>
      <c r="K3323">
        <v>0</v>
      </c>
      <c r="L3323">
        <f>IF(AND($J3323=0,$K3323=0),0,1)</f>
        <v>0</v>
      </c>
      <c r="M3323" t="s">
        <v>356</v>
      </c>
    </row>
    <row r="3324" spans="1:13" x14ac:dyDescent="0.2">
      <c r="A3324" t="s">
        <v>349</v>
      </c>
      <c r="B3324" t="s">
        <v>241</v>
      </c>
      <c r="C3324" t="s">
        <v>153</v>
      </c>
      <c r="D3324">
        <v>1010</v>
      </c>
      <c r="E3324">
        <v>2020</v>
      </c>
      <c r="F3324">
        <v>2</v>
      </c>
      <c r="G3324">
        <v>22199</v>
      </c>
      <c r="H3324" s="1">
        <v>3</v>
      </c>
      <c r="I3324">
        <v>13</v>
      </c>
      <c r="J3324">
        <f>IF($H3324=0,1,IF($I3324&lt;=1,2,0))</f>
        <v>0</v>
      </c>
      <c r="K3324">
        <v>0</v>
      </c>
      <c r="L3324">
        <f>IF(AND($J3324=0,$K3324=0),0,1)</f>
        <v>0</v>
      </c>
    </row>
    <row r="3325" spans="1:13" x14ac:dyDescent="0.2">
      <c r="A3325" t="s">
        <v>349</v>
      </c>
      <c r="B3325" t="s">
        <v>241</v>
      </c>
      <c r="C3325" t="s">
        <v>153</v>
      </c>
      <c r="D3325">
        <v>1010</v>
      </c>
      <c r="E3325">
        <v>2020</v>
      </c>
      <c r="F3325">
        <v>4</v>
      </c>
      <c r="G3325">
        <v>24545</v>
      </c>
      <c r="H3325" s="1">
        <v>3</v>
      </c>
      <c r="I3325">
        <v>13</v>
      </c>
      <c r="J3325">
        <f>IF($H3325=0,1,IF($I3325&lt;=1,2,0))</f>
        <v>0</v>
      </c>
      <c r="K3325">
        <v>0</v>
      </c>
      <c r="L3325">
        <f>IF(AND($J3325=0,$K3325=0),0,1)</f>
        <v>0</v>
      </c>
    </row>
    <row r="3326" spans="1:13" x14ac:dyDescent="0.2">
      <c r="A3326" t="s">
        <v>349</v>
      </c>
      <c r="B3326" t="s">
        <v>241</v>
      </c>
      <c r="C3326" t="s">
        <v>153</v>
      </c>
      <c r="D3326">
        <v>1010</v>
      </c>
      <c r="E3326">
        <v>2020</v>
      </c>
      <c r="F3326">
        <v>8</v>
      </c>
      <c r="G3326">
        <v>22202</v>
      </c>
      <c r="H3326" s="1">
        <v>3</v>
      </c>
      <c r="I3326">
        <v>13</v>
      </c>
      <c r="J3326">
        <f>IF($H3326=0,1,IF($I3326&lt;=1,2,0))</f>
        <v>0</v>
      </c>
      <c r="K3326">
        <v>0</v>
      </c>
      <c r="L3326">
        <f>IF(AND($J3326=0,$K3326=0),0,1)</f>
        <v>0</v>
      </c>
    </row>
    <row r="3327" spans="1:13" x14ac:dyDescent="0.2">
      <c r="A3327" t="s">
        <v>349</v>
      </c>
      <c r="B3327" t="s">
        <v>241</v>
      </c>
      <c r="C3327" t="s">
        <v>7</v>
      </c>
      <c r="D3327">
        <v>1010</v>
      </c>
      <c r="E3327">
        <v>2020</v>
      </c>
      <c r="F3327">
        <v>16</v>
      </c>
      <c r="G3327">
        <v>22137</v>
      </c>
      <c r="H3327" s="1">
        <v>3</v>
      </c>
      <c r="I3327">
        <v>13</v>
      </c>
      <c r="J3327">
        <f>IF($H3327=0,1,IF($I3327&lt;=1,2,0))</f>
        <v>0</v>
      </c>
      <c r="K3327">
        <v>0</v>
      </c>
      <c r="L3327">
        <f>IF(AND($J3327=0,$K3327=0),0,1)</f>
        <v>0</v>
      </c>
    </row>
    <row r="3328" spans="1:13" x14ac:dyDescent="0.2">
      <c r="A3328" t="s">
        <v>349</v>
      </c>
      <c r="B3328" t="s">
        <v>241</v>
      </c>
      <c r="C3328" t="s">
        <v>153</v>
      </c>
      <c r="D3328">
        <v>1010</v>
      </c>
      <c r="E3328">
        <v>2020</v>
      </c>
      <c r="F3328">
        <v>21</v>
      </c>
      <c r="G3328">
        <v>24595</v>
      </c>
      <c r="H3328" s="1">
        <v>3</v>
      </c>
      <c r="I3328">
        <v>13</v>
      </c>
      <c r="J3328">
        <f>IF($H3328=0,1,IF($I3328&lt;=1,2,0))</f>
        <v>0</v>
      </c>
      <c r="K3328">
        <v>0</v>
      </c>
      <c r="L3328">
        <f>IF(AND($J3328=0,$K3328=0),0,1)</f>
        <v>0</v>
      </c>
    </row>
    <row r="3329" spans="1:12" x14ac:dyDescent="0.2">
      <c r="A3329" t="s">
        <v>349</v>
      </c>
      <c r="B3329" t="s">
        <v>241</v>
      </c>
      <c r="C3329" t="s">
        <v>7</v>
      </c>
      <c r="D3329">
        <v>1010</v>
      </c>
      <c r="E3329">
        <v>2020</v>
      </c>
      <c r="F3329">
        <v>24</v>
      </c>
      <c r="G3329">
        <v>22139</v>
      </c>
      <c r="H3329" s="1">
        <v>3</v>
      </c>
      <c r="I3329">
        <v>13</v>
      </c>
      <c r="J3329">
        <f>IF($H3329=0,1,IF($I3329&lt;=1,2,0))</f>
        <v>0</v>
      </c>
      <c r="K3329">
        <v>0</v>
      </c>
      <c r="L3329">
        <f>IF(AND($J3329=0,$K3329=0),0,1)</f>
        <v>0</v>
      </c>
    </row>
    <row r="3330" spans="1:12" x14ac:dyDescent="0.2">
      <c r="A3330" t="s">
        <v>349</v>
      </c>
      <c r="B3330" t="s">
        <v>241</v>
      </c>
      <c r="C3330" t="s">
        <v>153</v>
      </c>
      <c r="D3330">
        <v>1010</v>
      </c>
      <c r="E3330">
        <v>2020</v>
      </c>
      <c r="F3330">
        <v>27</v>
      </c>
      <c r="G3330">
        <v>24546</v>
      </c>
      <c r="H3330" s="1">
        <v>3</v>
      </c>
      <c r="I3330">
        <v>13</v>
      </c>
      <c r="J3330">
        <f>IF($H3330=0,1,IF($I3330&lt;=1,2,0))</f>
        <v>0</v>
      </c>
      <c r="K3330">
        <v>0</v>
      </c>
      <c r="L3330">
        <f>IF(AND($J3330=0,$K3330=0),0,1)</f>
        <v>0</v>
      </c>
    </row>
    <row r="3331" spans="1:12" x14ac:dyDescent="0.2">
      <c r="A3331" t="s">
        <v>349</v>
      </c>
      <c r="B3331" t="s">
        <v>241</v>
      </c>
      <c r="C3331" t="s">
        <v>7</v>
      </c>
      <c r="D3331">
        <v>1010</v>
      </c>
      <c r="E3331">
        <v>2020</v>
      </c>
      <c r="F3331">
        <v>42</v>
      </c>
      <c r="G3331">
        <v>22146</v>
      </c>
      <c r="H3331" s="1">
        <v>3</v>
      </c>
      <c r="I3331">
        <v>13</v>
      </c>
      <c r="J3331">
        <f>IF($H3331=0,1,IF($I3331&lt;=1,2,0))</f>
        <v>0</v>
      </c>
      <c r="K3331">
        <v>0</v>
      </c>
      <c r="L3331">
        <f>IF(AND($J3331=0,$K3331=0),0,1)</f>
        <v>0</v>
      </c>
    </row>
    <row r="3332" spans="1:12" x14ac:dyDescent="0.2">
      <c r="A3332" t="s">
        <v>349</v>
      </c>
      <c r="B3332" t="s">
        <v>241</v>
      </c>
      <c r="C3332" t="s">
        <v>7</v>
      </c>
      <c r="D3332">
        <v>1010</v>
      </c>
      <c r="E3332">
        <v>2020</v>
      </c>
      <c r="F3332">
        <v>112</v>
      </c>
      <c r="G3332">
        <v>22149</v>
      </c>
      <c r="H3332" s="1">
        <v>3</v>
      </c>
      <c r="I3332">
        <v>13</v>
      </c>
      <c r="J3332">
        <f>IF($H3332=0,1,IF($I3332&lt;=1,2,0))</f>
        <v>0</v>
      </c>
      <c r="K3332">
        <v>0</v>
      </c>
      <c r="L3332">
        <f>IF(AND($J3332=0,$K3332=0),0,1)</f>
        <v>0</v>
      </c>
    </row>
    <row r="3333" spans="1:12" x14ac:dyDescent="0.2">
      <c r="A3333" t="s">
        <v>349</v>
      </c>
      <c r="B3333" t="s">
        <v>241</v>
      </c>
      <c r="C3333" t="s">
        <v>7</v>
      </c>
      <c r="D3333">
        <v>1010</v>
      </c>
      <c r="E3333">
        <v>2020</v>
      </c>
      <c r="F3333">
        <v>144</v>
      </c>
      <c r="G3333">
        <v>22152</v>
      </c>
      <c r="H3333" s="1">
        <v>3</v>
      </c>
      <c r="I3333">
        <v>13</v>
      </c>
      <c r="J3333">
        <f>IF($H3333=0,1,IF($I3333&lt;=1,2,0))</f>
        <v>0</v>
      </c>
      <c r="K3333">
        <v>0</v>
      </c>
      <c r="L3333">
        <f>IF(AND($J3333=0,$K3333=0),0,1)</f>
        <v>0</v>
      </c>
    </row>
    <row r="3334" spans="1:12" x14ac:dyDescent="0.2">
      <c r="A3334" t="s">
        <v>349</v>
      </c>
      <c r="B3334" t="s">
        <v>241</v>
      </c>
      <c r="C3334" t="s">
        <v>7</v>
      </c>
      <c r="D3334">
        <v>1010</v>
      </c>
      <c r="E3334">
        <v>2020</v>
      </c>
      <c r="F3334">
        <v>236</v>
      </c>
      <c r="G3334">
        <v>22161</v>
      </c>
      <c r="H3334" s="1">
        <v>3</v>
      </c>
      <c r="I3334">
        <v>13</v>
      </c>
      <c r="J3334">
        <f>IF($H3334=0,1,IF($I3334&lt;=1,2,0))</f>
        <v>0</v>
      </c>
      <c r="K3334">
        <v>0</v>
      </c>
      <c r="L3334">
        <f>IF(AND($J3334=0,$K3334=0),0,1)</f>
        <v>0</v>
      </c>
    </row>
    <row r="3335" spans="1:12" x14ac:dyDescent="0.2">
      <c r="A3335" t="s">
        <v>349</v>
      </c>
      <c r="B3335" t="s">
        <v>241</v>
      </c>
      <c r="C3335" t="s">
        <v>153</v>
      </c>
      <c r="D3335">
        <v>1010</v>
      </c>
      <c r="E3335">
        <v>2020</v>
      </c>
      <c r="F3335">
        <v>305</v>
      </c>
      <c r="G3335">
        <v>22212</v>
      </c>
      <c r="H3335" s="1">
        <v>3</v>
      </c>
      <c r="I3335">
        <v>13</v>
      </c>
      <c r="J3335">
        <f>IF($H3335=0,1,IF($I3335&lt;=1,2,0))</f>
        <v>0</v>
      </c>
      <c r="K3335">
        <v>0</v>
      </c>
      <c r="L3335">
        <f>IF(AND($J3335=0,$K3335=0),0,1)</f>
        <v>0</v>
      </c>
    </row>
    <row r="3336" spans="1:12" x14ac:dyDescent="0.2">
      <c r="A3336" t="s">
        <v>349</v>
      </c>
      <c r="B3336" t="s">
        <v>241</v>
      </c>
      <c r="C3336" t="s">
        <v>7</v>
      </c>
      <c r="D3336">
        <v>1010</v>
      </c>
      <c r="E3336">
        <v>2020</v>
      </c>
      <c r="F3336">
        <v>338</v>
      </c>
      <c r="G3336">
        <v>22167</v>
      </c>
      <c r="H3336" s="1">
        <v>3</v>
      </c>
      <c r="I3336">
        <v>13</v>
      </c>
      <c r="J3336">
        <f>IF($H3336=0,1,IF($I3336&lt;=1,2,0))</f>
        <v>0</v>
      </c>
      <c r="K3336">
        <v>0</v>
      </c>
      <c r="L3336">
        <f>IF(AND($J3336=0,$K3336=0),0,1)</f>
        <v>0</v>
      </c>
    </row>
    <row r="3337" spans="1:12" x14ac:dyDescent="0.2">
      <c r="A3337" t="s">
        <v>349</v>
      </c>
      <c r="B3337" t="s">
        <v>241</v>
      </c>
      <c r="C3337" t="s">
        <v>153</v>
      </c>
      <c r="D3337">
        <v>1010</v>
      </c>
      <c r="E3337">
        <v>2020</v>
      </c>
      <c r="F3337">
        <v>411</v>
      </c>
      <c r="G3337">
        <v>22213</v>
      </c>
      <c r="H3337" s="1">
        <v>3</v>
      </c>
      <c r="I3337">
        <v>13</v>
      </c>
      <c r="J3337">
        <f>IF($H3337=0,1,IF($I3337&lt;=1,2,0))</f>
        <v>0</v>
      </c>
      <c r="K3337">
        <v>0</v>
      </c>
      <c r="L3337">
        <f>IF(AND($J3337=0,$K3337=0),0,1)</f>
        <v>0</v>
      </c>
    </row>
    <row r="3338" spans="1:12" x14ac:dyDescent="0.2">
      <c r="A3338" t="s">
        <v>349</v>
      </c>
      <c r="B3338" t="s">
        <v>241</v>
      </c>
      <c r="C3338" t="s">
        <v>7</v>
      </c>
      <c r="D3338">
        <v>1010</v>
      </c>
      <c r="E3338">
        <v>2020</v>
      </c>
      <c r="F3338">
        <v>415</v>
      </c>
      <c r="G3338">
        <v>22172</v>
      </c>
      <c r="H3338" s="1">
        <v>3</v>
      </c>
      <c r="I3338">
        <v>13</v>
      </c>
      <c r="J3338">
        <f>IF($H3338=0,1,IF($I3338&lt;=1,2,0))</f>
        <v>0</v>
      </c>
      <c r="K3338">
        <v>0</v>
      </c>
      <c r="L3338">
        <f>IF(AND($J3338=0,$K3338=0),0,1)</f>
        <v>0</v>
      </c>
    </row>
    <row r="3339" spans="1:12" x14ac:dyDescent="0.2">
      <c r="A3339" t="s">
        <v>349</v>
      </c>
      <c r="B3339" t="s">
        <v>241</v>
      </c>
      <c r="C3339" t="s">
        <v>7</v>
      </c>
      <c r="D3339">
        <v>1010</v>
      </c>
      <c r="E3339">
        <v>2020</v>
      </c>
      <c r="F3339">
        <v>422</v>
      </c>
      <c r="G3339">
        <v>22175</v>
      </c>
      <c r="H3339" s="1">
        <v>3</v>
      </c>
      <c r="I3339">
        <v>13</v>
      </c>
      <c r="J3339">
        <f>IF($H3339=0,1,IF($I3339&lt;=1,2,0))</f>
        <v>0</v>
      </c>
      <c r="K3339">
        <v>0</v>
      </c>
      <c r="L3339">
        <f>IF(AND($J3339=0,$K3339=0),0,1)</f>
        <v>0</v>
      </c>
    </row>
    <row r="3340" spans="1:12" x14ac:dyDescent="0.2">
      <c r="A3340" t="s">
        <v>349</v>
      </c>
      <c r="B3340" t="s">
        <v>241</v>
      </c>
      <c r="C3340" t="s">
        <v>7</v>
      </c>
      <c r="D3340">
        <v>1010</v>
      </c>
      <c r="E3340">
        <v>2020</v>
      </c>
      <c r="F3340">
        <v>545</v>
      </c>
      <c r="G3340">
        <v>22178</v>
      </c>
      <c r="H3340" s="1">
        <v>3</v>
      </c>
      <c r="I3340">
        <v>13</v>
      </c>
      <c r="J3340">
        <f>IF($H3340=0,1,IF($I3340&lt;=1,2,0))</f>
        <v>0</v>
      </c>
      <c r="K3340">
        <v>0</v>
      </c>
      <c r="L3340">
        <f>IF(AND($J3340=0,$K3340=0),0,1)</f>
        <v>0</v>
      </c>
    </row>
    <row r="3341" spans="1:12" x14ac:dyDescent="0.2">
      <c r="A3341" t="s">
        <v>349</v>
      </c>
      <c r="B3341" t="s">
        <v>241</v>
      </c>
      <c r="C3341" t="s">
        <v>153</v>
      </c>
      <c r="D3341">
        <v>1010</v>
      </c>
      <c r="E3341">
        <v>2020</v>
      </c>
      <c r="F3341">
        <v>710</v>
      </c>
      <c r="G3341">
        <v>22216</v>
      </c>
      <c r="H3341" s="1">
        <v>3</v>
      </c>
      <c r="I3341">
        <v>13</v>
      </c>
      <c r="J3341">
        <f>IF($H3341=0,1,IF($I3341&lt;=1,2,0))</f>
        <v>0</v>
      </c>
      <c r="K3341">
        <v>0</v>
      </c>
      <c r="L3341">
        <f>IF(AND($J3341=0,$K3341=0),0,1)</f>
        <v>0</v>
      </c>
    </row>
    <row r="3342" spans="1:12" x14ac:dyDescent="0.2">
      <c r="A3342" t="s">
        <v>349</v>
      </c>
      <c r="B3342" t="s">
        <v>241</v>
      </c>
      <c r="C3342" t="s">
        <v>7</v>
      </c>
      <c r="D3342">
        <v>1010</v>
      </c>
      <c r="E3342">
        <v>2020</v>
      </c>
      <c r="F3342">
        <v>751</v>
      </c>
      <c r="G3342">
        <v>22187</v>
      </c>
      <c r="H3342" s="1">
        <v>3</v>
      </c>
      <c r="I3342">
        <v>13</v>
      </c>
      <c r="J3342">
        <f>IF($H3342=0,1,IF($I3342&lt;=1,2,0))</f>
        <v>0</v>
      </c>
      <c r="K3342">
        <v>0</v>
      </c>
      <c r="L3342">
        <f>IF(AND($J3342=0,$K3342=0),0,1)</f>
        <v>0</v>
      </c>
    </row>
    <row r="3343" spans="1:12" x14ac:dyDescent="0.2">
      <c r="A3343" t="s">
        <v>349</v>
      </c>
      <c r="B3343" t="s">
        <v>241</v>
      </c>
      <c r="C3343" t="s">
        <v>7</v>
      </c>
      <c r="D3343">
        <v>1010</v>
      </c>
      <c r="E3343">
        <v>2020</v>
      </c>
      <c r="F3343">
        <v>909</v>
      </c>
      <c r="G3343">
        <v>22189</v>
      </c>
      <c r="H3343" s="1">
        <v>3</v>
      </c>
      <c r="I3343">
        <v>13</v>
      </c>
      <c r="J3343">
        <f>IF($H3343=0,1,IF($I3343&lt;=1,2,0))</f>
        <v>0</v>
      </c>
      <c r="K3343">
        <v>0</v>
      </c>
      <c r="L3343">
        <f>IF(AND($J3343=0,$K3343=0),0,1)</f>
        <v>0</v>
      </c>
    </row>
    <row r="3344" spans="1:12" x14ac:dyDescent="0.2">
      <c r="A3344" t="s">
        <v>349</v>
      </c>
      <c r="B3344" t="s">
        <v>241</v>
      </c>
      <c r="C3344" t="s">
        <v>7</v>
      </c>
      <c r="D3344">
        <v>1010</v>
      </c>
      <c r="E3344">
        <v>2020</v>
      </c>
      <c r="F3344">
        <v>11</v>
      </c>
      <c r="G3344">
        <v>22135</v>
      </c>
      <c r="H3344" s="1">
        <v>3</v>
      </c>
      <c r="I3344">
        <v>12</v>
      </c>
      <c r="J3344">
        <f>IF($H3344=0,1,IF($I3344&lt;=1,2,0))</f>
        <v>0</v>
      </c>
      <c r="K3344">
        <v>0</v>
      </c>
      <c r="L3344">
        <f>IF(AND($J3344=0,$K3344=0),0,1)</f>
        <v>0</v>
      </c>
    </row>
    <row r="3345" spans="1:12" x14ac:dyDescent="0.2">
      <c r="A3345" t="s">
        <v>349</v>
      </c>
      <c r="B3345" t="s">
        <v>241</v>
      </c>
      <c r="C3345" t="s">
        <v>153</v>
      </c>
      <c r="D3345">
        <v>1010</v>
      </c>
      <c r="E3345">
        <v>2020</v>
      </c>
      <c r="F3345">
        <v>22</v>
      </c>
      <c r="G3345">
        <v>22206</v>
      </c>
      <c r="H3345" s="1">
        <v>3</v>
      </c>
      <c r="I3345">
        <v>12</v>
      </c>
      <c r="J3345">
        <f>IF($H3345=0,1,IF($I3345&lt;=1,2,0))</f>
        <v>0</v>
      </c>
      <c r="K3345">
        <v>0</v>
      </c>
      <c r="L3345">
        <f>IF(AND($J3345=0,$K3345=0),0,1)</f>
        <v>0</v>
      </c>
    </row>
    <row r="3346" spans="1:12" x14ac:dyDescent="0.2">
      <c r="A3346" t="s">
        <v>349</v>
      </c>
      <c r="B3346" t="s">
        <v>241</v>
      </c>
      <c r="C3346" t="s">
        <v>153</v>
      </c>
      <c r="D3346">
        <v>1010</v>
      </c>
      <c r="E3346">
        <v>2020</v>
      </c>
      <c r="F3346">
        <v>23</v>
      </c>
      <c r="G3346">
        <v>22207</v>
      </c>
      <c r="H3346" s="1">
        <v>3</v>
      </c>
      <c r="I3346">
        <v>12</v>
      </c>
      <c r="J3346">
        <f>IF($H3346=0,1,IF($I3346&lt;=1,2,0))</f>
        <v>0</v>
      </c>
      <c r="K3346">
        <v>0</v>
      </c>
      <c r="L3346">
        <f>IF(AND($J3346=0,$K3346=0),0,1)</f>
        <v>0</v>
      </c>
    </row>
    <row r="3347" spans="1:12" x14ac:dyDescent="0.2">
      <c r="A3347" t="s">
        <v>349</v>
      </c>
      <c r="B3347" t="s">
        <v>241</v>
      </c>
      <c r="C3347" t="s">
        <v>153</v>
      </c>
      <c r="D3347">
        <v>1010</v>
      </c>
      <c r="E3347">
        <v>2020</v>
      </c>
      <c r="F3347">
        <v>25</v>
      </c>
      <c r="G3347">
        <v>22208</v>
      </c>
      <c r="H3347" s="1">
        <v>3</v>
      </c>
      <c r="I3347">
        <v>12</v>
      </c>
      <c r="J3347">
        <f>IF($H3347=0,1,IF($I3347&lt;=1,2,0))</f>
        <v>0</v>
      </c>
      <c r="K3347">
        <v>0</v>
      </c>
      <c r="L3347">
        <f>IF(AND($J3347=0,$K3347=0),0,1)</f>
        <v>0</v>
      </c>
    </row>
    <row r="3348" spans="1:12" x14ac:dyDescent="0.2">
      <c r="A3348" t="s">
        <v>349</v>
      </c>
      <c r="B3348" t="s">
        <v>241</v>
      </c>
      <c r="C3348" t="s">
        <v>7</v>
      </c>
      <c r="D3348">
        <v>1010</v>
      </c>
      <c r="E3348">
        <v>2020</v>
      </c>
      <c r="F3348">
        <v>27</v>
      </c>
      <c r="G3348">
        <v>22141</v>
      </c>
      <c r="H3348" s="1">
        <v>3</v>
      </c>
      <c r="I3348">
        <v>12</v>
      </c>
      <c r="J3348">
        <f>IF($H3348=0,1,IF($I3348&lt;=1,2,0))</f>
        <v>0</v>
      </c>
      <c r="K3348">
        <v>0</v>
      </c>
      <c r="L3348">
        <f>IF(AND($J3348=0,$K3348=0),0,1)</f>
        <v>0</v>
      </c>
    </row>
    <row r="3349" spans="1:12" x14ac:dyDescent="0.2">
      <c r="A3349" t="s">
        <v>349</v>
      </c>
      <c r="B3349" t="s">
        <v>241</v>
      </c>
      <c r="C3349" t="s">
        <v>7</v>
      </c>
      <c r="D3349">
        <v>1010</v>
      </c>
      <c r="E3349">
        <v>2020</v>
      </c>
      <c r="F3349">
        <v>228</v>
      </c>
      <c r="G3349">
        <v>22159</v>
      </c>
      <c r="H3349" s="1">
        <v>3</v>
      </c>
      <c r="I3349">
        <v>12</v>
      </c>
      <c r="J3349">
        <f>IF($H3349=0,1,IF($I3349&lt;=1,2,0))</f>
        <v>0</v>
      </c>
      <c r="K3349">
        <v>0</v>
      </c>
      <c r="L3349">
        <f>IF(AND($J3349=0,$K3349=0),0,1)</f>
        <v>0</v>
      </c>
    </row>
    <row r="3350" spans="1:12" x14ac:dyDescent="0.2">
      <c r="A3350" t="s">
        <v>349</v>
      </c>
      <c r="B3350" t="s">
        <v>241</v>
      </c>
      <c r="C3350" t="s">
        <v>153</v>
      </c>
      <c r="D3350">
        <v>1010</v>
      </c>
      <c r="E3350">
        <v>2020</v>
      </c>
      <c r="F3350">
        <v>303</v>
      </c>
      <c r="G3350">
        <v>22211</v>
      </c>
      <c r="H3350" s="1">
        <v>3</v>
      </c>
      <c r="I3350">
        <v>12</v>
      </c>
      <c r="J3350">
        <f>IF($H3350=0,1,IF($I3350&lt;=1,2,0))</f>
        <v>0</v>
      </c>
      <c r="K3350">
        <v>0</v>
      </c>
      <c r="L3350">
        <f>IF(AND($J3350=0,$K3350=0),0,1)</f>
        <v>0</v>
      </c>
    </row>
    <row r="3351" spans="1:12" x14ac:dyDescent="0.2">
      <c r="A3351" t="s">
        <v>349</v>
      </c>
      <c r="B3351" t="s">
        <v>241</v>
      </c>
      <c r="C3351" t="s">
        <v>7</v>
      </c>
      <c r="D3351">
        <v>1010</v>
      </c>
      <c r="E3351">
        <v>2020</v>
      </c>
      <c r="F3351">
        <v>304</v>
      </c>
      <c r="G3351">
        <v>22165</v>
      </c>
      <c r="H3351" s="1">
        <v>3</v>
      </c>
      <c r="I3351">
        <v>12</v>
      </c>
      <c r="J3351">
        <f>IF($H3351=0,1,IF($I3351&lt;=1,2,0))</f>
        <v>0</v>
      </c>
      <c r="K3351">
        <v>0</v>
      </c>
      <c r="L3351">
        <f>IF(AND($J3351=0,$K3351=0),0,1)</f>
        <v>0</v>
      </c>
    </row>
    <row r="3352" spans="1:12" x14ac:dyDescent="0.2">
      <c r="A3352" t="s">
        <v>349</v>
      </c>
      <c r="B3352" t="s">
        <v>241</v>
      </c>
      <c r="C3352" t="s">
        <v>7</v>
      </c>
      <c r="D3352">
        <v>1010</v>
      </c>
      <c r="E3352">
        <v>2020</v>
      </c>
      <c r="F3352">
        <v>733</v>
      </c>
      <c r="G3352">
        <v>22186</v>
      </c>
      <c r="H3352" s="1">
        <v>3</v>
      </c>
      <c r="I3352">
        <v>12</v>
      </c>
      <c r="J3352">
        <f>IF($H3352=0,1,IF($I3352&lt;=1,2,0))</f>
        <v>0</v>
      </c>
      <c r="K3352">
        <v>0</v>
      </c>
      <c r="L3352">
        <f>IF(AND($J3352=0,$K3352=0),0,1)</f>
        <v>0</v>
      </c>
    </row>
    <row r="3353" spans="1:12" x14ac:dyDescent="0.2">
      <c r="A3353" t="s">
        <v>349</v>
      </c>
      <c r="B3353" t="s">
        <v>241</v>
      </c>
      <c r="C3353" t="s">
        <v>7</v>
      </c>
      <c r="D3353">
        <v>1010</v>
      </c>
      <c r="E3353">
        <v>2020</v>
      </c>
      <c r="F3353">
        <v>934</v>
      </c>
      <c r="G3353">
        <v>22190</v>
      </c>
      <c r="H3353" s="1">
        <v>3</v>
      </c>
      <c r="I3353">
        <v>12</v>
      </c>
      <c r="J3353">
        <f>IF($H3353=0,1,IF($I3353&lt;=1,2,0))</f>
        <v>0</v>
      </c>
      <c r="K3353">
        <v>0</v>
      </c>
      <c r="L3353">
        <f>IF(AND($J3353=0,$K3353=0),0,1)</f>
        <v>0</v>
      </c>
    </row>
    <row r="3354" spans="1:12" x14ac:dyDescent="0.2">
      <c r="A3354" t="s">
        <v>349</v>
      </c>
      <c r="B3354" t="s">
        <v>241</v>
      </c>
      <c r="C3354" t="s">
        <v>7</v>
      </c>
      <c r="D3354">
        <v>1010</v>
      </c>
      <c r="E3354">
        <v>2020</v>
      </c>
      <c r="F3354">
        <v>5</v>
      </c>
      <c r="G3354">
        <v>24610</v>
      </c>
      <c r="H3354" s="1">
        <v>3</v>
      </c>
      <c r="I3354">
        <v>11</v>
      </c>
      <c r="J3354">
        <f>IF($H3354=0,1,IF($I3354&lt;=1,2,0))</f>
        <v>0</v>
      </c>
      <c r="K3354">
        <v>0</v>
      </c>
      <c r="L3354">
        <f>IF(AND($J3354=0,$K3354=0),0,1)</f>
        <v>0</v>
      </c>
    </row>
    <row r="3355" spans="1:12" x14ac:dyDescent="0.2">
      <c r="A3355" t="s">
        <v>349</v>
      </c>
      <c r="B3355" t="s">
        <v>241</v>
      </c>
      <c r="C3355" t="s">
        <v>7</v>
      </c>
      <c r="D3355">
        <v>1010</v>
      </c>
      <c r="E3355">
        <v>2020</v>
      </c>
      <c r="F3355">
        <v>12</v>
      </c>
      <c r="G3355">
        <v>24651</v>
      </c>
      <c r="H3355" s="1">
        <v>3</v>
      </c>
      <c r="I3355">
        <v>11</v>
      </c>
      <c r="J3355">
        <f>IF($H3355=0,1,IF($I3355&lt;=1,2,0))</f>
        <v>0</v>
      </c>
      <c r="K3355">
        <v>0</v>
      </c>
      <c r="L3355">
        <f>IF(AND($J3355=0,$K3355=0),0,1)</f>
        <v>0</v>
      </c>
    </row>
    <row r="3356" spans="1:12" x14ac:dyDescent="0.2">
      <c r="A3356" t="s">
        <v>349</v>
      </c>
      <c r="B3356" t="s">
        <v>241</v>
      </c>
      <c r="C3356" t="s">
        <v>7</v>
      </c>
      <c r="D3356">
        <v>1010</v>
      </c>
      <c r="E3356">
        <v>2020</v>
      </c>
      <c r="F3356">
        <v>53</v>
      </c>
      <c r="G3356">
        <v>24591</v>
      </c>
      <c r="H3356" s="1">
        <v>3</v>
      </c>
      <c r="I3356">
        <v>11</v>
      </c>
      <c r="J3356">
        <f>IF($H3356=0,1,IF($I3356&lt;=1,2,0))</f>
        <v>0</v>
      </c>
      <c r="K3356">
        <v>0</v>
      </c>
      <c r="L3356">
        <f>IF(AND($J3356=0,$K3356=0),0,1)</f>
        <v>0</v>
      </c>
    </row>
    <row r="3357" spans="1:12" x14ac:dyDescent="0.2">
      <c r="A3357" t="s">
        <v>349</v>
      </c>
      <c r="B3357" t="s">
        <v>241</v>
      </c>
      <c r="C3357" t="s">
        <v>7</v>
      </c>
      <c r="D3357">
        <v>1010</v>
      </c>
      <c r="E3357">
        <v>2020</v>
      </c>
      <c r="F3357">
        <v>103</v>
      </c>
      <c r="G3357">
        <v>22147</v>
      </c>
      <c r="H3357" s="1">
        <v>3</v>
      </c>
      <c r="I3357">
        <v>11</v>
      </c>
      <c r="J3357">
        <f>IF($H3357=0,1,IF($I3357&lt;=1,2,0))</f>
        <v>0</v>
      </c>
      <c r="K3357">
        <v>0</v>
      </c>
      <c r="L3357">
        <f>IF(AND($J3357=0,$K3357=0),0,1)</f>
        <v>0</v>
      </c>
    </row>
    <row r="3358" spans="1:12" x14ac:dyDescent="0.2">
      <c r="A3358" t="s">
        <v>349</v>
      </c>
      <c r="B3358" t="s">
        <v>241</v>
      </c>
      <c r="C3358" t="s">
        <v>153</v>
      </c>
      <c r="D3358">
        <v>1010</v>
      </c>
      <c r="E3358">
        <v>2020</v>
      </c>
      <c r="F3358">
        <v>224</v>
      </c>
      <c r="G3358">
        <v>24606</v>
      </c>
      <c r="H3358" s="1">
        <v>3</v>
      </c>
      <c r="I3358">
        <v>11</v>
      </c>
      <c r="J3358">
        <f>IF($H3358=0,1,IF($I3358&lt;=1,2,0))</f>
        <v>0</v>
      </c>
      <c r="K3358">
        <v>0</v>
      </c>
      <c r="L3358">
        <f>IF(AND($J3358=0,$K3358=0),0,1)</f>
        <v>0</v>
      </c>
    </row>
    <row r="3359" spans="1:12" x14ac:dyDescent="0.2">
      <c r="A3359" t="s">
        <v>349</v>
      </c>
      <c r="B3359" t="s">
        <v>241</v>
      </c>
      <c r="C3359" t="s">
        <v>7</v>
      </c>
      <c r="D3359">
        <v>1010</v>
      </c>
      <c r="E3359">
        <v>2020</v>
      </c>
      <c r="F3359">
        <v>249</v>
      </c>
      <c r="G3359">
        <v>24593</v>
      </c>
      <c r="H3359" s="1">
        <v>3</v>
      </c>
      <c r="I3359">
        <v>11</v>
      </c>
      <c r="J3359">
        <f>IF($H3359=0,1,IF($I3359&lt;=1,2,0))</f>
        <v>0</v>
      </c>
      <c r="K3359">
        <v>0</v>
      </c>
      <c r="L3359">
        <f>IF(AND($J3359=0,$K3359=0),0,1)</f>
        <v>0</v>
      </c>
    </row>
    <row r="3360" spans="1:12" x14ac:dyDescent="0.2">
      <c r="A3360" t="s">
        <v>349</v>
      </c>
      <c r="B3360" t="s">
        <v>241</v>
      </c>
      <c r="C3360" t="s">
        <v>153</v>
      </c>
      <c r="D3360">
        <v>1010</v>
      </c>
      <c r="E3360">
        <v>2020</v>
      </c>
      <c r="F3360">
        <v>501</v>
      </c>
      <c r="G3360">
        <v>22214</v>
      </c>
      <c r="H3360" s="1">
        <v>3</v>
      </c>
      <c r="I3360">
        <v>11</v>
      </c>
      <c r="J3360">
        <f>IF($H3360=0,1,IF($I3360&lt;=1,2,0))</f>
        <v>0</v>
      </c>
      <c r="K3360">
        <v>0</v>
      </c>
      <c r="L3360">
        <f>IF(AND($J3360=0,$K3360=0),0,1)</f>
        <v>0</v>
      </c>
    </row>
    <row r="3361" spans="1:13" x14ac:dyDescent="0.2">
      <c r="A3361" t="s">
        <v>349</v>
      </c>
      <c r="B3361" t="s">
        <v>241</v>
      </c>
      <c r="C3361" t="s">
        <v>7</v>
      </c>
      <c r="D3361">
        <v>1010</v>
      </c>
      <c r="E3361">
        <v>2020</v>
      </c>
      <c r="F3361">
        <v>752</v>
      </c>
      <c r="G3361">
        <v>24592</v>
      </c>
      <c r="H3361" s="1">
        <v>3</v>
      </c>
      <c r="I3361">
        <v>11</v>
      </c>
      <c r="J3361">
        <f>IF($H3361=0,1,IF($I3361&lt;=1,2,0))</f>
        <v>0</v>
      </c>
      <c r="K3361">
        <v>0</v>
      </c>
      <c r="L3361">
        <f>IF(AND($J3361=0,$K3361=0),0,1)</f>
        <v>0</v>
      </c>
    </row>
    <row r="3362" spans="1:13" x14ac:dyDescent="0.2">
      <c r="A3362" t="s">
        <v>349</v>
      </c>
      <c r="B3362" t="s">
        <v>241</v>
      </c>
      <c r="C3362" t="s">
        <v>153</v>
      </c>
      <c r="D3362">
        <v>1010</v>
      </c>
      <c r="E3362">
        <v>2020</v>
      </c>
      <c r="F3362">
        <v>915</v>
      </c>
      <c r="G3362">
        <v>24544</v>
      </c>
      <c r="H3362" s="1">
        <v>3</v>
      </c>
      <c r="I3362">
        <v>11</v>
      </c>
      <c r="J3362">
        <f>IF($H3362=0,1,IF($I3362&lt;=1,2,0))</f>
        <v>0</v>
      </c>
      <c r="K3362">
        <v>0</v>
      </c>
      <c r="L3362">
        <f>IF(AND($J3362=0,$K3362=0),0,1)</f>
        <v>0</v>
      </c>
      <c r="M3362" t="s">
        <v>1021</v>
      </c>
    </row>
    <row r="3363" spans="1:13" x14ac:dyDescent="0.2">
      <c r="A3363" t="s">
        <v>349</v>
      </c>
      <c r="B3363" t="s">
        <v>241</v>
      </c>
      <c r="C3363" t="s">
        <v>7</v>
      </c>
      <c r="D3363">
        <v>1010</v>
      </c>
      <c r="E3363">
        <v>2020</v>
      </c>
      <c r="F3363">
        <v>38</v>
      </c>
      <c r="G3363">
        <v>24612</v>
      </c>
      <c r="H3363" s="1">
        <v>3</v>
      </c>
      <c r="I3363">
        <v>9</v>
      </c>
      <c r="J3363">
        <f>IF($H3363=0,1,IF($I3363&lt;=1,2,0))</f>
        <v>0</v>
      </c>
      <c r="K3363">
        <v>0</v>
      </c>
      <c r="L3363">
        <f>IF(AND($J3363=0,$K3363=0),0,1)</f>
        <v>0</v>
      </c>
    </row>
    <row r="3364" spans="1:13" x14ac:dyDescent="0.2">
      <c r="A3364" t="s">
        <v>349</v>
      </c>
      <c r="B3364" t="s">
        <v>241</v>
      </c>
      <c r="C3364" t="s">
        <v>7</v>
      </c>
      <c r="D3364">
        <v>1010</v>
      </c>
      <c r="E3364">
        <v>2020</v>
      </c>
      <c r="F3364">
        <v>50</v>
      </c>
      <c r="G3364">
        <v>24604</v>
      </c>
      <c r="H3364" s="1">
        <v>3</v>
      </c>
      <c r="I3364">
        <v>6</v>
      </c>
      <c r="J3364">
        <f>IF($H3364=0,1,IF($I3364&lt;=1,2,0))</f>
        <v>0</v>
      </c>
      <c r="K3364">
        <v>0</v>
      </c>
      <c r="L3364">
        <f>IF(AND($J3364=0,$K3364=0),0,1)</f>
        <v>0</v>
      </c>
    </row>
    <row r="3365" spans="1:13" x14ac:dyDescent="0.2">
      <c r="A3365" t="s">
        <v>349</v>
      </c>
      <c r="B3365" t="s">
        <v>241</v>
      </c>
      <c r="C3365" t="s">
        <v>7</v>
      </c>
      <c r="D3365">
        <v>1010</v>
      </c>
      <c r="E3365">
        <v>2020</v>
      </c>
      <c r="F3365">
        <v>954</v>
      </c>
      <c r="G3365">
        <v>24594</v>
      </c>
      <c r="H3365" s="1">
        <v>3</v>
      </c>
      <c r="I3365">
        <v>6</v>
      </c>
      <c r="J3365">
        <f>IF($H3365=0,1,IF($I3365&lt;=1,2,0))</f>
        <v>0</v>
      </c>
      <c r="K3365">
        <v>0</v>
      </c>
      <c r="L3365">
        <f>IF(AND($J3365=0,$K3365=0),0,1)</f>
        <v>0</v>
      </c>
    </row>
    <row r="3366" spans="1:13" x14ac:dyDescent="0.2">
      <c r="A3366" t="s">
        <v>349</v>
      </c>
      <c r="B3366" t="s">
        <v>17</v>
      </c>
      <c r="C3366" t="s">
        <v>9</v>
      </c>
      <c r="D3366">
        <v>3001</v>
      </c>
      <c r="E3366">
        <v>2020</v>
      </c>
      <c r="F3366">
        <v>1</v>
      </c>
      <c r="G3366">
        <v>10013</v>
      </c>
      <c r="H3366" s="1">
        <v>4</v>
      </c>
      <c r="I3366">
        <v>72</v>
      </c>
      <c r="J3366">
        <f>IF($H3366=0,1,IF($I3366&lt;=1,2,0))</f>
        <v>0</v>
      </c>
      <c r="K3366">
        <v>0</v>
      </c>
      <c r="L3366">
        <f>IF(AND($J3366=0,$K3366=0),0,1)</f>
        <v>0</v>
      </c>
    </row>
    <row r="3367" spans="1:13" x14ac:dyDescent="0.2">
      <c r="A3367" t="s">
        <v>349</v>
      </c>
      <c r="B3367" t="s">
        <v>17</v>
      </c>
      <c r="C3367" t="s">
        <v>9</v>
      </c>
      <c r="D3367">
        <v>3018</v>
      </c>
      <c r="E3367">
        <v>2020</v>
      </c>
      <c r="F3367">
        <v>1</v>
      </c>
      <c r="G3367">
        <v>14058</v>
      </c>
      <c r="H3367" s="1">
        <v>4</v>
      </c>
      <c r="I3367">
        <v>11</v>
      </c>
      <c r="J3367">
        <f>IF($H3367=0,1,IF($I3367&lt;=1,2,0))</f>
        <v>0</v>
      </c>
      <c r="K3367">
        <v>0</v>
      </c>
      <c r="L3367">
        <f>IF(AND($J3367=0,$K3367=0),0,1)</f>
        <v>0</v>
      </c>
    </row>
    <row r="3368" spans="1:13" x14ac:dyDescent="0.2">
      <c r="A3368" t="s">
        <v>349</v>
      </c>
      <c r="B3368" t="s">
        <v>17</v>
      </c>
      <c r="C3368" t="s">
        <v>9</v>
      </c>
      <c r="D3368">
        <v>3032</v>
      </c>
      <c r="E3368">
        <v>2020</v>
      </c>
      <c r="F3368">
        <v>1</v>
      </c>
      <c r="G3368">
        <v>16029</v>
      </c>
      <c r="H3368" s="1">
        <v>4</v>
      </c>
      <c r="I3368">
        <v>15</v>
      </c>
      <c r="J3368">
        <f>IF($H3368=0,1,IF($I3368&lt;=1,2,0))</f>
        <v>0</v>
      </c>
      <c r="K3368">
        <v>0</v>
      </c>
      <c r="L3368">
        <f>IF(AND($J3368=0,$K3368=0),0,1)</f>
        <v>0</v>
      </c>
    </row>
    <row r="3369" spans="1:13" x14ac:dyDescent="0.2">
      <c r="A3369" t="s">
        <v>349</v>
      </c>
      <c r="B3369" t="s">
        <v>17</v>
      </c>
      <c r="C3369" t="s">
        <v>9</v>
      </c>
      <c r="D3369">
        <v>3033</v>
      </c>
      <c r="E3369">
        <v>2020</v>
      </c>
      <c r="F3369">
        <v>1</v>
      </c>
      <c r="G3369">
        <v>13685</v>
      </c>
      <c r="H3369" s="1">
        <v>3</v>
      </c>
      <c r="I3369">
        <v>13</v>
      </c>
      <c r="J3369">
        <f>IF($H3369=0,1,IF($I3369&lt;=1,2,0))</f>
        <v>0</v>
      </c>
      <c r="K3369">
        <v>0</v>
      </c>
      <c r="L3369">
        <f>IF(AND($J3369=0,$K3369=0),0,1)</f>
        <v>0</v>
      </c>
    </row>
    <row r="3370" spans="1:13" x14ac:dyDescent="0.2">
      <c r="A3370" t="s">
        <v>349</v>
      </c>
      <c r="B3370" t="s">
        <v>17</v>
      </c>
      <c r="C3370" t="s">
        <v>9</v>
      </c>
      <c r="D3370">
        <v>3262</v>
      </c>
      <c r="E3370">
        <v>2020</v>
      </c>
      <c r="F3370">
        <v>1</v>
      </c>
      <c r="G3370">
        <v>10017</v>
      </c>
      <c r="H3370" s="1">
        <v>3</v>
      </c>
      <c r="I3370">
        <v>29</v>
      </c>
      <c r="J3370">
        <f>IF($H3370=0,1,IF($I3370&lt;=1,2,0))</f>
        <v>0</v>
      </c>
      <c r="K3370">
        <v>0</v>
      </c>
      <c r="L3370">
        <f>IF(AND($J3370=0,$K3370=0),0,1)</f>
        <v>0</v>
      </c>
    </row>
    <row r="3371" spans="1:13" x14ac:dyDescent="0.2">
      <c r="A3371" t="s">
        <v>349</v>
      </c>
      <c r="B3371" t="s">
        <v>17</v>
      </c>
      <c r="C3371" t="s">
        <v>9</v>
      </c>
      <c r="D3371">
        <v>3335</v>
      </c>
      <c r="E3371">
        <v>2020</v>
      </c>
      <c r="F3371">
        <v>1</v>
      </c>
      <c r="G3371">
        <v>10018</v>
      </c>
      <c r="H3371" s="1">
        <v>3</v>
      </c>
      <c r="I3371">
        <v>39</v>
      </c>
      <c r="J3371">
        <f>IF($H3371=0,1,IF($I3371&lt;=1,2,0))</f>
        <v>0</v>
      </c>
      <c r="K3371">
        <v>0</v>
      </c>
      <c r="L3371">
        <f>IF(AND($J3371=0,$K3371=0),0,1)</f>
        <v>0</v>
      </c>
      <c r="M3371" t="s">
        <v>1029</v>
      </c>
    </row>
    <row r="3372" spans="1:13" x14ac:dyDescent="0.2">
      <c r="A3372" t="s">
        <v>349</v>
      </c>
      <c r="B3372" t="s">
        <v>17</v>
      </c>
      <c r="C3372" t="s">
        <v>9</v>
      </c>
      <c r="D3372">
        <v>3475</v>
      </c>
      <c r="E3372">
        <v>2020</v>
      </c>
      <c r="F3372">
        <v>1</v>
      </c>
      <c r="G3372">
        <v>12881</v>
      </c>
      <c r="H3372" s="1">
        <v>4</v>
      </c>
      <c r="I3372">
        <v>8</v>
      </c>
      <c r="J3372">
        <f>IF($H3372=0,1,IF($I3372&lt;=1,2,0))</f>
        <v>0</v>
      </c>
      <c r="K3372">
        <v>0</v>
      </c>
      <c r="L3372">
        <f>IF(AND($J3372=0,$K3372=0),0,1)</f>
        <v>0</v>
      </c>
    </row>
    <row r="3373" spans="1:13" x14ac:dyDescent="0.2">
      <c r="A3373" t="s">
        <v>349</v>
      </c>
      <c r="B3373" t="s">
        <v>17</v>
      </c>
      <c r="C3373" t="s">
        <v>9</v>
      </c>
      <c r="D3373">
        <v>3520</v>
      </c>
      <c r="E3373">
        <v>2020</v>
      </c>
      <c r="F3373">
        <v>1</v>
      </c>
      <c r="G3373">
        <v>10021</v>
      </c>
      <c r="H3373" s="1">
        <v>3</v>
      </c>
      <c r="I3373">
        <v>106</v>
      </c>
      <c r="J3373">
        <f>IF($H3373=0,1,IF($I3373&lt;=1,2,0))</f>
        <v>0</v>
      </c>
      <c r="K3373">
        <v>0</v>
      </c>
      <c r="L3373">
        <f>IF(AND($J3373=0,$K3373=0),0,1)</f>
        <v>0</v>
      </c>
    </row>
    <row r="3374" spans="1:13" x14ac:dyDescent="0.2">
      <c r="A3374" t="s">
        <v>349</v>
      </c>
      <c r="B3374" t="s">
        <v>17</v>
      </c>
      <c r="C3374" t="s">
        <v>9</v>
      </c>
      <c r="D3374">
        <v>3612</v>
      </c>
      <c r="E3374">
        <v>2020</v>
      </c>
      <c r="F3374">
        <v>1</v>
      </c>
      <c r="G3374">
        <v>15286</v>
      </c>
      <c r="H3374" s="1">
        <v>4</v>
      </c>
      <c r="I3374">
        <v>15</v>
      </c>
      <c r="J3374">
        <f>IF($H3374=0,1,IF($I3374&lt;=1,2,0))</f>
        <v>0</v>
      </c>
      <c r="K3374">
        <v>0</v>
      </c>
      <c r="L3374">
        <f>IF(AND($J3374=0,$K3374=0),0,1)</f>
        <v>0</v>
      </c>
    </row>
    <row r="3375" spans="1:13" x14ac:dyDescent="0.2">
      <c r="A3375" t="s">
        <v>349</v>
      </c>
      <c r="B3375" t="s">
        <v>17</v>
      </c>
      <c r="C3375" t="s">
        <v>9</v>
      </c>
      <c r="D3375">
        <v>3648</v>
      </c>
      <c r="E3375">
        <v>2020</v>
      </c>
      <c r="F3375">
        <v>1</v>
      </c>
      <c r="G3375">
        <v>13016</v>
      </c>
      <c r="H3375" s="1">
        <v>4</v>
      </c>
      <c r="I3375">
        <v>16</v>
      </c>
      <c r="J3375">
        <f>IF($H3375=0,1,IF($I3375&lt;=1,2,0))</f>
        <v>0</v>
      </c>
      <c r="K3375">
        <v>0</v>
      </c>
      <c r="L3375">
        <f>IF(AND($J3375=0,$K3375=0),0,1)</f>
        <v>0</v>
      </c>
    </row>
    <row r="3376" spans="1:13" x14ac:dyDescent="0.2">
      <c r="A3376" t="s">
        <v>349</v>
      </c>
      <c r="B3376" t="s">
        <v>17</v>
      </c>
      <c r="C3376" t="s">
        <v>9</v>
      </c>
      <c r="D3376">
        <v>3714</v>
      </c>
      <c r="E3376">
        <v>2020</v>
      </c>
      <c r="F3376">
        <v>1</v>
      </c>
      <c r="G3376">
        <v>10023</v>
      </c>
      <c r="H3376" s="1">
        <v>4</v>
      </c>
      <c r="I3376">
        <v>8</v>
      </c>
      <c r="J3376">
        <f>IF($H3376=0,1,IF($I3376&lt;=1,2,0))</f>
        <v>0</v>
      </c>
      <c r="K3376">
        <v>0</v>
      </c>
      <c r="L3376">
        <f>IF(AND($J3376=0,$K3376=0),0,1)</f>
        <v>0</v>
      </c>
    </row>
    <row r="3377" spans="1:12" x14ac:dyDescent="0.2">
      <c r="A3377" t="s">
        <v>349</v>
      </c>
      <c r="B3377" t="s">
        <v>17</v>
      </c>
      <c r="C3377" t="s">
        <v>9</v>
      </c>
      <c r="D3377">
        <v>3728</v>
      </c>
      <c r="E3377">
        <v>2020</v>
      </c>
      <c r="F3377">
        <v>1</v>
      </c>
      <c r="G3377">
        <v>15490</v>
      </c>
      <c r="H3377" s="1">
        <v>3</v>
      </c>
      <c r="I3377">
        <v>42</v>
      </c>
      <c r="J3377">
        <f>IF($H3377=0,1,IF($I3377&lt;=1,2,0))</f>
        <v>0</v>
      </c>
      <c r="K3377">
        <v>0</v>
      </c>
      <c r="L3377">
        <f>IF(AND($J3377=0,$K3377=0),0,1)</f>
        <v>0</v>
      </c>
    </row>
    <row r="3378" spans="1:12" x14ac:dyDescent="0.2">
      <c r="A3378" t="s">
        <v>349</v>
      </c>
      <c r="B3378" t="s">
        <v>17</v>
      </c>
      <c r="C3378" t="s">
        <v>9</v>
      </c>
      <c r="D3378">
        <v>3734</v>
      </c>
      <c r="E3378">
        <v>2020</v>
      </c>
      <c r="F3378">
        <v>1</v>
      </c>
      <c r="G3378">
        <v>10024</v>
      </c>
      <c r="H3378" s="1">
        <v>4</v>
      </c>
      <c r="I3378">
        <v>11</v>
      </c>
      <c r="J3378">
        <f>IF($H3378=0,1,IF($I3378&lt;=1,2,0))</f>
        <v>0</v>
      </c>
      <c r="K3378">
        <v>0</v>
      </c>
      <c r="L3378">
        <f>IF(AND($J3378=0,$K3378=0),0,1)</f>
        <v>0</v>
      </c>
    </row>
    <row r="3379" spans="1:12" x14ac:dyDescent="0.2">
      <c r="A3379" t="s">
        <v>349</v>
      </c>
      <c r="B3379" t="s">
        <v>17</v>
      </c>
      <c r="C3379" t="s">
        <v>9</v>
      </c>
      <c r="D3379">
        <v>3740</v>
      </c>
      <c r="E3379">
        <v>2020</v>
      </c>
      <c r="F3379">
        <v>1</v>
      </c>
      <c r="G3379">
        <v>10022</v>
      </c>
      <c r="H3379" s="1">
        <v>4</v>
      </c>
      <c r="I3379">
        <v>18</v>
      </c>
      <c r="J3379">
        <f>IF($H3379=0,1,IF($I3379&lt;=1,2,0))</f>
        <v>0</v>
      </c>
      <c r="K3379">
        <v>0</v>
      </c>
      <c r="L3379">
        <f>IF(AND($J3379=0,$K3379=0),0,1)</f>
        <v>0</v>
      </c>
    </row>
    <row r="3380" spans="1:12" x14ac:dyDescent="0.2">
      <c r="A3380" t="s">
        <v>349</v>
      </c>
      <c r="B3380" t="s">
        <v>17</v>
      </c>
      <c r="C3380" t="s">
        <v>9</v>
      </c>
      <c r="D3380">
        <v>3792</v>
      </c>
      <c r="E3380">
        <v>2020</v>
      </c>
      <c r="F3380">
        <v>1</v>
      </c>
      <c r="G3380">
        <v>10039</v>
      </c>
      <c r="H3380" s="1">
        <v>4</v>
      </c>
      <c r="I3380">
        <v>18</v>
      </c>
      <c r="J3380">
        <f>IF($H3380=0,1,IF($I3380&lt;=1,2,0))</f>
        <v>0</v>
      </c>
      <c r="K3380">
        <v>0</v>
      </c>
      <c r="L3380">
        <f>IF(AND($J3380=0,$K3380=0),0,1)</f>
        <v>0</v>
      </c>
    </row>
    <row r="3381" spans="1:12" x14ac:dyDescent="0.2">
      <c r="A3381" t="s">
        <v>349</v>
      </c>
      <c r="B3381" t="s">
        <v>17</v>
      </c>
      <c r="C3381" t="s">
        <v>9</v>
      </c>
      <c r="D3381">
        <v>3805</v>
      </c>
      <c r="E3381">
        <v>2020</v>
      </c>
      <c r="F3381">
        <v>1</v>
      </c>
      <c r="G3381">
        <v>15475</v>
      </c>
      <c r="H3381" s="1">
        <v>4</v>
      </c>
      <c r="I3381">
        <v>14</v>
      </c>
      <c r="J3381">
        <f>IF($H3381=0,1,IF($I3381&lt;=1,2,0))</f>
        <v>0</v>
      </c>
      <c r="K3381">
        <v>0</v>
      </c>
      <c r="L3381">
        <f>IF(AND($J3381=0,$K3381=0),0,1)</f>
        <v>0</v>
      </c>
    </row>
    <row r="3382" spans="1:12" x14ac:dyDescent="0.2">
      <c r="A3382" t="s">
        <v>349</v>
      </c>
      <c r="B3382" t="s">
        <v>17</v>
      </c>
      <c r="C3382" t="s">
        <v>9</v>
      </c>
      <c r="D3382">
        <v>3855</v>
      </c>
      <c r="E3382">
        <v>2020</v>
      </c>
      <c r="F3382">
        <v>1</v>
      </c>
      <c r="G3382">
        <v>15302</v>
      </c>
      <c r="H3382" s="1">
        <v>4</v>
      </c>
      <c r="I3382">
        <v>6</v>
      </c>
      <c r="J3382">
        <f>IF($H3382=0,1,IF($I3382&lt;=1,2,0))</f>
        <v>0</v>
      </c>
      <c r="K3382">
        <v>0</v>
      </c>
      <c r="L3382">
        <f>IF(AND($J3382=0,$K3382=0),0,1)</f>
        <v>0</v>
      </c>
    </row>
    <row r="3383" spans="1:12" x14ac:dyDescent="0.2">
      <c r="A3383" t="s">
        <v>349</v>
      </c>
      <c r="B3383" t="s">
        <v>17</v>
      </c>
      <c r="C3383" t="s">
        <v>9</v>
      </c>
      <c r="D3383">
        <v>3943</v>
      </c>
      <c r="E3383">
        <v>2020</v>
      </c>
      <c r="F3383">
        <v>1</v>
      </c>
      <c r="G3383">
        <v>13578</v>
      </c>
      <c r="H3383" s="1">
        <v>4</v>
      </c>
      <c r="I3383">
        <v>15</v>
      </c>
      <c r="J3383">
        <f>IF($H3383=0,1,IF($I3383&lt;=1,2,0))</f>
        <v>0</v>
      </c>
      <c r="K3383">
        <v>0</v>
      </c>
      <c r="L3383">
        <f>IF(AND($J3383=0,$K3383=0),0,1)</f>
        <v>0</v>
      </c>
    </row>
    <row r="3384" spans="1:12" x14ac:dyDescent="0.2">
      <c r="A3384" t="s">
        <v>349</v>
      </c>
      <c r="B3384" t="s">
        <v>17</v>
      </c>
      <c r="C3384" t="s">
        <v>9</v>
      </c>
      <c r="D3384">
        <v>3984</v>
      </c>
      <c r="E3384">
        <v>2020</v>
      </c>
      <c r="F3384">
        <v>1</v>
      </c>
      <c r="G3384">
        <v>10025</v>
      </c>
      <c r="H3384" s="1">
        <v>4</v>
      </c>
      <c r="I3384">
        <v>24</v>
      </c>
      <c r="J3384">
        <f>IF($H3384=0,1,IF($I3384&lt;=1,2,0))</f>
        <v>0</v>
      </c>
      <c r="K3384">
        <v>0</v>
      </c>
      <c r="L3384">
        <f>IF(AND($J3384=0,$K3384=0),0,1)</f>
        <v>0</v>
      </c>
    </row>
    <row r="3385" spans="1:12" x14ac:dyDescent="0.2">
      <c r="A3385" t="s">
        <v>349</v>
      </c>
      <c r="B3385" t="s">
        <v>17</v>
      </c>
      <c r="C3385" t="s">
        <v>9</v>
      </c>
      <c r="D3385">
        <v>4091</v>
      </c>
      <c r="E3385">
        <v>2020</v>
      </c>
      <c r="F3385">
        <v>1</v>
      </c>
      <c r="G3385">
        <v>10015</v>
      </c>
      <c r="H3385" s="1">
        <v>4</v>
      </c>
      <c r="I3385">
        <v>8</v>
      </c>
      <c r="J3385">
        <f>IF($H3385=0,1,IF($I3385&lt;=1,2,0))</f>
        <v>0</v>
      </c>
      <c r="K3385">
        <v>0</v>
      </c>
      <c r="L3385">
        <f>IF(AND($J3385=0,$K3385=0),0,1)</f>
        <v>0</v>
      </c>
    </row>
    <row r="3386" spans="1:12" x14ac:dyDescent="0.2">
      <c r="A3386" t="s">
        <v>349</v>
      </c>
      <c r="B3386" t="s">
        <v>17</v>
      </c>
      <c r="C3386" t="s">
        <v>9</v>
      </c>
      <c r="D3386">
        <v>4211</v>
      </c>
      <c r="E3386">
        <v>2020</v>
      </c>
      <c r="F3386">
        <v>1</v>
      </c>
      <c r="G3386">
        <v>13013</v>
      </c>
      <c r="H3386" s="1">
        <v>3</v>
      </c>
      <c r="I3386">
        <v>35</v>
      </c>
      <c r="J3386">
        <f>IF($H3386=0,1,IF($I3386&lt;=1,2,0))</f>
        <v>0</v>
      </c>
      <c r="K3386">
        <v>0</v>
      </c>
      <c r="L3386">
        <f>IF(AND($J3386=0,$K3386=0),0,1)</f>
        <v>0</v>
      </c>
    </row>
    <row r="3387" spans="1:12" x14ac:dyDescent="0.2">
      <c r="A3387" t="s">
        <v>349</v>
      </c>
      <c r="B3387" t="s">
        <v>17</v>
      </c>
      <c r="C3387" t="s">
        <v>9</v>
      </c>
      <c r="D3387">
        <v>4300</v>
      </c>
      <c r="E3387">
        <v>2020</v>
      </c>
      <c r="F3387">
        <v>1</v>
      </c>
      <c r="G3387">
        <v>20723</v>
      </c>
      <c r="H3387" s="1">
        <v>4</v>
      </c>
      <c r="I3387">
        <v>11</v>
      </c>
      <c r="J3387">
        <f>IF($H3387=0,1,IF($I3387&lt;=1,2,0))</f>
        <v>0</v>
      </c>
      <c r="K3387">
        <v>0</v>
      </c>
      <c r="L3387">
        <f>IF(AND($J3387=0,$K3387=0),0,1)</f>
        <v>0</v>
      </c>
    </row>
    <row r="3388" spans="1:12" x14ac:dyDescent="0.2">
      <c r="A3388" t="s">
        <v>349</v>
      </c>
      <c r="B3388" t="s">
        <v>17</v>
      </c>
      <c r="C3388" t="s">
        <v>9</v>
      </c>
      <c r="D3388">
        <v>4402</v>
      </c>
      <c r="E3388">
        <v>2020</v>
      </c>
      <c r="F3388">
        <v>1</v>
      </c>
      <c r="G3388">
        <v>12657</v>
      </c>
      <c r="H3388" s="1">
        <v>3</v>
      </c>
      <c r="I3388">
        <v>46</v>
      </c>
      <c r="J3388">
        <f>IF($H3388=0,1,IF($I3388&lt;=1,2,0))</f>
        <v>0</v>
      </c>
      <c r="K3388">
        <v>0</v>
      </c>
      <c r="L3388">
        <f>IF(AND($J3388=0,$K3388=0),0,1)</f>
        <v>0</v>
      </c>
    </row>
    <row r="3389" spans="1:12" x14ac:dyDescent="0.2">
      <c r="A3389" t="s">
        <v>349</v>
      </c>
      <c r="B3389" t="s">
        <v>17</v>
      </c>
      <c r="C3389" t="s">
        <v>9</v>
      </c>
      <c r="D3389">
        <v>4561</v>
      </c>
      <c r="E3389">
        <v>2020</v>
      </c>
      <c r="F3389">
        <v>1</v>
      </c>
      <c r="G3389">
        <v>10034</v>
      </c>
      <c r="H3389" s="1">
        <v>3</v>
      </c>
      <c r="I3389">
        <v>52</v>
      </c>
      <c r="J3389">
        <f>IF($H3389=0,1,IF($I3389&lt;=1,2,0))</f>
        <v>0</v>
      </c>
      <c r="K3389">
        <v>0</v>
      </c>
      <c r="L3389">
        <f>IF(AND($J3389=0,$K3389=0),0,1)</f>
        <v>0</v>
      </c>
    </row>
    <row r="3390" spans="1:12" x14ac:dyDescent="0.2">
      <c r="A3390" t="s">
        <v>349</v>
      </c>
      <c r="B3390" t="s">
        <v>17</v>
      </c>
      <c r="C3390" t="s">
        <v>9</v>
      </c>
      <c r="D3390">
        <v>4604</v>
      </c>
      <c r="E3390">
        <v>2020</v>
      </c>
      <c r="F3390">
        <v>1</v>
      </c>
      <c r="G3390">
        <v>10026</v>
      </c>
      <c r="H3390" s="1">
        <v>3</v>
      </c>
      <c r="I3390">
        <v>22</v>
      </c>
      <c r="J3390">
        <f>IF($H3390=0,1,IF($I3390&lt;=1,2,0))</f>
        <v>0</v>
      </c>
      <c r="K3390">
        <v>0</v>
      </c>
      <c r="L3390">
        <f>IF(AND($J3390=0,$K3390=0),0,1)</f>
        <v>0</v>
      </c>
    </row>
    <row r="3391" spans="1:12" x14ac:dyDescent="0.2">
      <c r="A3391" t="s">
        <v>349</v>
      </c>
      <c r="B3391" t="s">
        <v>17</v>
      </c>
      <c r="C3391" t="s">
        <v>9</v>
      </c>
      <c r="D3391">
        <v>4619</v>
      </c>
      <c r="E3391">
        <v>2020</v>
      </c>
      <c r="F3391">
        <v>1</v>
      </c>
      <c r="G3391">
        <v>10027</v>
      </c>
      <c r="H3391" s="1">
        <v>3</v>
      </c>
      <c r="I3391">
        <v>32</v>
      </c>
      <c r="J3391">
        <f>IF($H3391=0,1,IF($I3391&lt;=1,2,0))</f>
        <v>0</v>
      </c>
      <c r="K3391">
        <v>0</v>
      </c>
      <c r="L3391">
        <f>IF(AND($J3391=0,$K3391=0),0,1)</f>
        <v>0</v>
      </c>
    </row>
    <row r="3392" spans="1:12" x14ac:dyDescent="0.2">
      <c r="A3392" t="s">
        <v>349</v>
      </c>
      <c r="B3392" t="s">
        <v>17</v>
      </c>
      <c r="C3392" t="s">
        <v>9</v>
      </c>
      <c r="D3392">
        <v>4791</v>
      </c>
      <c r="E3392">
        <v>2020</v>
      </c>
      <c r="F3392">
        <v>1</v>
      </c>
      <c r="G3392">
        <v>10016</v>
      </c>
      <c r="H3392" s="1">
        <v>3</v>
      </c>
      <c r="I3392">
        <v>40</v>
      </c>
      <c r="J3392">
        <f>IF($H3392=0,1,IF($I3392&lt;=1,2,0))</f>
        <v>0</v>
      </c>
      <c r="K3392">
        <v>0</v>
      </c>
      <c r="L3392">
        <f>IF(AND($J3392=0,$K3392=0),0,1)</f>
        <v>0</v>
      </c>
    </row>
    <row r="3393" spans="1:12" x14ac:dyDescent="0.2">
      <c r="A3393" t="s">
        <v>349</v>
      </c>
      <c r="B3393" t="s">
        <v>17</v>
      </c>
      <c r="C3393" t="s">
        <v>9</v>
      </c>
      <c r="D3393">
        <v>4812</v>
      </c>
      <c r="E3393">
        <v>2020</v>
      </c>
      <c r="F3393">
        <v>1</v>
      </c>
      <c r="G3393">
        <v>10120</v>
      </c>
      <c r="H3393" s="1">
        <v>4</v>
      </c>
      <c r="I3393">
        <v>10</v>
      </c>
      <c r="J3393">
        <f>IF($H3393=0,1,IF($I3393&lt;=1,2,0))</f>
        <v>0</v>
      </c>
      <c r="K3393">
        <v>0</v>
      </c>
      <c r="L3393">
        <f>IF(AND($J3393=0,$K3393=0),0,1)</f>
        <v>0</v>
      </c>
    </row>
    <row r="3394" spans="1:12" x14ac:dyDescent="0.2">
      <c r="A3394" t="s">
        <v>349</v>
      </c>
      <c r="B3394" t="s">
        <v>17</v>
      </c>
      <c r="C3394" t="s">
        <v>11</v>
      </c>
      <c r="D3394">
        <v>6135</v>
      </c>
      <c r="E3394">
        <v>2020</v>
      </c>
      <c r="F3394">
        <v>1</v>
      </c>
      <c r="G3394">
        <v>20722</v>
      </c>
      <c r="H3394" s="1">
        <v>4</v>
      </c>
      <c r="I3394">
        <v>11</v>
      </c>
      <c r="J3394">
        <f>IF($H3394=0,1,IF($I3394&lt;=1,2,0))</f>
        <v>0</v>
      </c>
      <c r="K3394">
        <v>0</v>
      </c>
      <c r="L3394">
        <f>IF(AND($J3394=0,$K3394=0),0,1)</f>
        <v>0</v>
      </c>
    </row>
    <row r="3395" spans="1:12" x14ac:dyDescent="0.2">
      <c r="A3395" t="s">
        <v>349</v>
      </c>
      <c r="B3395" t="s">
        <v>17</v>
      </c>
      <c r="C3395" t="s">
        <v>11</v>
      </c>
      <c r="D3395">
        <v>6328</v>
      </c>
      <c r="E3395">
        <v>2020</v>
      </c>
      <c r="F3395">
        <v>1</v>
      </c>
      <c r="G3395">
        <v>15299</v>
      </c>
      <c r="H3395" s="1">
        <v>4</v>
      </c>
      <c r="I3395">
        <v>13</v>
      </c>
      <c r="J3395">
        <f>IF($H3395=0,1,IF($I3395&lt;=1,2,0))</f>
        <v>0</v>
      </c>
      <c r="K3395">
        <v>0</v>
      </c>
      <c r="L3395">
        <f>IF(AND($J3395=0,$K3395=0),0,1)</f>
        <v>0</v>
      </c>
    </row>
    <row r="3396" spans="1:12" x14ac:dyDescent="0.2">
      <c r="A3396" t="s">
        <v>349</v>
      </c>
      <c r="B3396" t="s">
        <v>17</v>
      </c>
      <c r="C3396" t="s">
        <v>11</v>
      </c>
      <c r="D3396">
        <v>6832</v>
      </c>
      <c r="E3396">
        <v>2020</v>
      </c>
      <c r="F3396">
        <v>1</v>
      </c>
      <c r="G3396">
        <v>13012</v>
      </c>
      <c r="H3396" s="1">
        <v>4</v>
      </c>
      <c r="I3396">
        <v>10</v>
      </c>
      <c r="J3396">
        <f>IF($H3396=0,1,IF($I3396&lt;=1,2,0))</f>
        <v>0</v>
      </c>
      <c r="K3396">
        <v>0</v>
      </c>
      <c r="L3396">
        <f>IF(AND($J3396=0,$K3396=0),0,1)</f>
        <v>0</v>
      </c>
    </row>
    <row r="3397" spans="1:12" x14ac:dyDescent="0.2">
      <c r="A3397" t="s">
        <v>349</v>
      </c>
      <c r="B3397" t="s">
        <v>17</v>
      </c>
      <c r="C3397" t="s">
        <v>11</v>
      </c>
      <c r="D3397">
        <v>6909</v>
      </c>
      <c r="E3397">
        <v>2020</v>
      </c>
      <c r="F3397">
        <v>1</v>
      </c>
      <c r="G3397">
        <v>10031</v>
      </c>
      <c r="H3397" s="1">
        <v>4</v>
      </c>
      <c r="I3397">
        <v>6</v>
      </c>
      <c r="J3397">
        <f>IF($H3397=0,1,IF($I3397&lt;=1,2,0))</f>
        <v>0</v>
      </c>
      <c r="K3397">
        <v>0</v>
      </c>
      <c r="L3397">
        <f>IF(AND($J3397=0,$K3397=0),0,1)</f>
        <v>0</v>
      </c>
    </row>
    <row r="3398" spans="1:12" x14ac:dyDescent="0.2">
      <c r="A3398" t="s">
        <v>349</v>
      </c>
      <c r="B3398" t="s">
        <v>17</v>
      </c>
      <c r="C3398" t="s">
        <v>11</v>
      </c>
      <c r="D3398">
        <v>6910</v>
      </c>
      <c r="E3398">
        <v>2020</v>
      </c>
      <c r="F3398">
        <v>3</v>
      </c>
      <c r="G3398">
        <v>22775</v>
      </c>
      <c r="H3398" s="1">
        <v>3</v>
      </c>
      <c r="I3398">
        <v>7</v>
      </c>
      <c r="J3398">
        <f>IF($H3398=0,1,IF($I3398&lt;=1,2,0))</f>
        <v>0</v>
      </c>
      <c r="K3398">
        <v>0</v>
      </c>
      <c r="L3398">
        <f>IF(AND($J3398=0,$K3398=0),0,1)</f>
        <v>0</v>
      </c>
    </row>
    <row r="3399" spans="1:12" x14ac:dyDescent="0.2">
      <c r="A3399" t="s">
        <v>349</v>
      </c>
      <c r="B3399" t="s">
        <v>17</v>
      </c>
      <c r="C3399" t="s">
        <v>11</v>
      </c>
      <c r="D3399">
        <v>8395</v>
      </c>
      <c r="E3399">
        <v>2020</v>
      </c>
      <c r="F3399">
        <v>1</v>
      </c>
      <c r="G3399">
        <v>15272</v>
      </c>
      <c r="H3399" s="1">
        <v>2</v>
      </c>
      <c r="I3399">
        <v>16</v>
      </c>
      <c r="J3399">
        <f>IF($H3399=0,1,IF($I3399&lt;=1,2,0))</f>
        <v>0</v>
      </c>
      <c r="K3399">
        <v>0</v>
      </c>
      <c r="L3399">
        <f>IF(AND($J3399=0,$K3399=0),0,1)</f>
        <v>0</v>
      </c>
    </row>
    <row r="3400" spans="1:12" x14ac:dyDescent="0.2">
      <c r="A3400" t="s">
        <v>375</v>
      </c>
      <c r="B3400" t="s">
        <v>71</v>
      </c>
      <c r="C3400" t="s">
        <v>72</v>
      </c>
      <c r="D3400">
        <v>3105</v>
      </c>
      <c r="E3400">
        <v>2020</v>
      </c>
      <c r="F3400">
        <v>1</v>
      </c>
      <c r="G3400">
        <v>11718</v>
      </c>
      <c r="H3400" s="1">
        <v>4</v>
      </c>
      <c r="I3400">
        <v>33</v>
      </c>
      <c r="J3400">
        <f>IF($H3400=0,1,IF($I3400&lt;=1,2,0))</f>
        <v>0</v>
      </c>
      <c r="K3400">
        <v>0</v>
      </c>
      <c r="L3400">
        <f>IF(AND($J3400=0,$K3400=0),0,1)</f>
        <v>0</v>
      </c>
    </row>
    <row r="3401" spans="1:12" x14ac:dyDescent="0.2">
      <c r="A3401" t="s">
        <v>375</v>
      </c>
      <c r="B3401" t="s">
        <v>71</v>
      </c>
      <c r="C3401" t="s">
        <v>72</v>
      </c>
      <c r="D3401">
        <v>3113</v>
      </c>
      <c r="E3401">
        <v>2020</v>
      </c>
      <c r="F3401">
        <v>1</v>
      </c>
      <c r="G3401">
        <v>11719</v>
      </c>
      <c r="H3401" s="1">
        <v>3</v>
      </c>
      <c r="I3401">
        <v>93</v>
      </c>
      <c r="J3401">
        <f>IF($H3401=0,1,IF($I3401&lt;=1,2,0))</f>
        <v>0</v>
      </c>
      <c r="K3401">
        <v>0</v>
      </c>
      <c r="L3401">
        <f>IF(AND($J3401=0,$K3401=0),0,1)</f>
        <v>0</v>
      </c>
    </row>
    <row r="3402" spans="1:12" x14ac:dyDescent="0.2">
      <c r="A3402" t="s">
        <v>375</v>
      </c>
      <c r="B3402" t="s">
        <v>71</v>
      </c>
      <c r="C3402" t="s">
        <v>72</v>
      </c>
      <c r="D3402">
        <v>3161</v>
      </c>
      <c r="E3402">
        <v>2020</v>
      </c>
      <c r="F3402">
        <v>1</v>
      </c>
      <c r="G3402">
        <v>11720</v>
      </c>
      <c r="H3402" s="1">
        <v>4</v>
      </c>
      <c r="I3402">
        <v>19</v>
      </c>
      <c r="J3402">
        <f>IF($H3402=0,1,IF($I3402&lt;=1,2,0))</f>
        <v>0</v>
      </c>
      <c r="K3402">
        <v>0</v>
      </c>
      <c r="L3402">
        <f>IF(AND($J3402=0,$K3402=0),0,1)</f>
        <v>0</v>
      </c>
    </row>
    <row r="3403" spans="1:12" x14ac:dyDescent="0.2">
      <c r="A3403" t="s">
        <v>375</v>
      </c>
      <c r="B3403" t="s">
        <v>71</v>
      </c>
      <c r="C3403" t="s">
        <v>72</v>
      </c>
      <c r="D3403">
        <v>3332</v>
      </c>
      <c r="E3403">
        <v>2020</v>
      </c>
      <c r="F3403">
        <v>1</v>
      </c>
      <c r="G3403">
        <v>11721</v>
      </c>
      <c r="H3403" s="1">
        <v>3</v>
      </c>
      <c r="I3403">
        <v>11</v>
      </c>
      <c r="J3403">
        <f>IF($H3403=0,1,IF($I3403&lt;=1,2,0))</f>
        <v>0</v>
      </c>
      <c r="K3403">
        <v>0</v>
      </c>
      <c r="L3403">
        <f>IF(AND($J3403=0,$K3403=0),0,1)</f>
        <v>0</v>
      </c>
    </row>
    <row r="3404" spans="1:12" x14ac:dyDescent="0.2">
      <c r="A3404" t="s">
        <v>375</v>
      </c>
      <c r="B3404" t="s">
        <v>71</v>
      </c>
      <c r="C3404" t="s">
        <v>72</v>
      </c>
      <c r="D3404">
        <v>4113</v>
      </c>
      <c r="E3404">
        <v>2020</v>
      </c>
      <c r="F3404">
        <v>1</v>
      </c>
      <c r="G3404">
        <v>11722</v>
      </c>
      <c r="H3404" s="1">
        <v>3</v>
      </c>
      <c r="I3404">
        <v>10</v>
      </c>
      <c r="J3404">
        <f>IF($H3404=0,1,IF($I3404&lt;=1,2,0))</f>
        <v>0</v>
      </c>
      <c r="K3404">
        <v>0</v>
      </c>
      <c r="L3404">
        <f>IF(AND($J3404=0,$K3404=0),0,1)</f>
        <v>0</v>
      </c>
    </row>
    <row r="3405" spans="1:12" x14ac:dyDescent="0.2">
      <c r="A3405" t="s">
        <v>375</v>
      </c>
      <c r="B3405" t="s">
        <v>71</v>
      </c>
      <c r="C3405" t="s">
        <v>72</v>
      </c>
      <c r="D3405">
        <v>4215</v>
      </c>
      <c r="E3405">
        <v>2020</v>
      </c>
      <c r="F3405">
        <v>1</v>
      </c>
      <c r="G3405">
        <v>11723</v>
      </c>
      <c r="H3405" s="1">
        <v>3</v>
      </c>
      <c r="I3405">
        <v>11</v>
      </c>
      <c r="J3405">
        <f>IF($H3405=0,1,IF($I3405&lt;=1,2,0))</f>
        <v>0</v>
      </c>
      <c r="K3405">
        <v>0</v>
      </c>
      <c r="L3405">
        <f>IF(AND($J3405=0,$K3405=0),0,1)</f>
        <v>0</v>
      </c>
    </row>
    <row r="3406" spans="1:12" x14ac:dyDescent="0.2">
      <c r="A3406" t="s">
        <v>375</v>
      </c>
      <c r="B3406" t="s">
        <v>71</v>
      </c>
      <c r="C3406" t="s">
        <v>72</v>
      </c>
      <c r="D3406">
        <v>4332</v>
      </c>
      <c r="E3406">
        <v>2020</v>
      </c>
      <c r="F3406">
        <v>1</v>
      </c>
      <c r="G3406">
        <v>11724</v>
      </c>
      <c r="H3406" s="1">
        <v>3</v>
      </c>
      <c r="I3406">
        <v>26</v>
      </c>
      <c r="J3406">
        <f>IF($H3406=0,1,IF($I3406&lt;=1,2,0))</f>
        <v>0</v>
      </c>
      <c r="K3406">
        <v>0</v>
      </c>
      <c r="L3406">
        <f>IF(AND($J3406=0,$K3406=0),0,1)</f>
        <v>0</v>
      </c>
    </row>
    <row r="3407" spans="1:12" x14ac:dyDescent="0.2">
      <c r="A3407" t="s">
        <v>375</v>
      </c>
      <c r="B3407" t="s">
        <v>71</v>
      </c>
      <c r="C3407" t="s">
        <v>72</v>
      </c>
      <c r="D3407">
        <v>6215</v>
      </c>
      <c r="E3407">
        <v>2020</v>
      </c>
      <c r="F3407">
        <v>1</v>
      </c>
      <c r="G3407">
        <v>13545</v>
      </c>
      <c r="H3407" s="1">
        <v>3</v>
      </c>
      <c r="I3407">
        <v>5</v>
      </c>
      <c r="J3407">
        <f>IF($H3407=0,1,IF($I3407&lt;=1,2,0))</f>
        <v>0</v>
      </c>
      <c r="K3407">
        <v>0</v>
      </c>
      <c r="L3407">
        <f>IF(AND($J3407=0,$K3407=0),0,1)</f>
        <v>0</v>
      </c>
    </row>
    <row r="3408" spans="1:12" x14ac:dyDescent="0.2">
      <c r="A3408" t="s">
        <v>375</v>
      </c>
      <c r="B3408" t="s">
        <v>71</v>
      </c>
      <c r="C3408" t="s">
        <v>72</v>
      </c>
      <c r="D3408">
        <v>6320</v>
      </c>
      <c r="E3408">
        <v>2020</v>
      </c>
      <c r="F3408">
        <v>1</v>
      </c>
      <c r="G3408">
        <v>13562</v>
      </c>
      <c r="H3408" s="1">
        <v>3</v>
      </c>
      <c r="I3408">
        <v>4</v>
      </c>
      <c r="J3408">
        <f>IF($H3408=0,1,IF($I3408&lt;=1,2,0))</f>
        <v>0</v>
      </c>
      <c r="K3408">
        <v>0</v>
      </c>
      <c r="L3408">
        <f>IF(AND($J3408=0,$K3408=0),0,1)</f>
        <v>0</v>
      </c>
    </row>
    <row r="3409" spans="1:13" x14ac:dyDescent="0.2">
      <c r="A3409" t="s">
        <v>375</v>
      </c>
      <c r="B3409" t="s">
        <v>71</v>
      </c>
      <c r="C3409" t="s">
        <v>72</v>
      </c>
      <c r="D3409">
        <v>8320</v>
      </c>
      <c r="E3409">
        <v>2020</v>
      </c>
      <c r="F3409">
        <v>1</v>
      </c>
      <c r="G3409">
        <v>22055</v>
      </c>
      <c r="H3409" s="1">
        <v>4</v>
      </c>
      <c r="I3409">
        <v>2</v>
      </c>
      <c r="J3409">
        <f>IF($H3409=0,1,IF($I3409&lt;=1,2,0))</f>
        <v>0</v>
      </c>
      <c r="K3409">
        <v>0</v>
      </c>
      <c r="L3409">
        <f>IF(AND($J3409=0,$K3409=0),0,1)</f>
        <v>0</v>
      </c>
    </row>
    <row r="3410" spans="1:13" x14ac:dyDescent="0.2">
      <c r="A3410" t="s">
        <v>377</v>
      </c>
      <c r="B3410" t="s">
        <v>17</v>
      </c>
      <c r="C3410" t="s">
        <v>9</v>
      </c>
      <c r="D3410">
        <v>3701</v>
      </c>
      <c r="E3410">
        <v>2020</v>
      </c>
      <c r="F3410">
        <v>1</v>
      </c>
      <c r="G3410">
        <v>10040</v>
      </c>
      <c r="H3410" s="1">
        <v>4</v>
      </c>
      <c r="I3410">
        <v>15</v>
      </c>
      <c r="J3410">
        <f>IF($H3410=0,1,IF($I3410&lt;=1,2,0))</f>
        <v>0</v>
      </c>
      <c r="K3410">
        <v>0</v>
      </c>
      <c r="L3410">
        <f>IF(AND($J3410=0,$K3410=0),0,1)</f>
        <v>0</v>
      </c>
    </row>
    <row r="3411" spans="1:13" x14ac:dyDescent="0.2">
      <c r="A3411" t="s">
        <v>385</v>
      </c>
      <c r="B3411" t="s">
        <v>386</v>
      </c>
      <c r="C3411" t="s">
        <v>9</v>
      </c>
      <c r="D3411">
        <v>1000</v>
      </c>
      <c r="E3411">
        <v>2020</v>
      </c>
      <c r="F3411">
        <v>1</v>
      </c>
      <c r="G3411">
        <v>13380</v>
      </c>
      <c r="H3411" s="1">
        <v>3</v>
      </c>
      <c r="I3411">
        <v>95</v>
      </c>
      <c r="J3411">
        <f>IF($H3411=0,1,IF($I3411&lt;=1,2,0))</f>
        <v>0</v>
      </c>
      <c r="K3411">
        <v>0</v>
      </c>
      <c r="L3411">
        <f>IF(AND($J3411=0,$K3411=0),0,1)</f>
        <v>0</v>
      </c>
      <c r="M3411" t="s">
        <v>387</v>
      </c>
    </row>
    <row r="3412" spans="1:13" x14ac:dyDescent="0.2">
      <c r="A3412" t="s">
        <v>385</v>
      </c>
      <c r="B3412" t="s">
        <v>386</v>
      </c>
      <c r="C3412" t="s">
        <v>9</v>
      </c>
      <c r="D3412">
        <v>2020</v>
      </c>
      <c r="E3412">
        <v>2020</v>
      </c>
      <c r="F3412">
        <v>1</v>
      </c>
      <c r="G3412">
        <v>13385</v>
      </c>
      <c r="H3412" s="1">
        <v>3</v>
      </c>
      <c r="I3412">
        <v>45</v>
      </c>
      <c r="J3412">
        <f>IF($H3412=0,1,IF($I3412&lt;=1,2,0))</f>
        <v>0</v>
      </c>
      <c r="K3412">
        <v>0</v>
      </c>
      <c r="L3412">
        <f>IF(AND($J3412=0,$K3412=0),0,1)</f>
        <v>0</v>
      </c>
      <c r="M3412" t="s">
        <v>394</v>
      </c>
    </row>
    <row r="3413" spans="1:13" x14ac:dyDescent="0.2">
      <c r="A3413" t="s">
        <v>385</v>
      </c>
      <c r="B3413" t="s">
        <v>386</v>
      </c>
      <c r="C3413" t="s">
        <v>9</v>
      </c>
      <c r="D3413">
        <v>2030</v>
      </c>
      <c r="E3413">
        <v>2020</v>
      </c>
      <c r="F3413">
        <v>1</v>
      </c>
      <c r="G3413">
        <v>13388</v>
      </c>
      <c r="H3413" s="1">
        <v>3</v>
      </c>
      <c r="I3413">
        <v>50</v>
      </c>
      <c r="J3413">
        <f>IF($H3413=0,1,IF($I3413&lt;=1,2,0))</f>
        <v>0</v>
      </c>
      <c r="K3413">
        <v>0</v>
      </c>
      <c r="L3413">
        <f>IF(AND($J3413=0,$K3413=0),0,1)</f>
        <v>0</v>
      </c>
      <c r="M3413" t="s">
        <v>395</v>
      </c>
    </row>
    <row r="3414" spans="1:13" x14ac:dyDescent="0.2">
      <c r="A3414" t="s">
        <v>385</v>
      </c>
      <c r="B3414" t="s">
        <v>386</v>
      </c>
      <c r="C3414" t="s">
        <v>9</v>
      </c>
      <c r="D3414">
        <v>2292</v>
      </c>
      <c r="E3414">
        <v>2020</v>
      </c>
      <c r="F3414">
        <v>1</v>
      </c>
      <c r="G3414">
        <v>13395</v>
      </c>
      <c r="H3414" s="1">
        <v>3</v>
      </c>
      <c r="I3414">
        <v>58</v>
      </c>
      <c r="J3414">
        <f>IF($H3414=0,1,IF($I3414&lt;=1,2,0))</f>
        <v>0</v>
      </c>
      <c r="K3414">
        <v>0</v>
      </c>
      <c r="L3414">
        <f>IF(AND($J3414=0,$K3414=0),0,1)</f>
        <v>0</v>
      </c>
      <c r="M3414" t="s">
        <v>1030</v>
      </c>
    </row>
    <row r="3415" spans="1:13" x14ac:dyDescent="0.2">
      <c r="A3415" t="s">
        <v>385</v>
      </c>
      <c r="B3415" t="s">
        <v>386</v>
      </c>
      <c r="C3415" t="s">
        <v>9</v>
      </c>
      <c r="D3415">
        <v>2420</v>
      </c>
      <c r="E3415">
        <v>2020</v>
      </c>
      <c r="F3415">
        <v>1</v>
      </c>
      <c r="G3415">
        <v>22048</v>
      </c>
      <c r="H3415" s="1">
        <v>3</v>
      </c>
      <c r="I3415">
        <v>11</v>
      </c>
      <c r="J3415">
        <f>IF($H3415=0,1,IF($I3415&lt;=1,2,0))</f>
        <v>0</v>
      </c>
      <c r="K3415">
        <v>0</v>
      </c>
      <c r="L3415">
        <f>IF(AND($J3415=0,$K3415=0),0,1)</f>
        <v>0</v>
      </c>
      <c r="M3415" t="s">
        <v>399</v>
      </c>
    </row>
    <row r="3416" spans="1:13" x14ac:dyDescent="0.2">
      <c r="A3416" t="s">
        <v>385</v>
      </c>
      <c r="B3416" t="s">
        <v>386</v>
      </c>
      <c r="C3416" t="s">
        <v>9</v>
      </c>
      <c r="D3416">
        <v>2420</v>
      </c>
      <c r="E3416">
        <v>2020</v>
      </c>
      <c r="F3416">
        <v>2</v>
      </c>
      <c r="G3416">
        <v>22049</v>
      </c>
      <c r="H3416" s="1">
        <v>3</v>
      </c>
      <c r="I3416">
        <v>7</v>
      </c>
      <c r="J3416">
        <f>IF($H3416=0,1,IF($I3416&lt;=1,2,0))</f>
        <v>0</v>
      </c>
      <c r="K3416">
        <v>0</v>
      </c>
      <c r="L3416">
        <f>IF(AND($J3416=0,$K3416=0),0,1)</f>
        <v>0</v>
      </c>
      <c r="M3416" t="s">
        <v>399</v>
      </c>
    </row>
    <row r="3417" spans="1:13" x14ac:dyDescent="0.2">
      <c r="A3417" t="s">
        <v>385</v>
      </c>
      <c r="B3417" t="s">
        <v>386</v>
      </c>
      <c r="C3417" t="s">
        <v>9</v>
      </c>
      <c r="D3417">
        <v>3900</v>
      </c>
      <c r="E3417">
        <v>2020</v>
      </c>
      <c r="F3417">
        <v>1</v>
      </c>
      <c r="G3417">
        <v>13399</v>
      </c>
      <c r="H3417" s="1">
        <v>3</v>
      </c>
      <c r="I3417">
        <v>12</v>
      </c>
      <c r="J3417">
        <f>IF($H3417=0,1,IF($I3417&lt;=1,2,0))</f>
        <v>0</v>
      </c>
      <c r="K3417">
        <v>0</v>
      </c>
      <c r="L3417">
        <f>IF(AND($J3417=0,$K3417=0),0,1)</f>
        <v>0</v>
      </c>
      <c r="M3417" t="s">
        <v>1036</v>
      </c>
    </row>
    <row r="3418" spans="1:13" x14ac:dyDescent="0.2">
      <c r="A3418" t="s">
        <v>385</v>
      </c>
      <c r="B3418" t="s">
        <v>386</v>
      </c>
      <c r="C3418" t="s">
        <v>9</v>
      </c>
      <c r="D3418">
        <v>3920</v>
      </c>
      <c r="E3418">
        <v>2020</v>
      </c>
      <c r="F3418">
        <v>1</v>
      </c>
      <c r="G3418">
        <v>13400</v>
      </c>
      <c r="H3418" s="1">
        <v>3</v>
      </c>
      <c r="I3418">
        <v>14</v>
      </c>
      <c r="J3418">
        <f>IF($H3418=0,1,IF($I3418&lt;=1,2,0))</f>
        <v>0</v>
      </c>
      <c r="K3418">
        <v>0</v>
      </c>
      <c r="L3418">
        <f>IF(AND($J3418=0,$K3418=0),0,1)</f>
        <v>0</v>
      </c>
      <c r="M3418" t="s">
        <v>1036</v>
      </c>
    </row>
    <row r="3419" spans="1:13" x14ac:dyDescent="0.2">
      <c r="A3419" t="s">
        <v>385</v>
      </c>
      <c r="B3419" t="s">
        <v>386</v>
      </c>
      <c r="C3419" t="s">
        <v>34</v>
      </c>
      <c r="D3419">
        <v>4000</v>
      </c>
      <c r="E3419">
        <v>2020</v>
      </c>
      <c r="F3419">
        <v>1</v>
      </c>
      <c r="G3419">
        <v>13401</v>
      </c>
      <c r="H3419" s="1">
        <v>3</v>
      </c>
      <c r="I3419">
        <v>67</v>
      </c>
      <c r="J3419">
        <f>IF($H3419=0,1,IF($I3419&lt;=1,2,0))</f>
        <v>0</v>
      </c>
      <c r="K3419">
        <v>0</v>
      </c>
      <c r="L3419">
        <f>IF(AND($J3419=0,$K3419=0),0,1)</f>
        <v>0</v>
      </c>
      <c r="M3419" t="s">
        <v>404</v>
      </c>
    </row>
    <row r="3420" spans="1:13" x14ac:dyDescent="0.2">
      <c r="A3420" t="s">
        <v>385</v>
      </c>
      <c r="B3420" t="s">
        <v>386</v>
      </c>
      <c r="C3420" t="s">
        <v>9</v>
      </c>
      <c r="D3420">
        <v>4940</v>
      </c>
      <c r="E3420">
        <v>2020</v>
      </c>
      <c r="F3420">
        <v>1</v>
      </c>
      <c r="G3420">
        <v>13436</v>
      </c>
      <c r="H3420" s="1">
        <v>3</v>
      </c>
      <c r="I3420">
        <v>13</v>
      </c>
      <c r="J3420">
        <f>IF($H3420=0,1,IF($I3420&lt;=1,2,0))</f>
        <v>0</v>
      </c>
      <c r="K3420">
        <v>0</v>
      </c>
      <c r="L3420">
        <f>IF(AND($J3420=0,$K3420=0),0,1)</f>
        <v>0</v>
      </c>
    </row>
    <row r="3421" spans="1:13" x14ac:dyDescent="0.2">
      <c r="A3421" t="s">
        <v>385</v>
      </c>
      <c r="B3421" t="s">
        <v>386</v>
      </c>
      <c r="C3421" t="s">
        <v>9</v>
      </c>
      <c r="D3421">
        <v>4951</v>
      </c>
      <c r="E3421">
        <v>2020</v>
      </c>
      <c r="F3421">
        <v>1</v>
      </c>
      <c r="G3421">
        <v>13405</v>
      </c>
      <c r="H3421" s="1">
        <v>3</v>
      </c>
      <c r="I3421">
        <v>19</v>
      </c>
      <c r="J3421">
        <f>IF($H3421=0,1,IF($I3421&lt;=1,2,0))</f>
        <v>0</v>
      </c>
      <c r="K3421">
        <v>0</v>
      </c>
      <c r="L3421">
        <f>IF(AND($J3421=0,$K3421=0),0,1)</f>
        <v>0</v>
      </c>
    </row>
    <row r="3422" spans="1:13" x14ac:dyDescent="0.2">
      <c r="A3422" t="s">
        <v>385</v>
      </c>
      <c r="B3422" t="s">
        <v>386</v>
      </c>
      <c r="C3422" t="s">
        <v>407</v>
      </c>
      <c r="D3422">
        <v>5110</v>
      </c>
      <c r="E3422">
        <v>2020</v>
      </c>
      <c r="F3422">
        <v>2</v>
      </c>
      <c r="G3422">
        <v>22756</v>
      </c>
      <c r="H3422" s="1">
        <v>3</v>
      </c>
      <c r="I3422">
        <v>12</v>
      </c>
      <c r="J3422">
        <f>IF($H3422=0,1,IF($I3422&lt;=1,2,0))</f>
        <v>0</v>
      </c>
      <c r="K3422">
        <v>0</v>
      </c>
      <c r="L3422">
        <f>IF(AND($J3422=0,$K3422=0),0,1)</f>
        <v>0</v>
      </c>
    </row>
    <row r="3423" spans="1:13" x14ac:dyDescent="0.2">
      <c r="A3423" t="s">
        <v>385</v>
      </c>
      <c r="B3423" t="s">
        <v>386</v>
      </c>
      <c r="C3423" t="s">
        <v>407</v>
      </c>
      <c r="D3423">
        <v>5110</v>
      </c>
      <c r="E3423">
        <v>2020</v>
      </c>
      <c r="F3423">
        <v>3</v>
      </c>
      <c r="G3423">
        <v>22757</v>
      </c>
      <c r="H3423" s="1">
        <v>3</v>
      </c>
      <c r="I3423">
        <v>12</v>
      </c>
      <c r="J3423">
        <f>IF($H3423=0,1,IF($I3423&lt;=1,2,0))</f>
        <v>0</v>
      </c>
      <c r="K3423">
        <v>0</v>
      </c>
      <c r="L3423">
        <f>IF(AND($J3423=0,$K3423=0),0,1)</f>
        <v>0</v>
      </c>
    </row>
    <row r="3424" spans="1:13" x14ac:dyDescent="0.2">
      <c r="A3424" t="s">
        <v>385</v>
      </c>
      <c r="B3424" t="s">
        <v>386</v>
      </c>
      <c r="C3424" t="s">
        <v>407</v>
      </c>
      <c r="D3424">
        <v>5110</v>
      </c>
      <c r="E3424">
        <v>2020</v>
      </c>
      <c r="F3424">
        <v>4</v>
      </c>
      <c r="G3424">
        <v>22758</v>
      </c>
      <c r="H3424" s="1">
        <v>3</v>
      </c>
      <c r="I3424">
        <v>12</v>
      </c>
      <c r="J3424">
        <f>IF($H3424=0,1,IF($I3424&lt;=1,2,0))</f>
        <v>0</v>
      </c>
      <c r="K3424">
        <v>0</v>
      </c>
      <c r="L3424">
        <f>IF(AND($J3424=0,$K3424=0),0,1)</f>
        <v>0</v>
      </c>
    </row>
    <row r="3425" spans="1:12" x14ac:dyDescent="0.2">
      <c r="A3425" t="s">
        <v>385</v>
      </c>
      <c r="B3425" t="s">
        <v>386</v>
      </c>
      <c r="C3425" t="s">
        <v>407</v>
      </c>
      <c r="D3425">
        <v>5110</v>
      </c>
      <c r="E3425">
        <v>2020</v>
      </c>
      <c r="F3425">
        <v>1</v>
      </c>
      <c r="G3425">
        <v>22755</v>
      </c>
      <c r="H3425" s="1">
        <v>3</v>
      </c>
      <c r="I3425">
        <v>11</v>
      </c>
      <c r="J3425">
        <f>IF($H3425=0,1,IF($I3425&lt;=1,2,0))</f>
        <v>0</v>
      </c>
      <c r="K3425">
        <v>0</v>
      </c>
      <c r="L3425">
        <f>IF(AND($J3425=0,$K3425=0),0,1)</f>
        <v>0</v>
      </c>
    </row>
    <row r="3426" spans="1:12" x14ac:dyDescent="0.2">
      <c r="A3426" t="s">
        <v>385</v>
      </c>
      <c r="B3426" t="s">
        <v>386</v>
      </c>
      <c r="C3426" t="s">
        <v>407</v>
      </c>
      <c r="D3426">
        <v>5110</v>
      </c>
      <c r="E3426">
        <v>2020</v>
      </c>
      <c r="F3426">
        <v>5</v>
      </c>
      <c r="G3426">
        <v>22759</v>
      </c>
      <c r="H3426" s="1">
        <v>3</v>
      </c>
      <c r="I3426">
        <v>11</v>
      </c>
      <c r="J3426">
        <f>IF($H3426=0,1,IF($I3426&lt;=1,2,0))</f>
        <v>0</v>
      </c>
      <c r="K3426">
        <v>0</v>
      </c>
      <c r="L3426">
        <f>IF(AND($J3426=0,$K3426=0),0,1)</f>
        <v>0</v>
      </c>
    </row>
    <row r="3427" spans="1:12" x14ac:dyDescent="0.2">
      <c r="A3427" t="s">
        <v>385</v>
      </c>
      <c r="B3427" t="s">
        <v>386</v>
      </c>
      <c r="C3427" t="s">
        <v>407</v>
      </c>
      <c r="D3427">
        <v>5110</v>
      </c>
      <c r="E3427">
        <v>2020</v>
      </c>
      <c r="F3427">
        <v>6</v>
      </c>
      <c r="G3427">
        <v>22760</v>
      </c>
      <c r="H3427" s="1">
        <v>3</v>
      </c>
      <c r="I3427">
        <v>11</v>
      </c>
      <c r="J3427">
        <f>IF($H3427=0,1,IF($I3427&lt;=1,2,0))</f>
        <v>0</v>
      </c>
      <c r="K3427">
        <v>0</v>
      </c>
      <c r="L3427">
        <f>IF(AND($J3427=0,$K3427=0),0,1)</f>
        <v>0</v>
      </c>
    </row>
    <row r="3428" spans="1:12" x14ac:dyDescent="0.2">
      <c r="A3428" t="s">
        <v>385</v>
      </c>
      <c r="B3428" t="s">
        <v>386</v>
      </c>
      <c r="C3428" t="s">
        <v>407</v>
      </c>
      <c r="D3428">
        <v>5210</v>
      </c>
      <c r="E3428">
        <v>2020</v>
      </c>
      <c r="F3428">
        <v>3</v>
      </c>
      <c r="G3428">
        <v>22764</v>
      </c>
      <c r="H3428" s="1">
        <v>3</v>
      </c>
      <c r="I3428">
        <v>12</v>
      </c>
      <c r="J3428">
        <f>IF($H3428=0,1,IF($I3428&lt;=1,2,0))</f>
        <v>0</v>
      </c>
      <c r="K3428">
        <v>0</v>
      </c>
      <c r="L3428">
        <f>IF(AND($J3428=0,$K3428=0),0,1)</f>
        <v>0</v>
      </c>
    </row>
    <row r="3429" spans="1:12" x14ac:dyDescent="0.2">
      <c r="A3429" t="s">
        <v>385</v>
      </c>
      <c r="B3429" t="s">
        <v>386</v>
      </c>
      <c r="C3429" t="s">
        <v>407</v>
      </c>
      <c r="D3429">
        <v>5210</v>
      </c>
      <c r="E3429">
        <v>2020</v>
      </c>
      <c r="F3429">
        <v>5</v>
      </c>
      <c r="G3429">
        <v>22766</v>
      </c>
      <c r="H3429" s="1">
        <v>3</v>
      </c>
      <c r="I3429">
        <v>12</v>
      </c>
      <c r="J3429">
        <f>IF($H3429=0,1,IF($I3429&lt;=1,2,0))</f>
        <v>0</v>
      </c>
      <c r="K3429">
        <v>0</v>
      </c>
      <c r="L3429">
        <f>IF(AND($J3429=0,$K3429=0),0,1)</f>
        <v>0</v>
      </c>
    </row>
    <row r="3430" spans="1:12" x14ac:dyDescent="0.2">
      <c r="A3430" t="s">
        <v>385</v>
      </c>
      <c r="B3430" t="s">
        <v>386</v>
      </c>
      <c r="C3430" t="s">
        <v>407</v>
      </c>
      <c r="D3430">
        <v>5210</v>
      </c>
      <c r="E3430">
        <v>2020</v>
      </c>
      <c r="F3430">
        <v>6</v>
      </c>
      <c r="G3430">
        <v>22767</v>
      </c>
      <c r="H3430" s="1">
        <v>3</v>
      </c>
      <c r="I3430">
        <v>12</v>
      </c>
      <c r="J3430">
        <f>IF($H3430=0,1,IF($I3430&lt;=1,2,0))</f>
        <v>0</v>
      </c>
      <c r="K3430">
        <v>0</v>
      </c>
      <c r="L3430">
        <f>IF(AND($J3430=0,$K3430=0),0,1)</f>
        <v>0</v>
      </c>
    </row>
    <row r="3431" spans="1:12" x14ac:dyDescent="0.2">
      <c r="A3431" t="s">
        <v>385</v>
      </c>
      <c r="B3431" t="s">
        <v>386</v>
      </c>
      <c r="C3431" t="s">
        <v>407</v>
      </c>
      <c r="D3431">
        <v>5210</v>
      </c>
      <c r="E3431">
        <v>2020</v>
      </c>
      <c r="F3431">
        <v>1</v>
      </c>
      <c r="G3431">
        <v>22762</v>
      </c>
      <c r="H3431" s="1">
        <v>3</v>
      </c>
      <c r="I3431">
        <v>11</v>
      </c>
      <c r="J3431">
        <f>IF($H3431=0,1,IF($I3431&lt;=1,2,0))</f>
        <v>0</v>
      </c>
      <c r="K3431">
        <v>0</v>
      </c>
      <c r="L3431">
        <f>IF(AND($J3431=0,$K3431=0),0,1)</f>
        <v>0</v>
      </c>
    </row>
    <row r="3432" spans="1:12" x14ac:dyDescent="0.2">
      <c r="A3432" t="s">
        <v>385</v>
      </c>
      <c r="B3432" t="s">
        <v>386</v>
      </c>
      <c r="C3432" t="s">
        <v>407</v>
      </c>
      <c r="D3432">
        <v>5210</v>
      </c>
      <c r="E3432">
        <v>2020</v>
      </c>
      <c r="F3432">
        <v>2</v>
      </c>
      <c r="G3432">
        <v>22763</v>
      </c>
      <c r="H3432" s="1">
        <v>3</v>
      </c>
      <c r="I3432">
        <v>11</v>
      </c>
      <c r="J3432">
        <f>IF($H3432=0,1,IF($I3432&lt;=1,2,0))</f>
        <v>0</v>
      </c>
      <c r="K3432">
        <v>0</v>
      </c>
      <c r="L3432">
        <f>IF(AND($J3432=0,$K3432=0),0,1)</f>
        <v>0</v>
      </c>
    </row>
    <row r="3433" spans="1:12" x14ac:dyDescent="0.2">
      <c r="A3433" t="s">
        <v>385</v>
      </c>
      <c r="B3433" t="s">
        <v>386</v>
      </c>
      <c r="C3433" t="s">
        <v>407</v>
      </c>
      <c r="D3433">
        <v>5210</v>
      </c>
      <c r="E3433">
        <v>2020</v>
      </c>
      <c r="F3433">
        <v>4</v>
      </c>
      <c r="G3433">
        <v>22765</v>
      </c>
      <c r="H3433" s="1">
        <v>3</v>
      </c>
      <c r="I3433">
        <v>11</v>
      </c>
      <c r="J3433">
        <f>IF($H3433=0,1,IF($I3433&lt;=1,2,0))</f>
        <v>0</v>
      </c>
      <c r="K3433">
        <v>0</v>
      </c>
      <c r="L3433">
        <f>IF(AND($J3433=0,$K3433=0),0,1)</f>
        <v>0</v>
      </c>
    </row>
    <row r="3434" spans="1:12" x14ac:dyDescent="0.2">
      <c r="A3434" t="s">
        <v>385</v>
      </c>
      <c r="B3434" t="s">
        <v>386</v>
      </c>
      <c r="C3434" t="s">
        <v>407</v>
      </c>
      <c r="D3434">
        <v>5230</v>
      </c>
      <c r="E3434">
        <v>2020</v>
      </c>
      <c r="F3434">
        <v>2</v>
      </c>
      <c r="G3434">
        <v>22769</v>
      </c>
      <c r="H3434" s="1">
        <v>3</v>
      </c>
      <c r="I3434">
        <v>12</v>
      </c>
      <c r="J3434">
        <f>IF($H3434=0,1,IF($I3434&lt;=1,2,0))</f>
        <v>0</v>
      </c>
      <c r="K3434">
        <v>0</v>
      </c>
      <c r="L3434">
        <f>IF(AND($J3434=0,$K3434=0),0,1)</f>
        <v>0</v>
      </c>
    </row>
    <row r="3435" spans="1:12" x14ac:dyDescent="0.2">
      <c r="A3435" t="s">
        <v>385</v>
      </c>
      <c r="B3435" t="s">
        <v>386</v>
      </c>
      <c r="C3435" t="s">
        <v>407</v>
      </c>
      <c r="D3435">
        <v>5230</v>
      </c>
      <c r="E3435">
        <v>2020</v>
      </c>
      <c r="F3435">
        <v>5</v>
      </c>
      <c r="G3435">
        <v>22772</v>
      </c>
      <c r="H3435" s="1">
        <v>3</v>
      </c>
      <c r="I3435">
        <v>12</v>
      </c>
      <c r="J3435">
        <f>IF($H3435=0,1,IF($I3435&lt;=1,2,0))</f>
        <v>0</v>
      </c>
      <c r="K3435">
        <v>0</v>
      </c>
      <c r="L3435">
        <f>IF(AND($J3435=0,$K3435=0),0,1)</f>
        <v>0</v>
      </c>
    </row>
    <row r="3436" spans="1:12" x14ac:dyDescent="0.2">
      <c r="A3436" t="s">
        <v>385</v>
      </c>
      <c r="B3436" t="s">
        <v>386</v>
      </c>
      <c r="C3436" t="s">
        <v>407</v>
      </c>
      <c r="D3436">
        <v>5230</v>
      </c>
      <c r="E3436">
        <v>2020</v>
      </c>
      <c r="F3436">
        <v>6</v>
      </c>
      <c r="G3436">
        <v>22773</v>
      </c>
      <c r="H3436" s="1">
        <v>3</v>
      </c>
      <c r="I3436">
        <v>12</v>
      </c>
      <c r="J3436">
        <f>IF($H3436=0,1,IF($I3436&lt;=1,2,0))</f>
        <v>0</v>
      </c>
      <c r="K3436">
        <v>0</v>
      </c>
      <c r="L3436">
        <f>IF(AND($J3436=0,$K3436=0),0,1)</f>
        <v>0</v>
      </c>
    </row>
    <row r="3437" spans="1:12" x14ac:dyDescent="0.2">
      <c r="A3437" t="s">
        <v>385</v>
      </c>
      <c r="B3437" t="s">
        <v>386</v>
      </c>
      <c r="C3437" t="s">
        <v>407</v>
      </c>
      <c r="D3437">
        <v>5230</v>
      </c>
      <c r="E3437">
        <v>2020</v>
      </c>
      <c r="F3437">
        <v>1</v>
      </c>
      <c r="G3437">
        <v>22768</v>
      </c>
      <c r="H3437" s="1">
        <v>3</v>
      </c>
      <c r="I3437">
        <v>11</v>
      </c>
      <c r="J3437">
        <f>IF($H3437=0,1,IF($I3437&lt;=1,2,0))</f>
        <v>0</v>
      </c>
      <c r="K3437">
        <v>0</v>
      </c>
      <c r="L3437">
        <f>IF(AND($J3437=0,$K3437=0),0,1)</f>
        <v>0</v>
      </c>
    </row>
    <row r="3438" spans="1:12" x14ac:dyDescent="0.2">
      <c r="A3438" t="s">
        <v>385</v>
      </c>
      <c r="B3438" t="s">
        <v>386</v>
      </c>
      <c r="C3438" t="s">
        <v>407</v>
      </c>
      <c r="D3438">
        <v>5230</v>
      </c>
      <c r="E3438">
        <v>2020</v>
      </c>
      <c r="F3438">
        <v>3</v>
      </c>
      <c r="G3438">
        <v>22770</v>
      </c>
      <c r="H3438" s="1">
        <v>3</v>
      </c>
      <c r="I3438">
        <v>11</v>
      </c>
      <c r="J3438">
        <f>IF($H3438=0,1,IF($I3438&lt;=1,2,0))</f>
        <v>0</v>
      </c>
      <c r="K3438">
        <v>0</v>
      </c>
      <c r="L3438">
        <f>IF(AND($J3438=0,$K3438=0),0,1)</f>
        <v>0</v>
      </c>
    </row>
    <row r="3439" spans="1:12" x14ac:dyDescent="0.2">
      <c r="A3439" t="s">
        <v>385</v>
      </c>
      <c r="B3439" t="s">
        <v>386</v>
      </c>
      <c r="C3439" t="s">
        <v>407</v>
      </c>
      <c r="D3439">
        <v>5230</v>
      </c>
      <c r="E3439">
        <v>2020</v>
      </c>
      <c r="F3439">
        <v>4</v>
      </c>
      <c r="G3439">
        <v>22771</v>
      </c>
      <c r="H3439" s="1">
        <v>3</v>
      </c>
      <c r="I3439">
        <v>11</v>
      </c>
      <c r="J3439">
        <f>IF($H3439=0,1,IF($I3439&lt;=1,2,0))</f>
        <v>0</v>
      </c>
      <c r="K3439">
        <v>0</v>
      </c>
      <c r="L3439">
        <f>IF(AND($J3439=0,$K3439=0),0,1)</f>
        <v>0</v>
      </c>
    </row>
    <row r="3440" spans="1:12" x14ac:dyDescent="0.2">
      <c r="A3440" t="s">
        <v>385</v>
      </c>
      <c r="B3440" t="s">
        <v>386</v>
      </c>
      <c r="C3440" t="s">
        <v>11</v>
      </c>
      <c r="D3440">
        <v>5700</v>
      </c>
      <c r="E3440">
        <v>2020</v>
      </c>
      <c r="F3440">
        <v>1</v>
      </c>
      <c r="G3440">
        <v>13421</v>
      </c>
      <c r="H3440" s="1">
        <v>3</v>
      </c>
      <c r="I3440">
        <v>11</v>
      </c>
      <c r="J3440">
        <f>IF($H3440=0,1,IF($I3440&lt;=1,2,0))</f>
        <v>0</v>
      </c>
      <c r="K3440">
        <v>0</v>
      </c>
      <c r="L3440">
        <f>IF(AND($J3440=0,$K3440=0),0,1)</f>
        <v>0</v>
      </c>
    </row>
    <row r="3441" spans="1:13" x14ac:dyDescent="0.2">
      <c r="A3441" t="s">
        <v>385</v>
      </c>
      <c r="B3441" t="s">
        <v>386</v>
      </c>
      <c r="C3441" t="s">
        <v>34</v>
      </c>
      <c r="D3441">
        <v>6110</v>
      </c>
      <c r="E3441">
        <v>2020</v>
      </c>
      <c r="F3441">
        <v>3</v>
      </c>
      <c r="G3441">
        <v>13466</v>
      </c>
      <c r="H3441" s="1">
        <v>3</v>
      </c>
      <c r="I3441">
        <v>11</v>
      </c>
      <c r="J3441">
        <f>IF($H3441=0,1,IF($I3441&lt;=1,2,0))</f>
        <v>0</v>
      </c>
      <c r="K3441">
        <v>0</v>
      </c>
      <c r="L3441">
        <f>IF(AND($J3441=0,$K3441=0),0,1)</f>
        <v>0</v>
      </c>
    </row>
    <row r="3442" spans="1:13" x14ac:dyDescent="0.2">
      <c r="A3442" t="s">
        <v>385</v>
      </c>
      <c r="B3442" t="s">
        <v>386</v>
      </c>
      <c r="C3442" t="s">
        <v>34</v>
      </c>
      <c r="D3442">
        <v>6110</v>
      </c>
      <c r="E3442">
        <v>2020</v>
      </c>
      <c r="F3442">
        <v>1</v>
      </c>
      <c r="G3442">
        <v>13464</v>
      </c>
      <c r="H3442" s="1">
        <v>3</v>
      </c>
      <c r="I3442">
        <v>10</v>
      </c>
      <c r="J3442">
        <f>IF($H3442=0,1,IF($I3442&lt;=1,2,0))</f>
        <v>0</v>
      </c>
      <c r="K3442">
        <v>0</v>
      </c>
      <c r="L3442">
        <f>IF(AND($J3442=0,$K3442=0),0,1)</f>
        <v>0</v>
      </c>
    </row>
    <row r="3443" spans="1:13" x14ac:dyDescent="0.2">
      <c r="A3443" t="s">
        <v>385</v>
      </c>
      <c r="B3443" t="s">
        <v>386</v>
      </c>
      <c r="C3443" t="s">
        <v>34</v>
      </c>
      <c r="D3443">
        <v>6110</v>
      </c>
      <c r="E3443">
        <v>2020</v>
      </c>
      <c r="F3443">
        <v>4</v>
      </c>
      <c r="G3443">
        <v>13467</v>
      </c>
      <c r="H3443" s="1">
        <v>3</v>
      </c>
      <c r="I3443">
        <v>10</v>
      </c>
      <c r="J3443">
        <f>IF($H3443=0,1,IF($I3443&lt;=1,2,0))</f>
        <v>0</v>
      </c>
      <c r="K3443">
        <v>0</v>
      </c>
      <c r="L3443">
        <f>IF(AND($J3443=0,$K3443=0),0,1)</f>
        <v>0</v>
      </c>
    </row>
    <row r="3444" spans="1:13" x14ac:dyDescent="0.2">
      <c r="A3444" t="s">
        <v>385</v>
      </c>
      <c r="B3444" t="s">
        <v>386</v>
      </c>
      <c r="C3444" t="s">
        <v>34</v>
      </c>
      <c r="D3444">
        <v>6110</v>
      </c>
      <c r="E3444">
        <v>2020</v>
      </c>
      <c r="F3444">
        <v>2</v>
      </c>
      <c r="G3444">
        <v>13465</v>
      </c>
      <c r="H3444" s="1">
        <v>3</v>
      </c>
      <c r="I3444">
        <v>7</v>
      </c>
      <c r="J3444">
        <f>IF($H3444=0,1,IF($I3444&lt;=1,2,0))</f>
        <v>0</v>
      </c>
      <c r="K3444">
        <v>0</v>
      </c>
      <c r="L3444">
        <f>IF(AND($J3444=0,$K3444=0),0,1)</f>
        <v>0</v>
      </c>
    </row>
    <row r="3445" spans="1:13" x14ac:dyDescent="0.2">
      <c r="A3445" t="s">
        <v>385</v>
      </c>
      <c r="B3445" t="s">
        <v>386</v>
      </c>
      <c r="C3445" t="s">
        <v>34</v>
      </c>
      <c r="D3445">
        <v>6210</v>
      </c>
      <c r="E3445">
        <v>2020</v>
      </c>
      <c r="F3445">
        <v>1</v>
      </c>
      <c r="G3445">
        <v>13468</v>
      </c>
      <c r="H3445" s="1">
        <v>3</v>
      </c>
      <c r="I3445">
        <v>11</v>
      </c>
      <c r="J3445">
        <f>IF($H3445=0,1,IF($I3445&lt;=1,2,0))</f>
        <v>0</v>
      </c>
      <c r="K3445">
        <v>0</v>
      </c>
      <c r="L3445">
        <f>IF(AND($J3445=0,$K3445=0),0,1)</f>
        <v>0</v>
      </c>
    </row>
    <row r="3446" spans="1:13" x14ac:dyDescent="0.2">
      <c r="A3446" t="s">
        <v>385</v>
      </c>
      <c r="B3446" t="s">
        <v>386</v>
      </c>
      <c r="C3446" t="s">
        <v>34</v>
      </c>
      <c r="D3446">
        <v>6210</v>
      </c>
      <c r="E3446">
        <v>2020</v>
      </c>
      <c r="F3446">
        <v>4</v>
      </c>
      <c r="G3446">
        <v>13471</v>
      </c>
      <c r="H3446" s="1">
        <v>3</v>
      </c>
      <c r="I3446">
        <v>10</v>
      </c>
      <c r="J3446">
        <f>IF($H3446=0,1,IF($I3446&lt;=1,2,0))</f>
        <v>0</v>
      </c>
      <c r="K3446">
        <v>0</v>
      </c>
      <c r="L3446">
        <f>IF(AND($J3446=0,$K3446=0),0,1)</f>
        <v>0</v>
      </c>
    </row>
    <row r="3447" spans="1:13" x14ac:dyDescent="0.2">
      <c r="A3447" t="s">
        <v>385</v>
      </c>
      <c r="B3447" t="s">
        <v>386</v>
      </c>
      <c r="C3447" t="s">
        <v>34</v>
      </c>
      <c r="D3447">
        <v>6210</v>
      </c>
      <c r="E3447">
        <v>2020</v>
      </c>
      <c r="F3447">
        <v>2</v>
      </c>
      <c r="G3447">
        <v>13469</v>
      </c>
      <c r="H3447" s="1">
        <v>3</v>
      </c>
      <c r="I3447">
        <v>9</v>
      </c>
      <c r="J3447">
        <f>IF($H3447=0,1,IF($I3447&lt;=1,2,0))</f>
        <v>0</v>
      </c>
      <c r="K3447">
        <v>0</v>
      </c>
      <c r="L3447">
        <f>IF(AND($J3447=0,$K3447=0),0,1)</f>
        <v>0</v>
      </c>
    </row>
    <row r="3448" spans="1:13" x14ac:dyDescent="0.2">
      <c r="A3448" t="s">
        <v>385</v>
      </c>
      <c r="B3448" t="s">
        <v>386</v>
      </c>
      <c r="C3448" t="s">
        <v>34</v>
      </c>
      <c r="D3448">
        <v>6210</v>
      </c>
      <c r="E3448">
        <v>2020</v>
      </c>
      <c r="F3448">
        <v>3</v>
      </c>
      <c r="G3448">
        <v>13470</v>
      </c>
      <c r="H3448" s="1">
        <v>3</v>
      </c>
      <c r="I3448">
        <v>9</v>
      </c>
      <c r="J3448">
        <f>IF($H3448=0,1,IF($I3448&lt;=1,2,0))</f>
        <v>0</v>
      </c>
      <c r="K3448">
        <v>0</v>
      </c>
      <c r="L3448">
        <f>IF(AND($J3448=0,$K3448=0),0,1)</f>
        <v>0</v>
      </c>
    </row>
    <row r="3449" spans="1:13" x14ac:dyDescent="0.2">
      <c r="A3449" t="s">
        <v>385</v>
      </c>
      <c r="B3449" t="s">
        <v>386</v>
      </c>
      <c r="C3449" t="s">
        <v>407</v>
      </c>
      <c r="D3449">
        <v>6240</v>
      </c>
      <c r="E3449">
        <v>2020</v>
      </c>
      <c r="F3449">
        <v>3</v>
      </c>
      <c r="G3449">
        <v>13477</v>
      </c>
      <c r="H3449" s="1">
        <v>3</v>
      </c>
      <c r="I3449">
        <v>11</v>
      </c>
      <c r="J3449">
        <f>IF($H3449=0,1,IF($I3449&lt;=1,2,0))</f>
        <v>0</v>
      </c>
      <c r="K3449">
        <v>0</v>
      </c>
      <c r="L3449">
        <f>IF(AND($J3449=0,$K3449=0),0,1)</f>
        <v>0</v>
      </c>
    </row>
    <row r="3450" spans="1:13" x14ac:dyDescent="0.2">
      <c r="A3450" t="s">
        <v>385</v>
      </c>
      <c r="B3450" t="s">
        <v>386</v>
      </c>
      <c r="C3450" t="s">
        <v>407</v>
      </c>
      <c r="D3450">
        <v>6240</v>
      </c>
      <c r="E3450">
        <v>2020</v>
      </c>
      <c r="F3450">
        <v>1</v>
      </c>
      <c r="G3450">
        <v>13473</v>
      </c>
      <c r="H3450" s="1">
        <v>3</v>
      </c>
      <c r="I3450">
        <v>10</v>
      </c>
      <c r="J3450">
        <f>IF($H3450=0,1,IF($I3450&lt;=1,2,0))</f>
        <v>0</v>
      </c>
      <c r="K3450">
        <v>0</v>
      </c>
      <c r="L3450">
        <f>IF(AND($J3450=0,$K3450=0),0,1)</f>
        <v>0</v>
      </c>
    </row>
    <row r="3451" spans="1:13" x14ac:dyDescent="0.2">
      <c r="A3451" t="s">
        <v>385</v>
      </c>
      <c r="B3451" t="s">
        <v>386</v>
      </c>
      <c r="C3451" t="s">
        <v>407</v>
      </c>
      <c r="D3451">
        <v>6240</v>
      </c>
      <c r="E3451">
        <v>2020</v>
      </c>
      <c r="F3451">
        <v>4</v>
      </c>
      <c r="G3451">
        <v>13481</v>
      </c>
      <c r="H3451" s="1">
        <v>3</v>
      </c>
      <c r="I3451">
        <v>10</v>
      </c>
      <c r="J3451">
        <f>IF($H3451=0,1,IF($I3451&lt;=1,2,0))</f>
        <v>0</v>
      </c>
      <c r="K3451">
        <v>0</v>
      </c>
      <c r="L3451">
        <f>IF(AND($J3451=0,$K3451=0),0,1)</f>
        <v>0</v>
      </c>
      <c r="M3451" t="s">
        <v>204</v>
      </c>
    </row>
    <row r="3452" spans="1:13" x14ac:dyDescent="0.2">
      <c r="A3452" t="s">
        <v>385</v>
      </c>
      <c r="B3452" t="s">
        <v>386</v>
      </c>
      <c r="C3452" t="s">
        <v>407</v>
      </c>
      <c r="D3452">
        <v>6240</v>
      </c>
      <c r="E3452">
        <v>2020</v>
      </c>
      <c r="F3452">
        <v>2</v>
      </c>
      <c r="G3452">
        <v>13475</v>
      </c>
      <c r="H3452" s="1">
        <v>3</v>
      </c>
      <c r="I3452">
        <v>8</v>
      </c>
      <c r="J3452">
        <f>IF($H3452=0,1,IF($I3452&lt;=1,2,0))</f>
        <v>0</v>
      </c>
      <c r="K3452">
        <v>0</v>
      </c>
      <c r="L3452">
        <f>IF(AND($J3452=0,$K3452=0),0,1)</f>
        <v>0</v>
      </c>
    </row>
    <row r="3453" spans="1:13" x14ac:dyDescent="0.2">
      <c r="A3453" t="s">
        <v>385</v>
      </c>
      <c r="B3453" t="s">
        <v>386</v>
      </c>
      <c r="C3453" t="s">
        <v>407</v>
      </c>
      <c r="D3453">
        <v>6300</v>
      </c>
      <c r="E3453">
        <v>2020</v>
      </c>
      <c r="F3453">
        <v>1</v>
      </c>
      <c r="G3453">
        <v>13494</v>
      </c>
      <c r="H3453" s="1">
        <v>3</v>
      </c>
      <c r="I3453">
        <v>33</v>
      </c>
      <c r="J3453">
        <f>IF($H3453=0,1,IF($I3453&lt;=1,2,0))</f>
        <v>0</v>
      </c>
      <c r="K3453">
        <v>0</v>
      </c>
      <c r="L3453">
        <f>IF(AND($J3453=0,$K3453=0),0,1)</f>
        <v>0</v>
      </c>
      <c r="M3453" t="s">
        <v>1041</v>
      </c>
    </row>
    <row r="3454" spans="1:13" x14ac:dyDescent="0.2">
      <c r="A3454" t="s">
        <v>385</v>
      </c>
      <c r="B3454" t="s">
        <v>386</v>
      </c>
      <c r="C3454" t="s">
        <v>407</v>
      </c>
      <c r="D3454">
        <v>8110</v>
      </c>
      <c r="E3454">
        <v>2020</v>
      </c>
      <c r="F3454">
        <v>3</v>
      </c>
      <c r="G3454">
        <v>21570</v>
      </c>
      <c r="H3454" s="1">
        <v>3</v>
      </c>
      <c r="I3454">
        <v>12</v>
      </c>
      <c r="J3454">
        <f>IF($H3454=0,1,IF($I3454&lt;=1,2,0))</f>
        <v>0</v>
      </c>
      <c r="K3454">
        <v>0</v>
      </c>
      <c r="L3454">
        <f>IF(AND($J3454=0,$K3454=0),0,1)</f>
        <v>0</v>
      </c>
    </row>
    <row r="3455" spans="1:13" x14ac:dyDescent="0.2">
      <c r="A3455" t="s">
        <v>385</v>
      </c>
      <c r="B3455" t="s">
        <v>386</v>
      </c>
      <c r="C3455" t="s">
        <v>407</v>
      </c>
      <c r="D3455">
        <v>8110</v>
      </c>
      <c r="E3455">
        <v>2020</v>
      </c>
      <c r="F3455">
        <v>1</v>
      </c>
      <c r="G3455">
        <v>13502</v>
      </c>
      <c r="H3455" s="1">
        <v>3</v>
      </c>
      <c r="I3455">
        <v>11</v>
      </c>
      <c r="J3455">
        <f>IF($H3455=0,1,IF($I3455&lt;=1,2,0))</f>
        <v>0</v>
      </c>
      <c r="K3455">
        <v>0</v>
      </c>
      <c r="L3455">
        <f>IF(AND($J3455=0,$K3455=0),0,1)</f>
        <v>0</v>
      </c>
    </row>
    <row r="3456" spans="1:13" x14ac:dyDescent="0.2">
      <c r="A3456" t="s">
        <v>385</v>
      </c>
      <c r="B3456" t="s">
        <v>386</v>
      </c>
      <c r="C3456" t="s">
        <v>407</v>
      </c>
      <c r="D3456">
        <v>8110</v>
      </c>
      <c r="E3456">
        <v>2020</v>
      </c>
      <c r="F3456">
        <v>2</v>
      </c>
      <c r="G3456">
        <v>13504</v>
      </c>
      <c r="H3456" s="1">
        <v>3</v>
      </c>
      <c r="I3456">
        <v>11</v>
      </c>
      <c r="J3456">
        <f>IF($H3456=0,1,IF($I3456&lt;=1,2,0))</f>
        <v>0</v>
      </c>
      <c r="K3456">
        <v>0</v>
      </c>
      <c r="L3456">
        <f>IF(AND($J3456=0,$K3456=0),0,1)</f>
        <v>0</v>
      </c>
    </row>
    <row r="3457" spans="1:13" x14ac:dyDescent="0.2">
      <c r="A3457" t="s">
        <v>385</v>
      </c>
      <c r="B3457" t="s">
        <v>386</v>
      </c>
      <c r="C3457" t="s">
        <v>407</v>
      </c>
      <c r="D3457">
        <v>8131</v>
      </c>
      <c r="E3457">
        <v>2020</v>
      </c>
      <c r="F3457">
        <v>1</v>
      </c>
      <c r="G3457">
        <v>13507</v>
      </c>
      <c r="H3457" s="1">
        <v>3</v>
      </c>
      <c r="I3457">
        <v>5</v>
      </c>
      <c r="J3457">
        <f>IF($H3457=0,1,IF($I3457&lt;=1,2,0))</f>
        <v>0</v>
      </c>
      <c r="K3457">
        <v>0</v>
      </c>
      <c r="L3457">
        <f>IF(AND($J3457=0,$K3457=0),0,1)</f>
        <v>0</v>
      </c>
    </row>
    <row r="3458" spans="1:13" x14ac:dyDescent="0.2">
      <c r="A3458" t="s">
        <v>385</v>
      </c>
      <c r="B3458" t="s">
        <v>386</v>
      </c>
      <c r="C3458" t="s">
        <v>407</v>
      </c>
      <c r="D3458">
        <v>8215</v>
      </c>
      <c r="E3458">
        <v>2020</v>
      </c>
      <c r="F3458">
        <v>1</v>
      </c>
      <c r="G3458">
        <v>21608</v>
      </c>
      <c r="H3458" s="1">
        <v>1.5</v>
      </c>
      <c r="I3458">
        <v>13</v>
      </c>
      <c r="J3458">
        <f>IF($H3458=0,1,IF($I3458&lt;=1,2,0))</f>
        <v>0</v>
      </c>
      <c r="K3458">
        <v>0</v>
      </c>
      <c r="L3458">
        <f>IF(AND($J3458=0,$K3458=0),0,1)</f>
        <v>0</v>
      </c>
    </row>
    <row r="3459" spans="1:13" x14ac:dyDescent="0.2">
      <c r="A3459" t="s">
        <v>385</v>
      </c>
      <c r="B3459" t="s">
        <v>386</v>
      </c>
      <c r="C3459" t="s">
        <v>407</v>
      </c>
      <c r="D3459">
        <v>8237</v>
      </c>
      <c r="E3459">
        <v>2020</v>
      </c>
      <c r="F3459">
        <v>1</v>
      </c>
      <c r="G3459">
        <v>13515</v>
      </c>
      <c r="H3459" s="1">
        <v>3</v>
      </c>
      <c r="I3459">
        <v>44</v>
      </c>
      <c r="J3459">
        <f>IF($H3459=0,1,IF($I3459&lt;=1,2,0))</f>
        <v>0</v>
      </c>
      <c r="K3459">
        <v>0</v>
      </c>
      <c r="L3459">
        <f>IF(AND($J3459=0,$K3459=0),0,1)</f>
        <v>0</v>
      </c>
    </row>
    <row r="3460" spans="1:13" x14ac:dyDescent="0.2">
      <c r="A3460" t="s">
        <v>385</v>
      </c>
      <c r="B3460" t="s">
        <v>386</v>
      </c>
      <c r="C3460" t="s">
        <v>407</v>
      </c>
      <c r="D3460">
        <v>8305</v>
      </c>
      <c r="E3460">
        <v>2020</v>
      </c>
      <c r="F3460">
        <v>1</v>
      </c>
      <c r="G3460">
        <v>13521</v>
      </c>
      <c r="H3460" s="1">
        <v>3</v>
      </c>
      <c r="I3460">
        <v>15</v>
      </c>
      <c r="J3460">
        <f>IF($H3460=0,1,IF($I3460&lt;=1,2,0))</f>
        <v>0</v>
      </c>
      <c r="K3460">
        <v>0</v>
      </c>
      <c r="L3460">
        <f>IF(AND($J3460=0,$K3460=0),0,1)</f>
        <v>0</v>
      </c>
    </row>
    <row r="3461" spans="1:13" x14ac:dyDescent="0.2">
      <c r="A3461" t="s">
        <v>385</v>
      </c>
      <c r="B3461" t="s">
        <v>386</v>
      </c>
      <c r="C3461" t="s">
        <v>407</v>
      </c>
      <c r="D3461">
        <v>8320</v>
      </c>
      <c r="E3461">
        <v>2020</v>
      </c>
      <c r="F3461">
        <v>1</v>
      </c>
      <c r="G3461">
        <v>20749</v>
      </c>
      <c r="H3461" s="1">
        <v>3</v>
      </c>
      <c r="I3461">
        <v>11</v>
      </c>
      <c r="J3461">
        <f>IF($H3461=0,1,IF($I3461&lt;=1,2,0))</f>
        <v>0</v>
      </c>
      <c r="K3461">
        <v>0</v>
      </c>
      <c r="L3461">
        <f>IF(AND($J3461=0,$K3461=0),0,1)</f>
        <v>0</v>
      </c>
    </row>
    <row r="3462" spans="1:13" x14ac:dyDescent="0.2">
      <c r="A3462" t="s">
        <v>385</v>
      </c>
      <c r="B3462" t="s">
        <v>386</v>
      </c>
      <c r="C3462" t="s">
        <v>407</v>
      </c>
      <c r="D3462">
        <v>8360</v>
      </c>
      <c r="E3462">
        <v>2020</v>
      </c>
      <c r="F3462">
        <v>1</v>
      </c>
      <c r="G3462">
        <v>13522</v>
      </c>
      <c r="H3462" s="1">
        <v>3</v>
      </c>
      <c r="I3462">
        <v>12</v>
      </c>
      <c r="J3462">
        <f>IF($H3462=0,1,IF($I3462&lt;=1,2,0))</f>
        <v>0</v>
      </c>
      <c r="K3462">
        <v>0</v>
      </c>
      <c r="L3462">
        <f>IF(AND($J3462=0,$K3462=0),0,1)</f>
        <v>0</v>
      </c>
      <c r="M3462" t="s">
        <v>1042</v>
      </c>
    </row>
    <row r="3463" spans="1:13" x14ac:dyDescent="0.2">
      <c r="A3463" t="s">
        <v>385</v>
      </c>
      <c r="B3463" t="s">
        <v>386</v>
      </c>
      <c r="C3463" t="s">
        <v>407</v>
      </c>
      <c r="D3463">
        <v>8420</v>
      </c>
      <c r="E3463">
        <v>2020</v>
      </c>
      <c r="F3463">
        <v>1</v>
      </c>
      <c r="G3463">
        <v>21074</v>
      </c>
      <c r="H3463" s="1">
        <v>1.5</v>
      </c>
      <c r="I3463">
        <v>11</v>
      </c>
      <c r="J3463">
        <f>IF($H3463=0,1,IF($I3463&lt;=1,2,0))</f>
        <v>0</v>
      </c>
      <c r="K3463">
        <v>0</v>
      </c>
      <c r="L3463">
        <f>IF(AND($J3463=0,$K3463=0),0,1)</f>
        <v>0</v>
      </c>
    </row>
    <row r="3464" spans="1:13" x14ac:dyDescent="0.2">
      <c r="A3464" t="s">
        <v>416</v>
      </c>
      <c r="B3464" t="s">
        <v>17</v>
      </c>
      <c r="C3464" t="s">
        <v>9</v>
      </c>
      <c r="D3464">
        <v>1101</v>
      </c>
      <c r="E3464">
        <v>2020</v>
      </c>
      <c r="F3464">
        <v>1</v>
      </c>
      <c r="G3464">
        <v>15384</v>
      </c>
      <c r="H3464" s="1">
        <v>4</v>
      </c>
      <c r="I3464">
        <v>8</v>
      </c>
      <c r="J3464">
        <f>IF($H3464=0,1,IF($I3464&lt;=1,2,0))</f>
        <v>0</v>
      </c>
      <c r="K3464">
        <v>0</v>
      </c>
      <c r="L3464">
        <f>IF(AND($J3464=0,$K3464=0),0,1)</f>
        <v>0</v>
      </c>
    </row>
    <row r="3465" spans="1:13" x14ac:dyDescent="0.2">
      <c r="A3465" t="s">
        <v>417</v>
      </c>
      <c r="B3465" t="s">
        <v>17</v>
      </c>
      <c r="C3465" t="s">
        <v>9</v>
      </c>
      <c r="D3465">
        <v>1101</v>
      </c>
      <c r="E3465">
        <v>2020</v>
      </c>
      <c r="F3465">
        <v>5</v>
      </c>
      <c r="G3465">
        <v>10906</v>
      </c>
      <c r="H3465" s="1">
        <v>4</v>
      </c>
      <c r="I3465">
        <v>16</v>
      </c>
      <c r="J3465">
        <f>IF($H3465=0,1,IF($I3465&lt;=1,2,0))</f>
        <v>0</v>
      </c>
      <c r="K3465">
        <v>0</v>
      </c>
      <c r="L3465">
        <f>IF(AND($J3465=0,$K3465=0),0,1)</f>
        <v>0</v>
      </c>
    </row>
    <row r="3466" spans="1:13" x14ac:dyDescent="0.2">
      <c r="A3466" t="s">
        <v>417</v>
      </c>
      <c r="B3466" t="s">
        <v>17</v>
      </c>
      <c r="C3466" t="s">
        <v>9</v>
      </c>
      <c r="D3466">
        <v>1101</v>
      </c>
      <c r="E3466">
        <v>2020</v>
      </c>
      <c r="F3466">
        <v>12</v>
      </c>
      <c r="G3466">
        <v>20751</v>
      </c>
      <c r="H3466" s="1">
        <v>4</v>
      </c>
      <c r="I3466">
        <v>16</v>
      </c>
      <c r="J3466">
        <f>IF($H3466=0,1,IF($I3466&lt;=1,2,0))</f>
        <v>0</v>
      </c>
      <c r="K3466">
        <v>0</v>
      </c>
      <c r="L3466">
        <f>IF(AND($J3466=0,$K3466=0),0,1)</f>
        <v>0</v>
      </c>
    </row>
    <row r="3467" spans="1:13" x14ac:dyDescent="0.2">
      <c r="A3467" t="s">
        <v>417</v>
      </c>
      <c r="B3467" t="s">
        <v>17</v>
      </c>
      <c r="C3467" t="s">
        <v>9</v>
      </c>
      <c r="D3467">
        <v>1101</v>
      </c>
      <c r="E3467">
        <v>2020</v>
      </c>
      <c r="F3467">
        <v>2</v>
      </c>
      <c r="G3467">
        <v>10903</v>
      </c>
      <c r="H3467" s="1">
        <v>4</v>
      </c>
      <c r="I3467">
        <v>13</v>
      </c>
      <c r="J3467">
        <f>IF($H3467=0,1,IF($I3467&lt;=1,2,0))</f>
        <v>0</v>
      </c>
      <c r="K3467">
        <v>0</v>
      </c>
      <c r="L3467">
        <f>IF(AND($J3467=0,$K3467=0),0,1)</f>
        <v>0</v>
      </c>
    </row>
    <row r="3468" spans="1:13" x14ac:dyDescent="0.2">
      <c r="A3468" t="s">
        <v>417</v>
      </c>
      <c r="B3468" t="s">
        <v>17</v>
      </c>
      <c r="C3468" t="s">
        <v>9</v>
      </c>
      <c r="D3468">
        <v>1101</v>
      </c>
      <c r="E3468">
        <v>2020</v>
      </c>
      <c r="F3468">
        <v>3</v>
      </c>
      <c r="G3468">
        <v>10904</v>
      </c>
      <c r="H3468" s="1">
        <v>4</v>
      </c>
      <c r="I3468">
        <v>13</v>
      </c>
      <c r="J3468">
        <f>IF($H3468=0,1,IF($I3468&lt;=1,2,0))</f>
        <v>0</v>
      </c>
      <c r="K3468">
        <v>0</v>
      </c>
      <c r="L3468">
        <f>IF(AND($J3468=0,$K3468=0),0,1)</f>
        <v>0</v>
      </c>
    </row>
    <row r="3469" spans="1:13" x14ac:dyDescent="0.2">
      <c r="A3469" t="s">
        <v>417</v>
      </c>
      <c r="B3469" t="s">
        <v>17</v>
      </c>
      <c r="C3469" t="s">
        <v>9</v>
      </c>
      <c r="D3469">
        <v>1101</v>
      </c>
      <c r="E3469">
        <v>2020</v>
      </c>
      <c r="F3469">
        <v>4</v>
      </c>
      <c r="G3469">
        <v>10905</v>
      </c>
      <c r="H3469" s="1">
        <v>4</v>
      </c>
      <c r="I3469">
        <v>13</v>
      </c>
      <c r="J3469">
        <f>IF($H3469=0,1,IF($I3469&lt;=1,2,0))</f>
        <v>0</v>
      </c>
      <c r="K3469">
        <v>0</v>
      </c>
      <c r="L3469">
        <f>IF(AND($J3469=0,$K3469=0),0,1)</f>
        <v>0</v>
      </c>
    </row>
    <row r="3470" spans="1:13" x14ac:dyDescent="0.2">
      <c r="A3470" t="s">
        <v>417</v>
      </c>
      <c r="B3470" t="s">
        <v>17</v>
      </c>
      <c r="C3470" t="s">
        <v>9</v>
      </c>
      <c r="D3470">
        <v>1101</v>
      </c>
      <c r="E3470">
        <v>2020</v>
      </c>
      <c r="F3470">
        <v>6</v>
      </c>
      <c r="G3470">
        <v>10907</v>
      </c>
      <c r="H3470" s="1">
        <v>4</v>
      </c>
      <c r="I3470">
        <v>13</v>
      </c>
      <c r="J3470">
        <f>IF($H3470=0,1,IF($I3470&lt;=1,2,0))</f>
        <v>0</v>
      </c>
      <c r="K3470">
        <v>0</v>
      </c>
      <c r="L3470">
        <f>IF(AND($J3470=0,$K3470=0),0,1)</f>
        <v>0</v>
      </c>
    </row>
    <row r="3471" spans="1:13" x14ac:dyDescent="0.2">
      <c r="A3471" t="s">
        <v>417</v>
      </c>
      <c r="B3471" t="s">
        <v>17</v>
      </c>
      <c r="C3471" t="s">
        <v>9</v>
      </c>
      <c r="D3471">
        <v>1101</v>
      </c>
      <c r="E3471">
        <v>2020</v>
      </c>
      <c r="F3471">
        <v>7</v>
      </c>
      <c r="G3471">
        <v>10908</v>
      </c>
      <c r="H3471" s="1">
        <v>4</v>
      </c>
      <c r="I3471">
        <v>12</v>
      </c>
      <c r="J3471">
        <f>IF($H3471=0,1,IF($I3471&lt;=1,2,0))</f>
        <v>0</v>
      </c>
      <c r="K3471">
        <v>0</v>
      </c>
      <c r="L3471">
        <f>IF(AND($J3471=0,$K3471=0),0,1)</f>
        <v>0</v>
      </c>
    </row>
    <row r="3472" spans="1:13" x14ac:dyDescent="0.2">
      <c r="A3472" t="s">
        <v>417</v>
      </c>
      <c r="B3472" t="s">
        <v>17</v>
      </c>
      <c r="C3472" t="s">
        <v>9</v>
      </c>
      <c r="D3472">
        <v>1101</v>
      </c>
      <c r="E3472">
        <v>2020</v>
      </c>
      <c r="F3472">
        <v>14</v>
      </c>
      <c r="G3472">
        <v>24765</v>
      </c>
      <c r="H3472" s="1">
        <v>4</v>
      </c>
      <c r="I3472">
        <v>12</v>
      </c>
      <c r="J3472">
        <f>IF($H3472=0,1,IF($I3472&lt;=1,2,0))</f>
        <v>0</v>
      </c>
      <c r="K3472">
        <v>0</v>
      </c>
      <c r="L3472">
        <f>IF(AND($J3472=0,$K3472=0),0,1)</f>
        <v>0</v>
      </c>
    </row>
    <row r="3473" spans="1:12" x14ac:dyDescent="0.2">
      <c r="A3473" t="s">
        <v>417</v>
      </c>
      <c r="B3473" t="s">
        <v>17</v>
      </c>
      <c r="C3473" t="s">
        <v>9</v>
      </c>
      <c r="D3473">
        <v>1101</v>
      </c>
      <c r="E3473">
        <v>2020</v>
      </c>
      <c r="F3473">
        <v>1</v>
      </c>
      <c r="G3473">
        <v>10042</v>
      </c>
      <c r="H3473" s="1">
        <v>4</v>
      </c>
      <c r="I3473">
        <v>10</v>
      </c>
      <c r="J3473">
        <f>IF($H3473=0,1,IF($I3473&lt;=1,2,0))</f>
        <v>0</v>
      </c>
      <c r="K3473">
        <v>0</v>
      </c>
      <c r="L3473">
        <f>IF(AND($J3473=0,$K3473=0),0,1)</f>
        <v>0</v>
      </c>
    </row>
    <row r="3474" spans="1:12" x14ac:dyDescent="0.2">
      <c r="A3474" t="s">
        <v>417</v>
      </c>
      <c r="B3474" t="s">
        <v>17</v>
      </c>
      <c r="C3474" t="s">
        <v>9</v>
      </c>
      <c r="D3474">
        <v>1101</v>
      </c>
      <c r="E3474">
        <v>2020</v>
      </c>
      <c r="F3474">
        <v>9</v>
      </c>
      <c r="G3474">
        <v>10909</v>
      </c>
      <c r="H3474" s="1">
        <v>4</v>
      </c>
      <c r="I3474">
        <v>10</v>
      </c>
      <c r="J3474">
        <f>IF($H3474=0,1,IF($I3474&lt;=1,2,0))</f>
        <v>0</v>
      </c>
      <c r="K3474">
        <v>0</v>
      </c>
      <c r="L3474">
        <f>IF(AND($J3474=0,$K3474=0),0,1)</f>
        <v>0</v>
      </c>
    </row>
    <row r="3475" spans="1:12" x14ac:dyDescent="0.2">
      <c r="A3475" t="s">
        <v>417</v>
      </c>
      <c r="B3475" t="s">
        <v>17</v>
      </c>
      <c r="C3475" t="s">
        <v>9</v>
      </c>
      <c r="D3475">
        <v>1101</v>
      </c>
      <c r="E3475">
        <v>2020</v>
      </c>
      <c r="F3475">
        <v>10</v>
      </c>
      <c r="G3475">
        <v>10917</v>
      </c>
      <c r="H3475" s="1">
        <v>4</v>
      </c>
      <c r="I3475">
        <v>9</v>
      </c>
      <c r="J3475">
        <f>IF($H3475=0,1,IF($I3475&lt;=1,2,0))</f>
        <v>0</v>
      </c>
      <c r="K3475">
        <v>0</v>
      </c>
      <c r="L3475">
        <f>IF(AND($J3475=0,$K3475=0),0,1)</f>
        <v>0</v>
      </c>
    </row>
    <row r="3476" spans="1:12" x14ac:dyDescent="0.2">
      <c r="A3476" t="s">
        <v>417</v>
      </c>
      <c r="B3476" t="s">
        <v>17</v>
      </c>
      <c r="C3476" t="s">
        <v>9</v>
      </c>
      <c r="D3476">
        <v>1101</v>
      </c>
      <c r="E3476">
        <v>2020</v>
      </c>
      <c r="F3476">
        <v>13</v>
      </c>
      <c r="G3476">
        <v>24764</v>
      </c>
      <c r="H3476" s="1">
        <v>4</v>
      </c>
      <c r="I3476">
        <v>8</v>
      </c>
      <c r="J3476">
        <f>IF($H3476=0,1,IF($I3476&lt;=1,2,0))</f>
        <v>0</v>
      </c>
      <c r="K3476">
        <v>0</v>
      </c>
      <c r="L3476">
        <f>IF(AND($J3476=0,$K3476=0),0,1)</f>
        <v>0</v>
      </c>
    </row>
    <row r="3477" spans="1:12" x14ac:dyDescent="0.2">
      <c r="A3477" t="s">
        <v>417</v>
      </c>
      <c r="B3477" t="s">
        <v>17</v>
      </c>
      <c r="C3477" t="s">
        <v>9</v>
      </c>
      <c r="D3477">
        <v>1102</v>
      </c>
      <c r="E3477">
        <v>2020</v>
      </c>
      <c r="F3477">
        <v>1</v>
      </c>
      <c r="G3477">
        <v>10920</v>
      </c>
      <c r="H3477" s="1">
        <v>4</v>
      </c>
      <c r="I3477">
        <v>15</v>
      </c>
      <c r="J3477">
        <f>IF($H3477=0,1,IF($I3477&lt;=1,2,0))</f>
        <v>0</v>
      </c>
      <c r="K3477">
        <v>0</v>
      </c>
      <c r="L3477">
        <f>IF(AND($J3477=0,$K3477=0),0,1)</f>
        <v>0</v>
      </c>
    </row>
    <row r="3478" spans="1:12" x14ac:dyDescent="0.2">
      <c r="A3478" t="s">
        <v>417</v>
      </c>
      <c r="B3478" t="s">
        <v>17</v>
      </c>
      <c r="C3478" t="s">
        <v>9</v>
      </c>
      <c r="D3478">
        <v>1102</v>
      </c>
      <c r="E3478">
        <v>2020</v>
      </c>
      <c r="F3478">
        <v>2</v>
      </c>
      <c r="G3478">
        <v>10921</v>
      </c>
      <c r="H3478" s="1">
        <v>4</v>
      </c>
      <c r="I3478">
        <v>15</v>
      </c>
      <c r="J3478">
        <f>IF($H3478=0,1,IF($I3478&lt;=1,2,0))</f>
        <v>0</v>
      </c>
      <c r="K3478">
        <v>0</v>
      </c>
      <c r="L3478">
        <f>IF(AND($J3478=0,$K3478=0),0,1)</f>
        <v>0</v>
      </c>
    </row>
    <row r="3479" spans="1:12" x14ac:dyDescent="0.2">
      <c r="A3479" t="s">
        <v>417</v>
      </c>
      <c r="B3479" t="s">
        <v>17</v>
      </c>
      <c r="C3479" t="s">
        <v>9</v>
      </c>
      <c r="D3479">
        <v>1102</v>
      </c>
      <c r="E3479">
        <v>2020</v>
      </c>
      <c r="F3479">
        <v>7</v>
      </c>
      <c r="G3479">
        <v>24516</v>
      </c>
      <c r="H3479" s="1">
        <v>4</v>
      </c>
      <c r="I3479">
        <v>15</v>
      </c>
      <c r="J3479">
        <f>IF($H3479=0,1,IF($I3479&lt;=1,2,0))</f>
        <v>0</v>
      </c>
      <c r="K3479">
        <v>0</v>
      </c>
      <c r="L3479">
        <f>IF(AND($J3479=0,$K3479=0),0,1)</f>
        <v>0</v>
      </c>
    </row>
    <row r="3480" spans="1:12" x14ac:dyDescent="0.2">
      <c r="A3480" t="s">
        <v>417</v>
      </c>
      <c r="B3480" t="s">
        <v>17</v>
      </c>
      <c r="C3480" t="s">
        <v>9</v>
      </c>
      <c r="D3480">
        <v>1102</v>
      </c>
      <c r="E3480">
        <v>2020</v>
      </c>
      <c r="F3480">
        <v>4</v>
      </c>
      <c r="G3480">
        <v>10923</v>
      </c>
      <c r="H3480" s="1">
        <v>4</v>
      </c>
      <c r="I3480">
        <v>14</v>
      </c>
      <c r="J3480">
        <f>IF($H3480=0,1,IF($I3480&lt;=1,2,0))</f>
        <v>0</v>
      </c>
      <c r="K3480">
        <v>0</v>
      </c>
      <c r="L3480">
        <f>IF(AND($J3480=0,$K3480=0),0,1)</f>
        <v>0</v>
      </c>
    </row>
    <row r="3481" spans="1:12" x14ac:dyDescent="0.2">
      <c r="A3481" t="s">
        <v>417</v>
      </c>
      <c r="B3481" t="s">
        <v>17</v>
      </c>
      <c r="C3481" t="s">
        <v>9</v>
      </c>
      <c r="D3481">
        <v>1102</v>
      </c>
      <c r="E3481">
        <v>2020</v>
      </c>
      <c r="F3481">
        <v>3</v>
      </c>
      <c r="G3481">
        <v>10922</v>
      </c>
      <c r="H3481" s="1">
        <v>4</v>
      </c>
      <c r="I3481">
        <v>13</v>
      </c>
      <c r="J3481">
        <f>IF($H3481=0,1,IF($I3481&lt;=1,2,0))</f>
        <v>0</v>
      </c>
      <c r="K3481">
        <v>0</v>
      </c>
      <c r="L3481">
        <f>IF(AND($J3481=0,$K3481=0),0,1)</f>
        <v>0</v>
      </c>
    </row>
    <row r="3482" spans="1:12" x14ac:dyDescent="0.2">
      <c r="A3482" t="s">
        <v>417</v>
      </c>
      <c r="B3482" t="s">
        <v>17</v>
      </c>
      <c r="C3482" t="s">
        <v>9</v>
      </c>
      <c r="D3482">
        <v>1102</v>
      </c>
      <c r="E3482">
        <v>2020</v>
      </c>
      <c r="F3482">
        <v>6</v>
      </c>
      <c r="G3482">
        <v>10952</v>
      </c>
      <c r="H3482" s="1">
        <v>4</v>
      </c>
      <c r="I3482">
        <v>9</v>
      </c>
      <c r="J3482">
        <f>IF($H3482=0,1,IF($I3482&lt;=1,2,0))</f>
        <v>0</v>
      </c>
      <c r="K3482">
        <v>0</v>
      </c>
      <c r="L3482">
        <f>IF(AND($J3482=0,$K3482=0),0,1)</f>
        <v>0</v>
      </c>
    </row>
    <row r="3483" spans="1:12" x14ac:dyDescent="0.2">
      <c r="A3483" t="s">
        <v>417</v>
      </c>
      <c r="B3483" t="s">
        <v>17</v>
      </c>
      <c r="C3483" t="s">
        <v>9</v>
      </c>
      <c r="D3483">
        <v>2101</v>
      </c>
      <c r="E3483">
        <v>2020</v>
      </c>
      <c r="F3483">
        <v>10</v>
      </c>
      <c r="G3483">
        <v>20748</v>
      </c>
      <c r="H3483" s="1">
        <v>4</v>
      </c>
      <c r="I3483">
        <v>17</v>
      </c>
      <c r="J3483">
        <f>IF($H3483=0,1,IF($I3483&lt;=1,2,0))</f>
        <v>0</v>
      </c>
      <c r="K3483">
        <v>0</v>
      </c>
      <c r="L3483">
        <f>IF(AND($J3483=0,$K3483=0),0,1)</f>
        <v>0</v>
      </c>
    </row>
    <row r="3484" spans="1:12" x14ac:dyDescent="0.2">
      <c r="A3484" t="s">
        <v>417</v>
      </c>
      <c r="B3484" t="s">
        <v>17</v>
      </c>
      <c r="C3484" t="s">
        <v>9</v>
      </c>
      <c r="D3484">
        <v>2101</v>
      </c>
      <c r="E3484">
        <v>2020</v>
      </c>
      <c r="F3484">
        <v>2</v>
      </c>
      <c r="G3484">
        <v>10962</v>
      </c>
      <c r="H3484" s="1">
        <v>4</v>
      </c>
      <c r="I3484">
        <v>14</v>
      </c>
      <c r="J3484">
        <f>IF($H3484=0,1,IF($I3484&lt;=1,2,0))</f>
        <v>0</v>
      </c>
      <c r="K3484">
        <v>0</v>
      </c>
      <c r="L3484">
        <f>IF(AND($J3484=0,$K3484=0),0,1)</f>
        <v>0</v>
      </c>
    </row>
    <row r="3485" spans="1:12" x14ac:dyDescent="0.2">
      <c r="A3485" t="s">
        <v>417</v>
      </c>
      <c r="B3485" t="s">
        <v>17</v>
      </c>
      <c r="C3485" t="s">
        <v>9</v>
      </c>
      <c r="D3485">
        <v>2101</v>
      </c>
      <c r="E3485">
        <v>2020</v>
      </c>
      <c r="F3485">
        <v>4</v>
      </c>
      <c r="G3485">
        <v>10965</v>
      </c>
      <c r="H3485" s="1">
        <v>4</v>
      </c>
      <c r="I3485">
        <v>14</v>
      </c>
      <c r="J3485">
        <f>IF($H3485=0,1,IF($I3485&lt;=1,2,0))</f>
        <v>0</v>
      </c>
      <c r="K3485">
        <v>0</v>
      </c>
      <c r="L3485">
        <f>IF(AND($J3485=0,$K3485=0),0,1)</f>
        <v>0</v>
      </c>
    </row>
    <row r="3486" spans="1:12" x14ac:dyDescent="0.2">
      <c r="A3486" t="s">
        <v>417</v>
      </c>
      <c r="B3486" t="s">
        <v>17</v>
      </c>
      <c r="C3486" t="s">
        <v>9</v>
      </c>
      <c r="D3486">
        <v>2101</v>
      </c>
      <c r="E3486">
        <v>2020</v>
      </c>
      <c r="F3486">
        <v>9</v>
      </c>
      <c r="G3486">
        <v>10977</v>
      </c>
      <c r="H3486" s="1">
        <v>4</v>
      </c>
      <c r="I3486">
        <v>14</v>
      </c>
      <c r="J3486">
        <f>IF($H3486=0,1,IF($I3486&lt;=1,2,0))</f>
        <v>0</v>
      </c>
      <c r="K3486">
        <v>0</v>
      </c>
      <c r="L3486">
        <f>IF(AND($J3486=0,$K3486=0),0,1)</f>
        <v>0</v>
      </c>
    </row>
    <row r="3487" spans="1:12" x14ac:dyDescent="0.2">
      <c r="A3487" t="s">
        <v>417</v>
      </c>
      <c r="B3487" t="s">
        <v>17</v>
      </c>
      <c r="C3487" t="s">
        <v>9</v>
      </c>
      <c r="D3487">
        <v>2101</v>
      </c>
      <c r="E3487">
        <v>2020</v>
      </c>
      <c r="F3487">
        <v>3</v>
      </c>
      <c r="G3487">
        <v>10963</v>
      </c>
      <c r="H3487" s="1">
        <v>4</v>
      </c>
      <c r="I3487">
        <v>12</v>
      </c>
      <c r="J3487">
        <f>IF($H3487=0,1,IF($I3487&lt;=1,2,0))</f>
        <v>0</v>
      </c>
      <c r="K3487">
        <v>0</v>
      </c>
      <c r="L3487">
        <f>IF(AND($J3487=0,$K3487=0),0,1)</f>
        <v>0</v>
      </c>
    </row>
    <row r="3488" spans="1:12" x14ac:dyDescent="0.2">
      <c r="A3488" t="s">
        <v>417</v>
      </c>
      <c r="B3488" t="s">
        <v>17</v>
      </c>
      <c r="C3488" t="s">
        <v>9</v>
      </c>
      <c r="D3488">
        <v>2101</v>
      </c>
      <c r="E3488">
        <v>2020</v>
      </c>
      <c r="F3488">
        <v>6</v>
      </c>
      <c r="G3488">
        <v>10969</v>
      </c>
      <c r="H3488" s="1">
        <v>4</v>
      </c>
      <c r="I3488">
        <v>11</v>
      </c>
      <c r="J3488">
        <f>IF($H3488=0,1,IF($I3488&lt;=1,2,0))</f>
        <v>0</v>
      </c>
      <c r="K3488">
        <v>0</v>
      </c>
      <c r="L3488">
        <f>IF(AND($J3488=0,$K3488=0),0,1)</f>
        <v>0</v>
      </c>
    </row>
    <row r="3489" spans="1:13" x14ac:dyDescent="0.2">
      <c r="A3489" t="s">
        <v>417</v>
      </c>
      <c r="B3489" t="s">
        <v>17</v>
      </c>
      <c r="C3489" t="s">
        <v>9</v>
      </c>
      <c r="D3489">
        <v>2101</v>
      </c>
      <c r="E3489">
        <v>2020</v>
      </c>
      <c r="F3489">
        <v>8</v>
      </c>
      <c r="G3489">
        <v>10975</v>
      </c>
      <c r="H3489" s="1">
        <v>4</v>
      </c>
      <c r="I3489">
        <v>11</v>
      </c>
      <c r="J3489">
        <f>IF($H3489=0,1,IF($I3489&lt;=1,2,0))</f>
        <v>0</v>
      </c>
      <c r="K3489">
        <v>0</v>
      </c>
      <c r="L3489">
        <f>IF(AND($J3489=0,$K3489=0),0,1)</f>
        <v>0</v>
      </c>
    </row>
    <row r="3490" spans="1:13" x14ac:dyDescent="0.2">
      <c r="A3490" t="s">
        <v>417</v>
      </c>
      <c r="B3490" t="s">
        <v>17</v>
      </c>
      <c r="C3490" t="s">
        <v>9</v>
      </c>
      <c r="D3490">
        <v>2101</v>
      </c>
      <c r="E3490">
        <v>2020</v>
      </c>
      <c r="F3490">
        <v>1</v>
      </c>
      <c r="G3490">
        <v>10958</v>
      </c>
      <c r="H3490" s="1">
        <v>4</v>
      </c>
      <c r="I3490">
        <v>10</v>
      </c>
      <c r="J3490">
        <f>IF($H3490=0,1,IF($I3490&lt;=1,2,0))</f>
        <v>0</v>
      </c>
      <c r="K3490">
        <v>0</v>
      </c>
      <c r="L3490">
        <f>IF(AND($J3490=0,$K3490=0),0,1)</f>
        <v>0</v>
      </c>
    </row>
    <row r="3491" spans="1:13" x14ac:dyDescent="0.2">
      <c r="A3491" t="s">
        <v>417</v>
      </c>
      <c r="B3491" t="s">
        <v>17</v>
      </c>
      <c r="C3491" t="s">
        <v>9</v>
      </c>
      <c r="D3491">
        <v>2102</v>
      </c>
      <c r="E3491">
        <v>2020</v>
      </c>
      <c r="F3491">
        <v>3</v>
      </c>
      <c r="G3491">
        <v>10982</v>
      </c>
      <c r="H3491" s="1">
        <v>4</v>
      </c>
      <c r="I3491">
        <v>16</v>
      </c>
      <c r="J3491">
        <f>IF($H3491=0,1,IF($I3491&lt;=1,2,0))</f>
        <v>0</v>
      </c>
      <c r="K3491">
        <v>0</v>
      </c>
      <c r="L3491">
        <f>IF(AND($J3491=0,$K3491=0),0,1)</f>
        <v>0</v>
      </c>
    </row>
    <row r="3492" spans="1:13" x14ac:dyDescent="0.2">
      <c r="A3492" t="s">
        <v>417</v>
      </c>
      <c r="B3492" t="s">
        <v>17</v>
      </c>
      <c r="C3492" t="s">
        <v>9</v>
      </c>
      <c r="D3492">
        <v>2102</v>
      </c>
      <c r="E3492">
        <v>2020</v>
      </c>
      <c r="F3492">
        <v>5</v>
      </c>
      <c r="G3492">
        <v>10988</v>
      </c>
      <c r="H3492" s="1">
        <v>4</v>
      </c>
      <c r="I3492">
        <v>16</v>
      </c>
      <c r="J3492">
        <f>IF($H3492=0,1,IF($I3492&lt;=1,2,0))</f>
        <v>0</v>
      </c>
      <c r="K3492">
        <v>0</v>
      </c>
      <c r="L3492">
        <f>IF(AND($J3492=0,$K3492=0),0,1)</f>
        <v>0</v>
      </c>
    </row>
    <row r="3493" spans="1:13" x14ac:dyDescent="0.2">
      <c r="A3493" t="s">
        <v>417</v>
      </c>
      <c r="B3493" t="s">
        <v>17</v>
      </c>
      <c r="C3493" t="s">
        <v>9</v>
      </c>
      <c r="D3493">
        <v>2102</v>
      </c>
      <c r="E3493">
        <v>2020</v>
      </c>
      <c r="F3493">
        <v>2</v>
      </c>
      <c r="G3493">
        <v>10980</v>
      </c>
      <c r="H3493" s="1">
        <v>4</v>
      </c>
      <c r="I3493">
        <v>15</v>
      </c>
      <c r="J3493">
        <f>IF($H3493=0,1,IF($I3493&lt;=1,2,0))</f>
        <v>0</v>
      </c>
      <c r="K3493">
        <v>0</v>
      </c>
      <c r="L3493">
        <f>IF(AND($J3493=0,$K3493=0),0,1)</f>
        <v>0</v>
      </c>
    </row>
    <row r="3494" spans="1:13" x14ac:dyDescent="0.2">
      <c r="A3494" t="s">
        <v>417</v>
      </c>
      <c r="B3494" t="s">
        <v>17</v>
      </c>
      <c r="C3494" t="s">
        <v>9</v>
      </c>
      <c r="D3494">
        <v>2102</v>
      </c>
      <c r="E3494">
        <v>2020</v>
      </c>
      <c r="F3494">
        <v>6</v>
      </c>
      <c r="G3494">
        <v>20753</v>
      </c>
      <c r="H3494" s="1">
        <v>4</v>
      </c>
      <c r="I3494">
        <v>6</v>
      </c>
      <c r="J3494">
        <f>IF($H3494=0,1,IF($I3494&lt;=1,2,0))</f>
        <v>0</v>
      </c>
      <c r="K3494">
        <v>0</v>
      </c>
      <c r="L3494">
        <f>IF(AND($J3494=0,$K3494=0),0,1)</f>
        <v>0</v>
      </c>
    </row>
    <row r="3495" spans="1:13" x14ac:dyDescent="0.2">
      <c r="A3495" t="s">
        <v>417</v>
      </c>
      <c r="B3495" t="s">
        <v>17</v>
      </c>
      <c r="C3495" t="s">
        <v>9</v>
      </c>
      <c r="D3495">
        <v>2106</v>
      </c>
      <c r="E3495">
        <v>2020</v>
      </c>
      <c r="F3495">
        <v>1</v>
      </c>
      <c r="G3495">
        <v>10991</v>
      </c>
      <c r="H3495" s="1">
        <v>3</v>
      </c>
      <c r="I3495">
        <v>9</v>
      </c>
      <c r="J3495">
        <f>IF($H3495=0,1,IF($I3495&lt;=1,2,0))</f>
        <v>0</v>
      </c>
      <c r="K3495">
        <v>0</v>
      </c>
      <c r="L3495">
        <f>IF(AND($J3495=0,$K3495=0),0,1)</f>
        <v>0</v>
      </c>
    </row>
    <row r="3496" spans="1:13" x14ac:dyDescent="0.2">
      <c r="A3496" t="s">
        <v>417</v>
      </c>
      <c r="B3496" t="s">
        <v>17</v>
      </c>
      <c r="C3496" t="s">
        <v>9</v>
      </c>
      <c r="D3496">
        <v>3131</v>
      </c>
      <c r="E3496">
        <v>2020</v>
      </c>
      <c r="F3496">
        <v>1</v>
      </c>
      <c r="G3496">
        <v>11006</v>
      </c>
      <c r="H3496" s="1">
        <v>2</v>
      </c>
      <c r="I3496">
        <v>10</v>
      </c>
      <c r="J3496">
        <f>IF($H3496=0,1,IF($I3496&lt;=1,2,0))</f>
        <v>0</v>
      </c>
      <c r="K3496">
        <v>0</v>
      </c>
      <c r="L3496">
        <f>IF(AND($J3496=0,$K3496=0),0,1)</f>
        <v>0</v>
      </c>
    </row>
    <row r="3497" spans="1:13" x14ac:dyDescent="0.2">
      <c r="A3497" t="s">
        <v>417</v>
      </c>
      <c r="B3497" t="s">
        <v>17</v>
      </c>
      <c r="C3497" t="s">
        <v>9</v>
      </c>
      <c r="D3497">
        <v>3240</v>
      </c>
      <c r="E3497">
        <v>2020</v>
      </c>
      <c r="F3497">
        <v>1</v>
      </c>
      <c r="G3497">
        <v>11025</v>
      </c>
      <c r="H3497" s="1">
        <v>3</v>
      </c>
      <c r="I3497">
        <v>17</v>
      </c>
      <c r="J3497">
        <f>IF($H3497=0,1,IF($I3497&lt;=1,2,0))</f>
        <v>0</v>
      </c>
      <c r="K3497">
        <v>0</v>
      </c>
      <c r="L3497">
        <f>IF(AND($J3497=0,$K3497=0),0,1)</f>
        <v>0</v>
      </c>
    </row>
    <row r="3498" spans="1:13" x14ac:dyDescent="0.2">
      <c r="A3498" t="s">
        <v>417</v>
      </c>
      <c r="B3498" t="s">
        <v>17</v>
      </c>
      <c r="C3498" t="s">
        <v>9</v>
      </c>
      <c r="D3498">
        <v>3240</v>
      </c>
      <c r="E3498">
        <v>2020</v>
      </c>
      <c r="F3498">
        <v>2</v>
      </c>
      <c r="G3498">
        <v>23192</v>
      </c>
      <c r="H3498" s="1">
        <v>3</v>
      </c>
      <c r="I3498">
        <v>2</v>
      </c>
      <c r="J3498">
        <f>IF($H3498=0,1,IF($I3498&lt;=1,2,0))</f>
        <v>0</v>
      </c>
      <c r="K3498">
        <v>0</v>
      </c>
      <c r="L3498">
        <f>IF(AND($J3498=0,$K3498=0),0,1)</f>
        <v>0</v>
      </c>
    </row>
    <row r="3499" spans="1:13" x14ac:dyDescent="0.2">
      <c r="A3499" t="s">
        <v>417</v>
      </c>
      <c r="B3499" t="s">
        <v>17</v>
      </c>
      <c r="C3499" t="s">
        <v>9</v>
      </c>
      <c r="D3499">
        <v>3242</v>
      </c>
      <c r="E3499">
        <v>2020</v>
      </c>
      <c r="F3499">
        <v>1</v>
      </c>
      <c r="G3499">
        <v>11059</v>
      </c>
      <c r="H3499" s="1">
        <v>3</v>
      </c>
      <c r="I3499">
        <v>13</v>
      </c>
      <c r="J3499">
        <f>IF($H3499=0,1,IF($I3499&lt;=1,2,0))</f>
        <v>0</v>
      </c>
      <c r="K3499">
        <v>0</v>
      </c>
      <c r="L3499">
        <f>IF(AND($J3499=0,$K3499=0),0,1)</f>
        <v>0</v>
      </c>
    </row>
    <row r="3500" spans="1:13" x14ac:dyDescent="0.2">
      <c r="A3500" t="s">
        <v>417</v>
      </c>
      <c r="B3500" t="s">
        <v>17</v>
      </c>
      <c r="C3500" t="s">
        <v>9</v>
      </c>
      <c r="D3500">
        <v>3333</v>
      </c>
      <c r="E3500">
        <v>2020</v>
      </c>
      <c r="F3500">
        <v>1</v>
      </c>
      <c r="G3500">
        <v>11060</v>
      </c>
      <c r="H3500" s="1">
        <v>3</v>
      </c>
      <c r="I3500">
        <v>13</v>
      </c>
      <c r="J3500">
        <f>IF($H3500=0,1,IF($I3500&lt;=1,2,0))</f>
        <v>0</v>
      </c>
      <c r="K3500">
        <v>0</v>
      </c>
      <c r="L3500">
        <f>IF(AND($J3500=0,$K3500=0),0,1)</f>
        <v>0</v>
      </c>
    </row>
    <row r="3501" spans="1:13" x14ac:dyDescent="0.2">
      <c r="A3501" t="s">
        <v>417</v>
      </c>
      <c r="B3501" t="s">
        <v>17</v>
      </c>
      <c r="C3501" t="s">
        <v>9</v>
      </c>
      <c r="D3501">
        <v>3405</v>
      </c>
      <c r="E3501">
        <v>2020</v>
      </c>
      <c r="F3501">
        <v>2</v>
      </c>
      <c r="G3501">
        <v>12432</v>
      </c>
      <c r="H3501" s="1">
        <v>3</v>
      </c>
      <c r="I3501">
        <v>9</v>
      </c>
      <c r="J3501">
        <f>IF($H3501=0,1,IF($I3501&lt;=1,2,0))</f>
        <v>0</v>
      </c>
      <c r="K3501">
        <v>0</v>
      </c>
      <c r="L3501">
        <f>IF(AND($J3501=0,$K3501=0),0,1)</f>
        <v>0</v>
      </c>
    </row>
    <row r="3502" spans="1:13" x14ac:dyDescent="0.2">
      <c r="A3502" t="s">
        <v>417</v>
      </c>
      <c r="B3502" t="s">
        <v>17</v>
      </c>
      <c r="C3502" t="s">
        <v>9</v>
      </c>
      <c r="D3502">
        <v>3405</v>
      </c>
      <c r="E3502">
        <v>2020</v>
      </c>
      <c r="F3502">
        <v>1</v>
      </c>
      <c r="G3502">
        <v>12431</v>
      </c>
      <c r="H3502" s="1">
        <v>3</v>
      </c>
      <c r="I3502">
        <v>8</v>
      </c>
      <c r="J3502">
        <f>IF($H3502=0,1,IF($I3502&lt;=1,2,0))</f>
        <v>0</v>
      </c>
      <c r="K3502">
        <v>0</v>
      </c>
      <c r="L3502">
        <f>IF(AND($J3502=0,$K3502=0),0,1)</f>
        <v>0</v>
      </c>
      <c r="M3502" t="s">
        <v>419</v>
      </c>
    </row>
    <row r="3503" spans="1:13" x14ac:dyDescent="0.2">
      <c r="A3503" t="s">
        <v>417</v>
      </c>
      <c r="B3503" t="s">
        <v>17</v>
      </c>
      <c r="C3503" t="s">
        <v>9</v>
      </c>
      <c r="D3503">
        <v>3405</v>
      </c>
      <c r="E3503">
        <v>2020</v>
      </c>
      <c r="F3503">
        <v>3</v>
      </c>
      <c r="G3503">
        <v>12433</v>
      </c>
      <c r="H3503" s="1">
        <v>3</v>
      </c>
      <c r="I3503">
        <v>8</v>
      </c>
      <c r="J3503">
        <f>IF($H3503=0,1,IF($I3503&lt;=1,2,0))</f>
        <v>0</v>
      </c>
      <c r="K3503">
        <v>0</v>
      </c>
      <c r="L3503">
        <f>IF(AND($J3503=0,$K3503=0),0,1)</f>
        <v>0</v>
      </c>
    </row>
    <row r="3504" spans="1:13" x14ac:dyDescent="0.2">
      <c r="A3504" t="s">
        <v>417</v>
      </c>
      <c r="B3504" t="s">
        <v>17</v>
      </c>
      <c r="C3504" t="s">
        <v>9</v>
      </c>
      <c r="D3504">
        <v>3420</v>
      </c>
      <c r="E3504">
        <v>2020</v>
      </c>
      <c r="F3504">
        <v>1</v>
      </c>
      <c r="G3504">
        <v>12434</v>
      </c>
      <c r="H3504" s="1">
        <v>3</v>
      </c>
      <c r="I3504">
        <v>11</v>
      </c>
      <c r="J3504">
        <f>IF($H3504=0,1,IF($I3504&lt;=1,2,0))</f>
        <v>0</v>
      </c>
      <c r="K3504">
        <v>0</v>
      </c>
      <c r="L3504">
        <f>IF(AND($J3504=0,$K3504=0),0,1)</f>
        <v>0</v>
      </c>
    </row>
    <row r="3505" spans="1:13" x14ac:dyDescent="0.2">
      <c r="A3505" t="s">
        <v>417</v>
      </c>
      <c r="B3505" t="s">
        <v>17</v>
      </c>
      <c r="C3505" t="s">
        <v>9</v>
      </c>
      <c r="D3505">
        <v>3995</v>
      </c>
      <c r="E3505">
        <v>2020</v>
      </c>
      <c r="F3505">
        <v>1</v>
      </c>
      <c r="G3505">
        <v>11165</v>
      </c>
      <c r="H3505" s="1">
        <v>3</v>
      </c>
      <c r="I3505">
        <v>4</v>
      </c>
      <c r="J3505">
        <f>IF($H3505=0,1,IF($I3505&lt;=1,2,0))</f>
        <v>0</v>
      </c>
      <c r="K3505">
        <v>0</v>
      </c>
      <c r="L3505">
        <f>IF(AND($J3505=0,$K3505=0),0,1)</f>
        <v>0</v>
      </c>
    </row>
    <row r="3506" spans="1:13" x14ac:dyDescent="0.2">
      <c r="A3506" t="s">
        <v>417</v>
      </c>
      <c r="B3506" t="s">
        <v>17</v>
      </c>
      <c r="C3506" t="s">
        <v>11</v>
      </c>
      <c r="D3506">
        <v>4025</v>
      </c>
      <c r="E3506">
        <v>2020</v>
      </c>
      <c r="F3506">
        <v>1</v>
      </c>
      <c r="G3506">
        <v>11900</v>
      </c>
      <c r="H3506" s="1">
        <v>3</v>
      </c>
      <c r="I3506">
        <v>4</v>
      </c>
      <c r="J3506">
        <f>IF($H3506=0,1,IF($I3506&lt;=1,2,0))</f>
        <v>0</v>
      </c>
      <c r="K3506">
        <v>0</v>
      </c>
      <c r="L3506">
        <f>IF(AND($J3506=0,$K3506=0),0,1)</f>
        <v>0</v>
      </c>
    </row>
    <row r="3507" spans="1:13" x14ac:dyDescent="0.2">
      <c r="A3507" t="s">
        <v>417</v>
      </c>
      <c r="B3507" t="s">
        <v>17</v>
      </c>
      <c r="C3507" t="s">
        <v>11</v>
      </c>
      <c r="D3507">
        <v>4800</v>
      </c>
      <c r="E3507">
        <v>2020</v>
      </c>
      <c r="F3507">
        <v>1</v>
      </c>
      <c r="G3507">
        <v>11180</v>
      </c>
      <c r="H3507" s="1">
        <v>3</v>
      </c>
      <c r="I3507">
        <v>9</v>
      </c>
      <c r="J3507">
        <f>IF($H3507=0,1,IF($I3507&lt;=1,2,0))</f>
        <v>0</v>
      </c>
      <c r="K3507">
        <v>0</v>
      </c>
      <c r="L3507">
        <f>IF(AND($J3507=0,$K3507=0),0,1)</f>
        <v>0</v>
      </c>
    </row>
    <row r="3508" spans="1:13" x14ac:dyDescent="0.2">
      <c r="A3508" t="s">
        <v>417</v>
      </c>
      <c r="B3508" t="s">
        <v>17</v>
      </c>
      <c r="C3508" t="s">
        <v>11</v>
      </c>
      <c r="D3508">
        <v>6020</v>
      </c>
      <c r="E3508">
        <v>2020</v>
      </c>
      <c r="F3508">
        <v>1</v>
      </c>
      <c r="G3508">
        <v>24613</v>
      </c>
      <c r="H3508" s="1">
        <v>1</v>
      </c>
      <c r="I3508">
        <v>6</v>
      </c>
      <c r="J3508">
        <f>IF($H3508=0,1,IF($I3508&lt;=1,2,0))</f>
        <v>0</v>
      </c>
      <c r="K3508">
        <v>0</v>
      </c>
      <c r="L3508">
        <f>IF(AND($J3508=0,$K3508=0),0,1)</f>
        <v>0</v>
      </c>
    </row>
    <row r="3509" spans="1:13" x14ac:dyDescent="0.2">
      <c r="A3509" t="s">
        <v>417</v>
      </c>
      <c r="B3509" t="s">
        <v>17</v>
      </c>
      <c r="C3509" t="s">
        <v>11</v>
      </c>
      <c r="D3509">
        <v>8214</v>
      </c>
      <c r="E3509">
        <v>2020</v>
      </c>
      <c r="F3509">
        <v>1</v>
      </c>
      <c r="G3509">
        <v>11194</v>
      </c>
      <c r="H3509" s="1">
        <v>3</v>
      </c>
      <c r="I3509">
        <v>9</v>
      </c>
      <c r="J3509">
        <f>IF($H3509=0,1,IF($I3509&lt;=1,2,0))</f>
        <v>0</v>
      </c>
      <c r="K3509">
        <v>0</v>
      </c>
      <c r="L3509">
        <f>IF(AND($J3509=0,$K3509=0),0,1)</f>
        <v>0</v>
      </c>
    </row>
    <row r="3510" spans="1:13" x14ac:dyDescent="0.2">
      <c r="A3510" t="s">
        <v>417</v>
      </c>
      <c r="B3510" t="s">
        <v>17</v>
      </c>
      <c r="C3510" t="s">
        <v>11</v>
      </c>
      <c r="D3510">
        <v>8828</v>
      </c>
      <c r="E3510">
        <v>2020</v>
      </c>
      <c r="F3510">
        <v>1</v>
      </c>
      <c r="G3510">
        <v>12728</v>
      </c>
      <c r="H3510" s="1">
        <v>3</v>
      </c>
      <c r="I3510">
        <v>14</v>
      </c>
      <c r="J3510">
        <f>IF($H3510=0,1,IF($I3510&lt;=1,2,0))</f>
        <v>0</v>
      </c>
      <c r="K3510">
        <v>0</v>
      </c>
      <c r="L3510">
        <f>IF(AND($J3510=0,$K3510=0),0,1)</f>
        <v>0</v>
      </c>
    </row>
    <row r="3511" spans="1:13" x14ac:dyDescent="0.2">
      <c r="A3511" t="s">
        <v>423</v>
      </c>
      <c r="B3511" t="s">
        <v>133</v>
      </c>
      <c r="C3511" t="s">
        <v>11</v>
      </c>
      <c r="D3511">
        <v>4050</v>
      </c>
      <c r="E3511">
        <v>2020</v>
      </c>
      <c r="F3511">
        <v>1</v>
      </c>
      <c r="G3511">
        <v>20731</v>
      </c>
      <c r="H3511" s="1">
        <v>4</v>
      </c>
      <c r="I3511">
        <v>7</v>
      </c>
      <c r="J3511">
        <f>IF($H3511=0,1,IF($I3511&lt;=1,2,0))</f>
        <v>0</v>
      </c>
      <c r="K3511">
        <v>0</v>
      </c>
      <c r="L3511">
        <f>IF(AND($J3511=0,$K3511=0),0,1)</f>
        <v>0</v>
      </c>
    </row>
    <row r="3512" spans="1:13" x14ac:dyDescent="0.2">
      <c r="A3512" t="s">
        <v>423</v>
      </c>
      <c r="B3512" t="s">
        <v>133</v>
      </c>
      <c r="C3512" t="s">
        <v>11</v>
      </c>
      <c r="D3512">
        <v>4501</v>
      </c>
      <c r="E3512">
        <v>2020</v>
      </c>
      <c r="F3512">
        <v>1</v>
      </c>
      <c r="G3512">
        <v>20732</v>
      </c>
      <c r="H3512" s="1">
        <v>4</v>
      </c>
      <c r="I3512">
        <v>5</v>
      </c>
      <c r="J3512">
        <f>IF($H3512=0,1,IF($I3512&lt;=1,2,0))</f>
        <v>0</v>
      </c>
      <c r="K3512">
        <v>0</v>
      </c>
      <c r="L3512">
        <f>IF(AND($J3512=0,$K3512=0),0,1)</f>
        <v>0</v>
      </c>
    </row>
    <row r="3513" spans="1:13" x14ac:dyDescent="0.2">
      <c r="A3513" t="s">
        <v>424</v>
      </c>
      <c r="B3513" t="s">
        <v>17</v>
      </c>
      <c r="C3513" t="s">
        <v>21</v>
      </c>
      <c r="D3513">
        <v>1101</v>
      </c>
      <c r="E3513">
        <v>2020</v>
      </c>
      <c r="F3513">
        <v>4</v>
      </c>
      <c r="G3513">
        <v>13319</v>
      </c>
      <c r="H3513" s="1">
        <v>4</v>
      </c>
      <c r="I3513">
        <v>18</v>
      </c>
      <c r="J3513">
        <f>IF($H3513=0,1,IF($I3513&lt;=1,2,0))</f>
        <v>0</v>
      </c>
      <c r="K3513">
        <v>0</v>
      </c>
      <c r="L3513">
        <f>IF(AND($J3513=0,$K3513=0),0,1)</f>
        <v>0</v>
      </c>
    </row>
    <row r="3514" spans="1:13" x14ac:dyDescent="0.2">
      <c r="A3514" t="s">
        <v>424</v>
      </c>
      <c r="B3514" t="s">
        <v>17</v>
      </c>
      <c r="C3514" t="s">
        <v>21</v>
      </c>
      <c r="D3514">
        <v>1101</v>
      </c>
      <c r="E3514">
        <v>2020</v>
      </c>
      <c r="F3514">
        <v>3</v>
      </c>
      <c r="G3514">
        <v>13321</v>
      </c>
      <c r="H3514" s="1">
        <v>4</v>
      </c>
      <c r="I3514">
        <v>14</v>
      </c>
      <c r="J3514">
        <f>IF($H3514=0,1,IF($I3514&lt;=1,2,0))</f>
        <v>0</v>
      </c>
      <c r="K3514">
        <v>0</v>
      </c>
      <c r="L3514">
        <f>IF(AND($J3514=0,$K3514=0),0,1)</f>
        <v>0</v>
      </c>
    </row>
    <row r="3515" spans="1:13" x14ac:dyDescent="0.2">
      <c r="A3515" t="s">
        <v>424</v>
      </c>
      <c r="B3515" t="s">
        <v>17</v>
      </c>
      <c r="C3515" t="s">
        <v>7</v>
      </c>
      <c r="D3515">
        <v>1101</v>
      </c>
      <c r="E3515">
        <v>2020</v>
      </c>
      <c r="F3515">
        <v>6</v>
      </c>
      <c r="G3515">
        <v>13322</v>
      </c>
      <c r="H3515" s="1">
        <v>4</v>
      </c>
      <c r="I3515">
        <v>13</v>
      </c>
      <c r="J3515">
        <f>IF($H3515=0,1,IF($I3515&lt;=1,2,0))</f>
        <v>0</v>
      </c>
      <c r="K3515">
        <v>0</v>
      </c>
      <c r="L3515">
        <f>IF(AND($J3515=0,$K3515=0),0,1)</f>
        <v>0</v>
      </c>
    </row>
    <row r="3516" spans="1:13" x14ac:dyDescent="0.2">
      <c r="A3516" t="s">
        <v>424</v>
      </c>
      <c r="B3516" t="s">
        <v>17</v>
      </c>
      <c r="C3516" t="s">
        <v>21</v>
      </c>
      <c r="D3516">
        <v>1101</v>
      </c>
      <c r="E3516">
        <v>2020</v>
      </c>
      <c r="F3516">
        <v>1</v>
      </c>
      <c r="G3516">
        <v>13224</v>
      </c>
      <c r="H3516" s="1">
        <v>4</v>
      </c>
      <c r="I3516">
        <v>10</v>
      </c>
      <c r="J3516">
        <f>IF($H3516=0,1,IF($I3516&lt;=1,2,0))</f>
        <v>0</v>
      </c>
      <c r="K3516">
        <v>0</v>
      </c>
      <c r="L3516">
        <f>IF(AND($J3516=0,$K3516=0),0,1)</f>
        <v>0</v>
      </c>
    </row>
    <row r="3517" spans="1:13" x14ac:dyDescent="0.2">
      <c r="A3517" t="s">
        <v>424</v>
      </c>
      <c r="B3517" t="s">
        <v>17</v>
      </c>
      <c r="C3517" t="s">
        <v>21</v>
      </c>
      <c r="D3517">
        <v>1102</v>
      </c>
      <c r="E3517">
        <v>2020</v>
      </c>
      <c r="F3517">
        <v>2</v>
      </c>
      <c r="G3517">
        <v>13325</v>
      </c>
      <c r="H3517" s="1">
        <v>4</v>
      </c>
      <c r="I3517">
        <v>11</v>
      </c>
      <c r="J3517">
        <f>IF($H3517=0,1,IF($I3517&lt;=1,2,0))</f>
        <v>0</v>
      </c>
      <c r="K3517">
        <v>0</v>
      </c>
      <c r="L3517">
        <f>IF(AND($J3517=0,$K3517=0),0,1)</f>
        <v>0</v>
      </c>
      <c r="M3517" t="s">
        <v>1055</v>
      </c>
    </row>
    <row r="3518" spans="1:13" x14ac:dyDescent="0.2">
      <c r="A3518" t="s">
        <v>424</v>
      </c>
      <c r="B3518" t="s">
        <v>17</v>
      </c>
      <c r="C3518" t="s">
        <v>21</v>
      </c>
      <c r="D3518">
        <v>1102</v>
      </c>
      <c r="E3518">
        <v>2020</v>
      </c>
      <c r="F3518">
        <v>1</v>
      </c>
      <c r="G3518">
        <v>13323</v>
      </c>
      <c r="H3518" s="1">
        <v>4</v>
      </c>
      <c r="I3518">
        <v>7</v>
      </c>
      <c r="J3518">
        <f>IF($H3518=0,1,IF($I3518&lt;=1,2,0))</f>
        <v>0</v>
      </c>
      <c r="K3518">
        <v>0</v>
      </c>
      <c r="L3518">
        <f>IF(AND($J3518=0,$K3518=0),0,1)</f>
        <v>0</v>
      </c>
      <c r="M3518" t="s">
        <v>1055</v>
      </c>
    </row>
    <row r="3519" spans="1:13" x14ac:dyDescent="0.2">
      <c r="A3519" t="s">
        <v>424</v>
      </c>
      <c r="B3519" t="s">
        <v>17</v>
      </c>
      <c r="C3519" t="s">
        <v>153</v>
      </c>
      <c r="D3519">
        <v>1113</v>
      </c>
      <c r="E3519">
        <v>2020</v>
      </c>
      <c r="F3519">
        <v>1</v>
      </c>
      <c r="G3519">
        <v>13326</v>
      </c>
      <c r="H3519" s="1">
        <v>3</v>
      </c>
      <c r="I3519">
        <v>5</v>
      </c>
      <c r="J3519">
        <f>IF($H3519=0,1,IF($I3519&lt;=1,2,0))</f>
        <v>0</v>
      </c>
      <c r="K3519">
        <v>0</v>
      </c>
      <c r="L3519">
        <f>IF(AND($J3519=0,$K3519=0),0,1)</f>
        <v>0</v>
      </c>
    </row>
    <row r="3520" spans="1:13" x14ac:dyDescent="0.2">
      <c r="A3520" t="s">
        <v>424</v>
      </c>
      <c r="B3520" t="s">
        <v>17</v>
      </c>
      <c r="C3520" t="s">
        <v>21</v>
      </c>
      <c r="D3520">
        <v>2101</v>
      </c>
      <c r="E3520">
        <v>2020</v>
      </c>
      <c r="F3520">
        <v>1</v>
      </c>
      <c r="G3520">
        <v>13327</v>
      </c>
      <c r="H3520" s="1">
        <v>4</v>
      </c>
      <c r="I3520">
        <v>11</v>
      </c>
      <c r="J3520">
        <f>IF($H3520=0,1,IF($I3520&lt;=1,2,0))</f>
        <v>0</v>
      </c>
      <c r="K3520">
        <v>0</v>
      </c>
      <c r="L3520">
        <f>IF(AND($J3520=0,$K3520=0),0,1)</f>
        <v>0</v>
      </c>
      <c r="M3520" t="s">
        <v>1055</v>
      </c>
    </row>
    <row r="3521" spans="1:13" x14ac:dyDescent="0.2">
      <c r="A3521" t="s">
        <v>424</v>
      </c>
      <c r="B3521" t="s">
        <v>17</v>
      </c>
      <c r="C3521" t="s">
        <v>21</v>
      </c>
      <c r="D3521">
        <v>2101</v>
      </c>
      <c r="E3521">
        <v>2020</v>
      </c>
      <c r="F3521">
        <v>2</v>
      </c>
      <c r="G3521">
        <v>13328</v>
      </c>
      <c r="H3521" s="1">
        <v>4</v>
      </c>
      <c r="I3521">
        <v>11</v>
      </c>
      <c r="J3521">
        <f>IF($H3521=0,1,IF($I3521&lt;=1,2,0))</f>
        <v>0</v>
      </c>
      <c r="K3521">
        <v>0</v>
      </c>
      <c r="L3521">
        <f>IF(AND($J3521=0,$K3521=0),0,1)</f>
        <v>0</v>
      </c>
      <c r="M3521" t="s">
        <v>1055</v>
      </c>
    </row>
    <row r="3522" spans="1:13" x14ac:dyDescent="0.2">
      <c r="A3522" t="s">
        <v>424</v>
      </c>
      <c r="B3522" t="s">
        <v>17</v>
      </c>
      <c r="C3522" t="s">
        <v>21</v>
      </c>
      <c r="D3522">
        <v>2101</v>
      </c>
      <c r="E3522">
        <v>2020</v>
      </c>
      <c r="F3522">
        <v>5</v>
      </c>
      <c r="G3522">
        <v>399</v>
      </c>
      <c r="H3522" s="1">
        <v>4</v>
      </c>
      <c r="I3522">
        <v>11</v>
      </c>
      <c r="J3522">
        <f>IF($H3522=0,1,IF($I3522&lt;=1,2,0))</f>
        <v>0</v>
      </c>
      <c r="K3522">
        <v>0</v>
      </c>
      <c r="L3522">
        <f>IF(AND($J3522=0,$K3522=0),0,1)</f>
        <v>0</v>
      </c>
    </row>
    <row r="3523" spans="1:13" x14ac:dyDescent="0.2">
      <c r="A3523" t="s">
        <v>424</v>
      </c>
      <c r="B3523" t="s">
        <v>17</v>
      </c>
      <c r="C3523" t="s">
        <v>21</v>
      </c>
      <c r="D3523">
        <v>2102</v>
      </c>
      <c r="E3523">
        <v>2020</v>
      </c>
      <c r="F3523">
        <v>1</v>
      </c>
      <c r="G3523">
        <v>13331</v>
      </c>
      <c r="H3523" s="1">
        <v>4</v>
      </c>
      <c r="I3523">
        <v>8</v>
      </c>
      <c r="J3523">
        <f>IF($H3523=0,1,IF($I3523&lt;=1,2,0))</f>
        <v>0</v>
      </c>
      <c r="K3523">
        <v>0</v>
      </c>
      <c r="L3523">
        <f>IF(AND($J3523=0,$K3523=0),0,1)</f>
        <v>0</v>
      </c>
      <c r="M3523" t="s">
        <v>1055</v>
      </c>
    </row>
    <row r="3524" spans="1:13" x14ac:dyDescent="0.2">
      <c r="A3524" t="s">
        <v>424</v>
      </c>
      <c r="B3524" t="s">
        <v>17</v>
      </c>
      <c r="C3524" t="s">
        <v>21</v>
      </c>
      <c r="D3524">
        <v>2102</v>
      </c>
      <c r="E3524">
        <v>2020</v>
      </c>
      <c r="F3524">
        <v>2</v>
      </c>
      <c r="G3524">
        <v>13330</v>
      </c>
      <c r="H3524" s="1">
        <v>4</v>
      </c>
      <c r="I3524">
        <v>8</v>
      </c>
      <c r="J3524">
        <f>IF($H3524=0,1,IF($I3524&lt;=1,2,0))</f>
        <v>0</v>
      </c>
      <c r="K3524">
        <v>0</v>
      </c>
      <c r="L3524">
        <f>IF(AND($J3524=0,$K3524=0),0,1)</f>
        <v>0</v>
      </c>
      <c r="M3524" t="s">
        <v>1055</v>
      </c>
    </row>
    <row r="3525" spans="1:13" x14ac:dyDescent="0.2">
      <c r="A3525" t="s">
        <v>424</v>
      </c>
      <c r="B3525" t="s">
        <v>17</v>
      </c>
      <c r="C3525" t="s">
        <v>9</v>
      </c>
      <c r="D3525">
        <v>2521</v>
      </c>
      <c r="E3525">
        <v>2020</v>
      </c>
      <c r="F3525">
        <v>1</v>
      </c>
      <c r="G3525">
        <v>13333</v>
      </c>
      <c r="H3525" s="1">
        <v>2</v>
      </c>
      <c r="I3525">
        <v>5</v>
      </c>
      <c r="J3525">
        <f>IF($H3525=0,1,IF($I3525&lt;=1,2,0))</f>
        <v>0</v>
      </c>
      <c r="K3525">
        <v>0</v>
      </c>
      <c r="L3525">
        <f>IF(AND($J3525=0,$K3525=0),0,1)</f>
        <v>0</v>
      </c>
    </row>
    <row r="3526" spans="1:13" x14ac:dyDescent="0.2">
      <c r="A3526" t="s">
        <v>424</v>
      </c>
      <c r="B3526" t="s">
        <v>17</v>
      </c>
      <c r="C3526" t="s">
        <v>21</v>
      </c>
      <c r="D3526">
        <v>3001</v>
      </c>
      <c r="E3526">
        <v>2020</v>
      </c>
      <c r="F3526">
        <v>1</v>
      </c>
      <c r="G3526">
        <v>13334</v>
      </c>
      <c r="H3526" s="1">
        <v>3</v>
      </c>
      <c r="I3526">
        <v>13</v>
      </c>
      <c r="J3526">
        <f>IF($H3526=0,1,IF($I3526&lt;=1,2,0))</f>
        <v>0</v>
      </c>
      <c r="K3526">
        <v>0</v>
      </c>
      <c r="L3526">
        <f>IF(AND($J3526=0,$K3526=0),0,1)</f>
        <v>0</v>
      </c>
      <c r="M3526" t="s">
        <v>285</v>
      </c>
    </row>
    <row r="3527" spans="1:13" x14ac:dyDescent="0.2">
      <c r="A3527" t="s">
        <v>424</v>
      </c>
      <c r="B3527" t="s">
        <v>17</v>
      </c>
      <c r="C3527" t="s">
        <v>9</v>
      </c>
      <c r="D3527">
        <v>3333</v>
      </c>
      <c r="E3527">
        <v>2020</v>
      </c>
      <c r="F3527">
        <v>1</v>
      </c>
      <c r="G3527">
        <v>13335</v>
      </c>
      <c r="H3527" s="1">
        <v>3</v>
      </c>
      <c r="I3527">
        <v>13</v>
      </c>
      <c r="J3527">
        <f>IF($H3527=0,1,IF($I3527&lt;=1,2,0))</f>
        <v>0</v>
      </c>
      <c r="K3527">
        <v>0</v>
      </c>
      <c r="L3527">
        <f>IF(AND($J3527=0,$K3527=0),0,1)</f>
        <v>0</v>
      </c>
    </row>
    <row r="3528" spans="1:13" x14ac:dyDescent="0.2">
      <c r="A3528" t="s">
        <v>424</v>
      </c>
      <c r="B3528" t="s">
        <v>17</v>
      </c>
      <c r="C3528" t="s">
        <v>11</v>
      </c>
      <c r="D3528">
        <v>4350</v>
      </c>
      <c r="E3528">
        <v>2020</v>
      </c>
      <c r="F3528">
        <v>1</v>
      </c>
      <c r="G3528">
        <v>13336</v>
      </c>
      <c r="H3528" s="1">
        <v>3</v>
      </c>
      <c r="I3528">
        <v>15</v>
      </c>
      <c r="J3528">
        <f>IF($H3528=0,1,IF($I3528&lt;=1,2,0))</f>
        <v>0</v>
      </c>
      <c r="K3528">
        <v>0</v>
      </c>
      <c r="L3528">
        <f>IF(AND($J3528=0,$K3528=0),0,1)</f>
        <v>0</v>
      </c>
    </row>
    <row r="3529" spans="1:13" x14ac:dyDescent="0.2">
      <c r="A3529" t="s">
        <v>424</v>
      </c>
      <c r="B3529" t="s">
        <v>17</v>
      </c>
      <c r="C3529" t="s">
        <v>11</v>
      </c>
      <c r="D3529">
        <v>8121</v>
      </c>
      <c r="E3529">
        <v>2020</v>
      </c>
      <c r="F3529">
        <v>1</v>
      </c>
      <c r="G3529">
        <v>14317</v>
      </c>
      <c r="H3529" s="1">
        <v>3</v>
      </c>
      <c r="I3529">
        <v>6</v>
      </c>
      <c r="J3529">
        <f>IF($H3529=0,1,IF($I3529&lt;=1,2,0))</f>
        <v>0</v>
      </c>
      <c r="K3529">
        <v>0</v>
      </c>
      <c r="L3529">
        <f>IF(AND($J3529=0,$K3529=0),0,1)</f>
        <v>0</v>
      </c>
      <c r="M3529" t="s">
        <v>1056</v>
      </c>
    </row>
    <row r="3530" spans="1:13" x14ac:dyDescent="0.2">
      <c r="A3530" t="s">
        <v>426</v>
      </c>
      <c r="B3530" t="s">
        <v>17</v>
      </c>
      <c r="C3530" t="s">
        <v>21</v>
      </c>
      <c r="D3530">
        <v>1101</v>
      </c>
      <c r="E3530">
        <v>2020</v>
      </c>
      <c r="F3530">
        <v>1</v>
      </c>
      <c r="G3530">
        <v>11604</v>
      </c>
      <c r="H3530" s="1">
        <v>4</v>
      </c>
      <c r="I3530">
        <v>6</v>
      </c>
      <c r="J3530">
        <f>IF($H3530=0,1,IF($I3530&lt;=1,2,0))</f>
        <v>0</v>
      </c>
      <c r="K3530">
        <v>0</v>
      </c>
      <c r="L3530">
        <f>IF(AND($J3530=0,$K3530=0),0,1)</f>
        <v>0</v>
      </c>
    </row>
    <row r="3531" spans="1:13" x14ac:dyDescent="0.2">
      <c r="A3531" t="s">
        <v>426</v>
      </c>
      <c r="B3531" t="s">
        <v>17</v>
      </c>
      <c r="C3531" t="s">
        <v>21</v>
      </c>
      <c r="D3531">
        <v>1101</v>
      </c>
      <c r="E3531">
        <v>2020</v>
      </c>
      <c r="F3531">
        <v>2</v>
      </c>
      <c r="G3531">
        <v>11606</v>
      </c>
      <c r="H3531" s="1">
        <v>4</v>
      </c>
      <c r="I3531">
        <v>5</v>
      </c>
      <c r="J3531">
        <f>IF($H3531=0,1,IF($I3531&lt;=1,2,0))</f>
        <v>0</v>
      </c>
      <c r="K3531">
        <v>0</v>
      </c>
      <c r="L3531">
        <f>IF(AND($J3531=0,$K3531=0),0,1)</f>
        <v>0</v>
      </c>
    </row>
    <row r="3532" spans="1:13" x14ac:dyDescent="0.2">
      <c r="A3532" t="s">
        <v>426</v>
      </c>
      <c r="B3532" t="s">
        <v>17</v>
      </c>
      <c r="C3532" t="s">
        <v>21</v>
      </c>
      <c r="D3532">
        <v>1121</v>
      </c>
      <c r="E3532">
        <v>2020</v>
      </c>
      <c r="F3532">
        <v>1</v>
      </c>
      <c r="G3532">
        <v>11607</v>
      </c>
      <c r="H3532" s="1">
        <v>4</v>
      </c>
      <c r="I3532">
        <v>7</v>
      </c>
      <c r="J3532">
        <f>IF($H3532=0,1,IF($I3532&lt;=1,2,0))</f>
        <v>0</v>
      </c>
      <c r="K3532">
        <v>0</v>
      </c>
      <c r="L3532">
        <f>IF(AND($J3532=0,$K3532=0),0,1)</f>
        <v>0</v>
      </c>
    </row>
    <row r="3533" spans="1:13" x14ac:dyDescent="0.2">
      <c r="A3533" t="s">
        <v>426</v>
      </c>
      <c r="B3533" t="s">
        <v>17</v>
      </c>
      <c r="C3533" t="s">
        <v>21</v>
      </c>
      <c r="D3533">
        <v>2101</v>
      </c>
      <c r="E3533">
        <v>2020</v>
      </c>
      <c r="F3533">
        <v>1</v>
      </c>
      <c r="G3533">
        <v>11608</v>
      </c>
      <c r="H3533" s="1">
        <v>4</v>
      </c>
      <c r="I3533">
        <v>14</v>
      </c>
      <c r="J3533">
        <f>IF($H3533=0,1,IF($I3533&lt;=1,2,0))</f>
        <v>0</v>
      </c>
      <c r="K3533">
        <v>0</v>
      </c>
      <c r="L3533">
        <f>IF(AND($J3533=0,$K3533=0),0,1)</f>
        <v>0</v>
      </c>
    </row>
    <row r="3534" spans="1:13" x14ac:dyDescent="0.2">
      <c r="A3534" t="s">
        <v>426</v>
      </c>
      <c r="B3534" t="s">
        <v>17</v>
      </c>
      <c r="C3534" t="s">
        <v>21</v>
      </c>
      <c r="D3534">
        <v>3309</v>
      </c>
      <c r="E3534">
        <v>2020</v>
      </c>
      <c r="F3534">
        <v>1</v>
      </c>
      <c r="G3534">
        <v>11613</v>
      </c>
      <c r="H3534" s="1">
        <v>3</v>
      </c>
      <c r="I3534">
        <v>3</v>
      </c>
      <c r="J3534">
        <f>IF($H3534=0,1,IF($I3534&lt;=1,2,0))</f>
        <v>0</v>
      </c>
      <c r="K3534">
        <v>0</v>
      </c>
      <c r="L3534">
        <f>IF(AND($J3534=0,$K3534=0),0,1)</f>
        <v>0</v>
      </c>
      <c r="M3534" t="s">
        <v>1057</v>
      </c>
    </row>
    <row r="3535" spans="1:13" x14ac:dyDescent="0.2">
      <c r="A3535" t="s">
        <v>426</v>
      </c>
      <c r="B3535" t="s">
        <v>17</v>
      </c>
      <c r="C3535" t="s">
        <v>9</v>
      </c>
      <c r="D3535">
        <v>3980</v>
      </c>
      <c r="E3535">
        <v>2020</v>
      </c>
      <c r="F3535">
        <v>1</v>
      </c>
      <c r="G3535">
        <v>11614</v>
      </c>
      <c r="H3535" s="1">
        <v>3</v>
      </c>
      <c r="I3535">
        <v>2</v>
      </c>
      <c r="J3535">
        <f>IF($H3535=0,1,IF($I3535&lt;=1,2,0))</f>
        <v>0</v>
      </c>
      <c r="K3535">
        <v>0</v>
      </c>
      <c r="L3535">
        <f>IF(AND($J3535=0,$K3535=0),0,1)</f>
        <v>0</v>
      </c>
    </row>
    <row r="3536" spans="1:13" x14ac:dyDescent="0.2">
      <c r="A3536" t="s">
        <v>426</v>
      </c>
      <c r="B3536" t="s">
        <v>17</v>
      </c>
      <c r="C3536" t="s">
        <v>21</v>
      </c>
      <c r="D3536">
        <v>3996</v>
      </c>
      <c r="E3536">
        <v>2020</v>
      </c>
      <c r="F3536">
        <v>1</v>
      </c>
      <c r="G3536">
        <v>11617</v>
      </c>
      <c r="H3536" s="1">
        <v>3</v>
      </c>
      <c r="I3536">
        <v>5</v>
      </c>
      <c r="J3536">
        <f>IF($H3536=0,1,IF($I3536&lt;=1,2,0))</f>
        <v>0</v>
      </c>
      <c r="K3536">
        <v>0</v>
      </c>
      <c r="L3536">
        <f>IF(AND($J3536=0,$K3536=0),0,1)</f>
        <v>0</v>
      </c>
    </row>
    <row r="3537" spans="1:13" x14ac:dyDescent="0.2">
      <c r="A3537" t="s">
        <v>426</v>
      </c>
      <c r="B3537" t="s">
        <v>17</v>
      </c>
      <c r="C3537" t="s">
        <v>9</v>
      </c>
      <c r="D3537">
        <v>4009</v>
      </c>
      <c r="E3537">
        <v>2020</v>
      </c>
      <c r="F3537">
        <v>1</v>
      </c>
      <c r="G3537">
        <v>549</v>
      </c>
      <c r="H3537" s="1">
        <v>3</v>
      </c>
      <c r="I3537">
        <v>8</v>
      </c>
      <c r="J3537">
        <f>IF($H3537=0,1,IF($I3537&lt;=1,2,0))</f>
        <v>0</v>
      </c>
      <c r="K3537">
        <v>0</v>
      </c>
      <c r="L3537">
        <f>IF(AND($J3537=0,$K3537=0),0,1)</f>
        <v>0</v>
      </c>
    </row>
    <row r="3538" spans="1:13" x14ac:dyDescent="0.2">
      <c r="A3538" t="s">
        <v>426</v>
      </c>
      <c r="B3538" t="s">
        <v>17</v>
      </c>
      <c r="C3538" t="s">
        <v>9</v>
      </c>
      <c r="D3538">
        <v>4105</v>
      </c>
      <c r="E3538">
        <v>2020</v>
      </c>
      <c r="F3538">
        <v>1</v>
      </c>
      <c r="G3538">
        <v>11623</v>
      </c>
      <c r="H3538" s="1">
        <v>4</v>
      </c>
      <c r="I3538">
        <v>11</v>
      </c>
      <c r="J3538">
        <f>IF($H3538=0,1,IF($I3538&lt;=1,2,0))</f>
        <v>0</v>
      </c>
      <c r="K3538">
        <v>0</v>
      </c>
      <c r="L3538">
        <f>IF(AND($J3538=0,$K3538=0),0,1)</f>
        <v>0</v>
      </c>
    </row>
    <row r="3539" spans="1:13" x14ac:dyDescent="0.2">
      <c r="A3539" t="s">
        <v>426</v>
      </c>
      <c r="B3539" t="s">
        <v>17</v>
      </c>
      <c r="C3539" t="s">
        <v>11</v>
      </c>
      <c r="D3539">
        <v>5139</v>
      </c>
      <c r="E3539">
        <v>2020</v>
      </c>
      <c r="F3539">
        <v>1</v>
      </c>
      <c r="G3539">
        <v>11625</v>
      </c>
      <c r="H3539" s="1">
        <v>4</v>
      </c>
      <c r="I3539">
        <v>6</v>
      </c>
      <c r="J3539">
        <f>IF($H3539=0,1,IF($I3539&lt;=1,2,0))</f>
        <v>0</v>
      </c>
      <c r="K3539">
        <v>0</v>
      </c>
      <c r="L3539">
        <f>IF(AND($J3539=0,$K3539=0),0,1)</f>
        <v>0</v>
      </c>
      <c r="M3539" t="s">
        <v>1058</v>
      </c>
    </row>
    <row r="3540" spans="1:13" x14ac:dyDescent="0.2">
      <c r="A3540" t="s">
        <v>426</v>
      </c>
      <c r="B3540" t="s">
        <v>17</v>
      </c>
      <c r="C3540" t="s">
        <v>11</v>
      </c>
      <c r="D3540">
        <v>8015</v>
      </c>
      <c r="E3540">
        <v>2020</v>
      </c>
      <c r="F3540">
        <v>1</v>
      </c>
      <c r="G3540">
        <v>14311</v>
      </c>
      <c r="H3540" s="1">
        <v>3</v>
      </c>
      <c r="I3540">
        <v>8</v>
      </c>
      <c r="J3540">
        <f>IF($H3540=0,1,IF($I3540&lt;=1,2,0))</f>
        <v>0</v>
      </c>
      <c r="K3540">
        <v>0</v>
      </c>
      <c r="L3540">
        <f>IF(AND($J3540=0,$K3540=0),0,1)</f>
        <v>0</v>
      </c>
    </row>
    <row r="3541" spans="1:13" x14ac:dyDescent="0.2">
      <c r="A3541" t="s">
        <v>429</v>
      </c>
      <c r="B3541" t="s">
        <v>17</v>
      </c>
      <c r="C3541" t="s">
        <v>21</v>
      </c>
      <c r="D3541">
        <v>1101</v>
      </c>
      <c r="E3541">
        <v>2020</v>
      </c>
      <c r="F3541">
        <v>1</v>
      </c>
      <c r="G3541">
        <v>11627</v>
      </c>
      <c r="H3541" s="1">
        <v>4</v>
      </c>
      <c r="I3541">
        <v>9</v>
      </c>
      <c r="J3541">
        <f>IF($H3541=0,1,IF($I3541&lt;=1,2,0))</f>
        <v>0</v>
      </c>
      <c r="K3541">
        <v>0</v>
      </c>
      <c r="L3541">
        <f>IF(AND($J3541=0,$K3541=0),0,1)</f>
        <v>0</v>
      </c>
    </row>
    <row r="3542" spans="1:13" x14ac:dyDescent="0.2">
      <c r="A3542" t="s">
        <v>429</v>
      </c>
      <c r="B3542" t="s">
        <v>17</v>
      </c>
      <c r="C3542" t="s">
        <v>21</v>
      </c>
      <c r="D3542">
        <v>2101</v>
      </c>
      <c r="E3542">
        <v>2020</v>
      </c>
      <c r="F3542">
        <v>1</v>
      </c>
      <c r="G3542">
        <v>11629</v>
      </c>
      <c r="H3542" s="1">
        <v>4</v>
      </c>
      <c r="I3542">
        <v>10</v>
      </c>
      <c r="J3542">
        <f>IF($H3542=0,1,IF($I3542&lt;=1,2,0))</f>
        <v>0</v>
      </c>
      <c r="K3542">
        <v>0</v>
      </c>
      <c r="L3542">
        <f>IF(AND($J3542=0,$K3542=0),0,1)</f>
        <v>0</v>
      </c>
      <c r="M3542" t="s">
        <v>2001</v>
      </c>
    </row>
    <row r="3543" spans="1:13" x14ac:dyDescent="0.2">
      <c r="A3543" t="s">
        <v>429</v>
      </c>
      <c r="B3543" t="s">
        <v>17</v>
      </c>
      <c r="C3543" t="s">
        <v>9</v>
      </c>
      <c r="D3543">
        <v>3003</v>
      </c>
      <c r="E3543">
        <v>2020</v>
      </c>
      <c r="F3543">
        <v>1</v>
      </c>
      <c r="G3543">
        <v>11630</v>
      </c>
      <c r="H3543" s="1">
        <v>3</v>
      </c>
      <c r="I3543">
        <v>4</v>
      </c>
      <c r="J3543">
        <f>IF($H3543=0,1,IF($I3543&lt;=1,2,0))</f>
        <v>0</v>
      </c>
      <c r="K3543">
        <v>0</v>
      </c>
      <c r="L3543">
        <f>IF(AND($J3543=0,$K3543=0),0,1)</f>
        <v>0</v>
      </c>
      <c r="M3543" t="s">
        <v>2002</v>
      </c>
    </row>
    <row r="3544" spans="1:13" x14ac:dyDescent="0.2">
      <c r="A3544" t="s">
        <v>429</v>
      </c>
      <c r="B3544" t="s">
        <v>17</v>
      </c>
      <c r="C3544" t="s">
        <v>9</v>
      </c>
      <c r="D3544">
        <v>3935</v>
      </c>
      <c r="E3544">
        <v>2020</v>
      </c>
      <c r="F3544">
        <v>1</v>
      </c>
      <c r="G3544">
        <v>11632</v>
      </c>
      <c r="H3544" s="1">
        <v>3</v>
      </c>
      <c r="I3544">
        <v>15</v>
      </c>
      <c r="J3544">
        <f>IF($H3544=0,1,IF($I3544&lt;=1,2,0))</f>
        <v>0</v>
      </c>
      <c r="K3544">
        <v>0</v>
      </c>
      <c r="L3544">
        <f>IF(AND($J3544=0,$K3544=0),0,1)</f>
        <v>0</v>
      </c>
    </row>
    <row r="3545" spans="1:13" x14ac:dyDescent="0.2">
      <c r="A3545" t="s">
        <v>431</v>
      </c>
      <c r="B3545" t="s">
        <v>6</v>
      </c>
      <c r="C3545" t="s">
        <v>9</v>
      </c>
      <c r="D3545">
        <v>1002</v>
      </c>
      <c r="E3545">
        <v>2020</v>
      </c>
      <c r="F3545">
        <v>1</v>
      </c>
      <c r="G3545">
        <v>12864</v>
      </c>
      <c r="H3545" s="1">
        <v>4</v>
      </c>
      <c r="I3545">
        <v>20</v>
      </c>
      <c r="J3545">
        <f>IF($H3545=0,1,IF($I3545&lt;=1,2,0))</f>
        <v>0</v>
      </c>
      <c r="K3545">
        <v>0</v>
      </c>
      <c r="L3545">
        <f>IF(AND($J3545=0,$K3545=0),0,1)</f>
        <v>0</v>
      </c>
      <c r="M3545" t="s">
        <v>1059</v>
      </c>
    </row>
    <row r="3546" spans="1:13" x14ac:dyDescent="0.2">
      <c r="A3546" t="s">
        <v>431</v>
      </c>
      <c r="B3546" t="s">
        <v>6</v>
      </c>
      <c r="C3546" t="s">
        <v>9</v>
      </c>
      <c r="D3546">
        <v>1010</v>
      </c>
      <c r="E3546">
        <v>2020</v>
      </c>
      <c r="F3546">
        <v>1</v>
      </c>
      <c r="G3546">
        <v>10007</v>
      </c>
      <c r="H3546" s="1">
        <v>4</v>
      </c>
      <c r="I3546">
        <v>78</v>
      </c>
      <c r="J3546">
        <f>IF($H3546=0,1,IF($I3546&lt;=1,2,0))</f>
        <v>0</v>
      </c>
      <c r="K3546">
        <v>0</v>
      </c>
      <c r="L3546">
        <f>IF(AND($J3546=0,$K3546=0),0,1)</f>
        <v>0</v>
      </c>
      <c r="M3546" t="s">
        <v>1061</v>
      </c>
    </row>
    <row r="3547" spans="1:13" x14ac:dyDescent="0.2">
      <c r="A3547" t="s">
        <v>431</v>
      </c>
      <c r="B3547" t="s">
        <v>6</v>
      </c>
      <c r="C3547" t="s">
        <v>9</v>
      </c>
      <c r="D3547">
        <v>1768</v>
      </c>
      <c r="E3547">
        <v>2020</v>
      </c>
      <c r="F3547">
        <v>1</v>
      </c>
      <c r="G3547">
        <v>13776</v>
      </c>
      <c r="H3547" s="1">
        <v>4</v>
      </c>
      <c r="I3547">
        <v>57</v>
      </c>
      <c r="J3547">
        <f>IF($H3547=0,1,IF($I3547&lt;=1,2,0))</f>
        <v>0</v>
      </c>
      <c r="K3547">
        <v>0</v>
      </c>
      <c r="L3547">
        <f>IF(AND($J3547=0,$K3547=0),0,1)</f>
        <v>0</v>
      </c>
      <c r="M3547" t="s">
        <v>1063</v>
      </c>
    </row>
    <row r="3548" spans="1:13" x14ac:dyDescent="0.2">
      <c r="A3548" t="s">
        <v>431</v>
      </c>
      <c r="B3548" t="s">
        <v>6</v>
      </c>
      <c r="C3548" t="s">
        <v>9</v>
      </c>
      <c r="D3548">
        <v>2072</v>
      </c>
      <c r="E3548">
        <v>2020</v>
      </c>
      <c r="F3548">
        <v>1</v>
      </c>
      <c r="G3548">
        <v>20770</v>
      </c>
      <c r="H3548" s="1">
        <v>4</v>
      </c>
      <c r="I3548">
        <v>30</v>
      </c>
      <c r="J3548">
        <f>IF($H3548=0,1,IF($I3548&lt;=1,2,0))</f>
        <v>0</v>
      </c>
      <c r="K3548">
        <v>0</v>
      </c>
      <c r="L3548">
        <f>IF(AND($J3548=0,$K3548=0),0,1)</f>
        <v>0</v>
      </c>
      <c r="M3548" t="s">
        <v>1065</v>
      </c>
    </row>
    <row r="3549" spans="1:13" x14ac:dyDescent="0.2">
      <c r="A3549" t="s">
        <v>431</v>
      </c>
      <c r="B3549" t="s">
        <v>6</v>
      </c>
      <c r="C3549" t="s">
        <v>9</v>
      </c>
      <c r="D3549">
        <v>2112</v>
      </c>
      <c r="E3549">
        <v>2020</v>
      </c>
      <c r="F3549">
        <v>1</v>
      </c>
      <c r="G3549">
        <v>12046</v>
      </c>
      <c r="H3549" s="1">
        <v>4</v>
      </c>
      <c r="I3549">
        <v>17</v>
      </c>
      <c r="J3549">
        <f>IF($H3549=0,1,IF($I3549&lt;=1,2,0))</f>
        <v>0</v>
      </c>
      <c r="K3549">
        <v>0</v>
      </c>
      <c r="L3549">
        <f>IF(AND($J3549=0,$K3549=0),0,1)</f>
        <v>0</v>
      </c>
      <c r="M3549" t="s">
        <v>1066</v>
      </c>
    </row>
    <row r="3550" spans="1:13" x14ac:dyDescent="0.2">
      <c r="A3550" t="s">
        <v>431</v>
      </c>
      <c r="B3550" t="s">
        <v>6</v>
      </c>
      <c r="C3550" t="s">
        <v>9</v>
      </c>
      <c r="D3550">
        <v>2213</v>
      </c>
      <c r="E3550">
        <v>2020</v>
      </c>
      <c r="F3550">
        <v>1</v>
      </c>
      <c r="G3550">
        <v>12777</v>
      </c>
      <c r="H3550" s="1">
        <v>4</v>
      </c>
      <c r="I3550">
        <v>24</v>
      </c>
      <c r="J3550">
        <f>IF($H3550=0,1,IF($I3550&lt;=1,2,0))</f>
        <v>0</v>
      </c>
      <c r="K3550">
        <v>0</v>
      </c>
      <c r="L3550">
        <f>IF(AND($J3550=0,$K3550=0),0,1)</f>
        <v>0</v>
      </c>
      <c r="M3550" t="s">
        <v>1068</v>
      </c>
    </row>
    <row r="3551" spans="1:13" x14ac:dyDescent="0.2">
      <c r="A3551" t="s">
        <v>431</v>
      </c>
      <c r="B3551" t="s">
        <v>6</v>
      </c>
      <c r="C3551" t="s">
        <v>9</v>
      </c>
      <c r="D3551">
        <v>2360</v>
      </c>
      <c r="E3551">
        <v>2020</v>
      </c>
      <c r="F3551">
        <v>1</v>
      </c>
      <c r="G3551">
        <v>12228</v>
      </c>
      <c r="H3551" s="1">
        <v>4</v>
      </c>
      <c r="I3551">
        <v>56</v>
      </c>
      <c r="J3551">
        <f>IF($H3551=0,1,IF($I3551&lt;=1,2,0))</f>
        <v>0</v>
      </c>
      <c r="K3551">
        <v>0</v>
      </c>
      <c r="L3551">
        <f>IF(AND($J3551=0,$K3551=0),0,1)</f>
        <v>0</v>
      </c>
      <c r="M3551" t="s">
        <v>1069</v>
      </c>
    </row>
    <row r="3552" spans="1:13" x14ac:dyDescent="0.2">
      <c r="A3552" t="s">
        <v>431</v>
      </c>
      <c r="B3552" t="s">
        <v>6</v>
      </c>
      <c r="C3552" t="s">
        <v>9</v>
      </c>
      <c r="D3552">
        <v>2438</v>
      </c>
      <c r="E3552">
        <v>2020</v>
      </c>
      <c r="F3552">
        <v>1</v>
      </c>
      <c r="G3552">
        <v>15304</v>
      </c>
      <c r="H3552" s="1">
        <v>4</v>
      </c>
      <c r="I3552">
        <v>14</v>
      </c>
      <c r="J3552">
        <f>IF($H3552=0,1,IF($I3552&lt;=1,2,0))</f>
        <v>0</v>
      </c>
      <c r="K3552">
        <v>0</v>
      </c>
      <c r="L3552">
        <f>IF(AND($J3552=0,$K3552=0),0,1)</f>
        <v>0</v>
      </c>
      <c r="M3552" t="s">
        <v>1071</v>
      </c>
    </row>
    <row r="3553" spans="1:13" x14ac:dyDescent="0.2">
      <c r="A3553" t="s">
        <v>431</v>
      </c>
      <c r="B3553" t="s">
        <v>6</v>
      </c>
      <c r="C3553" t="s">
        <v>9</v>
      </c>
      <c r="D3553">
        <v>2478</v>
      </c>
      <c r="E3553">
        <v>2020</v>
      </c>
      <c r="F3553">
        <v>1</v>
      </c>
      <c r="G3553">
        <v>13376</v>
      </c>
      <c r="H3553" s="1">
        <v>4</v>
      </c>
      <c r="I3553">
        <v>100</v>
      </c>
      <c r="J3553">
        <f>IF($H3553=0,1,IF($I3553&lt;=1,2,0))</f>
        <v>0</v>
      </c>
      <c r="K3553">
        <v>0</v>
      </c>
      <c r="L3553">
        <f>IF(AND($J3553=0,$K3553=0),0,1)</f>
        <v>0</v>
      </c>
      <c r="M3553" t="s">
        <v>1073</v>
      </c>
    </row>
    <row r="3554" spans="1:13" x14ac:dyDescent="0.2">
      <c r="A3554" t="s">
        <v>431</v>
      </c>
      <c r="B3554" t="s">
        <v>6</v>
      </c>
      <c r="C3554" t="s">
        <v>9</v>
      </c>
      <c r="D3554">
        <v>2523</v>
      </c>
      <c r="E3554">
        <v>2020</v>
      </c>
      <c r="F3554">
        <v>1</v>
      </c>
      <c r="G3554">
        <v>12189</v>
      </c>
      <c r="H3554" s="1">
        <v>4</v>
      </c>
      <c r="I3554">
        <v>57</v>
      </c>
      <c r="J3554">
        <f>IF($H3554=0,1,IF($I3554&lt;=1,2,0))</f>
        <v>0</v>
      </c>
      <c r="K3554">
        <v>0</v>
      </c>
      <c r="L3554">
        <f>IF(AND($J3554=0,$K3554=0),0,1)</f>
        <v>0</v>
      </c>
      <c r="M3554" t="s">
        <v>1074</v>
      </c>
    </row>
    <row r="3555" spans="1:13" x14ac:dyDescent="0.2">
      <c r="A3555" t="s">
        <v>431</v>
      </c>
      <c r="B3555" t="s">
        <v>6</v>
      </c>
      <c r="C3555" t="s">
        <v>9</v>
      </c>
      <c r="D3555">
        <v>2533</v>
      </c>
      <c r="E3555">
        <v>2020</v>
      </c>
      <c r="F3555">
        <v>1</v>
      </c>
      <c r="G3555">
        <v>12062</v>
      </c>
      <c r="H3555" s="1">
        <v>4</v>
      </c>
      <c r="I3555">
        <v>133</v>
      </c>
      <c r="J3555">
        <f>IF($H3555=0,1,IF($I3555&lt;=1,2,0))</f>
        <v>0</v>
      </c>
      <c r="K3555">
        <v>0</v>
      </c>
      <c r="L3555">
        <f>IF(AND($J3555=0,$K3555=0),0,1)</f>
        <v>0</v>
      </c>
      <c r="M3555" t="s">
        <v>1075</v>
      </c>
    </row>
    <row r="3556" spans="1:13" x14ac:dyDescent="0.2">
      <c r="A3556" t="s">
        <v>431</v>
      </c>
      <c r="B3556" t="s">
        <v>6</v>
      </c>
      <c r="C3556" t="s">
        <v>9</v>
      </c>
      <c r="D3556">
        <v>2611</v>
      </c>
      <c r="E3556">
        <v>2020</v>
      </c>
      <c r="F3556">
        <v>1</v>
      </c>
      <c r="G3556">
        <v>12193</v>
      </c>
      <c r="H3556" s="1">
        <v>4</v>
      </c>
      <c r="I3556">
        <v>11</v>
      </c>
      <c r="J3556">
        <f>IF($H3556=0,1,IF($I3556&lt;=1,2,0))</f>
        <v>0</v>
      </c>
      <c r="K3556">
        <v>0</v>
      </c>
      <c r="L3556">
        <f>IF(AND($J3556=0,$K3556=0),0,1)</f>
        <v>0</v>
      </c>
      <c r="M3556" t="s">
        <v>1076</v>
      </c>
    </row>
    <row r="3557" spans="1:13" x14ac:dyDescent="0.2">
      <c r="A3557" t="s">
        <v>431</v>
      </c>
      <c r="B3557" t="s">
        <v>6</v>
      </c>
      <c r="C3557" t="s">
        <v>9</v>
      </c>
      <c r="D3557">
        <v>2689</v>
      </c>
      <c r="E3557">
        <v>2020</v>
      </c>
      <c r="F3557">
        <v>1</v>
      </c>
      <c r="G3557">
        <v>20761</v>
      </c>
      <c r="H3557" s="1">
        <v>4</v>
      </c>
      <c r="I3557">
        <v>39</v>
      </c>
      <c r="J3557">
        <f>IF($H3557=0,1,IF($I3557&lt;=1,2,0))</f>
        <v>0</v>
      </c>
      <c r="K3557">
        <v>0</v>
      </c>
      <c r="L3557">
        <f>IF(AND($J3557=0,$K3557=0),0,1)</f>
        <v>0</v>
      </c>
      <c r="M3557" t="s">
        <v>1077</v>
      </c>
    </row>
    <row r="3558" spans="1:13" x14ac:dyDescent="0.2">
      <c r="A3558" t="s">
        <v>431</v>
      </c>
      <c r="B3558" t="s">
        <v>6</v>
      </c>
      <c r="C3558" t="s">
        <v>9</v>
      </c>
      <c r="D3558">
        <v>2719</v>
      </c>
      <c r="E3558">
        <v>2020</v>
      </c>
      <c r="F3558">
        <v>1</v>
      </c>
      <c r="G3558">
        <v>12185</v>
      </c>
      <c r="H3558" s="1">
        <v>4</v>
      </c>
      <c r="I3558">
        <v>249</v>
      </c>
      <c r="J3558">
        <f>IF($H3558=0,1,IF($I3558&lt;=1,2,0))</f>
        <v>0</v>
      </c>
      <c r="K3558">
        <v>0</v>
      </c>
      <c r="L3558">
        <f>IF(AND($J3558=0,$K3558=0),0,1)</f>
        <v>0</v>
      </c>
      <c r="M3558" t="s">
        <v>1082</v>
      </c>
    </row>
    <row r="3559" spans="1:13" x14ac:dyDescent="0.2">
      <c r="A3559" t="s">
        <v>431</v>
      </c>
      <c r="B3559" t="s">
        <v>6</v>
      </c>
      <c r="C3559" t="s">
        <v>9</v>
      </c>
      <c r="D3559">
        <v>3017</v>
      </c>
      <c r="E3559">
        <v>2020</v>
      </c>
      <c r="F3559">
        <v>1</v>
      </c>
      <c r="G3559">
        <v>12063</v>
      </c>
      <c r="H3559" s="1">
        <v>4</v>
      </c>
      <c r="I3559">
        <v>13</v>
      </c>
      <c r="J3559">
        <f>IF($H3559=0,1,IF($I3559&lt;=1,2,0))</f>
        <v>0</v>
      </c>
      <c r="K3559">
        <v>0</v>
      </c>
      <c r="L3559">
        <f>IF(AND($J3559=0,$K3559=0),0,1)</f>
        <v>0</v>
      </c>
    </row>
    <row r="3560" spans="1:13" x14ac:dyDescent="0.2">
      <c r="A3560" t="s">
        <v>431</v>
      </c>
      <c r="B3560" t="s">
        <v>6</v>
      </c>
      <c r="C3560" t="s">
        <v>9</v>
      </c>
      <c r="D3560">
        <v>3023</v>
      </c>
      <c r="E3560">
        <v>2020</v>
      </c>
      <c r="F3560">
        <v>1</v>
      </c>
      <c r="G3560">
        <v>14429</v>
      </c>
      <c r="H3560" s="1">
        <v>4</v>
      </c>
      <c r="I3560">
        <v>12</v>
      </c>
      <c r="J3560">
        <f>IF($H3560=0,1,IF($I3560&lt;=1,2,0))</f>
        <v>0</v>
      </c>
      <c r="K3560">
        <v>0</v>
      </c>
      <c r="L3560">
        <f>IF(AND($J3560=0,$K3560=0),0,1)</f>
        <v>0</v>
      </c>
      <c r="M3560" t="s">
        <v>1091</v>
      </c>
    </row>
    <row r="3561" spans="1:13" x14ac:dyDescent="0.2">
      <c r="A3561" t="s">
        <v>431</v>
      </c>
      <c r="B3561" t="s">
        <v>6</v>
      </c>
      <c r="C3561" t="s">
        <v>9</v>
      </c>
      <c r="D3561">
        <v>3241</v>
      </c>
      <c r="E3561">
        <v>2020</v>
      </c>
      <c r="F3561">
        <v>1</v>
      </c>
      <c r="G3561">
        <v>22059</v>
      </c>
      <c r="H3561" s="1">
        <v>4</v>
      </c>
      <c r="I3561">
        <v>16</v>
      </c>
      <c r="J3561">
        <f>IF($H3561=0,1,IF($I3561&lt;=1,2,0))</f>
        <v>0</v>
      </c>
      <c r="K3561">
        <v>0</v>
      </c>
      <c r="L3561">
        <f>IF(AND($J3561=0,$K3561=0),0,1)</f>
        <v>0</v>
      </c>
    </row>
    <row r="3562" spans="1:13" x14ac:dyDescent="0.2">
      <c r="A3562" t="s">
        <v>431</v>
      </c>
      <c r="B3562" t="s">
        <v>6</v>
      </c>
      <c r="C3562" t="s">
        <v>9</v>
      </c>
      <c r="D3562">
        <v>3490</v>
      </c>
      <c r="E3562">
        <v>2020</v>
      </c>
      <c r="F3562">
        <v>1</v>
      </c>
      <c r="G3562">
        <v>12059</v>
      </c>
      <c r="H3562" s="1">
        <v>4</v>
      </c>
      <c r="I3562">
        <v>15</v>
      </c>
      <c r="J3562">
        <f>IF($H3562=0,1,IF($I3562&lt;=1,2,0))</f>
        <v>0</v>
      </c>
      <c r="K3562">
        <v>0</v>
      </c>
      <c r="L3562">
        <f>IF(AND($J3562=0,$K3562=0),0,1)</f>
        <v>0</v>
      </c>
    </row>
    <row r="3563" spans="1:13" x14ac:dyDescent="0.2">
      <c r="A3563" t="s">
        <v>431</v>
      </c>
      <c r="B3563" t="s">
        <v>6</v>
      </c>
      <c r="C3563" t="s">
        <v>9</v>
      </c>
      <c r="D3563">
        <v>3562</v>
      </c>
      <c r="E3563">
        <v>2020</v>
      </c>
      <c r="F3563">
        <v>1</v>
      </c>
      <c r="G3563">
        <v>13437</v>
      </c>
      <c r="H3563" s="1">
        <v>4</v>
      </c>
      <c r="I3563">
        <v>19</v>
      </c>
      <c r="J3563">
        <f>IF($H3563=0,1,IF($I3563&lt;=1,2,0))</f>
        <v>0</v>
      </c>
      <c r="K3563">
        <v>0</v>
      </c>
      <c r="L3563">
        <f>IF(AND($J3563=0,$K3563=0),0,1)</f>
        <v>0</v>
      </c>
    </row>
    <row r="3564" spans="1:13" x14ac:dyDescent="0.2">
      <c r="A3564" t="s">
        <v>431</v>
      </c>
      <c r="B3564" t="s">
        <v>6</v>
      </c>
      <c r="C3564" t="s">
        <v>7</v>
      </c>
      <c r="D3564">
        <v>3838</v>
      </c>
      <c r="E3564">
        <v>2020</v>
      </c>
      <c r="F3564">
        <v>3</v>
      </c>
      <c r="G3564">
        <v>13687</v>
      </c>
      <c r="H3564" s="1">
        <v>4</v>
      </c>
      <c r="I3564">
        <v>14</v>
      </c>
      <c r="J3564">
        <f>IF($H3564=0,1,IF($I3564&lt;=1,2,0))</f>
        <v>0</v>
      </c>
      <c r="K3564">
        <v>0</v>
      </c>
      <c r="L3564">
        <f>IF(AND($J3564=0,$K3564=0),0,1)</f>
        <v>0</v>
      </c>
      <c r="M3564" t="s">
        <v>1096</v>
      </c>
    </row>
    <row r="3565" spans="1:13" x14ac:dyDescent="0.2">
      <c r="A3565" t="s">
        <v>431</v>
      </c>
      <c r="B3565" t="s">
        <v>6</v>
      </c>
      <c r="C3565" t="s">
        <v>7</v>
      </c>
      <c r="D3565">
        <v>3838</v>
      </c>
      <c r="E3565">
        <v>2020</v>
      </c>
      <c r="F3565">
        <v>1</v>
      </c>
      <c r="G3565">
        <v>12222</v>
      </c>
      <c r="H3565" s="1">
        <v>4</v>
      </c>
      <c r="I3565">
        <v>12</v>
      </c>
      <c r="J3565">
        <f>IF($H3565=0,1,IF($I3565&lt;=1,2,0))</f>
        <v>0</v>
      </c>
      <c r="K3565">
        <v>0</v>
      </c>
      <c r="L3565">
        <f>IF(AND($J3565=0,$K3565=0),0,1)</f>
        <v>0</v>
      </c>
      <c r="M3565" t="s">
        <v>1096</v>
      </c>
    </row>
    <row r="3566" spans="1:13" x14ac:dyDescent="0.2">
      <c r="A3566" t="s">
        <v>431</v>
      </c>
      <c r="B3566" t="s">
        <v>6</v>
      </c>
      <c r="C3566" t="s">
        <v>7</v>
      </c>
      <c r="D3566">
        <v>3838</v>
      </c>
      <c r="E3566">
        <v>2020</v>
      </c>
      <c r="F3566">
        <v>4</v>
      </c>
      <c r="G3566">
        <v>21408</v>
      </c>
      <c r="H3566" s="1">
        <v>4</v>
      </c>
      <c r="I3566">
        <v>11</v>
      </c>
      <c r="J3566">
        <f>IF($H3566=0,1,IF($I3566&lt;=1,2,0))</f>
        <v>0</v>
      </c>
      <c r="K3566">
        <v>0</v>
      </c>
      <c r="L3566">
        <f>IF(AND($J3566=0,$K3566=0),0,1)</f>
        <v>0</v>
      </c>
    </row>
    <row r="3567" spans="1:13" x14ac:dyDescent="0.2">
      <c r="A3567" t="s">
        <v>431</v>
      </c>
      <c r="B3567" t="s">
        <v>6</v>
      </c>
      <c r="C3567" t="s">
        <v>7</v>
      </c>
      <c r="D3567">
        <v>3838</v>
      </c>
      <c r="E3567">
        <v>2020</v>
      </c>
      <c r="F3567">
        <v>2</v>
      </c>
      <c r="G3567">
        <v>12865</v>
      </c>
      <c r="H3567" s="1">
        <v>4</v>
      </c>
      <c r="I3567">
        <v>9</v>
      </c>
      <c r="J3567">
        <f>IF($H3567=0,1,IF($I3567&lt;=1,2,0))</f>
        <v>0</v>
      </c>
      <c r="K3567">
        <v>0</v>
      </c>
      <c r="L3567">
        <f>IF(AND($J3567=0,$K3567=0),0,1)</f>
        <v>0</v>
      </c>
      <c r="M3567" t="s">
        <v>1096</v>
      </c>
    </row>
    <row r="3568" spans="1:13" x14ac:dyDescent="0.2">
      <c r="A3568" t="s">
        <v>431</v>
      </c>
      <c r="B3568" t="s">
        <v>6</v>
      </c>
      <c r="C3568" t="s">
        <v>9</v>
      </c>
      <c r="D3568">
        <v>4253</v>
      </c>
      <c r="E3568">
        <v>2020</v>
      </c>
      <c r="F3568">
        <v>1</v>
      </c>
      <c r="G3568">
        <v>20750</v>
      </c>
      <c r="H3568" s="1">
        <v>4</v>
      </c>
      <c r="I3568">
        <v>2</v>
      </c>
      <c r="J3568">
        <f>IF($H3568=0,1,IF($I3568&lt;=1,2,0))</f>
        <v>0</v>
      </c>
      <c r="K3568">
        <v>0</v>
      </c>
      <c r="L3568">
        <f>IF(AND($J3568=0,$K3568=0),0,1)</f>
        <v>0</v>
      </c>
    </row>
    <row r="3569" spans="1:13" x14ac:dyDescent="0.2">
      <c r="A3569" t="s">
        <v>431</v>
      </c>
      <c r="B3569" t="s">
        <v>6</v>
      </c>
      <c r="C3569" t="s">
        <v>9</v>
      </c>
      <c r="D3569">
        <v>4311</v>
      </c>
      <c r="E3569">
        <v>2020</v>
      </c>
      <c r="F3569">
        <v>1</v>
      </c>
      <c r="G3569">
        <v>12836</v>
      </c>
      <c r="H3569" s="1">
        <v>4</v>
      </c>
      <c r="I3569">
        <v>15</v>
      </c>
      <c r="J3569">
        <f>IF($H3569=0,1,IF($I3569&lt;=1,2,0))</f>
        <v>0</v>
      </c>
      <c r="K3569">
        <v>0</v>
      </c>
      <c r="L3569">
        <f>IF(AND($J3569=0,$K3569=0),0,1)</f>
        <v>0</v>
      </c>
    </row>
    <row r="3570" spans="1:13" x14ac:dyDescent="0.2">
      <c r="A3570" t="s">
        <v>431</v>
      </c>
      <c r="B3570" t="s">
        <v>6</v>
      </c>
      <c r="C3570" t="s">
        <v>9</v>
      </c>
      <c r="D3570">
        <v>4692</v>
      </c>
      <c r="E3570">
        <v>2020</v>
      </c>
      <c r="F3570">
        <v>1</v>
      </c>
      <c r="G3570">
        <v>13111</v>
      </c>
      <c r="H3570" s="1">
        <v>4</v>
      </c>
      <c r="I3570">
        <v>12</v>
      </c>
      <c r="J3570">
        <f>IF($H3570=0,1,IF($I3570&lt;=1,2,0))</f>
        <v>0</v>
      </c>
      <c r="K3570">
        <v>0</v>
      </c>
      <c r="L3570">
        <f>IF(AND($J3570=0,$K3570=0),0,1)</f>
        <v>0</v>
      </c>
    </row>
    <row r="3571" spans="1:13" x14ac:dyDescent="0.2">
      <c r="A3571" t="s">
        <v>431</v>
      </c>
      <c r="B3571" t="s">
        <v>6</v>
      </c>
      <c r="C3571" t="s">
        <v>9</v>
      </c>
      <c r="D3571">
        <v>4693</v>
      </c>
      <c r="E3571">
        <v>2020</v>
      </c>
      <c r="F3571">
        <v>1</v>
      </c>
      <c r="G3571">
        <v>13114</v>
      </c>
      <c r="H3571" s="1">
        <v>4</v>
      </c>
      <c r="I3571">
        <v>10</v>
      </c>
      <c r="J3571">
        <f>IF($H3571=0,1,IF($I3571&lt;=1,2,0))</f>
        <v>0</v>
      </c>
      <c r="K3571">
        <v>0</v>
      </c>
      <c r="L3571">
        <f>IF(AND($J3571=0,$K3571=0),0,1)</f>
        <v>0</v>
      </c>
    </row>
    <row r="3572" spans="1:13" x14ac:dyDescent="0.2">
      <c r="A3572" t="s">
        <v>431</v>
      </c>
      <c r="B3572" t="s">
        <v>6</v>
      </c>
      <c r="C3572" t="s">
        <v>9</v>
      </c>
      <c r="D3572">
        <v>4743</v>
      </c>
      <c r="E3572">
        <v>2020</v>
      </c>
      <c r="F3572">
        <v>1</v>
      </c>
      <c r="G3572">
        <v>12203</v>
      </c>
      <c r="H3572" s="1">
        <v>4</v>
      </c>
      <c r="I3572">
        <v>6</v>
      </c>
      <c r="J3572">
        <f>IF($H3572=0,1,IF($I3572&lt;=1,2,0))</f>
        <v>0</v>
      </c>
      <c r="K3572">
        <v>0</v>
      </c>
      <c r="L3572">
        <f>IF(AND($J3572=0,$K3572=0),0,1)</f>
        <v>0</v>
      </c>
    </row>
    <row r="3573" spans="1:13" x14ac:dyDescent="0.2">
      <c r="A3573" t="s">
        <v>431</v>
      </c>
      <c r="B3573" t="s">
        <v>6</v>
      </c>
      <c r="C3573" t="s">
        <v>9</v>
      </c>
      <c r="D3573">
        <v>4812</v>
      </c>
      <c r="E3573">
        <v>2020</v>
      </c>
      <c r="F3573">
        <v>1</v>
      </c>
      <c r="G3573">
        <v>15504</v>
      </c>
      <c r="H3573" s="1">
        <v>4</v>
      </c>
      <c r="I3573">
        <v>16</v>
      </c>
      <c r="J3573">
        <f>IF($H3573=0,1,IF($I3573&lt;=1,2,0))</f>
        <v>0</v>
      </c>
      <c r="K3573">
        <v>0</v>
      </c>
      <c r="L3573">
        <f>IF(AND($J3573=0,$K3573=0),0,1)</f>
        <v>0</v>
      </c>
    </row>
    <row r="3574" spans="1:13" x14ac:dyDescent="0.2">
      <c r="A3574" t="s">
        <v>431</v>
      </c>
      <c r="B3574" t="s">
        <v>6</v>
      </c>
      <c r="C3574" t="s">
        <v>9</v>
      </c>
      <c r="D3574">
        <v>4924</v>
      </c>
      <c r="E3574">
        <v>2020</v>
      </c>
      <c r="F3574">
        <v>1</v>
      </c>
      <c r="G3574">
        <v>21425</v>
      </c>
      <c r="H3574" s="1">
        <v>4</v>
      </c>
      <c r="I3574">
        <v>10</v>
      </c>
      <c r="J3574">
        <f>IF($H3574=0,1,IF($I3574&lt;=1,2,0))</f>
        <v>0</v>
      </c>
      <c r="K3574">
        <v>0</v>
      </c>
      <c r="L3574">
        <f>IF(AND($J3574=0,$K3574=0),0,1)</f>
        <v>0</v>
      </c>
    </row>
    <row r="3575" spans="1:13" x14ac:dyDescent="0.2">
      <c r="A3575" t="s">
        <v>431</v>
      </c>
      <c r="B3575" t="s">
        <v>6</v>
      </c>
      <c r="C3575" t="s">
        <v>11</v>
      </c>
      <c r="D3575">
        <v>6903</v>
      </c>
      <c r="E3575">
        <v>2020</v>
      </c>
      <c r="F3575">
        <v>1</v>
      </c>
      <c r="G3575">
        <v>22244</v>
      </c>
      <c r="H3575" s="1">
        <v>4</v>
      </c>
      <c r="I3575">
        <v>15</v>
      </c>
      <c r="J3575">
        <f>IF($H3575=0,1,IF($I3575&lt;=1,2,0))</f>
        <v>0</v>
      </c>
      <c r="K3575">
        <v>0</v>
      </c>
      <c r="L3575">
        <f>IF(AND($J3575=0,$K3575=0),0,1)</f>
        <v>0</v>
      </c>
    </row>
    <row r="3576" spans="1:13" x14ac:dyDescent="0.2">
      <c r="A3576" t="s">
        <v>431</v>
      </c>
      <c r="B3576" t="s">
        <v>6</v>
      </c>
      <c r="C3576" t="s">
        <v>11</v>
      </c>
      <c r="D3576">
        <v>6998</v>
      </c>
      <c r="E3576">
        <v>2020</v>
      </c>
      <c r="F3576">
        <v>24</v>
      </c>
      <c r="G3576">
        <v>15300</v>
      </c>
      <c r="H3576" s="1">
        <v>4</v>
      </c>
      <c r="I3576">
        <v>7</v>
      </c>
      <c r="J3576">
        <f>IF($H3576=0,1,IF($I3576&lt;=1,2,0))</f>
        <v>0</v>
      </c>
      <c r="K3576">
        <v>0</v>
      </c>
      <c r="L3576">
        <f>IF(AND($J3576=0,$K3576=0),0,1)</f>
        <v>0</v>
      </c>
    </row>
    <row r="3577" spans="1:13" x14ac:dyDescent="0.2">
      <c r="A3577" t="s">
        <v>431</v>
      </c>
      <c r="B3577" t="s">
        <v>6</v>
      </c>
      <c r="C3577" t="s">
        <v>11</v>
      </c>
      <c r="D3577">
        <v>6998</v>
      </c>
      <c r="E3577">
        <v>2020</v>
      </c>
      <c r="F3577">
        <v>25</v>
      </c>
      <c r="G3577">
        <v>15405</v>
      </c>
      <c r="H3577" s="1">
        <v>4</v>
      </c>
      <c r="I3577">
        <v>3</v>
      </c>
      <c r="J3577">
        <f>IF($H3577=0,1,IF($I3577&lt;=1,2,0))</f>
        <v>0</v>
      </c>
      <c r="K3577">
        <v>0</v>
      </c>
      <c r="L3577">
        <f>IF(AND($J3577=0,$K3577=0),0,1)</f>
        <v>0</v>
      </c>
    </row>
    <row r="3578" spans="1:13" x14ac:dyDescent="0.2">
      <c r="A3578" t="s">
        <v>431</v>
      </c>
      <c r="B3578" t="s">
        <v>6</v>
      </c>
      <c r="C3578" t="s">
        <v>11</v>
      </c>
      <c r="D3578">
        <v>6998</v>
      </c>
      <c r="E3578">
        <v>2020</v>
      </c>
      <c r="F3578">
        <v>26</v>
      </c>
      <c r="G3578">
        <v>20063</v>
      </c>
      <c r="H3578" s="1">
        <v>4</v>
      </c>
      <c r="I3578">
        <v>3</v>
      </c>
      <c r="J3578">
        <f>IF($H3578=0,1,IF($I3578&lt;=1,2,0))</f>
        <v>0</v>
      </c>
      <c r="K3578">
        <v>0</v>
      </c>
      <c r="L3578">
        <f>IF(AND($J3578=0,$K3578=0),0,1)</f>
        <v>0</v>
      </c>
      <c r="M3578" t="s">
        <v>1098</v>
      </c>
    </row>
    <row r="3579" spans="1:13" x14ac:dyDescent="0.2">
      <c r="A3579" t="s">
        <v>431</v>
      </c>
      <c r="B3579" t="s">
        <v>6</v>
      </c>
      <c r="C3579" t="s">
        <v>11</v>
      </c>
      <c r="D3579">
        <v>6998</v>
      </c>
      <c r="E3579">
        <v>2020</v>
      </c>
      <c r="F3579">
        <v>30</v>
      </c>
      <c r="G3579">
        <v>22801</v>
      </c>
      <c r="H3579" s="1">
        <v>4</v>
      </c>
      <c r="I3579">
        <v>2</v>
      </c>
      <c r="J3579">
        <f>IF($H3579=0,1,IF($I3579&lt;=1,2,0))</f>
        <v>0</v>
      </c>
      <c r="K3579">
        <v>0</v>
      </c>
      <c r="L3579">
        <f>IF(AND($J3579=0,$K3579=0),0,1)</f>
        <v>0</v>
      </c>
    </row>
    <row r="3580" spans="1:13" x14ac:dyDescent="0.2">
      <c r="A3580" t="s">
        <v>431</v>
      </c>
      <c r="B3580" t="s">
        <v>6</v>
      </c>
      <c r="C3580" t="s">
        <v>11</v>
      </c>
      <c r="D3580">
        <v>8174</v>
      </c>
      <c r="E3580">
        <v>2020</v>
      </c>
      <c r="F3580">
        <v>2</v>
      </c>
      <c r="G3580">
        <v>13607</v>
      </c>
      <c r="H3580" s="1">
        <v>4</v>
      </c>
      <c r="I3580">
        <v>7</v>
      </c>
      <c r="J3580">
        <f>IF($H3580=0,1,IF($I3580&lt;=1,2,0))</f>
        <v>0</v>
      </c>
      <c r="K3580">
        <v>0</v>
      </c>
      <c r="L3580">
        <f>IF(AND($J3580=0,$K3580=0),0,1)</f>
        <v>0</v>
      </c>
    </row>
    <row r="3581" spans="1:13" x14ac:dyDescent="0.2">
      <c r="A3581" t="s">
        <v>431</v>
      </c>
      <c r="B3581" t="s">
        <v>6</v>
      </c>
      <c r="C3581" t="s">
        <v>11</v>
      </c>
      <c r="D3581">
        <v>8207</v>
      </c>
      <c r="E3581">
        <v>2020</v>
      </c>
      <c r="F3581">
        <v>1</v>
      </c>
      <c r="G3581">
        <v>12230</v>
      </c>
      <c r="H3581" s="1">
        <v>4</v>
      </c>
      <c r="I3581">
        <v>10</v>
      </c>
      <c r="J3581">
        <f>IF($H3581=0,1,IF($I3581&lt;=1,2,0))</f>
        <v>0</v>
      </c>
      <c r="K3581">
        <v>0</v>
      </c>
      <c r="L3581">
        <f>IF(AND($J3581=0,$K3581=0),0,1)</f>
        <v>0</v>
      </c>
    </row>
    <row r="3582" spans="1:13" x14ac:dyDescent="0.2">
      <c r="A3582" t="s">
        <v>431</v>
      </c>
      <c r="B3582" t="s">
        <v>6</v>
      </c>
      <c r="C3582" t="s">
        <v>11</v>
      </c>
      <c r="D3582">
        <v>8352</v>
      </c>
      <c r="E3582">
        <v>2020</v>
      </c>
      <c r="F3582">
        <v>1</v>
      </c>
      <c r="G3582">
        <v>12435</v>
      </c>
      <c r="H3582" s="1">
        <v>4</v>
      </c>
      <c r="I3582">
        <v>20</v>
      </c>
      <c r="J3582">
        <f>IF($H3582=0,1,IF($I3582&lt;=1,2,0))</f>
        <v>0</v>
      </c>
      <c r="K3582">
        <v>0</v>
      </c>
      <c r="L3582">
        <f>IF(AND($J3582=0,$K3582=0),0,1)</f>
        <v>0</v>
      </c>
    </row>
    <row r="3583" spans="1:13" x14ac:dyDescent="0.2">
      <c r="A3583" t="s">
        <v>431</v>
      </c>
      <c r="B3583" t="s">
        <v>6</v>
      </c>
      <c r="C3583" t="s">
        <v>11</v>
      </c>
      <c r="D3583">
        <v>8368</v>
      </c>
      <c r="E3583">
        <v>2020</v>
      </c>
      <c r="F3583">
        <v>1</v>
      </c>
      <c r="G3583">
        <v>13438</v>
      </c>
      <c r="H3583" s="1">
        <v>4</v>
      </c>
      <c r="I3583">
        <v>11</v>
      </c>
      <c r="J3583">
        <f>IF($H3583=0,1,IF($I3583&lt;=1,2,0))</f>
        <v>0</v>
      </c>
      <c r="K3583">
        <v>0</v>
      </c>
      <c r="L3583">
        <f>IF(AND($J3583=0,$K3583=0),0,1)</f>
        <v>0</v>
      </c>
    </row>
    <row r="3584" spans="1:13" x14ac:dyDescent="0.2">
      <c r="A3584" t="s">
        <v>431</v>
      </c>
      <c r="B3584" t="s">
        <v>6</v>
      </c>
      <c r="C3584" t="s">
        <v>11</v>
      </c>
      <c r="D3584">
        <v>8401</v>
      </c>
      <c r="E3584">
        <v>2020</v>
      </c>
      <c r="F3584">
        <v>1</v>
      </c>
      <c r="G3584">
        <v>12436</v>
      </c>
      <c r="H3584" s="1">
        <v>4</v>
      </c>
      <c r="I3584">
        <v>17</v>
      </c>
      <c r="J3584">
        <f>IF($H3584=0,1,IF($I3584&lt;=1,2,0))</f>
        <v>0</v>
      </c>
      <c r="K3584">
        <v>0</v>
      </c>
      <c r="L3584">
        <f>IF(AND($J3584=0,$K3584=0),0,1)</f>
        <v>0</v>
      </c>
    </row>
    <row r="3585" spans="1:13" x14ac:dyDescent="0.2">
      <c r="A3585" t="s">
        <v>431</v>
      </c>
      <c r="B3585" t="s">
        <v>6</v>
      </c>
      <c r="C3585" t="s">
        <v>11</v>
      </c>
      <c r="D3585">
        <v>8495</v>
      </c>
      <c r="E3585">
        <v>2020</v>
      </c>
      <c r="F3585">
        <v>1</v>
      </c>
      <c r="G3585">
        <v>14146</v>
      </c>
      <c r="H3585" s="1">
        <v>4</v>
      </c>
      <c r="I3585">
        <v>17</v>
      </c>
      <c r="J3585">
        <f>IF($H3585=0,1,IF($I3585&lt;=1,2,0))</f>
        <v>0</v>
      </c>
      <c r="K3585">
        <v>0</v>
      </c>
      <c r="L3585">
        <f>IF(AND($J3585=0,$K3585=0),0,1)</f>
        <v>0</v>
      </c>
    </row>
    <row r="3586" spans="1:13" x14ac:dyDescent="0.2">
      <c r="A3586" t="s">
        <v>431</v>
      </c>
      <c r="B3586" t="s">
        <v>6</v>
      </c>
      <c r="C3586" t="s">
        <v>11</v>
      </c>
      <c r="D3586">
        <v>8663</v>
      </c>
      <c r="E3586">
        <v>2020</v>
      </c>
      <c r="F3586">
        <v>1</v>
      </c>
      <c r="G3586">
        <v>12198</v>
      </c>
      <c r="H3586" s="1">
        <v>4</v>
      </c>
      <c r="I3586">
        <v>6</v>
      </c>
      <c r="J3586">
        <f>IF($H3586=0,1,IF($I3586&lt;=1,2,0))</f>
        <v>0</v>
      </c>
      <c r="K3586">
        <v>0</v>
      </c>
      <c r="L3586">
        <f>IF(AND($J3586=0,$K3586=0),0,1)</f>
        <v>0</v>
      </c>
    </row>
    <row r="3587" spans="1:13" x14ac:dyDescent="0.2">
      <c r="A3587" t="s">
        <v>431</v>
      </c>
      <c r="B3587" t="s">
        <v>6</v>
      </c>
      <c r="C3587" t="s">
        <v>11</v>
      </c>
      <c r="D3587">
        <v>8701</v>
      </c>
      <c r="E3587">
        <v>2020</v>
      </c>
      <c r="F3587">
        <v>1</v>
      </c>
      <c r="G3587">
        <v>12202</v>
      </c>
      <c r="H3587" s="1">
        <v>4</v>
      </c>
      <c r="I3587">
        <v>6</v>
      </c>
      <c r="J3587">
        <f>IF($H3587=0,1,IF($I3587&lt;=1,2,0))</f>
        <v>0</v>
      </c>
      <c r="K3587">
        <v>0</v>
      </c>
      <c r="L3587">
        <f>IF(AND($J3587=0,$K3587=0),0,1)</f>
        <v>0</v>
      </c>
    </row>
    <row r="3588" spans="1:13" x14ac:dyDescent="0.2">
      <c r="A3588" t="s">
        <v>431</v>
      </c>
      <c r="B3588" t="s">
        <v>6</v>
      </c>
      <c r="C3588" t="s">
        <v>11</v>
      </c>
      <c r="D3588">
        <v>8761</v>
      </c>
      <c r="E3588">
        <v>2020</v>
      </c>
      <c r="F3588">
        <v>1</v>
      </c>
      <c r="G3588">
        <v>14142</v>
      </c>
      <c r="H3588" s="1">
        <v>4</v>
      </c>
      <c r="I3588">
        <v>6</v>
      </c>
      <c r="J3588">
        <f>IF($H3588=0,1,IF($I3588&lt;=1,2,0))</f>
        <v>0</v>
      </c>
      <c r="K3588">
        <v>0</v>
      </c>
      <c r="L3588">
        <f>IF(AND($J3588=0,$K3588=0),0,1)</f>
        <v>0</v>
      </c>
    </row>
    <row r="3589" spans="1:13" x14ac:dyDescent="0.2">
      <c r="A3589" t="s">
        <v>431</v>
      </c>
      <c r="B3589" t="s">
        <v>6</v>
      </c>
      <c r="C3589" t="s">
        <v>11</v>
      </c>
      <c r="D3589">
        <v>8930</v>
      </c>
      <c r="E3589">
        <v>2020</v>
      </c>
      <c r="F3589">
        <v>2</v>
      </c>
      <c r="G3589">
        <v>14428</v>
      </c>
      <c r="H3589" s="1">
        <v>4</v>
      </c>
      <c r="I3589">
        <v>16</v>
      </c>
      <c r="J3589">
        <f>IF($H3589=0,1,IF($I3589&lt;=1,2,0))</f>
        <v>0</v>
      </c>
      <c r="K3589">
        <v>0</v>
      </c>
      <c r="L3589">
        <f>IF(AND($J3589=0,$K3589=0),0,1)</f>
        <v>0</v>
      </c>
      <c r="M3589" t="s">
        <v>449</v>
      </c>
    </row>
    <row r="3590" spans="1:13" x14ac:dyDescent="0.2">
      <c r="A3590" t="s">
        <v>431</v>
      </c>
      <c r="B3590" t="s">
        <v>6</v>
      </c>
      <c r="C3590" t="s">
        <v>11</v>
      </c>
      <c r="D3590">
        <v>8930</v>
      </c>
      <c r="E3590">
        <v>2020</v>
      </c>
      <c r="F3590">
        <v>1</v>
      </c>
      <c r="G3590">
        <v>12061</v>
      </c>
      <c r="H3590" s="1">
        <v>4</v>
      </c>
      <c r="I3590">
        <v>8</v>
      </c>
      <c r="J3590">
        <f>IF($H3590=0,1,IF($I3590&lt;=1,2,0))</f>
        <v>0</v>
      </c>
      <c r="K3590">
        <v>0</v>
      </c>
      <c r="L3590">
        <f>IF(AND($J3590=0,$K3590=0),0,1)</f>
        <v>0</v>
      </c>
      <c r="M3590" t="s">
        <v>449</v>
      </c>
    </row>
    <row r="3591" spans="1:13" x14ac:dyDescent="0.2">
      <c r="A3591" t="s">
        <v>463</v>
      </c>
      <c r="B3591" t="s">
        <v>17</v>
      </c>
      <c r="C3591" t="s">
        <v>9</v>
      </c>
      <c r="D3591">
        <v>1101</v>
      </c>
      <c r="E3591">
        <v>2020</v>
      </c>
      <c r="F3591">
        <v>1</v>
      </c>
      <c r="G3591">
        <v>10813</v>
      </c>
      <c r="H3591" s="1">
        <v>4</v>
      </c>
      <c r="I3591">
        <v>6</v>
      </c>
      <c r="J3591">
        <f>IF($H3591=0,1,IF($I3591&lt;=1,2,0))</f>
        <v>0</v>
      </c>
      <c r="K3591">
        <v>0</v>
      </c>
      <c r="L3591">
        <f>IF(AND($J3591=0,$K3591=0),0,1)</f>
        <v>0</v>
      </c>
    </row>
    <row r="3592" spans="1:13" x14ac:dyDescent="0.2">
      <c r="A3592" t="s">
        <v>463</v>
      </c>
      <c r="B3592" t="s">
        <v>17</v>
      </c>
      <c r="C3592" t="s">
        <v>9</v>
      </c>
      <c r="D3592">
        <v>2101</v>
      </c>
      <c r="E3592">
        <v>2020</v>
      </c>
      <c r="F3592">
        <v>1</v>
      </c>
      <c r="G3592">
        <v>10814</v>
      </c>
      <c r="H3592" s="1">
        <v>4</v>
      </c>
      <c r="I3592">
        <v>4</v>
      </c>
      <c r="J3592">
        <f>IF($H3592=0,1,IF($I3592&lt;=1,2,0))</f>
        <v>0</v>
      </c>
      <c r="K3592">
        <v>0</v>
      </c>
      <c r="L3592">
        <f>IF(AND($J3592=0,$K3592=0),0,1)</f>
        <v>0</v>
      </c>
    </row>
    <row r="3593" spans="1:13" x14ac:dyDescent="0.2">
      <c r="A3593" t="s">
        <v>464</v>
      </c>
      <c r="B3593" t="s">
        <v>6</v>
      </c>
      <c r="C3593" t="s">
        <v>11</v>
      </c>
      <c r="D3593">
        <v>5555</v>
      </c>
      <c r="E3593">
        <v>2020</v>
      </c>
      <c r="F3593">
        <v>1</v>
      </c>
      <c r="G3593">
        <v>11265</v>
      </c>
      <c r="H3593" s="1">
        <v>4</v>
      </c>
      <c r="I3593">
        <v>14</v>
      </c>
      <c r="J3593">
        <f>IF($H3593=0,1,IF($I3593&lt;=1,2,0))</f>
        <v>0</v>
      </c>
      <c r="K3593">
        <v>0</v>
      </c>
      <c r="L3593">
        <f>IF(AND($J3593=0,$K3593=0),0,1)</f>
        <v>0</v>
      </c>
    </row>
    <row r="3594" spans="1:13" x14ac:dyDescent="0.2">
      <c r="A3594" t="s">
        <v>465</v>
      </c>
      <c r="B3594" t="s">
        <v>6</v>
      </c>
      <c r="C3594" t="s">
        <v>21</v>
      </c>
      <c r="D3594">
        <v>3190</v>
      </c>
      <c r="E3594">
        <v>2020</v>
      </c>
      <c r="F3594">
        <v>1</v>
      </c>
      <c r="G3594">
        <v>12877</v>
      </c>
      <c r="H3594" s="1">
        <v>3</v>
      </c>
      <c r="I3594">
        <v>18</v>
      </c>
      <c r="J3594">
        <f>IF($H3594=0,1,IF($I3594&lt;=1,2,0))</f>
        <v>0</v>
      </c>
      <c r="K3594">
        <v>0</v>
      </c>
      <c r="L3594">
        <f>IF(AND($J3594=0,$K3594=0),0,1)</f>
        <v>0</v>
      </c>
      <c r="M3594" t="s">
        <v>1099</v>
      </c>
    </row>
    <row r="3595" spans="1:13" x14ac:dyDescent="0.2">
      <c r="A3595" t="s">
        <v>465</v>
      </c>
      <c r="B3595" t="s">
        <v>6</v>
      </c>
      <c r="C3595" t="s">
        <v>9</v>
      </c>
      <c r="D3595">
        <v>3994</v>
      </c>
      <c r="E3595">
        <v>2020</v>
      </c>
      <c r="F3595">
        <v>1</v>
      </c>
      <c r="G3595">
        <v>11122</v>
      </c>
      <c r="H3595" s="1">
        <v>4</v>
      </c>
      <c r="I3595">
        <v>11</v>
      </c>
      <c r="J3595">
        <f>IF($H3595=0,1,IF($I3595&lt;=1,2,0))</f>
        <v>0</v>
      </c>
      <c r="K3595">
        <v>0</v>
      </c>
      <c r="L3595">
        <f>IF(AND($J3595=0,$K3595=0),0,1)</f>
        <v>0</v>
      </c>
      <c r="M3595" t="s">
        <v>467</v>
      </c>
    </row>
    <row r="3596" spans="1:13" x14ac:dyDescent="0.2">
      <c r="A3596" t="s">
        <v>465</v>
      </c>
      <c r="B3596" t="s">
        <v>6</v>
      </c>
      <c r="C3596" t="s">
        <v>9</v>
      </c>
      <c r="D3596">
        <v>3995</v>
      </c>
      <c r="E3596">
        <v>2020</v>
      </c>
      <c r="F3596">
        <v>1</v>
      </c>
      <c r="G3596">
        <v>11134</v>
      </c>
      <c r="H3596" s="1">
        <v>4</v>
      </c>
      <c r="I3596">
        <v>13</v>
      </c>
      <c r="J3596">
        <f>IF($H3596=0,1,IF($I3596&lt;=1,2,0))</f>
        <v>0</v>
      </c>
      <c r="K3596">
        <v>0</v>
      </c>
      <c r="L3596">
        <f>IF(AND($J3596=0,$K3596=0),0,1)</f>
        <v>0</v>
      </c>
      <c r="M3596" t="s">
        <v>467</v>
      </c>
    </row>
    <row r="3597" spans="1:13" x14ac:dyDescent="0.2">
      <c r="A3597" t="s">
        <v>465</v>
      </c>
      <c r="B3597" t="s">
        <v>6</v>
      </c>
      <c r="C3597" t="s">
        <v>9</v>
      </c>
      <c r="D3597">
        <v>4185</v>
      </c>
      <c r="E3597">
        <v>2020</v>
      </c>
      <c r="F3597">
        <v>1</v>
      </c>
      <c r="G3597">
        <v>15659</v>
      </c>
      <c r="H3597" s="1">
        <v>3</v>
      </c>
      <c r="I3597">
        <v>11</v>
      </c>
      <c r="J3597">
        <f>IF($H3597=0,1,IF($I3597&lt;=1,2,0))</f>
        <v>0</v>
      </c>
      <c r="K3597">
        <v>0</v>
      </c>
      <c r="L3597">
        <f>IF(AND($J3597=0,$K3597=0),0,1)</f>
        <v>0</v>
      </c>
      <c r="M3597" t="s">
        <v>1935</v>
      </c>
    </row>
    <row r="3598" spans="1:13" x14ac:dyDescent="0.2">
      <c r="A3598" t="s">
        <v>465</v>
      </c>
      <c r="B3598" t="s">
        <v>6</v>
      </c>
      <c r="C3598" t="s">
        <v>11</v>
      </c>
      <c r="D3598">
        <v>4215</v>
      </c>
      <c r="E3598">
        <v>2020</v>
      </c>
      <c r="F3598">
        <v>1</v>
      </c>
      <c r="G3598">
        <v>11123</v>
      </c>
      <c r="H3598" s="1">
        <v>3</v>
      </c>
      <c r="I3598">
        <v>15</v>
      </c>
      <c r="J3598">
        <f>IF($H3598=0,1,IF($I3598&lt;=1,2,0))</f>
        <v>0</v>
      </c>
      <c r="K3598">
        <v>0</v>
      </c>
      <c r="L3598">
        <f>IF(AND($J3598=0,$K3598=0),0,1)</f>
        <v>0</v>
      </c>
      <c r="M3598" t="s">
        <v>1935</v>
      </c>
    </row>
    <row r="3599" spans="1:13" x14ac:dyDescent="0.2">
      <c r="A3599" t="s">
        <v>465</v>
      </c>
      <c r="B3599" t="s">
        <v>6</v>
      </c>
      <c r="C3599" t="s">
        <v>9</v>
      </c>
      <c r="D3599">
        <v>4230</v>
      </c>
      <c r="E3599">
        <v>2020</v>
      </c>
      <c r="F3599">
        <v>1</v>
      </c>
      <c r="G3599">
        <v>11124</v>
      </c>
      <c r="H3599" s="1">
        <v>3</v>
      </c>
      <c r="I3599">
        <v>17</v>
      </c>
      <c r="J3599">
        <f>IF($H3599=0,1,IF($I3599&lt;=1,2,0))</f>
        <v>0</v>
      </c>
      <c r="K3599">
        <v>0</v>
      </c>
      <c r="L3599">
        <f>IF(AND($J3599=0,$K3599=0),0,1)</f>
        <v>0</v>
      </c>
      <c r="M3599" t="s">
        <v>1935</v>
      </c>
    </row>
    <row r="3600" spans="1:13" x14ac:dyDescent="0.2">
      <c r="A3600" t="s">
        <v>465</v>
      </c>
      <c r="B3600" t="s">
        <v>6</v>
      </c>
      <c r="C3600" t="s">
        <v>11</v>
      </c>
      <c r="D3600">
        <v>4400</v>
      </c>
      <c r="E3600">
        <v>2020</v>
      </c>
      <c r="F3600">
        <v>1</v>
      </c>
      <c r="G3600">
        <v>11125</v>
      </c>
      <c r="H3600" s="1">
        <v>3</v>
      </c>
      <c r="I3600">
        <v>10</v>
      </c>
      <c r="J3600">
        <f>IF($H3600=0,1,IF($I3600&lt;=1,2,0))</f>
        <v>0</v>
      </c>
      <c r="K3600">
        <v>0</v>
      </c>
      <c r="L3600">
        <f>IF(AND($J3600=0,$K3600=0),0,1)</f>
        <v>0</v>
      </c>
      <c r="M3600" t="s">
        <v>1935</v>
      </c>
    </row>
    <row r="3601" spans="1:13" x14ac:dyDescent="0.2">
      <c r="A3601" t="s">
        <v>465</v>
      </c>
      <c r="B3601" t="s">
        <v>6</v>
      </c>
      <c r="C3601" t="s">
        <v>9</v>
      </c>
      <c r="D3601">
        <v>4650</v>
      </c>
      <c r="E3601">
        <v>2020</v>
      </c>
      <c r="F3601">
        <v>1</v>
      </c>
      <c r="G3601">
        <v>11126</v>
      </c>
      <c r="H3601" s="1">
        <v>3</v>
      </c>
      <c r="I3601">
        <v>19</v>
      </c>
      <c r="J3601">
        <f>IF($H3601=0,1,IF($I3601&lt;=1,2,0))</f>
        <v>0</v>
      </c>
      <c r="K3601">
        <v>0</v>
      </c>
      <c r="L3601">
        <f>IF(AND($J3601=0,$K3601=0),0,1)</f>
        <v>0</v>
      </c>
      <c r="M3601" t="s">
        <v>1935</v>
      </c>
    </row>
    <row r="3602" spans="1:13" x14ac:dyDescent="0.2">
      <c r="A3602" t="s">
        <v>465</v>
      </c>
      <c r="B3602" t="s">
        <v>6</v>
      </c>
      <c r="C3602" t="s">
        <v>9</v>
      </c>
      <c r="D3602">
        <v>4900</v>
      </c>
      <c r="E3602">
        <v>2020</v>
      </c>
      <c r="F3602">
        <v>1</v>
      </c>
      <c r="G3602">
        <v>11127</v>
      </c>
      <c r="H3602" s="1">
        <v>4</v>
      </c>
      <c r="I3602">
        <v>16</v>
      </c>
      <c r="J3602">
        <f>IF($H3602=0,1,IF($I3602&lt;=1,2,0))</f>
        <v>0</v>
      </c>
      <c r="K3602">
        <v>0</v>
      </c>
      <c r="L3602">
        <f>IF(AND($J3602=0,$K3602=0),0,1)</f>
        <v>0</v>
      </c>
      <c r="M3602" t="s">
        <v>1935</v>
      </c>
    </row>
    <row r="3603" spans="1:13" x14ac:dyDescent="0.2">
      <c r="A3603" t="s">
        <v>465</v>
      </c>
      <c r="B3603" t="s">
        <v>6</v>
      </c>
      <c r="C3603" t="s">
        <v>11</v>
      </c>
      <c r="D3603">
        <v>4950</v>
      </c>
      <c r="E3603">
        <v>2020</v>
      </c>
      <c r="F3603">
        <v>1</v>
      </c>
      <c r="G3603">
        <v>11129</v>
      </c>
      <c r="H3603" s="1">
        <v>3</v>
      </c>
      <c r="I3603">
        <v>16</v>
      </c>
      <c r="J3603">
        <f>IF($H3603=0,1,IF($I3603&lt;=1,2,0))</f>
        <v>0</v>
      </c>
      <c r="K3603">
        <v>0</v>
      </c>
      <c r="L3603">
        <f>IF(AND($J3603=0,$K3603=0),0,1)</f>
        <v>0</v>
      </c>
      <c r="M3603" t="s">
        <v>468</v>
      </c>
    </row>
    <row r="3604" spans="1:13" x14ac:dyDescent="0.2">
      <c r="A3604" t="s">
        <v>465</v>
      </c>
      <c r="B3604" t="s">
        <v>6</v>
      </c>
      <c r="C3604" t="s">
        <v>9</v>
      </c>
      <c r="D3604">
        <v>4965</v>
      </c>
      <c r="E3604">
        <v>2020</v>
      </c>
      <c r="F3604">
        <v>1</v>
      </c>
      <c r="G3604">
        <v>21479</v>
      </c>
      <c r="H3604" s="1">
        <v>3</v>
      </c>
      <c r="I3604">
        <v>16</v>
      </c>
      <c r="J3604">
        <f>IF($H3604=0,1,IF($I3604&lt;=1,2,0))</f>
        <v>0</v>
      </c>
      <c r="K3604">
        <v>0</v>
      </c>
      <c r="L3604">
        <f>IF(AND($J3604=0,$K3604=0),0,1)</f>
        <v>0</v>
      </c>
      <c r="M3604" t="s">
        <v>1935</v>
      </c>
    </row>
    <row r="3605" spans="1:13" x14ac:dyDescent="0.2">
      <c r="A3605" t="s">
        <v>470</v>
      </c>
      <c r="B3605" t="s">
        <v>6</v>
      </c>
      <c r="C3605" t="s">
        <v>9</v>
      </c>
      <c r="D3605">
        <v>3871</v>
      </c>
      <c r="E3605">
        <v>2020</v>
      </c>
      <c r="F3605">
        <v>1</v>
      </c>
      <c r="G3605">
        <v>10918</v>
      </c>
      <c r="H3605" s="1">
        <v>3</v>
      </c>
      <c r="I3605">
        <v>11</v>
      </c>
      <c r="J3605">
        <f>IF($H3605=0,1,IF($I3605&lt;=1,2,0))</f>
        <v>0</v>
      </c>
      <c r="K3605">
        <v>0</v>
      </c>
      <c r="L3605">
        <f>IF(AND($J3605=0,$K3605=0),0,1)</f>
        <v>0</v>
      </c>
    </row>
    <row r="3606" spans="1:13" x14ac:dyDescent="0.2">
      <c r="A3606" t="s">
        <v>470</v>
      </c>
      <c r="B3606" t="s">
        <v>6</v>
      </c>
      <c r="C3606" t="s">
        <v>9</v>
      </c>
      <c r="D3606">
        <v>4880</v>
      </c>
      <c r="E3606">
        <v>2020</v>
      </c>
      <c r="F3606">
        <v>1</v>
      </c>
      <c r="G3606">
        <v>10676</v>
      </c>
      <c r="H3606" s="1">
        <v>3</v>
      </c>
      <c r="I3606">
        <v>51</v>
      </c>
      <c r="J3606">
        <f>IF($H3606=0,1,IF($I3606&lt;=1,2,0))</f>
        <v>0</v>
      </c>
      <c r="K3606">
        <v>0</v>
      </c>
      <c r="L3606">
        <f>IF(AND($J3606=0,$K3606=0),0,1)</f>
        <v>0</v>
      </c>
    </row>
    <row r="3607" spans="1:13" x14ac:dyDescent="0.2">
      <c r="A3607" t="s">
        <v>470</v>
      </c>
      <c r="B3607" t="s">
        <v>6</v>
      </c>
      <c r="C3607" t="s">
        <v>11</v>
      </c>
      <c r="D3607">
        <v>6860</v>
      </c>
      <c r="E3607">
        <v>2020</v>
      </c>
      <c r="F3607">
        <v>1</v>
      </c>
      <c r="G3607">
        <v>10677</v>
      </c>
      <c r="H3607" s="1">
        <v>4</v>
      </c>
      <c r="I3607">
        <v>7</v>
      </c>
      <c r="J3607">
        <f>IF($H3607=0,1,IF($I3607&lt;=1,2,0))</f>
        <v>0</v>
      </c>
      <c r="K3607">
        <v>0</v>
      </c>
      <c r="L3607">
        <f>IF(AND($J3607=0,$K3607=0),0,1)</f>
        <v>0</v>
      </c>
    </row>
    <row r="3608" spans="1:13" x14ac:dyDescent="0.2">
      <c r="A3608" t="s">
        <v>470</v>
      </c>
      <c r="B3608" t="s">
        <v>6</v>
      </c>
      <c r="C3608" t="s">
        <v>11</v>
      </c>
      <c r="D3608">
        <v>8839</v>
      </c>
      <c r="E3608">
        <v>2020</v>
      </c>
      <c r="F3608">
        <v>1</v>
      </c>
      <c r="G3608">
        <v>10678</v>
      </c>
      <c r="H3608" s="1">
        <v>4</v>
      </c>
      <c r="I3608">
        <v>9</v>
      </c>
      <c r="J3608">
        <f>IF($H3608=0,1,IF($I3608&lt;=1,2,0))</f>
        <v>0</v>
      </c>
      <c r="K3608">
        <v>0</v>
      </c>
      <c r="L3608">
        <f>IF(AND($J3608=0,$K3608=0),0,1)</f>
        <v>0</v>
      </c>
    </row>
    <row r="3609" spans="1:13" x14ac:dyDescent="0.2">
      <c r="A3609" t="s">
        <v>470</v>
      </c>
      <c r="B3609" t="s">
        <v>6</v>
      </c>
      <c r="C3609" t="s">
        <v>11</v>
      </c>
      <c r="D3609">
        <v>8880</v>
      </c>
      <c r="E3609">
        <v>2020</v>
      </c>
      <c r="F3609">
        <v>1</v>
      </c>
      <c r="G3609">
        <v>10679</v>
      </c>
      <c r="H3609" s="1">
        <v>4</v>
      </c>
      <c r="I3609">
        <v>14</v>
      </c>
      <c r="J3609">
        <f>IF($H3609=0,1,IF($I3609&lt;=1,2,0))</f>
        <v>0</v>
      </c>
      <c r="K3609">
        <v>0</v>
      </c>
      <c r="L3609">
        <f>IF(AND($J3609=0,$K3609=0),0,1)</f>
        <v>0</v>
      </c>
    </row>
    <row r="3610" spans="1:13" x14ac:dyDescent="0.2">
      <c r="A3610" t="s">
        <v>472</v>
      </c>
      <c r="B3610" t="s">
        <v>6</v>
      </c>
      <c r="C3610" t="s">
        <v>11</v>
      </c>
      <c r="D3610">
        <v>8569</v>
      </c>
      <c r="E3610">
        <v>2020</v>
      </c>
      <c r="F3610">
        <v>1</v>
      </c>
      <c r="G3610">
        <v>12138</v>
      </c>
      <c r="H3610" s="1">
        <v>4</v>
      </c>
      <c r="I3610">
        <v>15</v>
      </c>
      <c r="J3610">
        <f>IF($H3610=0,1,IF($I3610&lt;=1,2,0))</f>
        <v>0</v>
      </c>
      <c r="K3610">
        <v>0</v>
      </c>
      <c r="L3610">
        <f>IF(AND($J3610=0,$K3610=0),0,1)</f>
        <v>0</v>
      </c>
    </row>
    <row r="3611" spans="1:13" x14ac:dyDescent="0.2">
      <c r="A3611" t="s">
        <v>473</v>
      </c>
      <c r="B3611" t="s">
        <v>6</v>
      </c>
      <c r="C3611" t="s">
        <v>9</v>
      </c>
      <c r="D3611">
        <v>2915</v>
      </c>
      <c r="E3611">
        <v>2020</v>
      </c>
      <c r="F3611">
        <v>1</v>
      </c>
      <c r="G3611">
        <v>12654</v>
      </c>
      <c r="H3611" s="1">
        <v>4</v>
      </c>
      <c r="I3611">
        <v>22</v>
      </c>
      <c r="J3611">
        <f>IF($H3611=0,1,IF($I3611&lt;=1,2,0))</f>
        <v>0</v>
      </c>
      <c r="K3611">
        <v>0</v>
      </c>
      <c r="L3611">
        <f>IF(AND($J3611=0,$K3611=0),0,1)</f>
        <v>0</v>
      </c>
      <c r="M3611" t="s">
        <v>2003</v>
      </c>
    </row>
    <row r="3612" spans="1:13" x14ac:dyDescent="0.2">
      <c r="A3612" t="s">
        <v>476</v>
      </c>
      <c r="B3612" t="s">
        <v>6</v>
      </c>
      <c r="C3612" t="s">
        <v>11</v>
      </c>
      <c r="D3612">
        <v>8445</v>
      </c>
      <c r="E3612">
        <v>2020</v>
      </c>
      <c r="F3612">
        <v>1</v>
      </c>
      <c r="G3612">
        <v>15496</v>
      </c>
      <c r="H3612" s="1">
        <v>4</v>
      </c>
      <c r="I3612">
        <v>18</v>
      </c>
      <c r="J3612">
        <f>IF($H3612=0,1,IF($I3612&lt;=1,2,0))</f>
        <v>0</v>
      </c>
      <c r="K3612">
        <v>0</v>
      </c>
      <c r="L3612">
        <f>IF(AND($J3612=0,$K3612=0),0,1)</f>
        <v>0</v>
      </c>
    </row>
    <row r="3613" spans="1:13" x14ac:dyDescent="0.2">
      <c r="A3613" t="s">
        <v>477</v>
      </c>
      <c r="B3613" t="s">
        <v>241</v>
      </c>
      <c r="C3613" t="s">
        <v>7</v>
      </c>
      <c r="D3613">
        <v>1001</v>
      </c>
      <c r="E3613">
        <v>2020</v>
      </c>
      <c r="F3613">
        <v>5</v>
      </c>
      <c r="G3613">
        <v>12085</v>
      </c>
      <c r="H3613" s="1">
        <v>4</v>
      </c>
      <c r="I3613">
        <v>23</v>
      </c>
      <c r="J3613">
        <f>IF($H3613=0,1,IF($I3613&lt;=1,2,0))</f>
        <v>0</v>
      </c>
      <c r="K3613">
        <v>0</v>
      </c>
      <c r="L3613">
        <f>IF(AND($J3613=0,$K3613=0),0,1)</f>
        <v>0</v>
      </c>
    </row>
    <row r="3614" spans="1:13" x14ac:dyDescent="0.2">
      <c r="A3614" t="s">
        <v>477</v>
      </c>
      <c r="B3614" t="s">
        <v>241</v>
      </c>
      <c r="C3614" t="s">
        <v>7</v>
      </c>
      <c r="D3614">
        <v>1001</v>
      </c>
      <c r="E3614">
        <v>2020</v>
      </c>
      <c r="F3614">
        <v>2</v>
      </c>
      <c r="G3614">
        <v>12082</v>
      </c>
      <c r="H3614" s="1">
        <v>4</v>
      </c>
      <c r="I3614">
        <v>22</v>
      </c>
      <c r="J3614">
        <f>IF($H3614=0,1,IF($I3614&lt;=1,2,0))</f>
        <v>0</v>
      </c>
      <c r="K3614">
        <v>0</v>
      </c>
      <c r="L3614">
        <f>IF(AND($J3614=0,$K3614=0),0,1)</f>
        <v>0</v>
      </c>
    </row>
    <row r="3615" spans="1:13" x14ac:dyDescent="0.2">
      <c r="A3615" t="s">
        <v>477</v>
      </c>
      <c r="B3615" t="s">
        <v>241</v>
      </c>
      <c r="C3615" t="s">
        <v>7</v>
      </c>
      <c r="D3615">
        <v>1001</v>
      </c>
      <c r="E3615">
        <v>2020</v>
      </c>
      <c r="F3615">
        <v>3</v>
      </c>
      <c r="G3615">
        <v>12083</v>
      </c>
      <c r="H3615" s="1">
        <v>4</v>
      </c>
      <c r="I3615">
        <v>22</v>
      </c>
      <c r="J3615">
        <f>IF($H3615=0,1,IF($I3615&lt;=1,2,0))</f>
        <v>0</v>
      </c>
      <c r="K3615">
        <v>0</v>
      </c>
      <c r="L3615">
        <f>IF(AND($J3615=0,$K3615=0),0,1)</f>
        <v>0</v>
      </c>
    </row>
    <row r="3616" spans="1:13" x14ac:dyDescent="0.2">
      <c r="A3616" t="s">
        <v>477</v>
      </c>
      <c r="B3616" t="s">
        <v>241</v>
      </c>
      <c r="C3616" t="s">
        <v>7</v>
      </c>
      <c r="D3616">
        <v>1001</v>
      </c>
      <c r="E3616">
        <v>2020</v>
      </c>
      <c r="F3616">
        <v>4</v>
      </c>
      <c r="G3616">
        <v>12084</v>
      </c>
      <c r="H3616" s="1">
        <v>4</v>
      </c>
      <c r="I3616">
        <v>22</v>
      </c>
      <c r="J3616">
        <f>IF($H3616=0,1,IF($I3616&lt;=1,2,0))</f>
        <v>0</v>
      </c>
      <c r="K3616">
        <v>0</v>
      </c>
      <c r="L3616">
        <f>IF(AND($J3616=0,$K3616=0),0,1)</f>
        <v>0</v>
      </c>
    </row>
    <row r="3617" spans="1:12" x14ac:dyDescent="0.2">
      <c r="A3617" t="s">
        <v>477</v>
      </c>
      <c r="B3617" t="s">
        <v>241</v>
      </c>
      <c r="C3617" t="s">
        <v>7</v>
      </c>
      <c r="D3617">
        <v>1001</v>
      </c>
      <c r="E3617">
        <v>2020</v>
      </c>
      <c r="F3617">
        <v>6</v>
      </c>
      <c r="G3617">
        <v>12086</v>
      </c>
      <c r="H3617" s="1">
        <v>4</v>
      </c>
      <c r="I3617">
        <v>22</v>
      </c>
      <c r="J3617">
        <f>IF($H3617=0,1,IF($I3617&lt;=1,2,0))</f>
        <v>0</v>
      </c>
      <c r="K3617">
        <v>0</v>
      </c>
      <c r="L3617">
        <f>IF(AND($J3617=0,$K3617=0),0,1)</f>
        <v>0</v>
      </c>
    </row>
    <row r="3618" spans="1:12" x14ac:dyDescent="0.2">
      <c r="A3618" t="s">
        <v>477</v>
      </c>
      <c r="B3618" t="s">
        <v>241</v>
      </c>
      <c r="C3618" t="s">
        <v>7</v>
      </c>
      <c r="D3618">
        <v>1001</v>
      </c>
      <c r="E3618">
        <v>2020</v>
      </c>
      <c r="F3618">
        <v>7</v>
      </c>
      <c r="G3618">
        <v>12087</v>
      </c>
      <c r="H3618" s="1">
        <v>4</v>
      </c>
      <c r="I3618">
        <v>22</v>
      </c>
      <c r="J3618">
        <f>IF($H3618=0,1,IF($I3618&lt;=1,2,0))</f>
        <v>0</v>
      </c>
      <c r="K3618">
        <v>0</v>
      </c>
      <c r="L3618">
        <f>IF(AND($J3618=0,$K3618=0),0,1)</f>
        <v>0</v>
      </c>
    </row>
    <row r="3619" spans="1:12" x14ac:dyDescent="0.2">
      <c r="A3619" t="s">
        <v>477</v>
      </c>
      <c r="B3619" t="s">
        <v>241</v>
      </c>
      <c r="C3619" t="s">
        <v>7</v>
      </c>
      <c r="D3619">
        <v>1001</v>
      </c>
      <c r="E3619">
        <v>2020</v>
      </c>
      <c r="F3619">
        <v>8</v>
      </c>
      <c r="G3619">
        <v>12088</v>
      </c>
      <c r="H3619" s="1">
        <v>4</v>
      </c>
      <c r="I3619">
        <v>22</v>
      </c>
      <c r="J3619">
        <f>IF($H3619=0,1,IF($I3619&lt;=1,2,0))</f>
        <v>0</v>
      </c>
      <c r="K3619">
        <v>0</v>
      </c>
      <c r="L3619">
        <f>IF(AND($J3619=0,$K3619=0),0,1)</f>
        <v>0</v>
      </c>
    </row>
    <row r="3620" spans="1:12" x14ac:dyDescent="0.2">
      <c r="A3620" t="s">
        <v>477</v>
      </c>
      <c r="B3620" t="s">
        <v>241</v>
      </c>
      <c r="C3620" t="s">
        <v>7</v>
      </c>
      <c r="D3620">
        <v>1001</v>
      </c>
      <c r="E3620">
        <v>2020</v>
      </c>
      <c r="F3620">
        <v>10</v>
      </c>
      <c r="G3620">
        <v>12090</v>
      </c>
      <c r="H3620" s="1">
        <v>4</v>
      </c>
      <c r="I3620">
        <v>22</v>
      </c>
      <c r="J3620">
        <f>IF($H3620=0,1,IF($I3620&lt;=1,2,0))</f>
        <v>0</v>
      </c>
      <c r="K3620">
        <v>0</v>
      </c>
      <c r="L3620">
        <f>IF(AND($J3620=0,$K3620=0),0,1)</f>
        <v>0</v>
      </c>
    </row>
    <row r="3621" spans="1:12" x14ac:dyDescent="0.2">
      <c r="A3621" t="s">
        <v>477</v>
      </c>
      <c r="B3621" t="s">
        <v>241</v>
      </c>
      <c r="C3621" t="s">
        <v>7</v>
      </c>
      <c r="D3621">
        <v>1001</v>
      </c>
      <c r="E3621">
        <v>2020</v>
      </c>
      <c r="F3621">
        <v>14</v>
      </c>
      <c r="G3621">
        <v>12094</v>
      </c>
      <c r="H3621" s="1">
        <v>4</v>
      </c>
      <c r="I3621">
        <v>22</v>
      </c>
      <c r="J3621">
        <f>IF($H3621=0,1,IF($I3621&lt;=1,2,0))</f>
        <v>0</v>
      </c>
      <c r="K3621">
        <v>0</v>
      </c>
      <c r="L3621">
        <f>IF(AND($J3621=0,$K3621=0),0,1)</f>
        <v>0</v>
      </c>
    </row>
    <row r="3622" spans="1:12" x14ac:dyDescent="0.2">
      <c r="A3622" t="s">
        <v>477</v>
      </c>
      <c r="B3622" t="s">
        <v>241</v>
      </c>
      <c r="C3622" t="s">
        <v>7</v>
      </c>
      <c r="D3622">
        <v>1001</v>
      </c>
      <c r="E3622">
        <v>2020</v>
      </c>
      <c r="F3622">
        <v>15</v>
      </c>
      <c r="G3622">
        <v>12095</v>
      </c>
      <c r="H3622" s="1">
        <v>4</v>
      </c>
      <c r="I3622">
        <v>22</v>
      </c>
      <c r="J3622">
        <f>IF($H3622=0,1,IF($I3622&lt;=1,2,0))</f>
        <v>0</v>
      </c>
      <c r="K3622">
        <v>0</v>
      </c>
      <c r="L3622">
        <f>IF(AND($J3622=0,$K3622=0),0,1)</f>
        <v>0</v>
      </c>
    </row>
    <row r="3623" spans="1:12" x14ac:dyDescent="0.2">
      <c r="A3623" t="s">
        <v>477</v>
      </c>
      <c r="B3623" t="s">
        <v>241</v>
      </c>
      <c r="C3623" t="s">
        <v>7</v>
      </c>
      <c r="D3623">
        <v>1001</v>
      </c>
      <c r="E3623">
        <v>2020</v>
      </c>
      <c r="F3623">
        <v>16</v>
      </c>
      <c r="G3623">
        <v>12096</v>
      </c>
      <c r="H3623" s="1">
        <v>4</v>
      </c>
      <c r="I3623">
        <v>22</v>
      </c>
      <c r="J3623">
        <f>IF($H3623=0,1,IF($I3623&lt;=1,2,0))</f>
        <v>0</v>
      </c>
      <c r="K3623">
        <v>0</v>
      </c>
      <c r="L3623">
        <f>IF(AND($J3623=0,$K3623=0),0,1)</f>
        <v>0</v>
      </c>
    </row>
    <row r="3624" spans="1:12" x14ac:dyDescent="0.2">
      <c r="A3624" t="s">
        <v>477</v>
      </c>
      <c r="B3624" t="s">
        <v>241</v>
      </c>
      <c r="C3624" t="s">
        <v>7</v>
      </c>
      <c r="D3624">
        <v>1001</v>
      </c>
      <c r="E3624">
        <v>2020</v>
      </c>
      <c r="F3624">
        <v>17</v>
      </c>
      <c r="G3624">
        <v>12097</v>
      </c>
      <c r="H3624" s="1">
        <v>4</v>
      </c>
      <c r="I3624">
        <v>22</v>
      </c>
      <c r="J3624">
        <f>IF($H3624=0,1,IF($I3624&lt;=1,2,0))</f>
        <v>0</v>
      </c>
      <c r="K3624">
        <v>0</v>
      </c>
      <c r="L3624">
        <f>IF(AND($J3624=0,$K3624=0),0,1)</f>
        <v>0</v>
      </c>
    </row>
    <row r="3625" spans="1:12" x14ac:dyDescent="0.2">
      <c r="A3625" t="s">
        <v>477</v>
      </c>
      <c r="B3625" t="s">
        <v>241</v>
      </c>
      <c r="C3625" t="s">
        <v>7</v>
      </c>
      <c r="D3625">
        <v>1001</v>
      </c>
      <c r="E3625">
        <v>2020</v>
      </c>
      <c r="F3625">
        <v>18</v>
      </c>
      <c r="G3625">
        <v>12098</v>
      </c>
      <c r="H3625" s="1">
        <v>4</v>
      </c>
      <c r="I3625">
        <v>22</v>
      </c>
      <c r="J3625">
        <f>IF($H3625=0,1,IF($I3625&lt;=1,2,0))</f>
        <v>0</v>
      </c>
      <c r="K3625">
        <v>0</v>
      </c>
      <c r="L3625">
        <f>IF(AND($J3625=0,$K3625=0),0,1)</f>
        <v>0</v>
      </c>
    </row>
    <row r="3626" spans="1:12" x14ac:dyDescent="0.2">
      <c r="A3626" t="s">
        <v>477</v>
      </c>
      <c r="B3626" t="s">
        <v>241</v>
      </c>
      <c r="C3626" t="s">
        <v>7</v>
      </c>
      <c r="D3626">
        <v>1001</v>
      </c>
      <c r="E3626">
        <v>2020</v>
      </c>
      <c r="F3626">
        <v>19</v>
      </c>
      <c r="G3626">
        <v>12099</v>
      </c>
      <c r="H3626" s="1">
        <v>4</v>
      </c>
      <c r="I3626">
        <v>22</v>
      </c>
      <c r="J3626">
        <f>IF($H3626=0,1,IF($I3626&lt;=1,2,0))</f>
        <v>0</v>
      </c>
      <c r="K3626">
        <v>0</v>
      </c>
      <c r="L3626">
        <f>IF(AND($J3626=0,$K3626=0),0,1)</f>
        <v>0</v>
      </c>
    </row>
    <row r="3627" spans="1:12" x14ac:dyDescent="0.2">
      <c r="A3627" t="s">
        <v>477</v>
      </c>
      <c r="B3627" t="s">
        <v>241</v>
      </c>
      <c r="C3627" t="s">
        <v>7</v>
      </c>
      <c r="D3627">
        <v>1001</v>
      </c>
      <c r="E3627">
        <v>2020</v>
      </c>
      <c r="F3627">
        <v>20</v>
      </c>
      <c r="G3627">
        <v>12100</v>
      </c>
      <c r="H3627" s="1">
        <v>4</v>
      </c>
      <c r="I3627">
        <v>22</v>
      </c>
      <c r="J3627">
        <f>IF($H3627=0,1,IF($I3627&lt;=1,2,0))</f>
        <v>0</v>
      </c>
      <c r="K3627">
        <v>0</v>
      </c>
      <c r="L3627">
        <f>IF(AND($J3627=0,$K3627=0),0,1)</f>
        <v>0</v>
      </c>
    </row>
    <row r="3628" spans="1:12" x14ac:dyDescent="0.2">
      <c r="A3628" t="s">
        <v>477</v>
      </c>
      <c r="B3628" t="s">
        <v>241</v>
      </c>
      <c r="C3628" t="s">
        <v>7</v>
      </c>
      <c r="D3628">
        <v>1001</v>
      </c>
      <c r="E3628">
        <v>2020</v>
      </c>
      <c r="F3628">
        <v>21</v>
      </c>
      <c r="G3628">
        <v>12101</v>
      </c>
      <c r="H3628" s="1">
        <v>4</v>
      </c>
      <c r="I3628">
        <v>22</v>
      </c>
      <c r="J3628">
        <f>IF($H3628=0,1,IF($I3628&lt;=1,2,0))</f>
        <v>0</v>
      </c>
      <c r="K3628">
        <v>0</v>
      </c>
      <c r="L3628">
        <f>IF(AND($J3628=0,$K3628=0),0,1)</f>
        <v>0</v>
      </c>
    </row>
    <row r="3629" spans="1:12" x14ac:dyDescent="0.2">
      <c r="A3629" t="s">
        <v>477</v>
      </c>
      <c r="B3629" t="s">
        <v>241</v>
      </c>
      <c r="C3629" t="s">
        <v>7</v>
      </c>
      <c r="D3629">
        <v>1001</v>
      </c>
      <c r="E3629">
        <v>2020</v>
      </c>
      <c r="F3629">
        <v>22</v>
      </c>
      <c r="G3629">
        <v>12102</v>
      </c>
      <c r="H3629" s="1">
        <v>4</v>
      </c>
      <c r="I3629">
        <v>22</v>
      </c>
      <c r="J3629">
        <f>IF($H3629=0,1,IF($I3629&lt;=1,2,0))</f>
        <v>0</v>
      </c>
      <c r="K3629">
        <v>0</v>
      </c>
      <c r="L3629">
        <f>IF(AND($J3629=0,$K3629=0),0,1)</f>
        <v>0</v>
      </c>
    </row>
    <row r="3630" spans="1:12" x14ac:dyDescent="0.2">
      <c r="A3630" t="s">
        <v>477</v>
      </c>
      <c r="B3630" t="s">
        <v>241</v>
      </c>
      <c r="C3630" t="s">
        <v>7</v>
      </c>
      <c r="D3630">
        <v>1001</v>
      </c>
      <c r="E3630">
        <v>2020</v>
      </c>
      <c r="F3630">
        <v>23</v>
      </c>
      <c r="G3630">
        <v>12103</v>
      </c>
      <c r="H3630" s="1">
        <v>4</v>
      </c>
      <c r="I3630">
        <v>22</v>
      </c>
      <c r="J3630">
        <f>IF($H3630=0,1,IF($I3630&lt;=1,2,0))</f>
        <v>0</v>
      </c>
      <c r="K3630">
        <v>0</v>
      </c>
      <c r="L3630">
        <f>IF(AND($J3630=0,$K3630=0),0,1)</f>
        <v>0</v>
      </c>
    </row>
    <row r="3631" spans="1:12" x14ac:dyDescent="0.2">
      <c r="A3631" t="s">
        <v>477</v>
      </c>
      <c r="B3631" t="s">
        <v>241</v>
      </c>
      <c r="C3631" t="s">
        <v>7</v>
      </c>
      <c r="D3631">
        <v>1001</v>
      </c>
      <c r="E3631">
        <v>2020</v>
      </c>
      <c r="F3631">
        <v>24</v>
      </c>
      <c r="G3631">
        <v>12104</v>
      </c>
      <c r="H3631" s="1">
        <v>4</v>
      </c>
      <c r="I3631">
        <v>22</v>
      </c>
      <c r="J3631">
        <f>IF($H3631=0,1,IF($I3631&lt;=1,2,0))</f>
        <v>0</v>
      </c>
      <c r="K3631">
        <v>0</v>
      </c>
      <c r="L3631">
        <f>IF(AND($J3631=0,$K3631=0),0,1)</f>
        <v>0</v>
      </c>
    </row>
    <row r="3632" spans="1:12" x14ac:dyDescent="0.2">
      <c r="A3632" t="s">
        <v>477</v>
      </c>
      <c r="B3632" t="s">
        <v>241</v>
      </c>
      <c r="C3632" t="s">
        <v>7</v>
      </c>
      <c r="D3632">
        <v>1001</v>
      </c>
      <c r="E3632">
        <v>2020</v>
      </c>
      <c r="F3632">
        <v>25</v>
      </c>
      <c r="G3632">
        <v>12105</v>
      </c>
      <c r="H3632" s="1">
        <v>4</v>
      </c>
      <c r="I3632">
        <v>22</v>
      </c>
      <c r="J3632">
        <f>IF($H3632=0,1,IF($I3632&lt;=1,2,0))</f>
        <v>0</v>
      </c>
      <c r="K3632">
        <v>0</v>
      </c>
      <c r="L3632">
        <f>IF(AND($J3632=0,$K3632=0),0,1)</f>
        <v>0</v>
      </c>
    </row>
    <row r="3633" spans="1:12" x14ac:dyDescent="0.2">
      <c r="A3633" t="s">
        <v>477</v>
      </c>
      <c r="B3633" t="s">
        <v>241</v>
      </c>
      <c r="C3633" t="s">
        <v>7</v>
      </c>
      <c r="D3633">
        <v>1001</v>
      </c>
      <c r="E3633">
        <v>2020</v>
      </c>
      <c r="F3633">
        <v>27</v>
      </c>
      <c r="G3633">
        <v>12107</v>
      </c>
      <c r="H3633" s="1">
        <v>4</v>
      </c>
      <c r="I3633">
        <v>22</v>
      </c>
      <c r="J3633">
        <f>IF($H3633=0,1,IF($I3633&lt;=1,2,0))</f>
        <v>0</v>
      </c>
      <c r="K3633">
        <v>0</v>
      </c>
      <c r="L3633">
        <f>IF(AND($J3633=0,$K3633=0),0,1)</f>
        <v>0</v>
      </c>
    </row>
    <row r="3634" spans="1:12" x14ac:dyDescent="0.2">
      <c r="A3634" t="s">
        <v>477</v>
      </c>
      <c r="B3634" t="s">
        <v>241</v>
      </c>
      <c r="C3634" t="s">
        <v>7</v>
      </c>
      <c r="D3634">
        <v>1001</v>
      </c>
      <c r="E3634">
        <v>2020</v>
      </c>
      <c r="F3634">
        <v>30</v>
      </c>
      <c r="G3634">
        <v>12110</v>
      </c>
      <c r="H3634" s="1">
        <v>4</v>
      </c>
      <c r="I3634">
        <v>22</v>
      </c>
      <c r="J3634">
        <f>IF($H3634=0,1,IF($I3634&lt;=1,2,0))</f>
        <v>0</v>
      </c>
      <c r="K3634">
        <v>0</v>
      </c>
      <c r="L3634">
        <f>IF(AND($J3634=0,$K3634=0),0,1)</f>
        <v>0</v>
      </c>
    </row>
    <row r="3635" spans="1:12" x14ac:dyDescent="0.2">
      <c r="A3635" t="s">
        <v>477</v>
      </c>
      <c r="B3635" t="s">
        <v>241</v>
      </c>
      <c r="C3635" t="s">
        <v>7</v>
      </c>
      <c r="D3635">
        <v>1001</v>
      </c>
      <c r="E3635">
        <v>2020</v>
      </c>
      <c r="F3635">
        <v>33</v>
      </c>
      <c r="G3635">
        <v>12113</v>
      </c>
      <c r="H3635" s="1">
        <v>4</v>
      </c>
      <c r="I3635">
        <v>22</v>
      </c>
      <c r="J3635">
        <f>IF($H3635=0,1,IF($I3635&lt;=1,2,0))</f>
        <v>0</v>
      </c>
      <c r="K3635">
        <v>0</v>
      </c>
      <c r="L3635">
        <f>IF(AND($J3635=0,$K3635=0),0,1)</f>
        <v>0</v>
      </c>
    </row>
    <row r="3636" spans="1:12" x14ac:dyDescent="0.2">
      <c r="A3636" t="s">
        <v>477</v>
      </c>
      <c r="B3636" t="s">
        <v>241</v>
      </c>
      <c r="C3636" t="s">
        <v>7</v>
      </c>
      <c r="D3636">
        <v>1001</v>
      </c>
      <c r="E3636">
        <v>2020</v>
      </c>
      <c r="F3636">
        <v>35</v>
      </c>
      <c r="G3636">
        <v>12115</v>
      </c>
      <c r="H3636" s="1">
        <v>4</v>
      </c>
      <c r="I3636">
        <v>22</v>
      </c>
      <c r="J3636">
        <f>IF($H3636=0,1,IF($I3636&lt;=1,2,0))</f>
        <v>0</v>
      </c>
      <c r="K3636">
        <v>0</v>
      </c>
      <c r="L3636">
        <f>IF(AND($J3636=0,$K3636=0),0,1)</f>
        <v>0</v>
      </c>
    </row>
    <row r="3637" spans="1:12" x14ac:dyDescent="0.2">
      <c r="A3637" t="s">
        <v>477</v>
      </c>
      <c r="B3637" t="s">
        <v>241</v>
      </c>
      <c r="C3637" t="s">
        <v>7</v>
      </c>
      <c r="D3637">
        <v>1001</v>
      </c>
      <c r="E3637">
        <v>2020</v>
      </c>
      <c r="F3637">
        <v>36</v>
      </c>
      <c r="G3637">
        <v>12117</v>
      </c>
      <c r="H3637" s="1">
        <v>4</v>
      </c>
      <c r="I3637">
        <v>22</v>
      </c>
      <c r="J3637">
        <f>IF($H3637=0,1,IF($I3637&lt;=1,2,0))</f>
        <v>0</v>
      </c>
      <c r="K3637">
        <v>0</v>
      </c>
      <c r="L3637">
        <f>IF(AND($J3637=0,$K3637=0),0,1)</f>
        <v>0</v>
      </c>
    </row>
    <row r="3638" spans="1:12" x14ac:dyDescent="0.2">
      <c r="A3638" t="s">
        <v>477</v>
      </c>
      <c r="B3638" t="s">
        <v>241</v>
      </c>
      <c r="C3638" t="s">
        <v>7</v>
      </c>
      <c r="D3638">
        <v>1001</v>
      </c>
      <c r="E3638">
        <v>2020</v>
      </c>
      <c r="F3638">
        <v>37</v>
      </c>
      <c r="G3638">
        <v>12116</v>
      </c>
      <c r="H3638" s="1">
        <v>4</v>
      </c>
      <c r="I3638">
        <v>22</v>
      </c>
      <c r="J3638">
        <f>IF($H3638=0,1,IF($I3638&lt;=1,2,0))</f>
        <v>0</v>
      </c>
      <c r="K3638">
        <v>0</v>
      </c>
      <c r="L3638">
        <f>IF(AND($J3638=0,$K3638=0),0,1)</f>
        <v>0</v>
      </c>
    </row>
    <row r="3639" spans="1:12" x14ac:dyDescent="0.2">
      <c r="A3639" t="s">
        <v>477</v>
      </c>
      <c r="B3639" t="s">
        <v>241</v>
      </c>
      <c r="C3639" t="s">
        <v>7</v>
      </c>
      <c r="D3639">
        <v>1001</v>
      </c>
      <c r="E3639">
        <v>2020</v>
      </c>
      <c r="F3639">
        <v>38</v>
      </c>
      <c r="G3639">
        <v>12118</v>
      </c>
      <c r="H3639" s="1">
        <v>4</v>
      </c>
      <c r="I3639">
        <v>22</v>
      </c>
      <c r="J3639">
        <f>IF($H3639=0,1,IF($I3639&lt;=1,2,0))</f>
        <v>0</v>
      </c>
      <c r="K3639">
        <v>0</v>
      </c>
      <c r="L3639">
        <f>IF(AND($J3639=0,$K3639=0),0,1)</f>
        <v>0</v>
      </c>
    </row>
    <row r="3640" spans="1:12" x14ac:dyDescent="0.2">
      <c r="A3640" t="s">
        <v>477</v>
      </c>
      <c r="B3640" t="s">
        <v>241</v>
      </c>
      <c r="C3640" t="s">
        <v>7</v>
      </c>
      <c r="D3640">
        <v>1001</v>
      </c>
      <c r="E3640">
        <v>2020</v>
      </c>
      <c r="F3640">
        <v>40</v>
      </c>
      <c r="G3640">
        <v>12120</v>
      </c>
      <c r="H3640" s="1">
        <v>4</v>
      </c>
      <c r="I3640">
        <v>22</v>
      </c>
      <c r="J3640">
        <f>IF($H3640=0,1,IF($I3640&lt;=1,2,0))</f>
        <v>0</v>
      </c>
      <c r="K3640">
        <v>0</v>
      </c>
      <c r="L3640">
        <f>IF(AND($J3640=0,$K3640=0),0,1)</f>
        <v>0</v>
      </c>
    </row>
    <row r="3641" spans="1:12" x14ac:dyDescent="0.2">
      <c r="A3641" t="s">
        <v>477</v>
      </c>
      <c r="B3641" t="s">
        <v>241</v>
      </c>
      <c r="C3641" t="s">
        <v>7</v>
      </c>
      <c r="D3641">
        <v>1001</v>
      </c>
      <c r="E3641">
        <v>2020</v>
      </c>
      <c r="F3641">
        <v>45</v>
      </c>
      <c r="G3641">
        <v>12125</v>
      </c>
      <c r="H3641" s="1">
        <v>4</v>
      </c>
      <c r="I3641">
        <v>22</v>
      </c>
      <c r="J3641">
        <f>IF($H3641=0,1,IF($I3641&lt;=1,2,0))</f>
        <v>0</v>
      </c>
      <c r="K3641">
        <v>0</v>
      </c>
      <c r="L3641">
        <f>IF(AND($J3641=0,$K3641=0),0,1)</f>
        <v>0</v>
      </c>
    </row>
    <row r="3642" spans="1:12" x14ac:dyDescent="0.2">
      <c r="A3642" t="s">
        <v>477</v>
      </c>
      <c r="B3642" t="s">
        <v>241</v>
      </c>
      <c r="C3642" t="s">
        <v>7</v>
      </c>
      <c r="D3642">
        <v>1001</v>
      </c>
      <c r="E3642">
        <v>2020</v>
      </c>
      <c r="F3642">
        <v>46</v>
      </c>
      <c r="G3642">
        <v>12126</v>
      </c>
      <c r="H3642" s="1">
        <v>4</v>
      </c>
      <c r="I3642">
        <v>22</v>
      </c>
      <c r="J3642">
        <f>IF($H3642=0,1,IF($I3642&lt;=1,2,0))</f>
        <v>0</v>
      </c>
      <c r="K3642">
        <v>0</v>
      </c>
      <c r="L3642">
        <f>IF(AND($J3642=0,$K3642=0),0,1)</f>
        <v>0</v>
      </c>
    </row>
    <row r="3643" spans="1:12" x14ac:dyDescent="0.2">
      <c r="A3643" t="s">
        <v>477</v>
      </c>
      <c r="B3643" t="s">
        <v>241</v>
      </c>
      <c r="C3643" t="s">
        <v>7</v>
      </c>
      <c r="D3643">
        <v>1001</v>
      </c>
      <c r="E3643">
        <v>2020</v>
      </c>
      <c r="F3643">
        <v>48</v>
      </c>
      <c r="G3643">
        <v>12128</v>
      </c>
      <c r="H3643" s="1">
        <v>4</v>
      </c>
      <c r="I3643">
        <v>22</v>
      </c>
      <c r="J3643">
        <f>IF($H3643=0,1,IF($I3643&lt;=1,2,0))</f>
        <v>0</v>
      </c>
      <c r="K3643">
        <v>0</v>
      </c>
      <c r="L3643">
        <f>IF(AND($J3643=0,$K3643=0),0,1)</f>
        <v>0</v>
      </c>
    </row>
    <row r="3644" spans="1:12" x14ac:dyDescent="0.2">
      <c r="A3644" t="s">
        <v>477</v>
      </c>
      <c r="B3644" t="s">
        <v>241</v>
      </c>
      <c r="C3644" t="s">
        <v>7</v>
      </c>
      <c r="D3644">
        <v>1001</v>
      </c>
      <c r="E3644">
        <v>2020</v>
      </c>
      <c r="F3644">
        <v>49</v>
      </c>
      <c r="G3644">
        <v>12129</v>
      </c>
      <c r="H3644" s="1">
        <v>4</v>
      </c>
      <c r="I3644">
        <v>22</v>
      </c>
      <c r="J3644">
        <f>IF($H3644=0,1,IF($I3644&lt;=1,2,0))</f>
        <v>0</v>
      </c>
      <c r="K3644">
        <v>0</v>
      </c>
      <c r="L3644">
        <f>IF(AND($J3644=0,$K3644=0),0,1)</f>
        <v>0</v>
      </c>
    </row>
    <row r="3645" spans="1:12" x14ac:dyDescent="0.2">
      <c r="A3645" t="s">
        <v>477</v>
      </c>
      <c r="B3645" t="s">
        <v>241</v>
      </c>
      <c r="C3645" t="s">
        <v>7</v>
      </c>
      <c r="D3645">
        <v>1001</v>
      </c>
      <c r="E3645">
        <v>2020</v>
      </c>
      <c r="F3645">
        <v>52</v>
      </c>
      <c r="G3645">
        <v>12132</v>
      </c>
      <c r="H3645" s="1">
        <v>4</v>
      </c>
      <c r="I3645">
        <v>22</v>
      </c>
      <c r="J3645">
        <f>IF($H3645=0,1,IF($I3645&lt;=1,2,0))</f>
        <v>0</v>
      </c>
      <c r="K3645">
        <v>0</v>
      </c>
      <c r="L3645">
        <f>IF(AND($J3645=0,$K3645=0),0,1)</f>
        <v>0</v>
      </c>
    </row>
    <row r="3646" spans="1:12" x14ac:dyDescent="0.2">
      <c r="A3646" t="s">
        <v>477</v>
      </c>
      <c r="B3646" t="s">
        <v>241</v>
      </c>
      <c r="C3646" t="s">
        <v>7</v>
      </c>
      <c r="D3646">
        <v>1001</v>
      </c>
      <c r="E3646">
        <v>2020</v>
      </c>
      <c r="F3646">
        <v>54</v>
      </c>
      <c r="G3646">
        <v>12134</v>
      </c>
      <c r="H3646" s="1">
        <v>4</v>
      </c>
      <c r="I3646">
        <v>22</v>
      </c>
      <c r="J3646">
        <f>IF($H3646=0,1,IF($I3646&lt;=1,2,0))</f>
        <v>0</v>
      </c>
      <c r="K3646">
        <v>0</v>
      </c>
      <c r="L3646">
        <f>IF(AND($J3646=0,$K3646=0),0,1)</f>
        <v>0</v>
      </c>
    </row>
    <row r="3647" spans="1:12" x14ac:dyDescent="0.2">
      <c r="A3647" t="s">
        <v>477</v>
      </c>
      <c r="B3647" t="s">
        <v>241</v>
      </c>
      <c r="C3647" t="s">
        <v>7</v>
      </c>
      <c r="D3647">
        <v>1001</v>
      </c>
      <c r="E3647">
        <v>2020</v>
      </c>
      <c r="F3647">
        <v>60</v>
      </c>
      <c r="G3647">
        <v>13392</v>
      </c>
      <c r="H3647" s="1">
        <v>4</v>
      </c>
      <c r="I3647">
        <v>22</v>
      </c>
      <c r="J3647">
        <f>IF($H3647=0,1,IF($I3647&lt;=1,2,0))</f>
        <v>0</v>
      </c>
      <c r="K3647">
        <v>0</v>
      </c>
      <c r="L3647">
        <f>IF(AND($J3647=0,$K3647=0),0,1)</f>
        <v>0</v>
      </c>
    </row>
    <row r="3648" spans="1:12" x14ac:dyDescent="0.2">
      <c r="A3648" t="s">
        <v>477</v>
      </c>
      <c r="B3648" t="s">
        <v>241</v>
      </c>
      <c r="C3648" t="s">
        <v>7</v>
      </c>
      <c r="D3648">
        <v>1001</v>
      </c>
      <c r="E3648">
        <v>2020</v>
      </c>
      <c r="F3648">
        <v>1</v>
      </c>
      <c r="G3648">
        <v>12081</v>
      </c>
      <c r="H3648" s="1">
        <v>4</v>
      </c>
      <c r="I3648">
        <v>21</v>
      </c>
      <c r="J3648">
        <f>IF($H3648=0,1,IF($I3648&lt;=1,2,0))</f>
        <v>0</v>
      </c>
      <c r="K3648">
        <v>0</v>
      </c>
      <c r="L3648">
        <f>IF(AND($J3648=0,$K3648=0),0,1)</f>
        <v>0</v>
      </c>
    </row>
    <row r="3649" spans="1:12" x14ac:dyDescent="0.2">
      <c r="A3649" t="s">
        <v>477</v>
      </c>
      <c r="B3649" t="s">
        <v>241</v>
      </c>
      <c r="C3649" t="s">
        <v>7</v>
      </c>
      <c r="D3649">
        <v>1001</v>
      </c>
      <c r="E3649">
        <v>2020</v>
      </c>
      <c r="F3649">
        <v>9</v>
      </c>
      <c r="G3649">
        <v>12089</v>
      </c>
      <c r="H3649" s="1">
        <v>4</v>
      </c>
      <c r="I3649">
        <v>21</v>
      </c>
      <c r="J3649">
        <f>IF($H3649=0,1,IF($I3649&lt;=1,2,0))</f>
        <v>0</v>
      </c>
      <c r="K3649">
        <v>0</v>
      </c>
      <c r="L3649">
        <f>IF(AND($J3649=0,$K3649=0),0,1)</f>
        <v>0</v>
      </c>
    </row>
    <row r="3650" spans="1:12" x14ac:dyDescent="0.2">
      <c r="A3650" t="s">
        <v>477</v>
      </c>
      <c r="B3650" t="s">
        <v>241</v>
      </c>
      <c r="C3650" t="s">
        <v>7</v>
      </c>
      <c r="D3650">
        <v>1001</v>
      </c>
      <c r="E3650">
        <v>2020</v>
      </c>
      <c r="F3650">
        <v>12</v>
      </c>
      <c r="G3650">
        <v>12092</v>
      </c>
      <c r="H3650" s="1">
        <v>4</v>
      </c>
      <c r="I3650">
        <v>21</v>
      </c>
      <c r="J3650">
        <f>IF($H3650=0,1,IF($I3650&lt;=1,2,0))</f>
        <v>0</v>
      </c>
      <c r="K3650">
        <v>0</v>
      </c>
      <c r="L3650">
        <f>IF(AND($J3650=0,$K3650=0),0,1)</f>
        <v>0</v>
      </c>
    </row>
    <row r="3651" spans="1:12" x14ac:dyDescent="0.2">
      <c r="A3651" t="s">
        <v>477</v>
      </c>
      <c r="B3651" t="s">
        <v>241</v>
      </c>
      <c r="C3651" t="s">
        <v>7</v>
      </c>
      <c r="D3651">
        <v>1001</v>
      </c>
      <c r="E3651">
        <v>2020</v>
      </c>
      <c r="F3651">
        <v>26</v>
      </c>
      <c r="G3651">
        <v>12106</v>
      </c>
      <c r="H3651" s="1">
        <v>4</v>
      </c>
      <c r="I3651">
        <v>21</v>
      </c>
      <c r="J3651">
        <f>IF($H3651=0,1,IF($I3651&lt;=1,2,0))</f>
        <v>0</v>
      </c>
      <c r="K3651">
        <v>0</v>
      </c>
      <c r="L3651">
        <f>IF(AND($J3651=0,$K3651=0),0,1)</f>
        <v>0</v>
      </c>
    </row>
    <row r="3652" spans="1:12" x14ac:dyDescent="0.2">
      <c r="A3652" t="s">
        <v>477</v>
      </c>
      <c r="B3652" t="s">
        <v>241</v>
      </c>
      <c r="C3652" t="s">
        <v>7</v>
      </c>
      <c r="D3652">
        <v>1001</v>
      </c>
      <c r="E3652">
        <v>2020</v>
      </c>
      <c r="F3652">
        <v>28</v>
      </c>
      <c r="G3652">
        <v>12108</v>
      </c>
      <c r="H3652" s="1">
        <v>4</v>
      </c>
      <c r="I3652">
        <v>21</v>
      </c>
      <c r="J3652">
        <f>IF($H3652=0,1,IF($I3652&lt;=1,2,0))</f>
        <v>0</v>
      </c>
      <c r="K3652">
        <v>0</v>
      </c>
      <c r="L3652">
        <f>IF(AND($J3652=0,$K3652=0),0,1)</f>
        <v>0</v>
      </c>
    </row>
    <row r="3653" spans="1:12" x14ac:dyDescent="0.2">
      <c r="A3653" t="s">
        <v>477</v>
      </c>
      <c r="B3653" t="s">
        <v>241</v>
      </c>
      <c r="C3653" t="s">
        <v>7</v>
      </c>
      <c r="D3653">
        <v>1001</v>
      </c>
      <c r="E3653">
        <v>2020</v>
      </c>
      <c r="F3653">
        <v>39</v>
      </c>
      <c r="G3653">
        <v>12119</v>
      </c>
      <c r="H3653" s="1">
        <v>4</v>
      </c>
      <c r="I3653">
        <v>21</v>
      </c>
      <c r="J3653">
        <f>IF($H3653=0,1,IF($I3653&lt;=1,2,0))</f>
        <v>0</v>
      </c>
      <c r="K3653">
        <v>0</v>
      </c>
      <c r="L3653">
        <f>IF(AND($J3653=0,$K3653=0),0,1)</f>
        <v>0</v>
      </c>
    </row>
    <row r="3654" spans="1:12" x14ac:dyDescent="0.2">
      <c r="A3654" t="s">
        <v>477</v>
      </c>
      <c r="B3654" t="s">
        <v>241</v>
      </c>
      <c r="C3654" t="s">
        <v>7</v>
      </c>
      <c r="D3654">
        <v>1001</v>
      </c>
      <c r="E3654">
        <v>2020</v>
      </c>
      <c r="F3654">
        <v>41</v>
      </c>
      <c r="G3654">
        <v>12121</v>
      </c>
      <c r="H3654" s="1">
        <v>4</v>
      </c>
      <c r="I3654">
        <v>21</v>
      </c>
      <c r="J3654">
        <f>IF($H3654=0,1,IF($I3654&lt;=1,2,0))</f>
        <v>0</v>
      </c>
      <c r="K3654">
        <v>0</v>
      </c>
      <c r="L3654">
        <f>IF(AND($J3654=0,$K3654=0),0,1)</f>
        <v>0</v>
      </c>
    </row>
    <row r="3655" spans="1:12" x14ac:dyDescent="0.2">
      <c r="A3655" t="s">
        <v>477</v>
      </c>
      <c r="B3655" t="s">
        <v>241</v>
      </c>
      <c r="C3655" t="s">
        <v>7</v>
      </c>
      <c r="D3655">
        <v>1001</v>
      </c>
      <c r="E3655">
        <v>2020</v>
      </c>
      <c r="F3655">
        <v>42</v>
      </c>
      <c r="G3655">
        <v>12122</v>
      </c>
      <c r="H3655" s="1">
        <v>4</v>
      </c>
      <c r="I3655">
        <v>21</v>
      </c>
      <c r="J3655">
        <f>IF($H3655=0,1,IF($I3655&lt;=1,2,0))</f>
        <v>0</v>
      </c>
      <c r="K3655">
        <v>0</v>
      </c>
      <c r="L3655">
        <f>IF(AND($J3655=0,$K3655=0),0,1)</f>
        <v>0</v>
      </c>
    </row>
    <row r="3656" spans="1:12" x14ac:dyDescent="0.2">
      <c r="A3656" t="s">
        <v>477</v>
      </c>
      <c r="B3656" t="s">
        <v>241</v>
      </c>
      <c r="C3656" t="s">
        <v>7</v>
      </c>
      <c r="D3656">
        <v>1001</v>
      </c>
      <c r="E3656">
        <v>2020</v>
      </c>
      <c r="F3656">
        <v>44</v>
      </c>
      <c r="G3656">
        <v>12124</v>
      </c>
      <c r="H3656" s="1">
        <v>4</v>
      </c>
      <c r="I3656">
        <v>21</v>
      </c>
      <c r="J3656">
        <f>IF($H3656=0,1,IF($I3656&lt;=1,2,0))</f>
        <v>0</v>
      </c>
      <c r="K3656">
        <v>0</v>
      </c>
      <c r="L3656">
        <f>IF(AND($J3656=0,$K3656=0),0,1)</f>
        <v>0</v>
      </c>
    </row>
    <row r="3657" spans="1:12" x14ac:dyDescent="0.2">
      <c r="A3657" t="s">
        <v>477</v>
      </c>
      <c r="B3657" t="s">
        <v>241</v>
      </c>
      <c r="C3657" t="s">
        <v>7</v>
      </c>
      <c r="D3657">
        <v>1001</v>
      </c>
      <c r="E3657">
        <v>2020</v>
      </c>
      <c r="F3657">
        <v>50</v>
      </c>
      <c r="G3657">
        <v>12130</v>
      </c>
      <c r="H3657" s="1">
        <v>4</v>
      </c>
      <c r="I3657">
        <v>21</v>
      </c>
      <c r="J3657">
        <f>IF($H3657=0,1,IF($I3657&lt;=1,2,0))</f>
        <v>0</v>
      </c>
      <c r="K3657">
        <v>0</v>
      </c>
      <c r="L3657">
        <f>IF(AND($J3657=0,$K3657=0),0,1)</f>
        <v>0</v>
      </c>
    </row>
    <row r="3658" spans="1:12" x14ac:dyDescent="0.2">
      <c r="A3658" t="s">
        <v>477</v>
      </c>
      <c r="B3658" t="s">
        <v>241</v>
      </c>
      <c r="C3658" t="s">
        <v>7</v>
      </c>
      <c r="D3658">
        <v>1001</v>
      </c>
      <c r="E3658">
        <v>2020</v>
      </c>
      <c r="F3658">
        <v>51</v>
      </c>
      <c r="G3658">
        <v>12131</v>
      </c>
      <c r="H3658" s="1">
        <v>4</v>
      </c>
      <c r="I3658">
        <v>21</v>
      </c>
      <c r="J3658">
        <f>IF($H3658=0,1,IF($I3658&lt;=1,2,0))</f>
        <v>0</v>
      </c>
      <c r="K3658">
        <v>0</v>
      </c>
      <c r="L3658">
        <f>IF(AND($J3658=0,$K3658=0),0,1)</f>
        <v>0</v>
      </c>
    </row>
    <row r="3659" spans="1:12" x14ac:dyDescent="0.2">
      <c r="A3659" t="s">
        <v>477</v>
      </c>
      <c r="B3659" t="s">
        <v>241</v>
      </c>
      <c r="C3659" t="s">
        <v>7</v>
      </c>
      <c r="D3659">
        <v>1001</v>
      </c>
      <c r="E3659">
        <v>2020</v>
      </c>
      <c r="F3659">
        <v>53</v>
      </c>
      <c r="G3659">
        <v>12133</v>
      </c>
      <c r="H3659" s="1">
        <v>4</v>
      </c>
      <c r="I3659">
        <v>21</v>
      </c>
      <c r="J3659">
        <f>IF($H3659=0,1,IF($I3659&lt;=1,2,0))</f>
        <v>0</v>
      </c>
      <c r="K3659">
        <v>0</v>
      </c>
      <c r="L3659">
        <f>IF(AND($J3659=0,$K3659=0),0,1)</f>
        <v>0</v>
      </c>
    </row>
    <row r="3660" spans="1:12" x14ac:dyDescent="0.2">
      <c r="A3660" t="s">
        <v>477</v>
      </c>
      <c r="B3660" t="s">
        <v>241</v>
      </c>
      <c r="C3660" t="s">
        <v>7</v>
      </c>
      <c r="D3660">
        <v>1001</v>
      </c>
      <c r="E3660">
        <v>2020</v>
      </c>
      <c r="F3660">
        <v>55</v>
      </c>
      <c r="G3660">
        <v>12135</v>
      </c>
      <c r="H3660" s="1">
        <v>4</v>
      </c>
      <c r="I3660">
        <v>21</v>
      </c>
      <c r="J3660">
        <f>IF($H3660=0,1,IF($I3660&lt;=1,2,0))</f>
        <v>0</v>
      </c>
      <c r="K3660">
        <v>0</v>
      </c>
      <c r="L3660">
        <f>IF(AND($J3660=0,$K3660=0),0,1)</f>
        <v>0</v>
      </c>
    </row>
    <row r="3661" spans="1:12" x14ac:dyDescent="0.2">
      <c r="A3661" t="s">
        <v>477</v>
      </c>
      <c r="B3661" t="s">
        <v>241</v>
      </c>
      <c r="C3661" t="s">
        <v>7</v>
      </c>
      <c r="D3661">
        <v>1001</v>
      </c>
      <c r="E3661">
        <v>2020</v>
      </c>
      <c r="F3661">
        <v>57</v>
      </c>
      <c r="G3661">
        <v>12137</v>
      </c>
      <c r="H3661" s="1">
        <v>4</v>
      </c>
      <c r="I3661">
        <v>21</v>
      </c>
      <c r="J3661">
        <f>IF($H3661=0,1,IF($I3661&lt;=1,2,0))</f>
        <v>0</v>
      </c>
      <c r="K3661">
        <v>0</v>
      </c>
      <c r="L3661">
        <f>IF(AND($J3661=0,$K3661=0),0,1)</f>
        <v>0</v>
      </c>
    </row>
    <row r="3662" spans="1:12" x14ac:dyDescent="0.2">
      <c r="A3662" t="s">
        <v>477</v>
      </c>
      <c r="B3662" t="s">
        <v>241</v>
      </c>
      <c r="C3662" t="s">
        <v>7</v>
      </c>
      <c r="D3662">
        <v>1001</v>
      </c>
      <c r="E3662">
        <v>2020</v>
      </c>
      <c r="F3662">
        <v>63</v>
      </c>
      <c r="G3662">
        <v>23005</v>
      </c>
      <c r="H3662" s="1">
        <v>4</v>
      </c>
      <c r="I3662">
        <v>21</v>
      </c>
      <c r="J3662">
        <f>IF($H3662=0,1,IF($I3662&lt;=1,2,0))</f>
        <v>0</v>
      </c>
      <c r="K3662">
        <v>0</v>
      </c>
      <c r="L3662">
        <f>IF(AND($J3662=0,$K3662=0),0,1)</f>
        <v>0</v>
      </c>
    </row>
    <row r="3663" spans="1:12" x14ac:dyDescent="0.2">
      <c r="A3663" t="s">
        <v>477</v>
      </c>
      <c r="B3663" t="s">
        <v>241</v>
      </c>
      <c r="C3663" t="s">
        <v>7</v>
      </c>
      <c r="D3663">
        <v>1001</v>
      </c>
      <c r="E3663">
        <v>2020</v>
      </c>
      <c r="F3663">
        <v>64</v>
      </c>
      <c r="G3663">
        <v>23006</v>
      </c>
      <c r="H3663" s="1">
        <v>4</v>
      </c>
      <c r="I3663">
        <v>21</v>
      </c>
      <c r="J3663">
        <f>IF($H3663=0,1,IF($I3663&lt;=1,2,0))</f>
        <v>0</v>
      </c>
      <c r="K3663">
        <v>0</v>
      </c>
      <c r="L3663">
        <f>IF(AND($J3663=0,$K3663=0),0,1)</f>
        <v>0</v>
      </c>
    </row>
    <row r="3664" spans="1:12" x14ac:dyDescent="0.2">
      <c r="A3664" t="s">
        <v>477</v>
      </c>
      <c r="B3664" t="s">
        <v>241</v>
      </c>
      <c r="C3664" t="s">
        <v>7</v>
      </c>
      <c r="D3664">
        <v>1001</v>
      </c>
      <c r="E3664">
        <v>2020</v>
      </c>
      <c r="F3664">
        <v>11</v>
      </c>
      <c r="G3664">
        <v>12091</v>
      </c>
      <c r="H3664" s="1">
        <v>4</v>
      </c>
      <c r="I3664">
        <v>20</v>
      </c>
      <c r="J3664">
        <f>IF($H3664=0,1,IF($I3664&lt;=1,2,0))</f>
        <v>0</v>
      </c>
      <c r="K3664">
        <v>0</v>
      </c>
      <c r="L3664">
        <f>IF(AND($J3664=0,$K3664=0),0,1)</f>
        <v>0</v>
      </c>
    </row>
    <row r="3665" spans="1:12" x14ac:dyDescent="0.2">
      <c r="A3665" t="s">
        <v>477</v>
      </c>
      <c r="B3665" t="s">
        <v>241</v>
      </c>
      <c r="C3665" t="s">
        <v>7</v>
      </c>
      <c r="D3665">
        <v>1001</v>
      </c>
      <c r="E3665">
        <v>2020</v>
      </c>
      <c r="F3665">
        <v>13</v>
      </c>
      <c r="G3665">
        <v>12093</v>
      </c>
      <c r="H3665" s="1">
        <v>4</v>
      </c>
      <c r="I3665">
        <v>20</v>
      </c>
      <c r="J3665">
        <f>IF($H3665=0,1,IF($I3665&lt;=1,2,0))</f>
        <v>0</v>
      </c>
      <c r="K3665">
        <v>0</v>
      </c>
      <c r="L3665">
        <f>IF(AND($J3665=0,$K3665=0),0,1)</f>
        <v>0</v>
      </c>
    </row>
    <row r="3666" spans="1:12" x14ac:dyDescent="0.2">
      <c r="A3666" t="s">
        <v>477</v>
      </c>
      <c r="B3666" t="s">
        <v>241</v>
      </c>
      <c r="C3666" t="s">
        <v>7</v>
      </c>
      <c r="D3666">
        <v>1001</v>
      </c>
      <c r="E3666">
        <v>2020</v>
      </c>
      <c r="F3666">
        <v>29</v>
      </c>
      <c r="G3666">
        <v>12109</v>
      </c>
      <c r="H3666" s="1">
        <v>4</v>
      </c>
      <c r="I3666">
        <v>20</v>
      </c>
      <c r="J3666">
        <f>IF($H3666=0,1,IF($I3666&lt;=1,2,0))</f>
        <v>0</v>
      </c>
      <c r="K3666">
        <v>0</v>
      </c>
      <c r="L3666">
        <f>IF(AND($J3666=0,$K3666=0),0,1)</f>
        <v>0</v>
      </c>
    </row>
    <row r="3667" spans="1:12" x14ac:dyDescent="0.2">
      <c r="A3667" t="s">
        <v>477</v>
      </c>
      <c r="B3667" t="s">
        <v>241</v>
      </c>
      <c r="C3667" t="s">
        <v>7</v>
      </c>
      <c r="D3667">
        <v>1001</v>
      </c>
      <c r="E3667">
        <v>2020</v>
      </c>
      <c r="F3667">
        <v>31</v>
      </c>
      <c r="G3667">
        <v>12111</v>
      </c>
      <c r="H3667" s="1">
        <v>4</v>
      </c>
      <c r="I3667">
        <v>20</v>
      </c>
      <c r="J3667">
        <f>IF($H3667=0,1,IF($I3667&lt;=1,2,0))</f>
        <v>0</v>
      </c>
      <c r="K3667">
        <v>0</v>
      </c>
      <c r="L3667">
        <f>IF(AND($J3667=0,$K3667=0),0,1)</f>
        <v>0</v>
      </c>
    </row>
    <row r="3668" spans="1:12" x14ac:dyDescent="0.2">
      <c r="A3668" t="s">
        <v>477</v>
      </c>
      <c r="B3668" t="s">
        <v>241</v>
      </c>
      <c r="C3668" t="s">
        <v>7</v>
      </c>
      <c r="D3668">
        <v>1001</v>
      </c>
      <c r="E3668">
        <v>2020</v>
      </c>
      <c r="F3668">
        <v>43</v>
      </c>
      <c r="G3668">
        <v>12123</v>
      </c>
      <c r="H3668" s="1">
        <v>4</v>
      </c>
      <c r="I3668">
        <v>20</v>
      </c>
      <c r="J3668">
        <f>IF($H3668=0,1,IF($I3668&lt;=1,2,0))</f>
        <v>0</v>
      </c>
      <c r="K3668">
        <v>0</v>
      </c>
      <c r="L3668">
        <f>IF(AND($J3668=0,$K3668=0),0,1)</f>
        <v>0</v>
      </c>
    </row>
    <row r="3669" spans="1:12" x14ac:dyDescent="0.2">
      <c r="A3669" t="s">
        <v>477</v>
      </c>
      <c r="B3669" t="s">
        <v>241</v>
      </c>
      <c r="C3669" t="s">
        <v>7</v>
      </c>
      <c r="D3669">
        <v>1001</v>
      </c>
      <c r="E3669">
        <v>2020</v>
      </c>
      <c r="F3669">
        <v>47</v>
      </c>
      <c r="G3669">
        <v>12127</v>
      </c>
      <c r="H3669" s="1">
        <v>4</v>
      </c>
      <c r="I3669">
        <v>20</v>
      </c>
      <c r="J3669">
        <f>IF($H3669=0,1,IF($I3669&lt;=1,2,0))</f>
        <v>0</v>
      </c>
      <c r="K3669">
        <v>0</v>
      </c>
      <c r="L3669">
        <f>IF(AND($J3669=0,$K3669=0),0,1)</f>
        <v>0</v>
      </c>
    </row>
    <row r="3670" spans="1:12" x14ac:dyDescent="0.2">
      <c r="A3670" t="s">
        <v>477</v>
      </c>
      <c r="B3670" t="s">
        <v>241</v>
      </c>
      <c r="C3670" t="s">
        <v>153</v>
      </c>
      <c r="D3670">
        <v>1001</v>
      </c>
      <c r="E3670">
        <v>2020</v>
      </c>
      <c r="F3670">
        <v>58</v>
      </c>
      <c r="G3670">
        <v>12078</v>
      </c>
      <c r="H3670" s="1">
        <v>4</v>
      </c>
      <c r="I3670">
        <v>20</v>
      </c>
      <c r="J3670">
        <f>IF($H3670=0,1,IF($I3670&lt;=1,2,0))</f>
        <v>0</v>
      </c>
      <c r="K3670">
        <v>0</v>
      </c>
      <c r="L3670">
        <f>IF(AND($J3670=0,$K3670=0),0,1)</f>
        <v>0</v>
      </c>
    </row>
    <row r="3671" spans="1:12" x14ac:dyDescent="0.2">
      <c r="A3671" t="s">
        <v>477</v>
      </c>
      <c r="B3671" t="s">
        <v>241</v>
      </c>
      <c r="C3671" t="s">
        <v>7</v>
      </c>
      <c r="D3671">
        <v>1001</v>
      </c>
      <c r="E3671">
        <v>2020</v>
      </c>
      <c r="F3671">
        <v>34</v>
      </c>
      <c r="G3671">
        <v>12114</v>
      </c>
      <c r="H3671" s="1">
        <v>4</v>
      </c>
      <c r="I3671">
        <v>19</v>
      </c>
      <c r="J3671">
        <f>IF($H3671=0,1,IF($I3671&lt;=1,2,0))</f>
        <v>0</v>
      </c>
      <c r="K3671">
        <v>0</v>
      </c>
      <c r="L3671">
        <f>IF(AND($J3671=0,$K3671=0),0,1)</f>
        <v>0</v>
      </c>
    </row>
    <row r="3672" spans="1:12" x14ac:dyDescent="0.2">
      <c r="A3672" t="s">
        <v>477</v>
      </c>
      <c r="B3672" t="s">
        <v>241</v>
      </c>
      <c r="C3672" t="s">
        <v>153</v>
      </c>
      <c r="D3672">
        <v>1001</v>
      </c>
      <c r="E3672">
        <v>2020</v>
      </c>
      <c r="F3672">
        <v>61</v>
      </c>
      <c r="G3672">
        <v>15481</v>
      </c>
      <c r="H3672" s="1">
        <v>4</v>
      </c>
      <c r="I3672">
        <v>18</v>
      </c>
      <c r="J3672">
        <f>IF($H3672=0,1,IF($I3672&lt;=1,2,0))</f>
        <v>0</v>
      </c>
      <c r="K3672">
        <v>0</v>
      </c>
      <c r="L3672">
        <f>IF(AND($J3672=0,$K3672=0),0,1)</f>
        <v>0</v>
      </c>
    </row>
    <row r="3673" spans="1:12" x14ac:dyDescent="0.2">
      <c r="A3673" t="s">
        <v>477</v>
      </c>
      <c r="B3673" t="s">
        <v>241</v>
      </c>
      <c r="C3673" t="s">
        <v>153</v>
      </c>
      <c r="D3673">
        <v>1001</v>
      </c>
      <c r="E3673">
        <v>2020</v>
      </c>
      <c r="F3673">
        <v>62</v>
      </c>
      <c r="G3673">
        <v>15933</v>
      </c>
      <c r="H3673" s="1">
        <v>4</v>
      </c>
      <c r="I3673">
        <v>17</v>
      </c>
      <c r="J3673">
        <f>IF($H3673=0,1,IF($I3673&lt;=1,2,0))</f>
        <v>0</v>
      </c>
      <c r="K3673">
        <v>0</v>
      </c>
      <c r="L3673">
        <f>IF(AND($J3673=0,$K3673=0),0,1)</f>
        <v>0</v>
      </c>
    </row>
    <row r="3674" spans="1:12" x14ac:dyDescent="0.2">
      <c r="A3674" t="s">
        <v>477</v>
      </c>
      <c r="B3674" t="s">
        <v>241</v>
      </c>
      <c r="C3674" t="s">
        <v>7</v>
      </c>
      <c r="D3674">
        <v>1001</v>
      </c>
      <c r="E3674">
        <v>2020</v>
      </c>
      <c r="F3674">
        <v>32</v>
      </c>
      <c r="G3674">
        <v>12112</v>
      </c>
      <c r="H3674" s="1">
        <v>4</v>
      </c>
      <c r="I3674">
        <v>16</v>
      </c>
      <c r="J3674">
        <f>IF($H3674=0,1,IF($I3674&lt;=1,2,0))</f>
        <v>0</v>
      </c>
      <c r="K3674">
        <v>0</v>
      </c>
      <c r="L3674">
        <f>IF(AND($J3674=0,$K3674=0),0,1)</f>
        <v>0</v>
      </c>
    </row>
    <row r="3675" spans="1:12" x14ac:dyDescent="0.2">
      <c r="A3675" t="s">
        <v>477</v>
      </c>
      <c r="B3675" t="s">
        <v>241</v>
      </c>
      <c r="C3675" t="s">
        <v>7</v>
      </c>
      <c r="D3675">
        <v>1001</v>
      </c>
      <c r="E3675">
        <v>2020</v>
      </c>
      <c r="F3675">
        <v>56</v>
      </c>
      <c r="G3675">
        <v>12136</v>
      </c>
      <c r="H3675" s="1">
        <v>4</v>
      </c>
      <c r="I3675">
        <v>16</v>
      </c>
      <c r="J3675">
        <f>IF($H3675=0,1,IF($I3675&lt;=1,2,0))</f>
        <v>0</v>
      </c>
      <c r="K3675">
        <v>0</v>
      </c>
      <c r="L3675">
        <f>IF(AND($J3675=0,$K3675=0),0,1)</f>
        <v>0</v>
      </c>
    </row>
    <row r="3676" spans="1:12" x14ac:dyDescent="0.2">
      <c r="A3676" t="s">
        <v>477</v>
      </c>
      <c r="B3676" t="s">
        <v>241</v>
      </c>
      <c r="C3676" t="s">
        <v>153</v>
      </c>
      <c r="D3676">
        <v>1001</v>
      </c>
      <c r="E3676">
        <v>2020</v>
      </c>
      <c r="F3676">
        <v>67</v>
      </c>
      <c r="G3676">
        <v>24608</v>
      </c>
      <c r="H3676" s="1">
        <v>4</v>
      </c>
      <c r="I3676">
        <v>15</v>
      </c>
      <c r="J3676">
        <f>IF($H3676=0,1,IF($I3676&lt;=1,2,0))</f>
        <v>0</v>
      </c>
      <c r="K3676">
        <v>0</v>
      </c>
      <c r="L3676">
        <f>IF(AND($J3676=0,$K3676=0),0,1)</f>
        <v>0</v>
      </c>
    </row>
    <row r="3677" spans="1:12" x14ac:dyDescent="0.2">
      <c r="A3677" t="s">
        <v>477</v>
      </c>
      <c r="B3677" t="s">
        <v>241</v>
      </c>
      <c r="C3677" t="s">
        <v>153</v>
      </c>
      <c r="D3677">
        <v>1001</v>
      </c>
      <c r="E3677">
        <v>2020</v>
      </c>
      <c r="F3677">
        <v>59</v>
      </c>
      <c r="G3677">
        <v>12079</v>
      </c>
      <c r="H3677" s="1">
        <v>4</v>
      </c>
      <c r="I3677">
        <v>14</v>
      </c>
      <c r="J3677">
        <f>IF($H3677=0,1,IF($I3677&lt;=1,2,0))</f>
        <v>0</v>
      </c>
      <c r="K3677">
        <v>0</v>
      </c>
      <c r="L3677">
        <f>IF(AND($J3677=0,$K3677=0),0,1)</f>
        <v>0</v>
      </c>
    </row>
    <row r="3678" spans="1:12" x14ac:dyDescent="0.2">
      <c r="A3678" t="s">
        <v>477</v>
      </c>
      <c r="B3678" t="s">
        <v>241</v>
      </c>
      <c r="C3678" t="s">
        <v>7</v>
      </c>
      <c r="D3678">
        <v>1001</v>
      </c>
      <c r="E3678">
        <v>2020</v>
      </c>
      <c r="F3678">
        <v>66</v>
      </c>
      <c r="G3678">
        <v>24513</v>
      </c>
      <c r="H3678" s="1">
        <v>4</v>
      </c>
      <c r="I3678">
        <v>9</v>
      </c>
      <c r="J3678">
        <f>IF($H3678=0,1,IF($I3678&lt;=1,2,0))</f>
        <v>0</v>
      </c>
      <c r="K3678">
        <v>0</v>
      </c>
      <c r="L3678">
        <f>IF(AND($J3678=0,$K3678=0),0,1)</f>
        <v>0</v>
      </c>
    </row>
    <row r="3679" spans="1:12" x14ac:dyDescent="0.2">
      <c r="A3679" t="s">
        <v>477</v>
      </c>
      <c r="B3679" t="s">
        <v>241</v>
      </c>
      <c r="C3679" t="s">
        <v>7</v>
      </c>
      <c r="D3679">
        <v>1001</v>
      </c>
      <c r="E3679">
        <v>2020</v>
      </c>
      <c r="F3679">
        <v>65</v>
      </c>
      <c r="G3679">
        <v>23056</v>
      </c>
      <c r="H3679" s="1">
        <v>4</v>
      </c>
      <c r="I3679">
        <v>7</v>
      </c>
      <c r="J3679">
        <f>IF($H3679=0,1,IF($I3679&lt;=1,2,0))</f>
        <v>0</v>
      </c>
      <c r="K3679">
        <v>0</v>
      </c>
      <c r="L3679">
        <f>IF(AND($J3679=0,$K3679=0),0,1)</f>
        <v>0</v>
      </c>
    </row>
    <row r="3680" spans="1:12" x14ac:dyDescent="0.2">
      <c r="A3680" t="s">
        <v>477</v>
      </c>
      <c r="B3680" t="s">
        <v>241</v>
      </c>
      <c r="C3680" t="s">
        <v>9</v>
      </c>
      <c r="D3680">
        <v>1121</v>
      </c>
      <c r="E3680">
        <v>2020</v>
      </c>
      <c r="F3680">
        <v>1</v>
      </c>
      <c r="G3680">
        <v>13654</v>
      </c>
      <c r="H3680" s="1">
        <v>3</v>
      </c>
      <c r="I3680">
        <v>22</v>
      </c>
      <c r="J3680">
        <f>IF($H3680=0,1,IF($I3680&lt;=1,2,0))</f>
        <v>0</v>
      </c>
      <c r="K3680">
        <v>0</v>
      </c>
      <c r="L3680">
        <f>IF(AND($J3680=0,$K3680=0),0,1)</f>
        <v>0</v>
      </c>
    </row>
    <row r="3681" spans="1:12" x14ac:dyDescent="0.2">
      <c r="A3681" t="s">
        <v>477</v>
      </c>
      <c r="B3681" t="s">
        <v>241</v>
      </c>
      <c r="C3681" t="s">
        <v>9</v>
      </c>
      <c r="D3681">
        <v>1121</v>
      </c>
      <c r="E3681">
        <v>2020</v>
      </c>
      <c r="F3681">
        <v>5</v>
      </c>
      <c r="G3681">
        <v>13662</v>
      </c>
      <c r="H3681" s="1">
        <v>3</v>
      </c>
      <c r="I3681">
        <v>22</v>
      </c>
      <c r="J3681">
        <f>IF($H3681=0,1,IF($I3681&lt;=1,2,0))</f>
        <v>0</v>
      </c>
      <c r="K3681">
        <v>0</v>
      </c>
      <c r="L3681">
        <f>IF(AND($J3681=0,$K3681=0),0,1)</f>
        <v>0</v>
      </c>
    </row>
    <row r="3682" spans="1:12" x14ac:dyDescent="0.2">
      <c r="A3682" t="s">
        <v>477</v>
      </c>
      <c r="B3682" t="s">
        <v>241</v>
      </c>
      <c r="C3682" t="s">
        <v>9</v>
      </c>
      <c r="D3682">
        <v>1121</v>
      </c>
      <c r="E3682">
        <v>2020</v>
      </c>
      <c r="F3682">
        <v>6</v>
      </c>
      <c r="G3682">
        <v>13663</v>
      </c>
      <c r="H3682" s="1">
        <v>3</v>
      </c>
      <c r="I3682">
        <v>22</v>
      </c>
      <c r="J3682">
        <f>IF($H3682=0,1,IF($I3682&lt;=1,2,0))</f>
        <v>0</v>
      </c>
      <c r="K3682">
        <v>0</v>
      </c>
      <c r="L3682">
        <f>IF(AND($J3682=0,$K3682=0),0,1)</f>
        <v>0</v>
      </c>
    </row>
    <row r="3683" spans="1:12" x14ac:dyDescent="0.2">
      <c r="A3683" t="s">
        <v>477</v>
      </c>
      <c r="B3683" t="s">
        <v>241</v>
      </c>
      <c r="C3683" t="s">
        <v>9</v>
      </c>
      <c r="D3683">
        <v>1121</v>
      </c>
      <c r="E3683">
        <v>2020</v>
      </c>
      <c r="F3683">
        <v>10</v>
      </c>
      <c r="G3683">
        <v>13669</v>
      </c>
      <c r="H3683" s="1">
        <v>3</v>
      </c>
      <c r="I3683">
        <v>22</v>
      </c>
      <c r="J3683">
        <f>IF($H3683=0,1,IF($I3683&lt;=1,2,0))</f>
        <v>0</v>
      </c>
      <c r="K3683">
        <v>0</v>
      </c>
      <c r="L3683">
        <f>IF(AND($J3683=0,$K3683=0),0,1)</f>
        <v>0</v>
      </c>
    </row>
    <row r="3684" spans="1:12" x14ac:dyDescent="0.2">
      <c r="A3684" t="s">
        <v>477</v>
      </c>
      <c r="B3684" t="s">
        <v>241</v>
      </c>
      <c r="C3684" t="s">
        <v>9</v>
      </c>
      <c r="D3684">
        <v>1121</v>
      </c>
      <c r="E3684">
        <v>2020</v>
      </c>
      <c r="F3684">
        <v>12</v>
      </c>
      <c r="G3684">
        <v>13673</v>
      </c>
      <c r="H3684" s="1">
        <v>3</v>
      </c>
      <c r="I3684">
        <v>22</v>
      </c>
      <c r="J3684">
        <f>IF($H3684=0,1,IF($I3684&lt;=1,2,0))</f>
        <v>0</v>
      </c>
      <c r="K3684">
        <v>0</v>
      </c>
      <c r="L3684">
        <f>IF(AND($J3684=0,$K3684=0),0,1)</f>
        <v>0</v>
      </c>
    </row>
    <row r="3685" spans="1:12" x14ac:dyDescent="0.2">
      <c r="A3685" t="s">
        <v>477</v>
      </c>
      <c r="B3685" t="s">
        <v>241</v>
      </c>
      <c r="C3685" t="s">
        <v>9</v>
      </c>
      <c r="D3685">
        <v>1121</v>
      </c>
      <c r="E3685">
        <v>2020</v>
      </c>
      <c r="F3685">
        <v>16</v>
      </c>
      <c r="G3685">
        <v>13693</v>
      </c>
      <c r="H3685" s="1">
        <v>3</v>
      </c>
      <c r="I3685">
        <v>22</v>
      </c>
      <c r="J3685">
        <f>IF($H3685=0,1,IF($I3685&lt;=1,2,0))</f>
        <v>0</v>
      </c>
      <c r="K3685">
        <v>0</v>
      </c>
      <c r="L3685">
        <f>IF(AND($J3685=0,$K3685=0),0,1)</f>
        <v>0</v>
      </c>
    </row>
    <row r="3686" spans="1:12" x14ac:dyDescent="0.2">
      <c r="A3686" t="s">
        <v>477</v>
      </c>
      <c r="B3686" t="s">
        <v>241</v>
      </c>
      <c r="C3686" t="s">
        <v>9</v>
      </c>
      <c r="D3686">
        <v>1121</v>
      </c>
      <c r="E3686">
        <v>2020</v>
      </c>
      <c r="F3686">
        <v>19</v>
      </c>
      <c r="G3686">
        <v>13698</v>
      </c>
      <c r="H3686" s="1">
        <v>3</v>
      </c>
      <c r="I3686">
        <v>22</v>
      </c>
      <c r="J3686">
        <f>IF($H3686=0,1,IF($I3686&lt;=1,2,0))</f>
        <v>0</v>
      </c>
      <c r="K3686">
        <v>0</v>
      </c>
      <c r="L3686">
        <f>IF(AND($J3686=0,$K3686=0),0,1)</f>
        <v>0</v>
      </c>
    </row>
    <row r="3687" spans="1:12" x14ac:dyDescent="0.2">
      <c r="A3687" t="s">
        <v>477</v>
      </c>
      <c r="B3687" t="s">
        <v>241</v>
      </c>
      <c r="C3687" t="s">
        <v>9</v>
      </c>
      <c r="D3687">
        <v>1121</v>
      </c>
      <c r="E3687">
        <v>2020</v>
      </c>
      <c r="F3687">
        <v>24</v>
      </c>
      <c r="G3687">
        <v>13705</v>
      </c>
      <c r="H3687" s="1">
        <v>3</v>
      </c>
      <c r="I3687">
        <v>22</v>
      </c>
      <c r="J3687">
        <f>IF($H3687=0,1,IF($I3687&lt;=1,2,0))</f>
        <v>0</v>
      </c>
      <c r="K3687">
        <v>0</v>
      </c>
      <c r="L3687">
        <f>IF(AND($J3687=0,$K3687=0),0,1)</f>
        <v>0</v>
      </c>
    </row>
    <row r="3688" spans="1:12" x14ac:dyDescent="0.2">
      <c r="A3688" t="s">
        <v>477</v>
      </c>
      <c r="B3688" t="s">
        <v>241</v>
      </c>
      <c r="C3688" t="s">
        <v>9</v>
      </c>
      <c r="D3688">
        <v>1121</v>
      </c>
      <c r="E3688">
        <v>2020</v>
      </c>
      <c r="F3688">
        <v>2</v>
      </c>
      <c r="G3688">
        <v>13656</v>
      </c>
      <c r="H3688" s="1">
        <v>3</v>
      </c>
      <c r="I3688">
        <v>21</v>
      </c>
      <c r="J3688">
        <f>IF($H3688=0,1,IF($I3688&lt;=1,2,0))</f>
        <v>0</v>
      </c>
      <c r="K3688">
        <v>0</v>
      </c>
      <c r="L3688">
        <f>IF(AND($J3688=0,$K3688=0),0,1)</f>
        <v>0</v>
      </c>
    </row>
    <row r="3689" spans="1:12" x14ac:dyDescent="0.2">
      <c r="A3689" t="s">
        <v>477</v>
      </c>
      <c r="B3689" t="s">
        <v>241</v>
      </c>
      <c r="C3689" t="s">
        <v>9</v>
      </c>
      <c r="D3689">
        <v>1121</v>
      </c>
      <c r="E3689">
        <v>2020</v>
      </c>
      <c r="F3689">
        <v>3</v>
      </c>
      <c r="G3689">
        <v>13657</v>
      </c>
      <c r="H3689" s="1">
        <v>3</v>
      </c>
      <c r="I3689">
        <v>21</v>
      </c>
      <c r="J3689">
        <f>IF($H3689=0,1,IF($I3689&lt;=1,2,0))</f>
        <v>0</v>
      </c>
      <c r="K3689">
        <v>0</v>
      </c>
      <c r="L3689">
        <f>IF(AND($J3689=0,$K3689=0),0,1)</f>
        <v>0</v>
      </c>
    </row>
    <row r="3690" spans="1:12" x14ac:dyDescent="0.2">
      <c r="A3690" t="s">
        <v>477</v>
      </c>
      <c r="B3690" t="s">
        <v>241</v>
      </c>
      <c r="C3690" t="s">
        <v>9</v>
      </c>
      <c r="D3690">
        <v>1121</v>
      </c>
      <c r="E3690">
        <v>2020</v>
      </c>
      <c r="F3690">
        <v>7</v>
      </c>
      <c r="G3690">
        <v>13665</v>
      </c>
      <c r="H3690" s="1">
        <v>3</v>
      </c>
      <c r="I3690">
        <v>21</v>
      </c>
      <c r="J3690">
        <f>IF($H3690=0,1,IF($I3690&lt;=1,2,0))</f>
        <v>0</v>
      </c>
      <c r="K3690">
        <v>0</v>
      </c>
      <c r="L3690">
        <f>IF(AND($J3690=0,$K3690=0),0,1)</f>
        <v>0</v>
      </c>
    </row>
    <row r="3691" spans="1:12" x14ac:dyDescent="0.2">
      <c r="A3691" t="s">
        <v>477</v>
      </c>
      <c r="B3691" t="s">
        <v>241</v>
      </c>
      <c r="C3691" t="s">
        <v>9</v>
      </c>
      <c r="D3691">
        <v>1121</v>
      </c>
      <c r="E3691">
        <v>2020</v>
      </c>
      <c r="F3691">
        <v>8</v>
      </c>
      <c r="G3691">
        <v>13666</v>
      </c>
      <c r="H3691" s="1">
        <v>3</v>
      </c>
      <c r="I3691">
        <v>21</v>
      </c>
      <c r="J3691">
        <f>IF($H3691=0,1,IF($I3691&lt;=1,2,0))</f>
        <v>0</v>
      </c>
      <c r="K3691">
        <v>0</v>
      </c>
      <c r="L3691">
        <f>IF(AND($J3691=0,$K3691=0),0,1)</f>
        <v>0</v>
      </c>
    </row>
    <row r="3692" spans="1:12" x14ac:dyDescent="0.2">
      <c r="A3692" t="s">
        <v>477</v>
      </c>
      <c r="B3692" t="s">
        <v>241</v>
      </c>
      <c r="C3692" t="s">
        <v>9</v>
      </c>
      <c r="D3692">
        <v>1121</v>
      </c>
      <c r="E3692">
        <v>2020</v>
      </c>
      <c r="F3692">
        <v>11</v>
      </c>
      <c r="G3692">
        <v>13672</v>
      </c>
      <c r="H3692" s="1">
        <v>3</v>
      </c>
      <c r="I3692">
        <v>21</v>
      </c>
      <c r="J3692">
        <f>IF($H3692=0,1,IF($I3692&lt;=1,2,0))</f>
        <v>0</v>
      </c>
      <c r="K3692">
        <v>0</v>
      </c>
      <c r="L3692">
        <f>IF(AND($J3692=0,$K3692=0),0,1)</f>
        <v>0</v>
      </c>
    </row>
    <row r="3693" spans="1:12" x14ac:dyDescent="0.2">
      <c r="A3693" t="s">
        <v>477</v>
      </c>
      <c r="B3693" t="s">
        <v>241</v>
      </c>
      <c r="C3693" t="s">
        <v>9</v>
      </c>
      <c r="D3693">
        <v>1121</v>
      </c>
      <c r="E3693">
        <v>2020</v>
      </c>
      <c r="F3693">
        <v>14</v>
      </c>
      <c r="G3693">
        <v>13675</v>
      </c>
      <c r="H3693" s="1">
        <v>3</v>
      </c>
      <c r="I3693">
        <v>21</v>
      </c>
      <c r="J3693">
        <f>IF($H3693=0,1,IF($I3693&lt;=1,2,0))</f>
        <v>0</v>
      </c>
      <c r="K3693">
        <v>0</v>
      </c>
      <c r="L3693">
        <f>IF(AND($J3693=0,$K3693=0),0,1)</f>
        <v>0</v>
      </c>
    </row>
    <row r="3694" spans="1:12" x14ac:dyDescent="0.2">
      <c r="A3694" t="s">
        <v>477</v>
      </c>
      <c r="B3694" t="s">
        <v>241</v>
      </c>
      <c r="C3694" t="s">
        <v>9</v>
      </c>
      <c r="D3694">
        <v>1121</v>
      </c>
      <c r="E3694">
        <v>2020</v>
      </c>
      <c r="F3694">
        <v>20</v>
      </c>
      <c r="G3694">
        <v>13700</v>
      </c>
      <c r="H3694" s="1">
        <v>3</v>
      </c>
      <c r="I3694">
        <v>21</v>
      </c>
      <c r="J3694">
        <f>IF($H3694=0,1,IF($I3694&lt;=1,2,0))</f>
        <v>0</v>
      </c>
      <c r="K3694">
        <v>0</v>
      </c>
      <c r="L3694">
        <f>IF(AND($J3694=0,$K3694=0),0,1)</f>
        <v>0</v>
      </c>
    </row>
    <row r="3695" spans="1:12" x14ac:dyDescent="0.2">
      <c r="A3695" t="s">
        <v>477</v>
      </c>
      <c r="B3695" t="s">
        <v>241</v>
      </c>
      <c r="C3695" t="s">
        <v>9</v>
      </c>
      <c r="D3695">
        <v>1121</v>
      </c>
      <c r="E3695">
        <v>2020</v>
      </c>
      <c r="F3695">
        <v>27</v>
      </c>
      <c r="G3695">
        <v>13710</v>
      </c>
      <c r="H3695" s="1">
        <v>3</v>
      </c>
      <c r="I3695">
        <v>21</v>
      </c>
      <c r="J3695">
        <f>IF($H3695=0,1,IF($I3695&lt;=1,2,0))</f>
        <v>0</v>
      </c>
      <c r="K3695">
        <v>0</v>
      </c>
      <c r="L3695">
        <f>IF(AND($J3695=0,$K3695=0),0,1)</f>
        <v>0</v>
      </c>
    </row>
    <row r="3696" spans="1:12" x14ac:dyDescent="0.2">
      <c r="A3696" t="s">
        <v>477</v>
      </c>
      <c r="B3696" t="s">
        <v>241</v>
      </c>
      <c r="C3696" t="s">
        <v>9</v>
      </c>
      <c r="D3696">
        <v>1121</v>
      </c>
      <c r="E3696">
        <v>2020</v>
      </c>
      <c r="F3696">
        <v>32</v>
      </c>
      <c r="G3696">
        <v>13717</v>
      </c>
      <c r="H3696" s="1">
        <v>3</v>
      </c>
      <c r="I3696">
        <v>21</v>
      </c>
      <c r="J3696">
        <f>IF($H3696=0,1,IF($I3696&lt;=1,2,0))</f>
        <v>0</v>
      </c>
      <c r="K3696">
        <v>0</v>
      </c>
      <c r="L3696">
        <f>IF(AND($J3696=0,$K3696=0),0,1)</f>
        <v>0</v>
      </c>
    </row>
    <row r="3697" spans="1:12" x14ac:dyDescent="0.2">
      <c r="A3697" t="s">
        <v>477</v>
      </c>
      <c r="B3697" t="s">
        <v>241</v>
      </c>
      <c r="C3697" t="s">
        <v>9</v>
      </c>
      <c r="D3697">
        <v>1121</v>
      </c>
      <c r="E3697">
        <v>2020</v>
      </c>
      <c r="F3697">
        <v>33</v>
      </c>
      <c r="G3697">
        <v>13719</v>
      </c>
      <c r="H3697" s="1">
        <v>3</v>
      </c>
      <c r="I3697">
        <v>21</v>
      </c>
      <c r="J3697">
        <f>IF($H3697=0,1,IF($I3697&lt;=1,2,0))</f>
        <v>0</v>
      </c>
      <c r="K3697">
        <v>0</v>
      </c>
      <c r="L3697">
        <f>IF(AND($J3697=0,$K3697=0),0,1)</f>
        <v>0</v>
      </c>
    </row>
    <row r="3698" spans="1:12" x14ac:dyDescent="0.2">
      <c r="A3698" t="s">
        <v>477</v>
      </c>
      <c r="B3698" t="s">
        <v>241</v>
      </c>
      <c r="C3698" t="s">
        <v>9</v>
      </c>
      <c r="D3698">
        <v>1121</v>
      </c>
      <c r="E3698">
        <v>2020</v>
      </c>
      <c r="F3698">
        <v>36</v>
      </c>
      <c r="G3698">
        <v>24650</v>
      </c>
      <c r="H3698" s="1">
        <v>3</v>
      </c>
      <c r="I3698">
        <v>21</v>
      </c>
      <c r="J3698">
        <f>IF($H3698=0,1,IF($I3698&lt;=1,2,0))</f>
        <v>0</v>
      </c>
      <c r="K3698">
        <v>0</v>
      </c>
      <c r="L3698">
        <f>IF(AND($J3698=0,$K3698=0),0,1)</f>
        <v>0</v>
      </c>
    </row>
    <row r="3699" spans="1:12" x14ac:dyDescent="0.2">
      <c r="A3699" t="s">
        <v>477</v>
      </c>
      <c r="B3699" t="s">
        <v>241</v>
      </c>
      <c r="C3699" t="s">
        <v>9</v>
      </c>
      <c r="D3699">
        <v>1121</v>
      </c>
      <c r="E3699">
        <v>2020</v>
      </c>
      <c r="F3699">
        <v>4</v>
      </c>
      <c r="G3699">
        <v>13659</v>
      </c>
      <c r="H3699" s="1">
        <v>3</v>
      </c>
      <c r="I3699">
        <v>20</v>
      </c>
      <c r="J3699">
        <f>IF($H3699=0,1,IF($I3699&lt;=1,2,0))</f>
        <v>0</v>
      </c>
      <c r="K3699">
        <v>0</v>
      </c>
      <c r="L3699">
        <f>IF(AND($J3699=0,$K3699=0),0,1)</f>
        <v>0</v>
      </c>
    </row>
    <row r="3700" spans="1:12" x14ac:dyDescent="0.2">
      <c r="A3700" t="s">
        <v>477</v>
      </c>
      <c r="B3700" t="s">
        <v>241</v>
      </c>
      <c r="C3700" t="s">
        <v>9</v>
      </c>
      <c r="D3700">
        <v>1121</v>
      </c>
      <c r="E3700">
        <v>2020</v>
      </c>
      <c r="F3700">
        <v>13</v>
      </c>
      <c r="G3700">
        <v>13674</v>
      </c>
      <c r="H3700" s="1">
        <v>3</v>
      </c>
      <c r="I3700">
        <v>20</v>
      </c>
      <c r="J3700">
        <f>IF($H3700=0,1,IF($I3700&lt;=1,2,0))</f>
        <v>0</v>
      </c>
      <c r="K3700">
        <v>0</v>
      </c>
      <c r="L3700">
        <f>IF(AND($J3700=0,$K3700=0),0,1)</f>
        <v>0</v>
      </c>
    </row>
    <row r="3701" spans="1:12" x14ac:dyDescent="0.2">
      <c r="A3701" t="s">
        <v>477</v>
      </c>
      <c r="B3701" t="s">
        <v>241</v>
      </c>
      <c r="C3701" t="s">
        <v>9</v>
      </c>
      <c r="D3701">
        <v>1121</v>
      </c>
      <c r="E3701">
        <v>2020</v>
      </c>
      <c r="F3701">
        <v>23</v>
      </c>
      <c r="G3701">
        <v>13703</v>
      </c>
      <c r="H3701" s="1">
        <v>3</v>
      </c>
      <c r="I3701">
        <v>20</v>
      </c>
      <c r="J3701">
        <f>IF($H3701=0,1,IF($I3701&lt;=1,2,0))</f>
        <v>0</v>
      </c>
      <c r="K3701">
        <v>0</v>
      </c>
      <c r="L3701">
        <f>IF(AND($J3701=0,$K3701=0),0,1)</f>
        <v>0</v>
      </c>
    </row>
    <row r="3702" spans="1:12" x14ac:dyDescent="0.2">
      <c r="A3702" t="s">
        <v>477</v>
      </c>
      <c r="B3702" t="s">
        <v>241</v>
      </c>
      <c r="C3702" t="s">
        <v>9</v>
      </c>
      <c r="D3702">
        <v>1121</v>
      </c>
      <c r="E3702">
        <v>2020</v>
      </c>
      <c r="F3702">
        <v>28</v>
      </c>
      <c r="G3702">
        <v>13707</v>
      </c>
      <c r="H3702" s="1">
        <v>3</v>
      </c>
      <c r="I3702">
        <v>20</v>
      </c>
      <c r="J3702">
        <f>IF($H3702=0,1,IF($I3702&lt;=1,2,0))</f>
        <v>0</v>
      </c>
      <c r="K3702">
        <v>0</v>
      </c>
      <c r="L3702">
        <f>IF(AND($J3702=0,$K3702=0),0,1)</f>
        <v>0</v>
      </c>
    </row>
    <row r="3703" spans="1:12" x14ac:dyDescent="0.2">
      <c r="A3703" t="s">
        <v>477</v>
      </c>
      <c r="B3703" t="s">
        <v>241</v>
      </c>
      <c r="C3703" t="s">
        <v>9</v>
      </c>
      <c r="D3703">
        <v>1121</v>
      </c>
      <c r="E3703">
        <v>2020</v>
      </c>
      <c r="F3703">
        <v>15</v>
      </c>
      <c r="G3703">
        <v>13692</v>
      </c>
      <c r="H3703" s="1">
        <v>3</v>
      </c>
      <c r="I3703">
        <v>19</v>
      </c>
      <c r="J3703">
        <f>IF($H3703=0,1,IF($I3703&lt;=1,2,0))</f>
        <v>0</v>
      </c>
      <c r="K3703">
        <v>0</v>
      </c>
      <c r="L3703">
        <f>IF(AND($J3703=0,$K3703=0),0,1)</f>
        <v>0</v>
      </c>
    </row>
    <row r="3704" spans="1:12" x14ac:dyDescent="0.2">
      <c r="A3704" t="s">
        <v>477</v>
      </c>
      <c r="B3704" t="s">
        <v>241</v>
      </c>
      <c r="C3704" t="s">
        <v>9</v>
      </c>
      <c r="D3704">
        <v>1121</v>
      </c>
      <c r="E3704">
        <v>2020</v>
      </c>
      <c r="F3704">
        <v>21</v>
      </c>
      <c r="G3704">
        <v>13701</v>
      </c>
      <c r="H3704" s="1">
        <v>3</v>
      </c>
      <c r="I3704">
        <v>19</v>
      </c>
      <c r="J3704">
        <f>IF($H3704=0,1,IF($I3704&lt;=1,2,0))</f>
        <v>0</v>
      </c>
      <c r="K3704">
        <v>0</v>
      </c>
      <c r="L3704">
        <f>IF(AND($J3704=0,$K3704=0),0,1)</f>
        <v>0</v>
      </c>
    </row>
    <row r="3705" spans="1:12" x14ac:dyDescent="0.2">
      <c r="A3705" t="s">
        <v>477</v>
      </c>
      <c r="B3705" t="s">
        <v>241</v>
      </c>
      <c r="C3705" t="s">
        <v>9</v>
      </c>
      <c r="D3705">
        <v>1121</v>
      </c>
      <c r="E3705">
        <v>2020</v>
      </c>
      <c r="F3705">
        <v>18</v>
      </c>
      <c r="G3705">
        <v>13695</v>
      </c>
      <c r="H3705" s="1">
        <v>3</v>
      </c>
      <c r="I3705">
        <v>18</v>
      </c>
      <c r="J3705">
        <f>IF($H3705=0,1,IF($I3705&lt;=1,2,0))</f>
        <v>0</v>
      </c>
      <c r="K3705">
        <v>0</v>
      </c>
      <c r="L3705">
        <f>IF(AND($J3705=0,$K3705=0),0,1)</f>
        <v>0</v>
      </c>
    </row>
    <row r="3706" spans="1:12" x14ac:dyDescent="0.2">
      <c r="A3706" t="s">
        <v>477</v>
      </c>
      <c r="B3706" t="s">
        <v>241</v>
      </c>
      <c r="C3706" t="s">
        <v>9</v>
      </c>
      <c r="D3706">
        <v>1121</v>
      </c>
      <c r="E3706">
        <v>2020</v>
      </c>
      <c r="F3706">
        <v>30</v>
      </c>
      <c r="G3706">
        <v>13715</v>
      </c>
      <c r="H3706" s="1">
        <v>3</v>
      </c>
      <c r="I3706">
        <v>18</v>
      </c>
      <c r="J3706">
        <f>IF($H3706=0,1,IF($I3706&lt;=1,2,0))</f>
        <v>0</v>
      </c>
      <c r="K3706">
        <v>0</v>
      </c>
      <c r="L3706">
        <f>IF(AND($J3706=0,$K3706=0),0,1)</f>
        <v>0</v>
      </c>
    </row>
    <row r="3707" spans="1:12" x14ac:dyDescent="0.2">
      <c r="A3707" t="s">
        <v>477</v>
      </c>
      <c r="B3707" t="s">
        <v>241</v>
      </c>
      <c r="C3707" t="s">
        <v>9</v>
      </c>
      <c r="D3707">
        <v>1121</v>
      </c>
      <c r="E3707">
        <v>2020</v>
      </c>
      <c r="F3707">
        <v>34</v>
      </c>
      <c r="G3707">
        <v>13721</v>
      </c>
      <c r="H3707" s="1">
        <v>3</v>
      </c>
      <c r="I3707">
        <v>18</v>
      </c>
      <c r="J3707">
        <f>IF($H3707=0,1,IF($I3707&lt;=1,2,0))</f>
        <v>0</v>
      </c>
      <c r="K3707">
        <v>0</v>
      </c>
      <c r="L3707">
        <f>IF(AND($J3707=0,$K3707=0),0,1)</f>
        <v>0</v>
      </c>
    </row>
    <row r="3708" spans="1:12" x14ac:dyDescent="0.2">
      <c r="A3708" t="s">
        <v>477</v>
      </c>
      <c r="B3708" t="s">
        <v>241</v>
      </c>
      <c r="C3708" t="s">
        <v>9</v>
      </c>
      <c r="D3708">
        <v>1121</v>
      </c>
      <c r="E3708">
        <v>2020</v>
      </c>
      <c r="F3708">
        <v>29</v>
      </c>
      <c r="G3708">
        <v>13713</v>
      </c>
      <c r="H3708" s="1">
        <v>3</v>
      </c>
      <c r="I3708">
        <v>17</v>
      </c>
      <c r="J3708">
        <f>IF($H3708=0,1,IF($I3708&lt;=1,2,0))</f>
        <v>0</v>
      </c>
      <c r="K3708">
        <v>0</v>
      </c>
      <c r="L3708">
        <f>IF(AND($J3708=0,$K3708=0),0,1)</f>
        <v>0</v>
      </c>
    </row>
    <row r="3709" spans="1:12" x14ac:dyDescent="0.2">
      <c r="A3709" t="s">
        <v>477</v>
      </c>
      <c r="B3709" t="s">
        <v>241</v>
      </c>
      <c r="C3709" t="s">
        <v>9</v>
      </c>
      <c r="D3709">
        <v>1121</v>
      </c>
      <c r="E3709">
        <v>2020</v>
      </c>
      <c r="F3709">
        <v>35</v>
      </c>
      <c r="G3709">
        <v>13720</v>
      </c>
      <c r="H3709" s="1">
        <v>3</v>
      </c>
      <c r="I3709">
        <v>16</v>
      </c>
      <c r="J3709">
        <f>IF($H3709=0,1,IF($I3709&lt;=1,2,0))</f>
        <v>0</v>
      </c>
      <c r="K3709">
        <v>0</v>
      </c>
      <c r="L3709">
        <f>IF(AND($J3709=0,$K3709=0),0,1)</f>
        <v>0</v>
      </c>
    </row>
    <row r="3710" spans="1:12" x14ac:dyDescent="0.2">
      <c r="A3710" t="s">
        <v>477</v>
      </c>
      <c r="B3710" t="s">
        <v>241</v>
      </c>
      <c r="C3710" t="s">
        <v>9</v>
      </c>
      <c r="D3710">
        <v>1121</v>
      </c>
      <c r="E3710">
        <v>2020</v>
      </c>
      <c r="F3710">
        <v>22</v>
      </c>
      <c r="G3710">
        <v>13702</v>
      </c>
      <c r="H3710" s="1">
        <v>3</v>
      </c>
      <c r="I3710">
        <v>15</v>
      </c>
      <c r="J3710">
        <f>IF($H3710=0,1,IF($I3710&lt;=1,2,0))</f>
        <v>0</v>
      </c>
      <c r="K3710">
        <v>0</v>
      </c>
      <c r="L3710">
        <f>IF(AND($J3710=0,$K3710=0),0,1)</f>
        <v>0</v>
      </c>
    </row>
    <row r="3711" spans="1:12" x14ac:dyDescent="0.2">
      <c r="A3711" t="s">
        <v>477</v>
      </c>
      <c r="B3711" t="s">
        <v>241</v>
      </c>
      <c r="C3711" t="s">
        <v>9</v>
      </c>
      <c r="D3711">
        <v>1121</v>
      </c>
      <c r="E3711">
        <v>2020</v>
      </c>
      <c r="F3711">
        <v>25</v>
      </c>
      <c r="G3711">
        <v>13706</v>
      </c>
      <c r="H3711" s="1">
        <v>3</v>
      </c>
      <c r="I3711">
        <v>15</v>
      </c>
      <c r="J3711">
        <f>IF($H3711=0,1,IF($I3711&lt;=1,2,0))</f>
        <v>0</v>
      </c>
      <c r="K3711">
        <v>0</v>
      </c>
      <c r="L3711">
        <f>IF(AND($J3711=0,$K3711=0),0,1)</f>
        <v>0</v>
      </c>
    </row>
    <row r="3712" spans="1:12" x14ac:dyDescent="0.2">
      <c r="A3712" t="s">
        <v>477</v>
      </c>
      <c r="B3712" t="s">
        <v>241</v>
      </c>
      <c r="C3712" t="s">
        <v>9</v>
      </c>
      <c r="D3712">
        <v>1121</v>
      </c>
      <c r="E3712">
        <v>2020</v>
      </c>
      <c r="F3712">
        <v>26</v>
      </c>
      <c r="G3712">
        <v>13708</v>
      </c>
      <c r="H3712" s="1">
        <v>3</v>
      </c>
      <c r="I3712">
        <v>14</v>
      </c>
      <c r="J3712">
        <f>IF($H3712=0,1,IF($I3712&lt;=1,2,0))</f>
        <v>0</v>
      </c>
      <c r="K3712">
        <v>0</v>
      </c>
      <c r="L3712">
        <f>IF(AND($J3712=0,$K3712=0),0,1)</f>
        <v>0</v>
      </c>
    </row>
    <row r="3713" spans="1:12" x14ac:dyDescent="0.2">
      <c r="A3713" t="s">
        <v>477</v>
      </c>
      <c r="B3713" t="s">
        <v>241</v>
      </c>
      <c r="C3713" t="s">
        <v>9</v>
      </c>
      <c r="D3713">
        <v>1121</v>
      </c>
      <c r="E3713">
        <v>2020</v>
      </c>
      <c r="F3713">
        <v>9</v>
      </c>
      <c r="G3713">
        <v>13667</v>
      </c>
      <c r="H3713" s="1">
        <v>3</v>
      </c>
      <c r="I3713">
        <v>13</v>
      </c>
      <c r="J3713">
        <f>IF($H3713=0,1,IF($I3713&lt;=1,2,0))</f>
        <v>0</v>
      </c>
      <c r="K3713">
        <v>0</v>
      </c>
      <c r="L3713">
        <f>IF(AND($J3713=0,$K3713=0),0,1)</f>
        <v>0</v>
      </c>
    </row>
    <row r="3714" spans="1:12" x14ac:dyDescent="0.2">
      <c r="A3714" t="s">
        <v>477</v>
      </c>
      <c r="B3714" t="s">
        <v>241</v>
      </c>
      <c r="C3714" t="s">
        <v>9</v>
      </c>
      <c r="D3714">
        <v>1121</v>
      </c>
      <c r="E3714">
        <v>2020</v>
      </c>
      <c r="F3714">
        <v>17</v>
      </c>
      <c r="G3714">
        <v>13694</v>
      </c>
      <c r="H3714" s="1">
        <v>3</v>
      </c>
      <c r="I3714">
        <v>10</v>
      </c>
      <c r="J3714">
        <f>IF($H3714=0,1,IF($I3714&lt;=1,2,0))</f>
        <v>0</v>
      </c>
      <c r="K3714">
        <v>0</v>
      </c>
      <c r="L3714">
        <f>IF(AND($J3714=0,$K3714=0),0,1)</f>
        <v>0</v>
      </c>
    </row>
    <row r="3715" spans="1:12" x14ac:dyDescent="0.2">
      <c r="A3715" t="s">
        <v>477</v>
      </c>
      <c r="B3715" t="s">
        <v>241</v>
      </c>
      <c r="C3715" t="s">
        <v>9</v>
      </c>
      <c r="D3715">
        <v>1121</v>
      </c>
      <c r="E3715">
        <v>2020</v>
      </c>
      <c r="F3715">
        <v>31</v>
      </c>
      <c r="G3715">
        <v>13716</v>
      </c>
      <c r="H3715" s="1">
        <v>3</v>
      </c>
      <c r="I3715">
        <v>8</v>
      </c>
      <c r="J3715">
        <f>IF($H3715=0,1,IF($I3715&lt;=1,2,0))</f>
        <v>0</v>
      </c>
      <c r="K3715">
        <v>0</v>
      </c>
      <c r="L3715">
        <f>IF(AND($J3715=0,$K3715=0),0,1)</f>
        <v>0</v>
      </c>
    </row>
    <row r="3716" spans="1:12" x14ac:dyDescent="0.2">
      <c r="A3716" t="s">
        <v>477</v>
      </c>
      <c r="B3716" t="s">
        <v>241</v>
      </c>
      <c r="C3716" t="s">
        <v>9</v>
      </c>
      <c r="D3716">
        <v>1123</v>
      </c>
      <c r="E3716">
        <v>2020</v>
      </c>
      <c r="F3716">
        <v>29</v>
      </c>
      <c r="G3716">
        <v>12169</v>
      </c>
      <c r="H3716" s="1">
        <v>3</v>
      </c>
      <c r="I3716">
        <v>26</v>
      </c>
      <c r="J3716">
        <f>IF($H3716=0,1,IF($I3716&lt;=1,2,0))</f>
        <v>0</v>
      </c>
      <c r="K3716">
        <v>0</v>
      </c>
      <c r="L3716">
        <f>IF(AND($J3716=0,$K3716=0),0,1)</f>
        <v>0</v>
      </c>
    </row>
    <row r="3717" spans="1:12" x14ac:dyDescent="0.2">
      <c r="A3717" t="s">
        <v>477</v>
      </c>
      <c r="B3717" t="s">
        <v>241</v>
      </c>
      <c r="C3717" t="s">
        <v>9</v>
      </c>
      <c r="D3717">
        <v>1123</v>
      </c>
      <c r="E3717">
        <v>2020</v>
      </c>
      <c r="F3717">
        <v>18</v>
      </c>
      <c r="G3717">
        <v>12157</v>
      </c>
      <c r="H3717" s="1">
        <v>3</v>
      </c>
      <c r="I3717">
        <v>25</v>
      </c>
      <c r="J3717">
        <f>IF($H3717=0,1,IF($I3717&lt;=1,2,0))</f>
        <v>0</v>
      </c>
      <c r="K3717">
        <v>0</v>
      </c>
      <c r="L3717">
        <f>IF(AND($J3717=0,$K3717=0),0,1)</f>
        <v>0</v>
      </c>
    </row>
    <row r="3718" spans="1:12" x14ac:dyDescent="0.2">
      <c r="A3718" t="s">
        <v>477</v>
      </c>
      <c r="B3718" t="s">
        <v>241</v>
      </c>
      <c r="C3718" t="s">
        <v>9</v>
      </c>
      <c r="D3718">
        <v>1123</v>
      </c>
      <c r="E3718">
        <v>2020</v>
      </c>
      <c r="F3718">
        <v>19</v>
      </c>
      <c r="G3718">
        <v>12158</v>
      </c>
      <c r="H3718" s="1">
        <v>3</v>
      </c>
      <c r="I3718">
        <v>25</v>
      </c>
      <c r="J3718">
        <f>IF($H3718=0,1,IF($I3718&lt;=1,2,0))</f>
        <v>0</v>
      </c>
      <c r="K3718">
        <v>0</v>
      </c>
      <c r="L3718">
        <f>IF(AND($J3718=0,$K3718=0),0,1)</f>
        <v>0</v>
      </c>
    </row>
    <row r="3719" spans="1:12" x14ac:dyDescent="0.2">
      <c r="A3719" t="s">
        <v>477</v>
      </c>
      <c r="B3719" t="s">
        <v>241</v>
      </c>
      <c r="C3719" t="s">
        <v>9</v>
      </c>
      <c r="D3719">
        <v>1123</v>
      </c>
      <c r="E3719">
        <v>2020</v>
      </c>
      <c r="F3719">
        <v>20</v>
      </c>
      <c r="G3719">
        <v>12159</v>
      </c>
      <c r="H3719" s="1">
        <v>3</v>
      </c>
      <c r="I3719">
        <v>25</v>
      </c>
      <c r="J3719">
        <f>IF($H3719=0,1,IF($I3719&lt;=1,2,0))</f>
        <v>0</v>
      </c>
      <c r="K3719">
        <v>0</v>
      </c>
      <c r="L3719">
        <f>IF(AND($J3719=0,$K3719=0),0,1)</f>
        <v>0</v>
      </c>
    </row>
    <row r="3720" spans="1:12" x14ac:dyDescent="0.2">
      <c r="A3720" t="s">
        <v>477</v>
      </c>
      <c r="B3720" t="s">
        <v>241</v>
      </c>
      <c r="C3720" t="s">
        <v>9</v>
      </c>
      <c r="D3720">
        <v>1123</v>
      </c>
      <c r="E3720">
        <v>2020</v>
      </c>
      <c r="F3720">
        <v>8</v>
      </c>
      <c r="G3720">
        <v>12146</v>
      </c>
      <c r="H3720" s="1">
        <v>3</v>
      </c>
      <c r="I3720">
        <v>24</v>
      </c>
      <c r="J3720">
        <f>IF($H3720=0,1,IF($I3720&lt;=1,2,0))</f>
        <v>0</v>
      </c>
      <c r="K3720">
        <v>0</v>
      </c>
      <c r="L3720">
        <f>IF(AND($J3720=0,$K3720=0),0,1)</f>
        <v>0</v>
      </c>
    </row>
    <row r="3721" spans="1:12" x14ac:dyDescent="0.2">
      <c r="A3721" t="s">
        <v>477</v>
      </c>
      <c r="B3721" t="s">
        <v>241</v>
      </c>
      <c r="C3721" t="s">
        <v>9</v>
      </c>
      <c r="D3721">
        <v>1123</v>
      </c>
      <c r="E3721">
        <v>2020</v>
      </c>
      <c r="F3721">
        <v>9</v>
      </c>
      <c r="G3721">
        <v>12148</v>
      </c>
      <c r="H3721" s="1">
        <v>3</v>
      </c>
      <c r="I3721">
        <v>24</v>
      </c>
      <c r="J3721">
        <f>IF($H3721=0,1,IF($I3721&lt;=1,2,0))</f>
        <v>0</v>
      </c>
      <c r="K3721">
        <v>0</v>
      </c>
      <c r="L3721">
        <f>IF(AND($J3721=0,$K3721=0),0,1)</f>
        <v>0</v>
      </c>
    </row>
    <row r="3722" spans="1:12" x14ac:dyDescent="0.2">
      <c r="A3722" t="s">
        <v>477</v>
      </c>
      <c r="B3722" t="s">
        <v>241</v>
      </c>
      <c r="C3722" t="s">
        <v>9</v>
      </c>
      <c r="D3722">
        <v>1123</v>
      </c>
      <c r="E3722">
        <v>2020</v>
      </c>
      <c r="F3722">
        <v>10</v>
      </c>
      <c r="G3722">
        <v>12147</v>
      </c>
      <c r="H3722" s="1">
        <v>3</v>
      </c>
      <c r="I3722">
        <v>24</v>
      </c>
      <c r="J3722">
        <f>IF($H3722=0,1,IF($I3722&lt;=1,2,0))</f>
        <v>0</v>
      </c>
      <c r="K3722">
        <v>0</v>
      </c>
      <c r="L3722">
        <f>IF(AND($J3722=0,$K3722=0),0,1)</f>
        <v>0</v>
      </c>
    </row>
    <row r="3723" spans="1:12" x14ac:dyDescent="0.2">
      <c r="A3723" t="s">
        <v>477</v>
      </c>
      <c r="B3723" t="s">
        <v>241</v>
      </c>
      <c r="C3723" t="s">
        <v>9</v>
      </c>
      <c r="D3723">
        <v>1123</v>
      </c>
      <c r="E3723">
        <v>2020</v>
      </c>
      <c r="F3723">
        <v>11</v>
      </c>
      <c r="G3723">
        <v>12149</v>
      </c>
      <c r="H3723" s="1">
        <v>3</v>
      </c>
      <c r="I3723">
        <v>24</v>
      </c>
      <c r="J3723">
        <f>IF($H3723=0,1,IF($I3723&lt;=1,2,0))</f>
        <v>0</v>
      </c>
      <c r="K3723">
        <v>0</v>
      </c>
      <c r="L3723">
        <f>IF(AND($J3723=0,$K3723=0),0,1)</f>
        <v>0</v>
      </c>
    </row>
    <row r="3724" spans="1:12" x14ac:dyDescent="0.2">
      <c r="A3724" t="s">
        <v>477</v>
      </c>
      <c r="B3724" t="s">
        <v>241</v>
      </c>
      <c r="C3724" t="s">
        <v>9</v>
      </c>
      <c r="D3724">
        <v>1123</v>
      </c>
      <c r="E3724">
        <v>2020</v>
      </c>
      <c r="F3724">
        <v>14</v>
      </c>
      <c r="G3724">
        <v>12152</v>
      </c>
      <c r="H3724" s="1">
        <v>3</v>
      </c>
      <c r="I3724">
        <v>24</v>
      </c>
      <c r="J3724">
        <f>IF($H3724=0,1,IF($I3724&lt;=1,2,0))</f>
        <v>0</v>
      </c>
      <c r="K3724">
        <v>0</v>
      </c>
      <c r="L3724">
        <f>IF(AND($J3724=0,$K3724=0),0,1)</f>
        <v>0</v>
      </c>
    </row>
    <row r="3725" spans="1:12" x14ac:dyDescent="0.2">
      <c r="A3725" t="s">
        <v>477</v>
      </c>
      <c r="B3725" t="s">
        <v>241</v>
      </c>
      <c r="C3725" t="s">
        <v>9</v>
      </c>
      <c r="D3725">
        <v>1123</v>
      </c>
      <c r="E3725">
        <v>2020</v>
      </c>
      <c r="F3725">
        <v>22</v>
      </c>
      <c r="G3725">
        <v>12161</v>
      </c>
      <c r="H3725" s="1">
        <v>3</v>
      </c>
      <c r="I3725">
        <v>24</v>
      </c>
      <c r="J3725">
        <f>IF($H3725=0,1,IF($I3725&lt;=1,2,0))</f>
        <v>0</v>
      </c>
      <c r="K3725">
        <v>0</v>
      </c>
      <c r="L3725">
        <f>IF(AND($J3725=0,$K3725=0),0,1)</f>
        <v>0</v>
      </c>
    </row>
    <row r="3726" spans="1:12" x14ac:dyDescent="0.2">
      <c r="A3726" t="s">
        <v>477</v>
      </c>
      <c r="B3726" t="s">
        <v>241</v>
      </c>
      <c r="C3726" t="s">
        <v>9</v>
      </c>
      <c r="D3726">
        <v>1123</v>
      </c>
      <c r="E3726">
        <v>2020</v>
      </c>
      <c r="F3726">
        <v>27</v>
      </c>
      <c r="G3726">
        <v>12167</v>
      </c>
      <c r="H3726" s="1">
        <v>3</v>
      </c>
      <c r="I3726">
        <v>24</v>
      </c>
      <c r="J3726">
        <f>IF($H3726=0,1,IF($I3726&lt;=1,2,0))</f>
        <v>0</v>
      </c>
      <c r="K3726">
        <v>0</v>
      </c>
      <c r="L3726">
        <f>IF(AND($J3726=0,$K3726=0),0,1)</f>
        <v>0</v>
      </c>
    </row>
    <row r="3727" spans="1:12" x14ac:dyDescent="0.2">
      <c r="A3727" t="s">
        <v>477</v>
      </c>
      <c r="B3727" t="s">
        <v>241</v>
      </c>
      <c r="C3727" t="s">
        <v>9</v>
      </c>
      <c r="D3727">
        <v>1123</v>
      </c>
      <c r="E3727">
        <v>2020</v>
      </c>
      <c r="F3727">
        <v>1</v>
      </c>
      <c r="G3727">
        <v>12139</v>
      </c>
      <c r="H3727" s="1">
        <v>3</v>
      </c>
      <c r="I3727">
        <v>23</v>
      </c>
      <c r="J3727">
        <f>IF($H3727=0,1,IF($I3727&lt;=1,2,0))</f>
        <v>0</v>
      </c>
      <c r="K3727">
        <v>0</v>
      </c>
      <c r="L3727">
        <f>IF(AND($J3727=0,$K3727=0),0,1)</f>
        <v>0</v>
      </c>
    </row>
    <row r="3728" spans="1:12" x14ac:dyDescent="0.2">
      <c r="A3728" t="s">
        <v>477</v>
      </c>
      <c r="B3728" t="s">
        <v>241</v>
      </c>
      <c r="C3728" t="s">
        <v>9</v>
      </c>
      <c r="D3728">
        <v>1123</v>
      </c>
      <c r="E3728">
        <v>2020</v>
      </c>
      <c r="F3728">
        <v>4</v>
      </c>
      <c r="G3728">
        <v>12142</v>
      </c>
      <c r="H3728" s="1">
        <v>3</v>
      </c>
      <c r="I3728">
        <v>23</v>
      </c>
      <c r="J3728">
        <f>IF($H3728=0,1,IF($I3728&lt;=1,2,0))</f>
        <v>0</v>
      </c>
      <c r="K3728">
        <v>0</v>
      </c>
      <c r="L3728">
        <f>IF(AND($J3728=0,$K3728=0),0,1)</f>
        <v>0</v>
      </c>
    </row>
    <row r="3729" spans="1:12" x14ac:dyDescent="0.2">
      <c r="A3729" t="s">
        <v>477</v>
      </c>
      <c r="B3729" t="s">
        <v>241</v>
      </c>
      <c r="C3729" t="s">
        <v>9</v>
      </c>
      <c r="D3729">
        <v>1123</v>
      </c>
      <c r="E3729">
        <v>2020</v>
      </c>
      <c r="F3729">
        <v>7</v>
      </c>
      <c r="G3729">
        <v>12145</v>
      </c>
      <c r="H3729" s="1">
        <v>3</v>
      </c>
      <c r="I3729">
        <v>23</v>
      </c>
      <c r="J3729">
        <f>IF($H3729=0,1,IF($I3729&lt;=1,2,0))</f>
        <v>0</v>
      </c>
      <c r="K3729">
        <v>0</v>
      </c>
      <c r="L3729">
        <f>IF(AND($J3729=0,$K3729=0),0,1)</f>
        <v>0</v>
      </c>
    </row>
    <row r="3730" spans="1:12" x14ac:dyDescent="0.2">
      <c r="A3730" t="s">
        <v>477</v>
      </c>
      <c r="B3730" t="s">
        <v>241</v>
      </c>
      <c r="C3730" t="s">
        <v>9</v>
      </c>
      <c r="D3730">
        <v>1123</v>
      </c>
      <c r="E3730">
        <v>2020</v>
      </c>
      <c r="F3730">
        <v>26</v>
      </c>
      <c r="G3730">
        <v>12166</v>
      </c>
      <c r="H3730" s="1">
        <v>3</v>
      </c>
      <c r="I3730">
        <v>23</v>
      </c>
      <c r="J3730">
        <f>IF($H3730=0,1,IF($I3730&lt;=1,2,0))</f>
        <v>0</v>
      </c>
      <c r="K3730">
        <v>0</v>
      </c>
      <c r="L3730">
        <f>IF(AND($J3730=0,$K3730=0),0,1)</f>
        <v>0</v>
      </c>
    </row>
    <row r="3731" spans="1:12" x14ac:dyDescent="0.2">
      <c r="A3731" t="s">
        <v>477</v>
      </c>
      <c r="B3731" t="s">
        <v>241</v>
      </c>
      <c r="C3731" t="s">
        <v>9</v>
      </c>
      <c r="D3731">
        <v>1123</v>
      </c>
      <c r="E3731">
        <v>2020</v>
      </c>
      <c r="F3731">
        <v>28</v>
      </c>
      <c r="G3731">
        <v>12168</v>
      </c>
      <c r="H3731" s="1">
        <v>3</v>
      </c>
      <c r="I3731">
        <v>23</v>
      </c>
      <c r="J3731">
        <f>IF($H3731=0,1,IF($I3731&lt;=1,2,0))</f>
        <v>0</v>
      </c>
      <c r="K3731">
        <v>0</v>
      </c>
      <c r="L3731">
        <f>IF(AND($J3731=0,$K3731=0),0,1)</f>
        <v>0</v>
      </c>
    </row>
    <row r="3732" spans="1:12" x14ac:dyDescent="0.2">
      <c r="A3732" t="s">
        <v>477</v>
      </c>
      <c r="B3732" t="s">
        <v>241</v>
      </c>
      <c r="C3732" t="s">
        <v>9</v>
      </c>
      <c r="D3732">
        <v>1123</v>
      </c>
      <c r="E3732">
        <v>2020</v>
      </c>
      <c r="F3732">
        <v>30</v>
      </c>
      <c r="G3732">
        <v>12170</v>
      </c>
      <c r="H3732" s="1">
        <v>3</v>
      </c>
      <c r="I3732">
        <v>23</v>
      </c>
      <c r="J3732">
        <f>IF($H3732=0,1,IF($I3732&lt;=1,2,0))</f>
        <v>0</v>
      </c>
      <c r="K3732">
        <v>0</v>
      </c>
      <c r="L3732">
        <f>IF(AND($J3732=0,$K3732=0),0,1)</f>
        <v>0</v>
      </c>
    </row>
    <row r="3733" spans="1:12" x14ac:dyDescent="0.2">
      <c r="A3733" t="s">
        <v>477</v>
      </c>
      <c r="B3733" t="s">
        <v>241</v>
      </c>
      <c r="C3733" t="s">
        <v>9</v>
      </c>
      <c r="D3733">
        <v>1123</v>
      </c>
      <c r="E3733">
        <v>2020</v>
      </c>
      <c r="F3733">
        <v>32</v>
      </c>
      <c r="G3733">
        <v>12172</v>
      </c>
      <c r="H3733" s="1">
        <v>3</v>
      </c>
      <c r="I3733">
        <v>23</v>
      </c>
      <c r="J3733">
        <f>IF($H3733=0,1,IF($I3733&lt;=1,2,0))</f>
        <v>0</v>
      </c>
      <c r="K3733">
        <v>0</v>
      </c>
      <c r="L3733">
        <f>IF(AND($J3733=0,$K3733=0),0,1)</f>
        <v>0</v>
      </c>
    </row>
    <row r="3734" spans="1:12" x14ac:dyDescent="0.2">
      <c r="A3734" t="s">
        <v>477</v>
      </c>
      <c r="B3734" t="s">
        <v>241</v>
      </c>
      <c r="C3734" t="s">
        <v>9</v>
      </c>
      <c r="D3734">
        <v>1123</v>
      </c>
      <c r="E3734">
        <v>2020</v>
      </c>
      <c r="F3734">
        <v>5</v>
      </c>
      <c r="G3734">
        <v>12143</v>
      </c>
      <c r="H3734" s="1">
        <v>3</v>
      </c>
      <c r="I3734">
        <v>22</v>
      </c>
      <c r="J3734">
        <f>IF($H3734=0,1,IF($I3734&lt;=1,2,0))</f>
        <v>0</v>
      </c>
      <c r="K3734">
        <v>0</v>
      </c>
      <c r="L3734">
        <f>IF(AND($J3734=0,$K3734=0),0,1)</f>
        <v>0</v>
      </c>
    </row>
    <row r="3735" spans="1:12" x14ac:dyDescent="0.2">
      <c r="A3735" t="s">
        <v>477</v>
      </c>
      <c r="B3735" t="s">
        <v>241</v>
      </c>
      <c r="C3735" t="s">
        <v>9</v>
      </c>
      <c r="D3735">
        <v>1123</v>
      </c>
      <c r="E3735">
        <v>2020</v>
      </c>
      <c r="F3735">
        <v>6</v>
      </c>
      <c r="G3735">
        <v>12144</v>
      </c>
      <c r="H3735" s="1">
        <v>3</v>
      </c>
      <c r="I3735">
        <v>22</v>
      </c>
      <c r="J3735">
        <f>IF($H3735=0,1,IF($I3735&lt;=1,2,0))</f>
        <v>0</v>
      </c>
      <c r="K3735">
        <v>0</v>
      </c>
      <c r="L3735">
        <f>IF(AND($J3735=0,$K3735=0),0,1)</f>
        <v>0</v>
      </c>
    </row>
    <row r="3736" spans="1:12" x14ac:dyDescent="0.2">
      <c r="A3736" t="s">
        <v>477</v>
      </c>
      <c r="B3736" t="s">
        <v>241</v>
      </c>
      <c r="C3736" t="s">
        <v>9</v>
      </c>
      <c r="D3736">
        <v>1123</v>
      </c>
      <c r="E3736">
        <v>2020</v>
      </c>
      <c r="F3736">
        <v>12</v>
      </c>
      <c r="G3736">
        <v>12150</v>
      </c>
      <c r="H3736" s="1">
        <v>3</v>
      </c>
      <c r="I3736">
        <v>22</v>
      </c>
      <c r="J3736">
        <f>IF($H3736=0,1,IF($I3736&lt;=1,2,0))</f>
        <v>0</v>
      </c>
      <c r="K3736">
        <v>0</v>
      </c>
      <c r="L3736">
        <f>IF(AND($J3736=0,$K3736=0),0,1)</f>
        <v>0</v>
      </c>
    </row>
    <row r="3737" spans="1:12" x14ac:dyDescent="0.2">
      <c r="A3737" t="s">
        <v>477</v>
      </c>
      <c r="B3737" t="s">
        <v>241</v>
      </c>
      <c r="C3737" t="s">
        <v>9</v>
      </c>
      <c r="D3737">
        <v>1123</v>
      </c>
      <c r="E3737">
        <v>2020</v>
      </c>
      <c r="F3737">
        <v>31</v>
      </c>
      <c r="G3737">
        <v>12171</v>
      </c>
      <c r="H3737" s="1">
        <v>3</v>
      </c>
      <c r="I3737">
        <v>22</v>
      </c>
      <c r="J3737">
        <f>IF($H3737=0,1,IF($I3737&lt;=1,2,0))</f>
        <v>0</v>
      </c>
      <c r="K3737">
        <v>0</v>
      </c>
      <c r="L3737">
        <f>IF(AND($J3737=0,$K3737=0),0,1)</f>
        <v>0</v>
      </c>
    </row>
    <row r="3738" spans="1:12" x14ac:dyDescent="0.2">
      <c r="A3738" t="s">
        <v>477</v>
      </c>
      <c r="B3738" t="s">
        <v>241</v>
      </c>
      <c r="C3738" t="s">
        <v>9</v>
      </c>
      <c r="D3738">
        <v>1123</v>
      </c>
      <c r="E3738">
        <v>2020</v>
      </c>
      <c r="F3738">
        <v>2</v>
      </c>
      <c r="G3738">
        <v>12140</v>
      </c>
      <c r="H3738" s="1">
        <v>3</v>
      </c>
      <c r="I3738">
        <v>21</v>
      </c>
      <c r="J3738">
        <f>IF($H3738=0,1,IF($I3738&lt;=1,2,0))</f>
        <v>0</v>
      </c>
      <c r="K3738">
        <v>0</v>
      </c>
      <c r="L3738">
        <f>IF(AND($J3738=0,$K3738=0),0,1)</f>
        <v>0</v>
      </c>
    </row>
    <row r="3739" spans="1:12" x14ac:dyDescent="0.2">
      <c r="A3739" t="s">
        <v>477</v>
      </c>
      <c r="B3739" t="s">
        <v>241</v>
      </c>
      <c r="C3739" t="s">
        <v>9</v>
      </c>
      <c r="D3739">
        <v>1123</v>
      </c>
      <c r="E3739">
        <v>2020</v>
      </c>
      <c r="F3739">
        <v>21</v>
      </c>
      <c r="G3739">
        <v>12160</v>
      </c>
      <c r="H3739" s="1">
        <v>3</v>
      </c>
      <c r="I3739">
        <v>21</v>
      </c>
      <c r="J3739">
        <f>IF($H3739=0,1,IF($I3739&lt;=1,2,0))</f>
        <v>0</v>
      </c>
      <c r="K3739">
        <v>0</v>
      </c>
      <c r="L3739">
        <f>IF(AND($J3739=0,$K3739=0),0,1)</f>
        <v>0</v>
      </c>
    </row>
    <row r="3740" spans="1:12" x14ac:dyDescent="0.2">
      <c r="A3740" t="s">
        <v>477</v>
      </c>
      <c r="B3740" t="s">
        <v>241</v>
      </c>
      <c r="C3740" t="s">
        <v>9</v>
      </c>
      <c r="D3740">
        <v>1123</v>
      </c>
      <c r="E3740">
        <v>2020</v>
      </c>
      <c r="F3740">
        <v>16</v>
      </c>
      <c r="G3740">
        <v>12154</v>
      </c>
      <c r="H3740" s="1">
        <v>3</v>
      </c>
      <c r="I3740">
        <v>20</v>
      </c>
      <c r="J3740">
        <f>IF($H3740=0,1,IF($I3740&lt;=1,2,0))</f>
        <v>0</v>
      </c>
      <c r="K3740">
        <v>0</v>
      </c>
      <c r="L3740">
        <f>IF(AND($J3740=0,$K3740=0),0,1)</f>
        <v>0</v>
      </c>
    </row>
    <row r="3741" spans="1:12" x14ac:dyDescent="0.2">
      <c r="A3741" t="s">
        <v>477</v>
      </c>
      <c r="B3741" t="s">
        <v>241</v>
      </c>
      <c r="C3741" t="s">
        <v>9</v>
      </c>
      <c r="D3741">
        <v>1123</v>
      </c>
      <c r="E3741">
        <v>2020</v>
      </c>
      <c r="F3741">
        <v>15</v>
      </c>
      <c r="G3741">
        <v>12153</v>
      </c>
      <c r="H3741" s="1">
        <v>3</v>
      </c>
      <c r="I3741">
        <v>18</v>
      </c>
      <c r="J3741">
        <f>IF($H3741=0,1,IF($I3741&lt;=1,2,0))</f>
        <v>0</v>
      </c>
      <c r="K3741">
        <v>0</v>
      </c>
      <c r="L3741">
        <f>IF(AND($J3741=0,$K3741=0),0,1)</f>
        <v>0</v>
      </c>
    </row>
    <row r="3742" spans="1:12" x14ac:dyDescent="0.2">
      <c r="A3742" t="s">
        <v>477</v>
      </c>
      <c r="B3742" t="s">
        <v>241</v>
      </c>
      <c r="C3742" t="s">
        <v>9</v>
      </c>
      <c r="D3742">
        <v>1123</v>
      </c>
      <c r="E3742">
        <v>2020</v>
      </c>
      <c r="F3742">
        <v>17</v>
      </c>
      <c r="G3742">
        <v>12155</v>
      </c>
      <c r="H3742" s="1">
        <v>3</v>
      </c>
      <c r="I3742">
        <v>18</v>
      </c>
      <c r="J3742">
        <f>IF($H3742=0,1,IF($I3742&lt;=1,2,0))</f>
        <v>0</v>
      </c>
      <c r="K3742">
        <v>0</v>
      </c>
      <c r="L3742">
        <f>IF(AND($J3742=0,$K3742=0),0,1)</f>
        <v>0</v>
      </c>
    </row>
    <row r="3743" spans="1:12" x14ac:dyDescent="0.2">
      <c r="A3743" t="s">
        <v>477</v>
      </c>
      <c r="B3743" t="s">
        <v>241</v>
      </c>
      <c r="C3743" t="s">
        <v>9</v>
      </c>
      <c r="D3743">
        <v>1123</v>
      </c>
      <c r="E3743">
        <v>2020</v>
      </c>
      <c r="F3743">
        <v>24</v>
      </c>
      <c r="G3743">
        <v>12164</v>
      </c>
      <c r="H3743" s="1">
        <v>3</v>
      </c>
      <c r="I3743">
        <v>18</v>
      </c>
      <c r="J3743">
        <f>IF($H3743=0,1,IF($I3743&lt;=1,2,0))</f>
        <v>0</v>
      </c>
      <c r="K3743">
        <v>0</v>
      </c>
      <c r="L3743">
        <f>IF(AND($J3743=0,$K3743=0),0,1)</f>
        <v>0</v>
      </c>
    </row>
    <row r="3744" spans="1:12" x14ac:dyDescent="0.2">
      <c r="A3744" t="s">
        <v>477</v>
      </c>
      <c r="B3744" t="s">
        <v>241</v>
      </c>
      <c r="C3744" t="s">
        <v>9</v>
      </c>
      <c r="D3744">
        <v>1123</v>
      </c>
      <c r="E3744">
        <v>2020</v>
      </c>
      <c r="F3744">
        <v>13</v>
      </c>
      <c r="G3744">
        <v>12151</v>
      </c>
      <c r="H3744" s="1">
        <v>3</v>
      </c>
      <c r="I3744">
        <v>17</v>
      </c>
      <c r="J3744">
        <f>IF($H3744=0,1,IF($I3744&lt;=1,2,0))</f>
        <v>0</v>
      </c>
      <c r="K3744">
        <v>0</v>
      </c>
      <c r="L3744">
        <f>IF(AND($J3744=0,$K3744=0),0,1)</f>
        <v>0</v>
      </c>
    </row>
    <row r="3745" spans="1:13" x14ac:dyDescent="0.2">
      <c r="A3745" t="s">
        <v>477</v>
      </c>
      <c r="B3745" t="s">
        <v>241</v>
      </c>
      <c r="C3745" t="s">
        <v>9</v>
      </c>
      <c r="D3745">
        <v>1123</v>
      </c>
      <c r="E3745">
        <v>2020</v>
      </c>
      <c r="F3745">
        <v>3</v>
      </c>
      <c r="G3745">
        <v>12141</v>
      </c>
      <c r="H3745" s="1">
        <v>3</v>
      </c>
      <c r="I3745">
        <v>16</v>
      </c>
      <c r="J3745">
        <f>IF($H3745=0,1,IF($I3745&lt;=1,2,0))</f>
        <v>0</v>
      </c>
      <c r="K3745">
        <v>0</v>
      </c>
      <c r="L3745">
        <f>IF(AND($J3745=0,$K3745=0),0,1)</f>
        <v>0</v>
      </c>
    </row>
    <row r="3746" spans="1:13" x14ac:dyDescent="0.2">
      <c r="A3746" t="s">
        <v>477</v>
      </c>
      <c r="B3746" t="s">
        <v>241</v>
      </c>
      <c r="C3746" t="s">
        <v>9</v>
      </c>
      <c r="D3746">
        <v>1123</v>
      </c>
      <c r="E3746">
        <v>2020</v>
      </c>
      <c r="F3746">
        <v>23</v>
      </c>
      <c r="G3746">
        <v>12163</v>
      </c>
      <c r="H3746" s="1">
        <v>3</v>
      </c>
      <c r="I3746">
        <v>9</v>
      </c>
      <c r="J3746">
        <f>IF($H3746=0,1,IF($I3746&lt;=1,2,0))</f>
        <v>0</v>
      </c>
      <c r="K3746">
        <v>0</v>
      </c>
      <c r="L3746">
        <f>IF(AND($J3746=0,$K3746=0),0,1)</f>
        <v>0</v>
      </c>
    </row>
    <row r="3747" spans="1:13" x14ac:dyDescent="0.2">
      <c r="A3747" t="s">
        <v>477</v>
      </c>
      <c r="B3747" t="s">
        <v>241</v>
      </c>
      <c r="C3747" t="s">
        <v>9</v>
      </c>
      <c r="D3747">
        <v>1123</v>
      </c>
      <c r="E3747">
        <v>2020</v>
      </c>
      <c r="F3747">
        <v>25</v>
      </c>
      <c r="G3747">
        <v>12165</v>
      </c>
      <c r="H3747" s="1">
        <v>3</v>
      </c>
      <c r="I3747">
        <v>6</v>
      </c>
      <c r="J3747">
        <f>IF($H3747=0,1,IF($I3747&lt;=1,2,0))</f>
        <v>0</v>
      </c>
      <c r="K3747">
        <v>0</v>
      </c>
      <c r="L3747">
        <f>IF(AND($J3747=0,$K3747=0),0,1)</f>
        <v>0</v>
      </c>
    </row>
    <row r="3748" spans="1:13" x14ac:dyDescent="0.2">
      <c r="A3748" t="s">
        <v>477</v>
      </c>
      <c r="B3748" t="s">
        <v>241</v>
      </c>
      <c r="C3748" t="s">
        <v>1101</v>
      </c>
      <c r="D3748">
        <v>2000</v>
      </c>
      <c r="E3748">
        <v>2020</v>
      </c>
      <c r="F3748">
        <v>2</v>
      </c>
      <c r="G3748">
        <v>20758</v>
      </c>
      <c r="H3748" s="1">
        <v>1</v>
      </c>
      <c r="I3748">
        <v>7</v>
      </c>
      <c r="J3748">
        <f>IF($H3748=0,1,IF($I3748&lt;=1,2,0))</f>
        <v>0</v>
      </c>
      <c r="K3748">
        <v>0</v>
      </c>
      <c r="L3748">
        <f>IF(AND($J3748=0,$K3748=0),0,1)</f>
        <v>0</v>
      </c>
    </row>
    <row r="3749" spans="1:13" x14ac:dyDescent="0.2">
      <c r="A3749" t="s">
        <v>477</v>
      </c>
      <c r="B3749" t="s">
        <v>241</v>
      </c>
      <c r="C3749" t="s">
        <v>1101</v>
      </c>
      <c r="D3749">
        <v>2000</v>
      </c>
      <c r="E3749">
        <v>2020</v>
      </c>
      <c r="F3749">
        <v>1</v>
      </c>
      <c r="G3749">
        <v>20757</v>
      </c>
      <c r="H3749" s="1">
        <v>1</v>
      </c>
      <c r="I3749">
        <v>4</v>
      </c>
      <c r="J3749">
        <f>IF($H3749=0,1,IF($I3749&lt;=1,2,0))</f>
        <v>0</v>
      </c>
      <c r="K3749">
        <v>0</v>
      </c>
      <c r="L3749">
        <f>IF(AND($J3749=0,$K3749=0),0,1)</f>
        <v>0</v>
      </c>
    </row>
    <row r="3750" spans="1:13" x14ac:dyDescent="0.2">
      <c r="A3750" t="s">
        <v>477</v>
      </c>
      <c r="B3750" t="s">
        <v>241</v>
      </c>
      <c r="C3750" t="s">
        <v>11</v>
      </c>
      <c r="D3750">
        <v>6911</v>
      </c>
      <c r="E3750">
        <v>2020</v>
      </c>
      <c r="F3750">
        <v>1</v>
      </c>
      <c r="G3750">
        <v>12173</v>
      </c>
      <c r="H3750" s="1">
        <v>3</v>
      </c>
      <c r="I3750">
        <v>12</v>
      </c>
      <c r="J3750">
        <f>IF($H3750=0,1,IF($I3750&lt;=1,2,0))</f>
        <v>0</v>
      </c>
      <c r="K3750">
        <v>0</v>
      </c>
      <c r="L3750">
        <f>IF(AND($J3750=0,$K3750=0),0,1)</f>
        <v>0</v>
      </c>
    </row>
    <row r="3751" spans="1:13" x14ac:dyDescent="0.2">
      <c r="A3751" t="s">
        <v>477</v>
      </c>
      <c r="B3751" t="s">
        <v>241</v>
      </c>
      <c r="C3751" t="s">
        <v>11</v>
      </c>
      <c r="D3751">
        <v>6913</v>
      </c>
      <c r="E3751">
        <v>2020</v>
      </c>
      <c r="F3751">
        <v>1</v>
      </c>
      <c r="G3751">
        <v>21527</v>
      </c>
      <c r="H3751" s="1">
        <v>3</v>
      </c>
      <c r="I3751">
        <v>10</v>
      </c>
      <c r="J3751">
        <f>IF($H3751=0,1,IF($I3751&lt;=1,2,0))</f>
        <v>0</v>
      </c>
      <c r="K3751">
        <v>0</v>
      </c>
      <c r="L3751">
        <f>IF(AND($J3751=0,$K3751=0),0,1)</f>
        <v>0</v>
      </c>
    </row>
    <row r="3752" spans="1:13" x14ac:dyDescent="0.2">
      <c r="A3752" t="s">
        <v>482</v>
      </c>
      <c r="B3752" t="s">
        <v>71</v>
      </c>
      <c r="C3752" t="s">
        <v>72</v>
      </c>
      <c r="D3752">
        <v>4200</v>
      </c>
      <c r="E3752">
        <v>2020</v>
      </c>
      <c r="F3752">
        <v>2</v>
      </c>
      <c r="G3752">
        <v>11353</v>
      </c>
      <c r="H3752" s="1">
        <v>3</v>
      </c>
      <c r="I3752">
        <v>37</v>
      </c>
      <c r="J3752">
        <f>IF($H3752=0,1,IF($I3752&lt;=1,2,0))</f>
        <v>0</v>
      </c>
      <c r="K3752">
        <v>0</v>
      </c>
      <c r="L3752">
        <f>IF(AND($J3752=0,$K3752=0),0,1)</f>
        <v>0</v>
      </c>
      <c r="M3752" t="s">
        <v>1102</v>
      </c>
    </row>
    <row r="3753" spans="1:13" x14ac:dyDescent="0.2">
      <c r="A3753" t="s">
        <v>483</v>
      </c>
      <c r="B3753" t="s">
        <v>71</v>
      </c>
      <c r="C3753" t="s">
        <v>72</v>
      </c>
      <c r="D3753">
        <v>2261</v>
      </c>
      <c r="E3753">
        <v>2020</v>
      </c>
      <c r="F3753">
        <v>1</v>
      </c>
      <c r="G3753">
        <v>11352</v>
      </c>
      <c r="H3753" s="1">
        <v>3</v>
      </c>
      <c r="I3753">
        <v>86</v>
      </c>
      <c r="J3753">
        <f>IF($H3753=0,1,IF($I3753&lt;=1,2,0))</f>
        <v>0</v>
      </c>
      <c r="K3753">
        <v>0</v>
      </c>
      <c r="L3753">
        <f>IF(AND($J3753=0,$K3753=0),0,1)</f>
        <v>0</v>
      </c>
    </row>
    <row r="3754" spans="1:13" x14ac:dyDescent="0.2">
      <c r="A3754" t="s">
        <v>483</v>
      </c>
      <c r="B3754" t="s">
        <v>71</v>
      </c>
      <c r="C3754" t="s">
        <v>72</v>
      </c>
      <c r="D3754">
        <v>3106</v>
      </c>
      <c r="E3754">
        <v>2020</v>
      </c>
      <c r="F3754">
        <v>1</v>
      </c>
      <c r="G3754">
        <v>11355</v>
      </c>
      <c r="H3754" s="1">
        <v>3</v>
      </c>
      <c r="I3754">
        <v>85</v>
      </c>
      <c r="J3754">
        <f>IF($H3754=0,1,IF($I3754&lt;=1,2,0))</f>
        <v>0</v>
      </c>
      <c r="K3754">
        <v>0</v>
      </c>
      <c r="L3754">
        <f>IF(AND($J3754=0,$K3754=0),0,1)</f>
        <v>0</v>
      </c>
    </row>
    <row r="3755" spans="1:13" x14ac:dyDescent="0.2">
      <c r="A3755" t="s">
        <v>483</v>
      </c>
      <c r="B3755" t="s">
        <v>71</v>
      </c>
      <c r="C3755" t="s">
        <v>72</v>
      </c>
      <c r="D3755">
        <v>3608</v>
      </c>
      <c r="E3755">
        <v>2020</v>
      </c>
      <c r="F3755">
        <v>1</v>
      </c>
      <c r="G3755">
        <v>12862</v>
      </c>
      <c r="H3755" s="1">
        <v>3</v>
      </c>
      <c r="I3755">
        <v>83</v>
      </c>
      <c r="J3755">
        <f>IF($H3755=0,1,IF($I3755&lt;=1,2,0))</f>
        <v>0</v>
      </c>
      <c r="K3755">
        <v>0</v>
      </c>
      <c r="L3755">
        <f>IF(AND($J3755=0,$K3755=0),0,1)</f>
        <v>0</v>
      </c>
    </row>
    <row r="3756" spans="1:13" x14ac:dyDescent="0.2">
      <c r="A3756" t="s">
        <v>483</v>
      </c>
      <c r="B3756" t="s">
        <v>71</v>
      </c>
      <c r="C3756" t="s">
        <v>72</v>
      </c>
      <c r="D3756">
        <v>3658</v>
      </c>
      <c r="E3756">
        <v>2020</v>
      </c>
      <c r="F3756">
        <v>1</v>
      </c>
      <c r="G3756">
        <v>11359</v>
      </c>
      <c r="H3756" s="1">
        <v>3</v>
      </c>
      <c r="I3756">
        <v>88</v>
      </c>
      <c r="J3756">
        <f>IF($H3756=0,1,IF($I3756&lt;=1,2,0))</f>
        <v>0</v>
      </c>
      <c r="K3756">
        <v>0</v>
      </c>
      <c r="L3756">
        <f>IF(AND($J3756=0,$K3756=0),0,1)</f>
        <v>0</v>
      </c>
    </row>
    <row r="3757" spans="1:13" x14ac:dyDescent="0.2">
      <c r="A3757" t="s">
        <v>483</v>
      </c>
      <c r="B3757" t="s">
        <v>71</v>
      </c>
      <c r="C3757" t="s">
        <v>72</v>
      </c>
      <c r="D3757">
        <v>4003</v>
      </c>
      <c r="E3757">
        <v>2020</v>
      </c>
      <c r="F3757">
        <v>1</v>
      </c>
      <c r="G3757">
        <v>11375</v>
      </c>
      <c r="H3757" s="1">
        <v>3</v>
      </c>
      <c r="I3757">
        <v>92</v>
      </c>
      <c r="J3757">
        <f>IF($H3757=0,1,IF($I3757&lt;=1,2,0))</f>
        <v>0</v>
      </c>
      <c r="K3757">
        <v>0</v>
      </c>
      <c r="L3757">
        <f>IF(AND($J3757=0,$K3757=0),0,1)</f>
        <v>0</v>
      </c>
    </row>
    <row r="3758" spans="1:13" x14ac:dyDescent="0.2">
      <c r="A3758" t="s">
        <v>483</v>
      </c>
      <c r="B3758" t="s">
        <v>71</v>
      </c>
      <c r="C3758" t="s">
        <v>72</v>
      </c>
      <c r="D3758">
        <v>4004</v>
      </c>
      <c r="E3758">
        <v>2020</v>
      </c>
      <c r="F3758">
        <v>3</v>
      </c>
      <c r="G3758">
        <v>11385</v>
      </c>
      <c r="H3758" s="1">
        <v>3</v>
      </c>
      <c r="I3758">
        <v>112</v>
      </c>
      <c r="J3758">
        <f>IF($H3758=0,1,IF($I3758&lt;=1,2,0))</f>
        <v>0</v>
      </c>
      <c r="K3758">
        <v>0</v>
      </c>
      <c r="L3758">
        <f>IF(AND($J3758=0,$K3758=0),0,1)</f>
        <v>0</v>
      </c>
    </row>
    <row r="3759" spans="1:13" x14ac:dyDescent="0.2">
      <c r="A3759" t="s">
        <v>483</v>
      </c>
      <c r="B3759" t="s">
        <v>71</v>
      </c>
      <c r="C3759" t="s">
        <v>72</v>
      </c>
      <c r="D3759">
        <v>4004</v>
      </c>
      <c r="E3759">
        <v>2020</v>
      </c>
      <c r="F3759">
        <v>1</v>
      </c>
      <c r="G3759">
        <v>11378</v>
      </c>
      <c r="H3759" s="1">
        <v>3</v>
      </c>
      <c r="I3759">
        <v>67</v>
      </c>
      <c r="J3759">
        <f>IF($H3759=0,1,IF($I3759&lt;=1,2,0))</f>
        <v>0</v>
      </c>
      <c r="K3759">
        <v>0</v>
      </c>
      <c r="L3759">
        <f>IF(AND($J3759=0,$K3759=0),0,1)</f>
        <v>0</v>
      </c>
    </row>
    <row r="3760" spans="1:13" x14ac:dyDescent="0.2">
      <c r="A3760" t="s">
        <v>483</v>
      </c>
      <c r="B3760" t="s">
        <v>71</v>
      </c>
      <c r="C3760" t="s">
        <v>72</v>
      </c>
      <c r="D3760">
        <v>4004</v>
      </c>
      <c r="E3760">
        <v>2020</v>
      </c>
      <c r="F3760">
        <v>2</v>
      </c>
      <c r="G3760">
        <v>11384</v>
      </c>
      <c r="H3760" s="1">
        <v>3</v>
      </c>
      <c r="I3760">
        <v>59</v>
      </c>
      <c r="J3760">
        <f>IF($H3760=0,1,IF($I3760&lt;=1,2,0))</f>
        <v>0</v>
      </c>
      <c r="K3760">
        <v>0</v>
      </c>
      <c r="L3760">
        <f>IF(AND($J3760=0,$K3760=0),0,1)</f>
        <v>0</v>
      </c>
    </row>
    <row r="3761" spans="1:13" x14ac:dyDescent="0.2">
      <c r="A3761" t="s">
        <v>483</v>
      </c>
      <c r="B3761" t="s">
        <v>71</v>
      </c>
      <c r="C3761" t="s">
        <v>72</v>
      </c>
      <c r="D3761">
        <v>4004</v>
      </c>
      <c r="E3761">
        <v>2020</v>
      </c>
      <c r="F3761" t="s">
        <v>250</v>
      </c>
      <c r="G3761">
        <v>21585</v>
      </c>
      <c r="H3761" s="1">
        <v>3</v>
      </c>
      <c r="I3761">
        <v>9</v>
      </c>
      <c r="J3761">
        <f>IF($H3761=0,1,IF($I3761&lt;=1,2,0))</f>
        <v>0</v>
      </c>
      <c r="K3761">
        <v>0</v>
      </c>
      <c r="L3761">
        <f>IF(AND($J3761=0,$K3761=0),0,1)</f>
        <v>0</v>
      </c>
      <c r="M3761" t="s">
        <v>85</v>
      </c>
    </row>
    <row r="3762" spans="1:13" x14ac:dyDescent="0.2">
      <c r="A3762" t="s">
        <v>483</v>
      </c>
      <c r="B3762" t="s">
        <v>71</v>
      </c>
      <c r="C3762" t="s">
        <v>72</v>
      </c>
      <c r="D3762">
        <v>4100</v>
      </c>
      <c r="E3762">
        <v>2020</v>
      </c>
      <c r="F3762">
        <v>1</v>
      </c>
      <c r="G3762">
        <v>11396</v>
      </c>
      <c r="H3762" s="1">
        <v>1.5</v>
      </c>
      <c r="I3762">
        <v>12</v>
      </c>
      <c r="J3762">
        <f>IF($H3762=0,1,IF($I3762&lt;=1,2,0))</f>
        <v>0</v>
      </c>
      <c r="K3762">
        <v>0</v>
      </c>
      <c r="L3762">
        <f>IF(AND($J3762=0,$K3762=0),0,1)</f>
        <v>0</v>
      </c>
    </row>
    <row r="3763" spans="1:13" x14ac:dyDescent="0.2">
      <c r="A3763" t="s">
        <v>483</v>
      </c>
      <c r="B3763" t="s">
        <v>71</v>
      </c>
      <c r="C3763" t="s">
        <v>72</v>
      </c>
      <c r="D3763">
        <v>4106</v>
      </c>
      <c r="E3763">
        <v>2020</v>
      </c>
      <c r="F3763">
        <v>1</v>
      </c>
      <c r="G3763">
        <v>11437</v>
      </c>
      <c r="H3763" s="1">
        <v>3</v>
      </c>
      <c r="I3763">
        <v>95</v>
      </c>
      <c r="J3763">
        <f>IF($H3763=0,1,IF($I3763&lt;=1,2,0))</f>
        <v>0</v>
      </c>
      <c r="K3763">
        <v>0</v>
      </c>
      <c r="L3763">
        <f>IF(AND($J3763=0,$K3763=0),0,1)</f>
        <v>0</v>
      </c>
    </row>
    <row r="3764" spans="1:13" x14ac:dyDescent="0.2">
      <c r="A3764" t="s">
        <v>483</v>
      </c>
      <c r="B3764" t="s">
        <v>71</v>
      </c>
      <c r="C3764" t="s">
        <v>72</v>
      </c>
      <c r="D3764">
        <v>4150</v>
      </c>
      <c r="E3764">
        <v>2020</v>
      </c>
      <c r="F3764">
        <v>1</v>
      </c>
      <c r="G3764">
        <v>11451</v>
      </c>
      <c r="H3764" s="1">
        <v>3</v>
      </c>
      <c r="I3764">
        <v>53</v>
      </c>
      <c r="J3764">
        <f>IF($H3764=0,1,IF($I3764&lt;=1,2,0))</f>
        <v>0</v>
      </c>
      <c r="K3764">
        <v>0</v>
      </c>
      <c r="L3764">
        <f>IF(AND($J3764=0,$K3764=0),0,1)</f>
        <v>0</v>
      </c>
    </row>
    <row r="3765" spans="1:13" x14ac:dyDescent="0.2">
      <c r="A3765" t="s">
        <v>483</v>
      </c>
      <c r="B3765" t="s">
        <v>71</v>
      </c>
      <c r="C3765" t="s">
        <v>72</v>
      </c>
      <c r="D3765">
        <v>4150</v>
      </c>
      <c r="E3765">
        <v>2020</v>
      </c>
      <c r="F3765">
        <v>2</v>
      </c>
      <c r="G3765">
        <v>21437</v>
      </c>
      <c r="H3765" s="1">
        <v>3</v>
      </c>
      <c r="I3765">
        <v>38</v>
      </c>
      <c r="J3765">
        <f>IF($H3765=0,1,IF($I3765&lt;=1,2,0))</f>
        <v>0</v>
      </c>
      <c r="K3765">
        <v>0</v>
      </c>
      <c r="L3765">
        <f>IF(AND($J3765=0,$K3765=0),0,1)</f>
        <v>0</v>
      </c>
    </row>
    <row r="3766" spans="1:13" x14ac:dyDescent="0.2">
      <c r="A3766" t="s">
        <v>483</v>
      </c>
      <c r="B3766" t="s">
        <v>71</v>
      </c>
      <c r="C3766" t="s">
        <v>72</v>
      </c>
      <c r="D3766">
        <v>4150</v>
      </c>
      <c r="E3766">
        <v>2020</v>
      </c>
      <c r="F3766" t="s">
        <v>87</v>
      </c>
      <c r="G3766">
        <v>21887</v>
      </c>
      <c r="H3766" s="1">
        <v>3</v>
      </c>
      <c r="I3766">
        <v>13</v>
      </c>
      <c r="J3766">
        <f>IF($H3766=0,1,IF($I3766&lt;=1,2,0))</f>
        <v>0</v>
      </c>
      <c r="K3766">
        <v>0</v>
      </c>
      <c r="L3766">
        <f>IF(AND($J3766=0,$K3766=0),0,1)</f>
        <v>0</v>
      </c>
      <c r="M3766" t="s">
        <v>85</v>
      </c>
    </row>
    <row r="3767" spans="1:13" x14ac:dyDescent="0.2">
      <c r="A3767" t="s">
        <v>483</v>
      </c>
      <c r="B3767" t="s">
        <v>71</v>
      </c>
      <c r="C3767" t="s">
        <v>72</v>
      </c>
      <c r="D3767">
        <v>4177</v>
      </c>
      <c r="E3767">
        <v>2020</v>
      </c>
      <c r="F3767">
        <v>1</v>
      </c>
      <c r="G3767">
        <v>22869</v>
      </c>
      <c r="H3767" s="1">
        <v>3</v>
      </c>
      <c r="I3767">
        <v>23</v>
      </c>
      <c r="J3767">
        <f>IF($H3767=0,1,IF($I3767&lt;=1,2,0))</f>
        <v>0</v>
      </c>
      <c r="K3767">
        <v>0</v>
      </c>
      <c r="L3767">
        <f>IF(AND($J3767=0,$K3767=0),0,1)</f>
        <v>0</v>
      </c>
      <c r="M3767" t="s">
        <v>1104</v>
      </c>
    </row>
    <row r="3768" spans="1:13" x14ac:dyDescent="0.2">
      <c r="A3768" t="s">
        <v>483</v>
      </c>
      <c r="B3768" t="s">
        <v>71</v>
      </c>
      <c r="C3768" t="s">
        <v>72</v>
      </c>
      <c r="D3768">
        <v>4207</v>
      </c>
      <c r="E3768">
        <v>2020</v>
      </c>
      <c r="F3768">
        <v>1</v>
      </c>
      <c r="G3768">
        <v>11456</v>
      </c>
      <c r="H3768" s="1">
        <v>3</v>
      </c>
      <c r="I3768">
        <v>19</v>
      </c>
      <c r="J3768">
        <f>IF($H3768=0,1,IF($I3768&lt;=1,2,0))</f>
        <v>0</v>
      </c>
      <c r="K3768">
        <v>0</v>
      </c>
      <c r="L3768">
        <f>IF(AND($J3768=0,$K3768=0),0,1)</f>
        <v>0</v>
      </c>
    </row>
    <row r="3769" spans="1:13" x14ac:dyDescent="0.2">
      <c r="A3769" t="s">
        <v>483</v>
      </c>
      <c r="B3769" t="s">
        <v>71</v>
      </c>
      <c r="C3769" t="s">
        <v>72</v>
      </c>
      <c r="D3769">
        <v>4212</v>
      </c>
      <c r="E3769">
        <v>2020</v>
      </c>
      <c r="F3769">
        <v>1</v>
      </c>
      <c r="G3769">
        <v>11463</v>
      </c>
      <c r="H3769" s="1">
        <v>3</v>
      </c>
      <c r="I3769">
        <v>43</v>
      </c>
      <c r="J3769">
        <f>IF($H3769=0,1,IF($I3769&lt;=1,2,0))</f>
        <v>0</v>
      </c>
      <c r="K3769">
        <v>0</v>
      </c>
      <c r="L3769">
        <f>IF(AND($J3769=0,$K3769=0),0,1)</f>
        <v>0</v>
      </c>
    </row>
    <row r="3770" spans="1:13" x14ac:dyDescent="0.2">
      <c r="A3770" t="s">
        <v>483</v>
      </c>
      <c r="B3770" t="s">
        <v>71</v>
      </c>
      <c r="C3770" t="s">
        <v>72</v>
      </c>
      <c r="D3770">
        <v>4307</v>
      </c>
      <c r="E3770">
        <v>2020</v>
      </c>
      <c r="F3770">
        <v>1</v>
      </c>
      <c r="G3770">
        <v>11469</v>
      </c>
      <c r="H3770" s="1">
        <v>3</v>
      </c>
      <c r="I3770">
        <v>72</v>
      </c>
      <c r="J3770">
        <f>IF($H3770=0,1,IF($I3770&lt;=1,2,0))</f>
        <v>0</v>
      </c>
      <c r="K3770">
        <v>0</v>
      </c>
      <c r="L3770">
        <f>IF(AND($J3770=0,$K3770=0),0,1)</f>
        <v>0</v>
      </c>
    </row>
    <row r="3771" spans="1:13" x14ac:dyDescent="0.2">
      <c r="A3771" t="s">
        <v>483</v>
      </c>
      <c r="B3771" t="s">
        <v>71</v>
      </c>
      <c r="C3771" t="s">
        <v>72</v>
      </c>
      <c r="D3771">
        <v>4311</v>
      </c>
      <c r="E3771">
        <v>2020</v>
      </c>
      <c r="F3771">
        <v>1</v>
      </c>
      <c r="G3771">
        <v>12863</v>
      </c>
      <c r="H3771" s="1">
        <v>1.5</v>
      </c>
      <c r="I3771">
        <v>47</v>
      </c>
      <c r="J3771">
        <f>IF($H3771=0,1,IF($I3771&lt;=1,2,0))</f>
        <v>0</v>
      </c>
      <c r="K3771">
        <v>0</v>
      </c>
      <c r="L3771">
        <f>IF(AND($J3771=0,$K3771=0),0,1)</f>
        <v>0</v>
      </c>
    </row>
    <row r="3772" spans="1:13" x14ac:dyDescent="0.2">
      <c r="A3772" t="s">
        <v>483</v>
      </c>
      <c r="B3772" t="s">
        <v>71</v>
      </c>
      <c r="C3772" t="s">
        <v>72</v>
      </c>
      <c r="D3772">
        <v>4402</v>
      </c>
      <c r="E3772">
        <v>2020</v>
      </c>
      <c r="F3772">
        <v>1</v>
      </c>
      <c r="G3772">
        <v>13872</v>
      </c>
      <c r="H3772" s="1">
        <v>3</v>
      </c>
      <c r="I3772">
        <v>101</v>
      </c>
      <c r="J3772">
        <f>IF($H3772=0,1,IF($I3772&lt;=1,2,0))</f>
        <v>0</v>
      </c>
      <c r="K3772">
        <v>0</v>
      </c>
      <c r="L3772">
        <f>IF(AND($J3772=0,$K3772=0),0,1)</f>
        <v>0</v>
      </c>
      <c r="M3772" t="s">
        <v>1105</v>
      </c>
    </row>
    <row r="3773" spans="1:13" x14ac:dyDescent="0.2">
      <c r="A3773" t="s">
        <v>483</v>
      </c>
      <c r="B3773" t="s">
        <v>71</v>
      </c>
      <c r="C3773" t="s">
        <v>72</v>
      </c>
      <c r="D3773">
        <v>4404</v>
      </c>
      <c r="E3773">
        <v>2020</v>
      </c>
      <c r="F3773">
        <v>1</v>
      </c>
      <c r="G3773">
        <v>11481</v>
      </c>
      <c r="H3773" s="1">
        <v>3</v>
      </c>
      <c r="I3773">
        <v>73</v>
      </c>
      <c r="J3773">
        <f>IF($H3773=0,1,IF($I3773&lt;=1,2,0))</f>
        <v>0</v>
      </c>
      <c r="K3773">
        <v>0</v>
      </c>
      <c r="L3773">
        <f>IF(AND($J3773=0,$K3773=0),0,1)</f>
        <v>0</v>
      </c>
    </row>
    <row r="3774" spans="1:13" x14ac:dyDescent="0.2">
      <c r="A3774" t="s">
        <v>483</v>
      </c>
      <c r="B3774" t="s">
        <v>71</v>
      </c>
      <c r="C3774" t="s">
        <v>72</v>
      </c>
      <c r="D3774">
        <v>4404</v>
      </c>
      <c r="E3774">
        <v>2020</v>
      </c>
      <c r="F3774" t="s">
        <v>87</v>
      </c>
      <c r="G3774">
        <v>21589</v>
      </c>
      <c r="H3774" s="1">
        <v>3</v>
      </c>
      <c r="I3774">
        <v>2</v>
      </c>
      <c r="J3774">
        <f>IF($H3774=0,1,IF($I3774&lt;=1,2,0))</f>
        <v>0</v>
      </c>
      <c r="K3774">
        <v>0</v>
      </c>
      <c r="L3774">
        <f>IF(AND($J3774=0,$K3774=0),0,1)</f>
        <v>0</v>
      </c>
      <c r="M3774" t="s">
        <v>85</v>
      </c>
    </row>
    <row r="3775" spans="1:13" x14ac:dyDescent="0.2">
      <c r="A3775" t="s">
        <v>483</v>
      </c>
      <c r="B3775" t="s">
        <v>71</v>
      </c>
      <c r="C3775" t="s">
        <v>72</v>
      </c>
      <c r="D3775">
        <v>4407</v>
      </c>
      <c r="E3775">
        <v>2020</v>
      </c>
      <c r="F3775">
        <v>1</v>
      </c>
      <c r="G3775">
        <v>11486</v>
      </c>
      <c r="H3775" s="1">
        <v>3</v>
      </c>
      <c r="I3775">
        <v>65</v>
      </c>
      <c r="J3775">
        <f>IF($H3775=0,1,IF($I3775&lt;=1,2,0))</f>
        <v>0</v>
      </c>
      <c r="K3775">
        <v>0</v>
      </c>
      <c r="L3775">
        <f>IF(AND($J3775=0,$K3775=0),0,1)</f>
        <v>0</v>
      </c>
    </row>
    <row r="3776" spans="1:13" x14ac:dyDescent="0.2">
      <c r="A3776" t="s">
        <v>483</v>
      </c>
      <c r="B3776" t="s">
        <v>71</v>
      </c>
      <c r="C3776" t="s">
        <v>72</v>
      </c>
      <c r="D3776">
        <v>4407</v>
      </c>
      <c r="E3776">
        <v>2020</v>
      </c>
      <c r="F3776" t="s">
        <v>84</v>
      </c>
      <c r="G3776">
        <v>22262</v>
      </c>
      <c r="H3776" s="1">
        <v>3</v>
      </c>
      <c r="I3776">
        <v>2</v>
      </c>
      <c r="J3776">
        <f>IF($H3776=0,1,IF($I3776&lt;=1,2,0))</f>
        <v>0</v>
      </c>
      <c r="K3776">
        <v>0</v>
      </c>
      <c r="L3776">
        <f>IF(AND($J3776=0,$K3776=0),0,1)</f>
        <v>0</v>
      </c>
      <c r="M3776" t="s">
        <v>85</v>
      </c>
    </row>
    <row r="3777" spans="1:13" x14ac:dyDescent="0.2">
      <c r="A3777" t="s">
        <v>483</v>
      </c>
      <c r="B3777" t="s">
        <v>71</v>
      </c>
      <c r="C3777" t="s">
        <v>72</v>
      </c>
      <c r="D3777">
        <v>4500</v>
      </c>
      <c r="E3777">
        <v>2020</v>
      </c>
      <c r="F3777">
        <v>1</v>
      </c>
      <c r="G3777">
        <v>11489</v>
      </c>
      <c r="H3777" s="1">
        <v>3</v>
      </c>
      <c r="I3777">
        <v>38</v>
      </c>
      <c r="J3777">
        <f>IF($H3777=0,1,IF($I3777&lt;=1,2,0))</f>
        <v>0</v>
      </c>
      <c r="K3777">
        <v>0</v>
      </c>
      <c r="L3777">
        <f>IF(AND($J3777=0,$K3777=0),0,1)</f>
        <v>0</v>
      </c>
    </row>
    <row r="3778" spans="1:13" x14ac:dyDescent="0.2">
      <c r="A3778" t="s">
        <v>483</v>
      </c>
      <c r="B3778" t="s">
        <v>71</v>
      </c>
      <c r="C3778" t="s">
        <v>72</v>
      </c>
      <c r="D3778">
        <v>4501</v>
      </c>
      <c r="E3778">
        <v>2020</v>
      </c>
      <c r="F3778">
        <v>1</v>
      </c>
      <c r="G3778">
        <v>11492</v>
      </c>
      <c r="H3778" s="1">
        <v>3</v>
      </c>
      <c r="I3778">
        <v>136</v>
      </c>
      <c r="J3778">
        <f>IF($H3778=0,1,IF($I3778&lt;=1,2,0))</f>
        <v>0</v>
      </c>
      <c r="K3778">
        <v>0</v>
      </c>
      <c r="L3778">
        <f>IF(AND($J3778=0,$K3778=0),0,1)</f>
        <v>0</v>
      </c>
      <c r="M3778" t="s">
        <v>1106</v>
      </c>
    </row>
    <row r="3779" spans="1:13" x14ac:dyDescent="0.2">
      <c r="A3779" t="s">
        <v>483</v>
      </c>
      <c r="B3779" t="s">
        <v>71</v>
      </c>
      <c r="C3779" t="s">
        <v>72</v>
      </c>
      <c r="D3779">
        <v>4501</v>
      </c>
      <c r="E3779">
        <v>2020</v>
      </c>
      <c r="F3779" t="s">
        <v>84</v>
      </c>
      <c r="G3779">
        <v>21897</v>
      </c>
      <c r="H3779" s="1">
        <v>3</v>
      </c>
      <c r="I3779">
        <v>3</v>
      </c>
      <c r="J3779">
        <f>IF($H3779=0,1,IF($I3779&lt;=1,2,0))</f>
        <v>0</v>
      </c>
      <c r="K3779">
        <v>0</v>
      </c>
      <c r="L3779">
        <f>IF(AND($J3779=0,$K3779=0),0,1)</f>
        <v>0</v>
      </c>
      <c r="M3779" t="s">
        <v>85</v>
      </c>
    </row>
    <row r="3780" spans="1:13" x14ac:dyDescent="0.2">
      <c r="A3780" t="s">
        <v>483</v>
      </c>
      <c r="B3780" t="s">
        <v>71</v>
      </c>
      <c r="C3780" t="s">
        <v>72</v>
      </c>
      <c r="D3780">
        <v>4506</v>
      </c>
      <c r="E3780">
        <v>2020</v>
      </c>
      <c r="F3780">
        <v>1</v>
      </c>
      <c r="G3780">
        <v>11516</v>
      </c>
      <c r="H3780" s="1">
        <v>3</v>
      </c>
      <c r="I3780">
        <v>64</v>
      </c>
      <c r="J3780">
        <f>IF($H3780=0,1,IF($I3780&lt;=1,2,0))</f>
        <v>0</v>
      </c>
      <c r="K3780">
        <v>0</v>
      </c>
      <c r="L3780">
        <f>IF(AND($J3780=0,$K3780=0),0,1)</f>
        <v>0</v>
      </c>
    </row>
    <row r="3781" spans="1:13" x14ac:dyDescent="0.2">
      <c r="A3781" t="s">
        <v>483</v>
      </c>
      <c r="B3781" t="s">
        <v>71</v>
      </c>
      <c r="C3781" t="s">
        <v>72</v>
      </c>
      <c r="D3781">
        <v>4507</v>
      </c>
      <c r="E3781">
        <v>2020</v>
      </c>
      <c r="F3781">
        <v>1</v>
      </c>
      <c r="G3781">
        <v>11528</v>
      </c>
      <c r="H3781" s="1">
        <v>3</v>
      </c>
      <c r="I3781">
        <v>46</v>
      </c>
      <c r="J3781">
        <f>IF($H3781=0,1,IF($I3781&lt;=1,2,0))</f>
        <v>0</v>
      </c>
      <c r="K3781">
        <v>0</v>
      </c>
      <c r="L3781">
        <f>IF(AND($J3781=0,$K3781=0),0,1)</f>
        <v>0</v>
      </c>
    </row>
    <row r="3782" spans="1:13" x14ac:dyDescent="0.2">
      <c r="A3782" t="s">
        <v>483</v>
      </c>
      <c r="B3782" t="s">
        <v>71</v>
      </c>
      <c r="C3782" t="s">
        <v>72</v>
      </c>
      <c r="D3782">
        <v>4525</v>
      </c>
      <c r="E3782">
        <v>2020</v>
      </c>
      <c r="F3782">
        <v>1</v>
      </c>
      <c r="G3782">
        <v>11566</v>
      </c>
      <c r="H3782" s="1">
        <v>3</v>
      </c>
      <c r="I3782">
        <v>103</v>
      </c>
      <c r="J3782">
        <f>IF($H3782=0,1,IF($I3782&lt;=1,2,0))</f>
        <v>0</v>
      </c>
      <c r="K3782">
        <v>0</v>
      </c>
      <c r="L3782">
        <f>IF(AND($J3782=0,$K3782=0),0,1)</f>
        <v>0</v>
      </c>
    </row>
    <row r="3783" spans="1:13" x14ac:dyDescent="0.2">
      <c r="A3783" t="s">
        <v>483</v>
      </c>
      <c r="B3783" t="s">
        <v>71</v>
      </c>
      <c r="C3783" t="s">
        <v>72</v>
      </c>
      <c r="D3783">
        <v>4540</v>
      </c>
      <c r="E3783">
        <v>2020</v>
      </c>
      <c r="F3783">
        <v>1</v>
      </c>
      <c r="G3783">
        <v>11568</v>
      </c>
      <c r="H3783" s="1">
        <v>3</v>
      </c>
      <c r="I3783">
        <v>20</v>
      </c>
      <c r="J3783">
        <f>IF($H3783=0,1,IF($I3783&lt;=1,2,0))</f>
        <v>0</v>
      </c>
      <c r="K3783">
        <v>0</v>
      </c>
      <c r="L3783">
        <f>IF(AND($J3783=0,$K3783=0),0,1)</f>
        <v>0</v>
      </c>
    </row>
    <row r="3784" spans="1:13" x14ac:dyDescent="0.2">
      <c r="A3784" t="s">
        <v>483</v>
      </c>
      <c r="B3784" t="s">
        <v>71</v>
      </c>
      <c r="C3784" t="s">
        <v>72</v>
      </c>
      <c r="D3784">
        <v>4550</v>
      </c>
      <c r="E3784">
        <v>2020</v>
      </c>
      <c r="F3784">
        <v>1</v>
      </c>
      <c r="G3784">
        <v>11569</v>
      </c>
      <c r="H3784" s="1">
        <v>3</v>
      </c>
      <c r="I3784">
        <v>29</v>
      </c>
      <c r="J3784">
        <f>IF($H3784=0,1,IF($I3784&lt;=1,2,0))</f>
        <v>0</v>
      </c>
      <c r="K3784">
        <v>0</v>
      </c>
      <c r="L3784">
        <f>IF(AND($J3784=0,$K3784=0),0,1)</f>
        <v>0</v>
      </c>
    </row>
    <row r="3785" spans="1:13" x14ac:dyDescent="0.2">
      <c r="A3785" t="s">
        <v>483</v>
      </c>
      <c r="B3785" t="s">
        <v>71</v>
      </c>
      <c r="C3785" t="s">
        <v>72</v>
      </c>
      <c r="D3785">
        <v>4570</v>
      </c>
      <c r="E3785">
        <v>2020</v>
      </c>
      <c r="F3785">
        <v>1</v>
      </c>
      <c r="G3785">
        <v>13896</v>
      </c>
      <c r="H3785" s="1">
        <v>1.5</v>
      </c>
      <c r="I3785">
        <v>25</v>
      </c>
      <c r="J3785">
        <f>IF($H3785=0,1,IF($I3785&lt;=1,2,0))</f>
        <v>0</v>
      </c>
      <c r="K3785">
        <v>0</v>
      </c>
      <c r="L3785">
        <f>IF(AND($J3785=0,$K3785=0),0,1)</f>
        <v>0</v>
      </c>
      <c r="M3785" t="s">
        <v>1108</v>
      </c>
    </row>
    <row r="3786" spans="1:13" x14ac:dyDescent="0.2">
      <c r="A3786" t="s">
        <v>483</v>
      </c>
      <c r="B3786" t="s">
        <v>71</v>
      </c>
      <c r="C3786" t="s">
        <v>72</v>
      </c>
      <c r="D3786">
        <v>4571</v>
      </c>
      <c r="E3786">
        <v>2020</v>
      </c>
      <c r="F3786">
        <v>1</v>
      </c>
      <c r="G3786">
        <v>21450</v>
      </c>
      <c r="H3786" s="1">
        <v>3</v>
      </c>
      <c r="I3786">
        <v>79</v>
      </c>
      <c r="J3786">
        <f>IF($H3786=0,1,IF($I3786&lt;=1,2,0))</f>
        <v>0</v>
      </c>
      <c r="K3786">
        <v>0</v>
      </c>
      <c r="L3786">
        <f>IF(AND($J3786=0,$K3786=0),0,1)</f>
        <v>0</v>
      </c>
    </row>
    <row r="3787" spans="1:13" x14ac:dyDescent="0.2">
      <c r="A3787" t="s">
        <v>483</v>
      </c>
      <c r="B3787" t="s">
        <v>71</v>
      </c>
      <c r="C3787" t="s">
        <v>72</v>
      </c>
      <c r="D3787">
        <v>4572</v>
      </c>
      <c r="E3787">
        <v>2020</v>
      </c>
      <c r="F3787">
        <v>1</v>
      </c>
      <c r="G3787">
        <v>11571</v>
      </c>
      <c r="H3787" s="1">
        <v>1.5</v>
      </c>
      <c r="I3787">
        <v>32</v>
      </c>
      <c r="J3787">
        <f>IF($H3787=0,1,IF($I3787&lt;=1,2,0))</f>
        <v>0</v>
      </c>
      <c r="K3787">
        <v>0</v>
      </c>
      <c r="L3787">
        <f>IF(AND($J3787=0,$K3787=0),0,1)</f>
        <v>0</v>
      </c>
      <c r="M3787" t="s">
        <v>1109</v>
      </c>
    </row>
    <row r="3788" spans="1:13" x14ac:dyDescent="0.2">
      <c r="A3788" t="s">
        <v>483</v>
      </c>
      <c r="B3788" t="s">
        <v>71</v>
      </c>
      <c r="C3788" t="s">
        <v>72</v>
      </c>
      <c r="D3788">
        <v>4578</v>
      </c>
      <c r="E3788">
        <v>2020</v>
      </c>
      <c r="F3788">
        <v>1</v>
      </c>
      <c r="G3788">
        <v>22051</v>
      </c>
      <c r="H3788" s="1">
        <v>3</v>
      </c>
      <c r="I3788">
        <v>33</v>
      </c>
      <c r="J3788">
        <f>IF($H3788=0,1,IF($I3788&lt;=1,2,0))</f>
        <v>0</v>
      </c>
      <c r="K3788">
        <v>0</v>
      </c>
      <c r="L3788">
        <f>IF(AND($J3788=0,$K3788=0),0,1)</f>
        <v>0</v>
      </c>
    </row>
    <row r="3789" spans="1:13" x14ac:dyDescent="0.2">
      <c r="A3789" t="s">
        <v>483</v>
      </c>
      <c r="B3789" t="s">
        <v>71</v>
      </c>
      <c r="C3789" t="s">
        <v>72</v>
      </c>
      <c r="D3789">
        <v>4620</v>
      </c>
      <c r="E3789">
        <v>2020</v>
      </c>
      <c r="F3789">
        <v>1</v>
      </c>
      <c r="G3789">
        <v>11576</v>
      </c>
      <c r="H3789" s="1">
        <v>3</v>
      </c>
      <c r="I3789">
        <v>43</v>
      </c>
      <c r="J3789">
        <f>IF($H3789=0,1,IF($I3789&lt;=1,2,0))</f>
        <v>0</v>
      </c>
      <c r="K3789">
        <v>0</v>
      </c>
      <c r="L3789">
        <f>IF(AND($J3789=0,$K3789=0),0,1)</f>
        <v>0</v>
      </c>
    </row>
    <row r="3790" spans="1:13" x14ac:dyDescent="0.2">
      <c r="A3790" t="s">
        <v>483</v>
      </c>
      <c r="B3790" t="s">
        <v>71</v>
      </c>
      <c r="C3790" t="s">
        <v>72</v>
      </c>
      <c r="D3790">
        <v>4650</v>
      </c>
      <c r="E3790">
        <v>2020</v>
      </c>
      <c r="F3790">
        <v>1</v>
      </c>
      <c r="G3790">
        <v>11577</v>
      </c>
      <c r="H3790" s="1">
        <v>3</v>
      </c>
      <c r="I3790">
        <v>63</v>
      </c>
      <c r="J3790">
        <f>IF($H3790=0,1,IF($I3790&lt;=1,2,0))</f>
        <v>0</v>
      </c>
      <c r="K3790">
        <v>0</v>
      </c>
      <c r="L3790">
        <f>IF(AND($J3790=0,$K3790=0),0,1)</f>
        <v>0</v>
      </c>
    </row>
    <row r="3791" spans="1:13" x14ac:dyDescent="0.2">
      <c r="A3791" t="s">
        <v>483</v>
      </c>
      <c r="B3791" t="s">
        <v>71</v>
      </c>
      <c r="C3791" t="s">
        <v>72</v>
      </c>
      <c r="D3791">
        <v>4650</v>
      </c>
      <c r="E3791">
        <v>2020</v>
      </c>
      <c r="F3791">
        <v>2</v>
      </c>
      <c r="G3791">
        <v>11578</v>
      </c>
      <c r="H3791" s="1">
        <v>3</v>
      </c>
      <c r="I3791">
        <v>34</v>
      </c>
      <c r="J3791">
        <f>IF($H3791=0,1,IF($I3791&lt;=1,2,0))</f>
        <v>0</v>
      </c>
      <c r="K3791">
        <v>0</v>
      </c>
      <c r="L3791">
        <f>IF(AND($J3791=0,$K3791=0),0,1)</f>
        <v>0</v>
      </c>
    </row>
    <row r="3792" spans="1:13" x14ac:dyDescent="0.2">
      <c r="A3792" t="s">
        <v>483</v>
      </c>
      <c r="B3792" t="s">
        <v>71</v>
      </c>
      <c r="C3792" t="s">
        <v>72</v>
      </c>
      <c r="D3792">
        <v>4700</v>
      </c>
      <c r="E3792">
        <v>2020</v>
      </c>
      <c r="F3792">
        <v>1</v>
      </c>
      <c r="G3792">
        <v>11579</v>
      </c>
      <c r="H3792" s="1">
        <v>3</v>
      </c>
      <c r="I3792">
        <v>28</v>
      </c>
      <c r="J3792">
        <f>IF($H3792=0,1,IF($I3792&lt;=1,2,0))</f>
        <v>0</v>
      </c>
      <c r="K3792">
        <v>0</v>
      </c>
      <c r="L3792">
        <f>IF(AND($J3792=0,$K3792=0),0,1)</f>
        <v>0</v>
      </c>
    </row>
    <row r="3793" spans="1:13" x14ac:dyDescent="0.2">
      <c r="A3793" t="s">
        <v>483</v>
      </c>
      <c r="B3793" t="s">
        <v>71</v>
      </c>
      <c r="C3793" t="s">
        <v>72</v>
      </c>
      <c r="D3793">
        <v>4706</v>
      </c>
      <c r="E3793">
        <v>2020</v>
      </c>
      <c r="F3793">
        <v>1</v>
      </c>
      <c r="G3793">
        <v>11581</v>
      </c>
      <c r="H3793" s="1">
        <v>3</v>
      </c>
      <c r="I3793">
        <v>44</v>
      </c>
      <c r="J3793">
        <f>IF($H3793=0,1,IF($I3793&lt;=1,2,0))</f>
        <v>0</v>
      </c>
      <c r="K3793">
        <v>0</v>
      </c>
      <c r="L3793">
        <f>IF(AND($J3793=0,$K3793=0),0,1)</f>
        <v>0</v>
      </c>
    </row>
    <row r="3794" spans="1:13" x14ac:dyDescent="0.2">
      <c r="A3794" t="s">
        <v>483</v>
      </c>
      <c r="B3794" t="s">
        <v>71</v>
      </c>
      <c r="C3794" t="s">
        <v>72</v>
      </c>
      <c r="D3794">
        <v>4722</v>
      </c>
      <c r="E3794">
        <v>2020</v>
      </c>
      <c r="F3794">
        <v>1</v>
      </c>
      <c r="G3794">
        <v>11584</v>
      </c>
      <c r="H3794" s="1">
        <v>3</v>
      </c>
      <c r="I3794">
        <v>12</v>
      </c>
      <c r="J3794">
        <f>IF($H3794=0,1,IF($I3794&lt;=1,2,0))</f>
        <v>0</v>
      </c>
      <c r="K3794">
        <v>0</v>
      </c>
      <c r="L3794">
        <f>IF(AND($J3794=0,$K3794=0),0,1)</f>
        <v>0</v>
      </c>
    </row>
    <row r="3795" spans="1:13" x14ac:dyDescent="0.2">
      <c r="A3795" t="s">
        <v>483</v>
      </c>
      <c r="B3795" t="s">
        <v>71</v>
      </c>
      <c r="C3795" t="s">
        <v>72</v>
      </c>
      <c r="D3795">
        <v>4723</v>
      </c>
      <c r="E3795">
        <v>2020</v>
      </c>
      <c r="F3795">
        <v>1</v>
      </c>
      <c r="G3795">
        <v>11674</v>
      </c>
      <c r="H3795" s="1">
        <v>1.5</v>
      </c>
      <c r="I3795">
        <v>20</v>
      </c>
      <c r="J3795">
        <f>IF($H3795=0,1,IF($I3795&lt;=1,2,0))</f>
        <v>0</v>
      </c>
      <c r="K3795">
        <v>0</v>
      </c>
      <c r="L3795">
        <f>IF(AND($J3795=0,$K3795=0),0,1)</f>
        <v>0</v>
      </c>
      <c r="M3795" t="s">
        <v>1109</v>
      </c>
    </row>
    <row r="3796" spans="1:13" x14ac:dyDescent="0.2">
      <c r="A3796" t="s">
        <v>483</v>
      </c>
      <c r="B3796" t="s">
        <v>71</v>
      </c>
      <c r="C3796" t="s">
        <v>72</v>
      </c>
      <c r="D3796">
        <v>4735</v>
      </c>
      <c r="E3796">
        <v>2020</v>
      </c>
      <c r="F3796">
        <v>1</v>
      </c>
      <c r="G3796">
        <v>11591</v>
      </c>
      <c r="H3796" s="1">
        <v>3</v>
      </c>
      <c r="I3796">
        <v>87</v>
      </c>
      <c r="J3796">
        <f>IF($H3796=0,1,IF($I3796&lt;=1,2,0))</f>
        <v>0</v>
      </c>
      <c r="K3796">
        <v>0</v>
      </c>
      <c r="L3796">
        <f>IF(AND($J3796=0,$K3796=0),0,1)</f>
        <v>0</v>
      </c>
    </row>
    <row r="3797" spans="1:13" x14ac:dyDescent="0.2">
      <c r="A3797" t="s">
        <v>483</v>
      </c>
      <c r="B3797" t="s">
        <v>71</v>
      </c>
      <c r="C3797" t="s">
        <v>72</v>
      </c>
      <c r="D3797">
        <v>4735</v>
      </c>
      <c r="E3797">
        <v>2020</v>
      </c>
      <c r="F3797" t="s">
        <v>84</v>
      </c>
      <c r="G3797">
        <v>22158</v>
      </c>
      <c r="H3797" s="1">
        <v>3</v>
      </c>
      <c r="I3797">
        <v>3</v>
      </c>
      <c r="J3797">
        <f>IF($H3797=0,1,IF($I3797&lt;=1,2,0))</f>
        <v>0</v>
      </c>
      <c r="K3797">
        <v>0</v>
      </c>
      <c r="L3797">
        <f>IF(AND($J3797=0,$K3797=0),0,1)</f>
        <v>0</v>
      </c>
      <c r="M3797" t="s">
        <v>1111</v>
      </c>
    </row>
    <row r="3798" spans="1:13" x14ac:dyDescent="0.2">
      <c r="A3798" t="s">
        <v>483</v>
      </c>
      <c r="B3798" t="s">
        <v>71</v>
      </c>
      <c r="C3798" t="s">
        <v>72</v>
      </c>
      <c r="D3798">
        <v>4742</v>
      </c>
      <c r="E3798">
        <v>2020</v>
      </c>
      <c r="F3798">
        <v>1</v>
      </c>
      <c r="G3798">
        <v>11592</v>
      </c>
      <c r="H3798" s="1">
        <v>3</v>
      </c>
      <c r="I3798">
        <v>70</v>
      </c>
      <c r="J3798">
        <f>IF($H3798=0,1,IF($I3798&lt;=1,2,0))</f>
        <v>0</v>
      </c>
      <c r="K3798">
        <v>0</v>
      </c>
      <c r="L3798">
        <f>IF(AND($J3798=0,$K3798=0),0,1)</f>
        <v>0</v>
      </c>
    </row>
    <row r="3799" spans="1:13" x14ac:dyDescent="0.2">
      <c r="A3799" t="s">
        <v>483</v>
      </c>
      <c r="B3799" t="s">
        <v>71</v>
      </c>
      <c r="C3799" t="s">
        <v>72</v>
      </c>
      <c r="D3799">
        <v>6613</v>
      </c>
      <c r="E3799">
        <v>2020</v>
      </c>
      <c r="F3799">
        <v>1</v>
      </c>
      <c r="G3799">
        <v>11599</v>
      </c>
      <c r="H3799" s="1">
        <v>4.5</v>
      </c>
      <c r="I3799">
        <v>26</v>
      </c>
      <c r="J3799">
        <f>IF($H3799=0,1,IF($I3799&lt;=1,2,0))</f>
        <v>0</v>
      </c>
      <c r="K3799">
        <v>0</v>
      </c>
      <c r="L3799">
        <f>IF(AND($J3799=0,$K3799=0),0,1)</f>
        <v>0</v>
      </c>
    </row>
    <row r="3800" spans="1:13" x14ac:dyDescent="0.2">
      <c r="A3800" t="s">
        <v>483</v>
      </c>
      <c r="B3800" t="s">
        <v>71</v>
      </c>
      <c r="C3800" t="s">
        <v>72</v>
      </c>
      <c r="D3800">
        <v>6706</v>
      </c>
      <c r="E3800">
        <v>2020</v>
      </c>
      <c r="F3800">
        <v>1</v>
      </c>
      <c r="G3800">
        <v>22749</v>
      </c>
      <c r="H3800" s="1">
        <v>3</v>
      </c>
      <c r="I3800">
        <v>12</v>
      </c>
      <c r="J3800">
        <f>IF($H3800=0,1,IF($I3800&lt;=1,2,0))</f>
        <v>0</v>
      </c>
      <c r="K3800">
        <v>0</v>
      </c>
      <c r="L3800">
        <f>IF(AND($J3800=0,$K3800=0),0,1)</f>
        <v>0</v>
      </c>
    </row>
    <row r="3801" spans="1:13" x14ac:dyDescent="0.2">
      <c r="A3801" t="s">
        <v>483</v>
      </c>
      <c r="B3801" t="s">
        <v>71</v>
      </c>
      <c r="C3801" t="s">
        <v>72</v>
      </c>
      <c r="D3801">
        <v>6711</v>
      </c>
      <c r="E3801">
        <v>2020</v>
      </c>
      <c r="F3801">
        <v>1</v>
      </c>
      <c r="G3801">
        <v>11611</v>
      </c>
      <c r="H3801" s="1">
        <v>4.5</v>
      </c>
      <c r="I3801">
        <v>24</v>
      </c>
      <c r="J3801">
        <f>IF($H3801=0,1,IF($I3801&lt;=1,2,0))</f>
        <v>0</v>
      </c>
      <c r="K3801">
        <v>0</v>
      </c>
      <c r="L3801">
        <f>IF(AND($J3801=0,$K3801=0),0,1)</f>
        <v>0</v>
      </c>
    </row>
    <row r="3802" spans="1:13" x14ac:dyDescent="0.2">
      <c r="A3802" t="s">
        <v>483</v>
      </c>
      <c r="B3802" t="s">
        <v>71</v>
      </c>
      <c r="C3802" t="s">
        <v>72</v>
      </c>
      <c r="D3802">
        <v>8100</v>
      </c>
      <c r="E3802">
        <v>2020</v>
      </c>
      <c r="F3802">
        <v>1</v>
      </c>
      <c r="G3802">
        <v>11612</v>
      </c>
      <c r="H3802" s="1">
        <v>3</v>
      </c>
      <c r="I3802">
        <v>34</v>
      </c>
      <c r="J3802">
        <f>IF($H3802=0,1,IF($I3802&lt;=1,2,0))</f>
        <v>0</v>
      </c>
      <c r="K3802">
        <v>0</v>
      </c>
      <c r="L3802">
        <f>IF(AND($J3802=0,$K3802=0),0,1)</f>
        <v>0</v>
      </c>
    </row>
    <row r="3803" spans="1:13" x14ac:dyDescent="0.2">
      <c r="A3803" t="s">
        <v>483</v>
      </c>
      <c r="B3803" t="s">
        <v>71</v>
      </c>
      <c r="C3803" t="s">
        <v>72</v>
      </c>
      <c r="D3803">
        <v>8100</v>
      </c>
      <c r="E3803">
        <v>2020</v>
      </c>
      <c r="F3803">
        <v>3</v>
      </c>
      <c r="G3803">
        <v>11616</v>
      </c>
      <c r="H3803" s="1">
        <v>3</v>
      </c>
      <c r="I3803">
        <v>11</v>
      </c>
      <c r="J3803">
        <f>IF($H3803=0,1,IF($I3803&lt;=1,2,0))</f>
        <v>0</v>
      </c>
      <c r="K3803">
        <v>0</v>
      </c>
      <c r="L3803">
        <f>IF(AND($J3803=0,$K3803=0),0,1)</f>
        <v>0</v>
      </c>
    </row>
    <row r="3804" spans="1:13" x14ac:dyDescent="0.2">
      <c r="A3804" t="s">
        <v>498</v>
      </c>
      <c r="B3804" t="s">
        <v>6</v>
      </c>
      <c r="C3804" t="s">
        <v>382</v>
      </c>
      <c r="D3804">
        <v>4409</v>
      </c>
      <c r="E3804">
        <v>2020</v>
      </c>
      <c r="F3804">
        <v>1</v>
      </c>
      <c r="G3804">
        <v>15583</v>
      </c>
      <c r="H3804" s="1">
        <v>1.5</v>
      </c>
      <c r="I3804">
        <v>12</v>
      </c>
      <c r="J3804">
        <f>IF($H3804=0,1,IF($I3804&lt;=1,2,0))</f>
        <v>0</v>
      </c>
      <c r="K3804">
        <v>0</v>
      </c>
      <c r="L3804">
        <f>IF(AND($J3804=0,$K3804=0),0,1)</f>
        <v>0</v>
      </c>
      <c r="M3804" t="s">
        <v>499</v>
      </c>
    </row>
    <row r="3805" spans="1:13" x14ac:dyDescent="0.2">
      <c r="A3805" t="s">
        <v>522</v>
      </c>
      <c r="B3805" t="s">
        <v>17</v>
      </c>
      <c r="C3805" t="s">
        <v>9</v>
      </c>
      <c r="D3805">
        <v>2101</v>
      </c>
      <c r="E3805">
        <v>2020</v>
      </c>
      <c r="F3805">
        <v>1</v>
      </c>
      <c r="G3805">
        <v>11958</v>
      </c>
      <c r="H3805" s="1">
        <v>4</v>
      </c>
      <c r="I3805">
        <v>3</v>
      </c>
      <c r="J3805">
        <f>IF($H3805=0,1,IF($I3805&lt;=1,2,0))</f>
        <v>0</v>
      </c>
      <c r="K3805">
        <v>0</v>
      </c>
      <c r="L3805">
        <f>IF(AND($J3805=0,$K3805=0),0,1)</f>
        <v>0</v>
      </c>
    </row>
    <row r="3806" spans="1:13" x14ac:dyDescent="0.2">
      <c r="A3806" t="s">
        <v>523</v>
      </c>
      <c r="B3806" t="s">
        <v>17</v>
      </c>
      <c r="C3806" t="s">
        <v>9</v>
      </c>
      <c r="D3806">
        <v>3920</v>
      </c>
      <c r="E3806">
        <v>2020</v>
      </c>
      <c r="F3806">
        <v>1</v>
      </c>
      <c r="G3806">
        <v>12049</v>
      </c>
      <c r="H3806" s="1">
        <v>4</v>
      </c>
      <c r="I3806">
        <v>17</v>
      </c>
      <c r="J3806">
        <f>IF($H3806=0,1,IF($I3806&lt;=1,2,0))</f>
        <v>0</v>
      </c>
      <c r="K3806">
        <v>0</v>
      </c>
      <c r="L3806">
        <f>IF(AND($J3806=0,$K3806=0),0,1)</f>
        <v>0</v>
      </c>
    </row>
    <row r="3807" spans="1:13" x14ac:dyDescent="0.2">
      <c r="A3807" t="s">
        <v>524</v>
      </c>
      <c r="B3807" t="s">
        <v>6</v>
      </c>
      <c r="C3807" t="s">
        <v>11</v>
      </c>
      <c r="D3807">
        <v>5000</v>
      </c>
      <c r="E3807">
        <v>2020</v>
      </c>
      <c r="F3807">
        <v>1</v>
      </c>
      <c r="G3807">
        <v>15265</v>
      </c>
      <c r="H3807" s="1">
        <v>4</v>
      </c>
      <c r="I3807">
        <v>8</v>
      </c>
      <c r="J3807">
        <f>IF($H3807=0,1,IF($I3807&lt;=1,2,0))</f>
        <v>0</v>
      </c>
      <c r="K3807">
        <v>0</v>
      </c>
      <c r="L3807">
        <f>IF(AND($J3807=0,$K3807=0),0,1)</f>
        <v>0</v>
      </c>
    </row>
    <row r="3808" spans="1:13" x14ac:dyDescent="0.2">
      <c r="A3808" t="s">
        <v>525</v>
      </c>
      <c r="B3808" t="s">
        <v>17</v>
      </c>
      <c r="C3808" t="s">
        <v>9</v>
      </c>
      <c r="D3808">
        <v>1101</v>
      </c>
      <c r="E3808">
        <v>2020</v>
      </c>
      <c r="F3808">
        <v>3</v>
      </c>
      <c r="G3808">
        <v>10856</v>
      </c>
      <c r="H3808" s="1">
        <v>4</v>
      </c>
      <c r="I3808">
        <v>20</v>
      </c>
      <c r="J3808">
        <f>IF($H3808=0,1,IF($I3808&lt;=1,2,0))</f>
        <v>0</v>
      </c>
      <c r="K3808">
        <v>0</v>
      </c>
      <c r="L3808">
        <f>IF(AND($J3808=0,$K3808=0),0,1)</f>
        <v>0</v>
      </c>
    </row>
    <row r="3809" spans="1:13" x14ac:dyDescent="0.2">
      <c r="A3809" t="s">
        <v>525</v>
      </c>
      <c r="B3809" t="s">
        <v>17</v>
      </c>
      <c r="C3809" t="s">
        <v>9</v>
      </c>
      <c r="D3809">
        <v>1101</v>
      </c>
      <c r="E3809">
        <v>2020</v>
      </c>
      <c r="F3809">
        <v>2</v>
      </c>
      <c r="G3809">
        <v>10855</v>
      </c>
      <c r="H3809" s="1">
        <v>4</v>
      </c>
      <c r="I3809">
        <v>16</v>
      </c>
      <c r="J3809">
        <f>IF($H3809=0,1,IF($I3809&lt;=1,2,0))</f>
        <v>0</v>
      </c>
      <c r="K3809">
        <v>0</v>
      </c>
      <c r="L3809">
        <f>IF(AND($J3809=0,$K3809=0),0,1)</f>
        <v>0</v>
      </c>
    </row>
    <row r="3810" spans="1:13" x14ac:dyDescent="0.2">
      <c r="A3810" t="s">
        <v>525</v>
      </c>
      <c r="B3810" t="s">
        <v>17</v>
      </c>
      <c r="C3810" t="s">
        <v>9</v>
      </c>
      <c r="D3810">
        <v>1101</v>
      </c>
      <c r="E3810">
        <v>2020</v>
      </c>
      <c r="F3810">
        <v>5</v>
      </c>
      <c r="G3810">
        <v>10859</v>
      </c>
      <c r="H3810" s="1">
        <v>4</v>
      </c>
      <c r="I3810">
        <v>16</v>
      </c>
      <c r="J3810">
        <f>IF($H3810=0,1,IF($I3810&lt;=1,2,0))</f>
        <v>0</v>
      </c>
      <c r="K3810">
        <v>0</v>
      </c>
      <c r="L3810">
        <f>IF(AND($J3810=0,$K3810=0),0,1)</f>
        <v>0</v>
      </c>
    </row>
    <row r="3811" spans="1:13" x14ac:dyDescent="0.2">
      <c r="A3811" t="s">
        <v>525</v>
      </c>
      <c r="B3811" t="s">
        <v>17</v>
      </c>
      <c r="C3811" t="s">
        <v>9</v>
      </c>
      <c r="D3811">
        <v>1101</v>
      </c>
      <c r="E3811">
        <v>2020</v>
      </c>
      <c r="F3811">
        <v>8</v>
      </c>
      <c r="G3811">
        <v>10862</v>
      </c>
      <c r="H3811" s="1">
        <v>4</v>
      </c>
      <c r="I3811">
        <v>16</v>
      </c>
      <c r="J3811">
        <f>IF($H3811=0,1,IF($I3811&lt;=1,2,0))</f>
        <v>0</v>
      </c>
      <c r="K3811">
        <v>0</v>
      </c>
      <c r="L3811">
        <f>IF(AND($J3811=0,$K3811=0),0,1)</f>
        <v>0</v>
      </c>
    </row>
    <row r="3812" spans="1:13" x14ac:dyDescent="0.2">
      <c r="A3812" t="s">
        <v>525</v>
      </c>
      <c r="B3812" t="s">
        <v>17</v>
      </c>
      <c r="C3812" t="s">
        <v>9</v>
      </c>
      <c r="D3812">
        <v>1101</v>
      </c>
      <c r="E3812">
        <v>2020</v>
      </c>
      <c r="F3812">
        <v>1</v>
      </c>
      <c r="G3812">
        <v>10853</v>
      </c>
      <c r="H3812" s="1">
        <v>4</v>
      </c>
      <c r="I3812">
        <v>15</v>
      </c>
      <c r="J3812">
        <f>IF($H3812=0,1,IF($I3812&lt;=1,2,0))</f>
        <v>0</v>
      </c>
      <c r="K3812">
        <v>0</v>
      </c>
      <c r="L3812">
        <f>IF(AND($J3812=0,$K3812=0),0,1)</f>
        <v>0</v>
      </c>
    </row>
    <row r="3813" spans="1:13" x14ac:dyDescent="0.2">
      <c r="A3813" t="s">
        <v>525</v>
      </c>
      <c r="B3813" t="s">
        <v>17</v>
      </c>
      <c r="C3813" t="s">
        <v>9</v>
      </c>
      <c r="D3813">
        <v>1101</v>
      </c>
      <c r="E3813">
        <v>2020</v>
      </c>
      <c r="F3813">
        <v>4</v>
      </c>
      <c r="G3813">
        <v>10857</v>
      </c>
      <c r="H3813" s="1">
        <v>4</v>
      </c>
      <c r="I3813">
        <v>14</v>
      </c>
      <c r="J3813">
        <f>IF($H3813=0,1,IF($I3813&lt;=1,2,0))</f>
        <v>0</v>
      </c>
      <c r="K3813">
        <v>0</v>
      </c>
      <c r="L3813">
        <f>IF(AND($J3813=0,$K3813=0),0,1)</f>
        <v>0</v>
      </c>
    </row>
    <row r="3814" spans="1:13" x14ac:dyDescent="0.2">
      <c r="A3814" t="s">
        <v>525</v>
      </c>
      <c r="B3814" t="s">
        <v>17</v>
      </c>
      <c r="C3814" t="s">
        <v>9</v>
      </c>
      <c r="D3814">
        <v>1102</v>
      </c>
      <c r="E3814">
        <v>2020</v>
      </c>
      <c r="F3814">
        <v>2</v>
      </c>
      <c r="G3814">
        <v>10848</v>
      </c>
      <c r="H3814" s="1">
        <v>4</v>
      </c>
      <c r="I3814">
        <v>13</v>
      </c>
      <c r="J3814">
        <f>IF($H3814=0,1,IF($I3814&lt;=1,2,0))</f>
        <v>0</v>
      </c>
      <c r="K3814">
        <v>0</v>
      </c>
      <c r="L3814">
        <f>IF(AND($J3814=0,$K3814=0),0,1)</f>
        <v>0</v>
      </c>
      <c r="M3814" t="s">
        <v>526</v>
      </c>
    </row>
    <row r="3815" spans="1:13" x14ac:dyDescent="0.2">
      <c r="A3815" t="s">
        <v>525</v>
      </c>
      <c r="B3815" t="s">
        <v>17</v>
      </c>
      <c r="C3815" t="s">
        <v>9</v>
      </c>
      <c r="D3815">
        <v>1102</v>
      </c>
      <c r="E3815">
        <v>2020</v>
      </c>
      <c r="F3815">
        <v>1</v>
      </c>
      <c r="G3815">
        <v>10846</v>
      </c>
      <c r="H3815" s="1">
        <v>4</v>
      </c>
      <c r="I3815">
        <v>7</v>
      </c>
      <c r="J3815">
        <f>IF($H3815=0,1,IF($I3815&lt;=1,2,0))</f>
        <v>0</v>
      </c>
      <c r="K3815">
        <v>0</v>
      </c>
      <c r="L3815">
        <f>IF(AND($J3815=0,$K3815=0),0,1)</f>
        <v>0</v>
      </c>
      <c r="M3815" t="s">
        <v>526</v>
      </c>
    </row>
    <row r="3816" spans="1:13" x14ac:dyDescent="0.2">
      <c r="A3816" t="s">
        <v>525</v>
      </c>
      <c r="B3816" t="s">
        <v>17</v>
      </c>
      <c r="C3816" t="s">
        <v>21</v>
      </c>
      <c r="D3816">
        <v>1121</v>
      </c>
      <c r="E3816">
        <v>2020</v>
      </c>
      <c r="F3816">
        <v>1</v>
      </c>
      <c r="G3816">
        <v>10056</v>
      </c>
      <c r="H3816" s="1">
        <v>6</v>
      </c>
      <c r="I3816">
        <v>8</v>
      </c>
      <c r="J3816">
        <f>IF($H3816=0,1,IF($I3816&lt;=1,2,0))</f>
        <v>0</v>
      </c>
      <c r="K3816">
        <v>0</v>
      </c>
      <c r="L3816">
        <f>IF(AND($J3816=0,$K3816=0),0,1)</f>
        <v>0</v>
      </c>
    </row>
    <row r="3817" spans="1:13" x14ac:dyDescent="0.2">
      <c r="A3817" t="s">
        <v>525</v>
      </c>
      <c r="B3817" t="s">
        <v>17</v>
      </c>
      <c r="C3817" t="s">
        <v>9</v>
      </c>
      <c r="D3817">
        <v>1221</v>
      </c>
      <c r="E3817">
        <v>2020</v>
      </c>
      <c r="F3817">
        <v>1</v>
      </c>
      <c r="G3817">
        <v>10057</v>
      </c>
      <c r="H3817" s="1">
        <v>2</v>
      </c>
      <c r="I3817">
        <v>7</v>
      </c>
      <c r="J3817">
        <f>IF($H3817=0,1,IF($I3817&lt;=1,2,0))</f>
        <v>0</v>
      </c>
      <c r="K3817">
        <v>0</v>
      </c>
      <c r="L3817">
        <f>IF(AND($J3817=0,$K3817=0),0,1)</f>
        <v>0</v>
      </c>
    </row>
    <row r="3818" spans="1:13" x14ac:dyDescent="0.2">
      <c r="A3818" t="s">
        <v>525</v>
      </c>
      <c r="B3818" t="s">
        <v>17</v>
      </c>
      <c r="C3818" t="s">
        <v>9</v>
      </c>
      <c r="D3818">
        <v>1311</v>
      </c>
      <c r="E3818">
        <v>2020</v>
      </c>
      <c r="F3818">
        <v>1</v>
      </c>
      <c r="G3818">
        <v>10816</v>
      </c>
      <c r="H3818" s="1">
        <v>2</v>
      </c>
      <c r="I3818">
        <v>4</v>
      </c>
      <c r="J3818">
        <f>IF($H3818=0,1,IF($I3818&lt;=1,2,0))</f>
        <v>0</v>
      </c>
      <c r="K3818">
        <v>0</v>
      </c>
      <c r="L3818">
        <f>IF(AND($J3818=0,$K3818=0),0,1)</f>
        <v>0</v>
      </c>
    </row>
    <row r="3819" spans="1:13" x14ac:dyDescent="0.2">
      <c r="A3819" t="s">
        <v>525</v>
      </c>
      <c r="B3819" t="s">
        <v>17</v>
      </c>
      <c r="C3819" t="s">
        <v>9</v>
      </c>
      <c r="D3819">
        <v>2101</v>
      </c>
      <c r="E3819">
        <v>2020</v>
      </c>
      <c r="F3819">
        <v>3</v>
      </c>
      <c r="G3819">
        <v>10866</v>
      </c>
      <c r="H3819" s="1">
        <v>4</v>
      </c>
      <c r="I3819">
        <v>17</v>
      </c>
      <c r="J3819">
        <f>IF($H3819=0,1,IF($I3819&lt;=1,2,0))</f>
        <v>0</v>
      </c>
      <c r="K3819">
        <v>0</v>
      </c>
      <c r="L3819">
        <f>IF(AND($J3819=0,$K3819=0),0,1)</f>
        <v>0</v>
      </c>
      <c r="M3819" t="s">
        <v>526</v>
      </c>
    </row>
    <row r="3820" spans="1:13" x14ac:dyDescent="0.2">
      <c r="A3820" t="s">
        <v>525</v>
      </c>
      <c r="B3820" t="s">
        <v>17</v>
      </c>
      <c r="C3820" t="s">
        <v>9</v>
      </c>
      <c r="D3820">
        <v>2101</v>
      </c>
      <c r="E3820">
        <v>2020</v>
      </c>
      <c r="F3820">
        <v>5</v>
      </c>
      <c r="G3820">
        <v>10868</v>
      </c>
      <c r="H3820" s="1">
        <v>4</v>
      </c>
      <c r="I3820">
        <v>13</v>
      </c>
      <c r="J3820">
        <f>IF($H3820=0,1,IF($I3820&lt;=1,2,0))</f>
        <v>0</v>
      </c>
      <c r="K3820">
        <v>0</v>
      </c>
      <c r="L3820">
        <f>IF(AND($J3820=0,$K3820=0),0,1)</f>
        <v>0</v>
      </c>
      <c r="M3820" t="s">
        <v>526</v>
      </c>
    </row>
    <row r="3821" spans="1:13" x14ac:dyDescent="0.2">
      <c r="A3821" t="s">
        <v>525</v>
      </c>
      <c r="B3821" t="s">
        <v>17</v>
      </c>
      <c r="C3821" t="s">
        <v>9</v>
      </c>
      <c r="D3821">
        <v>2101</v>
      </c>
      <c r="E3821">
        <v>2020</v>
      </c>
      <c r="F3821">
        <v>6</v>
      </c>
      <c r="G3821">
        <v>10845</v>
      </c>
      <c r="H3821" s="1">
        <v>4</v>
      </c>
      <c r="I3821">
        <v>11</v>
      </c>
      <c r="J3821">
        <f>IF($H3821=0,1,IF($I3821&lt;=1,2,0))</f>
        <v>0</v>
      </c>
      <c r="K3821">
        <v>0</v>
      </c>
      <c r="L3821">
        <f>IF(AND($J3821=0,$K3821=0),0,1)</f>
        <v>0</v>
      </c>
      <c r="M3821" t="s">
        <v>526</v>
      </c>
    </row>
    <row r="3822" spans="1:13" x14ac:dyDescent="0.2">
      <c r="A3822" t="s">
        <v>525</v>
      </c>
      <c r="B3822" t="s">
        <v>17</v>
      </c>
      <c r="C3822" t="s">
        <v>9</v>
      </c>
      <c r="D3822">
        <v>2101</v>
      </c>
      <c r="E3822">
        <v>2020</v>
      </c>
      <c r="F3822">
        <v>1</v>
      </c>
      <c r="G3822">
        <v>10864</v>
      </c>
      <c r="H3822" s="1">
        <v>4</v>
      </c>
      <c r="I3822">
        <v>9</v>
      </c>
      <c r="J3822">
        <f>IF($H3822=0,1,IF($I3822&lt;=1,2,0))</f>
        <v>0</v>
      </c>
      <c r="K3822">
        <v>0</v>
      </c>
      <c r="L3822">
        <f>IF(AND($J3822=0,$K3822=0),0,1)</f>
        <v>0</v>
      </c>
      <c r="M3822" t="s">
        <v>527</v>
      </c>
    </row>
    <row r="3823" spans="1:13" x14ac:dyDescent="0.2">
      <c r="A3823" t="s">
        <v>525</v>
      </c>
      <c r="B3823" t="s">
        <v>17</v>
      </c>
      <c r="C3823" t="s">
        <v>9</v>
      </c>
      <c r="D3823">
        <v>2101</v>
      </c>
      <c r="E3823">
        <v>2020</v>
      </c>
      <c r="F3823">
        <v>2</v>
      </c>
      <c r="G3823">
        <v>10865</v>
      </c>
      <c r="H3823" s="1">
        <v>4</v>
      </c>
      <c r="I3823">
        <v>4</v>
      </c>
      <c r="J3823">
        <f>IF($H3823=0,1,IF($I3823&lt;=1,2,0))</f>
        <v>0</v>
      </c>
      <c r="K3823">
        <v>0</v>
      </c>
      <c r="L3823">
        <f>IF(AND($J3823=0,$K3823=0),0,1)</f>
        <v>0</v>
      </c>
      <c r="M3823" t="s">
        <v>526</v>
      </c>
    </row>
    <row r="3824" spans="1:13" x14ac:dyDescent="0.2">
      <c r="A3824" t="s">
        <v>525</v>
      </c>
      <c r="B3824" t="s">
        <v>17</v>
      </c>
      <c r="C3824" t="s">
        <v>9</v>
      </c>
      <c r="D3824">
        <v>2102</v>
      </c>
      <c r="E3824">
        <v>2020</v>
      </c>
      <c r="F3824">
        <v>1</v>
      </c>
      <c r="G3824">
        <v>10844</v>
      </c>
      <c r="H3824" s="1">
        <v>4</v>
      </c>
      <c r="I3824">
        <v>6</v>
      </c>
      <c r="J3824">
        <f>IF($H3824=0,1,IF($I3824&lt;=1,2,0))</f>
        <v>0</v>
      </c>
      <c r="K3824">
        <v>0</v>
      </c>
      <c r="L3824">
        <f>IF(AND($J3824=0,$K3824=0),0,1)</f>
        <v>0</v>
      </c>
      <c r="M3824" t="s">
        <v>526</v>
      </c>
    </row>
    <row r="3825" spans="1:13" x14ac:dyDescent="0.2">
      <c r="A3825" t="s">
        <v>525</v>
      </c>
      <c r="B3825" t="s">
        <v>17</v>
      </c>
      <c r="C3825" t="s">
        <v>21</v>
      </c>
      <c r="D3825">
        <v>2121</v>
      </c>
      <c r="E3825">
        <v>2020</v>
      </c>
      <c r="F3825">
        <v>1</v>
      </c>
      <c r="G3825">
        <v>10060</v>
      </c>
      <c r="H3825" s="1">
        <v>6</v>
      </c>
      <c r="I3825">
        <v>3</v>
      </c>
      <c r="J3825">
        <f>IF($H3825=0,1,IF($I3825&lt;=1,2,0))</f>
        <v>0</v>
      </c>
      <c r="K3825">
        <v>0</v>
      </c>
      <c r="L3825">
        <f>IF(AND($J3825=0,$K3825=0),0,1)</f>
        <v>0</v>
      </c>
      <c r="M3825" t="s">
        <v>526</v>
      </c>
    </row>
    <row r="3826" spans="1:13" x14ac:dyDescent="0.2">
      <c r="A3826" t="s">
        <v>525</v>
      </c>
      <c r="B3826" t="s">
        <v>17</v>
      </c>
      <c r="C3826" t="s">
        <v>21</v>
      </c>
      <c r="D3826">
        <v>3333</v>
      </c>
      <c r="E3826">
        <v>2020</v>
      </c>
      <c r="F3826">
        <v>1</v>
      </c>
      <c r="G3826">
        <v>10052</v>
      </c>
      <c r="H3826" s="1">
        <v>3</v>
      </c>
      <c r="I3826">
        <v>6</v>
      </c>
      <c r="J3826">
        <f>IF($H3826=0,1,IF($I3826&lt;=1,2,0))</f>
        <v>0</v>
      </c>
      <c r="K3826">
        <v>0</v>
      </c>
      <c r="L3826">
        <f>IF(AND($J3826=0,$K3826=0),0,1)</f>
        <v>0</v>
      </c>
    </row>
    <row r="3827" spans="1:13" x14ac:dyDescent="0.2">
      <c r="A3827" t="s">
        <v>525</v>
      </c>
      <c r="B3827" t="s">
        <v>17</v>
      </c>
      <c r="C3827" t="s">
        <v>21</v>
      </c>
      <c r="D3827">
        <v>3335</v>
      </c>
      <c r="E3827">
        <v>2020</v>
      </c>
      <c r="F3827">
        <v>1</v>
      </c>
      <c r="G3827">
        <v>10051</v>
      </c>
      <c r="H3827" s="1">
        <v>3</v>
      </c>
      <c r="I3827">
        <v>11</v>
      </c>
      <c r="J3827">
        <f>IF($H3827=0,1,IF($I3827&lt;=1,2,0))</f>
        <v>0</v>
      </c>
      <c r="K3827">
        <v>0</v>
      </c>
      <c r="L3827">
        <f>IF(AND($J3827=0,$K3827=0),0,1)</f>
        <v>0</v>
      </c>
      <c r="M3827" t="s">
        <v>526</v>
      </c>
    </row>
    <row r="3828" spans="1:13" x14ac:dyDescent="0.2">
      <c r="A3828" t="s">
        <v>525</v>
      </c>
      <c r="B3828" t="s">
        <v>17</v>
      </c>
      <c r="C3828" t="s">
        <v>21</v>
      </c>
      <c r="D3828">
        <v>3337</v>
      </c>
      <c r="E3828">
        <v>2020</v>
      </c>
      <c r="F3828">
        <v>1</v>
      </c>
      <c r="G3828">
        <v>10058</v>
      </c>
      <c r="H3828" s="1">
        <v>3</v>
      </c>
      <c r="I3828">
        <v>10</v>
      </c>
      <c r="J3828">
        <f>IF($H3828=0,1,IF($I3828&lt;=1,2,0))</f>
        <v>0</v>
      </c>
      <c r="K3828">
        <v>0</v>
      </c>
      <c r="L3828">
        <f>IF(AND($J3828=0,$K3828=0),0,1)</f>
        <v>0</v>
      </c>
      <c r="M3828" t="s">
        <v>526</v>
      </c>
    </row>
    <row r="3829" spans="1:13" x14ac:dyDescent="0.2">
      <c r="A3829" t="s">
        <v>525</v>
      </c>
      <c r="B3829" t="s">
        <v>17</v>
      </c>
      <c r="C3829" t="s">
        <v>21</v>
      </c>
      <c r="D3829">
        <v>3642</v>
      </c>
      <c r="E3829">
        <v>2020</v>
      </c>
      <c r="F3829">
        <v>1</v>
      </c>
      <c r="G3829">
        <v>299</v>
      </c>
      <c r="H3829" s="1">
        <v>3</v>
      </c>
      <c r="I3829">
        <v>8</v>
      </c>
      <c r="J3829">
        <f>IF($H3829=0,1,IF($I3829&lt;=1,2,0))</f>
        <v>0</v>
      </c>
      <c r="K3829">
        <v>0</v>
      </c>
      <c r="L3829">
        <f>IF(AND($J3829=0,$K3829=0),0,1)</f>
        <v>0</v>
      </c>
    </row>
    <row r="3830" spans="1:13" x14ac:dyDescent="0.2">
      <c r="A3830" t="s">
        <v>525</v>
      </c>
      <c r="B3830" t="s">
        <v>17</v>
      </c>
      <c r="C3830" t="s">
        <v>9</v>
      </c>
      <c r="D3830">
        <v>4005</v>
      </c>
      <c r="E3830">
        <v>2020</v>
      </c>
      <c r="F3830">
        <v>1</v>
      </c>
      <c r="G3830">
        <v>10059</v>
      </c>
      <c r="H3830" s="1">
        <v>3</v>
      </c>
      <c r="I3830">
        <v>5</v>
      </c>
      <c r="J3830">
        <f>IF($H3830=0,1,IF($I3830&lt;=1,2,0))</f>
        <v>0</v>
      </c>
      <c r="K3830">
        <v>0</v>
      </c>
      <c r="L3830">
        <f>IF(AND($J3830=0,$K3830=0),0,1)</f>
        <v>0</v>
      </c>
      <c r="M3830" t="s">
        <v>529</v>
      </c>
    </row>
    <row r="3831" spans="1:13" x14ac:dyDescent="0.2">
      <c r="A3831" t="s">
        <v>525</v>
      </c>
      <c r="B3831" t="s">
        <v>17</v>
      </c>
      <c r="C3831" t="s">
        <v>11</v>
      </c>
      <c r="D3831">
        <v>4015</v>
      </c>
      <c r="E3831">
        <v>2020</v>
      </c>
      <c r="F3831">
        <v>1</v>
      </c>
      <c r="G3831">
        <v>10817</v>
      </c>
      <c r="H3831" s="1">
        <v>3</v>
      </c>
      <c r="I3831">
        <v>16</v>
      </c>
      <c r="J3831">
        <f>IF($H3831=0,1,IF($I3831&lt;=1,2,0))</f>
        <v>0</v>
      </c>
      <c r="K3831">
        <v>0</v>
      </c>
      <c r="L3831">
        <f>IF(AND($J3831=0,$K3831=0),0,1)</f>
        <v>0</v>
      </c>
    </row>
    <row r="3832" spans="1:13" x14ac:dyDescent="0.2">
      <c r="A3832" t="s">
        <v>525</v>
      </c>
      <c r="B3832" t="s">
        <v>17</v>
      </c>
      <c r="C3832" t="s">
        <v>9</v>
      </c>
      <c r="D3832">
        <v>4091</v>
      </c>
      <c r="E3832">
        <v>2020</v>
      </c>
      <c r="F3832">
        <v>1</v>
      </c>
      <c r="G3832">
        <v>10053</v>
      </c>
      <c r="H3832" s="1">
        <v>4</v>
      </c>
      <c r="I3832">
        <v>11</v>
      </c>
      <c r="J3832">
        <f>IF($H3832=0,1,IF($I3832&lt;=1,2,0))</f>
        <v>0</v>
      </c>
      <c r="K3832">
        <v>0</v>
      </c>
      <c r="L3832">
        <f>IF(AND($J3832=0,$K3832=0),0,1)</f>
        <v>0</v>
      </c>
      <c r="M3832" t="s">
        <v>1132</v>
      </c>
    </row>
    <row r="3833" spans="1:13" x14ac:dyDescent="0.2">
      <c r="A3833" t="s">
        <v>525</v>
      </c>
      <c r="B3833" t="s">
        <v>17</v>
      </c>
      <c r="C3833" t="s">
        <v>9</v>
      </c>
      <c r="D3833">
        <v>4091</v>
      </c>
      <c r="E3833">
        <v>2020</v>
      </c>
      <c r="F3833">
        <v>2</v>
      </c>
      <c r="G3833">
        <v>10054</v>
      </c>
      <c r="H3833" s="1">
        <v>4</v>
      </c>
      <c r="I3833">
        <v>4</v>
      </c>
      <c r="J3833">
        <f>IF($H3833=0,1,IF($I3833&lt;=1,2,0))</f>
        <v>0</v>
      </c>
      <c r="K3833">
        <v>0</v>
      </c>
      <c r="L3833">
        <f>IF(AND($J3833=0,$K3833=0),0,1)</f>
        <v>0</v>
      </c>
      <c r="M3833" t="s">
        <v>1133</v>
      </c>
    </row>
    <row r="3834" spans="1:13" x14ac:dyDescent="0.2">
      <c r="A3834" t="s">
        <v>525</v>
      </c>
      <c r="B3834" t="s">
        <v>17</v>
      </c>
      <c r="C3834" t="s">
        <v>11</v>
      </c>
      <c r="D3834">
        <v>4097</v>
      </c>
      <c r="E3834">
        <v>2020</v>
      </c>
      <c r="F3834">
        <v>1</v>
      </c>
      <c r="G3834">
        <v>10055</v>
      </c>
      <c r="H3834" s="1">
        <v>3</v>
      </c>
      <c r="I3834">
        <v>6</v>
      </c>
      <c r="J3834">
        <f>IF($H3834=0,1,IF($I3834&lt;=1,2,0))</f>
        <v>0</v>
      </c>
      <c r="K3834">
        <v>0</v>
      </c>
      <c r="L3834">
        <f>IF(AND($J3834=0,$K3834=0),0,1)</f>
        <v>0</v>
      </c>
    </row>
    <row r="3835" spans="1:13" x14ac:dyDescent="0.2">
      <c r="A3835" t="s">
        <v>525</v>
      </c>
      <c r="B3835" t="s">
        <v>17</v>
      </c>
      <c r="C3835" t="s">
        <v>9</v>
      </c>
      <c r="D3835">
        <v>4502</v>
      </c>
      <c r="E3835">
        <v>2020</v>
      </c>
      <c r="F3835">
        <v>1</v>
      </c>
      <c r="G3835">
        <v>300</v>
      </c>
      <c r="H3835" s="1">
        <v>3</v>
      </c>
      <c r="I3835">
        <v>3</v>
      </c>
      <c r="J3835">
        <f>IF($H3835=0,1,IF($I3835&lt;=1,2,0))</f>
        <v>0</v>
      </c>
      <c r="K3835">
        <v>0</v>
      </c>
      <c r="L3835">
        <f>IF(AND($J3835=0,$K3835=0),0,1)</f>
        <v>0</v>
      </c>
    </row>
    <row r="3836" spans="1:13" x14ac:dyDescent="0.2">
      <c r="A3836" t="s">
        <v>531</v>
      </c>
      <c r="B3836" t="s">
        <v>17</v>
      </c>
      <c r="C3836" t="s">
        <v>9</v>
      </c>
      <c r="D3836">
        <v>1002</v>
      </c>
      <c r="E3836">
        <v>2020</v>
      </c>
      <c r="F3836">
        <v>2</v>
      </c>
      <c r="G3836">
        <v>10682</v>
      </c>
      <c r="H3836" s="1">
        <v>2.5</v>
      </c>
      <c r="I3836">
        <v>14</v>
      </c>
      <c r="J3836">
        <f>IF($H3836=0,1,IF($I3836&lt;=1,2,0))</f>
        <v>0</v>
      </c>
      <c r="K3836">
        <v>0</v>
      </c>
      <c r="L3836">
        <f>IF(AND($J3836=0,$K3836=0),0,1)</f>
        <v>0</v>
      </c>
    </row>
    <row r="3837" spans="1:13" x14ac:dyDescent="0.2">
      <c r="A3837" t="s">
        <v>531</v>
      </c>
      <c r="B3837" t="s">
        <v>17</v>
      </c>
      <c r="C3837" t="s">
        <v>9</v>
      </c>
      <c r="D3837">
        <v>1002</v>
      </c>
      <c r="E3837">
        <v>2020</v>
      </c>
      <c r="F3837">
        <v>1</v>
      </c>
      <c r="G3837">
        <v>10681</v>
      </c>
      <c r="H3837" s="1">
        <v>2.5</v>
      </c>
      <c r="I3837">
        <v>11</v>
      </c>
      <c r="J3837">
        <f>IF($H3837=0,1,IF($I3837&lt;=1,2,0))</f>
        <v>0</v>
      </c>
      <c r="K3837">
        <v>0</v>
      </c>
      <c r="L3837">
        <f>IF(AND($J3837=0,$K3837=0),0,1)</f>
        <v>0</v>
      </c>
    </row>
    <row r="3838" spans="1:13" x14ac:dyDescent="0.2">
      <c r="A3838" t="s">
        <v>531</v>
      </c>
      <c r="B3838" t="s">
        <v>17</v>
      </c>
      <c r="C3838" t="s">
        <v>7</v>
      </c>
      <c r="D3838">
        <v>1101</v>
      </c>
      <c r="E3838">
        <v>2020</v>
      </c>
      <c r="F3838">
        <v>1</v>
      </c>
      <c r="G3838">
        <v>10683</v>
      </c>
      <c r="H3838" s="1">
        <v>5</v>
      </c>
      <c r="I3838">
        <v>18</v>
      </c>
      <c r="J3838">
        <f>IF($H3838=0,1,IF($I3838&lt;=1,2,0))</f>
        <v>0</v>
      </c>
      <c r="K3838">
        <v>0</v>
      </c>
      <c r="L3838">
        <f>IF(AND($J3838=0,$K3838=0),0,1)</f>
        <v>0</v>
      </c>
    </row>
    <row r="3839" spans="1:13" x14ac:dyDescent="0.2">
      <c r="A3839" t="s">
        <v>531</v>
      </c>
      <c r="B3839" t="s">
        <v>17</v>
      </c>
      <c r="C3839" t="s">
        <v>7</v>
      </c>
      <c r="D3839">
        <v>1101</v>
      </c>
      <c r="E3839">
        <v>2020</v>
      </c>
      <c r="F3839">
        <v>7</v>
      </c>
      <c r="G3839">
        <v>10689</v>
      </c>
      <c r="H3839" s="1">
        <v>5</v>
      </c>
      <c r="I3839">
        <v>16</v>
      </c>
      <c r="J3839">
        <f>IF($H3839=0,1,IF($I3839&lt;=1,2,0))</f>
        <v>0</v>
      </c>
      <c r="K3839">
        <v>0</v>
      </c>
      <c r="L3839">
        <f>IF(AND($J3839=0,$K3839=0),0,1)</f>
        <v>0</v>
      </c>
    </row>
    <row r="3840" spans="1:13" x14ac:dyDescent="0.2">
      <c r="A3840" t="s">
        <v>531</v>
      </c>
      <c r="B3840" t="s">
        <v>17</v>
      </c>
      <c r="C3840" t="s">
        <v>7</v>
      </c>
      <c r="D3840">
        <v>1101</v>
      </c>
      <c r="E3840">
        <v>2020</v>
      </c>
      <c r="F3840">
        <v>2</v>
      </c>
      <c r="G3840">
        <v>10684</v>
      </c>
      <c r="H3840" s="1">
        <v>5</v>
      </c>
      <c r="I3840">
        <v>14</v>
      </c>
      <c r="J3840">
        <f>IF($H3840=0,1,IF($I3840&lt;=1,2,0))</f>
        <v>0</v>
      </c>
      <c r="K3840">
        <v>0</v>
      </c>
      <c r="L3840">
        <f>IF(AND($J3840=0,$K3840=0),0,1)</f>
        <v>0</v>
      </c>
    </row>
    <row r="3841" spans="1:13" x14ac:dyDescent="0.2">
      <c r="A3841" t="s">
        <v>531</v>
      </c>
      <c r="B3841" t="s">
        <v>17</v>
      </c>
      <c r="C3841" t="s">
        <v>7</v>
      </c>
      <c r="D3841">
        <v>1101</v>
      </c>
      <c r="E3841">
        <v>2020</v>
      </c>
      <c r="F3841">
        <v>3</v>
      </c>
      <c r="G3841">
        <v>10685</v>
      </c>
      <c r="H3841" s="1">
        <v>5</v>
      </c>
      <c r="I3841">
        <v>14</v>
      </c>
      <c r="J3841">
        <f>IF($H3841=0,1,IF($I3841&lt;=1,2,0))</f>
        <v>0</v>
      </c>
      <c r="K3841">
        <v>0</v>
      </c>
      <c r="L3841">
        <f>IF(AND($J3841=0,$K3841=0),0,1)</f>
        <v>0</v>
      </c>
    </row>
    <row r="3842" spans="1:13" x14ac:dyDescent="0.2">
      <c r="A3842" t="s">
        <v>531</v>
      </c>
      <c r="B3842" t="s">
        <v>17</v>
      </c>
      <c r="C3842" t="s">
        <v>7</v>
      </c>
      <c r="D3842">
        <v>1101</v>
      </c>
      <c r="E3842">
        <v>2020</v>
      </c>
      <c r="F3842">
        <v>5</v>
      </c>
      <c r="G3842">
        <v>10687</v>
      </c>
      <c r="H3842" s="1">
        <v>5</v>
      </c>
      <c r="I3842">
        <v>14</v>
      </c>
      <c r="J3842">
        <f>IF($H3842=0,1,IF($I3842&lt;=1,2,0))</f>
        <v>0</v>
      </c>
      <c r="K3842">
        <v>0</v>
      </c>
      <c r="L3842">
        <f>IF(AND($J3842=0,$K3842=0),0,1)</f>
        <v>0</v>
      </c>
    </row>
    <row r="3843" spans="1:13" x14ac:dyDescent="0.2">
      <c r="A3843" t="s">
        <v>531</v>
      </c>
      <c r="B3843" t="s">
        <v>17</v>
      </c>
      <c r="C3843" t="s">
        <v>7</v>
      </c>
      <c r="D3843">
        <v>1101</v>
      </c>
      <c r="E3843">
        <v>2020</v>
      </c>
      <c r="F3843">
        <v>6</v>
      </c>
      <c r="G3843">
        <v>10688</v>
      </c>
      <c r="H3843" s="1">
        <v>5</v>
      </c>
      <c r="I3843">
        <v>14</v>
      </c>
      <c r="J3843">
        <f>IF($H3843=0,1,IF($I3843&lt;=1,2,0))</f>
        <v>0</v>
      </c>
      <c r="K3843">
        <v>0</v>
      </c>
      <c r="L3843">
        <f>IF(AND($J3843=0,$K3843=0),0,1)</f>
        <v>0</v>
      </c>
    </row>
    <row r="3844" spans="1:13" x14ac:dyDescent="0.2">
      <c r="A3844" t="s">
        <v>531</v>
      </c>
      <c r="B3844" t="s">
        <v>17</v>
      </c>
      <c r="C3844" t="s">
        <v>7</v>
      </c>
      <c r="D3844">
        <v>2201</v>
      </c>
      <c r="E3844">
        <v>2020</v>
      </c>
      <c r="F3844">
        <v>3</v>
      </c>
      <c r="G3844">
        <v>10692</v>
      </c>
      <c r="H3844" s="1">
        <v>5</v>
      </c>
      <c r="I3844">
        <v>11</v>
      </c>
      <c r="J3844">
        <f>IF($H3844=0,1,IF($I3844&lt;=1,2,0))</f>
        <v>0</v>
      </c>
      <c r="K3844">
        <v>0</v>
      </c>
      <c r="L3844">
        <f>IF(AND($J3844=0,$K3844=0),0,1)</f>
        <v>0</v>
      </c>
    </row>
    <row r="3845" spans="1:13" x14ac:dyDescent="0.2">
      <c r="A3845" t="s">
        <v>531</v>
      </c>
      <c r="B3845" t="s">
        <v>17</v>
      </c>
      <c r="C3845" t="s">
        <v>7</v>
      </c>
      <c r="D3845">
        <v>2201</v>
      </c>
      <c r="E3845">
        <v>2020</v>
      </c>
      <c r="F3845">
        <v>4</v>
      </c>
      <c r="G3845">
        <v>10693</v>
      </c>
      <c r="H3845" s="1">
        <v>5</v>
      </c>
      <c r="I3845">
        <v>11</v>
      </c>
      <c r="J3845">
        <f>IF($H3845=0,1,IF($I3845&lt;=1,2,0))</f>
        <v>0</v>
      </c>
      <c r="K3845">
        <v>0</v>
      </c>
      <c r="L3845">
        <f>IF(AND($J3845=0,$K3845=0),0,1)</f>
        <v>0</v>
      </c>
    </row>
    <row r="3846" spans="1:13" x14ac:dyDescent="0.2">
      <c r="A3846" t="s">
        <v>531</v>
      </c>
      <c r="B3846" t="s">
        <v>17</v>
      </c>
      <c r="C3846" t="s">
        <v>7</v>
      </c>
      <c r="D3846">
        <v>2201</v>
      </c>
      <c r="E3846">
        <v>2020</v>
      </c>
      <c r="F3846">
        <v>1</v>
      </c>
      <c r="G3846">
        <v>10690</v>
      </c>
      <c r="H3846" s="1">
        <v>5</v>
      </c>
      <c r="I3846">
        <v>10</v>
      </c>
      <c r="J3846">
        <f>IF($H3846=0,1,IF($I3846&lt;=1,2,0))</f>
        <v>0</v>
      </c>
      <c r="K3846">
        <v>0</v>
      </c>
      <c r="L3846">
        <f>IF(AND($J3846=0,$K3846=0),0,1)</f>
        <v>0</v>
      </c>
    </row>
    <row r="3847" spans="1:13" x14ac:dyDescent="0.2">
      <c r="A3847" t="s">
        <v>531</v>
      </c>
      <c r="B3847" t="s">
        <v>17</v>
      </c>
      <c r="C3847" t="s">
        <v>7</v>
      </c>
      <c r="D3847">
        <v>2201</v>
      </c>
      <c r="E3847">
        <v>2020</v>
      </c>
      <c r="F3847">
        <v>2</v>
      </c>
      <c r="G3847">
        <v>10691</v>
      </c>
      <c r="H3847" s="1">
        <v>5</v>
      </c>
      <c r="I3847">
        <v>10</v>
      </c>
      <c r="J3847">
        <f>IF($H3847=0,1,IF($I3847&lt;=1,2,0))</f>
        <v>0</v>
      </c>
      <c r="K3847">
        <v>0</v>
      </c>
      <c r="L3847">
        <f>IF(AND($J3847=0,$K3847=0),0,1)</f>
        <v>0</v>
      </c>
    </row>
    <row r="3848" spans="1:13" x14ac:dyDescent="0.2">
      <c r="A3848" t="s">
        <v>531</v>
      </c>
      <c r="B3848" t="s">
        <v>17</v>
      </c>
      <c r="C3848" t="s">
        <v>7</v>
      </c>
      <c r="D3848">
        <v>2201</v>
      </c>
      <c r="E3848">
        <v>2020</v>
      </c>
      <c r="F3848">
        <v>5</v>
      </c>
      <c r="G3848">
        <v>24484</v>
      </c>
      <c r="H3848" s="1">
        <v>5</v>
      </c>
      <c r="I3848">
        <v>9</v>
      </c>
      <c r="J3848">
        <f>IF($H3848=0,1,IF($I3848&lt;=1,2,0))</f>
        <v>0</v>
      </c>
      <c r="K3848">
        <v>0</v>
      </c>
      <c r="L3848">
        <f>IF(AND($J3848=0,$K3848=0),0,1)</f>
        <v>0</v>
      </c>
    </row>
    <row r="3849" spans="1:13" x14ac:dyDescent="0.2">
      <c r="A3849" t="s">
        <v>531</v>
      </c>
      <c r="B3849" t="s">
        <v>17</v>
      </c>
      <c r="C3849" t="s">
        <v>9</v>
      </c>
      <c r="D3849">
        <v>3005</v>
      </c>
      <c r="E3849">
        <v>2020</v>
      </c>
      <c r="F3849">
        <v>1</v>
      </c>
      <c r="G3849">
        <v>10694</v>
      </c>
      <c r="H3849" s="1">
        <v>5</v>
      </c>
      <c r="I3849">
        <v>11</v>
      </c>
      <c r="J3849">
        <f>IF($H3849=0,1,IF($I3849&lt;=1,2,0))</f>
        <v>0</v>
      </c>
      <c r="K3849">
        <v>0</v>
      </c>
      <c r="L3849">
        <f>IF(AND($J3849=0,$K3849=0),0,1)</f>
        <v>0</v>
      </c>
    </row>
    <row r="3850" spans="1:13" x14ac:dyDescent="0.2">
      <c r="A3850" t="s">
        <v>531</v>
      </c>
      <c r="B3850" t="s">
        <v>17</v>
      </c>
      <c r="C3850" t="s">
        <v>9</v>
      </c>
      <c r="D3850">
        <v>3005</v>
      </c>
      <c r="E3850">
        <v>2020</v>
      </c>
      <c r="F3850">
        <v>2</v>
      </c>
      <c r="G3850">
        <v>10695</v>
      </c>
      <c r="H3850" s="1">
        <v>5</v>
      </c>
      <c r="I3850">
        <v>8</v>
      </c>
      <c r="J3850">
        <f>IF($H3850=0,1,IF($I3850&lt;=1,2,0))</f>
        <v>0</v>
      </c>
      <c r="K3850">
        <v>0</v>
      </c>
      <c r="L3850">
        <f>IF(AND($J3850=0,$K3850=0),0,1)</f>
        <v>0</v>
      </c>
    </row>
    <row r="3851" spans="1:13" x14ac:dyDescent="0.2">
      <c r="A3851" t="s">
        <v>531</v>
      </c>
      <c r="B3851" t="s">
        <v>17</v>
      </c>
      <c r="C3851" t="s">
        <v>9</v>
      </c>
      <c r="D3851">
        <v>3101</v>
      </c>
      <c r="E3851">
        <v>2020</v>
      </c>
      <c r="F3851">
        <v>1</v>
      </c>
      <c r="G3851">
        <v>22297</v>
      </c>
      <c r="H3851" s="1">
        <v>5</v>
      </c>
      <c r="I3851">
        <v>6</v>
      </c>
      <c r="J3851">
        <f>IF($H3851=0,1,IF($I3851&lt;=1,2,0))</f>
        <v>0</v>
      </c>
      <c r="K3851">
        <v>0</v>
      </c>
      <c r="L3851">
        <f>IF(AND($J3851=0,$K3851=0),0,1)</f>
        <v>0</v>
      </c>
      <c r="M3851" t="s">
        <v>1134</v>
      </c>
    </row>
    <row r="3852" spans="1:13" x14ac:dyDescent="0.2">
      <c r="A3852" t="s">
        <v>531</v>
      </c>
      <c r="B3852" t="s">
        <v>17</v>
      </c>
      <c r="C3852" t="s">
        <v>9</v>
      </c>
      <c r="D3852">
        <v>3401</v>
      </c>
      <c r="E3852">
        <v>2020</v>
      </c>
      <c r="F3852">
        <v>1</v>
      </c>
      <c r="G3852">
        <v>12873</v>
      </c>
      <c r="H3852" s="1">
        <v>2.5</v>
      </c>
      <c r="I3852">
        <v>5</v>
      </c>
      <c r="J3852">
        <f>IF($H3852=0,1,IF($I3852&lt;=1,2,0))</f>
        <v>0</v>
      </c>
      <c r="K3852">
        <v>0</v>
      </c>
      <c r="L3852">
        <f>IF(AND($J3852=0,$K3852=0),0,1)</f>
        <v>0</v>
      </c>
      <c r="M3852" t="s">
        <v>1135</v>
      </c>
    </row>
    <row r="3853" spans="1:13" x14ac:dyDescent="0.2">
      <c r="A3853" t="s">
        <v>531</v>
      </c>
      <c r="B3853" t="s">
        <v>17</v>
      </c>
      <c r="C3853" t="s">
        <v>9</v>
      </c>
      <c r="D3853">
        <v>4007</v>
      </c>
      <c r="E3853">
        <v>2020</v>
      </c>
      <c r="F3853">
        <v>1</v>
      </c>
      <c r="G3853">
        <v>10696</v>
      </c>
      <c r="H3853" s="1">
        <v>3</v>
      </c>
      <c r="I3853">
        <v>7</v>
      </c>
      <c r="J3853">
        <f>IF($H3853=0,1,IF($I3853&lt;=1,2,0))</f>
        <v>0</v>
      </c>
      <c r="K3853">
        <v>0</v>
      </c>
      <c r="L3853">
        <f>IF(AND($J3853=0,$K3853=0),0,1)</f>
        <v>0</v>
      </c>
    </row>
    <row r="3854" spans="1:13" x14ac:dyDescent="0.2">
      <c r="A3854" t="s">
        <v>531</v>
      </c>
      <c r="B3854" t="s">
        <v>17</v>
      </c>
      <c r="C3854" t="s">
        <v>9</v>
      </c>
      <c r="D3854">
        <v>4012</v>
      </c>
      <c r="E3854">
        <v>2020</v>
      </c>
      <c r="F3854">
        <v>1</v>
      </c>
      <c r="G3854">
        <v>10697</v>
      </c>
      <c r="H3854" s="1">
        <v>4</v>
      </c>
      <c r="I3854">
        <v>3</v>
      </c>
      <c r="J3854">
        <f>IF($H3854=0,1,IF($I3854&lt;=1,2,0))</f>
        <v>0</v>
      </c>
      <c r="K3854">
        <v>0</v>
      </c>
      <c r="L3854">
        <f>IF(AND($J3854=0,$K3854=0),0,1)</f>
        <v>0</v>
      </c>
    </row>
    <row r="3855" spans="1:13" x14ac:dyDescent="0.2">
      <c r="A3855" t="s">
        <v>531</v>
      </c>
      <c r="B3855" t="s">
        <v>17</v>
      </c>
      <c r="C3855" t="s">
        <v>9</v>
      </c>
      <c r="D3855">
        <v>4017</v>
      </c>
      <c r="E3855">
        <v>2020</v>
      </c>
      <c r="F3855">
        <v>1</v>
      </c>
      <c r="G3855">
        <v>10698</v>
      </c>
      <c r="H3855" s="1">
        <v>4</v>
      </c>
      <c r="I3855">
        <v>11</v>
      </c>
      <c r="J3855">
        <f>IF($H3855=0,1,IF($I3855&lt;=1,2,0))</f>
        <v>0</v>
      </c>
      <c r="K3855">
        <v>0</v>
      </c>
      <c r="L3855">
        <f>IF(AND($J3855=0,$K3855=0),0,1)</f>
        <v>0</v>
      </c>
    </row>
    <row r="3856" spans="1:13" x14ac:dyDescent="0.2">
      <c r="A3856" t="s">
        <v>531</v>
      </c>
      <c r="B3856" t="s">
        <v>17</v>
      </c>
      <c r="C3856" t="s">
        <v>9</v>
      </c>
      <c r="D3856">
        <v>4519</v>
      </c>
      <c r="E3856">
        <v>2020</v>
      </c>
      <c r="F3856">
        <v>1</v>
      </c>
      <c r="G3856">
        <v>10699</v>
      </c>
      <c r="H3856" s="1">
        <v>4</v>
      </c>
      <c r="I3856">
        <v>12</v>
      </c>
      <c r="J3856">
        <f>IF($H3856=0,1,IF($I3856&lt;=1,2,0))</f>
        <v>0</v>
      </c>
      <c r="K3856">
        <v>0</v>
      </c>
      <c r="L3856">
        <f>IF(AND($J3856=0,$K3856=0),0,1)</f>
        <v>0</v>
      </c>
    </row>
    <row r="3857" spans="1:13" x14ac:dyDescent="0.2">
      <c r="A3857" t="s">
        <v>531</v>
      </c>
      <c r="B3857" t="s">
        <v>17</v>
      </c>
      <c r="C3857" t="s">
        <v>11</v>
      </c>
      <c r="D3857">
        <v>5016</v>
      </c>
      <c r="E3857">
        <v>2020</v>
      </c>
      <c r="F3857">
        <v>1</v>
      </c>
      <c r="G3857">
        <v>10700</v>
      </c>
      <c r="H3857" s="1">
        <v>4</v>
      </c>
      <c r="I3857">
        <v>5</v>
      </c>
      <c r="J3857">
        <f>IF($H3857=0,1,IF($I3857&lt;=1,2,0))</f>
        <v>0</v>
      </c>
      <c r="K3857">
        <v>0</v>
      </c>
      <c r="L3857">
        <f>IF(AND($J3857=0,$K3857=0),0,1)</f>
        <v>0</v>
      </c>
    </row>
    <row r="3858" spans="1:13" x14ac:dyDescent="0.2">
      <c r="A3858" t="s">
        <v>531</v>
      </c>
      <c r="B3858" t="s">
        <v>17</v>
      </c>
      <c r="C3858" t="s">
        <v>11</v>
      </c>
      <c r="D3858">
        <v>8020</v>
      </c>
      <c r="E3858">
        <v>2020</v>
      </c>
      <c r="F3858">
        <v>1</v>
      </c>
      <c r="G3858">
        <v>10701</v>
      </c>
      <c r="H3858" s="1">
        <v>4</v>
      </c>
      <c r="I3858">
        <v>7</v>
      </c>
      <c r="J3858">
        <f>IF($H3858=0,1,IF($I3858&lt;=1,2,0))</f>
        <v>0</v>
      </c>
      <c r="K3858">
        <v>0</v>
      </c>
      <c r="L3858">
        <f>IF(AND($J3858=0,$K3858=0),0,1)</f>
        <v>0</v>
      </c>
      <c r="M3858" t="s">
        <v>294</v>
      </c>
    </row>
    <row r="3859" spans="1:13" x14ac:dyDescent="0.2">
      <c r="A3859" t="s">
        <v>531</v>
      </c>
      <c r="B3859" t="s">
        <v>17</v>
      </c>
      <c r="C3859" t="s">
        <v>11</v>
      </c>
      <c r="D3859">
        <v>8040</v>
      </c>
      <c r="E3859">
        <v>2020</v>
      </c>
      <c r="F3859">
        <v>1</v>
      </c>
      <c r="G3859">
        <v>10702</v>
      </c>
      <c r="H3859" s="1">
        <v>4</v>
      </c>
      <c r="I3859">
        <v>6</v>
      </c>
      <c r="J3859">
        <f>IF($H3859=0,1,IF($I3859&lt;=1,2,0))</f>
        <v>0</v>
      </c>
      <c r="K3859">
        <v>0</v>
      </c>
      <c r="L3859">
        <f>IF(AND($J3859=0,$K3859=0),0,1)</f>
        <v>0</v>
      </c>
      <c r="M3859" t="s">
        <v>294</v>
      </c>
    </row>
    <row r="3860" spans="1:13" x14ac:dyDescent="0.2">
      <c r="A3860" t="s">
        <v>533</v>
      </c>
      <c r="B3860" t="s">
        <v>6</v>
      </c>
      <c r="C3860" t="s">
        <v>9</v>
      </c>
      <c r="D3860">
        <v>4538</v>
      </c>
      <c r="E3860">
        <v>2020</v>
      </c>
      <c r="F3860">
        <v>1</v>
      </c>
      <c r="G3860">
        <v>14147</v>
      </c>
      <c r="H3860" s="1">
        <v>4</v>
      </c>
      <c r="I3860">
        <v>5</v>
      </c>
      <c r="J3860">
        <f>IF($H3860=0,1,IF($I3860&lt;=1,2,0))</f>
        <v>0</v>
      </c>
      <c r="K3860">
        <v>0</v>
      </c>
      <c r="L3860">
        <f>IF(AND($J3860=0,$K3860=0),0,1)</f>
        <v>0</v>
      </c>
    </row>
    <row r="3861" spans="1:13" x14ac:dyDescent="0.2">
      <c r="A3861" t="s">
        <v>533</v>
      </c>
      <c r="B3861" t="s">
        <v>6</v>
      </c>
      <c r="C3861" t="s">
        <v>9</v>
      </c>
      <c r="D3861">
        <v>4990</v>
      </c>
      <c r="E3861">
        <v>2020</v>
      </c>
      <c r="F3861">
        <v>1</v>
      </c>
      <c r="G3861">
        <v>12186</v>
      </c>
      <c r="H3861" s="1">
        <v>4</v>
      </c>
      <c r="I3861">
        <v>9</v>
      </c>
      <c r="J3861">
        <f>IF($H3861=0,1,IF($I3861&lt;=1,2,0))</f>
        <v>0</v>
      </c>
      <c r="K3861">
        <v>0</v>
      </c>
      <c r="L3861">
        <f>IF(AND($J3861=0,$K3861=0),0,1)</f>
        <v>0</v>
      </c>
    </row>
    <row r="3862" spans="1:13" x14ac:dyDescent="0.2">
      <c r="A3862" t="s">
        <v>534</v>
      </c>
      <c r="B3862" t="s">
        <v>17</v>
      </c>
      <c r="C3862" t="s">
        <v>9</v>
      </c>
      <c r="D3862">
        <v>1002</v>
      </c>
      <c r="E3862">
        <v>2020</v>
      </c>
      <c r="F3862">
        <v>1</v>
      </c>
      <c r="G3862">
        <v>10703</v>
      </c>
      <c r="H3862" s="1">
        <v>2.5</v>
      </c>
      <c r="I3862">
        <v>13</v>
      </c>
      <c r="J3862">
        <f>IF($H3862=0,1,IF($I3862&lt;=1,2,0))</f>
        <v>0</v>
      </c>
      <c r="K3862">
        <v>0</v>
      </c>
      <c r="L3862">
        <f>IF(AND($J3862=0,$K3862=0),0,1)</f>
        <v>0</v>
      </c>
    </row>
    <row r="3863" spans="1:13" x14ac:dyDescent="0.2">
      <c r="A3863" t="s">
        <v>534</v>
      </c>
      <c r="B3863" t="s">
        <v>17</v>
      </c>
      <c r="C3863" t="s">
        <v>9</v>
      </c>
      <c r="D3863">
        <v>1002</v>
      </c>
      <c r="E3863">
        <v>2020</v>
      </c>
      <c r="F3863">
        <v>3</v>
      </c>
      <c r="G3863">
        <v>10705</v>
      </c>
      <c r="H3863" s="1">
        <v>2.5</v>
      </c>
      <c r="I3863">
        <v>8</v>
      </c>
      <c r="J3863">
        <f>IF($H3863=0,1,IF($I3863&lt;=1,2,0))</f>
        <v>0</v>
      </c>
      <c r="K3863">
        <v>0</v>
      </c>
      <c r="L3863">
        <f>IF(AND($J3863=0,$K3863=0),0,1)</f>
        <v>0</v>
      </c>
    </row>
    <row r="3864" spans="1:13" x14ac:dyDescent="0.2">
      <c r="A3864" t="s">
        <v>534</v>
      </c>
      <c r="B3864" t="s">
        <v>17</v>
      </c>
      <c r="C3864" t="s">
        <v>9</v>
      </c>
      <c r="D3864">
        <v>1002</v>
      </c>
      <c r="E3864">
        <v>2020</v>
      </c>
      <c r="F3864">
        <v>2</v>
      </c>
      <c r="G3864">
        <v>10704</v>
      </c>
      <c r="H3864" s="1">
        <v>2.5</v>
      </c>
      <c r="I3864">
        <v>5</v>
      </c>
      <c r="J3864">
        <f>IF($H3864=0,1,IF($I3864&lt;=1,2,0))</f>
        <v>0</v>
      </c>
      <c r="K3864">
        <v>0</v>
      </c>
      <c r="L3864">
        <f>IF(AND($J3864=0,$K3864=0),0,1)</f>
        <v>0</v>
      </c>
    </row>
    <row r="3865" spans="1:13" x14ac:dyDescent="0.2">
      <c r="A3865" t="s">
        <v>534</v>
      </c>
      <c r="B3865" t="s">
        <v>17</v>
      </c>
      <c r="C3865" t="s">
        <v>9</v>
      </c>
      <c r="D3865">
        <v>1101</v>
      </c>
      <c r="E3865">
        <v>2020</v>
      </c>
      <c r="F3865">
        <v>4</v>
      </c>
      <c r="G3865">
        <v>10709</v>
      </c>
      <c r="H3865" s="1">
        <v>5</v>
      </c>
      <c r="I3865">
        <v>19</v>
      </c>
      <c r="J3865">
        <f>IF($H3865=0,1,IF($I3865&lt;=1,2,0))</f>
        <v>0</v>
      </c>
      <c r="K3865">
        <v>0</v>
      </c>
      <c r="L3865">
        <f>IF(AND($J3865=0,$K3865=0),0,1)</f>
        <v>0</v>
      </c>
    </row>
    <row r="3866" spans="1:13" x14ac:dyDescent="0.2">
      <c r="A3866" t="s">
        <v>534</v>
      </c>
      <c r="B3866" t="s">
        <v>17</v>
      </c>
      <c r="C3866" t="s">
        <v>9</v>
      </c>
      <c r="D3866">
        <v>1101</v>
      </c>
      <c r="E3866">
        <v>2020</v>
      </c>
      <c r="F3866">
        <v>1</v>
      </c>
      <c r="G3866">
        <v>10706</v>
      </c>
      <c r="H3866" s="1">
        <v>5</v>
      </c>
      <c r="I3866">
        <v>16</v>
      </c>
      <c r="J3866">
        <f>IF($H3866=0,1,IF($I3866&lt;=1,2,0))</f>
        <v>0</v>
      </c>
      <c r="K3866">
        <v>0</v>
      </c>
      <c r="L3866">
        <f>IF(AND($J3866=0,$K3866=0),0,1)</f>
        <v>0</v>
      </c>
    </row>
    <row r="3867" spans="1:13" x14ac:dyDescent="0.2">
      <c r="A3867" t="s">
        <v>534</v>
      </c>
      <c r="B3867" t="s">
        <v>17</v>
      </c>
      <c r="C3867" t="s">
        <v>9</v>
      </c>
      <c r="D3867">
        <v>1101</v>
      </c>
      <c r="E3867">
        <v>2020</v>
      </c>
      <c r="F3867">
        <v>3</v>
      </c>
      <c r="G3867">
        <v>10708</v>
      </c>
      <c r="H3867" s="1">
        <v>5</v>
      </c>
      <c r="I3867">
        <v>16</v>
      </c>
      <c r="J3867">
        <f>IF($H3867=0,1,IF($I3867&lt;=1,2,0))</f>
        <v>0</v>
      </c>
      <c r="K3867">
        <v>0</v>
      </c>
      <c r="L3867">
        <f>IF(AND($J3867=0,$K3867=0),0,1)</f>
        <v>0</v>
      </c>
    </row>
    <row r="3868" spans="1:13" x14ac:dyDescent="0.2">
      <c r="A3868" t="s">
        <v>534</v>
      </c>
      <c r="B3868" t="s">
        <v>17</v>
      </c>
      <c r="C3868" t="s">
        <v>9</v>
      </c>
      <c r="D3868">
        <v>1101</v>
      </c>
      <c r="E3868">
        <v>2020</v>
      </c>
      <c r="F3868">
        <v>5</v>
      </c>
      <c r="G3868">
        <v>10710</v>
      </c>
      <c r="H3868" s="1">
        <v>5</v>
      </c>
      <c r="I3868">
        <v>12</v>
      </c>
      <c r="J3868">
        <f>IF($H3868=0,1,IF($I3868&lt;=1,2,0))</f>
        <v>0</v>
      </c>
      <c r="K3868">
        <v>0</v>
      </c>
      <c r="L3868">
        <f>IF(AND($J3868=0,$K3868=0),0,1)</f>
        <v>0</v>
      </c>
    </row>
    <row r="3869" spans="1:13" x14ac:dyDescent="0.2">
      <c r="A3869" t="s">
        <v>534</v>
      </c>
      <c r="B3869" t="s">
        <v>17</v>
      </c>
      <c r="C3869" t="s">
        <v>9</v>
      </c>
      <c r="D3869">
        <v>1101</v>
      </c>
      <c r="E3869">
        <v>2020</v>
      </c>
      <c r="F3869">
        <v>2</v>
      </c>
      <c r="G3869">
        <v>10707</v>
      </c>
      <c r="H3869" s="1">
        <v>5</v>
      </c>
      <c r="I3869">
        <v>11</v>
      </c>
      <c r="J3869">
        <f>IF($H3869=0,1,IF($I3869&lt;=1,2,0))</f>
        <v>0</v>
      </c>
      <c r="K3869">
        <v>0</v>
      </c>
      <c r="L3869">
        <f>IF(AND($J3869=0,$K3869=0),0,1)</f>
        <v>0</v>
      </c>
    </row>
    <row r="3870" spans="1:13" x14ac:dyDescent="0.2">
      <c r="A3870" t="s">
        <v>534</v>
      </c>
      <c r="B3870" t="s">
        <v>17</v>
      </c>
      <c r="C3870" t="s">
        <v>9</v>
      </c>
      <c r="D3870">
        <v>2201</v>
      </c>
      <c r="E3870">
        <v>2020</v>
      </c>
      <c r="F3870">
        <v>1</v>
      </c>
      <c r="G3870">
        <v>10711</v>
      </c>
      <c r="H3870" s="1">
        <v>5</v>
      </c>
      <c r="I3870">
        <v>15</v>
      </c>
      <c r="J3870">
        <f>IF($H3870=0,1,IF($I3870&lt;=1,2,0))</f>
        <v>0</v>
      </c>
      <c r="K3870">
        <v>0</v>
      </c>
      <c r="L3870">
        <f>IF(AND($J3870=0,$K3870=0),0,1)</f>
        <v>0</v>
      </c>
      <c r="M3870" t="s">
        <v>1136</v>
      </c>
    </row>
    <row r="3871" spans="1:13" x14ac:dyDescent="0.2">
      <c r="A3871" t="s">
        <v>534</v>
      </c>
      <c r="B3871" t="s">
        <v>17</v>
      </c>
      <c r="C3871" t="s">
        <v>9</v>
      </c>
      <c r="D3871">
        <v>2201</v>
      </c>
      <c r="E3871">
        <v>2020</v>
      </c>
      <c r="F3871">
        <v>2</v>
      </c>
      <c r="G3871">
        <v>10712</v>
      </c>
      <c r="H3871" s="1">
        <v>5</v>
      </c>
      <c r="I3871">
        <v>15</v>
      </c>
      <c r="J3871">
        <f>IF($H3871=0,1,IF($I3871&lt;=1,2,0))</f>
        <v>0</v>
      </c>
      <c r="K3871">
        <v>0</v>
      </c>
      <c r="L3871">
        <f>IF(AND($J3871=0,$K3871=0),0,1)</f>
        <v>0</v>
      </c>
      <c r="M3871" t="s">
        <v>1136</v>
      </c>
    </row>
    <row r="3872" spans="1:13" x14ac:dyDescent="0.2">
      <c r="A3872" t="s">
        <v>534</v>
      </c>
      <c r="B3872" t="s">
        <v>17</v>
      </c>
      <c r="C3872" t="s">
        <v>9</v>
      </c>
      <c r="D3872">
        <v>2201</v>
      </c>
      <c r="E3872">
        <v>2020</v>
      </c>
      <c r="F3872">
        <v>4</v>
      </c>
      <c r="G3872">
        <v>10714</v>
      </c>
      <c r="H3872" s="1">
        <v>5</v>
      </c>
      <c r="I3872">
        <v>9</v>
      </c>
      <c r="J3872">
        <f>IF($H3872=0,1,IF($I3872&lt;=1,2,0))</f>
        <v>0</v>
      </c>
      <c r="K3872">
        <v>0</v>
      </c>
      <c r="L3872">
        <f>IF(AND($J3872=0,$K3872=0),0,1)</f>
        <v>0</v>
      </c>
      <c r="M3872" t="s">
        <v>1136</v>
      </c>
    </row>
    <row r="3873" spans="1:13" x14ac:dyDescent="0.2">
      <c r="A3873" t="s">
        <v>534</v>
      </c>
      <c r="B3873" t="s">
        <v>17</v>
      </c>
      <c r="C3873" t="s">
        <v>9</v>
      </c>
      <c r="D3873">
        <v>2201</v>
      </c>
      <c r="E3873">
        <v>2020</v>
      </c>
      <c r="F3873">
        <v>3</v>
      </c>
      <c r="G3873">
        <v>10713</v>
      </c>
      <c r="H3873" s="1">
        <v>5</v>
      </c>
      <c r="I3873">
        <v>8</v>
      </c>
      <c r="J3873">
        <f>IF($H3873=0,1,IF($I3873&lt;=1,2,0))</f>
        <v>0</v>
      </c>
      <c r="K3873">
        <v>0</v>
      </c>
      <c r="L3873">
        <f>IF(AND($J3873=0,$K3873=0),0,1)</f>
        <v>0</v>
      </c>
      <c r="M3873" t="s">
        <v>1136</v>
      </c>
    </row>
    <row r="3874" spans="1:13" x14ac:dyDescent="0.2">
      <c r="A3874" t="s">
        <v>534</v>
      </c>
      <c r="B3874" t="s">
        <v>17</v>
      </c>
      <c r="C3874" t="s">
        <v>9</v>
      </c>
      <c r="D3874">
        <v>3005</v>
      </c>
      <c r="E3874">
        <v>2020</v>
      </c>
      <c r="F3874">
        <v>1</v>
      </c>
      <c r="G3874">
        <v>10715</v>
      </c>
      <c r="H3874" s="1">
        <v>5</v>
      </c>
      <c r="I3874">
        <v>11</v>
      </c>
      <c r="J3874">
        <f>IF($H3874=0,1,IF($I3874&lt;=1,2,0))</f>
        <v>0</v>
      </c>
      <c r="K3874">
        <v>0</v>
      </c>
      <c r="L3874">
        <f>IF(AND($J3874=0,$K3874=0),0,1)</f>
        <v>0</v>
      </c>
      <c r="M3874" t="s">
        <v>535</v>
      </c>
    </row>
    <row r="3875" spans="1:13" x14ac:dyDescent="0.2">
      <c r="A3875" t="s">
        <v>534</v>
      </c>
      <c r="B3875" t="s">
        <v>17</v>
      </c>
      <c r="C3875" t="s">
        <v>9</v>
      </c>
      <c r="D3875">
        <v>3005</v>
      </c>
      <c r="E3875">
        <v>2020</v>
      </c>
      <c r="F3875">
        <v>2</v>
      </c>
      <c r="G3875">
        <v>10716</v>
      </c>
      <c r="H3875" s="1">
        <v>5</v>
      </c>
      <c r="I3875">
        <v>11</v>
      </c>
      <c r="J3875">
        <f>IF($H3875=0,1,IF($I3875&lt;=1,2,0))</f>
        <v>0</v>
      </c>
      <c r="K3875">
        <v>0</v>
      </c>
      <c r="L3875">
        <f>IF(AND($J3875=0,$K3875=0),0,1)</f>
        <v>0</v>
      </c>
      <c r="M3875" t="s">
        <v>536</v>
      </c>
    </row>
    <row r="3876" spans="1:13" x14ac:dyDescent="0.2">
      <c r="A3876" t="s">
        <v>534</v>
      </c>
      <c r="B3876" t="s">
        <v>17</v>
      </c>
      <c r="C3876" t="s">
        <v>9</v>
      </c>
      <c r="D3876">
        <v>4105</v>
      </c>
      <c r="E3876">
        <v>2020</v>
      </c>
      <c r="F3876">
        <v>1</v>
      </c>
      <c r="G3876">
        <v>10717</v>
      </c>
      <c r="H3876" s="1">
        <v>4</v>
      </c>
      <c r="I3876">
        <v>10</v>
      </c>
      <c r="J3876">
        <f>IF($H3876=0,1,IF($I3876&lt;=1,2,0))</f>
        <v>0</v>
      </c>
      <c r="K3876">
        <v>0</v>
      </c>
      <c r="L3876">
        <f>IF(AND($J3876=0,$K3876=0),0,1)</f>
        <v>0</v>
      </c>
    </row>
    <row r="3877" spans="1:13" x14ac:dyDescent="0.2">
      <c r="A3877" t="s">
        <v>534</v>
      </c>
      <c r="B3877" t="s">
        <v>17</v>
      </c>
      <c r="C3877" t="s">
        <v>11</v>
      </c>
      <c r="D3877">
        <v>4511</v>
      </c>
      <c r="E3877">
        <v>2020</v>
      </c>
      <c r="F3877">
        <v>1</v>
      </c>
      <c r="G3877">
        <v>10718</v>
      </c>
      <c r="H3877" s="1">
        <v>4</v>
      </c>
      <c r="I3877">
        <v>2</v>
      </c>
      <c r="J3877">
        <f>IF($H3877=0,1,IF($I3877&lt;=1,2,0))</f>
        <v>0</v>
      </c>
      <c r="K3877">
        <v>0</v>
      </c>
      <c r="L3877">
        <f>IF(AND($J3877=0,$K3877=0),0,1)</f>
        <v>0</v>
      </c>
    </row>
    <row r="3878" spans="1:13" x14ac:dyDescent="0.2">
      <c r="A3878" t="s">
        <v>537</v>
      </c>
      <c r="B3878" t="s">
        <v>17</v>
      </c>
      <c r="C3878" t="s">
        <v>7</v>
      </c>
      <c r="D3878">
        <v>1020</v>
      </c>
      <c r="E3878">
        <v>2020</v>
      </c>
      <c r="F3878">
        <v>1</v>
      </c>
      <c r="G3878">
        <v>12206</v>
      </c>
      <c r="H3878" s="1">
        <v>4</v>
      </c>
      <c r="I3878">
        <v>17</v>
      </c>
      <c r="J3878">
        <f>IF($H3878=0,1,IF($I3878&lt;=1,2,0))</f>
        <v>0</v>
      </c>
      <c r="K3878">
        <v>0</v>
      </c>
      <c r="L3878">
        <f>IF(AND($J3878=0,$K3878=0),0,1)</f>
        <v>0</v>
      </c>
    </row>
    <row r="3879" spans="1:13" x14ac:dyDescent="0.2">
      <c r="A3879" t="s">
        <v>538</v>
      </c>
      <c r="B3879" t="s">
        <v>17</v>
      </c>
      <c r="C3879" t="s">
        <v>21</v>
      </c>
      <c r="D3879">
        <v>1101</v>
      </c>
      <c r="E3879">
        <v>2020</v>
      </c>
      <c r="F3879">
        <v>1</v>
      </c>
      <c r="G3879">
        <v>11639</v>
      </c>
      <c r="H3879" s="1">
        <v>4</v>
      </c>
      <c r="I3879">
        <v>12</v>
      </c>
      <c r="J3879">
        <f>IF($H3879=0,1,IF($I3879&lt;=1,2,0))</f>
        <v>0</v>
      </c>
      <c r="K3879">
        <v>0</v>
      </c>
      <c r="L3879">
        <f>IF(AND($J3879=0,$K3879=0),0,1)</f>
        <v>0</v>
      </c>
    </row>
    <row r="3880" spans="1:13" x14ac:dyDescent="0.2">
      <c r="A3880" t="s">
        <v>538</v>
      </c>
      <c r="B3880" t="s">
        <v>17</v>
      </c>
      <c r="C3880" t="s">
        <v>21</v>
      </c>
      <c r="D3880">
        <v>1101</v>
      </c>
      <c r="E3880">
        <v>2020</v>
      </c>
      <c r="F3880">
        <v>2</v>
      </c>
      <c r="G3880">
        <v>11640</v>
      </c>
      <c r="H3880" s="1">
        <v>4</v>
      </c>
      <c r="I3880">
        <v>9</v>
      </c>
      <c r="J3880">
        <f>IF($H3880=0,1,IF($I3880&lt;=1,2,0))</f>
        <v>0</v>
      </c>
      <c r="K3880">
        <v>0</v>
      </c>
      <c r="L3880">
        <f>IF(AND($J3880=0,$K3880=0),0,1)</f>
        <v>0</v>
      </c>
    </row>
    <row r="3881" spans="1:13" x14ac:dyDescent="0.2">
      <c r="A3881" t="s">
        <v>538</v>
      </c>
      <c r="B3881" t="s">
        <v>17</v>
      </c>
      <c r="C3881" t="s">
        <v>21</v>
      </c>
      <c r="D3881">
        <v>1102</v>
      </c>
      <c r="E3881">
        <v>2020</v>
      </c>
      <c r="F3881">
        <v>1</v>
      </c>
      <c r="G3881">
        <v>11641</v>
      </c>
      <c r="H3881" s="1">
        <v>4</v>
      </c>
      <c r="I3881">
        <v>5</v>
      </c>
      <c r="J3881">
        <f>IF($H3881=0,1,IF($I3881&lt;=1,2,0))</f>
        <v>0</v>
      </c>
      <c r="K3881">
        <v>0</v>
      </c>
      <c r="L3881">
        <f>IF(AND($J3881=0,$K3881=0),0,1)</f>
        <v>0</v>
      </c>
    </row>
    <row r="3882" spans="1:13" x14ac:dyDescent="0.2">
      <c r="A3882" t="s">
        <v>538</v>
      </c>
      <c r="B3882" t="s">
        <v>17</v>
      </c>
      <c r="C3882" t="s">
        <v>21</v>
      </c>
      <c r="D3882">
        <v>1121</v>
      </c>
      <c r="E3882">
        <v>2020</v>
      </c>
      <c r="F3882">
        <v>1</v>
      </c>
      <c r="G3882">
        <v>11642</v>
      </c>
      <c r="H3882" s="1">
        <v>4</v>
      </c>
      <c r="I3882">
        <v>13</v>
      </c>
      <c r="J3882">
        <f>IF($H3882=0,1,IF($I3882&lt;=1,2,0))</f>
        <v>0</v>
      </c>
      <c r="K3882">
        <v>0</v>
      </c>
      <c r="L3882">
        <f>IF(AND($J3882=0,$K3882=0),0,1)</f>
        <v>0</v>
      </c>
    </row>
    <row r="3883" spans="1:13" x14ac:dyDescent="0.2">
      <c r="A3883" t="s">
        <v>538</v>
      </c>
      <c r="B3883" t="s">
        <v>17</v>
      </c>
      <c r="C3883" t="s">
        <v>21</v>
      </c>
      <c r="D3883">
        <v>2101</v>
      </c>
      <c r="E3883">
        <v>2020</v>
      </c>
      <c r="F3883">
        <v>1</v>
      </c>
      <c r="G3883">
        <v>11643</v>
      </c>
      <c r="H3883" s="1">
        <v>4</v>
      </c>
      <c r="I3883">
        <v>12</v>
      </c>
      <c r="J3883">
        <f>IF($H3883=0,1,IF($I3883&lt;=1,2,0))</f>
        <v>0</v>
      </c>
      <c r="K3883">
        <v>0</v>
      </c>
      <c r="L3883">
        <f>IF(AND($J3883=0,$K3883=0),0,1)</f>
        <v>0</v>
      </c>
    </row>
    <row r="3884" spans="1:13" x14ac:dyDescent="0.2">
      <c r="A3884" t="s">
        <v>538</v>
      </c>
      <c r="B3884" t="s">
        <v>17</v>
      </c>
      <c r="C3884" t="s">
        <v>21</v>
      </c>
      <c r="D3884">
        <v>2101</v>
      </c>
      <c r="E3884">
        <v>2020</v>
      </c>
      <c r="F3884">
        <v>2</v>
      </c>
      <c r="G3884">
        <v>11939</v>
      </c>
      <c r="H3884" s="1">
        <v>4</v>
      </c>
      <c r="I3884">
        <v>12</v>
      </c>
      <c r="J3884">
        <f>IF($H3884=0,1,IF($I3884&lt;=1,2,0))</f>
        <v>0</v>
      </c>
      <c r="K3884">
        <v>0</v>
      </c>
      <c r="L3884">
        <f>IF(AND($J3884=0,$K3884=0),0,1)</f>
        <v>0</v>
      </c>
    </row>
    <row r="3885" spans="1:13" x14ac:dyDescent="0.2">
      <c r="A3885" t="s">
        <v>538</v>
      </c>
      <c r="B3885" t="s">
        <v>17</v>
      </c>
      <c r="C3885" t="s">
        <v>21</v>
      </c>
      <c r="D3885">
        <v>2102</v>
      </c>
      <c r="E3885">
        <v>2020</v>
      </c>
      <c r="F3885">
        <v>3</v>
      </c>
      <c r="G3885">
        <v>11645</v>
      </c>
      <c r="H3885" s="1">
        <v>4</v>
      </c>
      <c r="I3885">
        <v>12</v>
      </c>
      <c r="J3885">
        <f>IF($H3885=0,1,IF($I3885&lt;=1,2,0))</f>
        <v>0</v>
      </c>
      <c r="K3885">
        <v>0</v>
      </c>
      <c r="L3885">
        <f>IF(AND($J3885=0,$K3885=0),0,1)</f>
        <v>0</v>
      </c>
    </row>
    <row r="3886" spans="1:13" x14ac:dyDescent="0.2">
      <c r="A3886" t="s">
        <v>538</v>
      </c>
      <c r="B3886" t="s">
        <v>17</v>
      </c>
      <c r="C3886" t="s">
        <v>21</v>
      </c>
      <c r="D3886">
        <v>3012</v>
      </c>
      <c r="E3886">
        <v>2020</v>
      </c>
      <c r="F3886">
        <v>1</v>
      </c>
      <c r="G3886">
        <v>11917</v>
      </c>
      <c r="H3886" s="1">
        <v>3</v>
      </c>
      <c r="I3886">
        <v>22</v>
      </c>
      <c r="J3886">
        <f>IF($H3886=0,1,IF($I3886&lt;=1,2,0))</f>
        <v>0</v>
      </c>
      <c r="K3886">
        <v>0</v>
      </c>
      <c r="L3886">
        <f>IF(AND($J3886=0,$K3886=0),0,1)</f>
        <v>0</v>
      </c>
    </row>
    <row r="3887" spans="1:13" x14ac:dyDescent="0.2">
      <c r="A3887" t="s">
        <v>538</v>
      </c>
      <c r="B3887" t="s">
        <v>17</v>
      </c>
      <c r="C3887" t="s">
        <v>21</v>
      </c>
      <c r="D3887">
        <v>3033</v>
      </c>
      <c r="E3887">
        <v>2020</v>
      </c>
      <c r="F3887">
        <v>1</v>
      </c>
      <c r="G3887">
        <v>11646</v>
      </c>
      <c r="H3887" s="1">
        <v>3</v>
      </c>
      <c r="I3887">
        <v>5</v>
      </c>
      <c r="J3887">
        <f>IF($H3887=0,1,IF($I3887&lt;=1,2,0))</f>
        <v>0</v>
      </c>
      <c r="K3887">
        <v>0</v>
      </c>
      <c r="L3887">
        <f>IF(AND($J3887=0,$K3887=0),0,1)</f>
        <v>0</v>
      </c>
    </row>
    <row r="3888" spans="1:13" x14ac:dyDescent="0.2">
      <c r="A3888" t="s">
        <v>538</v>
      </c>
      <c r="B3888" t="s">
        <v>17</v>
      </c>
      <c r="C3888" t="s">
        <v>9</v>
      </c>
      <c r="D3888">
        <v>3980</v>
      </c>
      <c r="E3888">
        <v>2020</v>
      </c>
      <c r="F3888">
        <v>1</v>
      </c>
      <c r="G3888">
        <v>11652</v>
      </c>
      <c r="H3888" s="1">
        <v>3</v>
      </c>
      <c r="I3888">
        <v>4</v>
      </c>
      <c r="J3888">
        <f>IF($H3888=0,1,IF($I3888&lt;=1,2,0))</f>
        <v>0</v>
      </c>
      <c r="K3888">
        <v>0</v>
      </c>
      <c r="L3888">
        <f>IF(AND($J3888=0,$K3888=0),0,1)</f>
        <v>0</v>
      </c>
    </row>
    <row r="3889" spans="1:12" x14ac:dyDescent="0.2">
      <c r="A3889" t="s">
        <v>538</v>
      </c>
      <c r="B3889" t="s">
        <v>17</v>
      </c>
      <c r="C3889" t="s">
        <v>21</v>
      </c>
      <c r="D3889">
        <v>3996</v>
      </c>
      <c r="E3889">
        <v>2020</v>
      </c>
      <c r="F3889">
        <v>1</v>
      </c>
      <c r="G3889">
        <v>11653</v>
      </c>
      <c r="H3889" s="1">
        <v>3</v>
      </c>
      <c r="I3889">
        <v>7</v>
      </c>
      <c r="J3889">
        <f>IF($H3889=0,1,IF($I3889&lt;=1,2,0))</f>
        <v>0</v>
      </c>
      <c r="K3889">
        <v>0</v>
      </c>
      <c r="L3889">
        <f>IF(AND($J3889=0,$K3889=0),0,1)</f>
        <v>0</v>
      </c>
    </row>
    <row r="3890" spans="1:12" x14ac:dyDescent="0.2">
      <c r="A3890" t="s">
        <v>538</v>
      </c>
      <c r="B3890" t="s">
        <v>17</v>
      </c>
      <c r="C3890" t="s">
        <v>9</v>
      </c>
      <c r="D3890">
        <v>4009</v>
      </c>
      <c r="E3890">
        <v>2020</v>
      </c>
      <c r="F3890">
        <v>2</v>
      </c>
      <c r="G3890">
        <v>776</v>
      </c>
      <c r="H3890" s="1">
        <v>3</v>
      </c>
      <c r="I3890">
        <v>6</v>
      </c>
      <c r="J3890">
        <f>IF($H3890=0,1,IF($I3890&lt;=1,2,0))</f>
        <v>0</v>
      </c>
      <c r="K3890">
        <v>0</v>
      </c>
      <c r="L3890">
        <f>IF(AND($J3890=0,$K3890=0),0,1)</f>
        <v>0</v>
      </c>
    </row>
    <row r="3891" spans="1:12" x14ac:dyDescent="0.2">
      <c r="A3891" t="s">
        <v>538</v>
      </c>
      <c r="B3891" t="s">
        <v>17</v>
      </c>
      <c r="C3891" t="s">
        <v>9</v>
      </c>
      <c r="D3891">
        <v>4105</v>
      </c>
      <c r="E3891">
        <v>2020</v>
      </c>
      <c r="F3891">
        <v>1</v>
      </c>
      <c r="G3891">
        <v>11655</v>
      </c>
      <c r="H3891" s="1">
        <v>4</v>
      </c>
      <c r="I3891">
        <v>12</v>
      </c>
      <c r="J3891">
        <f>IF($H3891=0,1,IF($I3891&lt;=1,2,0))</f>
        <v>0</v>
      </c>
      <c r="K3891">
        <v>0</v>
      </c>
      <c r="L3891">
        <f>IF(AND($J3891=0,$K3891=0),0,1)</f>
        <v>0</v>
      </c>
    </row>
    <row r="3892" spans="1:12" x14ac:dyDescent="0.2">
      <c r="A3892" t="s">
        <v>538</v>
      </c>
      <c r="B3892" t="s">
        <v>17</v>
      </c>
      <c r="C3892" t="s">
        <v>11</v>
      </c>
      <c r="D3892">
        <v>8013</v>
      </c>
      <c r="E3892">
        <v>2020</v>
      </c>
      <c r="F3892">
        <v>1</v>
      </c>
      <c r="G3892">
        <v>14310</v>
      </c>
      <c r="H3892" s="1">
        <v>3</v>
      </c>
      <c r="I3892">
        <v>6</v>
      </c>
      <c r="J3892">
        <f>IF($H3892=0,1,IF($I3892&lt;=1,2,0))</f>
        <v>0</v>
      </c>
      <c r="K3892">
        <v>0</v>
      </c>
      <c r="L3892">
        <f>IF(AND($J3892=0,$K3892=0),0,1)</f>
        <v>0</v>
      </c>
    </row>
    <row r="3893" spans="1:12" x14ac:dyDescent="0.2">
      <c r="A3893" t="s">
        <v>544</v>
      </c>
      <c r="B3893" t="s">
        <v>6</v>
      </c>
      <c r="C3893" t="s">
        <v>9</v>
      </c>
      <c r="D3893">
        <v>3103</v>
      </c>
      <c r="E3893">
        <v>2020</v>
      </c>
      <c r="F3893">
        <v>1</v>
      </c>
      <c r="G3893">
        <v>20727</v>
      </c>
      <c r="H3893" s="1">
        <v>3</v>
      </c>
      <c r="I3893">
        <v>21</v>
      </c>
      <c r="J3893">
        <f>IF($H3893=0,1,IF($I3893&lt;=1,2,0))</f>
        <v>0</v>
      </c>
      <c r="K3893">
        <v>0</v>
      </c>
      <c r="L3893">
        <f>IF(AND($J3893=0,$K3893=0),0,1)</f>
        <v>0</v>
      </c>
    </row>
    <row r="3894" spans="1:12" x14ac:dyDescent="0.2">
      <c r="A3894" t="s">
        <v>544</v>
      </c>
      <c r="B3894" t="s">
        <v>6</v>
      </c>
      <c r="C3894" t="s">
        <v>9</v>
      </c>
      <c r="D3894">
        <v>3993</v>
      </c>
      <c r="E3894">
        <v>2020</v>
      </c>
      <c r="F3894">
        <v>1</v>
      </c>
      <c r="G3894">
        <v>10847</v>
      </c>
      <c r="H3894" s="1" t="s">
        <v>1823</v>
      </c>
      <c r="I3894">
        <v>4</v>
      </c>
      <c r="J3894">
        <f>IF($H3894=0,1,IF($I3894&lt;=1,2,0))</f>
        <v>0</v>
      </c>
      <c r="K3894">
        <v>0</v>
      </c>
      <c r="L3894">
        <f>IF(AND($J3894=0,$K3894=0),0,1)</f>
        <v>0</v>
      </c>
    </row>
    <row r="3895" spans="1:12" x14ac:dyDescent="0.2">
      <c r="A3895" t="s">
        <v>544</v>
      </c>
      <c r="B3895" t="s">
        <v>6</v>
      </c>
      <c r="C3895" t="s">
        <v>9</v>
      </c>
      <c r="D3895">
        <v>4108</v>
      </c>
      <c r="E3895">
        <v>2020</v>
      </c>
      <c r="F3895">
        <v>1</v>
      </c>
      <c r="G3895">
        <v>10233</v>
      </c>
      <c r="H3895" s="1">
        <v>3</v>
      </c>
      <c r="I3895">
        <v>9</v>
      </c>
      <c r="J3895">
        <f>IF($H3895=0,1,IF($I3895&lt;=1,2,0))</f>
        <v>0</v>
      </c>
      <c r="K3895">
        <v>0</v>
      </c>
      <c r="L3895">
        <f>IF(AND($J3895=0,$K3895=0),0,1)</f>
        <v>0</v>
      </c>
    </row>
    <row r="3896" spans="1:12" x14ac:dyDescent="0.2">
      <c r="A3896" t="s">
        <v>544</v>
      </c>
      <c r="B3896" t="s">
        <v>6</v>
      </c>
      <c r="C3896" t="s">
        <v>9</v>
      </c>
      <c r="D3896">
        <v>4171</v>
      </c>
      <c r="E3896">
        <v>2020</v>
      </c>
      <c r="F3896">
        <v>1</v>
      </c>
      <c r="G3896">
        <v>10213</v>
      </c>
      <c r="H3896" s="1">
        <v>3</v>
      </c>
      <c r="I3896">
        <v>19</v>
      </c>
      <c r="J3896">
        <f>IF($H3896=0,1,IF($I3896&lt;=1,2,0))</f>
        <v>0</v>
      </c>
      <c r="K3896">
        <v>0</v>
      </c>
      <c r="L3896">
        <f>IF(AND($J3896=0,$K3896=0),0,1)</f>
        <v>0</v>
      </c>
    </row>
    <row r="3897" spans="1:12" x14ac:dyDescent="0.2">
      <c r="A3897" t="s">
        <v>544</v>
      </c>
      <c r="B3897" t="s">
        <v>6</v>
      </c>
      <c r="C3897" t="s">
        <v>9</v>
      </c>
      <c r="D3897">
        <v>4800</v>
      </c>
      <c r="E3897">
        <v>2020</v>
      </c>
      <c r="F3897">
        <v>1</v>
      </c>
      <c r="G3897">
        <v>20725</v>
      </c>
      <c r="H3897" s="1">
        <v>3</v>
      </c>
      <c r="I3897">
        <v>23</v>
      </c>
      <c r="J3897">
        <f>IF($H3897=0,1,IF($I3897&lt;=1,2,0))</f>
        <v>0</v>
      </c>
      <c r="K3897">
        <v>0</v>
      </c>
      <c r="L3897">
        <f>IF(AND($J3897=0,$K3897=0),0,1)</f>
        <v>0</v>
      </c>
    </row>
    <row r="3898" spans="1:12" x14ac:dyDescent="0.2">
      <c r="A3898" t="s">
        <v>544</v>
      </c>
      <c r="B3898" t="s">
        <v>6</v>
      </c>
      <c r="C3898" t="s">
        <v>9</v>
      </c>
      <c r="D3898">
        <v>4903</v>
      </c>
      <c r="E3898">
        <v>2020</v>
      </c>
      <c r="F3898">
        <v>1</v>
      </c>
      <c r="G3898">
        <v>10214</v>
      </c>
      <c r="H3898" s="1">
        <v>3</v>
      </c>
      <c r="I3898">
        <v>15</v>
      </c>
      <c r="J3898">
        <f>IF($H3898=0,1,IF($I3898&lt;=1,2,0))</f>
        <v>0</v>
      </c>
      <c r="K3898">
        <v>0</v>
      </c>
      <c r="L3898">
        <f>IF(AND($J3898=0,$K3898=0),0,1)</f>
        <v>0</v>
      </c>
    </row>
    <row r="3899" spans="1:12" x14ac:dyDescent="0.2">
      <c r="A3899" t="s">
        <v>545</v>
      </c>
      <c r="B3899" t="s">
        <v>133</v>
      </c>
      <c r="C3899" t="s">
        <v>9</v>
      </c>
      <c r="D3899">
        <v>1003</v>
      </c>
      <c r="E3899">
        <v>2020</v>
      </c>
      <c r="F3899">
        <v>1</v>
      </c>
      <c r="G3899">
        <v>11290</v>
      </c>
      <c r="H3899" s="1">
        <v>3</v>
      </c>
      <c r="I3899">
        <v>19</v>
      </c>
      <c r="J3899">
        <f>IF($H3899=0,1,IF($I3899&lt;=1,2,0))</f>
        <v>0</v>
      </c>
      <c r="K3899">
        <v>0</v>
      </c>
      <c r="L3899">
        <f>IF(AND($J3899=0,$K3899=0),0,1)</f>
        <v>0</v>
      </c>
    </row>
    <row r="3900" spans="1:12" x14ac:dyDescent="0.2">
      <c r="A3900" t="s">
        <v>545</v>
      </c>
      <c r="B3900" t="s">
        <v>133</v>
      </c>
      <c r="C3900" t="s">
        <v>9</v>
      </c>
      <c r="D3900">
        <v>1003</v>
      </c>
      <c r="E3900">
        <v>2020</v>
      </c>
      <c r="F3900">
        <v>2</v>
      </c>
      <c r="G3900">
        <v>11291</v>
      </c>
      <c r="H3900" s="1">
        <v>3</v>
      </c>
      <c r="I3900">
        <v>18</v>
      </c>
      <c r="J3900">
        <f>IF($H3900=0,1,IF($I3900&lt;=1,2,0))</f>
        <v>0</v>
      </c>
      <c r="K3900">
        <v>0</v>
      </c>
      <c r="L3900">
        <f>IF(AND($J3900=0,$K3900=0),0,1)</f>
        <v>0</v>
      </c>
    </row>
    <row r="3901" spans="1:12" x14ac:dyDescent="0.2">
      <c r="A3901" t="s">
        <v>545</v>
      </c>
      <c r="B3901" t="s">
        <v>133</v>
      </c>
      <c r="C3901" t="s">
        <v>21</v>
      </c>
      <c r="D3901">
        <v>1101</v>
      </c>
      <c r="E3901">
        <v>2020</v>
      </c>
      <c r="F3901">
        <v>5</v>
      </c>
      <c r="G3901">
        <v>11295</v>
      </c>
      <c r="H3901" s="1">
        <v>3</v>
      </c>
      <c r="I3901">
        <v>114</v>
      </c>
      <c r="J3901">
        <f>IF($H3901=0,1,IF($I3901&lt;=1,2,0))</f>
        <v>0</v>
      </c>
      <c r="K3901">
        <v>0</v>
      </c>
      <c r="L3901">
        <f>IF(AND($J3901=0,$K3901=0),0,1)</f>
        <v>0</v>
      </c>
    </row>
    <row r="3902" spans="1:12" x14ac:dyDescent="0.2">
      <c r="A3902" t="s">
        <v>545</v>
      </c>
      <c r="B3902" t="s">
        <v>133</v>
      </c>
      <c r="C3902" t="s">
        <v>21</v>
      </c>
      <c r="D3902">
        <v>1101</v>
      </c>
      <c r="E3902">
        <v>2020</v>
      </c>
      <c r="F3902">
        <v>4</v>
      </c>
      <c r="G3902">
        <v>11294</v>
      </c>
      <c r="H3902" s="1">
        <v>3</v>
      </c>
      <c r="I3902">
        <v>110</v>
      </c>
      <c r="J3902">
        <f>IF($H3902=0,1,IF($I3902&lt;=1,2,0))</f>
        <v>0</v>
      </c>
      <c r="K3902">
        <v>0</v>
      </c>
      <c r="L3902">
        <f>IF(AND($J3902=0,$K3902=0),0,1)</f>
        <v>0</v>
      </c>
    </row>
    <row r="3903" spans="1:12" x14ac:dyDescent="0.2">
      <c r="A3903" t="s">
        <v>545</v>
      </c>
      <c r="B3903" t="s">
        <v>133</v>
      </c>
      <c r="C3903" t="s">
        <v>21</v>
      </c>
      <c r="D3903">
        <v>1101</v>
      </c>
      <c r="E3903">
        <v>2020</v>
      </c>
      <c r="F3903">
        <v>9</v>
      </c>
      <c r="G3903">
        <v>11299</v>
      </c>
      <c r="H3903" s="1">
        <v>3</v>
      </c>
      <c r="I3903">
        <v>89</v>
      </c>
      <c r="J3903">
        <f>IF($H3903=0,1,IF($I3903&lt;=1,2,0))</f>
        <v>0</v>
      </c>
      <c r="K3903">
        <v>0</v>
      </c>
      <c r="L3903">
        <f>IF(AND($J3903=0,$K3903=0),0,1)</f>
        <v>0</v>
      </c>
    </row>
    <row r="3904" spans="1:12" x14ac:dyDescent="0.2">
      <c r="A3904" t="s">
        <v>545</v>
      </c>
      <c r="B3904" t="s">
        <v>133</v>
      </c>
      <c r="C3904" t="s">
        <v>21</v>
      </c>
      <c r="D3904">
        <v>1101</v>
      </c>
      <c r="E3904">
        <v>2020</v>
      </c>
      <c r="F3904">
        <v>7</v>
      </c>
      <c r="G3904">
        <v>11297</v>
      </c>
      <c r="H3904" s="1">
        <v>3</v>
      </c>
      <c r="I3904">
        <v>79</v>
      </c>
      <c r="J3904">
        <f>IF($H3904=0,1,IF($I3904&lt;=1,2,0))</f>
        <v>0</v>
      </c>
      <c r="K3904">
        <v>0</v>
      </c>
      <c r="L3904">
        <f>IF(AND($J3904=0,$K3904=0),0,1)</f>
        <v>0</v>
      </c>
    </row>
    <row r="3905" spans="1:12" x14ac:dyDescent="0.2">
      <c r="A3905" t="s">
        <v>545</v>
      </c>
      <c r="B3905" t="s">
        <v>133</v>
      </c>
      <c r="C3905" t="s">
        <v>21</v>
      </c>
      <c r="D3905">
        <v>1101</v>
      </c>
      <c r="E3905">
        <v>2020</v>
      </c>
      <c r="F3905">
        <v>12</v>
      </c>
      <c r="G3905">
        <v>21307</v>
      </c>
      <c r="H3905" s="1">
        <v>3</v>
      </c>
      <c r="I3905">
        <v>69</v>
      </c>
      <c r="J3905">
        <f>IF($H3905=0,1,IF($I3905&lt;=1,2,0))</f>
        <v>0</v>
      </c>
      <c r="K3905">
        <v>0</v>
      </c>
      <c r="L3905">
        <f>IF(AND($J3905=0,$K3905=0),0,1)</f>
        <v>0</v>
      </c>
    </row>
    <row r="3906" spans="1:12" x14ac:dyDescent="0.2">
      <c r="A3906" t="s">
        <v>545</v>
      </c>
      <c r="B3906" t="s">
        <v>133</v>
      </c>
      <c r="C3906" t="s">
        <v>21</v>
      </c>
      <c r="D3906">
        <v>1101</v>
      </c>
      <c r="E3906">
        <v>2020</v>
      </c>
      <c r="F3906">
        <v>3</v>
      </c>
      <c r="G3906">
        <v>11293</v>
      </c>
      <c r="H3906" s="1">
        <v>3</v>
      </c>
      <c r="I3906">
        <v>40</v>
      </c>
      <c r="J3906">
        <f>IF($H3906=0,1,IF($I3906&lt;=1,2,0))</f>
        <v>0</v>
      </c>
      <c r="K3906">
        <v>0</v>
      </c>
      <c r="L3906">
        <f>IF(AND($J3906=0,$K3906=0),0,1)</f>
        <v>0</v>
      </c>
    </row>
    <row r="3907" spans="1:12" x14ac:dyDescent="0.2">
      <c r="A3907" t="s">
        <v>545</v>
      </c>
      <c r="B3907" t="s">
        <v>133</v>
      </c>
      <c r="C3907" t="s">
        <v>21</v>
      </c>
      <c r="D3907">
        <v>1101</v>
      </c>
      <c r="E3907">
        <v>2020</v>
      </c>
      <c r="F3907">
        <v>6</v>
      </c>
      <c r="G3907">
        <v>11296</v>
      </c>
      <c r="H3907" s="1">
        <v>3</v>
      </c>
      <c r="I3907">
        <v>37</v>
      </c>
      <c r="J3907">
        <f>IF($H3907=0,1,IF($I3907&lt;=1,2,0))</f>
        <v>0</v>
      </c>
      <c r="K3907">
        <v>0</v>
      </c>
      <c r="L3907">
        <f>IF(AND($J3907=0,$K3907=0),0,1)</f>
        <v>0</v>
      </c>
    </row>
    <row r="3908" spans="1:12" x14ac:dyDescent="0.2">
      <c r="A3908" t="s">
        <v>545</v>
      </c>
      <c r="B3908" t="s">
        <v>133</v>
      </c>
      <c r="C3908" t="s">
        <v>21</v>
      </c>
      <c r="D3908">
        <v>1101</v>
      </c>
      <c r="E3908">
        <v>2020</v>
      </c>
      <c r="F3908">
        <v>8</v>
      </c>
      <c r="G3908">
        <v>11298</v>
      </c>
      <c r="H3908" s="1">
        <v>3</v>
      </c>
      <c r="I3908">
        <v>33</v>
      </c>
      <c r="J3908">
        <f>IF($H3908=0,1,IF($I3908&lt;=1,2,0))</f>
        <v>0</v>
      </c>
      <c r="K3908">
        <v>0</v>
      </c>
      <c r="L3908">
        <f>IF(AND($J3908=0,$K3908=0),0,1)</f>
        <v>0</v>
      </c>
    </row>
    <row r="3909" spans="1:12" x14ac:dyDescent="0.2">
      <c r="A3909" t="s">
        <v>545</v>
      </c>
      <c r="B3909" t="s">
        <v>133</v>
      </c>
      <c r="C3909" t="s">
        <v>21</v>
      </c>
      <c r="D3909">
        <v>1101</v>
      </c>
      <c r="E3909">
        <v>2020</v>
      </c>
      <c r="F3909">
        <v>2</v>
      </c>
      <c r="G3909">
        <v>11292</v>
      </c>
      <c r="H3909" s="1">
        <v>3</v>
      </c>
      <c r="I3909">
        <v>28</v>
      </c>
      <c r="J3909">
        <f>IF($H3909=0,1,IF($I3909&lt;=1,2,0))</f>
        <v>0</v>
      </c>
      <c r="K3909">
        <v>0</v>
      </c>
      <c r="L3909">
        <f>IF(AND($J3909=0,$K3909=0),0,1)</f>
        <v>0</v>
      </c>
    </row>
    <row r="3910" spans="1:12" x14ac:dyDescent="0.2">
      <c r="A3910" t="s">
        <v>545</v>
      </c>
      <c r="B3910" t="s">
        <v>133</v>
      </c>
      <c r="C3910" t="s">
        <v>21</v>
      </c>
      <c r="D3910">
        <v>1102</v>
      </c>
      <c r="E3910">
        <v>2020</v>
      </c>
      <c r="F3910">
        <v>5</v>
      </c>
      <c r="G3910">
        <v>434</v>
      </c>
      <c r="H3910" s="1">
        <v>3</v>
      </c>
      <c r="I3910">
        <v>95</v>
      </c>
      <c r="J3910">
        <f>IF($H3910=0,1,IF($I3910&lt;=1,2,0))</f>
        <v>0</v>
      </c>
      <c r="K3910">
        <v>0</v>
      </c>
      <c r="L3910">
        <f>IF(AND($J3910=0,$K3910=0),0,1)</f>
        <v>0</v>
      </c>
    </row>
    <row r="3911" spans="1:12" x14ac:dyDescent="0.2">
      <c r="A3911" t="s">
        <v>545</v>
      </c>
      <c r="B3911" t="s">
        <v>133</v>
      </c>
      <c r="C3911" t="s">
        <v>21</v>
      </c>
      <c r="D3911">
        <v>1102</v>
      </c>
      <c r="E3911">
        <v>2020</v>
      </c>
      <c r="F3911">
        <v>2</v>
      </c>
      <c r="G3911">
        <v>11303</v>
      </c>
      <c r="H3911" s="1">
        <v>3</v>
      </c>
      <c r="I3911">
        <v>94</v>
      </c>
      <c r="J3911">
        <f>IF($H3911=0,1,IF($I3911&lt;=1,2,0))</f>
        <v>0</v>
      </c>
      <c r="K3911">
        <v>0</v>
      </c>
      <c r="L3911">
        <f>IF(AND($J3911=0,$K3911=0),0,1)</f>
        <v>0</v>
      </c>
    </row>
    <row r="3912" spans="1:12" x14ac:dyDescent="0.2">
      <c r="A3912" t="s">
        <v>545</v>
      </c>
      <c r="B3912" t="s">
        <v>133</v>
      </c>
      <c r="C3912" t="s">
        <v>21</v>
      </c>
      <c r="D3912">
        <v>1102</v>
      </c>
      <c r="E3912">
        <v>2020</v>
      </c>
      <c r="F3912">
        <v>3</v>
      </c>
      <c r="G3912">
        <v>11304</v>
      </c>
      <c r="H3912" s="1">
        <v>3</v>
      </c>
      <c r="I3912">
        <v>40</v>
      </c>
      <c r="J3912">
        <f>IF($H3912=0,1,IF($I3912&lt;=1,2,0))</f>
        <v>0</v>
      </c>
      <c r="K3912">
        <v>0</v>
      </c>
      <c r="L3912">
        <f>IF(AND($J3912=0,$K3912=0),0,1)</f>
        <v>0</v>
      </c>
    </row>
    <row r="3913" spans="1:12" x14ac:dyDescent="0.2">
      <c r="A3913" t="s">
        <v>545</v>
      </c>
      <c r="B3913" t="s">
        <v>133</v>
      </c>
      <c r="C3913" t="s">
        <v>21</v>
      </c>
      <c r="D3913">
        <v>1102</v>
      </c>
      <c r="E3913">
        <v>2020</v>
      </c>
      <c r="F3913">
        <v>6</v>
      </c>
      <c r="G3913">
        <v>11306</v>
      </c>
      <c r="H3913" s="1">
        <v>3</v>
      </c>
      <c r="I3913">
        <v>38</v>
      </c>
      <c r="J3913">
        <f>IF($H3913=0,1,IF($I3913&lt;=1,2,0))</f>
        <v>0</v>
      </c>
      <c r="K3913">
        <v>0</v>
      </c>
      <c r="L3913">
        <f>IF(AND($J3913=0,$K3913=0),0,1)</f>
        <v>0</v>
      </c>
    </row>
    <row r="3914" spans="1:12" x14ac:dyDescent="0.2">
      <c r="A3914" t="s">
        <v>545</v>
      </c>
      <c r="B3914" t="s">
        <v>133</v>
      </c>
      <c r="C3914" t="s">
        <v>21</v>
      </c>
      <c r="D3914">
        <v>1102</v>
      </c>
      <c r="E3914">
        <v>2020</v>
      </c>
      <c r="F3914">
        <v>7</v>
      </c>
      <c r="G3914">
        <v>21402</v>
      </c>
      <c r="H3914" s="1">
        <v>3</v>
      </c>
      <c r="I3914">
        <v>30</v>
      </c>
      <c r="J3914">
        <f>IF($H3914=0,1,IF($I3914&lt;=1,2,0))</f>
        <v>0</v>
      </c>
      <c r="K3914">
        <v>0</v>
      </c>
      <c r="L3914">
        <f>IF(AND($J3914=0,$K3914=0),0,1)</f>
        <v>0</v>
      </c>
    </row>
    <row r="3915" spans="1:12" x14ac:dyDescent="0.2">
      <c r="A3915" t="s">
        <v>545</v>
      </c>
      <c r="B3915" t="s">
        <v>133</v>
      </c>
      <c r="C3915" t="s">
        <v>21</v>
      </c>
      <c r="D3915">
        <v>1102</v>
      </c>
      <c r="E3915">
        <v>2020</v>
      </c>
      <c r="F3915">
        <v>1</v>
      </c>
      <c r="G3915">
        <v>11302</v>
      </c>
      <c r="H3915" s="1">
        <v>3</v>
      </c>
      <c r="I3915">
        <v>16</v>
      </c>
      <c r="J3915">
        <f>IF($H3915=0,1,IF($I3915&lt;=1,2,0))</f>
        <v>0</v>
      </c>
      <c r="K3915">
        <v>0</v>
      </c>
      <c r="L3915">
        <f>IF(AND($J3915=0,$K3915=0),0,1)</f>
        <v>0</v>
      </c>
    </row>
    <row r="3916" spans="1:12" x14ac:dyDescent="0.2">
      <c r="A3916" t="s">
        <v>545</v>
      </c>
      <c r="B3916" t="s">
        <v>133</v>
      </c>
      <c r="C3916" t="s">
        <v>21</v>
      </c>
      <c r="D3916">
        <v>1201</v>
      </c>
      <c r="E3916">
        <v>2020</v>
      </c>
      <c r="F3916">
        <v>4</v>
      </c>
      <c r="G3916">
        <v>11398</v>
      </c>
      <c r="H3916" s="1">
        <v>3</v>
      </c>
      <c r="I3916">
        <v>110</v>
      </c>
      <c r="J3916">
        <f>IF($H3916=0,1,IF($I3916&lt;=1,2,0))</f>
        <v>0</v>
      </c>
      <c r="K3916">
        <v>0</v>
      </c>
      <c r="L3916">
        <f>IF(AND($J3916=0,$K3916=0),0,1)</f>
        <v>0</v>
      </c>
    </row>
    <row r="3917" spans="1:12" x14ac:dyDescent="0.2">
      <c r="A3917" t="s">
        <v>545</v>
      </c>
      <c r="B3917" t="s">
        <v>133</v>
      </c>
      <c r="C3917" t="s">
        <v>21</v>
      </c>
      <c r="D3917">
        <v>1201</v>
      </c>
      <c r="E3917">
        <v>2020</v>
      </c>
      <c r="F3917">
        <v>6</v>
      </c>
      <c r="G3917">
        <v>11407</v>
      </c>
      <c r="H3917" s="1">
        <v>3</v>
      </c>
      <c r="I3917">
        <v>98</v>
      </c>
      <c r="J3917">
        <f>IF($H3917=0,1,IF($I3917&lt;=1,2,0))</f>
        <v>0</v>
      </c>
      <c r="K3917">
        <v>0</v>
      </c>
      <c r="L3917">
        <f>IF(AND($J3917=0,$K3917=0),0,1)</f>
        <v>0</v>
      </c>
    </row>
    <row r="3918" spans="1:12" x14ac:dyDescent="0.2">
      <c r="A3918" t="s">
        <v>545</v>
      </c>
      <c r="B3918" t="s">
        <v>133</v>
      </c>
      <c r="C3918" t="s">
        <v>21</v>
      </c>
      <c r="D3918">
        <v>1201</v>
      </c>
      <c r="E3918">
        <v>2020</v>
      </c>
      <c r="F3918">
        <v>7</v>
      </c>
      <c r="G3918">
        <v>11412</v>
      </c>
      <c r="H3918" s="1">
        <v>3</v>
      </c>
      <c r="I3918">
        <v>98</v>
      </c>
      <c r="J3918">
        <f>IF($H3918=0,1,IF($I3918&lt;=1,2,0))</f>
        <v>0</v>
      </c>
      <c r="K3918">
        <v>0</v>
      </c>
      <c r="L3918">
        <f>IF(AND($J3918=0,$K3918=0),0,1)</f>
        <v>0</v>
      </c>
    </row>
    <row r="3919" spans="1:12" x14ac:dyDescent="0.2">
      <c r="A3919" t="s">
        <v>545</v>
      </c>
      <c r="B3919" t="s">
        <v>133</v>
      </c>
      <c r="C3919" t="s">
        <v>21</v>
      </c>
      <c r="D3919">
        <v>1201</v>
      </c>
      <c r="E3919">
        <v>2020</v>
      </c>
      <c r="F3919">
        <v>5</v>
      </c>
      <c r="G3919">
        <v>11402</v>
      </c>
      <c r="H3919" s="1">
        <v>3</v>
      </c>
      <c r="I3919">
        <v>84</v>
      </c>
      <c r="J3919">
        <f>IF($H3919=0,1,IF($I3919&lt;=1,2,0))</f>
        <v>0</v>
      </c>
      <c r="K3919">
        <v>0</v>
      </c>
      <c r="L3919">
        <f>IF(AND($J3919=0,$K3919=0),0,1)</f>
        <v>0</v>
      </c>
    </row>
    <row r="3920" spans="1:12" x14ac:dyDescent="0.2">
      <c r="A3920" t="s">
        <v>545</v>
      </c>
      <c r="B3920" t="s">
        <v>133</v>
      </c>
      <c r="C3920" t="s">
        <v>21</v>
      </c>
      <c r="D3920">
        <v>1201</v>
      </c>
      <c r="E3920">
        <v>2020</v>
      </c>
      <c r="F3920">
        <v>1</v>
      </c>
      <c r="G3920">
        <v>11389</v>
      </c>
      <c r="H3920" s="1">
        <v>3</v>
      </c>
      <c r="I3920">
        <v>49</v>
      </c>
      <c r="J3920">
        <f>IF($H3920=0,1,IF($I3920&lt;=1,2,0))</f>
        <v>0</v>
      </c>
      <c r="K3920">
        <v>0</v>
      </c>
      <c r="L3920">
        <f>IF(AND($J3920=0,$K3920=0),0,1)</f>
        <v>0</v>
      </c>
    </row>
    <row r="3921" spans="1:12" x14ac:dyDescent="0.2">
      <c r="A3921" t="s">
        <v>545</v>
      </c>
      <c r="B3921" t="s">
        <v>133</v>
      </c>
      <c r="C3921" t="s">
        <v>21</v>
      </c>
      <c r="D3921">
        <v>1201</v>
      </c>
      <c r="E3921">
        <v>2020</v>
      </c>
      <c r="F3921">
        <v>3</v>
      </c>
      <c r="G3921">
        <v>11394</v>
      </c>
      <c r="H3921" s="1">
        <v>3</v>
      </c>
      <c r="I3921">
        <v>45</v>
      </c>
      <c r="J3921">
        <f>IF($H3921=0,1,IF($I3921&lt;=1,2,0))</f>
        <v>0</v>
      </c>
      <c r="K3921">
        <v>0</v>
      </c>
      <c r="L3921">
        <f>IF(AND($J3921=0,$K3921=0),0,1)</f>
        <v>0</v>
      </c>
    </row>
    <row r="3922" spans="1:12" x14ac:dyDescent="0.2">
      <c r="A3922" t="s">
        <v>545</v>
      </c>
      <c r="B3922" t="s">
        <v>133</v>
      </c>
      <c r="C3922" t="s">
        <v>21</v>
      </c>
      <c r="D3922">
        <v>1201</v>
      </c>
      <c r="E3922">
        <v>2020</v>
      </c>
      <c r="F3922">
        <v>2</v>
      </c>
      <c r="G3922">
        <v>11390</v>
      </c>
      <c r="H3922" s="1">
        <v>3</v>
      </c>
      <c r="I3922">
        <v>38</v>
      </c>
      <c r="J3922">
        <f>IF($H3922=0,1,IF($I3922&lt;=1,2,0))</f>
        <v>0</v>
      </c>
      <c r="K3922">
        <v>0</v>
      </c>
      <c r="L3922">
        <f>IF(AND($J3922=0,$K3922=0),0,1)</f>
        <v>0</v>
      </c>
    </row>
    <row r="3923" spans="1:12" x14ac:dyDescent="0.2">
      <c r="A3923" t="s">
        <v>545</v>
      </c>
      <c r="B3923" t="s">
        <v>133</v>
      </c>
      <c r="C3923" t="s">
        <v>21</v>
      </c>
      <c r="D3923">
        <v>1202</v>
      </c>
      <c r="E3923">
        <v>2020</v>
      </c>
      <c r="F3923">
        <v>1</v>
      </c>
      <c r="G3923">
        <v>11421</v>
      </c>
      <c r="H3923" s="1">
        <v>3</v>
      </c>
      <c r="I3923">
        <v>33</v>
      </c>
      <c r="J3923">
        <f>IF($H3923=0,1,IF($I3923&lt;=1,2,0))</f>
        <v>0</v>
      </c>
      <c r="K3923">
        <v>0</v>
      </c>
      <c r="L3923">
        <f>IF(AND($J3923=0,$K3923=0),0,1)</f>
        <v>0</v>
      </c>
    </row>
    <row r="3924" spans="1:12" x14ac:dyDescent="0.2">
      <c r="A3924" t="s">
        <v>545</v>
      </c>
      <c r="B3924" t="s">
        <v>133</v>
      </c>
      <c r="C3924" t="s">
        <v>21</v>
      </c>
      <c r="D3924">
        <v>1202</v>
      </c>
      <c r="E3924">
        <v>2020</v>
      </c>
      <c r="F3924">
        <v>2</v>
      </c>
      <c r="G3924">
        <v>11424</v>
      </c>
      <c r="H3924" s="1">
        <v>3</v>
      </c>
      <c r="I3924">
        <v>26</v>
      </c>
      <c r="J3924">
        <f>IF($H3924=0,1,IF($I3924&lt;=1,2,0))</f>
        <v>0</v>
      </c>
      <c r="K3924">
        <v>0</v>
      </c>
      <c r="L3924">
        <f>IF(AND($J3924=0,$K3924=0),0,1)</f>
        <v>0</v>
      </c>
    </row>
    <row r="3925" spans="1:12" x14ac:dyDescent="0.2">
      <c r="A3925" t="s">
        <v>545</v>
      </c>
      <c r="B3925" t="s">
        <v>133</v>
      </c>
      <c r="C3925" t="s">
        <v>9</v>
      </c>
      <c r="D3925">
        <v>1205</v>
      </c>
      <c r="E3925">
        <v>2020</v>
      </c>
      <c r="F3925">
        <v>1</v>
      </c>
      <c r="G3925">
        <v>11425</v>
      </c>
      <c r="H3925" s="1">
        <v>4</v>
      </c>
      <c r="I3925">
        <v>57</v>
      </c>
      <c r="J3925">
        <f>IF($H3925=0,1,IF($I3925&lt;=1,2,0))</f>
        <v>0</v>
      </c>
      <c r="K3925">
        <v>0</v>
      </c>
      <c r="L3925">
        <f>IF(AND($J3925=0,$K3925=0),0,1)</f>
        <v>0</v>
      </c>
    </row>
    <row r="3926" spans="1:12" x14ac:dyDescent="0.2">
      <c r="A3926" t="s">
        <v>545</v>
      </c>
      <c r="B3926" t="s">
        <v>133</v>
      </c>
      <c r="C3926" t="s">
        <v>21</v>
      </c>
      <c r="D3926">
        <v>1207</v>
      </c>
      <c r="E3926">
        <v>2020</v>
      </c>
      <c r="F3926">
        <v>1</v>
      </c>
      <c r="G3926">
        <v>11430</v>
      </c>
      <c r="H3926" s="1">
        <v>4</v>
      </c>
      <c r="I3926">
        <v>55</v>
      </c>
      <c r="J3926">
        <f>IF($H3926=0,1,IF($I3926&lt;=1,2,0))</f>
        <v>0</v>
      </c>
      <c r="K3926">
        <v>0</v>
      </c>
      <c r="L3926">
        <f>IF(AND($J3926=0,$K3926=0),0,1)</f>
        <v>0</v>
      </c>
    </row>
    <row r="3927" spans="1:12" x14ac:dyDescent="0.2">
      <c r="A3927" t="s">
        <v>545</v>
      </c>
      <c r="B3927" t="s">
        <v>133</v>
      </c>
      <c r="C3927" t="s">
        <v>21</v>
      </c>
      <c r="D3927">
        <v>2000</v>
      </c>
      <c r="E3927">
        <v>2020</v>
      </c>
      <c r="F3927">
        <v>1</v>
      </c>
      <c r="G3927">
        <v>11446</v>
      </c>
      <c r="H3927" s="1">
        <v>3</v>
      </c>
      <c r="I3927">
        <v>32</v>
      </c>
      <c r="J3927">
        <f>IF($H3927=0,1,IF($I3927&lt;=1,2,0))</f>
        <v>0</v>
      </c>
      <c r="K3927">
        <v>0</v>
      </c>
      <c r="L3927">
        <f>IF(AND($J3927=0,$K3927=0),0,1)</f>
        <v>0</v>
      </c>
    </row>
    <row r="3928" spans="1:12" x14ac:dyDescent="0.2">
      <c r="A3928" t="s">
        <v>545</v>
      </c>
      <c r="B3928" t="s">
        <v>133</v>
      </c>
      <c r="C3928" t="s">
        <v>21</v>
      </c>
      <c r="D3928">
        <v>2010</v>
      </c>
      <c r="E3928">
        <v>2020</v>
      </c>
      <c r="F3928">
        <v>4</v>
      </c>
      <c r="G3928">
        <v>11453</v>
      </c>
      <c r="H3928" s="1">
        <v>3</v>
      </c>
      <c r="I3928">
        <v>90</v>
      </c>
      <c r="J3928">
        <f>IF($H3928=0,1,IF($I3928&lt;=1,2,0))</f>
        <v>0</v>
      </c>
      <c r="K3928">
        <v>0</v>
      </c>
      <c r="L3928">
        <f>IF(AND($J3928=0,$K3928=0),0,1)</f>
        <v>0</v>
      </c>
    </row>
    <row r="3929" spans="1:12" x14ac:dyDescent="0.2">
      <c r="A3929" t="s">
        <v>545</v>
      </c>
      <c r="B3929" t="s">
        <v>133</v>
      </c>
      <c r="C3929" t="s">
        <v>21</v>
      </c>
      <c r="D3929">
        <v>2010</v>
      </c>
      <c r="E3929">
        <v>2020</v>
      </c>
      <c r="F3929">
        <v>3</v>
      </c>
      <c r="G3929">
        <v>11450</v>
      </c>
      <c r="H3929" s="1">
        <v>3</v>
      </c>
      <c r="I3929">
        <v>75</v>
      </c>
      <c r="J3929">
        <f>IF($H3929=0,1,IF($I3929&lt;=1,2,0))</f>
        <v>0</v>
      </c>
      <c r="K3929">
        <v>0</v>
      </c>
      <c r="L3929">
        <f>IF(AND($J3929=0,$K3929=0),0,1)</f>
        <v>0</v>
      </c>
    </row>
    <row r="3930" spans="1:12" x14ac:dyDescent="0.2">
      <c r="A3930" t="s">
        <v>545</v>
      </c>
      <c r="B3930" t="s">
        <v>133</v>
      </c>
      <c r="C3930" t="s">
        <v>21</v>
      </c>
      <c r="D3930">
        <v>2010</v>
      </c>
      <c r="E3930">
        <v>2020</v>
      </c>
      <c r="F3930">
        <v>5</v>
      </c>
      <c r="G3930">
        <v>11455</v>
      </c>
      <c r="H3930" s="1">
        <v>3</v>
      </c>
      <c r="I3930">
        <v>44</v>
      </c>
      <c r="J3930">
        <f>IF($H3930=0,1,IF($I3930&lt;=1,2,0))</f>
        <v>0</v>
      </c>
      <c r="K3930">
        <v>0</v>
      </c>
      <c r="L3930">
        <f>IF(AND($J3930=0,$K3930=0),0,1)</f>
        <v>0</v>
      </c>
    </row>
    <row r="3931" spans="1:12" x14ac:dyDescent="0.2">
      <c r="A3931" t="s">
        <v>545</v>
      </c>
      <c r="B3931" t="s">
        <v>133</v>
      </c>
      <c r="C3931" t="s">
        <v>21</v>
      </c>
      <c r="D3931">
        <v>2010</v>
      </c>
      <c r="E3931">
        <v>2020</v>
      </c>
      <c r="F3931">
        <v>2</v>
      </c>
      <c r="G3931">
        <v>118</v>
      </c>
      <c r="H3931" s="1">
        <v>3</v>
      </c>
      <c r="I3931">
        <v>34</v>
      </c>
      <c r="J3931">
        <f>IF($H3931=0,1,IF($I3931&lt;=1,2,0))</f>
        <v>0</v>
      </c>
      <c r="K3931">
        <v>0</v>
      </c>
      <c r="L3931">
        <f>IF(AND($J3931=0,$K3931=0),0,1)</f>
        <v>0</v>
      </c>
    </row>
    <row r="3932" spans="1:12" x14ac:dyDescent="0.2">
      <c r="A3932" t="s">
        <v>545</v>
      </c>
      <c r="B3932" t="s">
        <v>133</v>
      </c>
      <c r="C3932" t="s">
        <v>21</v>
      </c>
      <c r="D3932">
        <v>2010</v>
      </c>
      <c r="E3932">
        <v>2020</v>
      </c>
      <c r="F3932">
        <v>1</v>
      </c>
      <c r="G3932">
        <v>117</v>
      </c>
      <c r="H3932" s="1">
        <v>3</v>
      </c>
      <c r="I3932">
        <v>22</v>
      </c>
      <c r="J3932">
        <f>IF($H3932=0,1,IF($I3932&lt;=1,2,0))</f>
        <v>0</v>
      </c>
      <c r="K3932">
        <v>0</v>
      </c>
      <c r="L3932">
        <f>IF(AND($J3932=0,$K3932=0),0,1)</f>
        <v>0</v>
      </c>
    </row>
    <row r="3933" spans="1:12" x14ac:dyDescent="0.2">
      <c r="A3933" t="s">
        <v>545</v>
      </c>
      <c r="B3933" t="s">
        <v>133</v>
      </c>
      <c r="C3933" t="s">
        <v>21</v>
      </c>
      <c r="D3933">
        <v>2030</v>
      </c>
      <c r="E3933">
        <v>2020</v>
      </c>
      <c r="F3933">
        <v>1</v>
      </c>
      <c r="G3933">
        <v>11457</v>
      </c>
      <c r="H3933" s="1">
        <v>3</v>
      </c>
      <c r="I3933">
        <v>48</v>
      </c>
      <c r="J3933">
        <f>IF($H3933=0,1,IF($I3933&lt;=1,2,0))</f>
        <v>0</v>
      </c>
      <c r="K3933">
        <v>0</v>
      </c>
      <c r="L3933">
        <f>IF(AND($J3933=0,$K3933=0),0,1)</f>
        <v>0</v>
      </c>
    </row>
    <row r="3934" spans="1:12" x14ac:dyDescent="0.2">
      <c r="A3934" t="s">
        <v>545</v>
      </c>
      <c r="B3934" t="s">
        <v>133</v>
      </c>
      <c r="C3934" t="s">
        <v>21</v>
      </c>
      <c r="D3934">
        <v>2030</v>
      </c>
      <c r="E3934">
        <v>2020</v>
      </c>
      <c r="F3934">
        <v>2</v>
      </c>
      <c r="G3934">
        <v>11461</v>
      </c>
      <c r="H3934" s="1">
        <v>3</v>
      </c>
      <c r="I3934">
        <v>29</v>
      </c>
      <c r="J3934">
        <f>IF($H3934=0,1,IF($I3934&lt;=1,2,0))</f>
        <v>0</v>
      </c>
      <c r="K3934">
        <v>0</v>
      </c>
      <c r="L3934">
        <f>IF(AND($J3934=0,$K3934=0),0,1)</f>
        <v>0</v>
      </c>
    </row>
    <row r="3935" spans="1:12" x14ac:dyDescent="0.2">
      <c r="A3935" t="s">
        <v>545</v>
      </c>
      <c r="B3935" t="s">
        <v>133</v>
      </c>
      <c r="C3935" t="s">
        <v>21</v>
      </c>
      <c r="D3935">
        <v>2500</v>
      </c>
      <c r="E3935">
        <v>2020</v>
      </c>
      <c r="F3935">
        <v>2</v>
      </c>
      <c r="G3935">
        <v>11466</v>
      </c>
      <c r="H3935" s="1">
        <v>3</v>
      </c>
      <c r="I3935">
        <v>38</v>
      </c>
      <c r="J3935">
        <f>IF($H3935=0,1,IF($I3935&lt;=1,2,0))</f>
        <v>0</v>
      </c>
      <c r="K3935">
        <v>0</v>
      </c>
      <c r="L3935">
        <f>IF(AND($J3935=0,$K3935=0),0,1)</f>
        <v>0</v>
      </c>
    </row>
    <row r="3936" spans="1:12" x14ac:dyDescent="0.2">
      <c r="A3936" t="s">
        <v>545</v>
      </c>
      <c r="B3936" t="s">
        <v>133</v>
      </c>
      <c r="C3936" t="s">
        <v>21</v>
      </c>
      <c r="D3936">
        <v>2500</v>
      </c>
      <c r="E3936">
        <v>2020</v>
      </c>
      <c r="F3936">
        <v>1</v>
      </c>
      <c r="G3936">
        <v>11464</v>
      </c>
      <c r="H3936" s="1">
        <v>3</v>
      </c>
      <c r="I3936">
        <v>28</v>
      </c>
      <c r="J3936">
        <f>IF($H3936=0,1,IF($I3936&lt;=1,2,0))</f>
        <v>0</v>
      </c>
      <c r="K3936">
        <v>0</v>
      </c>
      <c r="L3936">
        <f>IF(AND($J3936=0,$K3936=0),0,1)</f>
        <v>0</v>
      </c>
    </row>
    <row r="3937" spans="1:12" x14ac:dyDescent="0.2">
      <c r="A3937" t="s">
        <v>545</v>
      </c>
      <c r="B3937" t="s">
        <v>133</v>
      </c>
      <c r="C3937" t="s">
        <v>21</v>
      </c>
      <c r="D3937">
        <v>3007</v>
      </c>
      <c r="E3937">
        <v>2020</v>
      </c>
      <c r="F3937">
        <v>1</v>
      </c>
      <c r="G3937">
        <v>11470</v>
      </c>
      <c r="H3937" s="1">
        <v>3</v>
      </c>
      <c r="I3937">
        <v>57</v>
      </c>
      <c r="J3937">
        <f>IF($H3937=0,1,IF($I3937&lt;=1,2,0))</f>
        <v>0</v>
      </c>
      <c r="K3937">
        <v>0</v>
      </c>
      <c r="L3937">
        <f>IF(AND($J3937=0,$K3937=0),0,1)</f>
        <v>0</v>
      </c>
    </row>
    <row r="3938" spans="1:12" x14ac:dyDescent="0.2">
      <c r="A3938" t="s">
        <v>545</v>
      </c>
      <c r="B3938" t="s">
        <v>133</v>
      </c>
      <c r="C3938" t="s">
        <v>21</v>
      </c>
      <c r="D3938">
        <v>3025</v>
      </c>
      <c r="E3938">
        <v>2020</v>
      </c>
      <c r="F3938">
        <v>1</v>
      </c>
      <c r="G3938">
        <v>11471</v>
      </c>
      <c r="H3938" s="1">
        <v>3</v>
      </c>
      <c r="I3938">
        <v>83</v>
      </c>
      <c r="J3938">
        <f>IF($H3938=0,1,IF($I3938&lt;=1,2,0))</f>
        <v>0</v>
      </c>
      <c r="K3938">
        <v>0</v>
      </c>
      <c r="L3938">
        <f>IF(AND($J3938=0,$K3938=0),0,1)</f>
        <v>0</v>
      </c>
    </row>
    <row r="3939" spans="1:12" x14ac:dyDescent="0.2">
      <c r="A3939" t="s">
        <v>545</v>
      </c>
      <c r="B3939" t="s">
        <v>133</v>
      </c>
      <c r="C3939" t="s">
        <v>21</v>
      </c>
      <c r="D3939">
        <v>3027</v>
      </c>
      <c r="E3939">
        <v>2020</v>
      </c>
      <c r="F3939">
        <v>1</v>
      </c>
      <c r="G3939">
        <v>11478</v>
      </c>
      <c r="H3939" s="1">
        <v>3</v>
      </c>
      <c r="I3939">
        <v>32</v>
      </c>
      <c r="J3939">
        <f>IF($H3939=0,1,IF($I3939&lt;=1,2,0))</f>
        <v>0</v>
      </c>
      <c r="K3939">
        <v>0</v>
      </c>
      <c r="L3939">
        <f>IF(AND($J3939=0,$K3939=0),0,1)</f>
        <v>0</v>
      </c>
    </row>
    <row r="3940" spans="1:12" x14ac:dyDescent="0.2">
      <c r="A3940" t="s">
        <v>545</v>
      </c>
      <c r="B3940" t="s">
        <v>133</v>
      </c>
      <c r="C3940" t="s">
        <v>21</v>
      </c>
      <c r="D3940">
        <v>3386</v>
      </c>
      <c r="E3940">
        <v>2020</v>
      </c>
      <c r="F3940">
        <v>1</v>
      </c>
      <c r="G3940">
        <v>11484</v>
      </c>
      <c r="H3940" s="1">
        <v>3</v>
      </c>
      <c r="I3940">
        <v>25</v>
      </c>
      <c r="J3940">
        <f>IF($H3940=0,1,IF($I3940&lt;=1,2,0))</f>
        <v>0</v>
      </c>
      <c r="K3940">
        <v>0</v>
      </c>
      <c r="L3940">
        <f>IF(AND($J3940=0,$K3940=0),0,1)</f>
        <v>0</v>
      </c>
    </row>
    <row r="3941" spans="1:12" x14ac:dyDescent="0.2">
      <c r="A3941" t="s">
        <v>545</v>
      </c>
      <c r="B3941" t="s">
        <v>133</v>
      </c>
      <c r="C3941" t="s">
        <v>21</v>
      </c>
      <c r="D3941">
        <v>3951</v>
      </c>
      <c r="E3941">
        <v>2020</v>
      </c>
      <c r="F3941">
        <v>1</v>
      </c>
      <c r="G3941">
        <v>120</v>
      </c>
      <c r="H3941" s="1">
        <v>3</v>
      </c>
      <c r="I3941">
        <v>31</v>
      </c>
      <c r="J3941">
        <f>IF($H3941=0,1,IF($I3941&lt;=1,2,0))</f>
        <v>0</v>
      </c>
      <c r="K3941">
        <v>0</v>
      </c>
      <c r="L3941">
        <f>IF(AND($J3941=0,$K3941=0),0,1)</f>
        <v>0</v>
      </c>
    </row>
    <row r="3942" spans="1:12" x14ac:dyDescent="0.2">
      <c r="A3942" t="s">
        <v>545</v>
      </c>
      <c r="B3942" t="s">
        <v>133</v>
      </c>
      <c r="C3942" t="s">
        <v>21</v>
      </c>
      <c r="D3942">
        <v>3951</v>
      </c>
      <c r="E3942">
        <v>2020</v>
      </c>
      <c r="F3942">
        <v>2</v>
      </c>
      <c r="G3942">
        <v>121</v>
      </c>
      <c r="H3942" s="1">
        <v>3</v>
      </c>
      <c r="I3942">
        <v>7</v>
      </c>
      <c r="J3942">
        <f>IF($H3942=0,1,IF($I3942&lt;=1,2,0))</f>
        <v>0</v>
      </c>
      <c r="K3942">
        <v>0</v>
      </c>
      <c r="L3942">
        <f>IF(AND($J3942=0,$K3942=0),0,1)</f>
        <v>0</v>
      </c>
    </row>
    <row r="3943" spans="1:12" x14ac:dyDescent="0.2">
      <c r="A3943" t="s">
        <v>545</v>
      </c>
      <c r="B3943" t="s">
        <v>133</v>
      </c>
      <c r="C3943" t="s">
        <v>9</v>
      </c>
      <c r="D3943">
        <v>4041</v>
      </c>
      <c r="E3943">
        <v>2020</v>
      </c>
      <c r="F3943">
        <v>1</v>
      </c>
      <c r="G3943">
        <v>11487</v>
      </c>
      <c r="H3943" s="1">
        <v>3</v>
      </c>
      <c r="I3943">
        <v>65</v>
      </c>
      <c r="J3943">
        <f>IF($H3943=0,1,IF($I3943&lt;=1,2,0))</f>
        <v>0</v>
      </c>
      <c r="K3943">
        <v>0</v>
      </c>
      <c r="L3943">
        <f>IF(AND($J3943=0,$K3943=0),0,1)</f>
        <v>0</v>
      </c>
    </row>
    <row r="3944" spans="1:12" x14ac:dyDescent="0.2">
      <c r="A3944" t="s">
        <v>545</v>
      </c>
      <c r="B3944" t="s">
        <v>133</v>
      </c>
      <c r="C3944" t="s">
        <v>9</v>
      </c>
      <c r="D3944">
        <v>4042</v>
      </c>
      <c r="E3944">
        <v>2020</v>
      </c>
      <c r="F3944">
        <v>1</v>
      </c>
      <c r="G3944">
        <v>11488</v>
      </c>
      <c r="H3944" s="1">
        <v>3</v>
      </c>
      <c r="I3944">
        <v>12</v>
      </c>
      <c r="J3944">
        <f>IF($H3944=0,1,IF($I3944&lt;=1,2,0))</f>
        <v>0</v>
      </c>
      <c r="K3944">
        <v>0</v>
      </c>
      <c r="L3944">
        <f>IF(AND($J3944=0,$K3944=0),0,1)</f>
        <v>0</v>
      </c>
    </row>
    <row r="3945" spans="1:12" x14ac:dyDescent="0.2">
      <c r="A3945" t="s">
        <v>545</v>
      </c>
      <c r="B3945" t="s">
        <v>133</v>
      </c>
      <c r="C3945" t="s">
        <v>9</v>
      </c>
      <c r="D3945">
        <v>4044</v>
      </c>
      <c r="E3945">
        <v>2020</v>
      </c>
      <c r="F3945">
        <v>1</v>
      </c>
      <c r="G3945">
        <v>11490</v>
      </c>
      <c r="H3945" s="1">
        <v>3</v>
      </c>
      <c r="I3945">
        <v>10</v>
      </c>
      <c r="J3945">
        <f>IF($H3945=0,1,IF($I3945&lt;=1,2,0))</f>
        <v>0</v>
      </c>
      <c r="K3945">
        <v>0</v>
      </c>
      <c r="L3945">
        <f>IF(AND($J3945=0,$K3945=0),0,1)</f>
        <v>0</v>
      </c>
    </row>
    <row r="3946" spans="1:12" x14ac:dyDescent="0.2">
      <c r="A3946" t="s">
        <v>545</v>
      </c>
      <c r="B3946" t="s">
        <v>133</v>
      </c>
      <c r="C3946" t="s">
        <v>9</v>
      </c>
      <c r="D3946">
        <v>4051</v>
      </c>
      <c r="E3946">
        <v>2020</v>
      </c>
      <c r="F3946">
        <v>1</v>
      </c>
      <c r="G3946">
        <v>11491</v>
      </c>
      <c r="H3946" s="1">
        <v>3</v>
      </c>
      <c r="I3946">
        <v>27</v>
      </c>
      <c r="J3946">
        <f>IF($H3946=0,1,IF($I3946&lt;=1,2,0))</f>
        <v>0</v>
      </c>
      <c r="K3946">
        <v>0</v>
      </c>
      <c r="L3946">
        <f>IF(AND($J3946=0,$K3946=0),0,1)</f>
        <v>0</v>
      </c>
    </row>
    <row r="3947" spans="1:12" x14ac:dyDescent="0.2">
      <c r="A3947" t="s">
        <v>545</v>
      </c>
      <c r="B3947" t="s">
        <v>133</v>
      </c>
      <c r="C3947" t="s">
        <v>9</v>
      </c>
      <c r="D3947">
        <v>4061</v>
      </c>
      <c r="E3947">
        <v>2020</v>
      </c>
      <c r="F3947">
        <v>1</v>
      </c>
      <c r="G3947">
        <v>11494</v>
      </c>
      <c r="H3947" s="1">
        <v>3</v>
      </c>
      <c r="I3947">
        <v>34</v>
      </c>
      <c r="J3947">
        <f>IF($H3947=0,1,IF($I3947&lt;=1,2,0))</f>
        <v>0</v>
      </c>
      <c r="K3947">
        <v>0</v>
      </c>
      <c r="L3947">
        <f>IF(AND($J3947=0,$K3947=0),0,1)</f>
        <v>0</v>
      </c>
    </row>
    <row r="3948" spans="1:12" x14ac:dyDescent="0.2">
      <c r="A3948" t="s">
        <v>545</v>
      </c>
      <c r="B3948" t="s">
        <v>133</v>
      </c>
      <c r="C3948" t="s">
        <v>9</v>
      </c>
      <c r="D3948">
        <v>4061</v>
      </c>
      <c r="E3948">
        <v>2020</v>
      </c>
      <c r="F3948">
        <v>2</v>
      </c>
      <c r="G3948">
        <v>11495</v>
      </c>
      <c r="H3948" s="1">
        <v>3</v>
      </c>
      <c r="I3948">
        <v>30</v>
      </c>
      <c r="J3948">
        <f>IF($H3948=0,1,IF($I3948&lt;=1,2,0))</f>
        <v>0</v>
      </c>
      <c r="K3948">
        <v>0</v>
      </c>
      <c r="L3948">
        <f>IF(AND($J3948=0,$K3948=0),0,1)</f>
        <v>0</v>
      </c>
    </row>
    <row r="3949" spans="1:12" x14ac:dyDescent="0.2">
      <c r="A3949" t="s">
        <v>545</v>
      </c>
      <c r="B3949" t="s">
        <v>133</v>
      </c>
      <c r="C3949" t="s">
        <v>9</v>
      </c>
      <c r="D3949">
        <v>4062</v>
      </c>
      <c r="E3949">
        <v>2020</v>
      </c>
      <c r="F3949">
        <v>1</v>
      </c>
      <c r="G3949">
        <v>11498</v>
      </c>
      <c r="H3949" s="1">
        <v>3</v>
      </c>
      <c r="I3949">
        <v>25</v>
      </c>
      <c r="J3949">
        <f>IF($H3949=0,1,IF($I3949&lt;=1,2,0))</f>
        <v>0</v>
      </c>
      <c r="K3949">
        <v>0</v>
      </c>
      <c r="L3949">
        <f>IF(AND($J3949=0,$K3949=0),0,1)</f>
        <v>0</v>
      </c>
    </row>
    <row r="3950" spans="1:12" x14ac:dyDescent="0.2">
      <c r="A3950" t="s">
        <v>545</v>
      </c>
      <c r="B3950" t="s">
        <v>133</v>
      </c>
      <c r="C3950" t="s">
        <v>9</v>
      </c>
      <c r="D3950">
        <v>4065</v>
      </c>
      <c r="E3950">
        <v>2020</v>
      </c>
      <c r="F3950">
        <v>1</v>
      </c>
      <c r="G3950">
        <v>11503</v>
      </c>
      <c r="H3950" s="1">
        <v>3</v>
      </c>
      <c r="I3950">
        <v>17</v>
      </c>
      <c r="J3950">
        <f>IF($H3950=0,1,IF($I3950&lt;=1,2,0))</f>
        <v>0</v>
      </c>
      <c r="K3950">
        <v>0</v>
      </c>
      <c r="L3950">
        <f>IF(AND($J3950=0,$K3950=0),0,1)</f>
        <v>0</v>
      </c>
    </row>
    <row r="3951" spans="1:12" x14ac:dyDescent="0.2">
      <c r="A3951" t="s">
        <v>545</v>
      </c>
      <c r="B3951" t="s">
        <v>133</v>
      </c>
      <c r="C3951" t="s">
        <v>9</v>
      </c>
      <c r="D3951">
        <v>4200</v>
      </c>
      <c r="E3951">
        <v>2020</v>
      </c>
      <c r="F3951">
        <v>1</v>
      </c>
      <c r="G3951">
        <v>15440</v>
      </c>
      <c r="H3951" s="1">
        <v>4</v>
      </c>
      <c r="I3951">
        <v>12</v>
      </c>
      <c r="J3951">
        <f>IF($H3951=0,1,IF($I3951&lt;=1,2,0))</f>
        <v>0</v>
      </c>
      <c r="K3951">
        <v>0</v>
      </c>
      <c r="L3951">
        <f>IF(AND($J3951=0,$K3951=0),0,1)</f>
        <v>0</v>
      </c>
    </row>
    <row r="3952" spans="1:12" x14ac:dyDescent="0.2">
      <c r="A3952" t="s">
        <v>545</v>
      </c>
      <c r="B3952" t="s">
        <v>133</v>
      </c>
      <c r="C3952" t="s">
        <v>9</v>
      </c>
      <c r="D3952">
        <v>4391</v>
      </c>
      <c r="E3952">
        <v>2020</v>
      </c>
      <c r="F3952">
        <v>1</v>
      </c>
      <c r="G3952">
        <v>14322</v>
      </c>
      <c r="H3952" s="1">
        <v>3</v>
      </c>
      <c r="I3952">
        <v>15</v>
      </c>
      <c r="J3952">
        <f>IF($H3952=0,1,IF($I3952&lt;=1,2,0))</f>
        <v>0</v>
      </c>
      <c r="K3952">
        <v>0</v>
      </c>
      <c r="L3952">
        <f>IF(AND($J3952=0,$K3952=0),0,1)</f>
        <v>0</v>
      </c>
    </row>
    <row r="3953" spans="1:13" x14ac:dyDescent="0.2">
      <c r="A3953" t="s">
        <v>545</v>
      </c>
      <c r="B3953" t="s">
        <v>133</v>
      </c>
      <c r="C3953" t="s">
        <v>9</v>
      </c>
      <c r="D3953">
        <v>5010</v>
      </c>
      <c r="E3953">
        <v>2020</v>
      </c>
      <c r="F3953">
        <v>1</v>
      </c>
      <c r="G3953">
        <v>12050</v>
      </c>
      <c r="H3953" s="1">
        <v>3</v>
      </c>
      <c r="I3953">
        <v>100</v>
      </c>
      <c r="J3953">
        <f>IF($H3953=0,1,IF($I3953&lt;=1,2,0))</f>
        <v>0</v>
      </c>
      <c r="K3953">
        <v>0</v>
      </c>
      <c r="L3953">
        <f>IF(AND($J3953=0,$K3953=0),0,1)</f>
        <v>0</v>
      </c>
      <c r="M3953" t="s">
        <v>1943</v>
      </c>
    </row>
    <row r="3954" spans="1:13" x14ac:dyDescent="0.2">
      <c r="A3954" t="s">
        <v>545</v>
      </c>
      <c r="B3954" t="s">
        <v>133</v>
      </c>
      <c r="C3954" t="s">
        <v>11</v>
      </c>
      <c r="D3954">
        <v>5220</v>
      </c>
      <c r="E3954">
        <v>2020</v>
      </c>
      <c r="F3954">
        <v>1</v>
      </c>
      <c r="G3954">
        <v>12051</v>
      </c>
      <c r="H3954" s="1">
        <v>3</v>
      </c>
      <c r="I3954">
        <v>43</v>
      </c>
      <c r="J3954">
        <f>IF($H3954=0,1,IF($I3954&lt;=1,2,0))</f>
        <v>0</v>
      </c>
      <c r="K3954">
        <v>0</v>
      </c>
      <c r="L3954">
        <f>IF(AND($J3954=0,$K3954=0),0,1)</f>
        <v>0</v>
      </c>
      <c r="M3954" t="s">
        <v>1138</v>
      </c>
    </row>
    <row r="3955" spans="1:13" x14ac:dyDescent="0.2">
      <c r="A3955" t="s">
        <v>545</v>
      </c>
      <c r="B3955" t="s">
        <v>133</v>
      </c>
      <c r="C3955" t="s">
        <v>11</v>
      </c>
      <c r="D3955">
        <v>5280</v>
      </c>
      <c r="E3955">
        <v>2020</v>
      </c>
      <c r="F3955">
        <v>1</v>
      </c>
      <c r="G3955">
        <v>12053</v>
      </c>
      <c r="H3955" s="1">
        <v>3</v>
      </c>
      <c r="I3955">
        <v>126</v>
      </c>
      <c r="J3955">
        <f>IF($H3955=0,1,IF($I3955&lt;=1,2,0))</f>
        <v>0</v>
      </c>
      <c r="K3955">
        <v>0</v>
      </c>
      <c r="L3955">
        <f>IF(AND($J3955=0,$K3955=0),0,1)</f>
        <v>0</v>
      </c>
      <c r="M3955" t="s">
        <v>2007</v>
      </c>
    </row>
    <row r="3956" spans="1:13" x14ac:dyDescent="0.2">
      <c r="A3956" t="s">
        <v>545</v>
      </c>
      <c r="B3956" t="s">
        <v>133</v>
      </c>
      <c r="C3956" t="s">
        <v>11</v>
      </c>
      <c r="D3956">
        <v>5340</v>
      </c>
      <c r="E3956">
        <v>2020</v>
      </c>
      <c r="F3956">
        <v>1</v>
      </c>
      <c r="G3956">
        <v>12056</v>
      </c>
      <c r="H3956" s="1">
        <v>3</v>
      </c>
      <c r="I3956">
        <v>45</v>
      </c>
      <c r="J3956">
        <f>IF($H3956=0,1,IF($I3956&lt;=1,2,0))</f>
        <v>0</v>
      </c>
      <c r="K3956">
        <v>0</v>
      </c>
      <c r="L3956">
        <f>IF(AND($J3956=0,$K3956=0),0,1)</f>
        <v>0</v>
      </c>
      <c r="M3956" t="s">
        <v>1138</v>
      </c>
    </row>
    <row r="3957" spans="1:13" x14ac:dyDescent="0.2">
      <c r="A3957" t="s">
        <v>545</v>
      </c>
      <c r="B3957" t="s">
        <v>133</v>
      </c>
      <c r="C3957" t="s">
        <v>11</v>
      </c>
      <c r="D3957">
        <v>5420</v>
      </c>
      <c r="E3957">
        <v>2020</v>
      </c>
      <c r="F3957">
        <v>1</v>
      </c>
      <c r="G3957">
        <v>12057</v>
      </c>
      <c r="H3957" s="1">
        <v>3</v>
      </c>
      <c r="I3957">
        <v>59</v>
      </c>
      <c r="J3957">
        <f>IF($H3957=0,1,IF($I3957&lt;=1,2,0))</f>
        <v>0</v>
      </c>
      <c r="K3957">
        <v>0</v>
      </c>
      <c r="L3957">
        <f>IF(AND($J3957=0,$K3957=0),0,1)</f>
        <v>0</v>
      </c>
      <c r="M3957" t="s">
        <v>1138</v>
      </c>
    </row>
    <row r="3958" spans="1:13" x14ac:dyDescent="0.2">
      <c r="A3958" t="s">
        <v>545</v>
      </c>
      <c r="B3958" t="s">
        <v>133</v>
      </c>
      <c r="C3958" t="s">
        <v>11</v>
      </c>
      <c r="D3958">
        <v>6151</v>
      </c>
      <c r="E3958">
        <v>2020</v>
      </c>
      <c r="F3958">
        <v>1</v>
      </c>
      <c r="G3958">
        <v>11508</v>
      </c>
      <c r="H3958" s="1">
        <v>4.5</v>
      </c>
      <c r="I3958">
        <v>26</v>
      </c>
      <c r="J3958">
        <f>IF($H3958=0,1,IF($I3958&lt;=1,2,0))</f>
        <v>0</v>
      </c>
      <c r="K3958">
        <v>0</v>
      </c>
      <c r="L3958">
        <f>IF(AND($J3958=0,$K3958=0),0,1)</f>
        <v>0</v>
      </c>
      <c r="M3958" t="s">
        <v>1140</v>
      </c>
    </row>
    <row r="3959" spans="1:13" x14ac:dyDescent="0.2">
      <c r="A3959" t="s">
        <v>545</v>
      </c>
      <c r="B3959" t="s">
        <v>133</v>
      </c>
      <c r="C3959" t="s">
        <v>11</v>
      </c>
      <c r="D3959">
        <v>6175</v>
      </c>
      <c r="E3959">
        <v>2020</v>
      </c>
      <c r="F3959">
        <v>1</v>
      </c>
      <c r="G3959">
        <v>11514</v>
      </c>
      <c r="H3959" s="1">
        <v>4.5</v>
      </c>
      <c r="I3959">
        <v>19</v>
      </c>
      <c r="J3959">
        <f>IF($H3959=0,1,IF($I3959&lt;=1,2,0))</f>
        <v>0</v>
      </c>
      <c r="K3959">
        <v>0</v>
      </c>
      <c r="L3959">
        <f>IF(AND($J3959=0,$K3959=0),0,1)</f>
        <v>0</v>
      </c>
      <c r="M3959" t="s">
        <v>1140</v>
      </c>
    </row>
    <row r="3960" spans="1:13" x14ac:dyDescent="0.2">
      <c r="A3960" t="s">
        <v>545</v>
      </c>
      <c r="B3960" t="s">
        <v>133</v>
      </c>
      <c r="C3960" t="s">
        <v>11</v>
      </c>
      <c r="D3960">
        <v>6261</v>
      </c>
      <c r="E3960">
        <v>2020</v>
      </c>
      <c r="F3960">
        <v>1</v>
      </c>
      <c r="G3960">
        <v>11520</v>
      </c>
      <c r="H3960" s="1">
        <v>4.5</v>
      </c>
      <c r="I3960">
        <v>15</v>
      </c>
      <c r="J3960">
        <f>IF($H3960=0,1,IF($I3960&lt;=1,2,0))</f>
        <v>0</v>
      </c>
      <c r="K3960">
        <v>0</v>
      </c>
      <c r="L3960">
        <f>IF(AND($J3960=0,$K3960=0),0,1)</f>
        <v>0</v>
      </c>
      <c r="M3960" t="s">
        <v>1140</v>
      </c>
    </row>
    <row r="3961" spans="1:13" x14ac:dyDescent="0.2">
      <c r="A3961" t="s">
        <v>545</v>
      </c>
      <c r="B3961" t="s">
        <v>133</v>
      </c>
      <c r="C3961" t="s">
        <v>11</v>
      </c>
      <c r="D3961">
        <v>6307</v>
      </c>
      <c r="E3961">
        <v>2020</v>
      </c>
      <c r="F3961">
        <v>1</v>
      </c>
      <c r="G3961">
        <v>11524</v>
      </c>
      <c r="H3961" s="1">
        <v>4.5</v>
      </c>
      <c r="I3961">
        <v>7</v>
      </c>
      <c r="J3961">
        <f>IF($H3961=0,1,IF($I3961&lt;=1,2,0))</f>
        <v>0</v>
      </c>
      <c r="K3961">
        <v>0</v>
      </c>
      <c r="L3961">
        <f>IF(AND($J3961=0,$K3961=0),0,1)</f>
        <v>0</v>
      </c>
      <c r="M3961" t="s">
        <v>1140</v>
      </c>
    </row>
    <row r="3962" spans="1:13" x14ac:dyDescent="0.2">
      <c r="A3962" t="s">
        <v>545</v>
      </c>
      <c r="B3962" t="s">
        <v>133</v>
      </c>
      <c r="C3962" t="s">
        <v>11</v>
      </c>
      <c r="D3962">
        <v>6343</v>
      </c>
      <c r="E3962">
        <v>2020</v>
      </c>
      <c r="F3962">
        <v>1</v>
      </c>
      <c r="G3962">
        <v>11526</v>
      </c>
      <c r="H3962" s="1">
        <v>4.5</v>
      </c>
      <c r="I3962">
        <v>12</v>
      </c>
      <c r="J3962">
        <f>IF($H3962=0,1,IF($I3962&lt;=1,2,0))</f>
        <v>0</v>
      </c>
      <c r="K3962">
        <v>0</v>
      </c>
      <c r="L3962">
        <f>IF(AND($J3962=0,$K3962=0),0,1)</f>
        <v>0</v>
      </c>
      <c r="M3962" t="s">
        <v>1140</v>
      </c>
    </row>
    <row r="3963" spans="1:13" x14ac:dyDescent="0.2">
      <c r="A3963" t="s">
        <v>545</v>
      </c>
      <c r="B3963" t="s">
        <v>133</v>
      </c>
      <c r="C3963" t="s">
        <v>11</v>
      </c>
      <c r="D3963">
        <v>6402</v>
      </c>
      <c r="E3963">
        <v>2020</v>
      </c>
      <c r="F3963">
        <v>1</v>
      </c>
      <c r="G3963">
        <v>11531</v>
      </c>
      <c r="H3963" s="1">
        <v>4.5</v>
      </c>
      <c r="I3963">
        <v>13</v>
      </c>
      <c r="J3963">
        <f>IF($H3963=0,1,IF($I3963&lt;=1,2,0))</f>
        <v>0</v>
      </c>
      <c r="K3963">
        <v>0</v>
      </c>
      <c r="L3963">
        <f>IF(AND($J3963=0,$K3963=0),0,1)</f>
        <v>0</v>
      </c>
      <c r="M3963" t="s">
        <v>1140</v>
      </c>
    </row>
    <row r="3964" spans="1:13" x14ac:dyDescent="0.2">
      <c r="A3964" t="s">
        <v>552</v>
      </c>
      <c r="B3964" t="s">
        <v>17</v>
      </c>
      <c r="C3964" t="s">
        <v>9</v>
      </c>
      <c r="D3964">
        <v>1101</v>
      </c>
      <c r="E3964">
        <v>2020</v>
      </c>
      <c r="F3964">
        <v>1</v>
      </c>
      <c r="G3964">
        <v>11769</v>
      </c>
      <c r="H3964" s="1">
        <v>4</v>
      </c>
      <c r="I3964">
        <v>10</v>
      </c>
      <c r="J3964">
        <f>IF($H3964=0,1,IF($I3964&lt;=1,2,0))</f>
        <v>0</v>
      </c>
      <c r="K3964">
        <v>0</v>
      </c>
      <c r="L3964">
        <f>IF(AND($J3964=0,$K3964=0),0,1)</f>
        <v>0</v>
      </c>
    </row>
    <row r="3965" spans="1:13" x14ac:dyDescent="0.2">
      <c r="A3965" t="s">
        <v>552</v>
      </c>
      <c r="B3965" t="s">
        <v>17</v>
      </c>
      <c r="C3965" t="s">
        <v>9</v>
      </c>
      <c r="D3965">
        <v>1210</v>
      </c>
      <c r="E3965">
        <v>2020</v>
      </c>
      <c r="F3965">
        <v>2</v>
      </c>
      <c r="G3965">
        <v>10493</v>
      </c>
      <c r="H3965" s="1">
        <v>5</v>
      </c>
      <c r="I3965">
        <v>12</v>
      </c>
      <c r="J3965">
        <f>IF($H3965=0,1,IF($I3965&lt;=1,2,0))</f>
        <v>0</v>
      </c>
      <c r="K3965">
        <v>0</v>
      </c>
      <c r="L3965">
        <f>IF(AND($J3965=0,$K3965=0),0,1)</f>
        <v>0</v>
      </c>
    </row>
    <row r="3966" spans="1:13" x14ac:dyDescent="0.2">
      <c r="A3966" t="s">
        <v>552</v>
      </c>
      <c r="B3966" t="s">
        <v>17</v>
      </c>
      <c r="C3966" t="s">
        <v>9</v>
      </c>
      <c r="D3966">
        <v>1210</v>
      </c>
      <c r="E3966">
        <v>2020</v>
      </c>
      <c r="F3966">
        <v>1</v>
      </c>
      <c r="G3966">
        <v>10491</v>
      </c>
      <c r="H3966" s="1">
        <v>5</v>
      </c>
      <c r="I3966">
        <v>11</v>
      </c>
      <c r="J3966">
        <f>IF($H3966=0,1,IF($I3966&lt;=1,2,0))</f>
        <v>0</v>
      </c>
      <c r="K3966">
        <v>0</v>
      </c>
      <c r="L3966">
        <f>IF(AND($J3966=0,$K3966=0),0,1)</f>
        <v>0</v>
      </c>
    </row>
    <row r="3967" spans="1:13" x14ac:dyDescent="0.2">
      <c r="A3967" t="s">
        <v>552</v>
      </c>
      <c r="B3967" t="s">
        <v>17</v>
      </c>
      <c r="C3967" t="s">
        <v>9</v>
      </c>
      <c r="D3967">
        <v>1211</v>
      </c>
      <c r="E3967">
        <v>2020</v>
      </c>
      <c r="F3967">
        <v>1</v>
      </c>
      <c r="G3967">
        <v>10498</v>
      </c>
      <c r="H3967" s="1">
        <v>5</v>
      </c>
      <c r="I3967">
        <v>5</v>
      </c>
      <c r="J3967">
        <f>IF($H3967=0,1,IF($I3967&lt;=1,2,0))</f>
        <v>0</v>
      </c>
      <c r="K3967">
        <v>0</v>
      </c>
      <c r="L3967">
        <f>IF(AND($J3967=0,$K3967=0),0,1)</f>
        <v>0</v>
      </c>
    </row>
    <row r="3968" spans="1:13" x14ac:dyDescent="0.2">
      <c r="A3968" t="s">
        <v>552</v>
      </c>
      <c r="B3968" t="s">
        <v>17</v>
      </c>
      <c r="C3968" t="s">
        <v>9</v>
      </c>
      <c r="D3968">
        <v>1301</v>
      </c>
      <c r="E3968">
        <v>2020</v>
      </c>
      <c r="F3968">
        <v>1</v>
      </c>
      <c r="G3968">
        <v>15318</v>
      </c>
      <c r="H3968" s="1">
        <v>4</v>
      </c>
      <c r="I3968">
        <v>5</v>
      </c>
      <c r="J3968">
        <f>IF($H3968=0,1,IF($I3968&lt;=1,2,0))</f>
        <v>0</v>
      </c>
      <c r="K3968">
        <v>0</v>
      </c>
      <c r="L3968">
        <f>IF(AND($J3968=0,$K3968=0),0,1)</f>
        <v>0</v>
      </c>
    </row>
    <row r="3969" spans="1:12" x14ac:dyDescent="0.2">
      <c r="A3969" t="s">
        <v>552</v>
      </c>
      <c r="B3969" t="s">
        <v>17</v>
      </c>
      <c r="C3969" t="s">
        <v>9</v>
      </c>
      <c r="D3969">
        <v>1401</v>
      </c>
      <c r="E3969">
        <v>2020</v>
      </c>
      <c r="F3969">
        <v>1</v>
      </c>
      <c r="G3969">
        <v>11773</v>
      </c>
      <c r="H3969" s="1">
        <v>4</v>
      </c>
      <c r="I3969">
        <v>7</v>
      </c>
      <c r="J3969">
        <f>IF($H3969=0,1,IF($I3969&lt;=1,2,0))</f>
        <v>0</v>
      </c>
      <c r="K3969">
        <v>0</v>
      </c>
      <c r="L3969">
        <f>IF(AND($J3969=0,$K3969=0),0,1)</f>
        <v>0</v>
      </c>
    </row>
    <row r="3970" spans="1:12" x14ac:dyDescent="0.2">
      <c r="A3970" t="s">
        <v>552</v>
      </c>
      <c r="B3970" t="s">
        <v>17</v>
      </c>
      <c r="C3970" t="s">
        <v>9</v>
      </c>
      <c r="D3970">
        <v>1501</v>
      </c>
      <c r="E3970">
        <v>2020</v>
      </c>
      <c r="F3970">
        <v>2</v>
      </c>
      <c r="G3970">
        <v>10575</v>
      </c>
      <c r="H3970" s="1">
        <v>5</v>
      </c>
      <c r="I3970">
        <v>13</v>
      </c>
      <c r="J3970">
        <f>IF($H3970=0,1,IF($I3970&lt;=1,2,0))</f>
        <v>0</v>
      </c>
      <c r="K3970">
        <v>0</v>
      </c>
      <c r="L3970">
        <f>IF(AND($J3970=0,$K3970=0),0,1)</f>
        <v>0</v>
      </c>
    </row>
    <row r="3971" spans="1:12" x14ac:dyDescent="0.2">
      <c r="A3971" t="s">
        <v>552</v>
      </c>
      <c r="B3971" t="s">
        <v>17</v>
      </c>
      <c r="C3971" t="s">
        <v>9</v>
      </c>
      <c r="D3971">
        <v>1601</v>
      </c>
      <c r="E3971">
        <v>2020</v>
      </c>
      <c r="F3971">
        <v>2</v>
      </c>
      <c r="G3971">
        <v>10781</v>
      </c>
      <c r="H3971" s="1">
        <v>5</v>
      </c>
      <c r="I3971">
        <v>12</v>
      </c>
      <c r="J3971">
        <f>IF($H3971=0,1,IF($I3971&lt;=1,2,0))</f>
        <v>0</v>
      </c>
      <c r="K3971">
        <v>0</v>
      </c>
      <c r="L3971">
        <f>IF(AND($J3971=0,$K3971=0),0,1)</f>
        <v>0</v>
      </c>
    </row>
    <row r="3972" spans="1:12" x14ac:dyDescent="0.2">
      <c r="A3972" t="s">
        <v>552</v>
      </c>
      <c r="B3972" t="s">
        <v>17</v>
      </c>
      <c r="C3972" t="s">
        <v>9</v>
      </c>
      <c r="D3972">
        <v>1608</v>
      </c>
      <c r="E3972">
        <v>2020</v>
      </c>
      <c r="F3972">
        <v>1</v>
      </c>
      <c r="G3972">
        <v>10782</v>
      </c>
      <c r="H3972" s="1">
        <v>5</v>
      </c>
      <c r="I3972">
        <v>18</v>
      </c>
      <c r="J3972">
        <f>IF($H3972=0,1,IF($I3972&lt;=1,2,0))</f>
        <v>0</v>
      </c>
      <c r="K3972">
        <v>0</v>
      </c>
      <c r="L3972">
        <f>IF(AND($J3972=0,$K3972=0),0,1)</f>
        <v>0</v>
      </c>
    </row>
    <row r="3973" spans="1:12" x14ac:dyDescent="0.2">
      <c r="A3973" t="s">
        <v>552</v>
      </c>
      <c r="B3973" t="s">
        <v>17</v>
      </c>
      <c r="C3973" t="s">
        <v>9</v>
      </c>
      <c r="D3973">
        <v>1614</v>
      </c>
      <c r="E3973">
        <v>2020</v>
      </c>
      <c r="F3973">
        <v>1</v>
      </c>
      <c r="G3973">
        <v>10783</v>
      </c>
      <c r="H3973" s="1">
        <v>5</v>
      </c>
      <c r="I3973">
        <v>11</v>
      </c>
      <c r="J3973">
        <f>IF($H3973=0,1,IF($I3973&lt;=1,2,0))</f>
        <v>0</v>
      </c>
      <c r="K3973">
        <v>0</v>
      </c>
      <c r="L3973">
        <f>IF(AND($J3973=0,$K3973=0),0,1)</f>
        <v>0</v>
      </c>
    </row>
    <row r="3974" spans="1:12" x14ac:dyDescent="0.2">
      <c r="A3974" t="s">
        <v>552</v>
      </c>
      <c r="B3974" t="s">
        <v>17</v>
      </c>
      <c r="C3974" t="s">
        <v>9</v>
      </c>
      <c r="D3974">
        <v>1701</v>
      </c>
      <c r="E3974">
        <v>2020</v>
      </c>
      <c r="F3974">
        <v>1</v>
      </c>
      <c r="G3974">
        <v>10983</v>
      </c>
      <c r="H3974" s="1">
        <v>4</v>
      </c>
      <c r="I3974">
        <v>16</v>
      </c>
      <c r="J3974">
        <f>IF($H3974=0,1,IF($I3974&lt;=1,2,0))</f>
        <v>0</v>
      </c>
      <c r="K3974">
        <v>0</v>
      </c>
      <c r="L3974">
        <f>IF(AND($J3974=0,$K3974=0),0,1)</f>
        <v>0</v>
      </c>
    </row>
    <row r="3975" spans="1:12" x14ac:dyDescent="0.2">
      <c r="A3975" t="s">
        <v>552</v>
      </c>
      <c r="B3975" t="s">
        <v>17</v>
      </c>
      <c r="C3975" t="s">
        <v>9</v>
      </c>
      <c r="D3975">
        <v>1901</v>
      </c>
      <c r="E3975">
        <v>2020</v>
      </c>
      <c r="F3975">
        <v>1</v>
      </c>
      <c r="G3975">
        <v>14005</v>
      </c>
      <c r="H3975" s="1">
        <v>4</v>
      </c>
      <c r="I3975">
        <v>9</v>
      </c>
      <c r="J3975">
        <f>IF($H3975=0,1,IF($I3975&lt;=1,2,0))</f>
        <v>0</v>
      </c>
      <c r="K3975">
        <v>0</v>
      </c>
      <c r="L3975">
        <f>IF(AND($J3975=0,$K3975=0),0,1)</f>
        <v>0</v>
      </c>
    </row>
    <row r="3976" spans="1:12" x14ac:dyDescent="0.2">
      <c r="A3976" t="s">
        <v>552</v>
      </c>
      <c r="B3976" t="s">
        <v>17</v>
      </c>
      <c r="C3976" t="s">
        <v>9</v>
      </c>
      <c r="D3976">
        <v>2201</v>
      </c>
      <c r="E3976">
        <v>2020</v>
      </c>
      <c r="F3976">
        <v>2</v>
      </c>
      <c r="G3976">
        <v>10502</v>
      </c>
      <c r="H3976" s="1">
        <v>5</v>
      </c>
      <c r="I3976">
        <v>13</v>
      </c>
      <c r="J3976">
        <f>IF($H3976=0,1,IF($I3976&lt;=1,2,0))</f>
        <v>0</v>
      </c>
      <c r="K3976">
        <v>0</v>
      </c>
      <c r="L3976">
        <f>IF(AND($J3976=0,$K3976=0),0,1)</f>
        <v>0</v>
      </c>
    </row>
    <row r="3977" spans="1:12" x14ac:dyDescent="0.2">
      <c r="A3977" t="s">
        <v>552</v>
      </c>
      <c r="B3977" t="s">
        <v>17</v>
      </c>
      <c r="C3977" t="s">
        <v>9</v>
      </c>
      <c r="D3977">
        <v>2208</v>
      </c>
      <c r="E3977">
        <v>2020</v>
      </c>
      <c r="F3977">
        <v>1</v>
      </c>
      <c r="G3977">
        <v>15324</v>
      </c>
      <c r="H3977" s="1">
        <v>5</v>
      </c>
      <c r="I3977">
        <v>4</v>
      </c>
      <c r="J3977">
        <f>IF($H3977=0,1,IF($I3977&lt;=1,2,0))</f>
        <v>0</v>
      </c>
      <c r="K3977">
        <v>0</v>
      </c>
      <c r="L3977">
        <f>IF(AND($J3977=0,$K3977=0),0,1)</f>
        <v>0</v>
      </c>
    </row>
    <row r="3978" spans="1:12" x14ac:dyDescent="0.2">
      <c r="A3978" t="s">
        <v>552</v>
      </c>
      <c r="B3978" t="s">
        <v>17</v>
      </c>
      <c r="C3978" t="s">
        <v>9</v>
      </c>
      <c r="D3978">
        <v>2399</v>
      </c>
      <c r="E3978">
        <v>2020</v>
      </c>
      <c r="F3978">
        <v>1</v>
      </c>
      <c r="G3978">
        <v>554</v>
      </c>
      <c r="H3978" s="1">
        <v>4</v>
      </c>
      <c r="I3978">
        <v>4</v>
      </c>
      <c r="J3978">
        <f>IF($H3978=0,1,IF($I3978&lt;=1,2,0))</f>
        <v>0</v>
      </c>
      <c r="K3978">
        <v>0</v>
      </c>
      <c r="L3978">
        <f>IF(AND($J3978=0,$K3978=0),0,1)</f>
        <v>0</v>
      </c>
    </row>
    <row r="3979" spans="1:12" x14ac:dyDescent="0.2">
      <c r="A3979" t="s">
        <v>552</v>
      </c>
      <c r="B3979" t="s">
        <v>17</v>
      </c>
      <c r="C3979" t="s">
        <v>9</v>
      </c>
      <c r="D3979">
        <v>2401</v>
      </c>
      <c r="E3979">
        <v>2020</v>
      </c>
      <c r="F3979">
        <v>1</v>
      </c>
      <c r="G3979">
        <v>11776</v>
      </c>
      <c r="H3979" s="1">
        <v>4</v>
      </c>
      <c r="I3979">
        <v>3</v>
      </c>
      <c r="J3979">
        <f>IF($H3979=0,1,IF($I3979&lt;=1,2,0))</f>
        <v>0</v>
      </c>
      <c r="K3979">
        <v>0</v>
      </c>
      <c r="L3979">
        <f>IF(AND($J3979=0,$K3979=0),0,1)</f>
        <v>0</v>
      </c>
    </row>
    <row r="3980" spans="1:12" x14ac:dyDescent="0.2">
      <c r="A3980" t="s">
        <v>552</v>
      </c>
      <c r="B3980" t="s">
        <v>17</v>
      </c>
      <c r="C3980" t="s">
        <v>9</v>
      </c>
      <c r="D3980">
        <v>2501</v>
      </c>
      <c r="E3980">
        <v>2020</v>
      </c>
      <c r="F3980">
        <v>2</v>
      </c>
      <c r="G3980">
        <v>10589</v>
      </c>
      <c r="H3980" s="1">
        <v>5</v>
      </c>
      <c r="I3980">
        <v>11</v>
      </c>
      <c r="J3980">
        <f>IF($H3980=0,1,IF($I3980&lt;=1,2,0))</f>
        <v>0</v>
      </c>
      <c r="K3980">
        <v>0</v>
      </c>
      <c r="L3980">
        <f>IF(AND($J3980=0,$K3980=0),0,1)</f>
        <v>0</v>
      </c>
    </row>
    <row r="3981" spans="1:12" x14ac:dyDescent="0.2">
      <c r="A3981" t="s">
        <v>552</v>
      </c>
      <c r="B3981" t="s">
        <v>17</v>
      </c>
      <c r="C3981" t="s">
        <v>9</v>
      </c>
      <c r="D3981">
        <v>2517</v>
      </c>
      <c r="E3981">
        <v>2020</v>
      </c>
      <c r="F3981">
        <v>1</v>
      </c>
      <c r="G3981">
        <v>10584</v>
      </c>
      <c r="H3981" s="1">
        <v>4</v>
      </c>
      <c r="I3981">
        <v>9</v>
      </c>
      <c r="J3981">
        <f>IF($H3981=0,1,IF($I3981&lt;=1,2,0))</f>
        <v>0</v>
      </c>
      <c r="K3981">
        <v>0</v>
      </c>
      <c r="L3981">
        <f>IF(AND($J3981=0,$K3981=0),0,1)</f>
        <v>0</v>
      </c>
    </row>
    <row r="3982" spans="1:12" x14ac:dyDescent="0.2">
      <c r="A3982" t="s">
        <v>552</v>
      </c>
      <c r="B3982" t="s">
        <v>17</v>
      </c>
      <c r="C3982" t="s">
        <v>9</v>
      </c>
      <c r="D3982">
        <v>2601</v>
      </c>
      <c r="E3982">
        <v>2020</v>
      </c>
      <c r="F3982">
        <v>1</v>
      </c>
      <c r="G3982">
        <v>10784</v>
      </c>
      <c r="H3982" s="1">
        <v>5</v>
      </c>
      <c r="I3982">
        <v>5</v>
      </c>
      <c r="J3982">
        <f>IF($H3982=0,1,IF($I3982&lt;=1,2,0))</f>
        <v>0</v>
      </c>
      <c r="K3982">
        <v>0</v>
      </c>
      <c r="L3982">
        <f>IF(AND($J3982=0,$K3982=0),0,1)</f>
        <v>0</v>
      </c>
    </row>
    <row r="3983" spans="1:12" x14ac:dyDescent="0.2">
      <c r="A3983" t="s">
        <v>552</v>
      </c>
      <c r="B3983" t="s">
        <v>17</v>
      </c>
      <c r="C3983" t="s">
        <v>9</v>
      </c>
      <c r="D3983">
        <v>2641</v>
      </c>
      <c r="E3983">
        <v>2020</v>
      </c>
      <c r="F3983">
        <v>1</v>
      </c>
      <c r="G3983">
        <v>13142</v>
      </c>
      <c r="H3983" s="1">
        <v>3</v>
      </c>
      <c r="I3983">
        <v>27</v>
      </c>
      <c r="J3983">
        <f>IF($H3983=0,1,IF($I3983&lt;=1,2,0))</f>
        <v>0</v>
      </c>
      <c r="K3983">
        <v>0</v>
      </c>
      <c r="L3983">
        <f>IF(AND($J3983=0,$K3983=0),0,1)</f>
        <v>0</v>
      </c>
    </row>
    <row r="3984" spans="1:12" x14ac:dyDescent="0.2">
      <c r="A3984" t="s">
        <v>552</v>
      </c>
      <c r="B3984" t="s">
        <v>17</v>
      </c>
      <c r="C3984" t="s">
        <v>9</v>
      </c>
      <c r="D3984">
        <v>2701</v>
      </c>
      <c r="E3984">
        <v>2020</v>
      </c>
      <c r="F3984">
        <v>1</v>
      </c>
      <c r="G3984">
        <v>10987</v>
      </c>
      <c r="H3984" s="1">
        <v>4</v>
      </c>
      <c r="I3984">
        <v>8</v>
      </c>
      <c r="J3984">
        <f>IF($H3984=0,1,IF($I3984&lt;=1,2,0))</f>
        <v>0</v>
      </c>
      <c r="K3984">
        <v>0</v>
      </c>
      <c r="L3984">
        <f>IF(AND($J3984=0,$K3984=0),0,1)</f>
        <v>0</v>
      </c>
    </row>
    <row r="3985" spans="1:13" x14ac:dyDescent="0.2">
      <c r="A3985" t="s">
        <v>552</v>
      </c>
      <c r="B3985" t="s">
        <v>17</v>
      </c>
      <c r="C3985" t="s">
        <v>9</v>
      </c>
      <c r="D3985">
        <v>2901</v>
      </c>
      <c r="E3985">
        <v>2020</v>
      </c>
      <c r="F3985">
        <v>1</v>
      </c>
      <c r="G3985">
        <v>14006</v>
      </c>
      <c r="H3985" s="1">
        <v>4</v>
      </c>
      <c r="I3985">
        <v>4</v>
      </c>
      <c r="J3985">
        <f>IF($H3985=0,1,IF($I3985&lt;=1,2,0))</f>
        <v>0</v>
      </c>
      <c r="K3985">
        <v>0</v>
      </c>
      <c r="L3985">
        <f>IF(AND($J3985=0,$K3985=0),0,1)</f>
        <v>0</v>
      </c>
    </row>
    <row r="3986" spans="1:13" x14ac:dyDescent="0.2">
      <c r="A3986" t="s">
        <v>552</v>
      </c>
      <c r="B3986" t="s">
        <v>17</v>
      </c>
      <c r="C3986" t="s">
        <v>9</v>
      </c>
      <c r="D3986">
        <v>3920</v>
      </c>
      <c r="E3986">
        <v>2020</v>
      </c>
      <c r="F3986">
        <v>1</v>
      </c>
      <c r="G3986">
        <v>12551</v>
      </c>
      <c r="H3986" s="1">
        <v>3</v>
      </c>
      <c r="I3986">
        <v>4</v>
      </c>
      <c r="J3986">
        <f>IF($H3986=0,1,IF($I3986&lt;=1,2,0))</f>
        <v>0</v>
      </c>
      <c r="K3986">
        <v>0</v>
      </c>
      <c r="L3986">
        <f>IF(AND($J3986=0,$K3986=0),0,1)</f>
        <v>0</v>
      </c>
      <c r="M3986" t="s">
        <v>1141</v>
      </c>
    </row>
    <row r="3987" spans="1:13" x14ac:dyDescent="0.2">
      <c r="A3987" t="s">
        <v>552</v>
      </c>
      <c r="B3987" t="s">
        <v>17</v>
      </c>
      <c r="C3987" t="s">
        <v>9</v>
      </c>
      <c r="D3987">
        <v>3923</v>
      </c>
      <c r="E3987">
        <v>2020</v>
      </c>
      <c r="F3987">
        <v>1</v>
      </c>
      <c r="G3987">
        <v>13493</v>
      </c>
      <c r="H3987" s="1">
        <v>3</v>
      </c>
      <c r="I3987">
        <v>14</v>
      </c>
      <c r="J3987">
        <f>IF($H3987=0,1,IF($I3987&lt;=1,2,0))</f>
        <v>0</v>
      </c>
      <c r="K3987">
        <v>0</v>
      </c>
      <c r="L3987">
        <f>IF(AND($J3987=0,$K3987=0),0,1)</f>
        <v>0</v>
      </c>
    </row>
    <row r="3988" spans="1:13" x14ac:dyDescent="0.2">
      <c r="A3988" t="s">
        <v>552</v>
      </c>
      <c r="B3988" t="s">
        <v>17</v>
      </c>
      <c r="C3988" t="s">
        <v>9</v>
      </c>
      <c r="D3988">
        <v>3960</v>
      </c>
      <c r="E3988">
        <v>2020</v>
      </c>
      <c r="F3988">
        <v>1</v>
      </c>
      <c r="G3988">
        <v>13444</v>
      </c>
      <c r="H3988" s="1">
        <v>1</v>
      </c>
      <c r="I3988">
        <v>8</v>
      </c>
      <c r="J3988">
        <f>IF($H3988=0,1,IF($I3988&lt;=1,2,0))</f>
        <v>0</v>
      </c>
      <c r="K3988">
        <v>0</v>
      </c>
      <c r="L3988">
        <f>IF(AND($J3988=0,$K3988=0),0,1)</f>
        <v>0</v>
      </c>
    </row>
    <row r="3989" spans="1:13" x14ac:dyDescent="0.2">
      <c r="A3989" t="s">
        <v>552</v>
      </c>
      <c r="B3989" t="s">
        <v>17</v>
      </c>
      <c r="C3989" t="s">
        <v>9</v>
      </c>
      <c r="D3989">
        <v>4151</v>
      </c>
      <c r="E3989">
        <v>2020</v>
      </c>
      <c r="F3989">
        <v>1</v>
      </c>
      <c r="G3989">
        <v>14420</v>
      </c>
      <c r="H3989" s="1">
        <v>4</v>
      </c>
      <c r="I3989">
        <v>5</v>
      </c>
      <c r="J3989">
        <f>IF($H3989=0,1,IF($I3989&lt;=1,2,0))</f>
        <v>0</v>
      </c>
      <c r="K3989">
        <v>0</v>
      </c>
      <c r="L3989">
        <f>IF(AND($J3989=0,$K3989=0),0,1)</f>
        <v>0</v>
      </c>
    </row>
    <row r="3990" spans="1:13" x14ac:dyDescent="0.2">
      <c r="A3990" t="s">
        <v>552</v>
      </c>
      <c r="B3990" t="s">
        <v>17</v>
      </c>
      <c r="C3990" t="s">
        <v>9</v>
      </c>
      <c r="D3990">
        <v>4210</v>
      </c>
      <c r="E3990">
        <v>2020</v>
      </c>
      <c r="F3990">
        <v>1</v>
      </c>
      <c r="G3990">
        <v>10507</v>
      </c>
      <c r="H3990" s="1">
        <v>5</v>
      </c>
      <c r="I3990">
        <v>11</v>
      </c>
      <c r="J3990">
        <f>IF($H3990=0,1,IF($I3990&lt;=1,2,0))</f>
        <v>0</v>
      </c>
      <c r="K3990">
        <v>0</v>
      </c>
      <c r="L3990">
        <f>IF(AND($J3990=0,$K3990=0),0,1)</f>
        <v>0</v>
      </c>
    </row>
    <row r="3991" spans="1:13" x14ac:dyDescent="0.2">
      <c r="A3991" t="s">
        <v>552</v>
      </c>
      <c r="B3991" t="s">
        <v>17</v>
      </c>
      <c r="C3991" t="s">
        <v>9</v>
      </c>
      <c r="D3991">
        <v>4259</v>
      </c>
      <c r="E3991">
        <v>2020</v>
      </c>
      <c r="F3991">
        <v>1</v>
      </c>
      <c r="G3991">
        <v>13138</v>
      </c>
      <c r="H3991" s="1">
        <v>4</v>
      </c>
      <c r="I3991">
        <v>15</v>
      </c>
      <c r="J3991">
        <f>IF($H3991=0,1,IF($I3991&lt;=1,2,0))</f>
        <v>0</v>
      </c>
      <c r="K3991">
        <v>0</v>
      </c>
      <c r="L3991">
        <f>IF(AND($J3991=0,$K3991=0),0,1)</f>
        <v>0</v>
      </c>
    </row>
    <row r="3992" spans="1:13" x14ac:dyDescent="0.2">
      <c r="A3992" t="s">
        <v>552</v>
      </c>
      <c r="B3992" t="s">
        <v>17</v>
      </c>
      <c r="C3992" t="s">
        <v>9</v>
      </c>
      <c r="D3992">
        <v>4310</v>
      </c>
      <c r="E3992">
        <v>2020</v>
      </c>
      <c r="F3992">
        <v>1</v>
      </c>
      <c r="G3992">
        <v>10780</v>
      </c>
      <c r="H3992" s="1">
        <v>3</v>
      </c>
      <c r="I3992">
        <v>2</v>
      </c>
      <c r="J3992">
        <f>IF($H3992=0,1,IF($I3992&lt;=1,2,0))</f>
        <v>0</v>
      </c>
      <c r="K3992">
        <v>0</v>
      </c>
      <c r="L3992">
        <f>IF(AND($J3992=0,$K3992=0),0,1)</f>
        <v>0</v>
      </c>
    </row>
    <row r="3993" spans="1:13" x14ac:dyDescent="0.2">
      <c r="A3993" t="s">
        <v>552</v>
      </c>
      <c r="B3993" t="s">
        <v>17</v>
      </c>
      <c r="C3993" t="s">
        <v>9</v>
      </c>
      <c r="D3993">
        <v>4501</v>
      </c>
      <c r="E3993">
        <v>2020</v>
      </c>
      <c r="F3993">
        <v>1</v>
      </c>
      <c r="G3993">
        <v>10593</v>
      </c>
      <c r="H3993" s="1">
        <v>4</v>
      </c>
      <c r="I3993">
        <v>12</v>
      </c>
      <c r="J3993">
        <f>IF($H3993=0,1,IF($I3993&lt;=1,2,0))</f>
        <v>0</v>
      </c>
      <c r="K3993">
        <v>0</v>
      </c>
      <c r="L3993">
        <f>IF(AND($J3993=0,$K3993=0),0,1)</f>
        <v>0</v>
      </c>
    </row>
    <row r="3994" spans="1:13" x14ac:dyDescent="0.2">
      <c r="A3994" t="s">
        <v>552</v>
      </c>
      <c r="B3994" t="s">
        <v>17</v>
      </c>
      <c r="C3994" t="s">
        <v>9</v>
      </c>
      <c r="D3994">
        <v>4510</v>
      </c>
      <c r="E3994">
        <v>2020</v>
      </c>
      <c r="F3994">
        <v>1</v>
      </c>
      <c r="G3994">
        <v>10591</v>
      </c>
      <c r="H3994" s="1">
        <v>4</v>
      </c>
      <c r="I3994">
        <v>8</v>
      </c>
      <c r="J3994">
        <f>IF($H3994=0,1,IF($I3994&lt;=1,2,0))</f>
        <v>0</v>
      </c>
      <c r="K3994">
        <v>0</v>
      </c>
      <c r="L3994">
        <f>IF(AND($J3994=0,$K3994=0),0,1)</f>
        <v>0</v>
      </c>
    </row>
    <row r="3995" spans="1:13" x14ac:dyDescent="0.2">
      <c r="A3995" t="s">
        <v>552</v>
      </c>
      <c r="B3995" t="s">
        <v>17</v>
      </c>
      <c r="C3995" t="s">
        <v>9</v>
      </c>
      <c r="D3995">
        <v>4624</v>
      </c>
      <c r="E3995">
        <v>2020</v>
      </c>
      <c r="F3995">
        <v>1</v>
      </c>
      <c r="G3995">
        <v>12540</v>
      </c>
      <c r="H3995" s="1">
        <v>5</v>
      </c>
      <c r="I3995">
        <v>8</v>
      </c>
      <c r="J3995">
        <f>IF($H3995=0,1,IF($I3995&lt;=1,2,0))</f>
        <v>0</v>
      </c>
      <c r="K3995">
        <v>0</v>
      </c>
      <c r="L3995">
        <f>IF(AND($J3995=0,$K3995=0),0,1)</f>
        <v>0</v>
      </c>
    </row>
    <row r="3996" spans="1:13" x14ac:dyDescent="0.2">
      <c r="A3996" t="s">
        <v>552</v>
      </c>
      <c r="B3996" t="s">
        <v>17</v>
      </c>
      <c r="C3996" t="s">
        <v>7</v>
      </c>
      <c r="D3996">
        <v>4629</v>
      </c>
      <c r="E3996">
        <v>2020</v>
      </c>
      <c r="F3996">
        <v>1</v>
      </c>
      <c r="G3996">
        <v>14314</v>
      </c>
      <c r="H3996" s="1">
        <v>4</v>
      </c>
      <c r="I3996">
        <v>10</v>
      </c>
      <c r="J3996">
        <f>IF($H3996=0,1,IF($I3996&lt;=1,2,0))</f>
        <v>0</v>
      </c>
      <c r="K3996">
        <v>0</v>
      </c>
      <c r="L3996">
        <f>IF(AND($J3996=0,$K3996=0),0,1)</f>
        <v>0</v>
      </c>
    </row>
    <row r="3997" spans="1:13" x14ac:dyDescent="0.2">
      <c r="A3997" t="s">
        <v>552</v>
      </c>
      <c r="B3997" t="s">
        <v>17</v>
      </c>
      <c r="C3997" t="s">
        <v>9</v>
      </c>
      <c r="D3997">
        <v>4640</v>
      </c>
      <c r="E3997">
        <v>2020</v>
      </c>
      <c r="F3997">
        <v>1</v>
      </c>
      <c r="G3997">
        <v>10902</v>
      </c>
      <c r="H3997" s="1">
        <v>4</v>
      </c>
      <c r="I3997">
        <v>4</v>
      </c>
      <c r="J3997">
        <f>IF($H3997=0,1,IF($I3997&lt;=1,2,0))</f>
        <v>0</v>
      </c>
      <c r="K3997">
        <v>0</v>
      </c>
      <c r="L3997">
        <f>IF(AND($J3997=0,$K3997=0),0,1)</f>
        <v>0</v>
      </c>
    </row>
    <row r="3998" spans="1:13" x14ac:dyDescent="0.2">
      <c r="A3998" t="s">
        <v>552</v>
      </c>
      <c r="B3998" t="s">
        <v>17</v>
      </c>
      <c r="C3998" t="s">
        <v>9</v>
      </c>
      <c r="D3998">
        <v>4710</v>
      </c>
      <c r="E3998">
        <v>2020</v>
      </c>
      <c r="F3998">
        <v>1</v>
      </c>
      <c r="G3998">
        <v>10992</v>
      </c>
      <c r="H3998" s="1">
        <v>3</v>
      </c>
      <c r="I3998">
        <v>7</v>
      </c>
      <c r="J3998">
        <f>IF($H3998=0,1,IF($I3998&lt;=1,2,0))</f>
        <v>0</v>
      </c>
      <c r="K3998">
        <v>0</v>
      </c>
      <c r="L3998">
        <f>IF(AND($J3998=0,$K3998=0),0,1)</f>
        <v>0</v>
      </c>
    </row>
    <row r="3999" spans="1:13" x14ac:dyDescent="0.2">
      <c r="A3999" t="s">
        <v>552</v>
      </c>
      <c r="B3999" t="s">
        <v>17</v>
      </c>
      <c r="C3999" t="s">
        <v>7</v>
      </c>
      <c r="D3999">
        <v>4718</v>
      </c>
      <c r="E3999">
        <v>2020</v>
      </c>
      <c r="F3999">
        <v>1</v>
      </c>
      <c r="G3999">
        <v>14421</v>
      </c>
      <c r="H3999" s="1">
        <v>4</v>
      </c>
      <c r="I3999">
        <v>6</v>
      </c>
      <c r="J3999">
        <f>IF($H3999=0,1,IF($I3999&lt;=1,2,0))</f>
        <v>0</v>
      </c>
      <c r="K3999">
        <v>0</v>
      </c>
      <c r="L3999">
        <f>IF(AND($J3999=0,$K3999=0),0,1)</f>
        <v>0</v>
      </c>
    </row>
    <row r="4000" spans="1:13" x14ac:dyDescent="0.2">
      <c r="A4000" t="s">
        <v>552</v>
      </c>
      <c r="B4000" t="s">
        <v>17</v>
      </c>
      <c r="C4000" t="s">
        <v>11</v>
      </c>
      <c r="D4000">
        <v>4764</v>
      </c>
      <c r="E4000">
        <v>2020</v>
      </c>
      <c r="F4000">
        <v>1</v>
      </c>
      <c r="G4000">
        <v>13389</v>
      </c>
      <c r="H4000" s="1">
        <v>4</v>
      </c>
      <c r="I4000">
        <v>18</v>
      </c>
      <c r="J4000">
        <f>IF($H4000=0,1,IF($I4000&lt;=1,2,0))</f>
        <v>0</v>
      </c>
      <c r="K4000">
        <v>0</v>
      </c>
      <c r="L4000">
        <f>IF(AND($J4000=0,$K4000=0),0,1)</f>
        <v>0</v>
      </c>
    </row>
    <row r="4001" spans="1:13" x14ac:dyDescent="0.2">
      <c r="A4001" t="s">
        <v>552</v>
      </c>
      <c r="B4001" t="s">
        <v>17</v>
      </c>
      <c r="C4001" t="s">
        <v>9</v>
      </c>
      <c r="D4001">
        <v>4810</v>
      </c>
      <c r="E4001">
        <v>2020</v>
      </c>
      <c r="F4001">
        <v>1</v>
      </c>
      <c r="G4001">
        <v>13736</v>
      </c>
      <c r="H4001" s="1">
        <v>4</v>
      </c>
      <c r="I4001">
        <v>5</v>
      </c>
      <c r="J4001">
        <f>IF($H4001=0,1,IF($I4001&lt;=1,2,0))</f>
        <v>0</v>
      </c>
      <c r="K4001">
        <v>0</v>
      </c>
      <c r="L4001">
        <f>IF(AND($J4001=0,$K4001=0),0,1)</f>
        <v>0</v>
      </c>
    </row>
    <row r="4002" spans="1:13" x14ac:dyDescent="0.2">
      <c r="A4002" t="s">
        <v>552</v>
      </c>
      <c r="B4002" t="s">
        <v>17</v>
      </c>
      <c r="C4002" t="s">
        <v>9</v>
      </c>
      <c r="D4002">
        <v>4910</v>
      </c>
      <c r="E4002">
        <v>2020</v>
      </c>
      <c r="F4002">
        <v>1</v>
      </c>
      <c r="G4002">
        <v>24745</v>
      </c>
      <c r="H4002" s="1">
        <v>3</v>
      </c>
      <c r="I4002">
        <v>6</v>
      </c>
      <c r="J4002">
        <f>IF($H4002=0,1,IF($I4002&lt;=1,2,0))</f>
        <v>0</v>
      </c>
      <c r="K4002">
        <v>0</v>
      </c>
      <c r="L4002">
        <f>IF(AND($J4002=0,$K4002=0),0,1)</f>
        <v>0</v>
      </c>
    </row>
    <row r="4003" spans="1:13" x14ac:dyDescent="0.2">
      <c r="A4003" t="s">
        <v>552</v>
      </c>
      <c r="B4003" t="s">
        <v>17</v>
      </c>
      <c r="C4003" t="s">
        <v>9</v>
      </c>
      <c r="D4003">
        <v>4921</v>
      </c>
      <c r="E4003">
        <v>2020</v>
      </c>
      <c r="F4003">
        <v>1</v>
      </c>
      <c r="G4003">
        <v>14011</v>
      </c>
      <c r="H4003" s="1">
        <v>3</v>
      </c>
      <c r="I4003">
        <v>7</v>
      </c>
      <c r="J4003">
        <f>IF($H4003=0,1,IF($I4003&lt;=1,2,0))</f>
        <v>0</v>
      </c>
      <c r="K4003">
        <v>0</v>
      </c>
      <c r="L4003">
        <f>IF(AND($J4003=0,$K4003=0),0,1)</f>
        <v>0</v>
      </c>
    </row>
    <row r="4004" spans="1:13" x14ac:dyDescent="0.2">
      <c r="A4004" t="s">
        <v>552</v>
      </c>
      <c r="B4004" t="s">
        <v>17</v>
      </c>
      <c r="C4004" t="s">
        <v>11</v>
      </c>
      <c r="D4004">
        <v>5000</v>
      </c>
      <c r="E4004">
        <v>2020</v>
      </c>
      <c r="F4004">
        <v>1</v>
      </c>
      <c r="G4004">
        <v>12651</v>
      </c>
      <c r="H4004" s="1">
        <v>4</v>
      </c>
      <c r="I4004">
        <v>10</v>
      </c>
      <c r="J4004">
        <f>IF($H4004=0,1,IF($I4004&lt;=1,2,0))</f>
        <v>0</v>
      </c>
      <c r="K4004">
        <v>0</v>
      </c>
      <c r="L4004">
        <f>IF(AND($J4004=0,$K4004=0),0,1)</f>
        <v>0</v>
      </c>
    </row>
    <row r="4005" spans="1:13" x14ac:dyDescent="0.2">
      <c r="A4005" t="s">
        <v>552</v>
      </c>
      <c r="B4005" t="s">
        <v>17</v>
      </c>
      <c r="C4005" t="s">
        <v>11</v>
      </c>
      <c r="D4005">
        <v>6008</v>
      </c>
      <c r="E4005">
        <v>2020</v>
      </c>
      <c r="F4005">
        <v>1</v>
      </c>
      <c r="G4005">
        <v>13109</v>
      </c>
      <c r="H4005" s="1">
        <v>2</v>
      </c>
      <c r="I4005">
        <v>11</v>
      </c>
      <c r="J4005">
        <f>IF($H4005=0,1,IF($I4005&lt;=1,2,0))</f>
        <v>0</v>
      </c>
      <c r="K4005">
        <v>0</v>
      </c>
      <c r="L4005">
        <f>IF(AND($J4005=0,$K4005=0),0,1)</f>
        <v>0</v>
      </c>
    </row>
    <row r="4006" spans="1:13" x14ac:dyDescent="0.2">
      <c r="A4006" t="s">
        <v>552</v>
      </c>
      <c r="B4006" t="s">
        <v>17</v>
      </c>
      <c r="C4006" t="s">
        <v>11</v>
      </c>
      <c r="D4006">
        <v>6020</v>
      </c>
      <c r="E4006">
        <v>2020</v>
      </c>
      <c r="F4006">
        <v>1</v>
      </c>
      <c r="G4006">
        <v>21401</v>
      </c>
      <c r="H4006" s="1">
        <v>4</v>
      </c>
      <c r="I4006">
        <v>9</v>
      </c>
      <c r="J4006">
        <f>IF($H4006=0,1,IF($I4006&lt;=1,2,0))</f>
        <v>0</v>
      </c>
      <c r="K4006">
        <v>0</v>
      </c>
      <c r="L4006">
        <f>IF(AND($J4006=0,$K4006=0),0,1)</f>
        <v>0</v>
      </c>
      <c r="M4006" t="s">
        <v>1142</v>
      </c>
    </row>
    <row r="4007" spans="1:13" x14ac:dyDescent="0.2">
      <c r="A4007" t="s">
        <v>552</v>
      </c>
      <c r="B4007" t="s">
        <v>17</v>
      </c>
      <c r="C4007" t="s">
        <v>11</v>
      </c>
      <c r="D4007">
        <v>6236</v>
      </c>
      <c r="E4007">
        <v>2020</v>
      </c>
      <c r="F4007">
        <v>1</v>
      </c>
      <c r="G4007">
        <v>14320</v>
      </c>
      <c r="H4007" s="1">
        <v>4</v>
      </c>
      <c r="I4007">
        <v>7</v>
      </c>
      <c r="J4007">
        <f>IF($H4007=0,1,IF($I4007&lt;=1,2,0))</f>
        <v>0</v>
      </c>
      <c r="K4007">
        <v>0</v>
      </c>
      <c r="L4007">
        <f>IF(AND($J4007=0,$K4007=0),0,1)</f>
        <v>0</v>
      </c>
      <c r="M4007" t="s">
        <v>1143</v>
      </c>
    </row>
    <row r="4008" spans="1:13" x14ac:dyDescent="0.2">
      <c r="A4008" t="s">
        <v>552</v>
      </c>
      <c r="B4008" t="s">
        <v>17</v>
      </c>
      <c r="C4008" t="s">
        <v>11</v>
      </c>
      <c r="D4008">
        <v>8280</v>
      </c>
      <c r="E4008">
        <v>2020</v>
      </c>
      <c r="F4008">
        <v>1</v>
      </c>
      <c r="G4008">
        <v>12553</v>
      </c>
      <c r="H4008" s="1">
        <v>4</v>
      </c>
      <c r="I4008">
        <v>11</v>
      </c>
      <c r="J4008">
        <f>IF($H4008=0,1,IF($I4008&lt;=1,2,0))</f>
        <v>0</v>
      </c>
      <c r="K4008">
        <v>0</v>
      </c>
      <c r="L4008">
        <f>IF(AND($J4008=0,$K4008=0),0,1)</f>
        <v>0</v>
      </c>
    </row>
    <row r="4009" spans="1:13" x14ac:dyDescent="0.2">
      <c r="A4009" t="s">
        <v>556</v>
      </c>
      <c r="B4009" t="s">
        <v>71</v>
      </c>
      <c r="C4009" t="s">
        <v>72</v>
      </c>
      <c r="D4009">
        <v>1008</v>
      </c>
      <c r="E4009">
        <v>2020</v>
      </c>
      <c r="F4009">
        <v>5</v>
      </c>
      <c r="G4009">
        <v>10240</v>
      </c>
      <c r="H4009" s="1">
        <v>1</v>
      </c>
      <c r="I4009">
        <v>8</v>
      </c>
      <c r="J4009">
        <f>IF($H4009=0,1,IF($I4009&lt;=1,2,0))</f>
        <v>0</v>
      </c>
      <c r="K4009">
        <v>0</v>
      </c>
      <c r="L4009">
        <f>IF(AND($J4009=0,$K4009=0),0,1)</f>
        <v>0</v>
      </c>
      <c r="M4009" t="s">
        <v>558</v>
      </c>
    </row>
    <row r="4010" spans="1:13" x14ac:dyDescent="0.2">
      <c r="A4010" t="s">
        <v>556</v>
      </c>
      <c r="B4010" t="s">
        <v>71</v>
      </c>
      <c r="C4010" t="s">
        <v>72</v>
      </c>
      <c r="D4010">
        <v>1008</v>
      </c>
      <c r="E4010">
        <v>2020</v>
      </c>
      <c r="F4010">
        <v>2</v>
      </c>
      <c r="G4010">
        <v>10237</v>
      </c>
      <c r="H4010" s="1">
        <v>1</v>
      </c>
      <c r="I4010">
        <v>6</v>
      </c>
      <c r="J4010">
        <f>IF($H4010=0,1,IF($I4010&lt;=1,2,0))</f>
        <v>0</v>
      </c>
      <c r="K4010">
        <v>0</v>
      </c>
      <c r="L4010">
        <f>IF(AND($J4010=0,$K4010=0),0,1)</f>
        <v>0</v>
      </c>
      <c r="M4010" t="s">
        <v>557</v>
      </c>
    </row>
    <row r="4011" spans="1:13" x14ac:dyDescent="0.2">
      <c r="A4011" t="s">
        <v>556</v>
      </c>
      <c r="B4011" t="s">
        <v>71</v>
      </c>
      <c r="C4011" t="s">
        <v>72</v>
      </c>
      <c r="D4011">
        <v>1008</v>
      </c>
      <c r="E4011">
        <v>2020</v>
      </c>
      <c r="F4011">
        <v>3</v>
      </c>
      <c r="G4011">
        <v>10238</v>
      </c>
      <c r="H4011" s="1">
        <v>1</v>
      </c>
      <c r="I4011">
        <v>4</v>
      </c>
      <c r="J4011">
        <f>IF($H4011=0,1,IF($I4011&lt;=1,2,0))</f>
        <v>0</v>
      </c>
      <c r="K4011">
        <v>0</v>
      </c>
      <c r="L4011">
        <f>IF(AND($J4011=0,$K4011=0),0,1)</f>
        <v>0</v>
      </c>
      <c r="M4011" t="s">
        <v>557</v>
      </c>
    </row>
    <row r="4012" spans="1:13" x14ac:dyDescent="0.2">
      <c r="A4012" t="s">
        <v>556</v>
      </c>
      <c r="B4012" t="s">
        <v>71</v>
      </c>
      <c r="C4012" t="s">
        <v>72</v>
      </c>
      <c r="D4012">
        <v>1008</v>
      </c>
      <c r="E4012">
        <v>2020</v>
      </c>
      <c r="F4012">
        <v>1</v>
      </c>
      <c r="G4012">
        <v>10236</v>
      </c>
      <c r="H4012" s="1">
        <v>1</v>
      </c>
      <c r="I4012">
        <v>3</v>
      </c>
      <c r="J4012">
        <f>IF($H4012=0,1,IF($I4012&lt;=1,2,0))</f>
        <v>0</v>
      </c>
      <c r="K4012">
        <v>0</v>
      </c>
      <c r="L4012">
        <f>IF(AND($J4012=0,$K4012=0),0,1)</f>
        <v>0</v>
      </c>
      <c r="M4012" t="s">
        <v>557</v>
      </c>
    </row>
    <row r="4013" spans="1:13" x14ac:dyDescent="0.2">
      <c r="A4013" t="s">
        <v>556</v>
      </c>
      <c r="B4013" t="s">
        <v>71</v>
      </c>
      <c r="C4013" t="s">
        <v>72</v>
      </c>
      <c r="D4013">
        <v>3018</v>
      </c>
      <c r="E4013">
        <v>2020</v>
      </c>
      <c r="F4013">
        <v>1</v>
      </c>
      <c r="G4013">
        <v>10242</v>
      </c>
      <c r="H4013" s="1">
        <v>3</v>
      </c>
      <c r="I4013">
        <v>60</v>
      </c>
      <c r="J4013">
        <f>IF($H4013=0,1,IF($I4013&lt;=1,2,0))</f>
        <v>0</v>
      </c>
      <c r="K4013">
        <v>0</v>
      </c>
      <c r="L4013">
        <f>IF(AND($J4013=0,$K4013=0),0,1)</f>
        <v>0</v>
      </c>
    </row>
    <row r="4014" spans="1:13" x14ac:dyDescent="0.2">
      <c r="A4014" t="s">
        <v>556</v>
      </c>
      <c r="B4014" t="s">
        <v>71</v>
      </c>
      <c r="C4014" t="s">
        <v>72</v>
      </c>
      <c r="D4014">
        <v>3100</v>
      </c>
      <c r="E4014">
        <v>2020</v>
      </c>
      <c r="F4014">
        <v>1</v>
      </c>
      <c r="G4014">
        <v>10243</v>
      </c>
      <c r="H4014" s="1">
        <v>3</v>
      </c>
      <c r="I4014">
        <v>61</v>
      </c>
      <c r="J4014">
        <f>IF($H4014=0,1,IF($I4014&lt;=1,2,0))</f>
        <v>0</v>
      </c>
      <c r="K4014">
        <v>0</v>
      </c>
      <c r="L4014">
        <f>IF(AND($J4014=0,$K4014=0),0,1)</f>
        <v>0</v>
      </c>
    </row>
    <row r="4015" spans="1:13" x14ac:dyDescent="0.2">
      <c r="A4015" t="s">
        <v>556</v>
      </c>
      <c r="B4015" t="s">
        <v>71</v>
      </c>
      <c r="C4015" t="s">
        <v>72</v>
      </c>
      <c r="D4015">
        <v>3301</v>
      </c>
      <c r="E4015">
        <v>2020</v>
      </c>
      <c r="F4015">
        <v>1</v>
      </c>
      <c r="G4015">
        <v>10244</v>
      </c>
      <c r="H4015" s="1">
        <v>3</v>
      </c>
      <c r="I4015">
        <v>63</v>
      </c>
      <c r="J4015">
        <f>IF($H4015=0,1,IF($I4015&lt;=1,2,0))</f>
        <v>0</v>
      </c>
      <c r="K4015">
        <v>0</v>
      </c>
      <c r="L4015">
        <f>IF(AND($J4015=0,$K4015=0),0,1)</f>
        <v>0</v>
      </c>
    </row>
    <row r="4016" spans="1:13" x14ac:dyDescent="0.2">
      <c r="A4016" t="s">
        <v>556</v>
      </c>
      <c r="B4016" t="s">
        <v>71</v>
      </c>
      <c r="C4016" t="s">
        <v>72</v>
      </c>
      <c r="D4016">
        <v>3408</v>
      </c>
      <c r="E4016">
        <v>2020</v>
      </c>
      <c r="F4016">
        <v>1</v>
      </c>
      <c r="G4016">
        <v>13007</v>
      </c>
      <c r="H4016" s="1">
        <v>3</v>
      </c>
      <c r="I4016">
        <v>33</v>
      </c>
      <c r="J4016">
        <f>IF($H4016=0,1,IF($I4016&lt;=1,2,0))</f>
        <v>0</v>
      </c>
      <c r="K4016">
        <v>0</v>
      </c>
      <c r="L4016">
        <f>IF(AND($J4016=0,$K4016=0),0,1)</f>
        <v>0</v>
      </c>
    </row>
    <row r="4017" spans="1:13" x14ac:dyDescent="0.2">
      <c r="A4017" t="s">
        <v>556</v>
      </c>
      <c r="B4017" t="s">
        <v>71</v>
      </c>
      <c r="C4017" t="s">
        <v>72</v>
      </c>
      <c r="D4017">
        <v>3408</v>
      </c>
      <c r="E4017">
        <v>2020</v>
      </c>
      <c r="F4017">
        <v>2</v>
      </c>
      <c r="G4017">
        <v>13008</v>
      </c>
      <c r="H4017" s="1">
        <v>3</v>
      </c>
      <c r="I4017">
        <v>17</v>
      </c>
      <c r="J4017">
        <f>IF($H4017=0,1,IF($I4017&lt;=1,2,0))</f>
        <v>0</v>
      </c>
      <c r="K4017">
        <v>0</v>
      </c>
      <c r="L4017">
        <f>IF(AND($J4017=0,$K4017=0),0,1)</f>
        <v>0</v>
      </c>
    </row>
    <row r="4018" spans="1:13" x14ac:dyDescent="0.2">
      <c r="A4018" t="s">
        <v>556</v>
      </c>
      <c r="B4018" t="s">
        <v>71</v>
      </c>
      <c r="C4018" t="s">
        <v>72</v>
      </c>
      <c r="D4018">
        <v>3409</v>
      </c>
      <c r="E4018">
        <v>2020</v>
      </c>
      <c r="F4018">
        <v>1</v>
      </c>
      <c r="G4018">
        <v>10246</v>
      </c>
      <c r="H4018" s="1">
        <v>3</v>
      </c>
      <c r="I4018">
        <v>55</v>
      </c>
      <c r="J4018">
        <f>IF($H4018=0,1,IF($I4018&lt;=1,2,0))</f>
        <v>0</v>
      </c>
      <c r="K4018">
        <v>0</v>
      </c>
      <c r="L4018">
        <f>IF(AND($J4018=0,$K4018=0),0,1)</f>
        <v>0</v>
      </c>
    </row>
    <row r="4019" spans="1:13" x14ac:dyDescent="0.2">
      <c r="A4019" t="s">
        <v>556</v>
      </c>
      <c r="B4019" t="s">
        <v>71</v>
      </c>
      <c r="C4019" t="s">
        <v>72</v>
      </c>
      <c r="D4019">
        <v>3420</v>
      </c>
      <c r="E4019">
        <v>2020</v>
      </c>
      <c r="F4019">
        <v>1</v>
      </c>
      <c r="G4019">
        <v>10247</v>
      </c>
      <c r="H4019" s="1">
        <v>3</v>
      </c>
      <c r="I4019">
        <v>53</v>
      </c>
      <c r="J4019">
        <f>IF($H4019=0,1,IF($I4019&lt;=1,2,0))</f>
        <v>0</v>
      </c>
      <c r="K4019">
        <v>0</v>
      </c>
      <c r="L4019">
        <f>IF(AND($J4019=0,$K4019=0),0,1)</f>
        <v>0</v>
      </c>
    </row>
    <row r="4020" spans="1:13" x14ac:dyDescent="0.2">
      <c r="A4020" t="s">
        <v>556</v>
      </c>
      <c r="B4020" t="s">
        <v>71</v>
      </c>
      <c r="C4020" t="s">
        <v>72</v>
      </c>
      <c r="D4020">
        <v>4058</v>
      </c>
      <c r="E4020">
        <v>2020</v>
      </c>
      <c r="F4020">
        <v>1</v>
      </c>
      <c r="G4020">
        <v>10268</v>
      </c>
      <c r="H4020" s="1">
        <v>3</v>
      </c>
      <c r="I4020">
        <v>9</v>
      </c>
      <c r="J4020">
        <f>IF($H4020=0,1,IF($I4020&lt;=1,2,0))</f>
        <v>0</v>
      </c>
      <c r="K4020">
        <v>0</v>
      </c>
      <c r="L4020">
        <f>IF(AND($J4020=0,$K4020=0),0,1)</f>
        <v>0</v>
      </c>
    </row>
    <row r="4021" spans="1:13" x14ac:dyDescent="0.2">
      <c r="A4021" t="s">
        <v>556</v>
      </c>
      <c r="B4021" t="s">
        <v>71</v>
      </c>
      <c r="C4021" t="s">
        <v>72</v>
      </c>
      <c r="D4021">
        <v>4211</v>
      </c>
      <c r="E4021">
        <v>2020</v>
      </c>
      <c r="F4021">
        <v>1</v>
      </c>
      <c r="G4021">
        <v>10249</v>
      </c>
      <c r="H4021" s="1">
        <v>3</v>
      </c>
      <c r="I4021">
        <v>27</v>
      </c>
      <c r="J4021">
        <f>IF($H4021=0,1,IF($I4021&lt;=1,2,0))</f>
        <v>0</v>
      </c>
      <c r="K4021">
        <v>0</v>
      </c>
      <c r="L4021">
        <f>IF(AND($J4021=0,$K4021=0),0,1)</f>
        <v>0</v>
      </c>
    </row>
    <row r="4022" spans="1:13" x14ac:dyDescent="0.2">
      <c r="A4022" t="s">
        <v>556</v>
      </c>
      <c r="B4022" t="s">
        <v>71</v>
      </c>
      <c r="C4022" t="s">
        <v>72</v>
      </c>
      <c r="D4022">
        <v>4211</v>
      </c>
      <c r="E4022">
        <v>2020</v>
      </c>
      <c r="F4022">
        <v>2</v>
      </c>
      <c r="G4022">
        <v>21436</v>
      </c>
      <c r="H4022" s="1">
        <v>3</v>
      </c>
      <c r="I4022">
        <v>2</v>
      </c>
      <c r="J4022">
        <f>IF($H4022=0,1,IF($I4022&lt;=1,2,0))</f>
        <v>0</v>
      </c>
      <c r="K4022">
        <v>0</v>
      </c>
      <c r="L4022">
        <f>IF(AND($J4022=0,$K4022=0),0,1)</f>
        <v>0</v>
      </c>
    </row>
    <row r="4023" spans="1:13" x14ac:dyDescent="0.2">
      <c r="A4023" t="s">
        <v>556</v>
      </c>
      <c r="B4023" t="s">
        <v>71</v>
      </c>
      <c r="C4023" t="s">
        <v>72</v>
      </c>
      <c r="D4023">
        <v>4212</v>
      </c>
      <c r="E4023">
        <v>2020</v>
      </c>
      <c r="F4023">
        <v>1</v>
      </c>
      <c r="G4023">
        <v>10250</v>
      </c>
      <c r="H4023" s="1">
        <v>3</v>
      </c>
      <c r="I4023">
        <v>9</v>
      </c>
      <c r="J4023">
        <f>IF($H4023=0,1,IF($I4023&lt;=1,2,0))</f>
        <v>0</v>
      </c>
      <c r="K4023">
        <v>0</v>
      </c>
      <c r="L4023">
        <f>IF(AND($J4023=0,$K4023=0),0,1)</f>
        <v>0</v>
      </c>
    </row>
    <row r="4024" spans="1:13" x14ac:dyDescent="0.2">
      <c r="A4024" t="s">
        <v>556</v>
      </c>
      <c r="B4024" t="s">
        <v>71</v>
      </c>
      <c r="C4024" t="s">
        <v>72</v>
      </c>
      <c r="D4024">
        <v>4330</v>
      </c>
      <c r="E4024">
        <v>2020</v>
      </c>
      <c r="F4024">
        <v>1</v>
      </c>
      <c r="G4024">
        <v>10253</v>
      </c>
      <c r="H4024" s="1">
        <v>3</v>
      </c>
      <c r="I4024">
        <v>14</v>
      </c>
      <c r="J4024">
        <f>IF($H4024=0,1,IF($I4024&lt;=1,2,0))</f>
        <v>0</v>
      </c>
      <c r="K4024">
        <v>0</v>
      </c>
      <c r="L4024">
        <f>IF(AND($J4024=0,$K4024=0),0,1)</f>
        <v>0</v>
      </c>
    </row>
    <row r="4025" spans="1:13" x14ac:dyDescent="0.2">
      <c r="A4025" t="s">
        <v>556</v>
      </c>
      <c r="B4025" t="s">
        <v>71</v>
      </c>
      <c r="C4025" t="s">
        <v>72</v>
      </c>
      <c r="D4025">
        <v>4520</v>
      </c>
      <c r="E4025">
        <v>2020</v>
      </c>
      <c r="F4025">
        <v>1</v>
      </c>
      <c r="G4025">
        <v>22281</v>
      </c>
      <c r="H4025" s="1">
        <v>3</v>
      </c>
      <c r="I4025">
        <v>43</v>
      </c>
      <c r="J4025">
        <f>IF($H4025=0,1,IF($I4025&lt;=1,2,0))</f>
        <v>0</v>
      </c>
      <c r="K4025">
        <v>0</v>
      </c>
      <c r="L4025">
        <f>IF(AND($J4025=0,$K4025=0),0,1)</f>
        <v>0</v>
      </c>
    </row>
    <row r="4026" spans="1:13" x14ac:dyDescent="0.2">
      <c r="A4026" t="s">
        <v>556</v>
      </c>
      <c r="B4026" t="s">
        <v>71</v>
      </c>
      <c r="C4026" t="s">
        <v>72</v>
      </c>
      <c r="D4026">
        <v>4602</v>
      </c>
      <c r="E4026">
        <v>2020</v>
      </c>
      <c r="F4026">
        <v>1</v>
      </c>
      <c r="G4026">
        <v>10257</v>
      </c>
      <c r="H4026" s="1">
        <v>3</v>
      </c>
      <c r="I4026">
        <v>45</v>
      </c>
      <c r="J4026">
        <f>IF($H4026=0,1,IF($I4026&lt;=1,2,0))</f>
        <v>0</v>
      </c>
      <c r="K4026">
        <v>0</v>
      </c>
      <c r="L4026">
        <f>IF(AND($J4026=0,$K4026=0),0,1)</f>
        <v>0</v>
      </c>
    </row>
    <row r="4027" spans="1:13" x14ac:dyDescent="0.2">
      <c r="A4027" t="s">
        <v>556</v>
      </c>
      <c r="B4027" t="s">
        <v>71</v>
      </c>
      <c r="C4027" t="s">
        <v>72</v>
      </c>
      <c r="D4027">
        <v>4602</v>
      </c>
      <c r="E4027">
        <v>2020</v>
      </c>
      <c r="F4027">
        <v>2</v>
      </c>
      <c r="G4027">
        <v>22275</v>
      </c>
      <c r="H4027" s="1">
        <v>3</v>
      </c>
      <c r="I4027">
        <v>8</v>
      </c>
      <c r="J4027">
        <f>IF($H4027=0,1,IF($I4027&lt;=1,2,0))</f>
        <v>0</v>
      </c>
      <c r="K4027">
        <v>0</v>
      </c>
      <c r="L4027">
        <f>IF(AND($J4027=0,$K4027=0),0,1)</f>
        <v>0</v>
      </c>
    </row>
    <row r="4028" spans="1:13" x14ac:dyDescent="0.2">
      <c r="A4028" t="s">
        <v>556</v>
      </c>
      <c r="B4028" t="s">
        <v>71</v>
      </c>
      <c r="C4028" t="s">
        <v>72</v>
      </c>
      <c r="D4028">
        <v>4602</v>
      </c>
      <c r="E4028">
        <v>2020</v>
      </c>
      <c r="F4028" t="s">
        <v>84</v>
      </c>
      <c r="G4028">
        <v>21592</v>
      </c>
      <c r="H4028" s="1">
        <v>3</v>
      </c>
      <c r="I4028">
        <v>4</v>
      </c>
      <c r="J4028">
        <f>IF($H4028=0,1,IF($I4028&lt;=1,2,0))</f>
        <v>0</v>
      </c>
      <c r="K4028">
        <v>0</v>
      </c>
      <c r="L4028">
        <f>IF(AND($J4028=0,$K4028=0),0,1)</f>
        <v>0</v>
      </c>
      <c r="M4028" t="s">
        <v>85</v>
      </c>
    </row>
    <row r="4029" spans="1:13" x14ac:dyDescent="0.2">
      <c r="A4029" t="s">
        <v>556</v>
      </c>
      <c r="B4029" t="s">
        <v>71</v>
      </c>
      <c r="C4029" t="s">
        <v>72</v>
      </c>
      <c r="D4029">
        <v>4604</v>
      </c>
      <c r="E4029">
        <v>2020</v>
      </c>
      <c r="F4029">
        <v>1</v>
      </c>
      <c r="G4029">
        <v>10258</v>
      </c>
      <c r="H4029" s="1">
        <v>3</v>
      </c>
      <c r="I4029">
        <v>38</v>
      </c>
      <c r="J4029">
        <f>IF($H4029=0,1,IF($I4029&lt;=1,2,0))</f>
        <v>0</v>
      </c>
      <c r="K4029">
        <v>0</v>
      </c>
      <c r="L4029">
        <f>IF(AND($J4029=0,$K4029=0),0,1)</f>
        <v>0</v>
      </c>
    </row>
    <row r="4030" spans="1:13" x14ac:dyDescent="0.2">
      <c r="A4030" t="s">
        <v>556</v>
      </c>
      <c r="B4030" t="s">
        <v>71</v>
      </c>
      <c r="C4030" t="s">
        <v>72</v>
      </c>
      <c r="D4030">
        <v>4604</v>
      </c>
      <c r="E4030">
        <v>2020</v>
      </c>
      <c r="F4030" t="s">
        <v>84</v>
      </c>
      <c r="G4030">
        <v>22257</v>
      </c>
      <c r="H4030" s="1">
        <v>3</v>
      </c>
      <c r="I4030">
        <v>3</v>
      </c>
      <c r="J4030">
        <f>IF($H4030=0,1,IF($I4030&lt;=1,2,0))</f>
        <v>0</v>
      </c>
      <c r="K4030">
        <v>0</v>
      </c>
      <c r="L4030">
        <f>IF(AND($J4030=0,$K4030=0),0,1)</f>
        <v>0</v>
      </c>
      <c r="M4030" t="s">
        <v>85</v>
      </c>
    </row>
    <row r="4031" spans="1:13" x14ac:dyDescent="0.2">
      <c r="A4031" t="s">
        <v>556</v>
      </c>
      <c r="B4031" t="s">
        <v>71</v>
      </c>
      <c r="C4031" t="s">
        <v>72</v>
      </c>
      <c r="D4031">
        <v>4610</v>
      </c>
      <c r="E4031">
        <v>2020</v>
      </c>
      <c r="F4031">
        <v>1</v>
      </c>
      <c r="G4031">
        <v>10259</v>
      </c>
      <c r="H4031" s="1">
        <v>3</v>
      </c>
      <c r="I4031">
        <v>15</v>
      </c>
      <c r="J4031">
        <f>IF($H4031=0,1,IF($I4031&lt;=1,2,0))</f>
        <v>0</v>
      </c>
      <c r="K4031">
        <v>0</v>
      </c>
      <c r="L4031">
        <f>IF(AND($J4031=0,$K4031=0),0,1)</f>
        <v>0</v>
      </c>
    </row>
    <row r="4032" spans="1:13" x14ac:dyDescent="0.2">
      <c r="A4032" t="s">
        <v>556</v>
      </c>
      <c r="B4032" t="s">
        <v>71</v>
      </c>
      <c r="C4032" t="s">
        <v>72</v>
      </c>
      <c r="D4032">
        <v>4611</v>
      </c>
      <c r="E4032">
        <v>2020</v>
      </c>
      <c r="F4032">
        <v>1</v>
      </c>
      <c r="G4032">
        <v>11947</v>
      </c>
      <c r="H4032" s="1">
        <v>3</v>
      </c>
      <c r="I4032">
        <v>39</v>
      </c>
      <c r="J4032">
        <f>IF($H4032=0,1,IF($I4032&lt;=1,2,0))</f>
        <v>0</v>
      </c>
      <c r="K4032">
        <v>0</v>
      </c>
      <c r="L4032">
        <f>IF(AND($J4032=0,$K4032=0),0,1)</f>
        <v>0</v>
      </c>
    </row>
    <row r="4033" spans="1:13" x14ac:dyDescent="0.2">
      <c r="A4033" t="s">
        <v>556</v>
      </c>
      <c r="B4033" t="s">
        <v>71</v>
      </c>
      <c r="C4033" t="s">
        <v>72</v>
      </c>
      <c r="D4033">
        <v>4811</v>
      </c>
      <c r="E4033">
        <v>2020</v>
      </c>
      <c r="F4033">
        <v>1</v>
      </c>
      <c r="G4033">
        <v>14423</v>
      </c>
      <c r="H4033" s="1">
        <v>3</v>
      </c>
      <c r="I4033">
        <v>19</v>
      </c>
      <c r="J4033">
        <f>IF($H4033=0,1,IF($I4033&lt;=1,2,0))</f>
        <v>0</v>
      </c>
      <c r="K4033">
        <v>0</v>
      </c>
      <c r="L4033">
        <f>IF(AND($J4033=0,$K4033=0),0,1)</f>
        <v>0</v>
      </c>
      <c r="M4033" t="s">
        <v>1144</v>
      </c>
    </row>
    <row r="4034" spans="1:13" x14ac:dyDescent="0.2">
      <c r="A4034" t="s">
        <v>556</v>
      </c>
      <c r="B4034" t="s">
        <v>71</v>
      </c>
      <c r="C4034" t="s">
        <v>72</v>
      </c>
      <c r="D4034">
        <v>6100</v>
      </c>
      <c r="E4034">
        <v>2020</v>
      </c>
      <c r="F4034">
        <v>1</v>
      </c>
      <c r="G4034">
        <v>10263</v>
      </c>
      <c r="H4034" s="1">
        <v>3</v>
      </c>
      <c r="I4034">
        <v>15</v>
      </c>
      <c r="J4034">
        <f>IF($H4034=0,1,IF($I4034&lt;=1,2,0))</f>
        <v>0</v>
      </c>
      <c r="K4034">
        <v>0</v>
      </c>
      <c r="L4034">
        <f>IF(AND($J4034=0,$K4034=0),0,1)</f>
        <v>0</v>
      </c>
    </row>
    <row r="4035" spans="1:13" x14ac:dyDescent="0.2">
      <c r="A4035" t="s">
        <v>556</v>
      </c>
      <c r="B4035" t="s">
        <v>71</v>
      </c>
      <c r="C4035" t="s">
        <v>72</v>
      </c>
      <c r="D4035">
        <v>6100</v>
      </c>
      <c r="E4035">
        <v>2020</v>
      </c>
      <c r="F4035">
        <v>2</v>
      </c>
      <c r="G4035">
        <v>21367</v>
      </c>
      <c r="H4035" s="1">
        <v>3</v>
      </c>
      <c r="I4035">
        <v>4</v>
      </c>
      <c r="J4035">
        <f>IF($H4035=0,1,IF($I4035&lt;=1,2,0))</f>
        <v>0</v>
      </c>
      <c r="K4035">
        <v>0</v>
      </c>
      <c r="L4035">
        <f>IF(AND($J4035=0,$K4035=0),0,1)</f>
        <v>0</v>
      </c>
    </row>
    <row r="4036" spans="1:13" x14ac:dyDescent="0.2">
      <c r="A4036" t="s">
        <v>556</v>
      </c>
      <c r="B4036" t="s">
        <v>71</v>
      </c>
      <c r="C4036" t="s">
        <v>72</v>
      </c>
      <c r="D4036">
        <v>6422</v>
      </c>
      <c r="E4036">
        <v>2020</v>
      </c>
      <c r="F4036">
        <v>1</v>
      </c>
      <c r="G4036">
        <v>10265</v>
      </c>
      <c r="H4036" s="1">
        <v>3</v>
      </c>
      <c r="I4036">
        <v>14</v>
      </c>
      <c r="J4036">
        <f>IF($H4036=0,1,IF($I4036&lt;=1,2,0))</f>
        <v>0</v>
      </c>
      <c r="K4036">
        <v>0</v>
      </c>
      <c r="L4036">
        <f>IF(AND($J4036=0,$K4036=0),0,1)</f>
        <v>0</v>
      </c>
    </row>
    <row r="4037" spans="1:13" x14ac:dyDescent="0.2">
      <c r="A4037" t="s">
        <v>559</v>
      </c>
      <c r="B4037" t="s">
        <v>71</v>
      </c>
      <c r="C4037" t="s">
        <v>72</v>
      </c>
      <c r="D4037">
        <v>4320</v>
      </c>
      <c r="E4037">
        <v>2020</v>
      </c>
      <c r="F4037">
        <v>1</v>
      </c>
      <c r="G4037">
        <v>10252</v>
      </c>
      <c r="H4037" s="1">
        <v>3</v>
      </c>
      <c r="I4037">
        <v>12</v>
      </c>
      <c r="J4037">
        <f>IF($H4037=0,1,IF($I4037&lt;=1,2,0))</f>
        <v>0</v>
      </c>
      <c r="K4037">
        <v>0</v>
      </c>
      <c r="L4037">
        <f>IF(AND($J4037=0,$K4037=0),0,1)</f>
        <v>0</v>
      </c>
    </row>
    <row r="4038" spans="1:13" x14ac:dyDescent="0.2">
      <c r="A4038" t="s">
        <v>560</v>
      </c>
      <c r="B4038" t="s">
        <v>71</v>
      </c>
      <c r="C4038" t="s">
        <v>72</v>
      </c>
      <c r="D4038">
        <v>4510</v>
      </c>
      <c r="E4038">
        <v>2020</v>
      </c>
      <c r="F4038">
        <v>1</v>
      </c>
      <c r="G4038">
        <v>10256</v>
      </c>
      <c r="H4038" s="1">
        <v>3</v>
      </c>
      <c r="I4038">
        <v>48</v>
      </c>
      <c r="J4038">
        <f>IF($H4038=0,1,IF($I4038&lt;=1,2,0))</f>
        <v>0</v>
      </c>
      <c r="K4038">
        <v>0</v>
      </c>
      <c r="L4038">
        <f>IF(AND($J4038=0,$K4038=0),0,1)</f>
        <v>0</v>
      </c>
    </row>
    <row r="4039" spans="1:13" x14ac:dyDescent="0.2">
      <c r="A4039" t="s">
        <v>1145</v>
      </c>
      <c r="B4039" t="s">
        <v>6</v>
      </c>
      <c r="C4039" t="s">
        <v>11</v>
      </c>
      <c r="D4039">
        <v>5000</v>
      </c>
      <c r="E4039">
        <v>2020</v>
      </c>
      <c r="F4039">
        <v>1</v>
      </c>
      <c r="G4039">
        <v>22351</v>
      </c>
      <c r="H4039" s="1">
        <v>4</v>
      </c>
      <c r="I4039">
        <v>4</v>
      </c>
      <c r="J4039">
        <f>IF($H4039=0,1,IF($I4039&lt;=1,2,0))</f>
        <v>0</v>
      </c>
      <c r="K4039">
        <v>0</v>
      </c>
      <c r="L4039">
        <f>IF(AND($J4039=0,$K4039=0),0,1)</f>
        <v>0</v>
      </c>
    </row>
    <row r="4040" spans="1:13" x14ac:dyDescent="0.2">
      <c r="A4040" t="s">
        <v>562</v>
      </c>
      <c r="B4040" t="s">
        <v>17</v>
      </c>
      <c r="C4040" t="s">
        <v>21</v>
      </c>
      <c r="D4040">
        <v>1521</v>
      </c>
      <c r="E4040">
        <v>2020</v>
      </c>
      <c r="F4040">
        <v>1</v>
      </c>
      <c r="G4040">
        <v>11031</v>
      </c>
      <c r="H4040" s="1">
        <v>2</v>
      </c>
      <c r="I4040">
        <v>55</v>
      </c>
      <c r="J4040">
        <f>IF($H4040=0,1,IF($I4040&lt;=1,2,0))</f>
        <v>0</v>
      </c>
      <c r="K4040">
        <v>0</v>
      </c>
      <c r="L4040">
        <f>IF(AND($J4040=0,$K4040=0),0,1)</f>
        <v>0</v>
      </c>
      <c r="M4040" t="s">
        <v>567</v>
      </c>
    </row>
    <row r="4041" spans="1:13" x14ac:dyDescent="0.2">
      <c r="A4041" t="s">
        <v>562</v>
      </c>
      <c r="B4041" t="s">
        <v>17</v>
      </c>
      <c r="C4041" t="s">
        <v>21</v>
      </c>
      <c r="D4041">
        <v>1531</v>
      </c>
      <c r="E4041">
        <v>2020</v>
      </c>
      <c r="F4041">
        <v>4</v>
      </c>
      <c r="G4041">
        <v>11035</v>
      </c>
      <c r="H4041" s="1">
        <v>1</v>
      </c>
      <c r="I4041">
        <v>10</v>
      </c>
      <c r="J4041">
        <f>IF($H4041=0,1,IF($I4041&lt;=1,2,0))</f>
        <v>0</v>
      </c>
      <c r="K4041">
        <v>0</v>
      </c>
      <c r="L4041">
        <f>IF(AND($J4041=0,$K4041=0),0,1)</f>
        <v>0</v>
      </c>
      <c r="M4041" t="s">
        <v>567</v>
      </c>
    </row>
    <row r="4042" spans="1:13" x14ac:dyDescent="0.2">
      <c r="A4042" t="s">
        <v>562</v>
      </c>
      <c r="B4042" t="s">
        <v>17</v>
      </c>
      <c r="C4042" t="s">
        <v>21</v>
      </c>
      <c r="D4042">
        <v>1531</v>
      </c>
      <c r="E4042">
        <v>2020</v>
      </c>
      <c r="F4042">
        <v>16</v>
      </c>
      <c r="G4042">
        <v>11044</v>
      </c>
      <c r="H4042" s="1">
        <v>1</v>
      </c>
      <c r="I4042">
        <v>4</v>
      </c>
      <c r="J4042">
        <f>IF($H4042=0,1,IF($I4042&lt;=1,2,0))</f>
        <v>0</v>
      </c>
      <c r="K4042">
        <v>0</v>
      </c>
      <c r="L4042">
        <f>IF(AND($J4042=0,$K4042=0),0,1)</f>
        <v>0</v>
      </c>
      <c r="M4042" t="s">
        <v>567</v>
      </c>
    </row>
    <row r="4043" spans="1:13" x14ac:dyDescent="0.2">
      <c r="A4043" t="s">
        <v>562</v>
      </c>
      <c r="B4043" t="s">
        <v>17</v>
      </c>
      <c r="C4043" t="s">
        <v>21</v>
      </c>
      <c r="D4043">
        <v>1531</v>
      </c>
      <c r="E4043">
        <v>2020</v>
      </c>
      <c r="F4043">
        <v>7</v>
      </c>
      <c r="G4043">
        <v>11037</v>
      </c>
      <c r="H4043" s="1">
        <v>1</v>
      </c>
      <c r="I4043">
        <v>3</v>
      </c>
      <c r="J4043">
        <f>IF($H4043=0,1,IF($I4043&lt;=1,2,0))</f>
        <v>0</v>
      </c>
      <c r="K4043">
        <v>0</v>
      </c>
      <c r="L4043">
        <f>IF(AND($J4043=0,$K4043=0),0,1)</f>
        <v>0</v>
      </c>
      <c r="M4043" t="s">
        <v>567</v>
      </c>
    </row>
    <row r="4044" spans="1:13" x14ac:dyDescent="0.2">
      <c r="A4044" t="s">
        <v>562</v>
      </c>
      <c r="B4044" t="s">
        <v>17</v>
      </c>
      <c r="C4044" t="s">
        <v>21</v>
      </c>
      <c r="D4044">
        <v>1531</v>
      </c>
      <c r="E4044">
        <v>2020</v>
      </c>
      <c r="F4044">
        <v>11</v>
      </c>
      <c r="G4044">
        <v>24663</v>
      </c>
      <c r="H4044" s="1">
        <v>1</v>
      </c>
      <c r="I4044">
        <v>2</v>
      </c>
      <c r="J4044">
        <f>IF($H4044=0,1,IF($I4044&lt;=1,2,0))</f>
        <v>0</v>
      </c>
      <c r="K4044">
        <v>0</v>
      </c>
      <c r="L4044">
        <f>IF(AND($J4044=0,$K4044=0),0,1)</f>
        <v>0</v>
      </c>
      <c r="M4044" t="s">
        <v>567</v>
      </c>
    </row>
    <row r="4045" spans="1:13" x14ac:dyDescent="0.2">
      <c r="A4045" t="s">
        <v>562</v>
      </c>
      <c r="B4045" t="s">
        <v>17</v>
      </c>
      <c r="C4045" t="s">
        <v>21</v>
      </c>
      <c r="D4045">
        <v>1531</v>
      </c>
      <c r="E4045">
        <v>2020</v>
      </c>
      <c r="F4045">
        <v>14</v>
      </c>
      <c r="G4045">
        <v>11043</v>
      </c>
      <c r="H4045" s="1">
        <v>1</v>
      </c>
      <c r="I4045">
        <v>2</v>
      </c>
      <c r="J4045">
        <f>IF($H4045=0,1,IF($I4045&lt;=1,2,0))</f>
        <v>0</v>
      </c>
      <c r="K4045">
        <v>0</v>
      </c>
      <c r="L4045">
        <f>IF(AND($J4045=0,$K4045=0),0,1)</f>
        <v>0</v>
      </c>
      <c r="M4045" t="s">
        <v>567</v>
      </c>
    </row>
    <row r="4046" spans="1:13" x14ac:dyDescent="0.2">
      <c r="A4046" t="s">
        <v>562</v>
      </c>
      <c r="B4046" t="s">
        <v>17</v>
      </c>
      <c r="C4046" t="s">
        <v>21</v>
      </c>
      <c r="D4046">
        <v>1531</v>
      </c>
      <c r="E4046">
        <v>2020</v>
      </c>
      <c r="F4046">
        <v>17</v>
      </c>
      <c r="G4046">
        <v>11045</v>
      </c>
      <c r="H4046" s="1">
        <v>1</v>
      </c>
      <c r="I4046">
        <v>2</v>
      </c>
      <c r="J4046">
        <f>IF($H4046=0,1,IF($I4046&lt;=1,2,0))</f>
        <v>0</v>
      </c>
      <c r="K4046">
        <v>0</v>
      </c>
      <c r="L4046">
        <f>IF(AND($J4046=0,$K4046=0),0,1)</f>
        <v>0</v>
      </c>
      <c r="M4046" t="s">
        <v>567</v>
      </c>
    </row>
    <row r="4047" spans="1:13" x14ac:dyDescent="0.2">
      <c r="A4047" t="s">
        <v>562</v>
      </c>
      <c r="B4047" t="s">
        <v>17</v>
      </c>
      <c r="C4047" t="s">
        <v>21</v>
      </c>
      <c r="D4047">
        <v>1531</v>
      </c>
      <c r="E4047">
        <v>2020</v>
      </c>
      <c r="F4047">
        <v>19</v>
      </c>
      <c r="G4047">
        <v>11047</v>
      </c>
      <c r="H4047" s="1">
        <v>1</v>
      </c>
      <c r="I4047">
        <v>2</v>
      </c>
      <c r="J4047">
        <f>IF($H4047=0,1,IF($I4047&lt;=1,2,0))</f>
        <v>0</v>
      </c>
      <c r="K4047">
        <v>0</v>
      </c>
      <c r="L4047">
        <f>IF(AND($J4047=0,$K4047=0),0,1)</f>
        <v>0</v>
      </c>
      <c r="M4047" t="s">
        <v>567</v>
      </c>
    </row>
    <row r="4048" spans="1:13" x14ac:dyDescent="0.2">
      <c r="A4048" t="s">
        <v>562</v>
      </c>
      <c r="B4048" t="s">
        <v>17</v>
      </c>
      <c r="C4048" t="s">
        <v>21</v>
      </c>
      <c r="D4048">
        <v>1541</v>
      </c>
      <c r="E4048">
        <v>2020</v>
      </c>
      <c r="F4048">
        <v>9</v>
      </c>
      <c r="G4048">
        <v>11058</v>
      </c>
      <c r="H4048" s="1">
        <v>1</v>
      </c>
      <c r="I4048">
        <v>8</v>
      </c>
      <c r="J4048">
        <f>IF($H4048=0,1,IF($I4048&lt;=1,2,0))</f>
        <v>0</v>
      </c>
      <c r="K4048">
        <v>0</v>
      </c>
      <c r="L4048">
        <f>IF(AND($J4048=0,$K4048=0),0,1)</f>
        <v>0</v>
      </c>
      <c r="M4048" t="s">
        <v>567</v>
      </c>
    </row>
    <row r="4049" spans="1:13" x14ac:dyDescent="0.2">
      <c r="A4049" t="s">
        <v>562</v>
      </c>
      <c r="B4049" t="s">
        <v>17</v>
      </c>
      <c r="C4049" t="s">
        <v>21</v>
      </c>
      <c r="D4049">
        <v>1541</v>
      </c>
      <c r="E4049">
        <v>2020</v>
      </c>
      <c r="F4049">
        <v>8</v>
      </c>
      <c r="G4049">
        <v>11057</v>
      </c>
      <c r="H4049" s="1">
        <v>1</v>
      </c>
      <c r="I4049">
        <v>7</v>
      </c>
      <c r="J4049">
        <f>IF($H4049=0,1,IF($I4049&lt;=1,2,0))</f>
        <v>0</v>
      </c>
      <c r="K4049">
        <v>0</v>
      </c>
      <c r="L4049">
        <f>IF(AND($J4049=0,$K4049=0),0,1)</f>
        <v>0</v>
      </c>
      <c r="M4049" t="s">
        <v>567</v>
      </c>
    </row>
    <row r="4050" spans="1:13" x14ac:dyDescent="0.2">
      <c r="A4050" t="s">
        <v>562</v>
      </c>
      <c r="B4050" t="s">
        <v>17</v>
      </c>
      <c r="C4050" t="s">
        <v>21</v>
      </c>
      <c r="D4050">
        <v>1541</v>
      </c>
      <c r="E4050">
        <v>2020</v>
      </c>
      <c r="F4050">
        <v>1</v>
      </c>
      <c r="G4050">
        <v>11050</v>
      </c>
      <c r="H4050" s="1">
        <v>1</v>
      </c>
      <c r="I4050">
        <v>6</v>
      </c>
      <c r="J4050">
        <f>IF($H4050=0,1,IF($I4050&lt;=1,2,0))</f>
        <v>0</v>
      </c>
      <c r="K4050">
        <v>0</v>
      </c>
      <c r="L4050">
        <f>IF(AND($J4050=0,$K4050=0),0,1)</f>
        <v>0</v>
      </c>
      <c r="M4050" t="s">
        <v>567</v>
      </c>
    </row>
    <row r="4051" spans="1:13" x14ac:dyDescent="0.2">
      <c r="A4051" t="s">
        <v>562</v>
      </c>
      <c r="B4051" t="s">
        <v>17</v>
      </c>
      <c r="C4051" t="s">
        <v>21</v>
      </c>
      <c r="D4051">
        <v>1541</v>
      </c>
      <c r="E4051">
        <v>2020</v>
      </c>
      <c r="F4051">
        <v>6</v>
      </c>
      <c r="G4051">
        <v>11055</v>
      </c>
      <c r="H4051" s="1">
        <v>1</v>
      </c>
      <c r="I4051">
        <v>3</v>
      </c>
      <c r="J4051">
        <f>IF($H4051=0,1,IF($I4051&lt;=1,2,0))</f>
        <v>0</v>
      </c>
      <c r="K4051">
        <v>0</v>
      </c>
      <c r="L4051">
        <f>IF(AND($J4051=0,$K4051=0),0,1)</f>
        <v>0</v>
      </c>
      <c r="M4051" t="s">
        <v>567</v>
      </c>
    </row>
    <row r="4052" spans="1:13" x14ac:dyDescent="0.2">
      <c r="A4052" t="s">
        <v>562</v>
      </c>
      <c r="B4052" t="s">
        <v>17</v>
      </c>
      <c r="C4052" t="s">
        <v>21</v>
      </c>
      <c r="D4052">
        <v>1541</v>
      </c>
      <c r="E4052">
        <v>2020</v>
      </c>
      <c r="F4052">
        <v>4</v>
      </c>
      <c r="G4052">
        <v>11053</v>
      </c>
      <c r="H4052" s="1">
        <v>1</v>
      </c>
      <c r="I4052">
        <v>2</v>
      </c>
      <c r="J4052">
        <f>IF($H4052=0,1,IF($I4052&lt;=1,2,0))</f>
        <v>0</v>
      </c>
      <c r="K4052">
        <v>0</v>
      </c>
      <c r="L4052">
        <f>IF(AND($J4052=0,$K4052=0),0,1)</f>
        <v>0</v>
      </c>
      <c r="M4052" t="s">
        <v>567</v>
      </c>
    </row>
    <row r="4053" spans="1:13" x14ac:dyDescent="0.2">
      <c r="A4053" t="s">
        <v>562</v>
      </c>
      <c r="B4053" t="s">
        <v>17</v>
      </c>
      <c r="C4053" t="s">
        <v>21</v>
      </c>
      <c r="D4053">
        <v>1551</v>
      </c>
      <c r="E4053">
        <v>2020</v>
      </c>
      <c r="F4053">
        <v>2</v>
      </c>
      <c r="G4053">
        <v>11063</v>
      </c>
      <c r="H4053" s="1">
        <v>1</v>
      </c>
      <c r="I4053">
        <v>4</v>
      </c>
      <c r="J4053">
        <f>IF($H4053=0,1,IF($I4053&lt;=1,2,0))</f>
        <v>0</v>
      </c>
      <c r="K4053">
        <v>0</v>
      </c>
      <c r="L4053">
        <f>IF(AND($J4053=0,$K4053=0),0,1)</f>
        <v>0</v>
      </c>
      <c r="M4053" t="s">
        <v>566</v>
      </c>
    </row>
    <row r="4054" spans="1:13" x14ac:dyDescent="0.2">
      <c r="A4054" t="s">
        <v>562</v>
      </c>
      <c r="B4054" t="s">
        <v>17</v>
      </c>
      <c r="C4054" t="s">
        <v>21</v>
      </c>
      <c r="D4054">
        <v>1551</v>
      </c>
      <c r="E4054">
        <v>2020</v>
      </c>
      <c r="F4054">
        <v>3</v>
      </c>
      <c r="G4054">
        <v>11064</v>
      </c>
      <c r="H4054" s="1">
        <v>1</v>
      </c>
      <c r="I4054">
        <v>3</v>
      </c>
      <c r="J4054">
        <f>IF($H4054=0,1,IF($I4054&lt;=1,2,0))</f>
        <v>0</v>
      </c>
      <c r="K4054">
        <v>0</v>
      </c>
      <c r="L4054">
        <f>IF(AND($J4054=0,$K4054=0),0,1)</f>
        <v>0</v>
      </c>
      <c r="M4054" t="s">
        <v>566</v>
      </c>
    </row>
    <row r="4055" spans="1:13" x14ac:dyDescent="0.2">
      <c r="A4055" t="s">
        <v>568</v>
      </c>
      <c r="B4055" t="s">
        <v>17</v>
      </c>
      <c r="C4055" t="s">
        <v>11</v>
      </c>
      <c r="D4055">
        <v>6021</v>
      </c>
      <c r="E4055">
        <v>2020</v>
      </c>
      <c r="F4055">
        <v>1</v>
      </c>
      <c r="G4055">
        <v>10224</v>
      </c>
      <c r="H4055" s="1">
        <v>4</v>
      </c>
      <c r="I4055">
        <v>3</v>
      </c>
      <c r="J4055">
        <f>IF($H4055=0,1,IF($I4055&lt;=1,2,0))</f>
        <v>0</v>
      </c>
      <c r="K4055">
        <v>0</v>
      </c>
      <c r="L4055">
        <f>IF(AND($J4055=0,$K4055=0),0,1)</f>
        <v>0</v>
      </c>
      <c r="M4055" t="s">
        <v>1150</v>
      </c>
    </row>
    <row r="4056" spans="1:13" x14ac:dyDescent="0.2">
      <c r="A4056" t="s">
        <v>568</v>
      </c>
      <c r="B4056" t="s">
        <v>17</v>
      </c>
      <c r="C4056" t="s">
        <v>11</v>
      </c>
      <c r="D4056">
        <v>6998</v>
      </c>
      <c r="E4056">
        <v>2020</v>
      </c>
      <c r="F4056">
        <v>1</v>
      </c>
      <c r="G4056">
        <v>10262</v>
      </c>
      <c r="H4056" s="1">
        <v>4</v>
      </c>
      <c r="I4056">
        <v>2</v>
      </c>
      <c r="J4056">
        <f>IF($H4056=0,1,IF($I4056&lt;=1,2,0))</f>
        <v>0</v>
      </c>
      <c r="K4056">
        <v>0</v>
      </c>
      <c r="L4056">
        <f>IF(AND($J4056=0,$K4056=0),0,1)</f>
        <v>0</v>
      </c>
      <c r="M4056" t="s">
        <v>1151</v>
      </c>
    </row>
    <row r="4057" spans="1:13" x14ac:dyDescent="0.2">
      <c r="A4057" t="s">
        <v>569</v>
      </c>
      <c r="B4057" t="s">
        <v>71</v>
      </c>
      <c r="C4057" t="s">
        <v>72</v>
      </c>
      <c r="D4057">
        <v>3010</v>
      </c>
      <c r="E4057">
        <v>2020</v>
      </c>
      <c r="F4057">
        <v>1</v>
      </c>
      <c r="G4057">
        <v>12479</v>
      </c>
      <c r="H4057" s="1">
        <v>3</v>
      </c>
      <c r="I4057">
        <v>24</v>
      </c>
      <c r="J4057">
        <f>IF($H4057=0,1,IF($I4057&lt;=1,2,0))</f>
        <v>0</v>
      </c>
      <c r="K4057">
        <v>0</v>
      </c>
      <c r="L4057">
        <f>IF(AND($J4057=0,$K4057=0),0,1)</f>
        <v>0</v>
      </c>
    </row>
    <row r="4058" spans="1:13" x14ac:dyDescent="0.2">
      <c r="A4058" t="s">
        <v>569</v>
      </c>
      <c r="B4058" t="s">
        <v>71</v>
      </c>
      <c r="C4058" t="s">
        <v>72</v>
      </c>
      <c r="D4058">
        <v>3012</v>
      </c>
      <c r="E4058">
        <v>2020</v>
      </c>
      <c r="F4058">
        <v>1</v>
      </c>
      <c r="G4058">
        <v>12480</v>
      </c>
      <c r="H4058" s="1">
        <v>3</v>
      </c>
      <c r="I4058">
        <v>6</v>
      </c>
      <c r="J4058">
        <f>IF($H4058=0,1,IF($I4058&lt;=1,2,0))</f>
        <v>0</v>
      </c>
      <c r="K4058">
        <v>0</v>
      </c>
      <c r="L4058">
        <f>IF(AND($J4058=0,$K4058=0),0,1)</f>
        <v>0</v>
      </c>
    </row>
    <row r="4059" spans="1:13" x14ac:dyDescent="0.2">
      <c r="A4059" t="s">
        <v>569</v>
      </c>
      <c r="B4059" t="s">
        <v>71</v>
      </c>
      <c r="C4059" t="s">
        <v>72</v>
      </c>
      <c r="D4059">
        <v>3111</v>
      </c>
      <c r="E4059">
        <v>2020</v>
      </c>
      <c r="F4059">
        <v>1</v>
      </c>
      <c r="G4059">
        <v>12481</v>
      </c>
      <c r="H4059" s="1">
        <v>3</v>
      </c>
      <c r="I4059">
        <v>19</v>
      </c>
      <c r="J4059">
        <f>IF($H4059=0,1,IF($I4059&lt;=1,2,0))</f>
        <v>0</v>
      </c>
      <c r="K4059">
        <v>0</v>
      </c>
      <c r="L4059">
        <f>IF(AND($J4059=0,$K4059=0),0,1)</f>
        <v>0</v>
      </c>
    </row>
    <row r="4060" spans="1:13" x14ac:dyDescent="0.2">
      <c r="A4060" t="s">
        <v>569</v>
      </c>
      <c r="B4060" t="s">
        <v>71</v>
      </c>
      <c r="C4060" t="s">
        <v>72</v>
      </c>
      <c r="D4060">
        <v>3156</v>
      </c>
      <c r="E4060">
        <v>2020</v>
      </c>
      <c r="F4060">
        <v>1</v>
      </c>
      <c r="G4060">
        <v>12482</v>
      </c>
      <c r="H4060" s="1">
        <v>3</v>
      </c>
      <c r="I4060">
        <v>4</v>
      </c>
      <c r="J4060">
        <f>IF($H4060=0,1,IF($I4060&lt;=1,2,0))</f>
        <v>0</v>
      </c>
      <c r="K4060">
        <v>0</v>
      </c>
      <c r="L4060">
        <f>IF(AND($J4060=0,$K4060=0),0,1)</f>
        <v>0</v>
      </c>
    </row>
    <row r="4061" spans="1:13" x14ac:dyDescent="0.2">
      <c r="A4061" t="s">
        <v>569</v>
      </c>
      <c r="B4061" t="s">
        <v>71</v>
      </c>
      <c r="C4061" t="s">
        <v>72</v>
      </c>
      <c r="D4061">
        <v>4100</v>
      </c>
      <c r="E4061">
        <v>2020</v>
      </c>
      <c r="F4061">
        <v>1</v>
      </c>
      <c r="G4061">
        <v>12484</v>
      </c>
      <c r="H4061" s="1">
        <v>3</v>
      </c>
      <c r="I4061">
        <v>26</v>
      </c>
      <c r="J4061">
        <f>IF($H4061=0,1,IF($I4061&lt;=1,2,0))</f>
        <v>0</v>
      </c>
      <c r="K4061">
        <v>0</v>
      </c>
      <c r="L4061">
        <f>IF(AND($J4061=0,$K4061=0),0,1)</f>
        <v>0</v>
      </c>
    </row>
    <row r="4062" spans="1:13" x14ac:dyDescent="0.2">
      <c r="A4062" t="s">
        <v>569</v>
      </c>
      <c r="B4062" t="s">
        <v>71</v>
      </c>
      <c r="C4062" t="s">
        <v>72</v>
      </c>
      <c r="D4062">
        <v>4100</v>
      </c>
      <c r="E4062">
        <v>2020</v>
      </c>
      <c r="F4062" t="s">
        <v>84</v>
      </c>
      <c r="G4062">
        <v>22247</v>
      </c>
      <c r="H4062" s="1">
        <v>3</v>
      </c>
      <c r="I4062">
        <v>3</v>
      </c>
      <c r="J4062">
        <f>IF($H4062=0,1,IF($I4062&lt;=1,2,0))</f>
        <v>0</v>
      </c>
      <c r="K4062">
        <v>0</v>
      </c>
      <c r="L4062">
        <f>IF(AND($J4062=0,$K4062=0),0,1)</f>
        <v>0</v>
      </c>
      <c r="M4062" t="s">
        <v>85</v>
      </c>
    </row>
    <row r="4063" spans="1:13" x14ac:dyDescent="0.2">
      <c r="A4063" t="s">
        <v>569</v>
      </c>
      <c r="B4063" t="s">
        <v>71</v>
      </c>
      <c r="C4063" t="s">
        <v>72</v>
      </c>
      <c r="D4063">
        <v>4102</v>
      </c>
      <c r="E4063">
        <v>2020</v>
      </c>
      <c r="F4063">
        <v>1</v>
      </c>
      <c r="G4063">
        <v>12486</v>
      </c>
      <c r="H4063" s="1">
        <v>3</v>
      </c>
      <c r="I4063">
        <v>14</v>
      </c>
      <c r="J4063">
        <f>IF($H4063=0,1,IF($I4063&lt;=1,2,0))</f>
        <v>0</v>
      </c>
      <c r="K4063">
        <v>0</v>
      </c>
      <c r="L4063">
        <f>IF(AND($J4063=0,$K4063=0),0,1)</f>
        <v>0</v>
      </c>
    </row>
    <row r="4064" spans="1:13" x14ac:dyDescent="0.2">
      <c r="A4064" t="s">
        <v>569</v>
      </c>
      <c r="B4064" t="s">
        <v>71</v>
      </c>
      <c r="C4064" t="s">
        <v>72</v>
      </c>
      <c r="D4064">
        <v>4102</v>
      </c>
      <c r="E4064">
        <v>2020</v>
      </c>
      <c r="F4064" t="s">
        <v>84</v>
      </c>
      <c r="G4064">
        <v>21593</v>
      </c>
      <c r="H4064" s="1">
        <v>3</v>
      </c>
      <c r="I4064">
        <v>3</v>
      </c>
      <c r="J4064">
        <f>IF($H4064=0,1,IF($I4064&lt;=1,2,0))</f>
        <v>0</v>
      </c>
      <c r="K4064">
        <v>0</v>
      </c>
      <c r="L4064">
        <f>IF(AND($J4064=0,$K4064=0),0,1)</f>
        <v>0</v>
      </c>
      <c r="M4064" t="s">
        <v>85</v>
      </c>
    </row>
    <row r="4065" spans="1:13" x14ac:dyDescent="0.2">
      <c r="A4065" t="s">
        <v>569</v>
      </c>
      <c r="B4065" t="s">
        <v>71</v>
      </c>
      <c r="C4065" t="s">
        <v>72</v>
      </c>
      <c r="D4065">
        <v>4200</v>
      </c>
      <c r="E4065">
        <v>2020</v>
      </c>
      <c r="F4065">
        <v>1</v>
      </c>
      <c r="G4065">
        <v>12488</v>
      </c>
      <c r="H4065" s="1">
        <v>3</v>
      </c>
      <c r="I4065">
        <v>19</v>
      </c>
      <c r="J4065">
        <f>IF($H4065=0,1,IF($I4065&lt;=1,2,0))</f>
        <v>0</v>
      </c>
      <c r="K4065">
        <v>0</v>
      </c>
      <c r="L4065">
        <f>IF(AND($J4065=0,$K4065=0),0,1)</f>
        <v>0</v>
      </c>
    </row>
    <row r="4066" spans="1:13" x14ac:dyDescent="0.2">
      <c r="A4066" t="s">
        <v>569</v>
      </c>
      <c r="B4066" t="s">
        <v>71</v>
      </c>
      <c r="C4066" t="s">
        <v>72</v>
      </c>
      <c r="D4066">
        <v>4200</v>
      </c>
      <c r="E4066">
        <v>2020</v>
      </c>
      <c r="F4066" t="s">
        <v>84</v>
      </c>
      <c r="G4066">
        <v>21594</v>
      </c>
      <c r="H4066" s="1">
        <v>3</v>
      </c>
      <c r="I4066">
        <v>2</v>
      </c>
      <c r="J4066">
        <f>IF($H4066=0,1,IF($I4066&lt;=1,2,0))</f>
        <v>0</v>
      </c>
      <c r="K4066">
        <v>0</v>
      </c>
      <c r="L4066">
        <f>IF(AND($J4066=0,$K4066=0),0,1)</f>
        <v>0</v>
      </c>
      <c r="M4066" t="s">
        <v>85</v>
      </c>
    </row>
    <row r="4067" spans="1:13" x14ac:dyDescent="0.2">
      <c r="A4067" t="s">
        <v>569</v>
      </c>
      <c r="B4067" t="s">
        <v>71</v>
      </c>
      <c r="C4067" t="s">
        <v>72</v>
      </c>
      <c r="D4067">
        <v>4206</v>
      </c>
      <c r="E4067">
        <v>2020</v>
      </c>
      <c r="F4067">
        <v>1</v>
      </c>
      <c r="G4067">
        <v>12489</v>
      </c>
      <c r="H4067" s="1">
        <v>3</v>
      </c>
      <c r="I4067">
        <v>26</v>
      </c>
      <c r="J4067">
        <f>IF($H4067=0,1,IF($I4067&lt;=1,2,0))</f>
        <v>0</v>
      </c>
      <c r="K4067">
        <v>0</v>
      </c>
      <c r="L4067">
        <f>IF(AND($J4067=0,$K4067=0),0,1)</f>
        <v>0</v>
      </c>
    </row>
    <row r="4068" spans="1:13" x14ac:dyDescent="0.2">
      <c r="A4068" t="s">
        <v>569</v>
      </c>
      <c r="B4068" t="s">
        <v>71</v>
      </c>
      <c r="C4068" t="s">
        <v>72</v>
      </c>
      <c r="D4068">
        <v>4206</v>
      </c>
      <c r="E4068">
        <v>2020</v>
      </c>
      <c r="F4068" t="s">
        <v>84</v>
      </c>
      <c r="G4068">
        <v>21595</v>
      </c>
      <c r="H4068" s="1">
        <v>3</v>
      </c>
      <c r="I4068">
        <v>3</v>
      </c>
      <c r="J4068">
        <f>IF($H4068=0,1,IF($I4068&lt;=1,2,0))</f>
        <v>0</v>
      </c>
      <c r="K4068">
        <v>0</v>
      </c>
      <c r="L4068">
        <f>IF(AND($J4068=0,$K4068=0),0,1)</f>
        <v>0</v>
      </c>
      <c r="M4068" t="s">
        <v>85</v>
      </c>
    </row>
    <row r="4069" spans="1:13" x14ac:dyDescent="0.2">
      <c r="A4069" t="s">
        <v>569</v>
      </c>
      <c r="B4069" t="s">
        <v>71</v>
      </c>
      <c r="C4069" t="s">
        <v>72</v>
      </c>
      <c r="D4069">
        <v>6273</v>
      </c>
      <c r="E4069">
        <v>2020</v>
      </c>
      <c r="F4069">
        <v>14</v>
      </c>
      <c r="G4069">
        <v>12501</v>
      </c>
      <c r="H4069" s="1" t="s">
        <v>1836</v>
      </c>
      <c r="I4069">
        <v>4</v>
      </c>
      <c r="J4069">
        <f>IF($H4069=0,1,IF($I4069&lt;=1,2,0))</f>
        <v>0</v>
      </c>
      <c r="K4069">
        <v>0</v>
      </c>
      <c r="L4069">
        <f>IF(AND($J4069=0,$K4069=0),0,1)</f>
        <v>0</v>
      </c>
    </row>
    <row r="4070" spans="1:13" x14ac:dyDescent="0.2">
      <c r="A4070" t="s">
        <v>569</v>
      </c>
      <c r="B4070" t="s">
        <v>71</v>
      </c>
      <c r="C4070" t="s">
        <v>72</v>
      </c>
      <c r="D4070">
        <v>6273</v>
      </c>
      <c r="E4070">
        <v>2020</v>
      </c>
      <c r="F4070">
        <v>3</v>
      </c>
      <c r="G4070">
        <v>12505</v>
      </c>
      <c r="H4070" s="1" t="s">
        <v>1836</v>
      </c>
      <c r="I4070">
        <v>2</v>
      </c>
      <c r="J4070">
        <f>IF($H4070=0,1,IF($I4070&lt;=1,2,0))</f>
        <v>0</v>
      </c>
      <c r="K4070">
        <v>0</v>
      </c>
      <c r="L4070">
        <f>IF(AND($J4070=0,$K4070=0),0,1)</f>
        <v>0</v>
      </c>
    </row>
    <row r="4071" spans="1:13" x14ac:dyDescent="0.2">
      <c r="A4071" t="s">
        <v>569</v>
      </c>
      <c r="B4071" t="s">
        <v>71</v>
      </c>
      <c r="C4071" t="s">
        <v>72</v>
      </c>
      <c r="D4071">
        <v>6273</v>
      </c>
      <c r="E4071">
        <v>2020</v>
      </c>
      <c r="F4071">
        <v>13</v>
      </c>
      <c r="G4071">
        <v>12502</v>
      </c>
      <c r="H4071" s="1" t="s">
        <v>1836</v>
      </c>
      <c r="I4071">
        <v>2</v>
      </c>
      <c r="J4071">
        <f>IF($H4071=0,1,IF($I4071&lt;=1,2,0))</f>
        <v>0</v>
      </c>
      <c r="K4071">
        <v>0</v>
      </c>
      <c r="L4071">
        <f>IF(AND($J4071=0,$K4071=0),0,1)</f>
        <v>0</v>
      </c>
    </row>
    <row r="4072" spans="1:13" x14ac:dyDescent="0.2">
      <c r="A4072" t="s">
        <v>570</v>
      </c>
      <c r="B4072" t="s">
        <v>17</v>
      </c>
      <c r="C4072" t="s">
        <v>21</v>
      </c>
      <c r="D4072">
        <v>1002</v>
      </c>
      <c r="E4072">
        <v>2020</v>
      </c>
      <c r="F4072">
        <v>1</v>
      </c>
      <c r="G4072">
        <v>10955</v>
      </c>
      <c r="H4072" s="1">
        <v>3</v>
      </c>
      <c r="I4072">
        <v>23</v>
      </c>
      <c r="J4072">
        <f>IF($H4072=0,1,IF($I4072&lt;=1,2,0))</f>
        <v>0</v>
      </c>
      <c r="K4072">
        <v>0</v>
      </c>
      <c r="L4072">
        <f>IF(AND($J4072=0,$K4072=0),0,1)</f>
        <v>0</v>
      </c>
    </row>
    <row r="4073" spans="1:13" x14ac:dyDescent="0.2">
      <c r="A4073" t="s">
        <v>570</v>
      </c>
      <c r="B4073" t="s">
        <v>17</v>
      </c>
      <c r="C4073" t="s">
        <v>21</v>
      </c>
      <c r="D4073">
        <v>1312</v>
      </c>
      <c r="E4073">
        <v>2020</v>
      </c>
      <c r="F4073">
        <v>1</v>
      </c>
      <c r="G4073">
        <v>10981</v>
      </c>
      <c r="H4073" s="1">
        <v>1</v>
      </c>
      <c r="I4073">
        <v>13</v>
      </c>
      <c r="J4073">
        <f>IF($H4073=0,1,IF($I4073&lt;=1,2,0))</f>
        <v>0</v>
      </c>
      <c r="K4073">
        <v>0</v>
      </c>
      <c r="L4073">
        <f>IF(AND($J4073=0,$K4073=0),0,1)</f>
        <v>0</v>
      </c>
      <c r="M4073" t="s">
        <v>571</v>
      </c>
    </row>
    <row r="4074" spans="1:13" x14ac:dyDescent="0.2">
      <c r="A4074" t="s">
        <v>570</v>
      </c>
      <c r="B4074" t="s">
        <v>17</v>
      </c>
      <c r="C4074" t="s">
        <v>21</v>
      </c>
      <c r="D4074">
        <v>1593</v>
      </c>
      <c r="E4074">
        <v>2020</v>
      </c>
      <c r="F4074">
        <v>1</v>
      </c>
      <c r="G4074">
        <v>559</v>
      </c>
      <c r="H4074" s="1">
        <v>1</v>
      </c>
      <c r="I4074">
        <v>13</v>
      </c>
      <c r="J4074">
        <f>IF($H4074=0,1,IF($I4074&lt;=1,2,0))</f>
        <v>0</v>
      </c>
      <c r="K4074">
        <v>0</v>
      </c>
      <c r="L4074">
        <f>IF(AND($J4074=0,$K4074=0),0,1)</f>
        <v>0</v>
      </c>
      <c r="M4074" t="s">
        <v>573</v>
      </c>
    </row>
    <row r="4075" spans="1:13" x14ac:dyDescent="0.2">
      <c r="A4075" t="s">
        <v>570</v>
      </c>
      <c r="B4075" t="s">
        <v>17</v>
      </c>
      <c r="C4075" t="s">
        <v>21</v>
      </c>
      <c r="D4075">
        <v>1595</v>
      </c>
      <c r="E4075">
        <v>2020</v>
      </c>
      <c r="F4075">
        <v>1</v>
      </c>
      <c r="G4075">
        <v>560</v>
      </c>
      <c r="H4075" s="1">
        <v>1</v>
      </c>
      <c r="I4075">
        <v>2</v>
      </c>
      <c r="J4075">
        <f>IF($H4075=0,1,IF($I4075&lt;=1,2,0))</f>
        <v>0</v>
      </c>
      <c r="K4075">
        <v>0</v>
      </c>
      <c r="L4075">
        <f>IF(AND($J4075=0,$K4075=0),0,1)</f>
        <v>0</v>
      </c>
      <c r="M4075" t="s">
        <v>574</v>
      </c>
    </row>
    <row r="4076" spans="1:13" x14ac:dyDescent="0.2">
      <c r="A4076" t="s">
        <v>570</v>
      </c>
      <c r="B4076" t="s">
        <v>17</v>
      </c>
      <c r="C4076" t="s">
        <v>21</v>
      </c>
      <c r="D4076">
        <v>2020</v>
      </c>
      <c r="E4076">
        <v>2020</v>
      </c>
      <c r="F4076">
        <v>1</v>
      </c>
      <c r="G4076">
        <v>11094</v>
      </c>
      <c r="H4076" s="1">
        <v>3</v>
      </c>
      <c r="I4076">
        <v>367</v>
      </c>
      <c r="J4076">
        <f>IF($H4076=0,1,IF($I4076&lt;=1,2,0))</f>
        <v>0</v>
      </c>
      <c r="K4076">
        <v>0</v>
      </c>
      <c r="L4076">
        <f>IF(AND($J4076=0,$K4076=0),0,1)</f>
        <v>0</v>
      </c>
    </row>
    <row r="4077" spans="1:13" x14ac:dyDescent="0.2">
      <c r="A4077" t="s">
        <v>570</v>
      </c>
      <c r="B4077" t="s">
        <v>17</v>
      </c>
      <c r="C4077" t="s">
        <v>21</v>
      </c>
      <c r="D4077">
        <v>2030</v>
      </c>
      <c r="E4077">
        <v>2020</v>
      </c>
      <c r="F4077">
        <v>1</v>
      </c>
      <c r="G4077">
        <v>10993</v>
      </c>
      <c r="H4077" s="1">
        <v>3</v>
      </c>
      <c r="I4077">
        <v>15</v>
      </c>
      <c r="J4077">
        <f>IF($H4077=0,1,IF($I4077&lt;=1,2,0))</f>
        <v>0</v>
      </c>
      <c r="K4077">
        <v>0</v>
      </c>
      <c r="L4077">
        <f>IF(AND($J4077=0,$K4077=0),0,1)</f>
        <v>0</v>
      </c>
    </row>
    <row r="4078" spans="1:13" x14ac:dyDescent="0.2">
      <c r="A4078" t="s">
        <v>570</v>
      </c>
      <c r="B4078" t="s">
        <v>17</v>
      </c>
      <c r="C4078" t="s">
        <v>21</v>
      </c>
      <c r="D4078">
        <v>2205</v>
      </c>
      <c r="E4078">
        <v>2020</v>
      </c>
      <c r="F4078">
        <v>1</v>
      </c>
      <c r="G4078">
        <v>10990</v>
      </c>
      <c r="H4078" s="1">
        <v>3</v>
      </c>
      <c r="I4078">
        <v>17</v>
      </c>
      <c r="J4078">
        <f>IF($H4078=0,1,IF($I4078&lt;=1,2,0))</f>
        <v>0</v>
      </c>
      <c r="K4078">
        <v>0</v>
      </c>
      <c r="L4078">
        <f>IF(AND($J4078=0,$K4078=0),0,1)</f>
        <v>0</v>
      </c>
    </row>
    <row r="4079" spans="1:13" x14ac:dyDescent="0.2">
      <c r="A4079" t="s">
        <v>570</v>
      </c>
      <c r="B4079" t="s">
        <v>17</v>
      </c>
      <c r="C4079" t="s">
        <v>21</v>
      </c>
      <c r="D4079">
        <v>2314</v>
      </c>
      <c r="E4079">
        <v>2020</v>
      </c>
      <c r="F4079">
        <v>2</v>
      </c>
      <c r="G4079">
        <v>10995</v>
      </c>
      <c r="H4079" s="1">
        <v>1</v>
      </c>
      <c r="I4079">
        <v>12</v>
      </c>
      <c r="J4079">
        <f>IF($H4079=0,1,IF($I4079&lt;=1,2,0))</f>
        <v>0</v>
      </c>
      <c r="K4079">
        <v>0</v>
      </c>
      <c r="L4079">
        <f>IF(AND($J4079=0,$K4079=0),0,1)</f>
        <v>0</v>
      </c>
      <c r="M4079" t="s">
        <v>571</v>
      </c>
    </row>
    <row r="4080" spans="1:13" x14ac:dyDescent="0.2">
      <c r="A4080" t="s">
        <v>570</v>
      </c>
      <c r="B4080" t="s">
        <v>17</v>
      </c>
      <c r="C4080" t="s">
        <v>21</v>
      </c>
      <c r="D4080">
        <v>2315</v>
      </c>
      <c r="E4080">
        <v>2020</v>
      </c>
      <c r="F4080">
        <v>2</v>
      </c>
      <c r="G4080">
        <v>10997</v>
      </c>
      <c r="H4080" s="1">
        <v>1</v>
      </c>
      <c r="I4080">
        <v>9</v>
      </c>
      <c r="J4080">
        <f>IF($H4080=0,1,IF($I4080&lt;=1,2,0))</f>
        <v>0</v>
      </c>
      <c r="K4080">
        <v>0</v>
      </c>
      <c r="L4080">
        <f>IF(AND($J4080=0,$K4080=0),0,1)</f>
        <v>0</v>
      </c>
      <c r="M4080" t="s">
        <v>571</v>
      </c>
    </row>
    <row r="4081" spans="1:13" x14ac:dyDescent="0.2">
      <c r="A4081" t="s">
        <v>570</v>
      </c>
      <c r="B4081" t="s">
        <v>17</v>
      </c>
      <c r="C4081" t="s">
        <v>21</v>
      </c>
      <c r="D4081">
        <v>2318</v>
      </c>
      <c r="E4081">
        <v>2020</v>
      </c>
      <c r="F4081">
        <v>1</v>
      </c>
      <c r="G4081">
        <v>10998</v>
      </c>
      <c r="H4081" s="1">
        <v>3</v>
      </c>
      <c r="I4081">
        <v>5</v>
      </c>
      <c r="J4081">
        <f>IF($H4081=0,1,IF($I4081&lt;=1,2,0))</f>
        <v>0</v>
      </c>
      <c r="K4081">
        <v>0</v>
      </c>
      <c r="L4081">
        <f>IF(AND($J4081=0,$K4081=0),0,1)</f>
        <v>0</v>
      </c>
      <c r="M4081" t="s">
        <v>575</v>
      </c>
    </row>
    <row r="4082" spans="1:13" x14ac:dyDescent="0.2">
      <c r="A4082" t="s">
        <v>570</v>
      </c>
      <c r="B4082" t="s">
        <v>17</v>
      </c>
      <c r="C4082" t="s">
        <v>21</v>
      </c>
      <c r="D4082">
        <v>2318</v>
      </c>
      <c r="E4082">
        <v>2020</v>
      </c>
      <c r="F4082">
        <v>2</v>
      </c>
      <c r="G4082">
        <v>10999</v>
      </c>
      <c r="H4082" s="1">
        <v>3</v>
      </c>
      <c r="I4082">
        <v>5</v>
      </c>
      <c r="J4082">
        <f>IF($H4082=0,1,IF($I4082&lt;=1,2,0))</f>
        <v>0</v>
      </c>
      <c r="K4082">
        <v>0</v>
      </c>
      <c r="L4082">
        <f>IF(AND($J4082=0,$K4082=0),0,1)</f>
        <v>0</v>
      </c>
      <c r="M4082" t="s">
        <v>575</v>
      </c>
    </row>
    <row r="4083" spans="1:13" x14ac:dyDescent="0.2">
      <c r="A4083" t="s">
        <v>570</v>
      </c>
      <c r="B4083" t="s">
        <v>17</v>
      </c>
      <c r="C4083" t="s">
        <v>21</v>
      </c>
      <c r="D4083">
        <v>2319</v>
      </c>
      <c r="E4083">
        <v>2020</v>
      </c>
      <c r="F4083">
        <v>1</v>
      </c>
      <c r="G4083">
        <v>11000</v>
      </c>
      <c r="H4083" s="1">
        <v>3</v>
      </c>
      <c r="I4083">
        <v>17</v>
      </c>
      <c r="J4083">
        <f>IF($H4083=0,1,IF($I4083&lt;=1,2,0))</f>
        <v>0</v>
      </c>
      <c r="K4083">
        <v>0</v>
      </c>
      <c r="L4083">
        <f>IF(AND($J4083=0,$K4083=0),0,1)</f>
        <v>0</v>
      </c>
    </row>
    <row r="4084" spans="1:13" x14ac:dyDescent="0.2">
      <c r="A4084" t="s">
        <v>570</v>
      </c>
      <c r="B4084" t="s">
        <v>17</v>
      </c>
      <c r="C4084" t="s">
        <v>21</v>
      </c>
      <c r="D4084">
        <v>3128</v>
      </c>
      <c r="E4084">
        <v>2020</v>
      </c>
      <c r="F4084">
        <v>1</v>
      </c>
      <c r="G4084">
        <v>11084</v>
      </c>
      <c r="H4084" s="1">
        <v>3</v>
      </c>
      <c r="I4084">
        <v>17</v>
      </c>
      <c r="J4084">
        <f>IF($H4084=0,1,IF($I4084&lt;=1,2,0))</f>
        <v>0</v>
      </c>
      <c r="K4084">
        <v>0</v>
      </c>
      <c r="L4084">
        <f>IF(AND($J4084=0,$K4084=0),0,1)</f>
        <v>0</v>
      </c>
    </row>
    <row r="4085" spans="1:13" x14ac:dyDescent="0.2">
      <c r="A4085" t="s">
        <v>570</v>
      </c>
      <c r="B4085" t="s">
        <v>17</v>
      </c>
      <c r="C4085" t="s">
        <v>21</v>
      </c>
      <c r="D4085">
        <v>3241</v>
      </c>
      <c r="E4085">
        <v>2020</v>
      </c>
      <c r="F4085">
        <v>1</v>
      </c>
      <c r="G4085">
        <v>11085</v>
      </c>
      <c r="H4085" s="1">
        <v>3</v>
      </c>
      <c r="I4085">
        <v>6</v>
      </c>
      <c r="J4085">
        <f>IF($H4085=0,1,IF($I4085&lt;=1,2,0))</f>
        <v>0</v>
      </c>
      <c r="K4085">
        <v>0</v>
      </c>
      <c r="L4085">
        <f>IF(AND($J4085=0,$K4085=0),0,1)</f>
        <v>0</v>
      </c>
    </row>
    <row r="4086" spans="1:13" x14ac:dyDescent="0.2">
      <c r="A4086" t="s">
        <v>570</v>
      </c>
      <c r="B4086" t="s">
        <v>17</v>
      </c>
      <c r="C4086" t="s">
        <v>21</v>
      </c>
      <c r="D4086">
        <v>3310</v>
      </c>
      <c r="E4086">
        <v>2020</v>
      </c>
      <c r="F4086">
        <v>1</v>
      </c>
      <c r="G4086">
        <v>11086</v>
      </c>
      <c r="H4086" s="1">
        <v>3</v>
      </c>
      <c r="I4086">
        <v>8</v>
      </c>
      <c r="J4086">
        <f>IF($H4086=0,1,IF($I4086&lt;=1,2,0))</f>
        <v>0</v>
      </c>
      <c r="K4086">
        <v>0</v>
      </c>
      <c r="L4086">
        <f>IF(AND($J4086=0,$K4086=0),0,1)</f>
        <v>0</v>
      </c>
    </row>
    <row r="4087" spans="1:13" x14ac:dyDescent="0.2">
      <c r="A4087" t="s">
        <v>570</v>
      </c>
      <c r="B4087" t="s">
        <v>17</v>
      </c>
      <c r="C4087" t="s">
        <v>21</v>
      </c>
      <c r="D4087">
        <v>3316</v>
      </c>
      <c r="E4087">
        <v>2020</v>
      </c>
      <c r="F4087">
        <v>1</v>
      </c>
      <c r="G4087">
        <v>11087</v>
      </c>
      <c r="H4087" s="1">
        <v>1</v>
      </c>
      <c r="I4087">
        <v>9</v>
      </c>
      <c r="J4087">
        <f>IF($H4087=0,1,IF($I4087&lt;=1,2,0))</f>
        <v>0</v>
      </c>
      <c r="K4087">
        <v>0</v>
      </c>
      <c r="L4087">
        <f>IF(AND($J4087=0,$K4087=0),0,1)</f>
        <v>0</v>
      </c>
      <c r="M4087" t="s">
        <v>571</v>
      </c>
    </row>
    <row r="4088" spans="1:13" x14ac:dyDescent="0.2">
      <c r="A4088" t="s">
        <v>570</v>
      </c>
      <c r="B4088" t="s">
        <v>17</v>
      </c>
      <c r="C4088" t="s">
        <v>21</v>
      </c>
      <c r="D4088">
        <v>3316</v>
      </c>
      <c r="E4088">
        <v>2020</v>
      </c>
      <c r="F4088">
        <v>2</v>
      </c>
      <c r="G4088">
        <v>11088</v>
      </c>
      <c r="H4088" s="1">
        <v>1</v>
      </c>
      <c r="I4088">
        <v>4</v>
      </c>
      <c r="J4088">
        <f>IF($H4088=0,1,IF($I4088&lt;=1,2,0))</f>
        <v>0</v>
      </c>
      <c r="K4088">
        <v>0</v>
      </c>
      <c r="L4088">
        <f>IF(AND($J4088=0,$K4088=0),0,1)</f>
        <v>0</v>
      </c>
      <c r="M4088" t="s">
        <v>571</v>
      </c>
    </row>
    <row r="4089" spans="1:13" x14ac:dyDescent="0.2">
      <c r="A4089" t="s">
        <v>570</v>
      </c>
      <c r="B4089" t="s">
        <v>17</v>
      </c>
      <c r="C4089" t="s">
        <v>21</v>
      </c>
      <c r="D4089">
        <v>3317</v>
      </c>
      <c r="E4089">
        <v>2020</v>
      </c>
      <c r="F4089">
        <v>2</v>
      </c>
      <c r="G4089">
        <v>11090</v>
      </c>
      <c r="H4089" s="1">
        <v>1</v>
      </c>
      <c r="I4089">
        <v>5</v>
      </c>
      <c r="J4089">
        <f>IF($H4089=0,1,IF($I4089&lt;=1,2,0))</f>
        <v>0</v>
      </c>
      <c r="K4089">
        <v>0</v>
      </c>
      <c r="L4089">
        <f>IF(AND($J4089=0,$K4089=0),0,1)</f>
        <v>0</v>
      </c>
      <c r="M4089" t="s">
        <v>571</v>
      </c>
    </row>
    <row r="4090" spans="1:13" x14ac:dyDescent="0.2">
      <c r="A4090" t="s">
        <v>570</v>
      </c>
      <c r="B4090" t="s">
        <v>17</v>
      </c>
      <c r="C4090" t="s">
        <v>21</v>
      </c>
      <c r="D4090">
        <v>3321</v>
      </c>
      <c r="E4090">
        <v>2020</v>
      </c>
      <c r="F4090">
        <v>1</v>
      </c>
      <c r="G4090">
        <v>11091</v>
      </c>
      <c r="H4090" s="1">
        <v>3</v>
      </c>
      <c r="I4090">
        <v>15</v>
      </c>
      <c r="J4090">
        <f>IF($H4090=0,1,IF($I4090&lt;=1,2,0))</f>
        <v>0</v>
      </c>
      <c r="K4090">
        <v>0</v>
      </c>
      <c r="L4090">
        <f>IF(AND($J4090=0,$K4090=0),0,1)</f>
        <v>0</v>
      </c>
    </row>
    <row r="4091" spans="1:13" x14ac:dyDescent="0.2">
      <c r="A4091" t="s">
        <v>570</v>
      </c>
      <c r="B4091" t="s">
        <v>17</v>
      </c>
      <c r="C4091" t="s">
        <v>21</v>
      </c>
      <c r="D4091">
        <v>3322</v>
      </c>
      <c r="E4091">
        <v>2020</v>
      </c>
      <c r="F4091">
        <v>1</v>
      </c>
      <c r="G4091">
        <v>11092</v>
      </c>
      <c r="H4091" s="1">
        <v>3</v>
      </c>
      <c r="I4091">
        <v>5</v>
      </c>
      <c r="J4091">
        <f>IF($H4091=0,1,IF($I4091&lt;=1,2,0))</f>
        <v>0</v>
      </c>
      <c r="K4091">
        <v>0</v>
      </c>
      <c r="L4091">
        <f>IF(AND($J4091=0,$K4091=0),0,1)</f>
        <v>0</v>
      </c>
    </row>
    <row r="4092" spans="1:13" x14ac:dyDescent="0.2">
      <c r="A4092" t="s">
        <v>570</v>
      </c>
      <c r="B4092" t="s">
        <v>17</v>
      </c>
      <c r="C4092" t="s">
        <v>9</v>
      </c>
      <c r="D4092">
        <v>4108</v>
      </c>
      <c r="E4092">
        <v>2020</v>
      </c>
      <c r="F4092">
        <v>1</v>
      </c>
      <c r="G4092">
        <v>13108</v>
      </c>
      <c r="H4092" s="1">
        <v>3</v>
      </c>
      <c r="I4092">
        <v>11</v>
      </c>
      <c r="J4092">
        <f>IF($H4092=0,1,IF($I4092&lt;=1,2,0))</f>
        <v>0</v>
      </c>
      <c r="K4092">
        <v>0</v>
      </c>
      <c r="L4092">
        <f>IF(AND($J4092=0,$K4092=0),0,1)</f>
        <v>0</v>
      </c>
    </row>
    <row r="4093" spans="1:13" x14ac:dyDescent="0.2">
      <c r="A4093" t="s">
        <v>570</v>
      </c>
      <c r="B4093" t="s">
        <v>17</v>
      </c>
      <c r="C4093" t="s">
        <v>11</v>
      </c>
      <c r="D4093">
        <v>4360</v>
      </c>
      <c r="E4093">
        <v>2020</v>
      </c>
      <c r="F4093">
        <v>1</v>
      </c>
      <c r="G4093">
        <v>11135</v>
      </c>
      <c r="H4093" s="1">
        <v>3</v>
      </c>
      <c r="I4093">
        <v>7</v>
      </c>
      <c r="J4093">
        <f>IF($H4093=0,1,IF($I4093&lt;=1,2,0))</f>
        <v>0</v>
      </c>
      <c r="K4093">
        <v>0</v>
      </c>
      <c r="L4093">
        <f>IF(AND($J4093=0,$K4093=0),0,1)</f>
        <v>0</v>
      </c>
    </row>
    <row r="4094" spans="1:13" x14ac:dyDescent="0.2">
      <c r="A4094" t="s">
        <v>570</v>
      </c>
      <c r="B4094" t="s">
        <v>17</v>
      </c>
      <c r="C4094" t="s">
        <v>9</v>
      </c>
      <c r="D4094">
        <v>4505</v>
      </c>
      <c r="E4094">
        <v>2020</v>
      </c>
      <c r="F4094">
        <v>1</v>
      </c>
      <c r="G4094">
        <v>11140</v>
      </c>
      <c r="H4094" s="1">
        <v>3</v>
      </c>
      <c r="I4094">
        <v>11</v>
      </c>
      <c r="J4094">
        <f>IF($H4094=0,1,IF($I4094&lt;=1,2,0))</f>
        <v>0</v>
      </c>
      <c r="K4094">
        <v>0</v>
      </c>
      <c r="L4094">
        <f>IF(AND($J4094=0,$K4094=0),0,1)</f>
        <v>0</v>
      </c>
    </row>
    <row r="4095" spans="1:13" x14ac:dyDescent="0.2">
      <c r="A4095" t="s">
        <v>570</v>
      </c>
      <c r="B4095" t="s">
        <v>17</v>
      </c>
      <c r="C4095" t="s">
        <v>9</v>
      </c>
      <c r="D4095">
        <v>4525</v>
      </c>
      <c r="E4095">
        <v>2020</v>
      </c>
      <c r="F4095">
        <v>1</v>
      </c>
      <c r="G4095">
        <v>11136</v>
      </c>
      <c r="H4095" s="1">
        <v>3</v>
      </c>
      <c r="I4095">
        <v>4</v>
      </c>
      <c r="J4095">
        <f>IF($H4095=0,1,IF($I4095&lt;=1,2,0))</f>
        <v>0</v>
      </c>
      <c r="K4095">
        <v>0</v>
      </c>
      <c r="L4095">
        <f>IF(AND($J4095=0,$K4095=0),0,1)</f>
        <v>0</v>
      </c>
    </row>
    <row r="4096" spans="1:13" x14ac:dyDescent="0.2">
      <c r="A4096" t="s">
        <v>570</v>
      </c>
      <c r="B4096" t="s">
        <v>17</v>
      </c>
      <c r="C4096" t="s">
        <v>9</v>
      </c>
      <c r="D4096">
        <v>4630</v>
      </c>
      <c r="E4096">
        <v>2020</v>
      </c>
      <c r="F4096">
        <v>1</v>
      </c>
      <c r="G4096">
        <v>11137</v>
      </c>
      <c r="H4096" s="1">
        <v>3</v>
      </c>
      <c r="I4096">
        <v>11</v>
      </c>
      <c r="J4096">
        <f>IF($H4096=0,1,IF($I4096&lt;=1,2,0))</f>
        <v>0</v>
      </c>
      <c r="K4096">
        <v>0</v>
      </c>
      <c r="L4096">
        <f>IF(AND($J4096=0,$K4096=0),0,1)</f>
        <v>0</v>
      </c>
    </row>
    <row r="4097" spans="1:13" x14ac:dyDescent="0.2">
      <c r="A4097" t="s">
        <v>570</v>
      </c>
      <c r="B4097" t="s">
        <v>17</v>
      </c>
      <c r="C4097" t="s">
        <v>9</v>
      </c>
      <c r="D4097">
        <v>4810</v>
      </c>
      <c r="E4097">
        <v>2020</v>
      </c>
      <c r="F4097">
        <v>1</v>
      </c>
      <c r="G4097">
        <v>11138</v>
      </c>
      <c r="H4097" s="1">
        <v>3</v>
      </c>
      <c r="I4097">
        <v>23</v>
      </c>
      <c r="J4097">
        <f>IF($H4097=0,1,IF($I4097&lt;=1,2,0))</f>
        <v>0</v>
      </c>
      <c r="K4097">
        <v>0</v>
      </c>
      <c r="L4097">
        <f>IF(AND($J4097=0,$K4097=0),0,1)</f>
        <v>0</v>
      </c>
    </row>
    <row r="4098" spans="1:13" x14ac:dyDescent="0.2">
      <c r="A4098" t="s">
        <v>570</v>
      </c>
      <c r="B4098" t="s">
        <v>17</v>
      </c>
      <c r="C4098" t="s">
        <v>11</v>
      </c>
      <c r="D4098">
        <v>6105</v>
      </c>
      <c r="E4098">
        <v>2020</v>
      </c>
      <c r="F4098">
        <v>1</v>
      </c>
      <c r="G4098">
        <v>11143</v>
      </c>
      <c r="H4098" s="1">
        <v>3</v>
      </c>
      <c r="I4098">
        <v>10</v>
      </c>
      <c r="J4098">
        <f>IF($H4098=0,1,IF($I4098&lt;=1,2,0))</f>
        <v>0</v>
      </c>
      <c r="K4098">
        <v>0</v>
      </c>
      <c r="L4098">
        <f>IF(AND($J4098=0,$K4098=0),0,1)</f>
        <v>0</v>
      </c>
    </row>
    <row r="4099" spans="1:13" x14ac:dyDescent="0.2">
      <c r="A4099" t="s">
        <v>570</v>
      </c>
      <c r="B4099" t="s">
        <v>17</v>
      </c>
      <c r="C4099" t="s">
        <v>11</v>
      </c>
      <c r="D4099">
        <v>6411</v>
      </c>
      <c r="E4099">
        <v>2020</v>
      </c>
      <c r="F4099">
        <v>1</v>
      </c>
      <c r="G4099">
        <v>11141</v>
      </c>
      <c r="H4099" s="1">
        <v>3</v>
      </c>
      <c r="I4099">
        <v>5</v>
      </c>
      <c r="J4099">
        <f>IF($H4099=0,1,IF($I4099&lt;=1,2,0))</f>
        <v>0</v>
      </c>
      <c r="K4099">
        <v>0</v>
      </c>
      <c r="L4099">
        <f>IF(AND($J4099=0,$K4099=0),0,1)</f>
        <v>0</v>
      </c>
    </row>
    <row r="4100" spans="1:13" x14ac:dyDescent="0.2">
      <c r="A4100" t="s">
        <v>570</v>
      </c>
      <c r="B4100" t="s">
        <v>17</v>
      </c>
      <c r="C4100" t="s">
        <v>11</v>
      </c>
      <c r="D4100">
        <v>6610</v>
      </c>
      <c r="E4100">
        <v>2020</v>
      </c>
      <c r="F4100">
        <v>1</v>
      </c>
      <c r="G4100">
        <v>11142</v>
      </c>
      <c r="H4100" s="1">
        <v>3</v>
      </c>
      <c r="I4100">
        <v>9</v>
      </c>
      <c r="J4100">
        <f>IF($H4100=0,1,IF($I4100&lt;=1,2,0))</f>
        <v>0</v>
      </c>
      <c r="K4100">
        <v>0</v>
      </c>
      <c r="L4100">
        <f>IF(AND($J4100=0,$K4100=0),0,1)</f>
        <v>0</v>
      </c>
    </row>
    <row r="4101" spans="1:13" x14ac:dyDescent="0.2">
      <c r="A4101" t="s">
        <v>570</v>
      </c>
      <c r="B4101" t="s">
        <v>17</v>
      </c>
      <c r="C4101" t="s">
        <v>11</v>
      </c>
      <c r="D4101">
        <v>8104</v>
      </c>
      <c r="E4101">
        <v>2020</v>
      </c>
      <c r="F4101">
        <v>1</v>
      </c>
      <c r="G4101">
        <v>11167</v>
      </c>
      <c r="H4101" s="1">
        <v>3</v>
      </c>
      <c r="I4101">
        <v>3</v>
      </c>
      <c r="J4101">
        <f>IF($H4101=0,1,IF($I4101&lt;=1,2,0))</f>
        <v>0</v>
      </c>
      <c r="K4101">
        <v>0</v>
      </c>
      <c r="L4101">
        <f>IF(AND($J4101=0,$K4101=0),0,1)</f>
        <v>0</v>
      </c>
    </row>
    <row r="4102" spans="1:13" x14ac:dyDescent="0.2">
      <c r="A4102" t="s">
        <v>570</v>
      </c>
      <c r="B4102" t="s">
        <v>17</v>
      </c>
      <c r="C4102" t="s">
        <v>11</v>
      </c>
      <c r="D4102">
        <v>8111</v>
      </c>
      <c r="E4102">
        <v>2020</v>
      </c>
      <c r="F4102">
        <v>1</v>
      </c>
      <c r="G4102">
        <v>11169</v>
      </c>
      <c r="H4102" s="1">
        <v>3</v>
      </c>
      <c r="I4102">
        <v>9</v>
      </c>
      <c r="J4102">
        <f>IF($H4102=0,1,IF($I4102&lt;=1,2,0))</f>
        <v>0</v>
      </c>
      <c r="K4102">
        <v>0</v>
      </c>
      <c r="L4102">
        <f>IF(AND($J4102=0,$K4102=0),0,1)</f>
        <v>0</v>
      </c>
      <c r="M4102" t="s">
        <v>1153</v>
      </c>
    </row>
    <row r="4103" spans="1:13" x14ac:dyDescent="0.2">
      <c r="A4103" t="s">
        <v>570</v>
      </c>
      <c r="B4103" t="s">
        <v>17</v>
      </c>
      <c r="C4103" t="s">
        <v>11</v>
      </c>
      <c r="D4103">
        <v>8231</v>
      </c>
      <c r="E4103">
        <v>2020</v>
      </c>
      <c r="F4103">
        <v>1</v>
      </c>
      <c r="G4103">
        <v>11163</v>
      </c>
      <c r="H4103" s="1">
        <v>3</v>
      </c>
      <c r="I4103">
        <v>11</v>
      </c>
      <c r="J4103">
        <f>IF($H4103=0,1,IF($I4103&lt;=1,2,0))</f>
        <v>0</v>
      </c>
      <c r="K4103">
        <v>0</v>
      </c>
      <c r="L4103">
        <f>IF(AND($J4103=0,$K4103=0),0,1)</f>
        <v>0</v>
      </c>
    </row>
    <row r="4104" spans="1:13" x14ac:dyDescent="0.2">
      <c r="A4104" t="s">
        <v>570</v>
      </c>
      <c r="B4104" t="s">
        <v>17</v>
      </c>
      <c r="C4104" t="s">
        <v>11</v>
      </c>
      <c r="D4104">
        <v>8240</v>
      </c>
      <c r="E4104">
        <v>2020</v>
      </c>
      <c r="F4104">
        <v>1</v>
      </c>
      <c r="G4104">
        <v>11172</v>
      </c>
      <c r="H4104" s="1">
        <v>3</v>
      </c>
      <c r="I4104">
        <v>10</v>
      </c>
      <c r="J4104">
        <f>IF($H4104=0,1,IF($I4104&lt;=1,2,0))</f>
        <v>0</v>
      </c>
      <c r="K4104">
        <v>0</v>
      </c>
      <c r="L4104">
        <f>IF(AND($J4104=0,$K4104=0),0,1)</f>
        <v>0</v>
      </c>
    </row>
    <row r="4105" spans="1:13" x14ac:dyDescent="0.2">
      <c r="A4105" t="s">
        <v>570</v>
      </c>
      <c r="B4105" t="s">
        <v>17</v>
      </c>
      <c r="C4105" t="s">
        <v>11</v>
      </c>
      <c r="D4105">
        <v>8319</v>
      </c>
      <c r="E4105">
        <v>2020</v>
      </c>
      <c r="F4105">
        <v>1</v>
      </c>
      <c r="G4105">
        <v>11173</v>
      </c>
      <c r="H4105" s="1">
        <v>3</v>
      </c>
      <c r="I4105">
        <v>3</v>
      </c>
      <c r="J4105">
        <f>IF($H4105=0,1,IF($I4105&lt;=1,2,0))</f>
        <v>0</v>
      </c>
      <c r="K4105">
        <v>0</v>
      </c>
      <c r="L4105">
        <f>IF(AND($J4105=0,$K4105=0),0,1)</f>
        <v>0</v>
      </c>
    </row>
    <row r="4106" spans="1:13" x14ac:dyDescent="0.2">
      <c r="A4106" t="s">
        <v>570</v>
      </c>
      <c r="B4106" t="s">
        <v>17</v>
      </c>
      <c r="C4106" t="s">
        <v>11</v>
      </c>
      <c r="D4106">
        <v>8412</v>
      </c>
      <c r="E4106">
        <v>2020</v>
      </c>
      <c r="F4106">
        <v>1</v>
      </c>
      <c r="G4106">
        <v>11166</v>
      </c>
      <c r="H4106" s="1">
        <v>3</v>
      </c>
      <c r="I4106">
        <v>3</v>
      </c>
      <c r="J4106">
        <f>IF($H4106=0,1,IF($I4106&lt;=1,2,0))</f>
        <v>0</v>
      </c>
      <c r="K4106">
        <v>0</v>
      </c>
      <c r="L4106">
        <f>IF(AND($J4106=0,$K4106=0),0,1)</f>
        <v>0</v>
      </c>
    </row>
    <row r="4107" spans="1:13" x14ac:dyDescent="0.2">
      <c r="A4107" t="s">
        <v>580</v>
      </c>
      <c r="B4107" t="s">
        <v>581</v>
      </c>
      <c r="C4107" t="s">
        <v>7</v>
      </c>
      <c r="D4107">
        <v>1001</v>
      </c>
      <c r="E4107">
        <v>2020</v>
      </c>
      <c r="F4107">
        <v>27</v>
      </c>
      <c r="G4107">
        <v>22042</v>
      </c>
      <c r="H4107" s="1">
        <v>1</v>
      </c>
      <c r="I4107">
        <v>33</v>
      </c>
      <c r="J4107">
        <f>IF($H4107=0,1,IF($I4107&lt;=1,2,0))</f>
        <v>0</v>
      </c>
      <c r="K4107">
        <v>0</v>
      </c>
      <c r="L4107">
        <f>IF(AND($J4107=0,$K4107=0),0,1)</f>
        <v>0</v>
      </c>
      <c r="M4107" t="s">
        <v>1161</v>
      </c>
    </row>
    <row r="4108" spans="1:13" x14ac:dyDescent="0.2">
      <c r="A4108" t="s">
        <v>580</v>
      </c>
      <c r="B4108" t="s">
        <v>581</v>
      </c>
      <c r="C4108" t="s">
        <v>7</v>
      </c>
      <c r="D4108">
        <v>1001</v>
      </c>
      <c r="E4108">
        <v>2020</v>
      </c>
      <c r="F4108">
        <v>78</v>
      </c>
      <c r="G4108">
        <v>22040</v>
      </c>
      <c r="H4108" s="1">
        <v>1</v>
      </c>
      <c r="I4108">
        <v>30</v>
      </c>
      <c r="J4108">
        <f>IF($H4108=0,1,IF($I4108&lt;=1,2,0))</f>
        <v>0</v>
      </c>
      <c r="K4108">
        <v>0</v>
      </c>
      <c r="L4108">
        <f>IF(AND($J4108=0,$K4108=0),0,1)</f>
        <v>0</v>
      </c>
    </row>
    <row r="4109" spans="1:13" x14ac:dyDescent="0.2">
      <c r="A4109" t="s">
        <v>580</v>
      </c>
      <c r="B4109" t="s">
        <v>581</v>
      </c>
      <c r="C4109" t="s">
        <v>7</v>
      </c>
      <c r="D4109">
        <v>1001</v>
      </c>
      <c r="E4109">
        <v>2020</v>
      </c>
      <c r="F4109">
        <v>5</v>
      </c>
      <c r="G4109">
        <v>14328</v>
      </c>
      <c r="H4109" s="1">
        <v>1</v>
      </c>
      <c r="I4109">
        <v>25</v>
      </c>
      <c r="J4109">
        <f>IF($H4109=0,1,IF($I4109&lt;=1,2,0))</f>
        <v>0</v>
      </c>
      <c r="K4109">
        <v>0</v>
      </c>
      <c r="L4109">
        <f>IF(AND($J4109=0,$K4109=0),0,1)</f>
        <v>0</v>
      </c>
      <c r="M4109" t="s">
        <v>1158</v>
      </c>
    </row>
    <row r="4110" spans="1:13" x14ac:dyDescent="0.2">
      <c r="A4110" t="s">
        <v>580</v>
      </c>
      <c r="B4110" t="s">
        <v>581</v>
      </c>
      <c r="C4110" t="s">
        <v>7</v>
      </c>
      <c r="D4110">
        <v>1001</v>
      </c>
      <c r="E4110">
        <v>2020</v>
      </c>
      <c r="F4110">
        <v>19</v>
      </c>
      <c r="G4110">
        <v>23272</v>
      </c>
      <c r="H4110" s="1">
        <v>1</v>
      </c>
      <c r="I4110">
        <v>25</v>
      </c>
      <c r="J4110">
        <f>IF($H4110=0,1,IF($I4110&lt;=1,2,0))</f>
        <v>0</v>
      </c>
      <c r="K4110">
        <v>0</v>
      </c>
      <c r="L4110">
        <f>IF(AND($J4110=0,$K4110=0),0,1)</f>
        <v>0</v>
      </c>
      <c r="M4110" t="s">
        <v>1160</v>
      </c>
    </row>
    <row r="4111" spans="1:13" x14ac:dyDescent="0.2">
      <c r="A4111" t="s">
        <v>580</v>
      </c>
      <c r="B4111" t="s">
        <v>581</v>
      </c>
      <c r="C4111" t="s">
        <v>7</v>
      </c>
      <c r="D4111">
        <v>1001</v>
      </c>
      <c r="E4111">
        <v>2020</v>
      </c>
      <c r="F4111">
        <v>9</v>
      </c>
      <c r="G4111">
        <v>13805</v>
      </c>
      <c r="H4111" s="1">
        <v>1</v>
      </c>
      <c r="I4111">
        <v>23</v>
      </c>
      <c r="J4111">
        <f>IF($H4111=0,1,IF($I4111&lt;=1,2,0))</f>
        <v>0</v>
      </c>
      <c r="K4111">
        <v>0</v>
      </c>
      <c r="L4111">
        <f>IF(AND($J4111=0,$K4111=0),0,1)</f>
        <v>0</v>
      </c>
      <c r="M4111" t="s">
        <v>1158</v>
      </c>
    </row>
    <row r="4112" spans="1:13" x14ac:dyDescent="0.2">
      <c r="A4112" t="s">
        <v>580</v>
      </c>
      <c r="B4112" t="s">
        <v>581</v>
      </c>
      <c r="C4112" t="s">
        <v>7</v>
      </c>
      <c r="D4112">
        <v>1001</v>
      </c>
      <c r="E4112">
        <v>2020</v>
      </c>
      <c r="F4112">
        <v>76</v>
      </c>
      <c r="G4112">
        <v>13812</v>
      </c>
      <c r="H4112" s="1">
        <v>1</v>
      </c>
      <c r="I4112">
        <v>23</v>
      </c>
      <c r="J4112">
        <f>IF($H4112=0,1,IF($I4112&lt;=1,2,0))</f>
        <v>0</v>
      </c>
      <c r="K4112">
        <v>0</v>
      </c>
      <c r="L4112">
        <f>IF(AND($J4112=0,$K4112=0),0,1)</f>
        <v>0</v>
      </c>
      <c r="M4112" t="s">
        <v>1158</v>
      </c>
    </row>
    <row r="4113" spans="1:13" x14ac:dyDescent="0.2">
      <c r="A4113" t="s">
        <v>580</v>
      </c>
      <c r="B4113" t="s">
        <v>581</v>
      </c>
      <c r="C4113" t="s">
        <v>7</v>
      </c>
      <c r="D4113">
        <v>1001</v>
      </c>
      <c r="E4113">
        <v>2020</v>
      </c>
      <c r="F4113">
        <v>22</v>
      </c>
      <c r="G4113">
        <v>13803</v>
      </c>
      <c r="H4113" s="1">
        <v>1</v>
      </c>
      <c r="I4113">
        <v>22</v>
      </c>
      <c r="J4113">
        <f>IF($H4113=0,1,IF($I4113&lt;=1,2,0))</f>
        <v>0</v>
      </c>
      <c r="K4113">
        <v>0</v>
      </c>
      <c r="L4113">
        <f>IF(AND($J4113=0,$K4113=0),0,1)</f>
        <v>0</v>
      </c>
    </row>
    <row r="4114" spans="1:13" x14ac:dyDescent="0.2">
      <c r="A4114" t="s">
        <v>580</v>
      </c>
      <c r="B4114" t="s">
        <v>581</v>
      </c>
      <c r="C4114" t="s">
        <v>7</v>
      </c>
      <c r="D4114">
        <v>1001</v>
      </c>
      <c r="E4114">
        <v>2020</v>
      </c>
      <c r="F4114">
        <v>35</v>
      </c>
      <c r="G4114">
        <v>14003</v>
      </c>
      <c r="H4114" s="1">
        <v>1</v>
      </c>
      <c r="I4114">
        <v>22</v>
      </c>
      <c r="J4114">
        <f>IF($H4114=0,1,IF($I4114&lt;=1,2,0))</f>
        <v>0</v>
      </c>
      <c r="K4114">
        <v>0</v>
      </c>
      <c r="L4114">
        <f>IF(AND($J4114=0,$K4114=0),0,1)</f>
        <v>0</v>
      </c>
      <c r="M4114" t="s">
        <v>1159</v>
      </c>
    </row>
    <row r="4115" spans="1:13" x14ac:dyDescent="0.2">
      <c r="A4115" t="s">
        <v>580</v>
      </c>
      <c r="B4115" t="s">
        <v>581</v>
      </c>
      <c r="C4115" t="s">
        <v>7</v>
      </c>
      <c r="D4115">
        <v>1001</v>
      </c>
      <c r="E4115">
        <v>2020</v>
      </c>
      <c r="F4115">
        <v>48</v>
      </c>
      <c r="G4115">
        <v>14333</v>
      </c>
      <c r="H4115" s="1">
        <v>1</v>
      </c>
      <c r="I4115">
        <v>22</v>
      </c>
      <c r="J4115">
        <f>IF($H4115=0,1,IF($I4115&lt;=1,2,0))</f>
        <v>0</v>
      </c>
      <c r="K4115">
        <v>0</v>
      </c>
      <c r="L4115">
        <f>IF(AND($J4115=0,$K4115=0),0,1)</f>
        <v>0</v>
      </c>
      <c r="M4115" t="s">
        <v>1158</v>
      </c>
    </row>
    <row r="4116" spans="1:13" x14ac:dyDescent="0.2">
      <c r="A4116" t="s">
        <v>580</v>
      </c>
      <c r="B4116" t="s">
        <v>581</v>
      </c>
      <c r="C4116" t="s">
        <v>7</v>
      </c>
      <c r="D4116">
        <v>1001</v>
      </c>
      <c r="E4116">
        <v>2020</v>
      </c>
      <c r="F4116">
        <v>52</v>
      </c>
      <c r="G4116">
        <v>15478</v>
      </c>
      <c r="H4116" s="1">
        <v>1</v>
      </c>
      <c r="I4116">
        <v>22</v>
      </c>
      <c r="J4116">
        <f>IF($H4116=0,1,IF($I4116&lt;=1,2,0))</f>
        <v>0</v>
      </c>
      <c r="K4116">
        <v>0</v>
      </c>
      <c r="L4116">
        <f>IF(AND($J4116=0,$K4116=0),0,1)</f>
        <v>0</v>
      </c>
      <c r="M4116" t="s">
        <v>1160</v>
      </c>
    </row>
    <row r="4117" spans="1:13" x14ac:dyDescent="0.2">
      <c r="A4117" t="s">
        <v>580</v>
      </c>
      <c r="B4117" t="s">
        <v>581</v>
      </c>
      <c r="C4117" t="s">
        <v>7</v>
      </c>
      <c r="D4117">
        <v>1001</v>
      </c>
      <c r="E4117">
        <v>2020</v>
      </c>
      <c r="F4117">
        <v>83</v>
      </c>
      <c r="G4117">
        <v>23202</v>
      </c>
      <c r="H4117" s="1">
        <v>1</v>
      </c>
      <c r="I4117">
        <v>22</v>
      </c>
      <c r="J4117">
        <f>IF($H4117=0,1,IF($I4117&lt;=1,2,0))</f>
        <v>0</v>
      </c>
      <c r="K4117">
        <v>0</v>
      </c>
      <c r="L4117">
        <f>IF(AND($J4117=0,$K4117=0),0,1)</f>
        <v>0</v>
      </c>
    </row>
    <row r="4118" spans="1:13" x14ac:dyDescent="0.2">
      <c r="A4118" t="s">
        <v>580</v>
      </c>
      <c r="B4118" t="s">
        <v>581</v>
      </c>
      <c r="C4118" t="s">
        <v>7</v>
      </c>
      <c r="D4118">
        <v>1001</v>
      </c>
      <c r="E4118">
        <v>2020</v>
      </c>
      <c r="F4118">
        <v>20</v>
      </c>
      <c r="G4118">
        <v>21986</v>
      </c>
      <c r="H4118" s="1">
        <v>1</v>
      </c>
      <c r="I4118">
        <v>21</v>
      </c>
      <c r="J4118">
        <f>IF($H4118=0,1,IF($I4118&lt;=1,2,0))</f>
        <v>0</v>
      </c>
      <c r="K4118">
        <v>0</v>
      </c>
      <c r="L4118">
        <f>IF(AND($J4118=0,$K4118=0),0,1)</f>
        <v>0</v>
      </c>
      <c r="M4118" t="s">
        <v>1158</v>
      </c>
    </row>
    <row r="4119" spans="1:13" x14ac:dyDescent="0.2">
      <c r="A4119" t="s">
        <v>580</v>
      </c>
      <c r="B4119" t="s">
        <v>581</v>
      </c>
      <c r="C4119" t="s">
        <v>7</v>
      </c>
      <c r="D4119">
        <v>1001</v>
      </c>
      <c r="E4119">
        <v>2020</v>
      </c>
      <c r="F4119">
        <v>28</v>
      </c>
      <c r="G4119">
        <v>14004</v>
      </c>
      <c r="H4119" s="1">
        <v>1</v>
      </c>
      <c r="I4119">
        <v>21</v>
      </c>
      <c r="J4119">
        <f>IF($H4119=0,1,IF($I4119&lt;=1,2,0))</f>
        <v>0</v>
      </c>
      <c r="K4119">
        <v>0</v>
      </c>
      <c r="L4119">
        <f>IF(AND($J4119=0,$K4119=0),0,1)</f>
        <v>0</v>
      </c>
      <c r="M4119" t="s">
        <v>1158</v>
      </c>
    </row>
    <row r="4120" spans="1:13" x14ac:dyDescent="0.2">
      <c r="A4120" t="s">
        <v>580</v>
      </c>
      <c r="B4120" t="s">
        <v>581</v>
      </c>
      <c r="C4120" t="s">
        <v>7</v>
      </c>
      <c r="D4120">
        <v>1001</v>
      </c>
      <c r="E4120">
        <v>2020</v>
      </c>
      <c r="F4120">
        <v>31</v>
      </c>
      <c r="G4120">
        <v>15527</v>
      </c>
      <c r="H4120" s="1">
        <v>1</v>
      </c>
      <c r="I4120">
        <v>21</v>
      </c>
      <c r="J4120">
        <f>IF($H4120=0,1,IF($I4120&lt;=1,2,0))</f>
        <v>0</v>
      </c>
      <c r="K4120">
        <v>0</v>
      </c>
      <c r="L4120">
        <f>IF(AND($J4120=0,$K4120=0),0,1)</f>
        <v>0</v>
      </c>
      <c r="M4120" t="s">
        <v>1158</v>
      </c>
    </row>
    <row r="4121" spans="1:13" x14ac:dyDescent="0.2">
      <c r="A4121" t="s">
        <v>580</v>
      </c>
      <c r="B4121" t="s">
        <v>581</v>
      </c>
      <c r="C4121" t="s">
        <v>7</v>
      </c>
      <c r="D4121">
        <v>1001</v>
      </c>
      <c r="E4121">
        <v>2020</v>
      </c>
      <c r="F4121">
        <v>8</v>
      </c>
      <c r="G4121">
        <v>13795</v>
      </c>
      <c r="H4121" s="1">
        <v>1</v>
      </c>
      <c r="I4121">
        <v>20</v>
      </c>
      <c r="J4121">
        <f>IF($H4121=0,1,IF($I4121&lt;=1,2,0))</f>
        <v>0</v>
      </c>
      <c r="K4121">
        <v>0</v>
      </c>
      <c r="L4121">
        <f>IF(AND($J4121=0,$K4121=0),0,1)</f>
        <v>0</v>
      </c>
      <c r="M4121" t="s">
        <v>1158</v>
      </c>
    </row>
    <row r="4122" spans="1:13" x14ac:dyDescent="0.2">
      <c r="A4122" t="s">
        <v>580</v>
      </c>
      <c r="B4122" t="s">
        <v>581</v>
      </c>
      <c r="C4122" t="s">
        <v>7</v>
      </c>
      <c r="D4122">
        <v>1001</v>
      </c>
      <c r="E4122">
        <v>2020</v>
      </c>
      <c r="F4122">
        <v>21</v>
      </c>
      <c r="G4122">
        <v>15526</v>
      </c>
      <c r="H4122" s="1">
        <v>1</v>
      </c>
      <c r="I4122">
        <v>20</v>
      </c>
      <c r="J4122">
        <f>IF($H4122=0,1,IF($I4122&lt;=1,2,0))</f>
        <v>0</v>
      </c>
      <c r="K4122">
        <v>0</v>
      </c>
      <c r="L4122">
        <f>IF(AND($J4122=0,$K4122=0),0,1)</f>
        <v>0</v>
      </c>
      <c r="M4122" t="s">
        <v>1158</v>
      </c>
    </row>
    <row r="4123" spans="1:13" x14ac:dyDescent="0.2">
      <c r="A4123" t="s">
        <v>580</v>
      </c>
      <c r="B4123" t="s">
        <v>581</v>
      </c>
      <c r="C4123" t="s">
        <v>7</v>
      </c>
      <c r="D4123">
        <v>1001</v>
      </c>
      <c r="E4123">
        <v>2020</v>
      </c>
      <c r="F4123">
        <v>23</v>
      </c>
      <c r="G4123">
        <v>21993</v>
      </c>
      <c r="H4123" s="1">
        <v>1</v>
      </c>
      <c r="I4123">
        <v>20</v>
      </c>
      <c r="J4123">
        <f>IF($H4123=0,1,IF($I4123&lt;=1,2,0))</f>
        <v>0</v>
      </c>
      <c r="K4123">
        <v>0</v>
      </c>
      <c r="L4123">
        <f>IF(AND($J4123=0,$K4123=0),0,1)</f>
        <v>0</v>
      </c>
    </row>
    <row r="4124" spans="1:13" x14ac:dyDescent="0.2">
      <c r="A4124" t="s">
        <v>580</v>
      </c>
      <c r="B4124" t="s">
        <v>581</v>
      </c>
      <c r="C4124" t="s">
        <v>7</v>
      </c>
      <c r="D4124">
        <v>1001</v>
      </c>
      <c r="E4124">
        <v>2020</v>
      </c>
      <c r="F4124">
        <v>30</v>
      </c>
      <c r="G4124">
        <v>22384</v>
      </c>
      <c r="H4124" s="1">
        <v>1</v>
      </c>
      <c r="I4124">
        <v>20</v>
      </c>
      <c r="J4124">
        <f>IF($H4124=0,1,IF($I4124&lt;=1,2,0))</f>
        <v>0</v>
      </c>
      <c r="K4124">
        <v>0</v>
      </c>
      <c r="L4124">
        <f>IF(AND($J4124=0,$K4124=0),0,1)</f>
        <v>0</v>
      </c>
      <c r="M4124" t="s">
        <v>1158</v>
      </c>
    </row>
    <row r="4125" spans="1:13" x14ac:dyDescent="0.2">
      <c r="A4125" t="s">
        <v>580</v>
      </c>
      <c r="B4125" t="s">
        <v>581</v>
      </c>
      <c r="C4125" t="s">
        <v>7</v>
      </c>
      <c r="D4125">
        <v>1001</v>
      </c>
      <c r="E4125">
        <v>2020</v>
      </c>
      <c r="F4125">
        <v>25</v>
      </c>
      <c r="G4125">
        <v>15248</v>
      </c>
      <c r="H4125" s="1">
        <v>1</v>
      </c>
      <c r="I4125">
        <v>19</v>
      </c>
      <c r="J4125">
        <f>IF($H4125=0,1,IF($I4125&lt;=1,2,0))</f>
        <v>0</v>
      </c>
      <c r="K4125">
        <v>0</v>
      </c>
      <c r="L4125">
        <f>IF(AND($J4125=0,$K4125=0),0,1)</f>
        <v>0</v>
      </c>
      <c r="M4125" t="s">
        <v>1158</v>
      </c>
    </row>
    <row r="4126" spans="1:13" x14ac:dyDescent="0.2">
      <c r="A4126" t="s">
        <v>580</v>
      </c>
      <c r="B4126" t="s">
        <v>581</v>
      </c>
      <c r="C4126" t="s">
        <v>7</v>
      </c>
      <c r="D4126">
        <v>1001</v>
      </c>
      <c r="E4126">
        <v>2020</v>
      </c>
      <c r="F4126">
        <v>32</v>
      </c>
      <c r="G4126">
        <v>15249</v>
      </c>
      <c r="H4126" s="1">
        <v>1</v>
      </c>
      <c r="I4126">
        <v>19</v>
      </c>
      <c r="J4126">
        <f>IF($H4126=0,1,IF($I4126&lt;=1,2,0))</f>
        <v>0</v>
      </c>
      <c r="K4126">
        <v>0</v>
      </c>
      <c r="L4126">
        <f>IF(AND($J4126=0,$K4126=0),0,1)</f>
        <v>0</v>
      </c>
      <c r="M4126" t="s">
        <v>1158</v>
      </c>
    </row>
    <row r="4127" spans="1:13" x14ac:dyDescent="0.2">
      <c r="A4127" t="s">
        <v>580</v>
      </c>
      <c r="B4127" t="s">
        <v>581</v>
      </c>
      <c r="C4127" t="s">
        <v>7</v>
      </c>
      <c r="D4127">
        <v>1001</v>
      </c>
      <c r="E4127">
        <v>2020</v>
      </c>
      <c r="F4127">
        <v>36</v>
      </c>
      <c r="G4127">
        <v>14331</v>
      </c>
      <c r="H4127" s="1">
        <v>1</v>
      </c>
      <c r="I4127">
        <v>19</v>
      </c>
      <c r="J4127">
        <f>IF($H4127=0,1,IF($I4127&lt;=1,2,0))</f>
        <v>0</v>
      </c>
      <c r="K4127">
        <v>0</v>
      </c>
      <c r="L4127">
        <f>IF(AND($J4127=0,$K4127=0),0,1)</f>
        <v>0</v>
      </c>
      <c r="M4127" t="s">
        <v>1158</v>
      </c>
    </row>
    <row r="4128" spans="1:13" x14ac:dyDescent="0.2">
      <c r="A4128" t="s">
        <v>580</v>
      </c>
      <c r="B4128" t="s">
        <v>581</v>
      </c>
      <c r="C4128" t="s">
        <v>7</v>
      </c>
      <c r="D4128">
        <v>1001</v>
      </c>
      <c r="E4128">
        <v>2020</v>
      </c>
      <c r="F4128">
        <v>46</v>
      </c>
      <c r="G4128">
        <v>15462</v>
      </c>
      <c r="H4128" s="1">
        <v>1</v>
      </c>
      <c r="I4128">
        <v>19</v>
      </c>
      <c r="J4128">
        <f>IF($H4128=0,1,IF($I4128&lt;=1,2,0))</f>
        <v>0</v>
      </c>
      <c r="K4128">
        <v>0</v>
      </c>
      <c r="L4128">
        <f>IF(AND($J4128=0,$K4128=0),0,1)</f>
        <v>0</v>
      </c>
      <c r="M4128" t="s">
        <v>1158</v>
      </c>
    </row>
    <row r="4129" spans="1:13" x14ac:dyDescent="0.2">
      <c r="A4129" t="s">
        <v>580</v>
      </c>
      <c r="B4129" t="s">
        <v>581</v>
      </c>
      <c r="C4129" t="s">
        <v>7</v>
      </c>
      <c r="D4129">
        <v>1001</v>
      </c>
      <c r="E4129">
        <v>2020</v>
      </c>
      <c r="F4129">
        <v>29</v>
      </c>
      <c r="G4129">
        <v>21994</v>
      </c>
      <c r="H4129" s="1">
        <v>1</v>
      </c>
      <c r="I4129">
        <v>18</v>
      </c>
      <c r="J4129">
        <f>IF($H4129=0,1,IF($I4129&lt;=1,2,0))</f>
        <v>0</v>
      </c>
      <c r="K4129">
        <v>0</v>
      </c>
      <c r="L4129">
        <f>IF(AND($J4129=0,$K4129=0),0,1)</f>
        <v>0</v>
      </c>
    </row>
    <row r="4130" spans="1:13" x14ac:dyDescent="0.2">
      <c r="A4130" t="s">
        <v>580</v>
      </c>
      <c r="B4130" t="s">
        <v>581</v>
      </c>
      <c r="C4130" t="s">
        <v>7</v>
      </c>
      <c r="D4130">
        <v>1001</v>
      </c>
      <c r="E4130">
        <v>2020</v>
      </c>
      <c r="F4130">
        <v>37</v>
      </c>
      <c r="G4130">
        <v>22041</v>
      </c>
      <c r="H4130" s="1">
        <v>1</v>
      </c>
      <c r="I4130">
        <v>18</v>
      </c>
      <c r="J4130">
        <f>IF($H4130=0,1,IF($I4130&lt;=1,2,0))</f>
        <v>0</v>
      </c>
      <c r="K4130">
        <v>0</v>
      </c>
      <c r="L4130">
        <f>IF(AND($J4130=0,$K4130=0),0,1)</f>
        <v>0</v>
      </c>
    </row>
    <row r="4131" spans="1:13" x14ac:dyDescent="0.2">
      <c r="A4131" t="s">
        <v>580</v>
      </c>
      <c r="B4131" t="s">
        <v>581</v>
      </c>
      <c r="C4131" t="s">
        <v>7</v>
      </c>
      <c r="D4131">
        <v>1001</v>
      </c>
      <c r="E4131">
        <v>2020</v>
      </c>
      <c r="F4131">
        <v>39</v>
      </c>
      <c r="G4131">
        <v>22385</v>
      </c>
      <c r="H4131" s="1">
        <v>1</v>
      </c>
      <c r="I4131">
        <v>18</v>
      </c>
      <c r="J4131">
        <f>IF($H4131=0,1,IF($I4131&lt;=1,2,0))</f>
        <v>0</v>
      </c>
      <c r="K4131">
        <v>0</v>
      </c>
      <c r="L4131">
        <f>IF(AND($J4131=0,$K4131=0),0,1)</f>
        <v>0</v>
      </c>
      <c r="M4131" t="s">
        <v>1162</v>
      </c>
    </row>
    <row r="4132" spans="1:13" x14ac:dyDescent="0.2">
      <c r="A4132" t="s">
        <v>580</v>
      </c>
      <c r="B4132" t="s">
        <v>581</v>
      </c>
      <c r="C4132" t="s">
        <v>7</v>
      </c>
      <c r="D4132">
        <v>1001</v>
      </c>
      <c r="E4132">
        <v>2020</v>
      </c>
      <c r="F4132">
        <v>60</v>
      </c>
      <c r="G4132">
        <v>15264</v>
      </c>
      <c r="H4132" s="1">
        <v>1</v>
      </c>
      <c r="I4132">
        <v>18</v>
      </c>
      <c r="J4132">
        <f>IF($H4132=0,1,IF($I4132&lt;=1,2,0))</f>
        <v>0</v>
      </c>
      <c r="K4132">
        <v>0</v>
      </c>
      <c r="L4132">
        <f>IF(AND($J4132=0,$K4132=0),0,1)</f>
        <v>0</v>
      </c>
      <c r="M4132" t="s">
        <v>1158</v>
      </c>
    </row>
    <row r="4133" spans="1:13" x14ac:dyDescent="0.2">
      <c r="A4133" t="s">
        <v>580</v>
      </c>
      <c r="B4133" t="s">
        <v>581</v>
      </c>
      <c r="C4133" t="s">
        <v>7</v>
      </c>
      <c r="D4133">
        <v>1001</v>
      </c>
      <c r="E4133">
        <v>2020</v>
      </c>
      <c r="F4133">
        <v>69</v>
      </c>
      <c r="G4133">
        <v>24926</v>
      </c>
      <c r="H4133" s="1">
        <v>1</v>
      </c>
      <c r="I4133">
        <v>18</v>
      </c>
      <c r="J4133">
        <f>IF($H4133=0,1,IF($I4133&lt;=1,2,0))</f>
        <v>0</v>
      </c>
      <c r="K4133">
        <v>0</v>
      </c>
      <c r="L4133">
        <f>IF(AND($J4133=0,$K4133=0),0,1)</f>
        <v>0</v>
      </c>
      <c r="M4133" t="s">
        <v>1159</v>
      </c>
    </row>
    <row r="4134" spans="1:13" x14ac:dyDescent="0.2">
      <c r="A4134" t="s">
        <v>580</v>
      </c>
      <c r="B4134" t="s">
        <v>581</v>
      </c>
      <c r="C4134" t="s">
        <v>7</v>
      </c>
      <c r="D4134">
        <v>1001</v>
      </c>
      <c r="E4134">
        <v>2020</v>
      </c>
      <c r="F4134">
        <v>6</v>
      </c>
      <c r="G4134">
        <v>13794</v>
      </c>
      <c r="H4134" s="1">
        <v>1</v>
      </c>
      <c r="I4134">
        <v>17</v>
      </c>
      <c r="J4134">
        <f>IF($H4134=0,1,IF($I4134&lt;=1,2,0))</f>
        <v>0</v>
      </c>
      <c r="K4134">
        <v>0</v>
      </c>
      <c r="L4134">
        <f>IF(AND($J4134=0,$K4134=0),0,1)</f>
        <v>0</v>
      </c>
      <c r="M4134" t="s">
        <v>1158</v>
      </c>
    </row>
    <row r="4135" spans="1:13" x14ac:dyDescent="0.2">
      <c r="A4135" t="s">
        <v>580</v>
      </c>
      <c r="B4135" t="s">
        <v>581</v>
      </c>
      <c r="C4135" t="s">
        <v>7</v>
      </c>
      <c r="D4135">
        <v>1001</v>
      </c>
      <c r="E4135">
        <v>2020</v>
      </c>
      <c r="F4135">
        <v>7</v>
      </c>
      <c r="G4135">
        <v>21976</v>
      </c>
      <c r="H4135" s="1">
        <v>1</v>
      </c>
      <c r="I4135">
        <v>17</v>
      </c>
      <c r="J4135">
        <f>IF($H4135=0,1,IF($I4135&lt;=1,2,0))</f>
        <v>0</v>
      </c>
      <c r="K4135">
        <v>0</v>
      </c>
      <c r="L4135">
        <f>IF(AND($J4135=0,$K4135=0),0,1)</f>
        <v>0</v>
      </c>
      <c r="M4135" t="s">
        <v>1158</v>
      </c>
    </row>
    <row r="4136" spans="1:13" x14ac:dyDescent="0.2">
      <c r="A4136" t="s">
        <v>580</v>
      </c>
      <c r="B4136" t="s">
        <v>581</v>
      </c>
      <c r="C4136" t="s">
        <v>7</v>
      </c>
      <c r="D4136">
        <v>1001</v>
      </c>
      <c r="E4136">
        <v>2020</v>
      </c>
      <c r="F4136">
        <v>42</v>
      </c>
      <c r="G4136">
        <v>14001</v>
      </c>
      <c r="H4136" s="1">
        <v>1</v>
      </c>
      <c r="I4136">
        <v>17</v>
      </c>
      <c r="J4136">
        <f>IF($H4136=0,1,IF($I4136&lt;=1,2,0))</f>
        <v>0</v>
      </c>
      <c r="K4136">
        <v>0</v>
      </c>
      <c r="L4136">
        <f>IF(AND($J4136=0,$K4136=0),0,1)</f>
        <v>0</v>
      </c>
      <c r="M4136" t="s">
        <v>1158</v>
      </c>
    </row>
    <row r="4137" spans="1:13" x14ac:dyDescent="0.2">
      <c r="A4137" t="s">
        <v>580</v>
      </c>
      <c r="B4137" t="s">
        <v>581</v>
      </c>
      <c r="C4137" t="s">
        <v>7</v>
      </c>
      <c r="D4137">
        <v>1001</v>
      </c>
      <c r="E4137">
        <v>2020</v>
      </c>
      <c r="F4137">
        <v>3</v>
      </c>
      <c r="G4137">
        <v>13793</v>
      </c>
      <c r="H4137" s="1">
        <v>1</v>
      </c>
      <c r="I4137">
        <v>16</v>
      </c>
      <c r="J4137">
        <f>IF($H4137=0,1,IF($I4137&lt;=1,2,0))</f>
        <v>0</v>
      </c>
      <c r="K4137">
        <v>0</v>
      </c>
      <c r="L4137">
        <f>IF(AND($J4137=0,$K4137=0),0,1)</f>
        <v>0</v>
      </c>
      <c r="M4137" t="s">
        <v>1158</v>
      </c>
    </row>
    <row r="4138" spans="1:13" x14ac:dyDescent="0.2">
      <c r="A4138" t="s">
        <v>580</v>
      </c>
      <c r="B4138" t="s">
        <v>581</v>
      </c>
      <c r="C4138" t="s">
        <v>7</v>
      </c>
      <c r="D4138">
        <v>1001</v>
      </c>
      <c r="E4138">
        <v>2020</v>
      </c>
      <c r="F4138">
        <v>18</v>
      </c>
      <c r="G4138">
        <v>21978</v>
      </c>
      <c r="H4138" s="1">
        <v>1</v>
      </c>
      <c r="I4138">
        <v>16</v>
      </c>
      <c r="J4138">
        <f>IF($H4138=0,1,IF($I4138&lt;=1,2,0))</f>
        <v>0</v>
      </c>
      <c r="K4138">
        <v>0</v>
      </c>
      <c r="L4138">
        <f>IF(AND($J4138=0,$K4138=0),0,1)</f>
        <v>0</v>
      </c>
      <c r="M4138" t="s">
        <v>1158</v>
      </c>
    </row>
    <row r="4139" spans="1:13" x14ac:dyDescent="0.2">
      <c r="A4139" t="s">
        <v>580</v>
      </c>
      <c r="B4139" t="s">
        <v>581</v>
      </c>
      <c r="C4139" t="s">
        <v>7</v>
      </c>
      <c r="D4139">
        <v>1001</v>
      </c>
      <c r="E4139">
        <v>2020</v>
      </c>
      <c r="F4139">
        <v>26</v>
      </c>
      <c r="G4139">
        <v>15261</v>
      </c>
      <c r="H4139" s="1">
        <v>1</v>
      </c>
      <c r="I4139">
        <v>16</v>
      </c>
      <c r="J4139">
        <f>IF($H4139=0,1,IF($I4139&lt;=1,2,0))</f>
        <v>0</v>
      </c>
      <c r="K4139">
        <v>0</v>
      </c>
      <c r="L4139">
        <f>IF(AND($J4139=0,$K4139=0),0,1)</f>
        <v>0</v>
      </c>
      <c r="M4139" t="s">
        <v>1158</v>
      </c>
    </row>
    <row r="4140" spans="1:13" x14ac:dyDescent="0.2">
      <c r="A4140" t="s">
        <v>580</v>
      </c>
      <c r="B4140" t="s">
        <v>581</v>
      </c>
      <c r="C4140" t="s">
        <v>7</v>
      </c>
      <c r="D4140">
        <v>1001</v>
      </c>
      <c r="E4140">
        <v>2020</v>
      </c>
      <c r="F4140">
        <v>50</v>
      </c>
      <c r="G4140">
        <v>15530</v>
      </c>
      <c r="H4140" s="1">
        <v>1</v>
      </c>
      <c r="I4140">
        <v>16</v>
      </c>
      <c r="J4140">
        <f>IF($H4140=0,1,IF($I4140&lt;=1,2,0))</f>
        <v>0</v>
      </c>
      <c r="K4140">
        <v>0</v>
      </c>
      <c r="L4140">
        <f>IF(AND($J4140=0,$K4140=0),0,1)</f>
        <v>0</v>
      </c>
      <c r="M4140" t="s">
        <v>1158</v>
      </c>
    </row>
    <row r="4141" spans="1:13" x14ac:dyDescent="0.2">
      <c r="A4141" t="s">
        <v>580</v>
      </c>
      <c r="B4141" t="s">
        <v>581</v>
      </c>
      <c r="C4141" t="s">
        <v>7</v>
      </c>
      <c r="D4141">
        <v>1001</v>
      </c>
      <c r="E4141">
        <v>2020</v>
      </c>
      <c r="F4141">
        <v>58</v>
      </c>
      <c r="G4141">
        <v>22008</v>
      </c>
      <c r="H4141" s="1">
        <v>1</v>
      </c>
      <c r="I4141">
        <v>16</v>
      </c>
      <c r="J4141">
        <f>IF($H4141=0,1,IF($I4141&lt;=1,2,0))</f>
        <v>0</v>
      </c>
      <c r="K4141">
        <v>0</v>
      </c>
      <c r="L4141">
        <f>IF(AND($J4141=0,$K4141=0),0,1)</f>
        <v>0</v>
      </c>
      <c r="M4141" t="s">
        <v>1158</v>
      </c>
    </row>
    <row r="4142" spans="1:13" x14ac:dyDescent="0.2">
      <c r="A4142" t="s">
        <v>580</v>
      </c>
      <c r="B4142" t="s">
        <v>581</v>
      </c>
      <c r="C4142" t="s">
        <v>7</v>
      </c>
      <c r="D4142">
        <v>1001</v>
      </c>
      <c r="E4142">
        <v>2020</v>
      </c>
      <c r="F4142">
        <v>81</v>
      </c>
      <c r="G4142">
        <v>24666</v>
      </c>
      <c r="H4142" s="1">
        <v>1</v>
      </c>
      <c r="I4142">
        <v>16</v>
      </c>
      <c r="J4142">
        <f>IF($H4142=0,1,IF($I4142&lt;=1,2,0))</f>
        <v>0</v>
      </c>
      <c r="K4142">
        <v>0</v>
      </c>
      <c r="L4142">
        <f>IF(AND($J4142=0,$K4142=0),0,1)</f>
        <v>0</v>
      </c>
      <c r="M4142" t="s">
        <v>1164</v>
      </c>
    </row>
    <row r="4143" spans="1:13" x14ac:dyDescent="0.2">
      <c r="A4143" t="s">
        <v>580</v>
      </c>
      <c r="B4143" t="s">
        <v>581</v>
      </c>
      <c r="C4143" t="s">
        <v>7</v>
      </c>
      <c r="D4143">
        <v>1001</v>
      </c>
      <c r="E4143">
        <v>2020</v>
      </c>
      <c r="F4143">
        <v>44</v>
      </c>
      <c r="G4143">
        <v>14000</v>
      </c>
      <c r="H4143" s="1">
        <v>1</v>
      </c>
      <c r="I4143">
        <v>15</v>
      </c>
      <c r="J4143">
        <f>IF($H4143=0,1,IF($I4143&lt;=1,2,0))</f>
        <v>0</v>
      </c>
      <c r="K4143">
        <v>0</v>
      </c>
      <c r="L4143">
        <f>IF(AND($J4143=0,$K4143=0),0,1)</f>
        <v>0</v>
      </c>
      <c r="M4143" t="s">
        <v>1158</v>
      </c>
    </row>
    <row r="4144" spans="1:13" x14ac:dyDescent="0.2">
      <c r="A4144" t="s">
        <v>580</v>
      </c>
      <c r="B4144" t="s">
        <v>581</v>
      </c>
      <c r="C4144" t="s">
        <v>7</v>
      </c>
      <c r="D4144">
        <v>1001</v>
      </c>
      <c r="E4144">
        <v>2020</v>
      </c>
      <c r="F4144">
        <v>51</v>
      </c>
      <c r="G4144">
        <v>15250</v>
      </c>
      <c r="H4144" s="1">
        <v>1</v>
      </c>
      <c r="I4144">
        <v>15</v>
      </c>
      <c r="J4144">
        <f>IF($H4144=0,1,IF($I4144&lt;=1,2,0))</f>
        <v>0</v>
      </c>
      <c r="K4144">
        <v>0</v>
      </c>
      <c r="L4144">
        <f>IF(AND($J4144=0,$K4144=0),0,1)</f>
        <v>0</v>
      </c>
      <c r="M4144" t="s">
        <v>1158</v>
      </c>
    </row>
    <row r="4145" spans="1:13" x14ac:dyDescent="0.2">
      <c r="A4145" t="s">
        <v>580</v>
      </c>
      <c r="B4145" t="s">
        <v>581</v>
      </c>
      <c r="C4145" t="s">
        <v>7</v>
      </c>
      <c r="D4145">
        <v>1001</v>
      </c>
      <c r="E4145">
        <v>2020</v>
      </c>
      <c r="F4145">
        <v>75</v>
      </c>
      <c r="G4145">
        <v>13811</v>
      </c>
      <c r="H4145" s="1">
        <v>1</v>
      </c>
      <c r="I4145">
        <v>15</v>
      </c>
      <c r="J4145">
        <f>IF($H4145=0,1,IF($I4145&lt;=1,2,0))</f>
        <v>0</v>
      </c>
      <c r="K4145">
        <v>0</v>
      </c>
      <c r="L4145">
        <f>IF(AND($J4145=0,$K4145=0),0,1)</f>
        <v>0</v>
      </c>
      <c r="M4145" t="s">
        <v>1158</v>
      </c>
    </row>
    <row r="4146" spans="1:13" x14ac:dyDescent="0.2">
      <c r="A4146" t="s">
        <v>580</v>
      </c>
      <c r="B4146" t="s">
        <v>581</v>
      </c>
      <c r="C4146" t="s">
        <v>7</v>
      </c>
      <c r="D4146">
        <v>1001</v>
      </c>
      <c r="E4146">
        <v>2020</v>
      </c>
      <c r="F4146">
        <v>2</v>
      </c>
      <c r="G4146">
        <v>21975</v>
      </c>
      <c r="H4146" s="1">
        <v>1</v>
      </c>
      <c r="I4146">
        <v>14</v>
      </c>
      <c r="J4146">
        <f>IF($H4146=0,1,IF($I4146&lt;=1,2,0))</f>
        <v>0</v>
      </c>
      <c r="K4146">
        <v>0</v>
      </c>
      <c r="L4146">
        <f>IF(AND($J4146=0,$K4146=0),0,1)</f>
        <v>0</v>
      </c>
      <c r="M4146" t="s">
        <v>1158</v>
      </c>
    </row>
    <row r="4147" spans="1:13" x14ac:dyDescent="0.2">
      <c r="A4147" t="s">
        <v>580</v>
      </c>
      <c r="B4147" t="s">
        <v>581</v>
      </c>
      <c r="C4147" t="s">
        <v>7</v>
      </c>
      <c r="D4147">
        <v>1001</v>
      </c>
      <c r="E4147">
        <v>2020</v>
      </c>
      <c r="F4147">
        <v>10</v>
      </c>
      <c r="G4147">
        <v>13799</v>
      </c>
      <c r="H4147" s="1">
        <v>1</v>
      </c>
      <c r="I4147">
        <v>14</v>
      </c>
      <c r="J4147">
        <f>IF($H4147=0,1,IF($I4147&lt;=1,2,0))</f>
        <v>0</v>
      </c>
      <c r="K4147">
        <v>0</v>
      </c>
      <c r="L4147">
        <f>IF(AND($J4147=0,$K4147=0),0,1)</f>
        <v>0</v>
      </c>
      <c r="M4147" t="s">
        <v>583</v>
      </c>
    </row>
    <row r="4148" spans="1:13" x14ac:dyDescent="0.2">
      <c r="A4148" t="s">
        <v>580</v>
      </c>
      <c r="B4148" t="s">
        <v>581</v>
      </c>
      <c r="C4148" t="s">
        <v>7</v>
      </c>
      <c r="D4148">
        <v>1001</v>
      </c>
      <c r="E4148">
        <v>2020</v>
      </c>
      <c r="F4148">
        <v>15</v>
      </c>
      <c r="G4148">
        <v>13977</v>
      </c>
      <c r="H4148" s="1">
        <v>1</v>
      </c>
      <c r="I4148">
        <v>14</v>
      </c>
      <c r="J4148">
        <f>IF($H4148=0,1,IF($I4148&lt;=1,2,0))</f>
        <v>0</v>
      </c>
      <c r="K4148">
        <v>0</v>
      </c>
      <c r="L4148">
        <f>IF(AND($J4148=0,$K4148=0),0,1)</f>
        <v>0</v>
      </c>
    </row>
    <row r="4149" spans="1:13" x14ac:dyDescent="0.2">
      <c r="A4149" t="s">
        <v>580</v>
      </c>
      <c r="B4149" t="s">
        <v>581</v>
      </c>
      <c r="C4149" t="s">
        <v>7</v>
      </c>
      <c r="D4149">
        <v>1001</v>
      </c>
      <c r="E4149">
        <v>2020</v>
      </c>
      <c r="F4149">
        <v>53</v>
      </c>
      <c r="G4149">
        <v>13982</v>
      </c>
      <c r="H4149" s="1">
        <v>1</v>
      </c>
      <c r="I4149">
        <v>14</v>
      </c>
      <c r="J4149">
        <f>IF($H4149=0,1,IF($I4149&lt;=1,2,0))</f>
        <v>0</v>
      </c>
      <c r="K4149">
        <v>0</v>
      </c>
      <c r="L4149">
        <f>IF(AND($J4149=0,$K4149=0),0,1)</f>
        <v>0</v>
      </c>
      <c r="M4149" t="s">
        <v>1158</v>
      </c>
    </row>
    <row r="4150" spans="1:13" x14ac:dyDescent="0.2">
      <c r="A4150" t="s">
        <v>580</v>
      </c>
      <c r="B4150" t="s">
        <v>581</v>
      </c>
      <c r="C4150" t="s">
        <v>7</v>
      </c>
      <c r="D4150">
        <v>1001</v>
      </c>
      <c r="E4150">
        <v>2020</v>
      </c>
      <c r="F4150">
        <v>54</v>
      </c>
      <c r="G4150">
        <v>13997</v>
      </c>
      <c r="H4150" s="1">
        <v>1</v>
      </c>
      <c r="I4150">
        <v>14</v>
      </c>
      <c r="J4150">
        <f>IF($H4150=0,1,IF($I4150&lt;=1,2,0))</f>
        <v>0</v>
      </c>
      <c r="K4150">
        <v>0</v>
      </c>
      <c r="L4150">
        <f>IF(AND($J4150=0,$K4150=0),0,1)</f>
        <v>0</v>
      </c>
      <c r="M4150" t="s">
        <v>1159</v>
      </c>
    </row>
    <row r="4151" spans="1:13" x14ac:dyDescent="0.2">
      <c r="A4151" t="s">
        <v>580</v>
      </c>
      <c r="B4151" t="s">
        <v>581</v>
      </c>
      <c r="C4151" t="s">
        <v>7</v>
      </c>
      <c r="D4151">
        <v>1001</v>
      </c>
      <c r="E4151">
        <v>2020</v>
      </c>
      <c r="F4151">
        <v>17</v>
      </c>
      <c r="G4151">
        <v>13806</v>
      </c>
      <c r="H4151" s="1">
        <v>1</v>
      </c>
      <c r="I4151">
        <v>13</v>
      </c>
      <c r="J4151">
        <f>IF($H4151=0,1,IF($I4151&lt;=1,2,0))</f>
        <v>0</v>
      </c>
      <c r="K4151">
        <v>0</v>
      </c>
      <c r="L4151">
        <f>IF(AND($J4151=0,$K4151=0),0,1)</f>
        <v>0</v>
      </c>
      <c r="M4151" t="s">
        <v>1159</v>
      </c>
    </row>
    <row r="4152" spans="1:13" x14ac:dyDescent="0.2">
      <c r="A4152" t="s">
        <v>580</v>
      </c>
      <c r="B4152" t="s">
        <v>581</v>
      </c>
      <c r="C4152" t="s">
        <v>7</v>
      </c>
      <c r="D4152">
        <v>1001</v>
      </c>
      <c r="E4152">
        <v>2020</v>
      </c>
      <c r="F4152">
        <v>56</v>
      </c>
      <c r="G4152">
        <v>15529</v>
      </c>
      <c r="H4152" s="1">
        <v>1</v>
      </c>
      <c r="I4152">
        <v>13</v>
      </c>
      <c r="J4152">
        <f>IF($H4152=0,1,IF($I4152&lt;=1,2,0))</f>
        <v>0</v>
      </c>
      <c r="K4152">
        <v>0</v>
      </c>
      <c r="L4152">
        <f>IF(AND($J4152=0,$K4152=0),0,1)</f>
        <v>0</v>
      </c>
      <c r="M4152" t="s">
        <v>1158</v>
      </c>
    </row>
    <row r="4153" spans="1:13" x14ac:dyDescent="0.2">
      <c r="A4153" t="s">
        <v>580</v>
      </c>
      <c r="B4153" t="s">
        <v>581</v>
      </c>
      <c r="C4153" t="s">
        <v>7</v>
      </c>
      <c r="D4153">
        <v>1001</v>
      </c>
      <c r="E4153">
        <v>2020</v>
      </c>
      <c r="F4153">
        <v>16</v>
      </c>
      <c r="G4153">
        <v>15476</v>
      </c>
      <c r="H4153" s="1">
        <v>1</v>
      </c>
      <c r="I4153">
        <v>12</v>
      </c>
      <c r="J4153">
        <f>IF($H4153=0,1,IF($I4153&lt;=1,2,0))</f>
        <v>0</v>
      </c>
      <c r="K4153">
        <v>0</v>
      </c>
      <c r="L4153">
        <f>IF(AND($J4153=0,$K4153=0),0,1)</f>
        <v>0</v>
      </c>
      <c r="M4153" t="s">
        <v>1158</v>
      </c>
    </row>
    <row r="4154" spans="1:13" x14ac:dyDescent="0.2">
      <c r="A4154" t="s">
        <v>580</v>
      </c>
      <c r="B4154" t="s">
        <v>581</v>
      </c>
      <c r="C4154" t="s">
        <v>7</v>
      </c>
      <c r="D4154">
        <v>1001</v>
      </c>
      <c r="E4154">
        <v>2020</v>
      </c>
      <c r="F4154">
        <v>43</v>
      </c>
      <c r="G4154">
        <v>15528</v>
      </c>
      <c r="H4154" s="1">
        <v>1</v>
      </c>
      <c r="I4154">
        <v>12</v>
      </c>
      <c r="J4154">
        <f>IF($H4154=0,1,IF($I4154&lt;=1,2,0))</f>
        <v>0</v>
      </c>
      <c r="K4154">
        <v>0</v>
      </c>
      <c r="L4154">
        <f>IF(AND($J4154=0,$K4154=0),0,1)</f>
        <v>0</v>
      </c>
      <c r="M4154" t="s">
        <v>1158</v>
      </c>
    </row>
    <row r="4155" spans="1:13" x14ac:dyDescent="0.2">
      <c r="A4155" t="s">
        <v>580</v>
      </c>
      <c r="B4155" t="s">
        <v>581</v>
      </c>
      <c r="C4155" t="s">
        <v>7</v>
      </c>
      <c r="D4155">
        <v>1001</v>
      </c>
      <c r="E4155">
        <v>2020</v>
      </c>
      <c r="F4155">
        <v>45</v>
      </c>
      <c r="G4155">
        <v>22382</v>
      </c>
      <c r="H4155" s="1">
        <v>1</v>
      </c>
      <c r="I4155">
        <v>12</v>
      </c>
      <c r="J4155">
        <f>IF($H4155=0,1,IF($I4155&lt;=1,2,0))</f>
        <v>0</v>
      </c>
      <c r="K4155">
        <v>0</v>
      </c>
      <c r="L4155">
        <f>IF(AND($J4155=0,$K4155=0),0,1)</f>
        <v>0</v>
      </c>
      <c r="M4155" t="s">
        <v>1163</v>
      </c>
    </row>
    <row r="4156" spans="1:13" x14ac:dyDescent="0.2">
      <c r="A4156" t="s">
        <v>580</v>
      </c>
      <c r="B4156" t="s">
        <v>581</v>
      </c>
      <c r="C4156" t="s">
        <v>7</v>
      </c>
      <c r="D4156">
        <v>1001</v>
      </c>
      <c r="E4156">
        <v>2020</v>
      </c>
      <c r="F4156">
        <v>55</v>
      </c>
      <c r="G4156">
        <v>22021</v>
      </c>
      <c r="H4156" s="1">
        <v>1</v>
      </c>
      <c r="I4156">
        <v>11</v>
      </c>
      <c r="J4156">
        <f>IF($H4156=0,1,IF($I4156&lt;=1,2,0))</f>
        <v>0</v>
      </c>
      <c r="K4156">
        <v>0</v>
      </c>
      <c r="L4156">
        <f>IF(AND($J4156=0,$K4156=0),0,1)</f>
        <v>0</v>
      </c>
    </row>
    <row r="4157" spans="1:13" x14ac:dyDescent="0.2">
      <c r="A4157" t="s">
        <v>580</v>
      </c>
      <c r="B4157" t="s">
        <v>581</v>
      </c>
      <c r="C4157" t="s">
        <v>7</v>
      </c>
      <c r="D4157">
        <v>1001</v>
      </c>
      <c r="E4157">
        <v>2020</v>
      </c>
      <c r="F4157">
        <v>14</v>
      </c>
      <c r="G4157">
        <v>21977</v>
      </c>
      <c r="H4157" s="1">
        <v>1</v>
      </c>
      <c r="I4157">
        <v>10</v>
      </c>
      <c r="J4157">
        <f>IF($H4157=0,1,IF($I4157&lt;=1,2,0))</f>
        <v>0</v>
      </c>
      <c r="K4157">
        <v>0</v>
      </c>
      <c r="L4157">
        <f>IF(AND($J4157=0,$K4157=0),0,1)</f>
        <v>0</v>
      </c>
      <c r="M4157" t="s">
        <v>1158</v>
      </c>
    </row>
    <row r="4158" spans="1:13" x14ac:dyDescent="0.2">
      <c r="A4158" t="s">
        <v>580</v>
      </c>
      <c r="B4158" t="s">
        <v>581</v>
      </c>
      <c r="C4158" t="s">
        <v>7</v>
      </c>
      <c r="D4158">
        <v>1001</v>
      </c>
      <c r="E4158">
        <v>2020</v>
      </c>
      <c r="F4158">
        <v>49</v>
      </c>
      <c r="G4158">
        <v>13978</v>
      </c>
      <c r="H4158" s="1">
        <v>1</v>
      </c>
      <c r="I4158">
        <v>9</v>
      </c>
      <c r="J4158">
        <f>IF($H4158=0,1,IF($I4158&lt;=1,2,0))</f>
        <v>0</v>
      </c>
      <c r="K4158">
        <v>0</v>
      </c>
      <c r="L4158">
        <f>IF(AND($J4158=0,$K4158=0),0,1)</f>
        <v>0</v>
      </c>
      <c r="M4158" t="s">
        <v>1158</v>
      </c>
    </row>
    <row r="4159" spans="1:13" x14ac:dyDescent="0.2">
      <c r="A4159" t="s">
        <v>580</v>
      </c>
      <c r="B4159" t="s">
        <v>581</v>
      </c>
      <c r="C4159" t="s">
        <v>7</v>
      </c>
      <c r="D4159">
        <v>1001</v>
      </c>
      <c r="E4159">
        <v>2020</v>
      </c>
      <c r="F4159">
        <v>80</v>
      </c>
      <c r="G4159">
        <v>15252</v>
      </c>
      <c r="H4159" s="1">
        <v>1</v>
      </c>
      <c r="I4159">
        <v>8</v>
      </c>
      <c r="J4159">
        <f>IF($H4159=0,1,IF($I4159&lt;=1,2,0))</f>
        <v>0</v>
      </c>
      <c r="K4159">
        <v>0</v>
      </c>
      <c r="L4159">
        <f>IF(AND($J4159=0,$K4159=0),0,1)</f>
        <v>0</v>
      </c>
    </row>
    <row r="4160" spans="1:13" x14ac:dyDescent="0.2">
      <c r="A4160" t="s">
        <v>580</v>
      </c>
      <c r="B4160" t="s">
        <v>581</v>
      </c>
      <c r="C4160" t="s">
        <v>7</v>
      </c>
      <c r="D4160">
        <v>1001</v>
      </c>
      <c r="E4160">
        <v>2020</v>
      </c>
      <c r="F4160">
        <v>24</v>
      </c>
      <c r="G4160">
        <v>13804</v>
      </c>
      <c r="H4160" s="1">
        <v>1</v>
      </c>
      <c r="I4160">
        <v>7</v>
      </c>
      <c r="J4160">
        <f>IF($H4160=0,1,IF($I4160&lt;=1,2,0))</f>
        <v>0</v>
      </c>
      <c r="K4160">
        <v>0</v>
      </c>
      <c r="L4160">
        <f>IF(AND($J4160=0,$K4160=0),0,1)</f>
        <v>0</v>
      </c>
      <c r="M4160" t="s">
        <v>1158</v>
      </c>
    </row>
    <row r="4161" spans="1:13" x14ac:dyDescent="0.2">
      <c r="A4161" t="s">
        <v>580</v>
      </c>
      <c r="B4161" t="s">
        <v>581</v>
      </c>
      <c r="C4161" t="s">
        <v>7</v>
      </c>
      <c r="D4161">
        <v>1001</v>
      </c>
      <c r="E4161">
        <v>2020</v>
      </c>
      <c r="F4161">
        <v>79</v>
      </c>
      <c r="G4161">
        <v>15259</v>
      </c>
      <c r="H4161" s="1">
        <v>1</v>
      </c>
      <c r="I4161">
        <v>6</v>
      </c>
      <c r="J4161">
        <f>IF($H4161=0,1,IF($I4161&lt;=1,2,0))</f>
        <v>0</v>
      </c>
      <c r="K4161">
        <v>0</v>
      </c>
      <c r="L4161">
        <f>IF(AND($J4161=0,$K4161=0),0,1)</f>
        <v>0</v>
      </c>
      <c r="M4161" t="s">
        <v>1947</v>
      </c>
    </row>
    <row r="4162" spans="1:13" x14ac:dyDescent="0.2">
      <c r="A4162" t="s">
        <v>580</v>
      </c>
      <c r="B4162" t="s">
        <v>581</v>
      </c>
      <c r="C4162" t="s">
        <v>7</v>
      </c>
      <c r="D4162">
        <v>1001</v>
      </c>
      <c r="E4162">
        <v>2020</v>
      </c>
      <c r="F4162">
        <v>59</v>
      </c>
      <c r="G4162">
        <v>22023</v>
      </c>
      <c r="H4162" s="1">
        <v>1</v>
      </c>
      <c r="I4162">
        <v>3</v>
      </c>
      <c r="J4162">
        <f>IF($H4162=0,1,IF($I4162&lt;=1,2,0))</f>
        <v>0</v>
      </c>
      <c r="K4162">
        <v>0</v>
      </c>
      <c r="L4162">
        <f>IF(AND($J4162=0,$K4162=0),0,1)</f>
        <v>0</v>
      </c>
    </row>
    <row r="4163" spans="1:13" x14ac:dyDescent="0.2">
      <c r="A4163" t="s">
        <v>580</v>
      </c>
      <c r="B4163" t="s">
        <v>581</v>
      </c>
      <c r="C4163" t="s">
        <v>7</v>
      </c>
      <c r="D4163">
        <v>1005</v>
      </c>
      <c r="E4163">
        <v>2020</v>
      </c>
      <c r="F4163">
        <v>25</v>
      </c>
      <c r="G4163">
        <v>15706</v>
      </c>
      <c r="H4163" s="1" t="s">
        <v>1831</v>
      </c>
      <c r="I4163">
        <v>13</v>
      </c>
      <c r="J4163">
        <f>IF($H4163=0,1,IF($I4163&lt;=1,2,0))</f>
        <v>0</v>
      </c>
      <c r="K4163">
        <v>0</v>
      </c>
      <c r="L4163">
        <f>IF(AND($J4163=0,$K4163=0),0,1)</f>
        <v>0</v>
      </c>
      <c r="M4163" t="s">
        <v>1165</v>
      </c>
    </row>
    <row r="4164" spans="1:13" x14ac:dyDescent="0.2">
      <c r="A4164" t="s">
        <v>580</v>
      </c>
      <c r="B4164" t="s">
        <v>581</v>
      </c>
      <c r="C4164" t="s">
        <v>7</v>
      </c>
      <c r="D4164">
        <v>1005</v>
      </c>
      <c r="E4164">
        <v>2020</v>
      </c>
      <c r="F4164">
        <v>21</v>
      </c>
      <c r="G4164">
        <v>15703</v>
      </c>
      <c r="H4164" s="1" t="s">
        <v>1831</v>
      </c>
      <c r="I4164">
        <v>10</v>
      </c>
      <c r="J4164">
        <f>IF($H4164=0,1,IF($I4164&lt;=1,2,0))</f>
        <v>0</v>
      </c>
      <c r="K4164">
        <v>0</v>
      </c>
      <c r="L4164">
        <f>IF(AND($J4164=0,$K4164=0),0,1)</f>
        <v>0</v>
      </c>
      <c r="M4164" t="s">
        <v>1165</v>
      </c>
    </row>
    <row r="4165" spans="1:13" x14ac:dyDescent="0.2">
      <c r="A4165" t="s">
        <v>580</v>
      </c>
      <c r="B4165" t="s">
        <v>581</v>
      </c>
      <c r="C4165" t="s">
        <v>7</v>
      </c>
      <c r="D4165">
        <v>1005</v>
      </c>
      <c r="E4165">
        <v>2020</v>
      </c>
      <c r="F4165">
        <v>33</v>
      </c>
      <c r="G4165">
        <v>15713</v>
      </c>
      <c r="H4165" s="1" t="s">
        <v>1831</v>
      </c>
      <c r="I4165">
        <v>8</v>
      </c>
      <c r="J4165">
        <f>IF($H4165=0,1,IF($I4165&lt;=1,2,0))</f>
        <v>0</v>
      </c>
      <c r="K4165">
        <v>0</v>
      </c>
      <c r="L4165">
        <f>IF(AND($J4165=0,$K4165=0),0,1)</f>
        <v>0</v>
      </c>
      <c r="M4165" t="s">
        <v>1165</v>
      </c>
    </row>
    <row r="4166" spans="1:13" x14ac:dyDescent="0.2">
      <c r="A4166" t="s">
        <v>580</v>
      </c>
      <c r="B4166" t="s">
        <v>581</v>
      </c>
      <c r="C4166" t="s">
        <v>7</v>
      </c>
      <c r="D4166">
        <v>1005</v>
      </c>
      <c r="E4166">
        <v>2020</v>
      </c>
      <c r="F4166">
        <v>10</v>
      </c>
      <c r="G4166">
        <v>15694</v>
      </c>
      <c r="H4166" s="1" t="s">
        <v>1831</v>
      </c>
      <c r="I4166">
        <v>7</v>
      </c>
      <c r="J4166">
        <f>IF($H4166=0,1,IF($I4166&lt;=1,2,0))</f>
        <v>0</v>
      </c>
      <c r="K4166">
        <v>0</v>
      </c>
      <c r="L4166">
        <f>IF(AND($J4166=0,$K4166=0),0,1)</f>
        <v>0</v>
      </c>
      <c r="M4166" t="s">
        <v>1165</v>
      </c>
    </row>
    <row r="4167" spans="1:13" x14ac:dyDescent="0.2">
      <c r="A4167" t="s">
        <v>580</v>
      </c>
      <c r="B4167" t="s">
        <v>581</v>
      </c>
      <c r="C4167" t="s">
        <v>7</v>
      </c>
      <c r="D4167">
        <v>1005</v>
      </c>
      <c r="E4167">
        <v>2020</v>
      </c>
      <c r="F4167">
        <v>20</v>
      </c>
      <c r="G4167">
        <v>15702</v>
      </c>
      <c r="H4167" s="1" t="s">
        <v>1831</v>
      </c>
      <c r="I4167">
        <v>7</v>
      </c>
      <c r="J4167">
        <f>IF($H4167=0,1,IF($I4167&lt;=1,2,0))</f>
        <v>0</v>
      </c>
      <c r="K4167">
        <v>0</v>
      </c>
      <c r="L4167">
        <f>IF(AND($J4167=0,$K4167=0),0,1)</f>
        <v>0</v>
      </c>
      <c r="M4167" t="s">
        <v>1165</v>
      </c>
    </row>
    <row r="4168" spans="1:13" x14ac:dyDescent="0.2">
      <c r="A4168" t="s">
        <v>580</v>
      </c>
      <c r="B4168" t="s">
        <v>581</v>
      </c>
      <c r="C4168" t="s">
        <v>7</v>
      </c>
      <c r="D4168">
        <v>1005</v>
      </c>
      <c r="E4168">
        <v>2020</v>
      </c>
      <c r="F4168">
        <v>2</v>
      </c>
      <c r="G4168">
        <v>13937</v>
      </c>
      <c r="H4168" s="1" t="s">
        <v>1831</v>
      </c>
      <c r="I4168">
        <v>6</v>
      </c>
      <c r="J4168">
        <f>IF($H4168=0,1,IF($I4168&lt;=1,2,0))</f>
        <v>0</v>
      </c>
      <c r="K4168">
        <v>0</v>
      </c>
      <c r="L4168">
        <f>IF(AND($J4168=0,$K4168=0),0,1)</f>
        <v>0</v>
      </c>
      <c r="M4168" t="s">
        <v>1165</v>
      </c>
    </row>
    <row r="4169" spans="1:13" x14ac:dyDescent="0.2">
      <c r="A4169" t="s">
        <v>580</v>
      </c>
      <c r="B4169" t="s">
        <v>581</v>
      </c>
      <c r="C4169" t="s">
        <v>7</v>
      </c>
      <c r="D4169">
        <v>1005</v>
      </c>
      <c r="E4169">
        <v>2020</v>
      </c>
      <c r="F4169">
        <v>5</v>
      </c>
      <c r="G4169">
        <v>13790</v>
      </c>
      <c r="H4169" s="1" t="s">
        <v>1831</v>
      </c>
      <c r="I4169">
        <v>6</v>
      </c>
      <c r="J4169">
        <f>IF($H4169=0,1,IF($I4169&lt;=1,2,0))</f>
        <v>0</v>
      </c>
      <c r="K4169">
        <v>0</v>
      </c>
      <c r="L4169">
        <f>IF(AND($J4169=0,$K4169=0),0,1)</f>
        <v>0</v>
      </c>
      <c r="M4169" t="s">
        <v>1165</v>
      </c>
    </row>
    <row r="4170" spans="1:13" x14ac:dyDescent="0.2">
      <c r="A4170" t="s">
        <v>580</v>
      </c>
      <c r="B4170" t="s">
        <v>581</v>
      </c>
      <c r="C4170" t="s">
        <v>7</v>
      </c>
      <c r="D4170">
        <v>1005</v>
      </c>
      <c r="E4170">
        <v>2020</v>
      </c>
      <c r="F4170">
        <v>16</v>
      </c>
      <c r="G4170">
        <v>15699</v>
      </c>
      <c r="H4170" s="1" t="s">
        <v>1831</v>
      </c>
      <c r="I4170">
        <v>6</v>
      </c>
      <c r="J4170">
        <f>IF($H4170=0,1,IF($I4170&lt;=1,2,0))</f>
        <v>0</v>
      </c>
      <c r="K4170">
        <v>0</v>
      </c>
      <c r="L4170">
        <f>IF(AND($J4170=0,$K4170=0),0,1)</f>
        <v>0</v>
      </c>
      <c r="M4170" t="s">
        <v>1165</v>
      </c>
    </row>
    <row r="4171" spans="1:13" x14ac:dyDescent="0.2">
      <c r="A4171" t="s">
        <v>580</v>
      </c>
      <c r="B4171" t="s">
        <v>581</v>
      </c>
      <c r="C4171" t="s">
        <v>7</v>
      </c>
      <c r="D4171">
        <v>1005</v>
      </c>
      <c r="E4171">
        <v>2020</v>
      </c>
      <c r="F4171">
        <v>1</v>
      </c>
      <c r="G4171">
        <v>13789</v>
      </c>
      <c r="H4171" s="1" t="s">
        <v>1831</v>
      </c>
      <c r="I4171">
        <v>5</v>
      </c>
      <c r="J4171">
        <f>IF($H4171=0,1,IF($I4171&lt;=1,2,0))</f>
        <v>0</v>
      </c>
      <c r="K4171">
        <v>0</v>
      </c>
      <c r="L4171">
        <f>IF(AND($J4171=0,$K4171=0),0,1)</f>
        <v>0</v>
      </c>
      <c r="M4171" t="s">
        <v>1165</v>
      </c>
    </row>
    <row r="4172" spans="1:13" x14ac:dyDescent="0.2">
      <c r="A4172" t="s">
        <v>580</v>
      </c>
      <c r="B4172" t="s">
        <v>581</v>
      </c>
      <c r="C4172" t="s">
        <v>7</v>
      </c>
      <c r="D4172">
        <v>1005</v>
      </c>
      <c r="E4172">
        <v>2020</v>
      </c>
      <c r="F4172">
        <v>31</v>
      </c>
      <c r="G4172">
        <v>15711</v>
      </c>
      <c r="H4172" s="1" t="s">
        <v>1831</v>
      </c>
      <c r="I4172">
        <v>5</v>
      </c>
      <c r="J4172">
        <f>IF($H4172=0,1,IF($I4172&lt;=1,2,0))</f>
        <v>0</v>
      </c>
      <c r="K4172">
        <v>0</v>
      </c>
      <c r="L4172">
        <f>IF(AND($J4172=0,$K4172=0),0,1)</f>
        <v>0</v>
      </c>
      <c r="M4172" t="s">
        <v>1165</v>
      </c>
    </row>
    <row r="4173" spans="1:13" x14ac:dyDescent="0.2">
      <c r="A4173" t="s">
        <v>580</v>
      </c>
      <c r="B4173" t="s">
        <v>581</v>
      </c>
      <c r="C4173" t="s">
        <v>7</v>
      </c>
      <c r="D4173">
        <v>1005</v>
      </c>
      <c r="E4173">
        <v>2020</v>
      </c>
      <c r="F4173">
        <v>6</v>
      </c>
      <c r="G4173">
        <v>13791</v>
      </c>
      <c r="H4173" s="1" t="s">
        <v>1831</v>
      </c>
      <c r="I4173">
        <v>4</v>
      </c>
      <c r="J4173">
        <f>IF($H4173=0,1,IF($I4173&lt;=1,2,0))</f>
        <v>0</v>
      </c>
      <c r="K4173">
        <v>0</v>
      </c>
      <c r="L4173">
        <f>IF(AND($J4173=0,$K4173=0),0,1)</f>
        <v>0</v>
      </c>
      <c r="M4173" t="s">
        <v>1165</v>
      </c>
    </row>
    <row r="4174" spans="1:13" x14ac:dyDescent="0.2">
      <c r="A4174" t="s">
        <v>580</v>
      </c>
      <c r="B4174" t="s">
        <v>581</v>
      </c>
      <c r="C4174" t="s">
        <v>7</v>
      </c>
      <c r="D4174">
        <v>1005</v>
      </c>
      <c r="E4174">
        <v>2020</v>
      </c>
      <c r="F4174">
        <v>3</v>
      </c>
      <c r="G4174">
        <v>13938</v>
      </c>
      <c r="H4174" s="1" t="s">
        <v>1831</v>
      </c>
      <c r="I4174">
        <v>3</v>
      </c>
      <c r="J4174">
        <f>IF($H4174=0,1,IF($I4174&lt;=1,2,0))</f>
        <v>0</v>
      </c>
      <c r="K4174">
        <v>0</v>
      </c>
      <c r="L4174">
        <f>IF(AND($J4174=0,$K4174=0),0,1)</f>
        <v>0</v>
      </c>
      <c r="M4174" t="s">
        <v>1165</v>
      </c>
    </row>
    <row r="4175" spans="1:13" x14ac:dyDescent="0.2">
      <c r="A4175" t="s">
        <v>580</v>
      </c>
      <c r="B4175" t="s">
        <v>581</v>
      </c>
      <c r="C4175" t="s">
        <v>7</v>
      </c>
      <c r="D4175">
        <v>1005</v>
      </c>
      <c r="E4175">
        <v>2020</v>
      </c>
      <c r="F4175">
        <v>28</v>
      </c>
      <c r="G4175">
        <v>15709</v>
      </c>
      <c r="H4175" s="1" t="s">
        <v>1831</v>
      </c>
      <c r="I4175">
        <v>3</v>
      </c>
      <c r="J4175">
        <f>IF($H4175=0,1,IF($I4175&lt;=1,2,0))</f>
        <v>0</v>
      </c>
      <c r="K4175">
        <v>0</v>
      </c>
      <c r="L4175">
        <f>IF(AND($J4175=0,$K4175=0),0,1)</f>
        <v>0</v>
      </c>
      <c r="M4175" t="s">
        <v>1165</v>
      </c>
    </row>
    <row r="4176" spans="1:13" x14ac:dyDescent="0.2">
      <c r="A4176" t="s">
        <v>580</v>
      </c>
      <c r="B4176" t="s">
        <v>581</v>
      </c>
      <c r="C4176" t="s">
        <v>7</v>
      </c>
      <c r="D4176">
        <v>1005</v>
      </c>
      <c r="E4176">
        <v>2020</v>
      </c>
      <c r="F4176">
        <v>30</v>
      </c>
      <c r="G4176">
        <v>15710</v>
      </c>
      <c r="H4176" s="1" t="s">
        <v>1831</v>
      </c>
      <c r="I4176">
        <v>3</v>
      </c>
      <c r="J4176">
        <f>IF($H4176=0,1,IF($I4176&lt;=1,2,0))</f>
        <v>0</v>
      </c>
      <c r="K4176">
        <v>0</v>
      </c>
      <c r="L4176">
        <f>IF(AND($J4176=0,$K4176=0),0,1)</f>
        <v>0</v>
      </c>
      <c r="M4176" t="s">
        <v>1165</v>
      </c>
    </row>
    <row r="4177" spans="1:13" x14ac:dyDescent="0.2">
      <c r="A4177" t="s">
        <v>580</v>
      </c>
      <c r="B4177" t="s">
        <v>581</v>
      </c>
      <c r="C4177" t="s">
        <v>7</v>
      </c>
      <c r="D4177">
        <v>1005</v>
      </c>
      <c r="E4177">
        <v>2020</v>
      </c>
      <c r="F4177">
        <v>36</v>
      </c>
      <c r="G4177">
        <v>15715</v>
      </c>
      <c r="H4177" s="1" t="s">
        <v>1831</v>
      </c>
      <c r="I4177">
        <v>3</v>
      </c>
      <c r="J4177">
        <f>IF($H4177=0,1,IF($I4177&lt;=1,2,0))</f>
        <v>0</v>
      </c>
      <c r="K4177">
        <v>0</v>
      </c>
      <c r="L4177">
        <f>IF(AND($J4177=0,$K4177=0),0,1)</f>
        <v>0</v>
      </c>
      <c r="M4177" t="s">
        <v>1165</v>
      </c>
    </row>
    <row r="4178" spans="1:13" x14ac:dyDescent="0.2">
      <c r="A4178" t="s">
        <v>580</v>
      </c>
      <c r="B4178" t="s">
        <v>581</v>
      </c>
      <c r="C4178" t="s">
        <v>7</v>
      </c>
      <c r="D4178">
        <v>1005</v>
      </c>
      <c r="E4178">
        <v>2020</v>
      </c>
      <c r="F4178">
        <v>8</v>
      </c>
      <c r="G4178">
        <v>15693</v>
      </c>
      <c r="H4178" s="1" t="s">
        <v>1831</v>
      </c>
      <c r="I4178">
        <v>2</v>
      </c>
      <c r="J4178">
        <f>IF($H4178=0,1,IF($I4178&lt;=1,2,0))</f>
        <v>0</v>
      </c>
      <c r="K4178">
        <v>0</v>
      </c>
      <c r="L4178">
        <f>IF(AND($J4178=0,$K4178=0),0,1)</f>
        <v>0</v>
      </c>
      <c r="M4178" t="s">
        <v>1165</v>
      </c>
    </row>
    <row r="4179" spans="1:13" x14ac:dyDescent="0.2">
      <c r="A4179" t="s">
        <v>580</v>
      </c>
      <c r="B4179" t="s">
        <v>581</v>
      </c>
      <c r="C4179" t="s">
        <v>7</v>
      </c>
      <c r="D4179">
        <v>1005</v>
      </c>
      <c r="E4179">
        <v>2020</v>
      </c>
      <c r="F4179">
        <v>11</v>
      </c>
      <c r="G4179">
        <v>15695</v>
      </c>
      <c r="H4179" s="1" t="s">
        <v>1831</v>
      </c>
      <c r="I4179">
        <v>2</v>
      </c>
      <c r="J4179">
        <f>IF($H4179=0,1,IF($I4179&lt;=1,2,0))</f>
        <v>0</v>
      </c>
      <c r="K4179">
        <v>0</v>
      </c>
      <c r="L4179">
        <f>IF(AND($J4179=0,$K4179=0),0,1)</f>
        <v>0</v>
      </c>
      <c r="M4179" t="s">
        <v>1165</v>
      </c>
    </row>
    <row r="4180" spans="1:13" x14ac:dyDescent="0.2">
      <c r="A4180" t="s">
        <v>580</v>
      </c>
      <c r="B4180" t="s">
        <v>581</v>
      </c>
      <c r="C4180" t="s">
        <v>7</v>
      </c>
      <c r="D4180">
        <v>1005</v>
      </c>
      <c r="E4180">
        <v>2020</v>
      </c>
      <c r="F4180">
        <v>14</v>
      </c>
      <c r="G4180">
        <v>15698</v>
      </c>
      <c r="H4180" s="1" t="s">
        <v>1831</v>
      </c>
      <c r="I4180">
        <v>2</v>
      </c>
      <c r="J4180">
        <f>IF($H4180=0,1,IF($I4180&lt;=1,2,0))</f>
        <v>0</v>
      </c>
      <c r="K4180">
        <v>0</v>
      </c>
      <c r="L4180">
        <f>IF(AND($J4180=0,$K4180=0),0,1)</f>
        <v>0</v>
      </c>
      <c r="M4180" t="s">
        <v>1165</v>
      </c>
    </row>
    <row r="4181" spans="1:13" x14ac:dyDescent="0.2">
      <c r="A4181" t="s">
        <v>580</v>
      </c>
      <c r="B4181" t="s">
        <v>581</v>
      </c>
      <c r="C4181" t="s">
        <v>7</v>
      </c>
      <c r="D4181">
        <v>1005</v>
      </c>
      <c r="E4181">
        <v>2020</v>
      </c>
      <c r="F4181">
        <v>18</v>
      </c>
      <c r="G4181">
        <v>15701</v>
      </c>
      <c r="H4181" s="1" t="s">
        <v>1831</v>
      </c>
      <c r="I4181">
        <v>2</v>
      </c>
      <c r="J4181">
        <f>IF($H4181=0,1,IF($I4181&lt;=1,2,0))</f>
        <v>0</v>
      </c>
      <c r="K4181">
        <v>0</v>
      </c>
      <c r="L4181">
        <f>IF(AND($J4181=0,$K4181=0),0,1)</f>
        <v>0</v>
      </c>
      <c r="M4181" t="s">
        <v>1165</v>
      </c>
    </row>
    <row r="4182" spans="1:13" x14ac:dyDescent="0.2">
      <c r="A4182" t="s">
        <v>580</v>
      </c>
      <c r="B4182" t="s">
        <v>581</v>
      </c>
      <c r="C4182" t="s">
        <v>7</v>
      </c>
      <c r="D4182">
        <v>1005</v>
      </c>
      <c r="E4182">
        <v>2020</v>
      </c>
      <c r="F4182">
        <v>22</v>
      </c>
      <c r="G4182">
        <v>15704</v>
      </c>
      <c r="H4182" s="1" t="s">
        <v>1831</v>
      </c>
      <c r="I4182">
        <v>2</v>
      </c>
      <c r="J4182">
        <f>IF($H4182=0,1,IF($I4182&lt;=1,2,0))</f>
        <v>0</v>
      </c>
      <c r="K4182">
        <v>0</v>
      </c>
      <c r="L4182">
        <f>IF(AND($J4182=0,$K4182=0),0,1)</f>
        <v>0</v>
      </c>
      <c r="M4182" t="s">
        <v>1165</v>
      </c>
    </row>
    <row r="4183" spans="1:13" x14ac:dyDescent="0.2">
      <c r="A4183" t="s">
        <v>580</v>
      </c>
      <c r="B4183" t="s">
        <v>581</v>
      </c>
      <c r="C4183" t="s">
        <v>7</v>
      </c>
      <c r="D4183">
        <v>1005</v>
      </c>
      <c r="E4183">
        <v>2020</v>
      </c>
      <c r="F4183">
        <v>24</v>
      </c>
      <c r="G4183">
        <v>15705</v>
      </c>
      <c r="H4183" s="1" t="s">
        <v>1831</v>
      </c>
      <c r="I4183">
        <v>2</v>
      </c>
      <c r="J4183">
        <f>IF($H4183=0,1,IF($I4183&lt;=1,2,0))</f>
        <v>0</v>
      </c>
      <c r="K4183">
        <v>0</v>
      </c>
      <c r="L4183">
        <f>IF(AND($J4183=0,$K4183=0),0,1)</f>
        <v>0</v>
      </c>
      <c r="M4183" t="s">
        <v>1165</v>
      </c>
    </row>
    <row r="4184" spans="1:13" x14ac:dyDescent="0.2">
      <c r="A4184" t="s">
        <v>580</v>
      </c>
      <c r="B4184" t="s">
        <v>581</v>
      </c>
      <c r="C4184" t="s">
        <v>7</v>
      </c>
      <c r="D4184">
        <v>1005</v>
      </c>
      <c r="E4184">
        <v>2020</v>
      </c>
      <c r="F4184">
        <v>26</v>
      </c>
      <c r="G4184">
        <v>15707</v>
      </c>
      <c r="H4184" s="1" t="s">
        <v>1831</v>
      </c>
      <c r="I4184">
        <v>2</v>
      </c>
      <c r="J4184">
        <f>IF($H4184=0,1,IF($I4184&lt;=1,2,0))</f>
        <v>0</v>
      </c>
      <c r="K4184">
        <v>0</v>
      </c>
      <c r="L4184">
        <f>IF(AND($J4184=0,$K4184=0),0,1)</f>
        <v>0</v>
      </c>
      <c r="M4184" t="s">
        <v>1165</v>
      </c>
    </row>
    <row r="4185" spans="1:13" x14ac:dyDescent="0.2">
      <c r="A4185" t="s">
        <v>580</v>
      </c>
      <c r="B4185" t="s">
        <v>581</v>
      </c>
      <c r="C4185" t="s">
        <v>7</v>
      </c>
      <c r="D4185">
        <v>1005</v>
      </c>
      <c r="E4185">
        <v>2020</v>
      </c>
      <c r="F4185">
        <v>27</v>
      </c>
      <c r="G4185">
        <v>15708</v>
      </c>
      <c r="H4185" s="1" t="s">
        <v>1831</v>
      </c>
      <c r="I4185">
        <v>2</v>
      </c>
      <c r="J4185">
        <f>IF($H4185=0,1,IF($I4185&lt;=1,2,0))</f>
        <v>0</v>
      </c>
      <c r="K4185">
        <v>0</v>
      </c>
      <c r="L4185">
        <f>IF(AND($J4185=0,$K4185=0),0,1)</f>
        <v>0</v>
      </c>
      <c r="M4185" t="s">
        <v>1165</v>
      </c>
    </row>
    <row r="4186" spans="1:13" x14ac:dyDescent="0.2">
      <c r="A4186" t="s">
        <v>580</v>
      </c>
      <c r="B4186" t="s">
        <v>581</v>
      </c>
      <c r="C4186" t="s">
        <v>7</v>
      </c>
      <c r="D4186">
        <v>1005</v>
      </c>
      <c r="E4186">
        <v>2020</v>
      </c>
      <c r="F4186">
        <v>37</v>
      </c>
      <c r="G4186">
        <v>15716</v>
      </c>
      <c r="H4186" s="1" t="s">
        <v>1831</v>
      </c>
      <c r="I4186">
        <v>2</v>
      </c>
      <c r="J4186">
        <f>IF($H4186=0,1,IF($I4186&lt;=1,2,0))</f>
        <v>0</v>
      </c>
      <c r="K4186">
        <v>0</v>
      </c>
      <c r="L4186">
        <f>IF(AND($J4186=0,$K4186=0),0,1)</f>
        <v>0</v>
      </c>
      <c r="M4186" t="s">
        <v>1165</v>
      </c>
    </row>
    <row r="4187" spans="1:13" x14ac:dyDescent="0.2">
      <c r="A4187" t="s">
        <v>587</v>
      </c>
      <c r="B4187" t="s">
        <v>17</v>
      </c>
      <c r="C4187" t="s">
        <v>21</v>
      </c>
      <c r="D4187">
        <v>1001</v>
      </c>
      <c r="E4187">
        <v>2020</v>
      </c>
      <c r="F4187">
        <v>1</v>
      </c>
      <c r="G4187">
        <v>62</v>
      </c>
      <c r="H4187" s="1">
        <v>3</v>
      </c>
      <c r="I4187">
        <v>30</v>
      </c>
      <c r="J4187">
        <f>IF($H4187=0,1,IF($I4187&lt;=1,2,0))</f>
        <v>0</v>
      </c>
      <c r="K4187">
        <v>0</v>
      </c>
      <c r="L4187">
        <f>IF(AND($J4187=0,$K4187=0),0,1)</f>
        <v>0</v>
      </c>
      <c r="M4187" t="s">
        <v>1169</v>
      </c>
    </row>
    <row r="4188" spans="1:13" x14ac:dyDescent="0.2">
      <c r="A4188" t="s">
        <v>587</v>
      </c>
      <c r="B4188" t="s">
        <v>17</v>
      </c>
      <c r="C4188" t="s">
        <v>21</v>
      </c>
      <c r="D4188">
        <v>1001</v>
      </c>
      <c r="E4188">
        <v>2020</v>
      </c>
      <c r="F4188">
        <v>2</v>
      </c>
      <c r="G4188">
        <v>716</v>
      </c>
      <c r="H4188" s="1">
        <v>3</v>
      </c>
      <c r="I4188">
        <v>20</v>
      </c>
      <c r="J4188">
        <f>IF($H4188=0,1,IF($I4188&lt;=1,2,0))</f>
        <v>0</v>
      </c>
      <c r="K4188">
        <v>0</v>
      </c>
      <c r="L4188">
        <f>IF(AND($J4188=0,$K4188=0),0,1)</f>
        <v>0</v>
      </c>
      <c r="M4188" t="s">
        <v>1169</v>
      </c>
    </row>
    <row r="4189" spans="1:13" x14ac:dyDescent="0.2">
      <c r="A4189" t="s">
        <v>587</v>
      </c>
      <c r="B4189" t="s">
        <v>17</v>
      </c>
      <c r="C4189" t="s">
        <v>7</v>
      </c>
      <c r="D4189">
        <v>1010</v>
      </c>
      <c r="E4189">
        <v>2020</v>
      </c>
      <c r="F4189">
        <v>1</v>
      </c>
      <c r="G4189">
        <v>10362</v>
      </c>
      <c r="H4189" s="1">
        <v>3</v>
      </c>
      <c r="I4189">
        <v>68</v>
      </c>
      <c r="J4189">
        <f>IF($H4189=0,1,IF($I4189&lt;=1,2,0))</f>
        <v>0</v>
      </c>
      <c r="K4189">
        <v>0</v>
      </c>
      <c r="L4189">
        <f>IF(AND($J4189=0,$K4189=0),0,1)</f>
        <v>0</v>
      </c>
    </row>
    <row r="4190" spans="1:13" x14ac:dyDescent="0.2">
      <c r="A4190" t="s">
        <v>587</v>
      </c>
      <c r="B4190" t="s">
        <v>17</v>
      </c>
      <c r="C4190" t="s">
        <v>21</v>
      </c>
      <c r="D4190">
        <v>1401</v>
      </c>
      <c r="E4190">
        <v>2020</v>
      </c>
      <c r="F4190">
        <v>1</v>
      </c>
      <c r="G4190">
        <v>63</v>
      </c>
      <c r="H4190" s="1">
        <v>3</v>
      </c>
      <c r="I4190">
        <v>19</v>
      </c>
      <c r="J4190">
        <f>IF($H4190=0,1,IF($I4190&lt;=1,2,0))</f>
        <v>0</v>
      </c>
      <c r="K4190">
        <v>0</v>
      </c>
      <c r="L4190">
        <f>IF(AND($J4190=0,$K4190=0),0,1)</f>
        <v>0</v>
      </c>
    </row>
    <row r="4191" spans="1:13" x14ac:dyDescent="0.2">
      <c r="A4191" t="s">
        <v>587</v>
      </c>
      <c r="B4191" t="s">
        <v>17</v>
      </c>
      <c r="C4191" t="s">
        <v>21</v>
      </c>
      <c r="D4191">
        <v>2101</v>
      </c>
      <c r="E4191">
        <v>2020</v>
      </c>
      <c r="F4191">
        <v>1</v>
      </c>
      <c r="G4191">
        <v>10361</v>
      </c>
      <c r="H4191" s="1">
        <v>4</v>
      </c>
      <c r="I4191">
        <v>99</v>
      </c>
      <c r="J4191">
        <f>IF($H4191=0,1,IF($I4191&lt;=1,2,0))</f>
        <v>0</v>
      </c>
      <c r="K4191">
        <v>0</v>
      </c>
      <c r="L4191">
        <f>IF(AND($J4191=0,$K4191=0),0,1)</f>
        <v>0</v>
      </c>
    </row>
    <row r="4192" spans="1:13" x14ac:dyDescent="0.2">
      <c r="A4192" t="s">
        <v>587</v>
      </c>
      <c r="B4192" t="s">
        <v>17</v>
      </c>
      <c r="C4192" t="s">
        <v>21</v>
      </c>
      <c r="D4192">
        <v>3264</v>
      </c>
      <c r="E4192">
        <v>2020</v>
      </c>
      <c r="F4192">
        <v>1</v>
      </c>
      <c r="G4192">
        <v>66</v>
      </c>
      <c r="H4192" s="1">
        <v>3</v>
      </c>
      <c r="I4192">
        <v>27</v>
      </c>
      <c r="J4192">
        <f>IF($H4192=0,1,IF($I4192&lt;=1,2,0))</f>
        <v>0</v>
      </c>
      <c r="K4192">
        <v>0</v>
      </c>
      <c r="L4192">
        <f>IF(AND($J4192=0,$K4192=0),0,1)</f>
        <v>0</v>
      </c>
    </row>
    <row r="4193" spans="1:13" x14ac:dyDescent="0.2">
      <c r="A4193" t="s">
        <v>587</v>
      </c>
      <c r="B4193" t="s">
        <v>17</v>
      </c>
      <c r="C4193" t="s">
        <v>21</v>
      </c>
      <c r="D4193">
        <v>3353</v>
      </c>
      <c r="E4193">
        <v>2020</v>
      </c>
      <c r="F4193">
        <v>1</v>
      </c>
      <c r="G4193">
        <v>10366</v>
      </c>
      <c r="H4193" s="1">
        <v>3</v>
      </c>
      <c r="I4193">
        <v>42</v>
      </c>
      <c r="J4193">
        <f>IF($H4193=0,1,IF($I4193&lt;=1,2,0))</f>
        <v>0</v>
      </c>
      <c r="K4193">
        <v>0</v>
      </c>
      <c r="L4193">
        <f>IF(AND($J4193=0,$K4193=0),0,1)</f>
        <v>0</v>
      </c>
    </row>
    <row r="4194" spans="1:13" x14ac:dyDescent="0.2">
      <c r="A4194" t="s">
        <v>587</v>
      </c>
      <c r="B4194" t="s">
        <v>17</v>
      </c>
      <c r="C4194" t="s">
        <v>21</v>
      </c>
      <c r="D4194">
        <v>3411</v>
      </c>
      <c r="E4194">
        <v>2020</v>
      </c>
      <c r="F4194">
        <v>1</v>
      </c>
      <c r="G4194">
        <v>10367</v>
      </c>
      <c r="H4194" s="1">
        <v>4</v>
      </c>
      <c r="I4194">
        <v>87</v>
      </c>
      <c r="J4194">
        <f>IF($H4194=0,1,IF($I4194&lt;=1,2,0))</f>
        <v>0</v>
      </c>
      <c r="K4194">
        <v>0</v>
      </c>
      <c r="L4194">
        <f>IF(AND($J4194=0,$K4194=0),0,1)</f>
        <v>0</v>
      </c>
    </row>
    <row r="4195" spans="1:13" x14ac:dyDescent="0.2">
      <c r="A4195" t="s">
        <v>587</v>
      </c>
      <c r="B4195" t="s">
        <v>17</v>
      </c>
      <c r="C4195" t="s">
        <v>9</v>
      </c>
      <c r="D4195">
        <v>3551</v>
      </c>
      <c r="E4195">
        <v>2020</v>
      </c>
      <c r="F4195">
        <v>1</v>
      </c>
      <c r="G4195">
        <v>10372</v>
      </c>
      <c r="H4195" s="1">
        <v>3</v>
      </c>
      <c r="I4195">
        <v>40</v>
      </c>
      <c r="J4195">
        <f>IF($H4195=0,1,IF($I4195&lt;=1,2,0))</f>
        <v>0</v>
      </c>
      <c r="K4195">
        <v>0</v>
      </c>
      <c r="L4195">
        <f>IF(AND($J4195=0,$K4195=0),0,1)</f>
        <v>0</v>
      </c>
    </row>
    <row r="4196" spans="1:13" x14ac:dyDescent="0.2">
      <c r="A4196" t="s">
        <v>587</v>
      </c>
      <c r="B4196" t="s">
        <v>17</v>
      </c>
      <c r="C4196" t="s">
        <v>21</v>
      </c>
      <c r="D4196">
        <v>3601</v>
      </c>
      <c r="E4196">
        <v>2020</v>
      </c>
      <c r="F4196">
        <v>1</v>
      </c>
      <c r="G4196">
        <v>10373</v>
      </c>
      <c r="H4196" s="1">
        <v>4</v>
      </c>
      <c r="I4196">
        <v>32</v>
      </c>
      <c r="J4196">
        <f>IF($H4196=0,1,IF($I4196&lt;=1,2,0))</f>
        <v>0</v>
      </c>
      <c r="K4196">
        <v>0</v>
      </c>
      <c r="L4196">
        <f>IF(AND($J4196=0,$K4196=0),0,1)</f>
        <v>0</v>
      </c>
    </row>
    <row r="4197" spans="1:13" x14ac:dyDescent="0.2">
      <c r="A4197" t="s">
        <v>587</v>
      </c>
      <c r="B4197" t="s">
        <v>17</v>
      </c>
      <c r="C4197" t="s">
        <v>21</v>
      </c>
      <c r="D4197">
        <v>3716</v>
      </c>
      <c r="E4197">
        <v>2020</v>
      </c>
      <c r="F4197">
        <v>1</v>
      </c>
      <c r="G4197">
        <v>137</v>
      </c>
      <c r="H4197" s="1">
        <v>3</v>
      </c>
      <c r="I4197">
        <v>30</v>
      </c>
      <c r="J4197">
        <f>IF($H4197=0,1,IF($I4197&lt;=1,2,0))</f>
        <v>0</v>
      </c>
      <c r="K4197">
        <v>0</v>
      </c>
      <c r="L4197">
        <f>IF(AND($J4197=0,$K4197=0),0,1)</f>
        <v>0</v>
      </c>
      <c r="M4197" t="s">
        <v>1170</v>
      </c>
    </row>
    <row r="4198" spans="1:13" x14ac:dyDescent="0.2">
      <c r="A4198" t="s">
        <v>587</v>
      </c>
      <c r="B4198" t="s">
        <v>17</v>
      </c>
      <c r="C4198" t="s">
        <v>21</v>
      </c>
      <c r="D4198">
        <v>3752</v>
      </c>
      <c r="E4198">
        <v>2020</v>
      </c>
      <c r="F4198">
        <v>1</v>
      </c>
      <c r="G4198">
        <v>10376</v>
      </c>
      <c r="H4198" s="1">
        <v>3</v>
      </c>
      <c r="I4198">
        <v>62</v>
      </c>
      <c r="J4198">
        <f>IF($H4198=0,1,IF($I4198&lt;=1,2,0))</f>
        <v>0</v>
      </c>
      <c r="K4198">
        <v>0</v>
      </c>
      <c r="L4198">
        <f>IF(AND($J4198=0,$K4198=0),0,1)</f>
        <v>0</v>
      </c>
    </row>
    <row r="4199" spans="1:13" x14ac:dyDescent="0.2">
      <c r="A4199" t="s">
        <v>587</v>
      </c>
      <c r="B4199" t="s">
        <v>17</v>
      </c>
      <c r="C4199" t="s">
        <v>9</v>
      </c>
      <c r="D4199">
        <v>3858</v>
      </c>
      <c r="E4199">
        <v>2020</v>
      </c>
      <c r="F4199">
        <v>1</v>
      </c>
      <c r="G4199">
        <v>15298</v>
      </c>
      <c r="H4199" s="1">
        <v>3</v>
      </c>
      <c r="I4199">
        <v>13</v>
      </c>
      <c r="J4199">
        <f>IF($H4199=0,1,IF($I4199&lt;=1,2,0))</f>
        <v>0</v>
      </c>
      <c r="K4199">
        <v>0</v>
      </c>
      <c r="L4199">
        <f>IF(AND($J4199=0,$K4199=0),0,1)</f>
        <v>0</v>
      </c>
    </row>
    <row r="4200" spans="1:13" x14ac:dyDescent="0.2">
      <c r="A4200" t="s">
        <v>587</v>
      </c>
      <c r="B4200" t="s">
        <v>17</v>
      </c>
      <c r="C4200" t="s">
        <v>7</v>
      </c>
      <c r="D4200">
        <v>3912</v>
      </c>
      <c r="E4200">
        <v>2020</v>
      </c>
      <c r="F4200">
        <v>11</v>
      </c>
      <c r="G4200">
        <v>10490</v>
      </c>
      <c r="H4200" s="1">
        <v>3</v>
      </c>
      <c r="I4200">
        <v>13</v>
      </c>
      <c r="J4200">
        <f>IF($H4200=0,1,IF($I4200&lt;=1,2,0))</f>
        <v>0</v>
      </c>
      <c r="K4200">
        <v>0</v>
      </c>
      <c r="L4200">
        <f>IF(AND($J4200=0,$K4200=0),0,1)</f>
        <v>0</v>
      </c>
      <c r="M4200" t="s">
        <v>1171</v>
      </c>
    </row>
    <row r="4201" spans="1:13" x14ac:dyDescent="0.2">
      <c r="A4201" t="s">
        <v>587</v>
      </c>
      <c r="B4201" t="s">
        <v>17</v>
      </c>
      <c r="C4201" t="s">
        <v>7</v>
      </c>
      <c r="D4201">
        <v>3912</v>
      </c>
      <c r="E4201">
        <v>2020</v>
      </c>
      <c r="F4201">
        <v>14</v>
      </c>
      <c r="G4201">
        <v>138</v>
      </c>
      <c r="H4201" s="1">
        <v>3</v>
      </c>
      <c r="I4201">
        <v>12</v>
      </c>
      <c r="J4201">
        <f>IF($H4201=0,1,IF($I4201&lt;=1,2,0))</f>
        <v>0</v>
      </c>
      <c r="K4201">
        <v>0</v>
      </c>
      <c r="L4201">
        <f>IF(AND($J4201=0,$K4201=0),0,1)</f>
        <v>0</v>
      </c>
      <c r="M4201" t="s">
        <v>2009</v>
      </c>
    </row>
    <row r="4202" spans="1:13" x14ac:dyDescent="0.2">
      <c r="A4202" t="s">
        <v>587</v>
      </c>
      <c r="B4202" t="s">
        <v>17</v>
      </c>
      <c r="C4202" t="s">
        <v>11</v>
      </c>
      <c r="D4202">
        <v>4055</v>
      </c>
      <c r="E4202">
        <v>2020</v>
      </c>
      <c r="F4202">
        <v>1</v>
      </c>
      <c r="G4202">
        <v>10380</v>
      </c>
      <c r="H4202" s="1">
        <v>3</v>
      </c>
      <c r="I4202">
        <v>20</v>
      </c>
      <c r="J4202">
        <f>IF($H4202=0,1,IF($I4202&lt;=1,2,0))</f>
        <v>0</v>
      </c>
      <c r="K4202">
        <v>0</v>
      </c>
      <c r="L4202">
        <f>IF(AND($J4202=0,$K4202=0),0,1)</f>
        <v>0</v>
      </c>
    </row>
    <row r="4203" spans="1:13" x14ac:dyDescent="0.2">
      <c r="A4203" t="s">
        <v>587</v>
      </c>
      <c r="B4203" t="s">
        <v>17</v>
      </c>
      <c r="C4203" t="s">
        <v>11</v>
      </c>
      <c r="D4203">
        <v>4424</v>
      </c>
      <c r="E4203">
        <v>2020</v>
      </c>
      <c r="F4203">
        <v>1</v>
      </c>
      <c r="G4203">
        <v>15254</v>
      </c>
      <c r="H4203" s="1">
        <v>3</v>
      </c>
      <c r="I4203">
        <v>11</v>
      </c>
      <c r="J4203">
        <f>IF($H4203=0,1,IF($I4203&lt;=1,2,0))</f>
        <v>0</v>
      </c>
      <c r="K4203">
        <v>0</v>
      </c>
      <c r="L4203">
        <f>IF(AND($J4203=0,$K4203=0),0,1)</f>
        <v>0</v>
      </c>
    </row>
    <row r="4204" spans="1:13" x14ac:dyDescent="0.2">
      <c r="A4204" t="s">
        <v>587</v>
      </c>
      <c r="B4204" t="s">
        <v>17</v>
      </c>
      <c r="C4204" t="s">
        <v>11</v>
      </c>
      <c r="D4204">
        <v>4561</v>
      </c>
      <c r="E4204">
        <v>2020</v>
      </c>
      <c r="F4204">
        <v>1</v>
      </c>
      <c r="G4204">
        <v>10381</v>
      </c>
      <c r="H4204" s="1">
        <v>3</v>
      </c>
      <c r="I4204">
        <v>18</v>
      </c>
      <c r="J4204">
        <f>IF($H4204=0,1,IF($I4204&lt;=1,2,0))</f>
        <v>0</v>
      </c>
      <c r="K4204">
        <v>0</v>
      </c>
      <c r="L4204">
        <f>IF(AND($J4204=0,$K4204=0),0,1)</f>
        <v>0</v>
      </c>
    </row>
    <row r="4205" spans="1:13" x14ac:dyDescent="0.2">
      <c r="A4205" t="s">
        <v>587</v>
      </c>
      <c r="B4205" t="s">
        <v>17</v>
      </c>
      <c r="C4205" t="s">
        <v>11</v>
      </c>
      <c r="D4205">
        <v>4900</v>
      </c>
      <c r="E4205">
        <v>2020</v>
      </c>
      <c r="F4205">
        <v>1</v>
      </c>
      <c r="G4205">
        <v>10377</v>
      </c>
      <c r="H4205" s="1">
        <v>3</v>
      </c>
      <c r="I4205">
        <v>10</v>
      </c>
      <c r="J4205">
        <f>IF($H4205=0,1,IF($I4205&lt;=1,2,0))</f>
        <v>0</v>
      </c>
      <c r="K4205">
        <v>0</v>
      </c>
      <c r="L4205">
        <f>IF(AND($J4205=0,$K4205=0),0,1)</f>
        <v>0</v>
      </c>
    </row>
    <row r="4206" spans="1:13" x14ac:dyDescent="0.2">
      <c r="A4206" t="s">
        <v>587</v>
      </c>
      <c r="B4206" t="s">
        <v>17</v>
      </c>
      <c r="C4206" t="s">
        <v>11</v>
      </c>
      <c r="D4206">
        <v>5415</v>
      </c>
      <c r="E4206">
        <v>2020</v>
      </c>
      <c r="F4206">
        <v>1</v>
      </c>
      <c r="G4206">
        <v>10371</v>
      </c>
      <c r="H4206" s="1">
        <v>4</v>
      </c>
      <c r="I4206">
        <v>3</v>
      </c>
      <c r="J4206">
        <f>IF($H4206=0,1,IF($I4206&lt;=1,2,0))</f>
        <v>0</v>
      </c>
      <c r="K4206">
        <v>0</v>
      </c>
      <c r="L4206">
        <f>IF(AND($J4206=0,$K4206=0),0,1)</f>
        <v>0</v>
      </c>
    </row>
    <row r="4207" spans="1:13" x14ac:dyDescent="0.2">
      <c r="A4207" t="s">
        <v>587</v>
      </c>
      <c r="B4207" t="s">
        <v>17</v>
      </c>
      <c r="C4207" t="s">
        <v>11</v>
      </c>
      <c r="D4207">
        <v>6720</v>
      </c>
      <c r="E4207">
        <v>2020</v>
      </c>
      <c r="F4207">
        <v>1</v>
      </c>
      <c r="G4207">
        <v>11603</v>
      </c>
      <c r="H4207" s="1">
        <v>3</v>
      </c>
      <c r="I4207">
        <v>10</v>
      </c>
      <c r="J4207">
        <f>IF($H4207=0,1,IF($I4207&lt;=1,2,0))</f>
        <v>0</v>
      </c>
      <c r="K4207">
        <v>0</v>
      </c>
      <c r="L4207">
        <f>IF(AND($J4207=0,$K4207=0),0,1)</f>
        <v>0</v>
      </c>
      <c r="M4207" t="s">
        <v>1172</v>
      </c>
    </row>
    <row r="4208" spans="1:13" x14ac:dyDescent="0.2">
      <c r="A4208" t="s">
        <v>587</v>
      </c>
      <c r="B4208" t="s">
        <v>17</v>
      </c>
      <c r="C4208" t="s">
        <v>11</v>
      </c>
      <c r="D4208">
        <v>6730</v>
      </c>
      <c r="E4208">
        <v>2020</v>
      </c>
      <c r="F4208">
        <v>1</v>
      </c>
      <c r="G4208">
        <v>11585</v>
      </c>
      <c r="H4208" s="1">
        <v>3</v>
      </c>
      <c r="I4208">
        <v>11</v>
      </c>
      <c r="J4208">
        <f>IF($H4208=0,1,IF($I4208&lt;=1,2,0))</f>
        <v>0</v>
      </c>
      <c r="K4208">
        <v>0</v>
      </c>
      <c r="L4208">
        <f>IF(AND($J4208=0,$K4208=0),0,1)</f>
        <v>0</v>
      </c>
    </row>
    <row r="4209" spans="1:13" x14ac:dyDescent="0.2">
      <c r="A4209" t="s">
        <v>587</v>
      </c>
      <c r="B4209" t="s">
        <v>17</v>
      </c>
      <c r="C4209" t="s">
        <v>11</v>
      </c>
      <c r="D4209">
        <v>6880</v>
      </c>
      <c r="E4209">
        <v>2020</v>
      </c>
      <c r="F4209">
        <v>1</v>
      </c>
      <c r="G4209">
        <v>10378</v>
      </c>
      <c r="H4209" s="1">
        <v>3</v>
      </c>
      <c r="I4209">
        <v>6</v>
      </c>
      <c r="J4209">
        <f>IF($H4209=0,1,IF($I4209&lt;=1,2,0))</f>
        <v>0</v>
      </c>
      <c r="K4209">
        <v>0</v>
      </c>
      <c r="L4209">
        <f>IF(AND($J4209=0,$K4209=0),0,1)</f>
        <v>0</v>
      </c>
    </row>
    <row r="4210" spans="1:13" x14ac:dyDescent="0.2">
      <c r="A4210" t="s">
        <v>589</v>
      </c>
      <c r="B4210" t="s">
        <v>133</v>
      </c>
      <c r="C4210" t="s">
        <v>9</v>
      </c>
      <c r="D4210">
        <v>1111</v>
      </c>
      <c r="E4210">
        <v>2020</v>
      </c>
      <c r="F4210">
        <v>1</v>
      </c>
      <c r="G4210">
        <v>13416</v>
      </c>
      <c r="H4210" s="1">
        <v>3</v>
      </c>
      <c r="I4210">
        <v>146</v>
      </c>
      <c r="J4210">
        <f>IF($H4210=0,1,IF($I4210&lt;=1,2,0))</f>
        <v>0</v>
      </c>
      <c r="K4210">
        <v>0</v>
      </c>
      <c r="L4210">
        <f>IF(AND($J4210=0,$K4210=0),0,1)</f>
        <v>0</v>
      </c>
    </row>
    <row r="4211" spans="1:13" x14ac:dyDescent="0.2">
      <c r="A4211" t="s">
        <v>589</v>
      </c>
      <c r="B4211" t="s">
        <v>133</v>
      </c>
      <c r="C4211" t="s">
        <v>9</v>
      </c>
      <c r="D4211">
        <v>1201</v>
      </c>
      <c r="E4211">
        <v>2020</v>
      </c>
      <c r="F4211">
        <v>1</v>
      </c>
      <c r="G4211">
        <v>13409</v>
      </c>
      <c r="H4211" s="1">
        <v>3</v>
      </c>
      <c r="I4211">
        <v>184</v>
      </c>
      <c r="J4211">
        <f>IF($H4211=0,1,IF($I4211&lt;=1,2,0))</f>
        <v>0</v>
      </c>
      <c r="K4211">
        <v>0</v>
      </c>
      <c r="L4211">
        <f>IF(AND($J4211=0,$K4211=0),0,1)</f>
        <v>0</v>
      </c>
      <c r="M4211" t="s">
        <v>590</v>
      </c>
    </row>
    <row r="4212" spans="1:13" x14ac:dyDescent="0.2">
      <c r="A4212" t="s">
        <v>589</v>
      </c>
      <c r="B4212" t="s">
        <v>133</v>
      </c>
      <c r="C4212" t="s">
        <v>9</v>
      </c>
      <c r="D4212">
        <v>1201</v>
      </c>
      <c r="E4212">
        <v>2020</v>
      </c>
      <c r="F4212">
        <v>2</v>
      </c>
      <c r="G4212">
        <v>13410</v>
      </c>
      <c r="H4212" s="1">
        <v>3</v>
      </c>
      <c r="I4212">
        <v>104</v>
      </c>
      <c r="J4212">
        <f>IF($H4212=0,1,IF($I4212&lt;=1,2,0))</f>
        <v>0</v>
      </c>
      <c r="K4212">
        <v>0</v>
      </c>
      <c r="L4212">
        <f>IF(AND($J4212=0,$K4212=0),0,1)</f>
        <v>0</v>
      </c>
      <c r="M4212" t="s">
        <v>590</v>
      </c>
    </row>
    <row r="4213" spans="1:13" x14ac:dyDescent="0.2">
      <c r="A4213" t="s">
        <v>589</v>
      </c>
      <c r="B4213" t="s">
        <v>133</v>
      </c>
      <c r="C4213" t="s">
        <v>9</v>
      </c>
      <c r="D4213">
        <v>1401</v>
      </c>
      <c r="E4213">
        <v>2020</v>
      </c>
      <c r="F4213">
        <v>2</v>
      </c>
      <c r="G4213">
        <v>13413</v>
      </c>
      <c r="H4213" s="1">
        <v>3</v>
      </c>
      <c r="I4213">
        <v>197</v>
      </c>
      <c r="J4213">
        <f>IF($H4213=0,1,IF($I4213&lt;=1,2,0))</f>
        <v>0</v>
      </c>
      <c r="K4213">
        <v>0</v>
      </c>
      <c r="L4213">
        <f>IF(AND($J4213=0,$K4213=0),0,1)</f>
        <v>0</v>
      </c>
      <c r="M4213" t="s">
        <v>592</v>
      </c>
    </row>
    <row r="4214" spans="1:13" x14ac:dyDescent="0.2">
      <c r="A4214" t="s">
        <v>589</v>
      </c>
      <c r="B4214" t="s">
        <v>133</v>
      </c>
      <c r="C4214" t="s">
        <v>7</v>
      </c>
      <c r="D4214">
        <v>1403</v>
      </c>
      <c r="E4214">
        <v>2020</v>
      </c>
      <c r="F4214">
        <v>1</v>
      </c>
      <c r="G4214">
        <v>13415</v>
      </c>
      <c r="H4214" s="1">
        <v>3</v>
      </c>
      <c r="I4214">
        <v>110</v>
      </c>
      <c r="J4214">
        <f>IF($H4214=0,1,IF($I4214&lt;=1,2,0))</f>
        <v>0</v>
      </c>
      <c r="K4214">
        <v>0</v>
      </c>
      <c r="L4214">
        <f>IF(AND($J4214=0,$K4214=0),0,1)</f>
        <v>0</v>
      </c>
    </row>
    <row r="4215" spans="1:13" x14ac:dyDescent="0.2">
      <c r="A4215" t="s">
        <v>589</v>
      </c>
      <c r="B4215" t="s">
        <v>133</v>
      </c>
      <c r="C4215" t="s">
        <v>9</v>
      </c>
      <c r="D4215">
        <v>1494</v>
      </c>
      <c r="E4215">
        <v>2020</v>
      </c>
      <c r="F4215">
        <v>3</v>
      </c>
      <c r="G4215">
        <v>13929</v>
      </c>
      <c r="H4215" s="1">
        <v>3</v>
      </c>
      <c r="I4215">
        <v>12</v>
      </c>
      <c r="J4215">
        <f>IF($H4215=0,1,IF($I4215&lt;=1,2,0))</f>
        <v>0</v>
      </c>
      <c r="K4215">
        <v>0</v>
      </c>
      <c r="L4215">
        <f>IF(AND($J4215=0,$K4215=0),0,1)</f>
        <v>0</v>
      </c>
      <c r="M4215" t="s">
        <v>1178</v>
      </c>
    </row>
    <row r="4216" spans="1:13" x14ac:dyDescent="0.2">
      <c r="A4216" t="s">
        <v>589</v>
      </c>
      <c r="B4216" t="s">
        <v>133</v>
      </c>
      <c r="C4216" t="s">
        <v>9</v>
      </c>
      <c r="D4216">
        <v>1494</v>
      </c>
      <c r="E4216">
        <v>2020</v>
      </c>
      <c r="F4216">
        <v>2</v>
      </c>
      <c r="G4216">
        <v>13928</v>
      </c>
      <c r="H4216" s="1">
        <v>3</v>
      </c>
      <c r="I4216">
        <v>11</v>
      </c>
      <c r="J4216">
        <f>IF($H4216=0,1,IF($I4216&lt;=1,2,0))</f>
        <v>0</v>
      </c>
      <c r="K4216">
        <v>0</v>
      </c>
      <c r="L4216">
        <f>IF(AND($J4216=0,$K4216=0),0,1)</f>
        <v>0</v>
      </c>
      <c r="M4216" t="s">
        <v>1178</v>
      </c>
    </row>
    <row r="4217" spans="1:13" x14ac:dyDescent="0.2">
      <c r="A4217" t="s">
        <v>589</v>
      </c>
      <c r="B4217" t="s">
        <v>133</v>
      </c>
      <c r="C4217" t="s">
        <v>9</v>
      </c>
      <c r="D4217">
        <v>1494</v>
      </c>
      <c r="E4217">
        <v>2020</v>
      </c>
      <c r="F4217">
        <v>4</v>
      </c>
      <c r="G4217">
        <v>13930</v>
      </c>
      <c r="H4217" s="1">
        <v>3</v>
      </c>
      <c r="I4217">
        <v>11</v>
      </c>
      <c r="J4217">
        <f>IF($H4217=0,1,IF($I4217&lt;=1,2,0))</f>
        <v>0</v>
      </c>
      <c r="K4217">
        <v>0</v>
      </c>
      <c r="L4217">
        <f>IF(AND($J4217=0,$K4217=0),0,1)</f>
        <v>0</v>
      </c>
      <c r="M4217" t="s">
        <v>1178</v>
      </c>
    </row>
    <row r="4218" spans="1:13" x14ac:dyDescent="0.2">
      <c r="A4218" t="s">
        <v>589</v>
      </c>
      <c r="B4218" t="s">
        <v>133</v>
      </c>
      <c r="C4218" t="s">
        <v>9</v>
      </c>
      <c r="D4218">
        <v>1494</v>
      </c>
      <c r="E4218">
        <v>2020</v>
      </c>
      <c r="F4218">
        <v>5</v>
      </c>
      <c r="G4218">
        <v>21621</v>
      </c>
      <c r="H4218" s="1">
        <v>3</v>
      </c>
      <c r="I4218">
        <v>11</v>
      </c>
      <c r="J4218">
        <f>IF($H4218=0,1,IF($I4218&lt;=1,2,0))</f>
        <v>0</v>
      </c>
      <c r="K4218">
        <v>0</v>
      </c>
      <c r="L4218">
        <f>IF(AND($J4218=0,$K4218=0),0,1)</f>
        <v>0</v>
      </c>
      <c r="M4218" t="s">
        <v>1178</v>
      </c>
    </row>
    <row r="4219" spans="1:13" x14ac:dyDescent="0.2">
      <c r="A4219" t="s">
        <v>589</v>
      </c>
      <c r="B4219" t="s">
        <v>133</v>
      </c>
      <c r="C4219" t="s">
        <v>9</v>
      </c>
      <c r="D4219">
        <v>1494</v>
      </c>
      <c r="E4219">
        <v>2020</v>
      </c>
      <c r="F4219">
        <v>7</v>
      </c>
      <c r="G4219">
        <v>13932</v>
      </c>
      <c r="H4219" s="1">
        <v>3</v>
      </c>
      <c r="I4219">
        <v>11</v>
      </c>
      <c r="J4219">
        <f>IF($H4219=0,1,IF($I4219&lt;=1,2,0))</f>
        <v>0</v>
      </c>
      <c r="K4219">
        <v>0</v>
      </c>
      <c r="L4219">
        <f>IF(AND($J4219=0,$K4219=0),0,1)</f>
        <v>0</v>
      </c>
      <c r="M4219" t="s">
        <v>1178</v>
      </c>
    </row>
    <row r="4220" spans="1:13" x14ac:dyDescent="0.2">
      <c r="A4220" t="s">
        <v>589</v>
      </c>
      <c r="B4220" t="s">
        <v>133</v>
      </c>
      <c r="C4220" t="s">
        <v>9</v>
      </c>
      <c r="D4220">
        <v>1494</v>
      </c>
      <c r="E4220">
        <v>2020</v>
      </c>
      <c r="F4220">
        <v>12</v>
      </c>
      <c r="G4220">
        <v>13936</v>
      </c>
      <c r="H4220" s="1">
        <v>3</v>
      </c>
      <c r="I4220">
        <v>11</v>
      </c>
      <c r="J4220">
        <f>IF($H4220=0,1,IF($I4220&lt;=1,2,0))</f>
        <v>0</v>
      </c>
      <c r="K4220">
        <v>0</v>
      </c>
      <c r="L4220">
        <f>IF(AND($J4220=0,$K4220=0),0,1)</f>
        <v>0</v>
      </c>
      <c r="M4220" t="s">
        <v>1178</v>
      </c>
    </row>
    <row r="4221" spans="1:13" x14ac:dyDescent="0.2">
      <c r="A4221" t="s">
        <v>589</v>
      </c>
      <c r="B4221" t="s">
        <v>133</v>
      </c>
      <c r="C4221" t="s">
        <v>9</v>
      </c>
      <c r="D4221">
        <v>1494</v>
      </c>
      <c r="E4221">
        <v>2020</v>
      </c>
      <c r="F4221">
        <v>1</v>
      </c>
      <c r="G4221">
        <v>13927</v>
      </c>
      <c r="H4221" s="1">
        <v>3</v>
      </c>
      <c r="I4221">
        <v>9</v>
      </c>
      <c r="J4221">
        <f>IF($H4221=0,1,IF($I4221&lt;=1,2,0))</f>
        <v>0</v>
      </c>
      <c r="K4221">
        <v>0</v>
      </c>
      <c r="L4221">
        <f>IF(AND($J4221=0,$K4221=0),0,1)</f>
        <v>0</v>
      </c>
      <c r="M4221" t="s">
        <v>1178</v>
      </c>
    </row>
    <row r="4222" spans="1:13" x14ac:dyDescent="0.2">
      <c r="A4222" t="s">
        <v>589</v>
      </c>
      <c r="B4222" t="s">
        <v>133</v>
      </c>
      <c r="C4222" t="s">
        <v>9</v>
      </c>
      <c r="D4222">
        <v>1494</v>
      </c>
      <c r="E4222">
        <v>2020</v>
      </c>
      <c r="F4222">
        <v>6</v>
      </c>
      <c r="G4222">
        <v>13931</v>
      </c>
      <c r="H4222" s="1">
        <v>3</v>
      </c>
      <c r="I4222">
        <v>9</v>
      </c>
      <c r="J4222">
        <f>IF($H4222=0,1,IF($I4222&lt;=1,2,0))</f>
        <v>0</v>
      </c>
      <c r="K4222">
        <v>0</v>
      </c>
      <c r="L4222">
        <f>IF(AND($J4222=0,$K4222=0),0,1)</f>
        <v>0</v>
      </c>
      <c r="M4222" t="s">
        <v>1178</v>
      </c>
    </row>
    <row r="4223" spans="1:13" x14ac:dyDescent="0.2">
      <c r="A4223" t="s">
        <v>589</v>
      </c>
      <c r="B4223" t="s">
        <v>133</v>
      </c>
      <c r="C4223" t="s">
        <v>9</v>
      </c>
      <c r="D4223">
        <v>1494</v>
      </c>
      <c r="E4223">
        <v>2020</v>
      </c>
      <c r="F4223">
        <v>9</v>
      </c>
      <c r="G4223">
        <v>13933</v>
      </c>
      <c r="H4223" s="1">
        <v>3</v>
      </c>
      <c r="I4223">
        <v>9</v>
      </c>
      <c r="J4223">
        <f>IF($H4223=0,1,IF($I4223&lt;=1,2,0))</f>
        <v>0</v>
      </c>
      <c r="K4223">
        <v>0</v>
      </c>
      <c r="L4223">
        <f>IF(AND($J4223=0,$K4223=0),0,1)</f>
        <v>0</v>
      </c>
      <c r="M4223" t="s">
        <v>1178</v>
      </c>
    </row>
    <row r="4224" spans="1:13" x14ac:dyDescent="0.2">
      <c r="A4224" t="s">
        <v>589</v>
      </c>
      <c r="B4224" t="s">
        <v>133</v>
      </c>
      <c r="C4224" t="s">
        <v>9</v>
      </c>
      <c r="D4224">
        <v>1494</v>
      </c>
      <c r="E4224">
        <v>2020</v>
      </c>
      <c r="F4224">
        <v>11</v>
      </c>
      <c r="G4224">
        <v>13935</v>
      </c>
      <c r="H4224" s="1">
        <v>3</v>
      </c>
      <c r="I4224">
        <v>9</v>
      </c>
      <c r="J4224">
        <f>IF($H4224=0,1,IF($I4224&lt;=1,2,0))</f>
        <v>0</v>
      </c>
      <c r="K4224">
        <v>0</v>
      </c>
      <c r="L4224">
        <f>IF(AND($J4224=0,$K4224=0),0,1)</f>
        <v>0</v>
      </c>
      <c r="M4224" t="s">
        <v>1178</v>
      </c>
    </row>
    <row r="4225" spans="1:13" x14ac:dyDescent="0.2">
      <c r="A4225" t="s">
        <v>589</v>
      </c>
      <c r="B4225" t="s">
        <v>133</v>
      </c>
      <c r="C4225" t="s">
        <v>9</v>
      </c>
      <c r="D4225">
        <v>1494</v>
      </c>
      <c r="E4225">
        <v>2020</v>
      </c>
      <c r="F4225">
        <v>10</v>
      </c>
      <c r="G4225">
        <v>13934</v>
      </c>
      <c r="H4225" s="1">
        <v>3</v>
      </c>
      <c r="I4225">
        <v>6</v>
      </c>
      <c r="J4225">
        <f>IF($H4225=0,1,IF($I4225&lt;=1,2,0))</f>
        <v>0</v>
      </c>
      <c r="K4225">
        <v>0</v>
      </c>
      <c r="L4225">
        <f>IF(AND($J4225=0,$K4225=0),0,1)</f>
        <v>0</v>
      </c>
      <c r="M4225" t="s">
        <v>1178</v>
      </c>
    </row>
    <row r="4226" spans="1:13" x14ac:dyDescent="0.2">
      <c r="A4226" t="s">
        <v>589</v>
      </c>
      <c r="B4226" t="s">
        <v>133</v>
      </c>
      <c r="C4226" t="s">
        <v>9</v>
      </c>
      <c r="D4226">
        <v>1601</v>
      </c>
      <c r="E4226">
        <v>2020</v>
      </c>
      <c r="F4226">
        <v>1</v>
      </c>
      <c r="G4226">
        <v>13417</v>
      </c>
      <c r="H4226" s="1">
        <v>3.5</v>
      </c>
      <c r="I4226">
        <v>187</v>
      </c>
      <c r="J4226">
        <f>IF($H4226=0,1,IF($I4226&lt;=1,2,0))</f>
        <v>0</v>
      </c>
      <c r="K4226">
        <v>0</v>
      </c>
      <c r="L4226">
        <f>IF(AND($J4226=0,$K4226=0),0,1)</f>
        <v>0</v>
      </c>
      <c r="M4226" t="s">
        <v>594</v>
      </c>
    </row>
    <row r="4227" spans="1:13" x14ac:dyDescent="0.2">
      <c r="A4227" t="s">
        <v>589</v>
      </c>
      <c r="B4227" t="s">
        <v>133</v>
      </c>
      <c r="C4227" t="s">
        <v>9</v>
      </c>
      <c r="D4227">
        <v>2601</v>
      </c>
      <c r="E4227">
        <v>2020</v>
      </c>
      <c r="F4227">
        <v>1</v>
      </c>
      <c r="G4227">
        <v>13418</v>
      </c>
      <c r="H4227" s="1">
        <v>3.5</v>
      </c>
      <c r="I4227">
        <v>64</v>
      </c>
      <c r="J4227">
        <f>IF($H4227=0,1,IF($I4227&lt;=1,2,0))</f>
        <v>0</v>
      </c>
      <c r="K4227">
        <v>0</v>
      </c>
      <c r="L4227">
        <f>IF(AND($J4227=0,$K4227=0),0,1)</f>
        <v>0</v>
      </c>
      <c r="M4227" t="s">
        <v>597</v>
      </c>
    </row>
    <row r="4228" spans="1:13" x14ac:dyDescent="0.2">
      <c r="A4228" t="s">
        <v>589</v>
      </c>
      <c r="B4228" t="s">
        <v>133</v>
      </c>
      <c r="C4228" t="s">
        <v>9</v>
      </c>
      <c r="D4228">
        <v>2801</v>
      </c>
      <c r="E4228">
        <v>2020</v>
      </c>
      <c r="F4228">
        <v>1</v>
      </c>
      <c r="G4228">
        <v>13419</v>
      </c>
      <c r="H4228" s="1">
        <v>4.5</v>
      </c>
      <c r="I4228">
        <v>51</v>
      </c>
      <c r="J4228">
        <f>IF($H4228=0,1,IF($I4228&lt;=1,2,0))</f>
        <v>0</v>
      </c>
      <c r="K4228">
        <v>0</v>
      </c>
      <c r="L4228">
        <f>IF(AND($J4228=0,$K4228=0),0,1)</f>
        <v>0</v>
      </c>
      <c r="M4228" t="s">
        <v>598</v>
      </c>
    </row>
    <row r="4229" spans="1:13" x14ac:dyDescent="0.2">
      <c r="A4229" t="s">
        <v>589</v>
      </c>
      <c r="B4229" t="s">
        <v>133</v>
      </c>
      <c r="C4229" t="s">
        <v>9</v>
      </c>
      <c r="D4229">
        <v>3007</v>
      </c>
      <c r="E4229">
        <v>2020</v>
      </c>
      <c r="F4229">
        <v>1</v>
      </c>
      <c r="G4229">
        <v>13420</v>
      </c>
      <c r="H4229" s="1">
        <v>3</v>
      </c>
      <c r="I4229">
        <v>57</v>
      </c>
      <c r="J4229">
        <f>IF($H4229=0,1,IF($I4229&lt;=1,2,0))</f>
        <v>0</v>
      </c>
      <c r="K4229">
        <v>0</v>
      </c>
      <c r="L4229">
        <f>IF(AND($J4229=0,$K4229=0),0,1)</f>
        <v>0</v>
      </c>
    </row>
    <row r="4230" spans="1:13" x14ac:dyDescent="0.2">
      <c r="A4230" t="s">
        <v>589</v>
      </c>
      <c r="B4230" t="s">
        <v>133</v>
      </c>
      <c r="C4230" t="s">
        <v>9</v>
      </c>
      <c r="D4230">
        <v>4019</v>
      </c>
      <c r="E4230">
        <v>2020</v>
      </c>
      <c r="F4230">
        <v>1</v>
      </c>
      <c r="G4230">
        <v>13427</v>
      </c>
      <c r="H4230" s="1">
        <v>3</v>
      </c>
      <c r="I4230">
        <v>20</v>
      </c>
      <c r="J4230">
        <f>IF($H4230=0,1,IF($I4230&lt;=1,2,0))</f>
        <v>0</v>
      </c>
      <c r="K4230">
        <v>0</v>
      </c>
      <c r="L4230">
        <f>IF(AND($J4230=0,$K4230=0),0,1)</f>
        <v>0</v>
      </c>
    </row>
    <row r="4231" spans="1:13" x14ac:dyDescent="0.2">
      <c r="A4231" t="s">
        <v>589</v>
      </c>
      <c r="B4231" t="s">
        <v>133</v>
      </c>
      <c r="C4231" t="s">
        <v>9</v>
      </c>
      <c r="D4231">
        <v>4021</v>
      </c>
      <c r="E4231">
        <v>2020</v>
      </c>
      <c r="F4231">
        <v>1</v>
      </c>
      <c r="G4231">
        <v>13429</v>
      </c>
      <c r="H4231" s="1">
        <v>3</v>
      </c>
      <c r="I4231">
        <v>31</v>
      </c>
      <c r="J4231">
        <f>IF($H4231=0,1,IF($I4231&lt;=1,2,0))</f>
        <v>0</v>
      </c>
      <c r="K4231">
        <v>0</v>
      </c>
      <c r="L4231">
        <f>IF(AND($J4231=0,$K4231=0),0,1)</f>
        <v>0</v>
      </c>
    </row>
    <row r="4232" spans="1:13" x14ac:dyDescent="0.2">
      <c r="A4232" t="s">
        <v>589</v>
      </c>
      <c r="B4232" t="s">
        <v>133</v>
      </c>
      <c r="C4232" t="s">
        <v>9</v>
      </c>
      <c r="D4232">
        <v>4023</v>
      </c>
      <c r="E4232">
        <v>2020</v>
      </c>
      <c r="F4232">
        <v>1</v>
      </c>
      <c r="G4232">
        <v>13430</v>
      </c>
      <c r="H4232" s="1">
        <v>3</v>
      </c>
      <c r="I4232">
        <v>27</v>
      </c>
      <c r="J4232">
        <f>IF($H4232=0,1,IF($I4232&lt;=1,2,0))</f>
        <v>0</v>
      </c>
      <c r="K4232">
        <v>0</v>
      </c>
      <c r="L4232">
        <f>IF(AND($J4232=0,$K4232=0),0,1)</f>
        <v>0</v>
      </c>
    </row>
    <row r="4233" spans="1:13" x14ac:dyDescent="0.2">
      <c r="A4233" t="s">
        <v>589</v>
      </c>
      <c r="B4233" t="s">
        <v>133</v>
      </c>
      <c r="C4233" t="s">
        <v>9</v>
      </c>
      <c r="D4233">
        <v>4040</v>
      </c>
      <c r="E4233">
        <v>2020</v>
      </c>
      <c r="F4233">
        <v>1</v>
      </c>
      <c r="G4233">
        <v>13432</v>
      </c>
      <c r="H4233" s="1">
        <v>3</v>
      </c>
      <c r="I4233">
        <v>21</v>
      </c>
      <c r="J4233">
        <f>IF($H4233=0,1,IF($I4233&lt;=1,2,0))</f>
        <v>0</v>
      </c>
      <c r="K4233">
        <v>0</v>
      </c>
      <c r="L4233">
        <f>IF(AND($J4233=0,$K4233=0),0,1)</f>
        <v>0</v>
      </c>
    </row>
    <row r="4234" spans="1:13" x14ac:dyDescent="0.2">
      <c r="A4234" t="s">
        <v>589</v>
      </c>
      <c r="B4234" t="s">
        <v>133</v>
      </c>
      <c r="C4234" t="s">
        <v>11</v>
      </c>
      <c r="D4234">
        <v>6010</v>
      </c>
      <c r="E4234">
        <v>2020</v>
      </c>
      <c r="F4234">
        <v>1</v>
      </c>
      <c r="G4234">
        <v>13478</v>
      </c>
      <c r="H4234" s="1">
        <v>3</v>
      </c>
      <c r="I4234">
        <v>11</v>
      </c>
      <c r="J4234">
        <f>IF($H4234=0,1,IF($I4234&lt;=1,2,0))</f>
        <v>0</v>
      </c>
      <c r="K4234">
        <v>0</v>
      </c>
      <c r="L4234">
        <f>IF(AND($J4234=0,$K4234=0),0,1)</f>
        <v>0</v>
      </c>
    </row>
    <row r="4235" spans="1:13" x14ac:dyDescent="0.2">
      <c r="A4235" t="s">
        <v>589</v>
      </c>
      <c r="B4235" t="s">
        <v>133</v>
      </c>
      <c r="C4235" t="s">
        <v>11</v>
      </c>
      <c r="D4235">
        <v>6036</v>
      </c>
      <c r="E4235">
        <v>2020</v>
      </c>
      <c r="F4235">
        <v>1</v>
      </c>
      <c r="G4235">
        <v>13480</v>
      </c>
      <c r="H4235" s="1">
        <v>4.5</v>
      </c>
      <c r="I4235">
        <v>20</v>
      </c>
      <c r="J4235">
        <f>IF($H4235=0,1,IF($I4235&lt;=1,2,0))</f>
        <v>0</v>
      </c>
      <c r="K4235">
        <v>0</v>
      </c>
      <c r="L4235">
        <f>IF(AND($J4235=0,$K4235=0),0,1)</f>
        <v>0</v>
      </c>
    </row>
    <row r="4236" spans="1:13" x14ac:dyDescent="0.2">
      <c r="A4236" t="s">
        <v>589</v>
      </c>
      <c r="B4236" t="s">
        <v>133</v>
      </c>
      <c r="C4236" t="s">
        <v>11</v>
      </c>
      <c r="D4236">
        <v>6037</v>
      </c>
      <c r="E4236">
        <v>2020</v>
      </c>
      <c r="F4236">
        <v>1</v>
      </c>
      <c r="G4236">
        <v>13482</v>
      </c>
      <c r="H4236" s="1">
        <v>4.5</v>
      </c>
      <c r="I4236">
        <v>36</v>
      </c>
      <c r="J4236">
        <f>IF($H4236=0,1,IF($I4236&lt;=1,2,0))</f>
        <v>0</v>
      </c>
      <c r="K4236">
        <v>0</v>
      </c>
      <c r="L4236">
        <f>IF(AND($J4236=0,$K4236=0),0,1)</f>
        <v>0</v>
      </c>
    </row>
    <row r="4237" spans="1:13" x14ac:dyDescent="0.2">
      <c r="A4237" t="s">
        <v>589</v>
      </c>
      <c r="B4237" t="s">
        <v>133</v>
      </c>
      <c r="C4237" t="s">
        <v>11</v>
      </c>
      <c r="D4237">
        <v>6050</v>
      </c>
      <c r="E4237">
        <v>2020</v>
      </c>
      <c r="F4237">
        <v>1</v>
      </c>
      <c r="G4237">
        <v>13483</v>
      </c>
      <c r="H4237" s="1">
        <v>3</v>
      </c>
      <c r="I4237">
        <v>3</v>
      </c>
      <c r="J4237">
        <f>IF($H4237=0,1,IF($I4237&lt;=1,2,0))</f>
        <v>0</v>
      </c>
      <c r="K4237">
        <v>0</v>
      </c>
      <c r="L4237">
        <f>IF(AND($J4237=0,$K4237=0),0,1)</f>
        <v>0</v>
      </c>
    </row>
    <row r="4238" spans="1:13" x14ac:dyDescent="0.2">
      <c r="A4238" t="s">
        <v>589</v>
      </c>
      <c r="B4238" t="s">
        <v>133</v>
      </c>
      <c r="C4238" t="s">
        <v>11</v>
      </c>
      <c r="D4238">
        <v>6080</v>
      </c>
      <c r="E4238">
        <v>2020</v>
      </c>
      <c r="F4238">
        <v>1</v>
      </c>
      <c r="G4238">
        <v>13773</v>
      </c>
      <c r="H4238" s="1">
        <v>3</v>
      </c>
      <c r="I4238">
        <v>14</v>
      </c>
      <c r="J4238">
        <f>IF($H4238=0,1,IF($I4238&lt;=1,2,0))</f>
        <v>0</v>
      </c>
      <c r="K4238">
        <v>0</v>
      </c>
      <c r="L4238">
        <f>IF(AND($J4238=0,$K4238=0),0,1)</f>
        <v>0</v>
      </c>
    </row>
    <row r="4239" spans="1:13" x14ac:dyDescent="0.2">
      <c r="A4239" t="s">
        <v>589</v>
      </c>
      <c r="B4239" t="s">
        <v>133</v>
      </c>
      <c r="C4239" t="s">
        <v>11</v>
      </c>
      <c r="D4239">
        <v>6092</v>
      </c>
      <c r="E4239">
        <v>2020</v>
      </c>
      <c r="F4239">
        <v>1</v>
      </c>
      <c r="G4239">
        <v>13485</v>
      </c>
      <c r="H4239" s="1">
        <v>4.5</v>
      </c>
      <c r="I4239">
        <v>32</v>
      </c>
      <c r="J4239">
        <f>IF($H4239=0,1,IF($I4239&lt;=1,2,0))</f>
        <v>0</v>
      </c>
      <c r="K4239">
        <v>0</v>
      </c>
      <c r="L4239">
        <f>IF(AND($J4239=0,$K4239=0),0,1)</f>
        <v>0</v>
      </c>
    </row>
    <row r="4240" spans="1:13" x14ac:dyDescent="0.2">
      <c r="A4240" t="s">
        <v>589</v>
      </c>
      <c r="B4240" t="s">
        <v>133</v>
      </c>
      <c r="C4240" t="s">
        <v>11</v>
      </c>
      <c r="D4240">
        <v>8048</v>
      </c>
      <c r="E4240">
        <v>2020</v>
      </c>
      <c r="F4240">
        <v>1</v>
      </c>
      <c r="G4240">
        <v>13489</v>
      </c>
      <c r="H4240" s="1">
        <v>4.5</v>
      </c>
      <c r="I4240">
        <v>5</v>
      </c>
      <c r="J4240">
        <f>IF($H4240=0,1,IF($I4240&lt;=1,2,0))</f>
        <v>0</v>
      </c>
      <c r="K4240">
        <v>0</v>
      </c>
      <c r="L4240">
        <f>IF(AND($J4240=0,$K4240=0),0,1)</f>
        <v>0</v>
      </c>
    </row>
    <row r="4241" spans="1:13" x14ac:dyDescent="0.2">
      <c r="A4241" t="s">
        <v>589</v>
      </c>
      <c r="B4241" t="s">
        <v>133</v>
      </c>
      <c r="C4241" t="s">
        <v>11</v>
      </c>
      <c r="D4241">
        <v>8083</v>
      </c>
      <c r="E4241">
        <v>2020</v>
      </c>
      <c r="F4241">
        <v>1</v>
      </c>
      <c r="G4241">
        <v>13490</v>
      </c>
      <c r="H4241" s="1">
        <v>3</v>
      </c>
      <c r="I4241">
        <v>6</v>
      </c>
      <c r="J4241">
        <f>IF($H4241=0,1,IF($I4241&lt;=1,2,0))</f>
        <v>0</v>
      </c>
      <c r="K4241">
        <v>0</v>
      </c>
      <c r="L4241">
        <f>IF(AND($J4241=0,$K4241=0),0,1)</f>
        <v>0</v>
      </c>
    </row>
    <row r="4242" spans="1:13" x14ac:dyDescent="0.2">
      <c r="A4242" t="s">
        <v>600</v>
      </c>
      <c r="B4242" t="s">
        <v>17</v>
      </c>
      <c r="C4242" t="s">
        <v>9</v>
      </c>
      <c r="D4242">
        <v>1101</v>
      </c>
      <c r="E4242">
        <v>2020</v>
      </c>
      <c r="F4242">
        <v>1</v>
      </c>
      <c r="G4242">
        <v>10562</v>
      </c>
      <c r="H4242" s="1">
        <v>4</v>
      </c>
      <c r="I4242">
        <v>4</v>
      </c>
      <c r="J4242">
        <f>IF($H4242=0,1,IF($I4242&lt;=1,2,0))</f>
        <v>0</v>
      </c>
      <c r="K4242">
        <v>0</v>
      </c>
      <c r="L4242">
        <f>IF(AND($J4242=0,$K4242=0),0,1)</f>
        <v>0</v>
      </c>
    </row>
    <row r="4243" spans="1:13" x14ac:dyDescent="0.2">
      <c r="A4243" t="s">
        <v>600</v>
      </c>
      <c r="B4243" t="s">
        <v>17</v>
      </c>
      <c r="C4243" t="s">
        <v>9</v>
      </c>
      <c r="D4243">
        <v>2101</v>
      </c>
      <c r="E4243">
        <v>2020</v>
      </c>
      <c r="F4243">
        <v>1</v>
      </c>
      <c r="G4243">
        <v>10570</v>
      </c>
      <c r="H4243" s="1">
        <v>4</v>
      </c>
      <c r="I4243">
        <v>4</v>
      </c>
      <c r="J4243">
        <f>IF($H4243=0,1,IF($I4243&lt;=1,2,0))</f>
        <v>0</v>
      </c>
      <c r="K4243">
        <v>0</v>
      </c>
      <c r="L4243">
        <f>IF(AND($J4243=0,$K4243=0),0,1)</f>
        <v>0</v>
      </c>
    </row>
    <row r="4244" spans="1:13" x14ac:dyDescent="0.2">
      <c r="A4244" t="s">
        <v>600</v>
      </c>
      <c r="B4244" t="s">
        <v>17</v>
      </c>
      <c r="C4244" t="s">
        <v>9</v>
      </c>
      <c r="D4244">
        <v>4101</v>
      </c>
      <c r="E4244">
        <v>2020</v>
      </c>
      <c r="F4244">
        <v>1</v>
      </c>
      <c r="G4244">
        <v>10577</v>
      </c>
      <c r="H4244" s="1">
        <v>3</v>
      </c>
      <c r="I4244">
        <v>3</v>
      </c>
      <c r="J4244">
        <f>IF($H4244=0,1,IF($I4244&lt;=1,2,0))</f>
        <v>0</v>
      </c>
      <c r="K4244">
        <v>0</v>
      </c>
      <c r="L4244">
        <f>IF(AND($J4244=0,$K4244=0),0,1)</f>
        <v>0</v>
      </c>
    </row>
    <row r="4245" spans="1:13" x14ac:dyDescent="0.2">
      <c r="A4245" t="s">
        <v>601</v>
      </c>
      <c r="B4245" t="s">
        <v>6</v>
      </c>
      <c r="C4245" t="s">
        <v>21</v>
      </c>
      <c r="D4245">
        <v>1201</v>
      </c>
      <c r="E4245">
        <v>2020</v>
      </c>
      <c r="F4245">
        <v>1</v>
      </c>
      <c r="G4245">
        <v>238</v>
      </c>
      <c r="H4245" s="1">
        <v>4</v>
      </c>
      <c r="I4245">
        <v>289</v>
      </c>
      <c r="J4245">
        <f>IF($H4245=0,1,IF($I4245&lt;=1,2,0))</f>
        <v>0</v>
      </c>
      <c r="K4245">
        <v>0</v>
      </c>
      <c r="L4245">
        <f>IF(AND($J4245=0,$K4245=0),0,1)</f>
        <v>0</v>
      </c>
    </row>
    <row r="4246" spans="1:13" x14ac:dyDescent="0.2">
      <c r="A4246" t="s">
        <v>601</v>
      </c>
      <c r="B4246" t="s">
        <v>6</v>
      </c>
      <c r="C4246" t="s">
        <v>21</v>
      </c>
      <c r="D4246">
        <v>1501</v>
      </c>
      <c r="E4246">
        <v>2020</v>
      </c>
      <c r="F4246">
        <v>1</v>
      </c>
      <c r="G4246">
        <v>13697</v>
      </c>
      <c r="H4246" s="1">
        <v>4</v>
      </c>
      <c r="I4246">
        <v>99</v>
      </c>
      <c r="J4246">
        <f>IF($H4246=0,1,IF($I4246&lt;=1,2,0))</f>
        <v>0</v>
      </c>
      <c r="K4246">
        <v>0</v>
      </c>
      <c r="L4246">
        <f>IF(AND($J4246=0,$K4246=0),0,1)</f>
        <v>0</v>
      </c>
      <c r="M4246" t="s">
        <v>1180</v>
      </c>
    </row>
    <row r="4247" spans="1:13" x14ac:dyDescent="0.2">
      <c r="A4247" t="s">
        <v>601</v>
      </c>
      <c r="B4247" t="s">
        <v>6</v>
      </c>
      <c r="C4247" t="s">
        <v>21</v>
      </c>
      <c r="D4247">
        <v>1601</v>
      </c>
      <c r="E4247">
        <v>2020</v>
      </c>
      <c r="F4247">
        <v>1</v>
      </c>
      <c r="G4247">
        <v>243</v>
      </c>
      <c r="H4247" s="1">
        <v>4</v>
      </c>
      <c r="I4247">
        <v>240</v>
      </c>
      <c r="J4247">
        <f>IF($H4247=0,1,IF($I4247&lt;=1,2,0))</f>
        <v>0</v>
      </c>
      <c r="K4247">
        <v>0</v>
      </c>
      <c r="L4247">
        <f>IF(AND($J4247=0,$K4247=0),0,1)</f>
        <v>0</v>
      </c>
      <c r="M4247" t="s">
        <v>606</v>
      </c>
    </row>
    <row r="4248" spans="1:13" x14ac:dyDescent="0.2">
      <c r="A4248" t="s">
        <v>601</v>
      </c>
      <c r="B4248" t="s">
        <v>6</v>
      </c>
      <c r="C4248" t="s">
        <v>9</v>
      </c>
      <c r="D4248">
        <v>3176</v>
      </c>
      <c r="E4248">
        <v>2020</v>
      </c>
      <c r="F4248">
        <v>1</v>
      </c>
      <c r="G4248">
        <v>14128</v>
      </c>
      <c r="H4248" s="1">
        <v>3</v>
      </c>
      <c r="I4248">
        <v>41</v>
      </c>
      <c r="J4248">
        <f>IF($H4248=0,1,IF($I4248&lt;=1,2,0))</f>
        <v>0</v>
      </c>
      <c r="K4248">
        <v>0</v>
      </c>
      <c r="L4248">
        <f>IF(AND($J4248=0,$K4248=0),0,1)</f>
        <v>0</v>
      </c>
    </row>
    <row r="4249" spans="1:13" x14ac:dyDescent="0.2">
      <c r="A4249" t="s">
        <v>601</v>
      </c>
      <c r="B4249" t="s">
        <v>6</v>
      </c>
      <c r="C4249" t="s">
        <v>9</v>
      </c>
      <c r="D4249">
        <v>3222</v>
      </c>
      <c r="E4249">
        <v>2020</v>
      </c>
      <c r="F4249">
        <v>1</v>
      </c>
      <c r="G4249">
        <v>14025</v>
      </c>
      <c r="H4249" s="1">
        <v>3</v>
      </c>
      <c r="I4249">
        <v>70</v>
      </c>
      <c r="J4249">
        <f>IF($H4249=0,1,IF($I4249&lt;=1,2,0))</f>
        <v>0</v>
      </c>
      <c r="K4249">
        <v>0</v>
      </c>
      <c r="L4249">
        <f>IF(AND($J4249=0,$K4249=0),0,1)</f>
        <v>0</v>
      </c>
    </row>
    <row r="4250" spans="1:13" x14ac:dyDescent="0.2">
      <c r="A4250" t="s">
        <v>601</v>
      </c>
      <c r="B4250" t="s">
        <v>6</v>
      </c>
      <c r="C4250" t="s">
        <v>9</v>
      </c>
      <c r="D4250">
        <v>3285</v>
      </c>
      <c r="E4250">
        <v>2020</v>
      </c>
      <c r="F4250">
        <v>1</v>
      </c>
      <c r="G4250">
        <v>14026</v>
      </c>
      <c r="H4250" s="1">
        <v>3</v>
      </c>
      <c r="I4250">
        <v>144</v>
      </c>
      <c r="J4250">
        <f>IF($H4250=0,1,IF($I4250&lt;=1,2,0))</f>
        <v>0</v>
      </c>
      <c r="K4250">
        <v>0</v>
      </c>
      <c r="L4250">
        <f>IF(AND($J4250=0,$K4250=0),0,1)</f>
        <v>0</v>
      </c>
    </row>
    <row r="4251" spans="1:13" x14ac:dyDescent="0.2">
      <c r="A4251" t="s">
        <v>601</v>
      </c>
      <c r="B4251" t="s">
        <v>6</v>
      </c>
      <c r="C4251" t="s">
        <v>9</v>
      </c>
      <c r="D4251">
        <v>3290</v>
      </c>
      <c r="E4251">
        <v>2020</v>
      </c>
      <c r="F4251">
        <v>1</v>
      </c>
      <c r="G4251">
        <v>14027</v>
      </c>
      <c r="H4251" s="1">
        <v>3</v>
      </c>
      <c r="I4251">
        <v>93</v>
      </c>
      <c r="J4251">
        <f>IF($H4251=0,1,IF($I4251&lt;=1,2,0))</f>
        <v>0</v>
      </c>
      <c r="K4251">
        <v>0</v>
      </c>
      <c r="L4251">
        <f>IF(AND($J4251=0,$K4251=0),0,1)</f>
        <v>0</v>
      </c>
    </row>
    <row r="4252" spans="1:13" x14ac:dyDescent="0.2">
      <c r="A4252" t="s">
        <v>601</v>
      </c>
      <c r="B4252" t="s">
        <v>6</v>
      </c>
      <c r="C4252" t="s">
        <v>21</v>
      </c>
      <c r="D4252">
        <v>3401</v>
      </c>
      <c r="E4252">
        <v>2020</v>
      </c>
      <c r="F4252">
        <v>1</v>
      </c>
      <c r="G4252">
        <v>244</v>
      </c>
      <c r="H4252" s="1">
        <v>4</v>
      </c>
      <c r="I4252">
        <v>60</v>
      </c>
      <c r="J4252">
        <f>IF($H4252=0,1,IF($I4252&lt;=1,2,0))</f>
        <v>0</v>
      </c>
      <c r="K4252">
        <v>0</v>
      </c>
      <c r="L4252">
        <f>IF(AND($J4252=0,$K4252=0),0,1)</f>
        <v>0</v>
      </c>
    </row>
    <row r="4253" spans="1:13" x14ac:dyDescent="0.2">
      <c r="A4253" t="s">
        <v>601</v>
      </c>
      <c r="B4253" t="s">
        <v>6</v>
      </c>
      <c r="C4253" t="s">
        <v>9</v>
      </c>
      <c r="D4253">
        <v>3534</v>
      </c>
      <c r="E4253">
        <v>2020</v>
      </c>
      <c r="F4253">
        <v>1</v>
      </c>
      <c r="G4253">
        <v>15497</v>
      </c>
      <c r="H4253" s="1">
        <v>3</v>
      </c>
      <c r="I4253">
        <v>42</v>
      </c>
      <c r="J4253">
        <f>IF($H4253=0,1,IF($I4253&lt;=1,2,0))</f>
        <v>0</v>
      </c>
      <c r="K4253">
        <v>0</v>
      </c>
      <c r="L4253">
        <f>IF(AND($J4253=0,$K4253=0),0,1)</f>
        <v>0</v>
      </c>
    </row>
    <row r="4254" spans="1:13" x14ac:dyDescent="0.2">
      <c r="A4254" t="s">
        <v>601</v>
      </c>
      <c r="B4254" t="s">
        <v>6</v>
      </c>
      <c r="C4254" t="s">
        <v>21</v>
      </c>
      <c r="D4254">
        <v>3565</v>
      </c>
      <c r="E4254">
        <v>2020</v>
      </c>
      <c r="F4254">
        <v>1</v>
      </c>
      <c r="G4254">
        <v>246</v>
      </c>
      <c r="H4254" s="1">
        <v>3</v>
      </c>
      <c r="I4254">
        <v>43</v>
      </c>
      <c r="J4254">
        <f>IF($H4254=0,1,IF($I4254&lt;=1,2,0))</f>
        <v>0</v>
      </c>
      <c r="K4254">
        <v>0</v>
      </c>
      <c r="L4254">
        <f>IF(AND($J4254=0,$K4254=0),0,1)</f>
        <v>0</v>
      </c>
    </row>
    <row r="4255" spans="1:13" x14ac:dyDescent="0.2">
      <c r="A4255" t="s">
        <v>601</v>
      </c>
      <c r="B4255" t="s">
        <v>6</v>
      </c>
      <c r="C4255" t="s">
        <v>9</v>
      </c>
      <c r="D4255">
        <v>3631</v>
      </c>
      <c r="E4255">
        <v>2020</v>
      </c>
      <c r="F4255">
        <v>1</v>
      </c>
      <c r="G4255">
        <v>14144</v>
      </c>
      <c r="H4255" s="1">
        <v>4</v>
      </c>
      <c r="I4255">
        <v>34</v>
      </c>
      <c r="J4255">
        <f>IF($H4255=0,1,IF($I4255&lt;=1,2,0))</f>
        <v>0</v>
      </c>
      <c r="K4255">
        <v>0</v>
      </c>
      <c r="L4255">
        <f>IF(AND($J4255=0,$K4255=0),0,1)</f>
        <v>0</v>
      </c>
      <c r="M4255" t="s">
        <v>1183</v>
      </c>
    </row>
    <row r="4256" spans="1:13" x14ac:dyDescent="0.2">
      <c r="A4256" t="s">
        <v>601</v>
      </c>
      <c r="B4256" t="s">
        <v>6</v>
      </c>
      <c r="C4256" t="s">
        <v>9</v>
      </c>
      <c r="D4256">
        <v>3648</v>
      </c>
      <c r="E4256">
        <v>2020</v>
      </c>
      <c r="F4256">
        <v>1</v>
      </c>
      <c r="G4256">
        <v>14138</v>
      </c>
      <c r="H4256" s="1">
        <v>4</v>
      </c>
      <c r="I4256">
        <v>54</v>
      </c>
      <c r="J4256">
        <f>IF($H4256=0,1,IF($I4256&lt;=1,2,0))</f>
        <v>0</v>
      </c>
      <c r="K4256">
        <v>0</v>
      </c>
      <c r="L4256">
        <f>IF(AND($J4256=0,$K4256=0),0,1)</f>
        <v>0</v>
      </c>
      <c r="M4256" t="s">
        <v>1184</v>
      </c>
    </row>
    <row r="4257" spans="1:13" x14ac:dyDescent="0.2">
      <c r="A4257" t="s">
        <v>601</v>
      </c>
      <c r="B4257" t="s">
        <v>6</v>
      </c>
      <c r="C4257" t="s">
        <v>9</v>
      </c>
      <c r="D4257">
        <v>3704</v>
      </c>
      <c r="E4257">
        <v>2020</v>
      </c>
      <c r="F4257">
        <v>1</v>
      </c>
      <c r="G4257">
        <v>15937</v>
      </c>
      <c r="H4257" s="1">
        <v>3</v>
      </c>
      <c r="I4257">
        <v>22</v>
      </c>
      <c r="J4257">
        <f>IF($H4257=0,1,IF($I4257&lt;=1,2,0))</f>
        <v>0</v>
      </c>
      <c r="K4257">
        <v>0</v>
      </c>
      <c r="L4257">
        <f>IF(AND($J4257=0,$K4257=0),0,1)</f>
        <v>0</v>
      </c>
    </row>
    <row r="4258" spans="1:13" x14ac:dyDescent="0.2">
      <c r="A4258" t="s">
        <v>601</v>
      </c>
      <c r="B4258" t="s">
        <v>6</v>
      </c>
      <c r="C4258" t="s">
        <v>21</v>
      </c>
      <c r="D4258">
        <v>3706</v>
      </c>
      <c r="E4258">
        <v>2020</v>
      </c>
      <c r="F4258">
        <v>1</v>
      </c>
      <c r="G4258">
        <v>242</v>
      </c>
      <c r="H4258" s="1">
        <v>4</v>
      </c>
      <c r="I4258">
        <v>31</v>
      </c>
      <c r="J4258">
        <f>IF($H4258=0,1,IF($I4258&lt;=1,2,0))</f>
        <v>0</v>
      </c>
      <c r="K4258">
        <v>0</v>
      </c>
      <c r="L4258">
        <f>IF(AND($J4258=0,$K4258=0),0,1)</f>
        <v>0</v>
      </c>
    </row>
    <row r="4259" spans="1:13" x14ac:dyDescent="0.2">
      <c r="A4259" t="s">
        <v>601</v>
      </c>
      <c r="B4259" t="s">
        <v>6</v>
      </c>
      <c r="C4259" t="s">
        <v>9</v>
      </c>
      <c r="D4259">
        <v>3720</v>
      </c>
      <c r="E4259">
        <v>2020</v>
      </c>
      <c r="F4259">
        <v>1</v>
      </c>
      <c r="G4259">
        <v>21598</v>
      </c>
      <c r="H4259" s="1">
        <v>4</v>
      </c>
      <c r="I4259">
        <v>34</v>
      </c>
      <c r="J4259">
        <f>IF($H4259=0,1,IF($I4259&lt;=1,2,0))</f>
        <v>0</v>
      </c>
      <c r="K4259">
        <v>0</v>
      </c>
      <c r="L4259">
        <f>IF(AND($J4259=0,$K4259=0),0,1)</f>
        <v>0</v>
      </c>
      <c r="M4259" t="s">
        <v>1185</v>
      </c>
    </row>
    <row r="4260" spans="1:13" x14ac:dyDescent="0.2">
      <c r="A4260" t="s">
        <v>601</v>
      </c>
      <c r="B4260" t="s">
        <v>6</v>
      </c>
      <c r="C4260" t="s">
        <v>9</v>
      </c>
      <c r="D4260">
        <v>3768</v>
      </c>
      <c r="E4260">
        <v>2020</v>
      </c>
      <c r="F4260">
        <v>1</v>
      </c>
      <c r="G4260">
        <v>21404</v>
      </c>
      <c r="H4260" s="1">
        <v>4</v>
      </c>
      <c r="I4260">
        <v>13</v>
      </c>
      <c r="J4260">
        <f>IF($H4260=0,1,IF($I4260&lt;=1,2,0))</f>
        <v>0</v>
      </c>
      <c r="K4260">
        <v>0</v>
      </c>
      <c r="L4260">
        <f>IF(AND($J4260=0,$K4260=0),0,1)</f>
        <v>0</v>
      </c>
      <c r="M4260" t="s">
        <v>1186</v>
      </c>
    </row>
    <row r="4261" spans="1:13" x14ac:dyDescent="0.2">
      <c r="A4261" t="s">
        <v>601</v>
      </c>
      <c r="B4261" t="s">
        <v>6</v>
      </c>
      <c r="C4261" t="s">
        <v>9</v>
      </c>
      <c r="D4261">
        <v>3911</v>
      </c>
      <c r="E4261">
        <v>2020</v>
      </c>
      <c r="F4261">
        <v>1</v>
      </c>
      <c r="G4261">
        <v>15279</v>
      </c>
      <c r="H4261" s="1">
        <v>4</v>
      </c>
      <c r="I4261">
        <v>21</v>
      </c>
      <c r="J4261">
        <f>IF($H4261=0,1,IF($I4261&lt;=1,2,0))</f>
        <v>0</v>
      </c>
      <c r="K4261">
        <v>0</v>
      </c>
      <c r="L4261">
        <f>IF(AND($J4261=0,$K4261=0),0,1)</f>
        <v>0</v>
      </c>
      <c r="M4261" t="s">
        <v>614</v>
      </c>
    </row>
    <row r="4262" spans="1:13" x14ac:dyDescent="0.2">
      <c r="A4262" t="s">
        <v>601</v>
      </c>
      <c r="B4262" t="s">
        <v>6</v>
      </c>
      <c r="C4262" t="s">
        <v>9</v>
      </c>
      <c r="D4262">
        <v>3921</v>
      </c>
      <c r="E4262">
        <v>2020</v>
      </c>
      <c r="F4262">
        <v>2</v>
      </c>
      <c r="G4262">
        <v>14029</v>
      </c>
      <c r="H4262" s="1">
        <v>4</v>
      </c>
      <c r="I4262">
        <v>23</v>
      </c>
      <c r="J4262">
        <f>IF($H4262=0,1,IF($I4262&lt;=1,2,0))</f>
        <v>0</v>
      </c>
      <c r="K4262">
        <v>0</v>
      </c>
      <c r="L4262">
        <f>IF(AND($J4262=0,$K4262=0),0,1)</f>
        <v>0</v>
      </c>
      <c r="M4262" t="s">
        <v>614</v>
      </c>
    </row>
    <row r="4263" spans="1:13" x14ac:dyDescent="0.2">
      <c r="A4263" t="s">
        <v>601</v>
      </c>
      <c r="B4263" t="s">
        <v>6</v>
      </c>
      <c r="C4263" t="s">
        <v>9</v>
      </c>
      <c r="D4263">
        <v>3921</v>
      </c>
      <c r="E4263">
        <v>2020</v>
      </c>
      <c r="F4263">
        <v>4</v>
      </c>
      <c r="G4263">
        <v>14031</v>
      </c>
      <c r="H4263" s="1">
        <v>4</v>
      </c>
      <c r="I4263">
        <v>21</v>
      </c>
      <c r="J4263">
        <f>IF($H4263=0,1,IF($I4263&lt;=1,2,0))</f>
        <v>0</v>
      </c>
      <c r="K4263">
        <v>0</v>
      </c>
      <c r="L4263">
        <f>IF(AND($J4263=0,$K4263=0),0,1)</f>
        <v>0</v>
      </c>
      <c r="M4263" t="s">
        <v>614</v>
      </c>
    </row>
    <row r="4264" spans="1:13" x14ac:dyDescent="0.2">
      <c r="A4264" t="s">
        <v>601</v>
      </c>
      <c r="B4264" t="s">
        <v>6</v>
      </c>
      <c r="C4264" t="s">
        <v>9</v>
      </c>
      <c r="D4264">
        <v>3921</v>
      </c>
      <c r="E4264">
        <v>2020</v>
      </c>
      <c r="F4264">
        <v>1</v>
      </c>
      <c r="G4264">
        <v>15461</v>
      </c>
      <c r="H4264" s="1">
        <v>4</v>
      </c>
      <c r="I4264">
        <v>19</v>
      </c>
      <c r="J4264">
        <f>IF($H4264=0,1,IF($I4264&lt;=1,2,0))</f>
        <v>0</v>
      </c>
      <c r="K4264">
        <v>0</v>
      </c>
      <c r="L4264">
        <f>IF(AND($J4264=0,$K4264=0),0,1)</f>
        <v>0</v>
      </c>
      <c r="M4264" t="s">
        <v>614</v>
      </c>
    </row>
    <row r="4265" spans="1:13" x14ac:dyDescent="0.2">
      <c r="A4265" t="s">
        <v>601</v>
      </c>
      <c r="B4265" t="s">
        <v>6</v>
      </c>
      <c r="C4265" t="s">
        <v>9</v>
      </c>
      <c r="D4265">
        <v>3921</v>
      </c>
      <c r="E4265">
        <v>2020</v>
      </c>
      <c r="F4265">
        <v>8</v>
      </c>
      <c r="G4265">
        <v>14035</v>
      </c>
      <c r="H4265" s="1">
        <v>4</v>
      </c>
      <c r="I4265">
        <v>16</v>
      </c>
      <c r="J4265">
        <f>IF($H4265=0,1,IF($I4265&lt;=1,2,0))</f>
        <v>0</v>
      </c>
      <c r="K4265">
        <v>0</v>
      </c>
      <c r="L4265">
        <f>IF(AND($J4265=0,$K4265=0),0,1)</f>
        <v>0</v>
      </c>
      <c r="M4265" t="s">
        <v>614</v>
      </c>
    </row>
    <row r="4266" spans="1:13" x14ac:dyDescent="0.2">
      <c r="A4266" t="s">
        <v>601</v>
      </c>
      <c r="B4266" t="s">
        <v>6</v>
      </c>
      <c r="C4266" t="s">
        <v>9</v>
      </c>
      <c r="D4266">
        <v>3921</v>
      </c>
      <c r="E4266">
        <v>2020</v>
      </c>
      <c r="F4266">
        <v>5</v>
      </c>
      <c r="G4266">
        <v>14032</v>
      </c>
      <c r="H4266" s="1">
        <v>4</v>
      </c>
      <c r="I4266">
        <v>15</v>
      </c>
      <c r="J4266">
        <f>IF($H4266=0,1,IF($I4266&lt;=1,2,0))</f>
        <v>0</v>
      </c>
      <c r="K4266">
        <v>0</v>
      </c>
      <c r="L4266">
        <f>IF(AND($J4266=0,$K4266=0),0,1)</f>
        <v>0</v>
      </c>
      <c r="M4266" t="s">
        <v>614</v>
      </c>
    </row>
    <row r="4267" spans="1:13" x14ac:dyDescent="0.2">
      <c r="A4267" t="s">
        <v>601</v>
      </c>
      <c r="B4267" t="s">
        <v>6</v>
      </c>
      <c r="C4267" t="s">
        <v>9</v>
      </c>
      <c r="D4267">
        <v>3921</v>
      </c>
      <c r="E4267">
        <v>2020</v>
      </c>
      <c r="F4267">
        <v>6</v>
      </c>
      <c r="G4267">
        <v>14033</v>
      </c>
      <c r="H4267" s="1">
        <v>4</v>
      </c>
      <c r="I4267">
        <v>14</v>
      </c>
      <c r="J4267">
        <f>IF($H4267=0,1,IF($I4267&lt;=1,2,0))</f>
        <v>0</v>
      </c>
      <c r="K4267">
        <v>0</v>
      </c>
      <c r="L4267">
        <f>IF(AND($J4267=0,$K4267=0),0,1)</f>
        <v>0</v>
      </c>
      <c r="M4267" t="s">
        <v>614</v>
      </c>
    </row>
    <row r="4268" spans="1:13" x14ac:dyDescent="0.2">
      <c r="A4268" t="s">
        <v>601</v>
      </c>
      <c r="B4268" t="s">
        <v>6</v>
      </c>
      <c r="C4268" t="s">
        <v>9</v>
      </c>
      <c r="D4268">
        <v>3921</v>
      </c>
      <c r="E4268">
        <v>2020</v>
      </c>
      <c r="F4268">
        <v>9</v>
      </c>
      <c r="G4268">
        <v>14036</v>
      </c>
      <c r="H4268" s="1">
        <v>4</v>
      </c>
      <c r="I4268">
        <v>11</v>
      </c>
      <c r="J4268">
        <f>IF($H4268=0,1,IF($I4268&lt;=1,2,0))</f>
        <v>0</v>
      </c>
      <c r="K4268">
        <v>0</v>
      </c>
      <c r="L4268">
        <f>IF(AND($J4268=0,$K4268=0),0,1)</f>
        <v>0</v>
      </c>
      <c r="M4268" t="s">
        <v>614</v>
      </c>
    </row>
    <row r="4269" spans="1:13" x14ac:dyDescent="0.2">
      <c r="A4269" t="s">
        <v>601</v>
      </c>
      <c r="B4269" t="s">
        <v>6</v>
      </c>
      <c r="C4269" t="s">
        <v>9</v>
      </c>
      <c r="D4269">
        <v>3951</v>
      </c>
      <c r="E4269">
        <v>2020</v>
      </c>
      <c r="F4269">
        <v>1</v>
      </c>
      <c r="G4269">
        <v>14039</v>
      </c>
      <c r="H4269" s="1">
        <v>4</v>
      </c>
      <c r="I4269">
        <v>15</v>
      </c>
      <c r="J4269">
        <f>IF($H4269=0,1,IF($I4269&lt;=1,2,0))</f>
        <v>0</v>
      </c>
      <c r="K4269">
        <v>0</v>
      </c>
      <c r="L4269">
        <f>IF(AND($J4269=0,$K4269=0),0,1)</f>
        <v>0</v>
      </c>
      <c r="M4269" t="s">
        <v>1188</v>
      </c>
    </row>
    <row r="4270" spans="1:13" x14ac:dyDescent="0.2">
      <c r="A4270" t="s">
        <v>601</v>
      </c>
      <c r="B4270" t="s">
        <v>6</v>
      </c>
      <c r="C4270" t="s">
        <v>9</v>
      </c>
      <c r="D4270">
        <v>3951</v>
      </c>
      <c r="E4270">
        <v>2020</v>
      </c>
      <c r="F4270">
        <v>3</v>
      </c>
      <c r="G4270">
        <v>14038</v>
      </c>
      <c r="H4270" s="1">
        <v>4</v>
      </c>
      <c r="I4270">
        <v>15</v>
      </c>
      <c r="J4270">
        <f>IF($H4270=0,1,IF($I4270&lt;=1,2,0))</f>
        <v>0</v>
      </c>
      <c r="K4270">
        <v>0</v>
      </c>
      <c r="L4270">
        <f>IF(AND($J4270=0,$K4270=0),0,1)</f>
        <v>0</v>
      </c>
      <c r="M4270" t="s">
        <v>614</v>
      </c>
    </row>
    <row r="4271" spans="1:13" x14ac:dyDescent="0.2">
      <c r="A4271" t="s">
        <v>601</v>
      </c>
      <c r="B4271" t="s">
        <v>6</v>
      </c>
      <c r="C4271" t="s">
        <v>9</v>
      </c>
      <c r="D4271">
        <v>3961</v>
      </c>
      <c r="E4271">
        <v>2020</v>
      </c>
      <c r="F4271">
        <v>1</v>
      </c>
      <c r="G4271">
        <v>15307</v>
      </c>
      <c r="H4271" s="1">
        <v>4</v>
      </c>
      <c r="I4271">
        <v>17</v>
      </c>
      <c r="J4271">
        <f>IF($H4271=0,1,IF($I4271&lt;=1,2,0))</f>
        <v>0</v>
      </c>
      <c r="K4271">
        <v>0</v>
      </c>
      <c r="L4271">
        <f>IF(AND($J4271=0,$K4271=0),0,1)</f>
        <v>0</v>
      </c>
      <c r="M4271" t="s">
        <v>614</v>
      </c>
    </row>
    <row r="4272" spans="1:13" x14ac:dyDescent="0.2">
      <c r="A4272" t="s">
        <v>601</v>
      </c>
      <c r="B4272" t="s">
        <v>6</v>
      </c>
      <c r="C4272" t="s">
        <v>9</v>
      </c>
      <c r="D4272">
        <v>3961</v>
      </c>
      <c r="E4272">
        <v>2020</v>
      </c>
      <c r="F4272">
        <v>3</v>
      </c>
      <c r="G4272">
        <v>14041</v>
      </c>
      <c r="H4272" s="1">
        <v>4</v>
      </c>
      <c r="I4272">
        <v>14</v>
      </c>
      <c r="J4272">
        <f>IF($H4272=0,1,IF($I4272&lt;=1,2,0))</f>
        <v>0</v>
      </c>
      <c r="K4272">
        <v>0</v>
      </c>
      <c r="L4272">
        <f>IF(AND($J4272=0,$K4272=0),0,1)</f>
        <v>0</v>
      </c>
      <c r="M4272" t="s">
        <v>1188</v>
      </c>
    </row>
    <row r="4273" spans="1:13" x14ac:dyDescent="0.2">
      <c r="A4273" t="s">
        <v>601</v>
      </c>
      <c r="B4273" t="s">
        <v>6</v>
      </c>
      <c r="C4273" t="s">
        <v>9</v>
      </c>
      <c r="D4273">
        <v>3961</v>
      </c>
      <c r="E4273">
        <v>2020</v>
      </c>
      <c r="F4273">
        <v>6</v>
      </c>
      <c r="G4273">
        <v>22657</v>
      </c>
      <c r="H4273" s="1">
        <v>4</v>
      </c>
      <c r="I4273">
        <v>14</v>
      </c>
      <c r="J4273">
        <f>IF($H4273=0,1,IF($I4273&lt;=1,2,0))</f>
        <v>0</v>
      </c>
      <c r="K4273">
        <v>0</v>
      </c>
      <c r="L4273">
        <f>IF(AND($J4273=0,$K4273=0),0,1)</f>
        <v>0</v>
      </c>
      <c r="M4273" t="s">
        <v>614</v>
      </c>
    </row>
    <row r="4274" spans="1:13" x14ac:dyDescent="0.2">
      <c r="A4274" t="s">
        <v>601</v>
      </c>
      <c r="B4274" t="s">
        <v>6</v>
      </c>
      <c r="C4274" t="s">
        <v>9</v>
      </c>
      <c r="D4274">
        <v>3961</v>
      </c>
      <c r="E4274">
        <v>2020</v>
      </c>
      <c r="F4274">
        <v>4</v>
      </c>
      <c r="G4274">
        <v>14042</v>
      </c>
      <c r="H4274" s="1">
        <v>4</v>
      </c>
      <c r="I4274">
        <v>12</v>
      </c>
      <c r="J4274">
        <f>IF($H4274=0,1,IF($I4274&lt;=1,2,0))</f>
        <v>0</v>
      </c>
      <c r="K4274">
        <v>0</v>
      </c>
      <c r="L4274">
        <f>IF(AND($J4274=0,$K4274=0),0,1)</f>
        <v>0</v>
      </c>
      <c r="M4274" t="s">
        <v>1188</v>
      </c>
    </row>
    <row r="4275" spans="1:13" x14ac:dyDescent="0.2">
      <c r="A4275" t="s">
        <v>601</v>
      </c>
      <c r="B4275" t="s">
        <v>6</v>
      </c>
      <c r="C4275" t="s">
        <v>11</v>
      </c>
      <c r="D4275">
        <v>4132</v>
      </c>
      <c r="E4275">
        <v>2020</v>
      </c>
      <c r="F4275">
        <v>1</v>
      </c>
      <c r="G4275">
        <v>14044</v>
      </c>
      <c r="H4275" s="1">
        <v>3</v>
      </c>
      <c r="I4275">
        <v>21</v>
      </c>
      <c r="J4275">
        <f>IF($H4275=0,1,IF($I4275&lt;=1,2,0))</f>
        <v>0</v>
      </c>
      <c r="K4275">
        <v>0</v>
      </c>
      <c r="L4275">
        <f>IF(AND($J4275=0,$K4275=0),0,1)</f>
        <v>0</v>
      </c>
    </row>
    <row r="4276" spans="1:13" x14ac:dyDescent="0.2">
      <c r="A4276" t="s">
        <v>601</v>
      </c>
      <c r="B4276" t="s">
        <v>6</v>
      </c>
      <c r="C4276" t="s">
        <v>9</v>
      </c>
      <c r="D4276">
        <v>4134</v>
      </c>
      <c r="E4276">
        <v>2020</v>
      </c>
      <c r="F4276">
        <v>1</v>
      </c>
      <c r="G4276">
        <v>14045</v>
      </c>
      <c r="H4276" s="1">
        <v>4</v>
      </c>
      <c r="I4276">
        <v>17</v>
      </c>
      <c r="J4276">
        <f>IF($H4276=0,1,IF($I4276&lt;=1,2,0))</f>
        <v>0</v>
      </c>
      <c r="K4276">
        <v>0</v>
      </c>
      <c r="L4276">
        <f>IF(AND($J4276=0,$K4276=0),0,1)</f>
        <v>0</v>
      </c>
      <c r="M4276" t="s">
        <v>1189</v>
      </c>
    </row>
    <row r="4277" spans="1:13" x14ac:dyDescent="0.2">
      <c r="A4277" t="s">
        <v>601</v>
      </c>
      <c r="B4277" t="s">
        <v>6</v>
      </c>
      <c r="C4277" t="s">
        <v>11</v>
      </c>
      <c r="D4277">
        <v>4407</v>
      </c>
      <c r="E4277">
        <v>2020</v>
      </c>
      <c r="F4277">
        <v>1</v>
      </c>
      <c r="G4277">
        <v>14315</v>
      </c>
      <c r="H4277" s="1">
        <v>4</v>
      </c>
      <c r="I4277">
        <v>18</v>
      </c>
      <c r="J4277">
        <f>IF($H4277=0,1,IF($I4277&lt;=1,2,0))</f>
        <v>0</v>
      </c>
      <c r="K4277">
        <v>0</v>
      </c>
      <c r="L4277">
        <f>IF(AND($J4277=0,$K4277=0),0,1)</f>
        <v>0</v>
      </c>
      <c r="M4277" t="s">
        <v>617</v>
      </c>
    </row>
    <row r="4278" spans="1:13" x14ac:dyDescent="0.2">
      <c r="A4278" t="s">
        <v>601</v>
      </c>
      <c r="B4278" t="s">
        <v>6</v>
      </c>
      <c r="C4278" t="s">
        <v>9</v>
      </c>
      <c r="D4278">
        <v>4423</v>
      </c>
      <c r="E4278">
        <v>2020</v>
      </c>
      <c r="F4278">
        <v>2</v>
      </c>
      <c r="G4278">
        <v>22240</v>
      </c>
      <c r="H4278" s="1">
        <v>4</v>
      </c>
      <c r="I4278">
        <v>12</v>
      </c>
      <c r="J4278">
        <f>IF($H4278=0,1,IF($I4278&lt;=1,2,0))</f>
        <v>0</v>
      </c>
      <c r="K4278">
        <v>0</v>
      </c>
      <c r="L4278">
        <f>IF(AND($J4278=0,$K4278=0),0,1)</f>
        <v>0</v>
      </c>
      <c r="M4278" t="s">
        <v>614</v>
      </c>
    </row>
    <row r="4279" spans="1:13" x14ac:dyDescent="0.2">
      <c r="A4279" t="s">
        <v>601</v>
      </c>
      <c r="B4279" t="s">
        <v>6</v>
      </c>
      <c r="C4279" t="s">
        <v>11</v>
      </c>
      <c r="D4279">
        <v>4453</v>
      </c>
      <c r="E4279">
        <v>2020</v>
      </c>
      <c r="F4279">
        <v>1</v>
      </c>
      <c r="G4279">
        <v>14145</v>
      </c>
      <c r="H4279" s="1">
        <v>4</v>
      </c>
      <c r="I4279">
        <v>23</v>
      </c>
      <c r="J4279">
        <f>IF($H4279=0,1,IF($I4279&lt;=1,2,0))</f>
        <v>0</v>
      </c>
      <c r="K4279">
        <v>0</v>
      </c>
      <c r="L4279">
        <f>IF(AND($J4279=0,$K4279=0),0,1)</f>
        <v>0</v>
      </c>
    </row>
    <row r="4280" spans="1:13" x14ac:dyDescent="0.2">
      <c r="A4280" t="s">
        <v>601</v>
      </c>
      <c r="B4280" t="s">
        <v>6</v>
      </c>
      <c r="C4280" t="s">
        <v>9</v>
      </c>
      <c r="D4280">
        <v>4454</v>
      </c>
      <c r="E4280">
        <v>2020</v>
      </c>
      <c r="F4280">
        <v>1</v>
      </c>
      <c r="G4280">
        <v>15277</v>
      </c>
      <c r="H4280" s="1">
        <v>4</v>
      </c>
      <c r="I4280">
        <v>9</v>
      </c>
      <c r="J4280">
        <f>IF($H4280=0,1,IF($I4280&lt;=1,2,0))</f>
        <v>0</v>
      </c>
      <c r="K4280">
        <v>0</v>
      </c>
      <c r="L4280">
        <f>IF(AND($J4280=0,$K4280=0),0,1)</f>
        <v>0</v>
      </c>
    </row>
    <row r="4281" spans="1:13" x14ac:dyDescent="0.2">
      <c r="A4281" t="s">
        <v>601</v>
      </c>
      <c r="B4281" t="s">
        <v>6</v>
      </c>
      <c r="C4281" t="s">
        <v>9</v>
      </c>
      <c r="D4281">
        <v>4461</v>
      </c>
      <c r="E4281">
        <v>2020</v>
      </c>
      <c r="F4281">
        <v>1</v>
      </c>
      <c r="G4281">
        <v>14046</v>
      </c>
      <c r="H4281" s="1">
        <v>4</v>
      </c>
      <c r="I4281">
        <v>49</v>
      </c>
      <c r="J4281">
        <f>IF($H4281=0,1,IF($I4281&lt;=1,2,0))</f>
        <v>0</v>
      </c>
      <c r="K4281">
        <v>0</v>
      </c>
      <c r="L4281">
        <f>IF(AND($J4281=0,$K4281=0),0,1)</f>
        <v>0</v>
      </c>
      <c r="M4281" t="s">
        <v>1190</v>
      </c>
    </row>
    <row r="4282" spans="1:13" x14ac:dyDescent="0.2">
      <c r="A4282" t="s">
        <v>601</v>
      </c>
      <c r="B4282" t="s">
        <v>6</v>
      </c>
      <c r="C4282" t="s">
        <v>11</v>
      </c>
      <c r="D4282">
        <v>4472</v>
      </c>
      <c r="E4282">
        <v>2020</v>
      </c>
      <c r="F4282">
        <v>1</v>
      </c>
      <c r="G4282">
        <v>14129</v>
      </c>
      <c r="H4282" s="1">
        <v>4</v>
      </c>
      <c r="I4282">
        <v>19</v>
      </c>
      <c r="J4282">
        <f>IF($H4282=0,1,IF($I4282&lt;=1,2,0))</f>
        <v>0</v>
      </c>
      <c r="K4282">
        <v>0</v>
      </c>
      <c r="L4282">
        <f>IF(AND($J4282=0,$K4282=0),0,1)</f>
        <v>0</v>
      </c>
    </row>
    <row r="4283" spans="1:13" x14ac:dyDescent="0.2">
      <c r="A4283" t="s">
        <v>601</v>
      </c>
      <c r="B4283" t="s">
        <v>6</v>
      </c>
      <c r="C4283" t="s">
        <v>9</v>
      </c>
      <c r="D4283">
        <v>4476</v>
      </c>
      <c r="E4283">
        <v>2020</v>
      </c>
      <c r="F4283">
        <v>1</v>
      </c>
      <c r="G4283">
        <v>15263</v>
      </c>
      <c r="H4283" s="1">
        <v>4</v>
      </c>
      <c r="I4283">
        <v>13</v>
      </c>
      <c r="J4283">
        <f>IF($H4283=0,1,IF($I4283&lt;=1,2,0))</f>
        <v>0</v>
      </c>
      <c r="K4283">
        <v>0</v>
      </c>
      <c r="L4283">
        <f>IF(AND($J4283=0,$K4283=0),0,1)</f>
        <v>0</v>
      </c>
    </row>
    <row r="4284" spans="1:13" x14ac:dyDescent="0.2">
      <c r="A4284" t="s">
        <v>601</v>
      </c>
      <c r="B4284" t="s">
        <v>6</v>
      </c>
      <c r="C4284" t="s">
        <v>9</v>
      </c>
      <c r="D4284">
        <v>4496</v>
      </c>
      <c r="E4284">
        <v>2020</v>
      </c>
      <c r="F4284">
        <v>1</v>
      </c>
      <c r="G4284">
        <v>14047</v>
      </c>
      <c r="H4284" s="1">
        <v>3</v>
      </c>
      <c r="I4284">
        <v>24</v>
      </c>
      <c r="J4284">
        <f>IF($H4284=0,1,IF($I4284&lt;=1,2,0))</f>
        <v>0</v>
      </c>
      <c r="K4284">
        <v>0</v>
      </c>
      <c r="L4284">
        <f>IF(AND($J4284=0,$K4284=0),0,1)</f>
        <v>0</v>
      </c>
    </row>
    <row r="4285" spans="1:13" x14ac:dyDescent="0.2">
      <c r="A4285" t="s">
        <v>601</v>
      </c>
      <c r="B4285" t="s">
        <v>6</v>
      </c>
      <c r="C4285" t="s">
        <v>9</v>
      </c>
      <c r="D4285">
        <v>4700</v>
      </c>
      <c r="E4285">
        <v>2020</v>
      </c>
      <c r="F4285">
        <v>1</v>
      </c>
      <c r="G4285">
        <v>21606</v>
      </c>
      <c r="H4285" s="1">
        <v>4</v>
      </c>
      <c r="I4285">
        <v>16</v>
      </c>
      <c r="J4285">
        <f>IF($H4285=0,1,IF($I4285&lt;=1,2,0))</f>
        <v>0</v>
      </c>
      <c r="K4285">
        <v>0</v>
      </c>
      <c r="L4285">
        <f>IF(AND($J4285=0,$K4285=0),0,1)</f>
        <v>0</v>
      </c>
      <c r="M4285" t="s">
        <v>1191</v>
      </c>
    </row>
    <row r="4286" spans="1:13" x14ac:dyDescent="0.2">
      <c r="A4286" t="s">
        <v>601</v>
      </c>
      <c r="B4286" t="s">
        <v>6</v>
      </c>
      <c r="C4286" t="s">
        <v>9</v>
      </c>
      <c r="D4286">
        <v>4720</v>
      </c>
      <c r="E4286">
        <v>2020</v>
      </c>
      <c r="F4286">
        <v>1</v>
      </c>
      <c r="G4286">
        <v>15720</v>
      </c>
      <c r="H4286" s="1">
        <v>4</v>
      </c>
      <c r="I4286">
        <v>22</v>
      </c>
      <c r="J4286">
        <f>IF($H4286=0,1,IF($I4286&lt;=1,2,0))</f>
        <v>0</v>
      </c>
      <c r="K4286">
        <v>0</v>
      </c>
      <c r="L4286">
        <f>IF(AND($J4286=0,$K4286=0),0,1)</f>
        <v>0</v>
      </c>
      <c r="M4286" t="s">
        <v>1192</v>
      </c>
    </row>
    <row r="4287" spans="1:13" x14ac:dyDescent="0.2">
      <c r="A4287" t="s">
        <v>601</v>
      </c>
      <c r="B4287" t="s">
        <v>6</v>
      </c>
      <c r="C4287" t="s">
        <v>9</v>
      </c>
      <c r="D4287">
        <v>4724</v>
      </c>
      <c r="E4287">
        <v>2020</v>
      </c>
      <c r="F4287">
        <v>1</v>
      </c>
      <c r="G4287">
        <v>15523</v>
      </c>
      <c r="H4287" s="1">
        <v>4</v>
      </c>
      <c r="I4287">
        <v>29</v>
      </c>
      <c r="J4287">
        <f>IF($H4287=0,1,IF($I4287&lt;=1,2,0))</f>
        <v>0</v>
      </c>
      <c r="K4287">
        <v>0</v>
      </c>
      <c r="L4287">
        <f>IF(AND($J4287=0,$K4287=0),0,1)</f>
        <v>0</v>
      </c>
      <c r="M4287" t="s">
        <v>614</v>
      </c>
    </row>
    <row r="4288" spans="1:13" x14ac:dyDescent="0.2">
      <c r="A4288" t="s">
        <v>601</v>
      </c>
      <c r="B4288" t="s">
        <v>6</v>
      </c>
      <c r="C4288" t="s">
        <v>9</v>
      </c>
      <c r="D4288">
        <v>4732</v>
      </c>
      <c r="E4288">
        <v>2020</v>
      </c>
      <c r="F4288">
        <v>1</v>
      </c>
      <c r="G4288">
        <v>14139</v>
      </c>
      <c r="H4288" s="1">
        <v>4</v>
      </c>
      <c r="I4288">
        <v>11</v>
      </c>
      <c r="J4288">
        <f>IF($H4288=0,1,IF($I4288&lt;=1,2,0))</f>
        <v>0</v>
      </c>
      <c r="K4288">
        <v>0</v>
      </c>
      <c r="L4288">
        <f>IF(AND($J4288=0,$K4288=0),0,1)</f>
        <v>0</v>
      </c>
      <c r="M4288" t="s">
        <v>1193</v>
      </c>
    </row>
    <row r="4289" spans="1:13" x14ac:dyDescent="0.2">
      <c r="A4289" t="s">
        <v>601</v>
      </c>
      <c r="B4289" t="s">
        <v>6</v>
      </c>
      <c r="C4289" t="s">
        <v>9</v>
      </c>
      <c r="D4289">
        <v>4813</v>
      </c>
      <c r="E4289">
        <v>2020</v>
      </c>
      <c r="F4289">
        <v>1</v>
      </c>
      <c r="G4289">
        <v>23014</v>
      </c>
      <c r="H4289" s="1">
        <v>3</v>
      </c>
      <c r="I4289">
        <v>42</v>
      </c>
      <c r="J4289">
        <f>IF($H4289=0,1,IF($I4289&lt;=1,2,0))</f>
        <v>0</v>
      </c>
      <c r="K4289">
        <v>0</v>
      </c>
      <c r="L4289">
        <f>IF(AND($J4289=0,$K4289=0),0,1)</f>
        <v>0</v>
      </c>
      <c r="M4289" t="s">
        <v>1194</v>
      </c>
    </row>
    <row r="4290" spans="1:13" x14ac:dyDescent="0.2">
      <c r="A4290" t="s">
        <v>601</v>
      </c>
      <c r="B4290" t="s">
        <v>6</v>
      </c>
      <c r="C4290" t="s">
        <v>11</v>
      </c>
      <c r="D4290">
        <v>4848</v>
      </c>
      <c r="E4290">
        <v>2020</v>
      </c>
      <c r="F4290">
        <v>1</v>
      </c>
      <c r="G4290">
        <v>23316</v>
      </c>
      <c r="H4290" s="1">
        <v>4</v>
      </c>
      <c r="I4290">
        <v>13</v>
      </c>
      <c r="J4290">
        <f>IF($H4290=0,1,IF($I4290&lt;=1,2,0))</f>
        <v>0</v>
      </c>
      <c r="K4290">
        <v>0</v>
      </c>
      <c r="L4290">
        <f>IF(AND($J4290=0,$K4290=0),0,1)</f>
        <v>0</v>
      </c>
      <c r="M4290" t="s">
        <v>1195</v>
      </c>
    </row>
    <row r="4291" spans="1:13" x14ac:dyDescent="0.2">
      <c r="A4291" t="s">
        <v>601</v>
      </c>
      <c r="B4291" t="s">
        <v>6</v>
      </c>
      <c r="C4291" t="s">
        <v>9</v>
      </c>
      <c r="D4291">
        <v>4863</v>
      </c>
      <c r="E4291">
        <v>2020</v>
      </c>
      <c r="F4291">
        <v>1</v>
      </c>
      <c r="G4291">
        <v>14048</v>
      </c>
      <c r="H4291" s="1">
        <v>4</v>
      </c>
      <c r="I4291">
        <v>18</v>
      </c>
      <c r="J4291">
        <f>IF($H4291=0,1,IF($I4291&lt;=1,2,0))</f>
        <v>0</v>
      </c>
      <c r="K4291">
        <v>0</v>
      </c>
      <c r="L4291">
        <f>IF(AND($J4291=0,$K4291=0),0,1)</f>
        <v>0</v>
      </c>
      <c r="M4291" t="s">
        <v>1188</v>
      </c>
    </row>
    <row r="4292" spans="1:13" x14ac:dyDescent="0.2">
      <c r="A4292" t="s">
        <v>601</v>
      </c>
      <c r="B4292" t="s">
        <v>6</v>
      </c>
      <c r="C4292" t="s">
        <v>9</v>
      </c>
      <c r="D4292">
        <v>4895</v>
      </c>
      <c r="E4292">
        <v>2020</v>
      </c>
      <c r="F4292">
        <v>1</v>
      </c>
      <c r="G4292">
        <v>14050</v>
      </c>
      <c r="H4292" s="1">
        <v>4</v>
      </c>
      <c r="I4292">
        <v>34</v>
      </c>
      <c r="J4292">
        <f>IF($H4292=0,1,IF($I4292&lt;=1,2,0))</f>
        <v>0</v>
      </c>
      <c r="K4292">
        <v>0</v>
      </c>
      <c r="L4292">
        <f>IF(AND($J4292=0,$K4292=0),0,1)</f>
        <v>0</v>
      </c>
    </row>
    <row r="4293" spans="1:13" x14ac:dyDescent="0.2">
      <c r="A4293" t="s">
        <v>601</v>
      </c>
      <c r="B4293" t="s">
        <v>6</v>
      </c>
      <c r="C4293" t="s">
        <v>11</v>
      </c>
      <c r="D4293">
        <v>6411</v>
      </c>
      <c r="E4293">
        <v>2020</v>
      </c>
      <c r="F4293">
        <v>1</v>
      </c>
      <c r="G4293">
        <v>14052</v>
      </c>
      <c r="H4293" s="1">
        <v>4</v>
      </c>
      <c r="I4293">
        <v>16</v>
      </c>
      <c r="J4293">
        <f>IF($H4293=0,1,IF($I4293&lt;=1,2,0))</f>
        <v>0</v>
      </c>
      <c r="K4293">
        <v>0</v>
      </c>
      <c r="L4293">
        <f>IF(AND($J4293=0,$K4293=0),0,1)</f>
        <v>0</v>
      </c>
      <c r="M4293" t="s">
        <v>1188</v>
      </c>
    </row>
    <row r="4294" spans="1:13" x14ac:dyDescent="0.2">
      <c r="A4294" t="s">
        <v>601</v>
      </c>
      <c r="B4294" t="s">
        <v>6</v>
      </c>
      <c r="C4294" t="s">
        <v>11</v>
      </c>
      <c r="D4294">
        <v>6801</v>
      </c>
      <c r="E4294">
        <v>2020</v>
      </c>
      <c r="F4294">
        <v>1</v>
      </c>
      <c r="G4294">
        <v>14053</v>
      </c>
      <c r="H4294" s="1">
        <v>4</v>
      </c>
      <c r="I4294">
        <v>22</v>
      </c>
      <c r="J4294">
        <f>IF($H4294=0,1,IF($I4294&lt;=1,2,0))</f>
        <v>0</v>
      </c>
      <c r="K4294">
        <v>0</v>
      </c>
      <c r="L4294">
        <f>IF(AND($J4294=0,$K4294=0),0,1)</f>
        <v>0</v>
      </c>
      <c r="M4294" t="s">
        <v>1188</v>
      </c>
    </row>
    <row r="4295" spans="1:13" x14ac:dyDescent="0.2">
      <c r="A4295" t="s">
        <v>601</v>
      </c>
      <c r="B4295" t="s">
        <v>6</v>
      </c>
      <c r="C4295" t="s">
        <v>11</v>
      </c>
      <c r="D4295">
        <v>8210</v>
      </c>
      <c r="E4295">
        <v>2020</v>
      </c>
      <c r="F4295">
        <v>1</v>
      </c>
      <c r="G4295">
        <v>14054</v>
      </c>
      <c r="H4295" s="1">
        <v>4</v>
      </c>
      <c r="I4295">
        <v>5</v>
      </c>
      <c r="J4295">
        <f>IF($H4295=0,1,IF($I4295&lt;=1,2,0))</f>
        <v>0</v>
      </c>
      <c r="K4295">
        <v>0</v>
      </c>
      <c r="L4295">
        <f>IF(AND($J4295=0,$K4295=0),0,1)</f>
        <v>0</v>
      </c>
      <c r="M4295" t="s">
        <v>1188</v>
      </c>
    </row>
    <row r="4296" spans="1:13" x14ac:dyDescent="0.2">
      <c r="A4296" t="s">
        <v>601</v>
      </c>
      <c r="B4296" t="s">
        <v>6</v>
      </c>
      <c r="C4296" t="s">
        <v>11</v>
      </c>
      <c r="D4296">
        <v>8427</v>
      </c>
      <c r="E4296">
        <v>2020</v>
      </c>
      <c r="F4296">
        <v>1</v>
      </c>
      <c r="G4296">
        <v>14056</v>
      </c>
      <c r="H4296" s="1">
        <v>4</v>
      </c>
      <c r="I4296">
        <v>6</v>
      </c>
      <c r="J4296">
        <f>IF($H4296=0,1,IF($I4296&lt;=1,2,0))</f>
        <v>0</v>
      </c>
      <c r="K4296">
        <v>0</v>
      </c>
      <c r="L4296">
        <f>IF(AND($J4296=0,$K4296=0),0,1)</f>
        <v>0</v>
      </c>
      <c r="M4296" t="s">
        <v>1188</v>
      </c>
    </row>
    <row r="4297" spans="1:13" x14ac:dyDescent="0.2">
      <c r="A4297" t="s">
        <v>601</v>
      </c>
      <c r="B4297" t="s">
        <v>6</v>
      </c>
      <c r="C4297" t="s">
        <v>11</v>
      </c>
      <c r="D4297">
        <v>8471</v>
      </c>
      <c r="E4297">
        <v>2020</v>
      </c>
      <c r="F4297">
        <v>1</v>
      </c>
      <c r="G4297">
        <v>440</v>
      </c>
      <c r="H4297" s="1">
        <v>4</v>
      </c>
      <c r="I4297">
        <v>14</v>
      </c>
      <c r="J4297">
        <f>IF($H4297=0,1,IF($I4297&lt;=1,2,0))</f>
        <v>0</v>
      </c>
      <c r="K4297">
        <v>0</v>
      </c>
      <c r="L4297">
        <f>IF(AND($J4297=0,$K4297=0),0,1)</f>
        <v>0</v>
      </c>
    </row>
    <row r="4298" spans="1:13" x14ac:dyDescent="0.2">
      <c r="A4298" t="s">
        <v>621</v>
      </c>
      <c r="B4298" t="s">
        <v>17</v>
      </c>
      <c r="C4298" t="s">
        <v>9</v>
      </c>
      <c r="D4298">
        <v>1101</v>
      </c>
      <c r="E4298">
        <v>2020</v>
      </c>
      <c r="F4298">
        <v>1</v>
      </c>
      <c r="G4298">
        <v>11074</v>
      </c>
      <c r="H4298" s="1">
        <v>4</v>
      </c>
      <c r="I4298">
        <v>9</v>
      </c>
      <c r="J4298">
        <f>IF($H4298=0,1,IF($I4298&lt;=1,2,0))</f>
        <v>0</v>
      </c>
      <c r="K4298">
        <v>0</v>
      </c>
      <c r="L4298">
        <f>IF(AND($J4298=0,$K4298=0),0,1)</f>
        <v>0</v>
      </c>
      <c r="M4298" t="s">
        <v>1949</v>
      </c>
    </row>
    <row r="4299" spans="1:13" x14ac:dyDescent="0.2">
      <c r="A4299" t="s">
        <v>621</v>
      </c>
      <c r="B4299" t="s">
        <v>17</v>
      </c>
      <c r="C4299" t="s">
        <v>9</v>
      </c>
      <c r="D4299">
        <v>1102</v>
      </c>
      <c r="E4299">
        <v>2020</v>
      </c>
      <c r="F4299">
        <v>1</v>
      </c>
      <c r="G4299">
        <v>11075</v>
      </c>
      <c r="H4299" s="1">
        <v>4</v>
      </c>
      <c r="I4299">
        <v>2</v>
      </c>
      <c r="J4299">
        <f>IF($H4299=0,1,IF($I4299&lt;=1,2,0))</f>
        <v>0</v>
      </c>
      <c r="K4299">
        <v>0</v>
      </c>
      <c r="L4299">
        <f>IF(AND($J4299=0,$K4299=0),0,1)</f>
        <v>0</v>
      </c>
      <c r="M4299" t="s">
        <v>2010</v>
      </c>
    </row>
    <row r="4300" spans="1:13" x14ac:dyDescent="0.2">
      <c r="A4300" t="s">
        <v>621</v>
      </c>
      <c r="B4300" t="s">
        <v>17</v>
      </c>
      <c r="C4300" t="s">
        <v>9</v>
      </c>
      <c r="D4300">
        <v>1320</v>
      </c>
      <c r="E4300">
        <v>2020</v>
      </c>
      <c r="F4300">
        <v>1</v>
      </c>
      <c r="G4300">
        <v>11076</v>
      </c>
      <c r="H4300" s="1">
        <v>4</v>
      </c>
      <c r="I4300">
        <v>7</v>
      </c>
      <c r="J4300">
        <f>IF($H4300=0,1,IF($I4300&lt;=1,2,0))</f>
        <v>0</v>
      </c>
      <c r="K4300">
        <v>0</v>
      </c>
      <c r="L4300">
        <f>IF(AND($J4300=0,$K4300=0),0,1)</f>
        <v>0</v>
      </c>
      <c r="M4300" t="s">
        <v>1949</v>
      </c>
    </row>
    <row r="4301" spans="1:13" x14ac:dyDescent="0.2">
      <c r="A4301" t="s">
        <v>621</v>
      </c>
      <c r="B4301" t="s">
        <v>17</v>
      </c>
      <c r="C4301" t="s">
        <v>9</v>
      </c>
      <c r="D4301">
        <v>1320</v>
      </c>
      <c r="E4301">
        <v>2020</v>
      </c>
      <c r="F4301">
        <v>2</v>
      </c>
      <c r="G4301">
        <v>11080</v>
      </c>
      <c r="H4301" s="1">
        <v>4</v>
      </c>
      <c r="I4301">
        <v>4</v>
      </c>
      <c r="J4301">
        <f>IF($H4301=0,1,IF($I4301&lt;=1,2,0))</f>
        <v>0</v>
      </c>
      <c r="K4301">
        <v>0</v>
      </c>
      <c r="L4301">
        <f>IF(AND($J4301=0,$K4301=0),0,1)</f>
        <v>0</v>
      </c>
      <c r="M4301" t="s">
        <v>1949</v>
      </c>
    </row>
    <row r="4302" spans="1:13" x14ac:dyDescent="0.2">
      <c r="A4302" t="s">
        <v>621</v>
      </c>
      <c r="B4302" t="s">
        <v>17</v>
      </c>
      <c r="C4302" t="s">
        <v>9</v>
      </c>
      <c r="D4302">
        <v>2101</v>
      </c>
      <c r="E4302">
        <v>2020</v>
      </c>
      <c r="F4302">
        <v>1</v>
      </c>
      <c r="G4302">
        <v>11079</v>
      </c>
      <c r="H4302" s="1">
        <v>4</v>
      </c>
      <c r="I4302">
        <v>7</v>
      </c>
      <c r="J4302">
        <f>IF($H4302=0,1,IF($I4302&lt;=1,2,0))</f>
        <v>0</v>
      </c>
      <c r="K4302">
        <v>0</v>
      </c>
      <c r="L4302">
        <f>IF(AND($J4302=0,$K4302=0),0,1)</f>
        <v>0</v>
      </c>
      <c r="M4302" t="s">
        <v>2011</v>
      </c>
    </row>
    <row r="4303" spans="1:13" x14ac:dyDescent="0.2">
      <c r="A4303" t="s">
        <v>621</v>
      </c>
      <c r="B4303" t="s">
        <v>17</v>
      </c>
      <c r="C4303" t="s">
        <v>9</v>
      </c>
      <c r="D4303">
        <v>2120</v>
      </c>
      <c r="E4303">
        <v>2020</v>
      </c>
      <c r="F4303">
        <v>1</v>
      </c>
      <c r="G4303">
        <v>11078</v>
      </c>
      <c r="H4303" s="1">
        <v>4</v>
      </c>
      <c r="I4303">
        <v>8</v>
      </c>
      <c r="J4303">
        <f>IF($H4303=0,1,IF($I4303&lt;=1,2,0))</f>
        <v>0</v>
      </c>
      <c r="K4303">
        <v>0</v>
      </c>
      <c r="L4303">
        <f>IF(AND($J4303=0,$K4303=0),0,1)</f>
        <v>0</v>
      </c>
      <c r="M4303" t="s">
        <v>1196</v>
      </c>
    </row>
    <row r="4304" spans="1:13" x14ac:dyDescent="0.2">
      <c r="A4304" t="s">
        <v>621</v>
      </c>
      <c r="B4304" t="s">
        <v>17</v>
      </c>
      <c r="C4304" t="s">
        <v>9</v>
      </c>
      <c r="D4304">
        <v>3101</v>
      </c>
      <c r="E4304">
        <v>2020</v>
      </c>
      <c r="F4304">
        <v>1</v>
      </c>
      <c r="G4304">
        <v>11081</v>
      </c>
      <c r="H4304" s="1">
        <v>3</v>
      </c>
      <c r="I4304">
        <v>6</v>
      </c>
      <c r="J4304">
        <f>IF($H4304=0,1,IF($I4304&lt;=1,2,0))</f>
        <v>0</v>
      </c>
      <c r="K4304">
        <v>0</v>
      </c>
      <c r="L4304">
        <f>IF(AND($J4304=0,$K4304=0),0,1)</f>
        <v>0</v>
      </c>
      <c r="M4304" t="s">
        <v>1197</v>
      </c>
    </row>
    <row r="4305" spans="1:13" x14ac:dyDescent="0.2">
      <c r="A4305" t="s">
        <v>621</v>
      </c>
      <c r="B4305" t="s">
        <v>17</v>
      </c>
      <c r="C4305" t="s">
        <v>9</v>
      </c>
      <c r="D4305">
        <v>3490</v>
      </c>
      <c r="E4305">
        <v>2020</v>
      </c>
      <c r="F4305">
        <v>1</v>
      </c>
      <c r="G4305">
        <v>11083</v>
      </c>
      <c r="H4305" s="1">
        <v>3</v>
      </c>
      <c r="I4305">
        <v>15</v>
      </c>
      <c r="J4305">
        <f>IF($H4305=0,1,IF($I4305&lt;=1,2,0))</f>
        <v>0</v>
      </c>
      <c r="K4305">
        <v>0</v>
      </c>
      <c r="L4305">
        <f>IF(AND($J4305=0,$K4305=0),0,1)</f>
        <v>0</v>
      </c>
      <c r="M4305" t="s">
        <v>1197</v>
      </c>
    </row>
    <row r="4306" spans="1:13" x14ac:dyDescent="0.2">
      <c r="A4306" t="s">
        <v>621</v>
      </c>
      <c r="B4306" t="s">
        <v>17</v>
      </c>
      <c r="C4306" t="s">
        <v>9</v>
      </c>
      <c r="D4306">
        <v>3601</v>
      </c>
      <c r="E4306">
        <v>2020</v>
      </c>
      <c r="F4306">
        <v>1</v>
      </c>
      <c r="G4306">
        <v>21878</v>
      </c>
      <c r="H4306" s="1">
        <v>3</v>
      </c>
      <c r="I4306">
        <v>13</v>
      </c>
      <c r="J4306">
        <f>IF($H4306=0,1,IF($I4306&lt;=1,2,0))</f>
        <v>0</v>
      </c>
      <c r="K4306">
        <v>0</v>
      </c>
      <c r="L4306">
        <f>IF(AND($J4306=0,$K4306=0),0,1)</f>
        <v>0</v>
      </c>
      <c r="M4306" t="s">
        <v>1198</v>
      </c>
    </row>
    <row r="4307" spans="1:13" x14ac:dyDescent="0.2">
      <c r="A4307" t="s">
        <v>621</v>
      </c>
      <c r="B4307" t="s">
        <v>17</v>
      </c>
      <c r="C4307" t="s">
        <v>9</v>
      </c>
      <c r="D4307">
        <v>4033</v>
      </c>
      <c r="E4307">
        <v>2020</v>
      </c>
      <c r="F4307">
        <v>1</v>
      </c>
      <c r="G4307">
        <v>15456</v>
      </c>
      <c r="H4307" s="1">
        <v>3</v>
      </c>
      <c r="I4307">
        <v>5</v>
      </c>
      <c r="J4307">
        <f>IF($H4307=0,1,IF($I4307&lt;=1,2,0))</f>
        <v>0</v>
      </c>
      <c r="K4307">
        <v>0</v>
      </c>
      <c r="L4307">
        <f>IF(AND($J4307=0,$K4307=0),0,1)</f>
        <v>0</v>
      </c>
      <c r="M4307" t="s">
        <v>1199</v>
      </c>
    </row>
    <row r="4308" spans="1:13" x14ac:dyDescent="0.2">
      <c r="A4308" t="s">
        <v>621</v>
      </c>
      <c r="B4308" t="s">
        <v>17</v>
      </c>
      <c r="C4308" t="s">
        <v>11</v>
      </c>
      <c r="D4308">
        <v>6466</v>
      </c>
      <c r="E4308">
        <v>2020</v>
      </c>
      <c r="F4308">
        <v>1</v>
      </c>
      <c r="G4308">
        <v>21880</v>
      </c>
      <c r="H4308" s="1">
        <v>4</v>
      </c>
      <c r="I4308">
        <v>7</v>
      </c>
      <c r="J4308">
        <f>IF($H4308=0,1,IF($I4308&lt;=1,2,0))</f>
        <v>0</v>
      </c>
      <c r="K4308">
        <v>0</v>
      </c>
      <c r="L4308">
        <f>IF(AND($J4308=0,$K4308=0),0,1)</f>
        <v>0</v>
      </c>
    </row>
    <row r="4309" spans="1:13" x14ac:dyDescent="0.2">
      <c r="A4309" t="s">
        <v>623</v>
      </c>
      <c r="B4309" t="s">
        <v>133</v>
      </c>
      <c r="C4309" t="s">
        <v>9</v>
      </c>
      <c r="D4309">
        <v>1001</v>
      </c>
      <c r="E4309">
        <v>2020</v>
      </c>
      <c r="F4309">
        <v>1</v>
      </c>
      <c r="G4309">
        <v>10065</v>
      </c>
      <c r="H4309" s="1">
        <v>3</v>
      </c>
      <c r="I4309">
        <v>205</v>
      </c>
      <c r="J4309">
        <f>IF($H4309=0,1,IF($I4309&lt;=1,2,0))</f>
        <v>0</v>
      </c>
      <c r="K4309">
        <v>0</v>
      </c>
      <c r="L4309">
        <f>IF(AND($J4309=0,$K4309=0),0,1)</f>
        <v>0</v>
      </c>
      <c r="M4309" t="s">
        <v>624</v>
      </c>
    </row>
    <row r="4310" spans="1:13" x14ac:dyDescent="0.2">
      <c r="A4310" t="s">
        <v>623</v>
      </c>
      <c r="B4310" t="s">
        <v>133</v>
      </c>
      <c r="C4310" t="s">
        <v>9</v>
      </c>
      <c r="D4310">
        <v>1001</v>
      </c>
      <c r="E4310">
        <v>2020</v>
      </c>
      <c r="F4310">
        <v>3</v>
      </c>
      <c r="G4310">
        <v>13741</v>
      </c>
      <c r="H4310" s="1">
        <v>3</v>
      </c>
      <c r="I4310">
        <v>183</v>
      </c>
      <c r="J4310">
        <f>IF($H4310=0,1,IF($I4310&lt;=1,2,0))</f>
        <v>0</v>
      </c>
      <c r="K4310">
        <v>0</v>
      </c>
      <c r="L4310">
        <f>IF(AND($J4310=0,$K4310=0),0,1)</f>
        <v>0</v>
      </c>
      <c r="M4310" t="s">
        <v>624</v>
      </c>
    </row>
    <row r="4311" spans="1:13" x14ac:dyDescent="0.2">
      <c r="A4311" t="s">
        <v>623</v>
      </c>
      <c r="B4311" t="s">
        <v>133</v>
      </c>
      <c r="C4311" t="s">
        <v>9</v>
      </c>
      <c r="D4311">
        <v>1001</v>
      </c>
      <c r="E4311">
        <v>2020</v>
      </c>
      <c r="F4311">
        <v>2</v>
      </c>
      <c r="G4311">
        <v>10087</v>
      </c>
      <c r="H4311" s="1">
        <v>3</v>
      </c>
      <c r="I4311">
        <v>121</v>
      </c>
      <c r="J4311">
        <f>IF($H4311=0,1,IF($I4311&lt;=1,2,0))</f>
        <v>0</v>
      </c>
      <c r="K4311">
        <v>0</v>
      </c>
      <c r="L4311">
        <f>IF(AND($J4311=0,$K4311=0),0,1)</f>
        <v>0</v>
      </c>
      <c r="M4311" t="s">
        <v>624</v>
      </c>
    </row>
    <row r="4312" spans="1:13" x14ac:dyDescent="0.2">
      <c r="A4312" t="s">
        <v>623</v>
      </c>
      <c r="B4312" t="s">
        <v>133</v>
      </c>
      <c r="C4312" t="s">
        <v>9</v>
      </c>
      <c r="D4312">
        <v>1490</v>
      </c>
      <c r="E4312">
        <v>2020</v>
      </c>
      <c r="F4312">
        <v>1</v>
      </c>
      <c r="G4312">
        <v>10088</v>
      </c>
      <c r="H4312" s="1">
        <v>4</v>
      </c>
      <c r="I4312">
        <v>68</v>
      </c>
      <c r="J4312">
        <f>IF($H4312=0,1,IF($I4312&lt;=1,2,0))</f>
        <v>0</v>
      </c>
      <c r="K4312">
        <v>0</v>
      </c>
      <c r="L4312">
        <f>IF(AND($J4312=0,$K4312=0),0,1)</f>
        <v>0</v>
      </c>
    </row>
    <row r="4313" spans="1:13" x14ac:dyDescent="0.2">
      <c r="A4313" t="s">
        <v>623</v>
      </c>
      <c r="B4313" t="s">
        <v>133</v>
      </c>
      <c r="C4313" t="s">
        <v>9</v>
      </c>
      <c r="D4313">
        <v>1610</v>
      </c>
      <c r="E4313">
        <v>2020</v>
      </c>
      <c r="F4313">
        <v>1</v>
      </c>
      <c r="G4313">
        <v>10089</v>
      </c>
      <c r="H4313" s="1">
        <v>4</v>
      </c>
      <c r="I4313">
        <v>56</v>
      </c>
      <c r="J4313">
        <f>IF($H4313=0,1,IF($I4313&lt;=1,2,0))</f>
        <v>0</v>
      </c>
      <c r="K4313">
        <v>0</v>
      </c>
      <c r="L4313">
        <f>IF(AND($J4313=0,$K4313=0),0,1)</f>
        <v>0</v>
      </c>
      <c r="M4313" t="s">
        <v>631</v>
      </c>
    </row>
    <row r="4314" spans="1:13" x14ac:dyDescent="0.2">
      <c r="A4314" t="s">
        <v>623</v>
      </c>
      <c r="B4314" t="s">
        <v>133</v>
      </c>
      <c r="C4314" t="s">
        <v>9</v>
      </c>
      <c r="D4314">
        <v>1930</v>
      </c>
      <c r="E4314">
        <v>2020</v>
      </c>
      <c r="F4314">
        <v>1</v>
      </c>
      <c r="G4314">
        <v>15288</v>
      </c>
      <c r="H4314" s="1">
        <v>4</v>
      </c>
      <c r="I4314">
        <v>7</v>
      </c>
      <c r="J4314">
        <f>IF($H4314=0,1,IF($I4314&lt;=1,2,0))</f>
        <v>0</v>
      </c>
      <c r="K4314">
        <v>0</v>
      </c>
      <c r="L4314">
        <f>IF(AND($J4314=0,$K4314=0),0,1)</f>
        <v>0</v>
      </c>
      <c r="M4314" t="s">
        <v>624</v>
      </c>
    </row>
    <row r="4315" spans="1:13" x14ac:dyDescent="0.2">
      <c r="A4315" t="s">
        <v>623</v>
      </c>
      <c r="B4315" t="s">
        <v>133</v>
      </c>
      <c r="C4315" t="s">
        <v>9</v>
      </c>
      <c r="D4315">
        <v>2280</v>
      </c>
      <c r="E4315">
        <v>2020</v>
      </c>
      <c r="F4315">
        <v>1</v>
      </c>
      <c r="G4315">
        <v>20679</v>
      </c>
      <c r="H4315" s="1">
        <v>3</v>
      </c>
      <c r="I4315">
        <v>128</v>
      </c>
      <c r="J4315">
        <f>IF($H4315=0,1,IF($I4315&lt;=1,2,0))</f>
        <v>0</v>
      </c>
      <c r="K4315">
        <v>0</v>
      </c>
      <c r="L4315">
        <f>IF(AND($J4315=0,$K4315=0),0,1)</f>
        <v>0</v>
      </c>
    </row>
    <row r="4316" spans="1:13" x14ac:dyDescent="0.2">
      <c r="A4316" t="s">
        <v>623</v>
      </c>
      <c r="B4316" t="s">
        <v>133</v>
      </c>
      <c r="C4316" t="s">
        <v>9</v>
      </c>
      <c r="D4316">
        <v>2470</v>
      </c>
      <c r="E4316">
        <v>2020</v>
      </c>
      <c r="F4316">
        <v>1</v>
      </c>
      <c r="G4316">
        <v>20754</v>
      </c>
      <c r="H4316" s="1">
        <v>3</v>
      </c>
      <c r="I4316">
        <v>72</v>
      </c>
      <c r="J4316">
        <f>IF($H4316=0,1,IF($I4316&lt;=1,2,0))</f>
        <v>0</v>
      </c>
      <c r="K4316">
        <v>0</v>
      </c>
      <c r="L4316">
        <f>IF(AND($J4316=0,$K4316=0),0,1)</f>
        <v>0</v>
      </c>
    </row>
    <row r="4317" spans="1:13" x14ac:dyDescent="0.2">
      <c r="A4317" t="s">
        <v>623</v>
      </c>
      <c r="B4317" t="s">
        <v>133</v>
      </c>
      <c r="C4317" t="s">
        <v>9</v>
      </c>
      <c r="D4317">
        <v>2620</v>
      </c>
      <c r="E4317">
        <v>2020</v>
      </c>
      <c r="F4317">
        <v>1</v>
      </c>
      <c r="G4317">
        <v>10095</v>
      </c>
      <c r="H4317" s="1">
        <v>3</v>
      </c>
      <c r="I4317">
        <v>248</v>
      </c>
      <c r="J4317">
        <f>IF($H4317=0,1,IF($I4317&lt;=1,2,0))</f>
        <v>0</v>
      </c>
      <c r="K4317">
        <v>0</v>
      </c>
      <c r="L4317">
        <f>IF(AND($J4317=0,$K4317=0),0,1)</f>
        <v>0</v>
      </c>
    </row>
    <row r="4318" spans="1:13" x14ac:dyDescent="0.2">
      <c r="A4318" t="s">
        <v>623</v>
      </c>
      <c r="B4318" t="s">
        <v>133</v>
      </c>
      <c r="C4318" t="s">
        <v>9</v>
      </c>
      <c r="D4318">
        <v>2630</v>
      </c>
      <c r="E4318">
        <v>2020</v>
      </c>
      <c r="F4318">
        <v>1</v>
      </c>
      <c r="G4318">
        <v>10096</v>
      </c>
      <c r="H4318" s="1">
        <v>3</v>
      </c>
      <c r="I4318">
        <v>111</v>
      </c>
      <c r="J4318">
        <f>IF($H4318=0,1,IF($I4318&lt;=1,2,0))</f>
        <v>0</v>
      </c>
      <c r="K4318">
        <v>0</v>
      </c>
      <c r="L4318">
        <f>IF(AND($J4318=0,$K4318=0),0,1)</f>
        <v>0</v>
      </c>
    </row>
    <row r="4319" spans="1:13" x14ac:dyDescent="0.2">
      <c r="A4319" t="s">
        <v>623</v>
      </c>
      <c r="B4319" t="s">
        <v>133</v>
      </c>
      <c r="C4319" t="s">
        <v>9</v>
      </c>
      <c r="D4319">
        <v>3450</v>
      </c>
      <c r="E4319">
        <v>2020</v>
      </c>
      <c r="F4319">
        <v>1</v>
      </c>
      <c r="G4319">
        <v>10105</v>
      </c>
      <c r="H4319" s="1">
        <v>3</v>
      </c>
      <c r="I4319">
        <v>10</v>
      </c>
      <c r="J4319">
        <f>IF($H4319=0,1,IF($I4319&lt;=1,2,0))</f>
        <v>0</v>
      </c>
      <c r="K4319">
        <v>0</v>
      </c>
      <c r="L4319">
        <f>IF(AND($J4319=0,$K4319=0),0,1)</f>
        <v>0</v>
      </c>
      <c r="M4319" t="s">
        <v>1205</v>
      </c>
    </row>
    <row r="4320" spans="1:13" x14ac:dyDescent="0.2">
      <c r="A4320" t="s">
        <v>623</v>
      </c>
      <c r="B4320" t="s">
        <v>133</v>
      </c>
      <c r="C4320" t="s">
        <v>9</v>
      </c>
      <c r="D4320">
        <v>3481</v>
      </c>
      <c r="E4320">
        <v>2020</v>
      </c>
      <c r="F4320">
        <v>1</v>
      </c>
      <c r="G4320">
        <v>10106</v>
      </c>
      <c r="H4320" s="1">
        <v>4</v>
      </c>
      <c r="I4320">
        <v>12</v>
      </c>
      <c r="J4320">
        <f>IF($H4320=0,1,IF($I4320&lt;=1,2,0))</f>
        <v>0</v>
      </c>
      <c r="K4320">
        <v>0</v>
      </c>
      <c r="L4320">
        <f>IF(AND($J4320=0,$K4320=0),0,1)</f>
        <v>0</v>
      </c>
      <c r="M4320" t="s">
        <v>1205</v>
      </c>
    </row>
    <row r="4321" spans="1:13" x14ac:dyDescent="0.2">
      <c r="A4321" t="s">
        <v>623</v>
      </c>
      <c r="B4321" t="s">
        <v>133</v>
      </c>
      <c r="C4321" t="s">
        <v>9</v>
      </c>
      <c r="D4321">
        <v>3496</v>
      </c>
      <c r="E4321">
        <v>2020</v>
      </c>
      <c r="F4321">
        <v>1</v>
      </c>
      <c r="G4321">
        <v>10107</v>
      </c>
      <c r="H4321" s="1">
        <v>3</v>
      </c>
      <c r="I4321">
        <v>14</v>
      </c>
      <c r="J4321">
        <f>IF($H4321=0,1,IF($I4321&lt;=1,2,0))</f>
        <v>0</v>
      </c>
      <c r="K4321">
        <v>0</v>
      </c>
      <c r="L4321">
        <f>IF(AND($J4321=0,$K4321=0),0,1)</f>
        <v>0</v>
      </c>
      <c r="M4321" t="s">
        <v>1205</v>
      </c>
    </row>
    <row r="4322" spans="1:13" x14ac:dyDescent="0.2">
      <c r="A4322" t="s">
        <v>623</v>
      </c>
      <c r="B4322" t="s">
        <v>133</v>
      </c>
      <c r="C4322" t="s">
        <v>9</v>
      </c>
      <c r="D4322">
        <v>3610</v>
      </c>
      <c r="E4322">
        <v>2020</v>
      </c>
      <c r="F4322">
        <v>1</v>
      </c>
      <c r="G4322">
        <v>10757</v>
      </c>
      <c r="H4322" s="1">
        <v>3</v>
      </c>
      <c r="I4322">
        <v>15</v>
      </c>
      <c r="J4322">
        <f>IF($H4322=0,1,IF($I4322&lt;=1,2,0))</f>
        <v>0</v>
      </c>
      <c r="K4322">
        <v>0</v>
      </c>
      <c r="L4322">
        <f>IF(AND($J4322=0,$K4322=0),0,1)</f>
        <v>0</v>
      </c>
      <c r="M4322" t="s">
        <v>1205</v>
      </c>
    </row>
    <row r="4323" spans="1:13" x14ac:dyDescent="0.2">
      <c r="A4323" t="s">
        <v>623</v>
      </c>
      <c r="B4323" t="s">
        <v>133</v>
      </c>
      <c r="C4323" t="s">
        <v>9</v>
      </c>
      <c r="D4323">
        <v>3620</v>
      </c>
      <c r="E4323">
        <v>2020</v>
      </c>
      <c r="F4323">
        <v>1</v>
      </c>
      <c r="G4323">
        <v>10110</v>
      </c>
      <c r="H4323" s="1">
        <v>4</v>
      </c>
      <c r="I4323">
        <v>14</v>
      </c>
      <c r="J4323">
        <f>IF($H4323=0,1,IF($I4323&lt;=1,2,0))</f>
        <v>0</v>
      </c>
      <c r="K4323">
        <v>0</v>
      </c>
      <c r="L4323">
        <f>IF(AND($J4323=0,$K4323=0),0,1)</f>
        <v>0</v>
      </c>
      <c r="M4323" t="s">
        <v>1205</v>
      </c>
    </row>
    <row r="4324" spans="1:13" x14ac:dyDescent="0.2">
      <c r="A4324" t="s">
        <v>623</v>
      </c>
      <c r="B4324" t="s">
        <v>133</v>
      </c>
      <c r="C4324" t="s">
        <v>9</v>
      </c>
      <c r="D4324">
        <v>3910</v>
      </c>
      <c r="E4324">
        <v>2020</v>
      </c>
      <c r="F4324">
        <v>1</v>
      </c>
      <c r="G4324">
        <v>10219</v>
      </c>
      <c r="H4324" s="1">
        <v>1</v>
      </c>
      <c r="I4324">
        <v>28</v>
      </c>
      <c r="J4324">
        <f>IF($H4324=0,1,IF($I4324&lt;=1,2,0))</f>
        <v>0</v>
      </c>
      <c r="K4324">
        <v>0</v>
      </c>
      <c r="L4324">
        <f>IF(AND($J4324=0,$K4324=0),0,1)</f>
        <v>0</v>
      </c>
      <c r="M4324" t="s">
        <v>1205</v>
      </c>
    </row>
    <row r="4325" spans="1:13" x14ac:dyDescent="0.2">
      <c r="A4325" t="s">
        <v>623</v>
      </c>
      <c r="B4325" t="s">
        <v>133</v>
      </c>
      <c r="C4325" t="s">
        <v>9</v>
      </c>
      <c r="D4325">
        <v>3920</v>
      </c>
      <c r="E4325">
        <v>2020</v>
      </c>
      <c r="F4325">
        <v>1</v>
      </c>
      <c r="G4325">
        <v>10282</v>
      </c>
      <c r="H4325" s="1" t="s">
        <v>1823</v>
      </c>
      <c r="I4325">
        <v>27</v>
      </c>
      <c r="J4325">
        <f>IF($H4325=0,1,IF($I4325&lt;=1,2,0))</f>
        <v>0</v>
      </c>
      <c r="K4325">
        <v>0</v>
      </c>
      <c r="L4325">
        <f>IF(AND($J4325=0,$K4325=0),0,1)</f>
        <v>0</v>
      </c>
      <c r="M4325" t="s">
        <v>1205</v>
      </c>
    </row>
    <row r="4326" spans="1:13" x14ac:dyDescent="0.2">
      <c r="A4326" t="s">
        <v>623</v>
      </c>
      <c r="B4326" t="s">
        <v>133</v>
      </c>
      <c r="C4326" t="s">
        <v>9</v>
      </c>
      <c r="D4326">
        <v>4202</v>
      </c>
      <c r="E4326">
        <v>2020</v>
      </c>
      <c r="F4326">
        <v>1</v>
      </c>
      <c r="G4326">
        <v>20777</v>
      </c>
      <c r="H4326" s="1">
        <v>4</v>
      </c>
      <c r="I4326">
        <v>8</v>
      </c>
      <c r="J4326">
        <f>IF($H4326=0,1,IF($I4326&lt;=1,2,0))</f>
        <v>0</v>
      </c>
      <c r="K4326">
        <v>0</v>
      </c>
      <c r="L4326">
        <f>IF(AND($J4326=0,$K4326=0),0,1)</f>
        <v>0</v>
      </c>
      <c r="M4326" t="s">
        <v>1205</v>
      </c>
    </row>
    <row r="4327" spans="1:13" x14ac:dyDescent="0.2">
      <c r="A4327" t="s">
        <v>623</v>
      </c>
      <c r="B4327" t="s">
        <v>133</v>
      </c>
      <c r="C4327" t="s">
        <v>11</v>
      </c>
      <c r="D4327">
        <v>4229</v>
      </c>
      <c r="E4327">
        <v>2020</v>
      </c>
      <c r="F4327">
        <v>1</v>
      </c>
      <c r="G4327">
        <v>10217</v>
      </c>
      <c r="H4327" s="1">
        <v>4</v>
      </c>
      <c r="I4327">
        <v>6</v>
      </c>
      <c r="J4327">
        <f>IF($H4327=0,1,IF($I4327&lt;=1,2,0))</f>
        <v>0</v>
      </c>
      <c r="K4327">
        <v>0</v>
      </c>
      <c r="L4327">
        <f>IF(AND($J4327=0,$K4327=0),0,1)</f>
        <v>0</v>
      </c>
      <c r="M4327" t="s">
        <v>1205</v>
      </c>
    </row>
    <row r="4328" spans="1:13" x14ac:dyDescent="0.2">
      <c r="A4328" t="s">
        <v>623</v>
      </c>
      <c r="B4328" t="s">
        <v>133</v>
      </c>
      <c r="C4328" t="s">
        <v>9</v>
      </c>
      <c r="D4328">
        <v>4236</v>
      </c>
      <c r="E4328">
        <v>2020</v>
      </c>
      <c r="F4328">
        <v>1</v>
      </c>
      <c r="G4328">
        <v>13455</v>
      </c>
      <c r="H4328" s="1">
        <v>4</v>
      </c>
      <c r="I4328">
        <v>14</v>
      </c>
      <c r="J4328">
        <f>IF($H4328=0,1,IF($I4328&lt;=1,2,0))</f>
        <v>0</v>
      </c>
      <c r="K4328">
        <v>0</v>
      </c>
      <c r="L4328">
        <f>IF(AND($J4328=0,$K4328=0),0,1)</f>
        <v>0</v>
      </c>
      <c r="M4328" t="s">
        <v>1205</v>
      </c>
    </row>
    <row r="4329" spans="1:13" x14ac:dyDescent="0.2">
      <c r="A4329" t="s">
        <v>623</v>
      </c>
      <c r="B4329" t="s">
        <v>133</v>
      </c>
      <c r="C4329" t="s">
        <v>9</v>
      </c>
      <c r="D4329">
        <v>4239</v>
      </c>
      <c r="E4329">
        <v>2020</v>
      </c>
      <c r="F4329">
        <v>2</v>
      </c>
      <c r="G4329">
        <v>10101</v>
      </c>
      <c r="H4329" s="1">
        <v>3</v>
      </c>
      <c r="I4329">
        <v>16</v>
      </c>
      <c r="J4329">
        <f>IF($H4329=0,1,IF($I4329&lt;=1,2,0))</f>
        <v>0</v>
      </c>
      <c r="K4329">
        <v>0</v>
      </c>
      <c r="L4329">
        <f>IF(AND($J4329=0,$K4329=0),0,1)</f>
        <v>0</v>
      </c>
      <c r="M4329" t="s">
        <v>1205</v>
      </c>
    </row>
    <row r="4330" spans="1:13" x14ac:dyDescent="0.2">
      <c r="A4330" t="s">
        <v>623</v>
      </c>
      <c r="B4330" t="s">
        <v>133</v>
      </c>
      <c r="C4330" t="s">
        <v>9</v>
      </c>
      <c r="D4330">
        <v>4239</v>
      </c>
      <c r="E4330">
        <v>2020</v>
      </c>
      <c r="F4330">
        <v>1</v>
      </c>
      <c r="G4330">
        <v>10100</v>
      </c>
      <c r="H4330" s="1">
        <v>3</v>
      </c>
      <c r="I4330">
        <v>13</v>
      </c>
      <c r="J4330">
        <f>IF($H4330=0,1,IF($I4330&lt;=1,2,0))</f>
        <v>0</v>
      </c>
      <c r="K4330">
        <v>0</v>
      </c>
      <c r="L4330">
        <f>IF(AND($J4330=0,$K4330=0),0,1)</f>
        <v>0</v>
      </c>
      <c r="M4330" t="s">
        <v>1205</v>
      </c>
    </row>
    <row r="4331" spans="1:13" x14ac:dyDescent="0.2">
      <c r="A4331" t="s">
        <v>623</v>
      </c>
      <c r="B4331" t="s">
        <v>133</v>
      </c>
      <c r="C4331" t="s">
        <v>9</v>
      </c>
      <c r="D4331">
        <v>4244</v>
      </c>
      <c r="E4331">
        <v>2020</v>
      </c>
      <c r="F4331">
        <v>1</v>
      </c>
      <c r="G4331">
        <v>10103</v>
      </c>
      <c r="H4331" s="1">
        <v>4</v>
      </c>
      <c r="I4331">
        <v>12</v>
      </c>
      <c r="J4331">
        <f>IF($H4331=0,1,IF($I4331&lt;=1,2,0))</f>
        <v>0</v>
      </c>
      <c r="K4331">
        <v>0</v>
      </c>
      <c r="L4331">
        <f>IF(AND($J4331=0,$K4331=0),0,1)</f>
        <v>0</v>
      </c>
      <c r="M4331" t="s">
        <v>1205</v>
      </c>
    </row>
    <row r="4332" spans="1:13" x14ac:dyDescent="0.2">
      <c r="A4332" t="s">
        <v>623</v>
      </c>
      <c r="B4332" t="s">
        <v>133</v>
      </c>
      <c r="C4332" t="s">
        <v>11</v>
      </c>
      <c r="D4332">
        <v>4280</v>
      </c>
      <c r="E4332">
        <v>2020</v>
      </c>
      <c r="F4332">
        <v>1</v>
      </c>
      <c r="G4332">
        <v>13747</v>
      </c>
      <c r="H4332" s="1">
        <v>4</v>
      </c>
      <c r="I4332">
        <v>14</v>
      </c>
      <c r="J4332">
        <f>IF($H4332=0,1,IF($I4332&lt;=1,2,0))</f>
        <v>0</v>
      </c>
      <c r="K4332">
        <v>0</v>
      </c>
      <c r="L4332">
        <f>IF(AND($J4332=0,$K4332=0),0,1)</f>
        <v>0</v>
      </c>
      <c r="M4332" t="s">
        <v>1205</v>
      </c>
    </row>
    <row r="4333" spans="1:13" x14ac:dyDescent="0.2">
      <c r="A4333" t="s">
        <v>623</v>
      </c>
      <c r="B4333" t="s">
        <v>133</v>
      </c>
      <c r="C4333" t="s">
        <v>9</v>
      </c>
      <c r="D4333">
        <v>4282</v>
      </c>
      <c r="E4333">
        <v>2020</v>
      </c>
      <c r="F4333">
        <v>1</v>
      </c>
      <c r="G4333">
        <v>14386</v>
      </c>
      <c r="H4333" s="1">
        <v>4</v>
      </c>
      <c r="I4333">
        <v>13</v>
      </c>
      <c r="J4333">
        <f>IF($H4333=0,1,IF($I4333&lt;=1,2,0))</f>
        <v>0</v>
      </c>
      <c r="K4333">
        <v>0</v>
      </c>
      <c r="L4333">
        <f>IF(AND($J4333=0,$K4333=0),0,1)</f>
        <v>0</v>
      </c>
      <c r="M4333" t="s">
        <v>1205</v>
      </c>
    </row>
    <row r="4334" spans="1:13" x14ac:dyDescent="0.2">
      <c r="A4334" t="s">
        <v>623</v>
      </c>
      <c r="B4334" t="s">
        <v>133</v>
      </c>
      <c r="C4334" t="s">
        <v>11</v>
      </c>
      <c r="D4334">
        <v>4498</v>
      </c>
      <c r="E4334">
        <v>2020</v>
      </c>
      <c r="F4334">
        <v>1</v>
      </c>
      <c r="G4334">
        <v>10109</v>
      </c>
      <c r="H4334" s="1">
        <v>4</v>
      </c>
      <c r="I4334">
        <v>14</v>
      </c>
      <c r="J4334">
        <f>IF($H4334=0,1,IF($I4334&lt;=1,2,0))</f>
        <v>0</v>
      </c>
      <c r="K4334">
        <v>0</v>
      </c>
      <c r="L4334">
        <f>IF(AND($J4334=0,$K4334=0),0,1)</f>
        <v>0</v>
      </c>
      <c r="M4334" t="s">
        <v>1205</v>
      </c>
    </row>
    <row r="4335" spans="1:13" x14ac:dyDescent="0.2">
      <c r="A4335" t="s">
        <v>623</v>
      </c>
      <c r="B4335" t="s">
        <v>133</v>
      </c>
      <c r="C4335" t="s">
        <v>9</v>
      </c>
      <c r="D4335">
        <v>4612</v>
      </c>
      <c r="E4335">
        <v>2020</v>
      </c>
      <c r="F4335">
        <v>1</v>
      </c>
      <c r="G4335">
        <v>21573</v>
      </c>
      <c r="H4335" s="1">
        <v>4</v>
      </c>
      <c r="I4335">
        <v>21</v>
      </c>
      <c r="J4335">
        <f>IF($H4335=0,1,IF($I4335&lt;=1,2,0))</f>
        <v>0</v>
      </c>
      <c r="K4335">
        <v>0</v>
      </c>
      <c r="L4335">
        <f>IF(AND($J4335=0,$K4335=0),0,1)</f>
        <v>0</v>
      </c>
      <c r="M4335" t="s">
        <v>1205</v>
      </c>
    </row>
    <row r="4336" spans="1:13" x14ac:dyDescent="0.2">
      <c r="A4336" t="s">
        <v>623</v>
      </c>
      <c r="B4336" t="s">
        <v>133</v>
      </c>
      <c r="C4336" t="s">
        <v>11</v>
      </c>
      <c r="D4336">
        <v>4615</v>
      </c>
      <c r="E4336">
        <v>2020</v>
      </c>
      <c r="F4336">
        <v>1</v>
      </c>
      <c r="G4336">
        <v>10112</v>
      </c>
      <c r="H4336" s="1">
        <v>4</v>
      </c>
      <c r="I4336">
        <v>13</v>
      </c>
      <c r="J4336">
        <f>IF($H4336=0,1,IF($I4336&lt;=1,2,0))</f>
        <v>0</v>
      </c>
      <c r="K4336">
        <v>0</v>
      </c>
      <c r="L4336">
        <f>IF(AND($J4336=0,$K4336=0),0,1)</f>
        <v>0</v>
      </c>
      <c r="M4336" t="s">
        <v>1205</v>
      </c>
    </row>
    <row r="4337" spans="1:13" x14ac:dyDescent="0.2">
      <c r="A4337" t="s">
        <v>623</v>
      </c>
      <c r="B4337" t="s">
        <v>133</v>
      </c>
      <c r="C4337" t="s">
        <v>11</v>
      </c>
      <c r="D4337">
        <v>4615</v>
      </c>
      <c r="E4337">
        <v>2020</v>
      </c>
      <c r="F4337">
        <v>2</v>
      </c>
      <c r="G4337">
        <v>10113</v>
      </c>
      <c r="H4337" s="1">
        <v>4</v>
      </c>
      <c r="I4337">
        <v>11</v>
      </c>
      <c r="J4337">
        <f>IF($H4337=0,1,IF($I4337&lt;=1,2,0))</f>
        <v>0</v>
      </c>
      <c r="K4337">
        <v>0</v>
      </c>
      <c r="L4337">
        <f>IF(AND($J4337=0,$K4337=0),0,1)</f>
        <v>0</v>
      </c>
      <c r="M4337" t="s">
        <v>1205</v>
      </c>
    </row>
    <row r="4338" spans="1:13" x14ac:dyDescent="0.2">
      <c r="A4338" t="s">
        <v>623</v>
      </c>
      <c r="B4338" t="s">
        <v>133</v>
      </c>
      <c r="C4338" t="s">
        <v>11</v>
      </c>
      <c r="D4338">
        <v>4645</v>
      </c>
      <c r="E4338">
        <v>2020</v>
      </c>
      <c r="F4338">
        <v>1</v>
      </c>
      <c r="G4338">
        <v>10829</v>
      </c>
      <c r="H4338" s="1">
        <v>4</v>
      </c>
      <c r="I4338">
        <v>14</v>
      </c>
      <c r="J4338">
        <f>IF($H4338=0,1,IF($I4338&lt;=1,2,0))</f>
        <v>0</v>
      </c>
      <c r="K4338">
        <v>0</v>
      </c>
      <c r="L4338">
        <f>IF(AND($J4338=0,$K4338=0),0,1)</f>
        <v>0</v>
      </c>
      <c r="M4338" t="s">
        <v>1205</v>
      </c>
    </row>
    <row r="4339" spans="1:13" x14ac:dyDescent="0.2">
      <c r="A4339" t="s">
        <v>623</v>
      </c>
      <c r="B4339" t="s">
        <v>133</v>
      </c>
      <c r="C4339" t="s">
        <v>11</v>
      </c>
      <c r="D4339">
        <v>4672</v>
      </c>
      <c r="E4339">
        <v>2020</v>
      </c>
      <c r="F4339">
        <v>1</v>
      </c>
      <c r="G4339">
        <v>10115</v>
      </c>
      <c r="H4339" s="1">
        <v>4</v>
      </c>
      <c r="I4339">
        <v>12</v>
      </c>
      <c r="J4339">
        <f>IF($H4339=0,1,IF($I4339&lt;=1,2,0))</f>
        <v>0</v>
      </c>
      <c r="K4339">
        <v>0</v>
      </c>
      <c r="L4339">
        <f>IF(AND($J4339=0,$K4339=0),0,1)</f>
        <v>0</v>
      </c>
      <c r="M4339" t="s">
        <v>1205</v>
      </c>
    </row>
    <row r="4340" spans="1:13" x14ac:dyDescent="0.2">
      <c r="A4340" t="s">
        <v>623</v>
      </c>
      <c r="B4340" t="s">
        <v>133</v>
      </c>
      <c r="C4340" t="s">
        <v>9</v>
      </c>
      <c r="D4340">
        <v>4682</v>
      </c>
      <c r="E4340">
        <v>2020</v>
      </c>
      <c r="F4340">
        <v>1</v>
      </c>
      <c r="G4340">
        <v>10116</v>
      </c>
      <c r="H4340" s="1">
        <v>4</v>
      </c>
      <c r="I4340">
        <v>11</v>
      </c>
      <c r="J4340">
        <f>IF($H4340=0,1,IF($I4340&lt;=1,2,0))</f>
        <v>0</v>
      </c>
      <c r="K4340">
        <v>0</v>
      </c>
      <c r="L4340">
        <f>IF(AND($J4340=0,$K4340=0),0,1)</f>
        <v>0</v>
      </c>
      <c r="M4340" t="s">
        <v>1205</v>
      </c>
    </row>
    <row r="4341" spans="1:13" x14ac:dyDescent="0.2">
      <c r="A4341" t="s">
        <v>623</v>
      </c>
      <c r="B4341" t="s">
        <v>133</v>
      </c>
      <c r="C4341" t="s">
        <v>11</v>
      </c>
      <c r="D4341">
        <v>6007</v>
      </c>
      <c r="E4341">
        <v>2020</v>
      </c>
      <c r="F4341">
        <v>1</v>
      </c>
      <c r="G4341">
        <v>20680</v>
      </c>
      <c r="H4341" s="1">
        <v>4</v>
      </c>
      <c r="I4341">
        <v>15</v>
      </c>
      <c r="J4341">
        <f>IF($H4341=0,1,IF($I4341&lt;=1,2,0))</f>
        <v>0</v>
      </c>
      <c r="K4341">
        <v>0</v>
      </c>
      <c r="L4341">
        <f>IF(AND($J4341=0,$K4341=0),0,1)</f>
        <v>0</v>
      </c>
    </row>
    <row r="4342" spans="1:13" x14ac:dyDescent="0.2">
      <c r="A4342" t="s">
        <v>623</v>
      </c>
      <c r="B4342" t="s">
        <v>133</v>
      </c>
      <c r="C4342" t="s">
        <v>11</v>
      </c>
      <c r="D4342">
        <v>6200</v>
      </c>
      <c r="E4342">
        <v>2020</v>
      </c>
      <c r="F4342">
        <v>1</v>
      </c>
      <c r="G4342">
        <v>10119</v>
      </c>
      <c r="H4342" s="1" t="s">
        <v>1833</v>
      </c>
      <c r="I4342">
        <v>5</v>
      </c>
      <c r="J4342">
        <f>IF($H4342=0,1,IF($I4342&lt;=1,2,0))</f>
        <v>0</v>
      </c>
      <c r="K4342">
        <v>0</v>
      </c>
      <c r="L4342">
        <f>IF(AND($J4342=0,$K4342=0),0,1)</f>
        <v>0</v>
      </c>
    </row>
    <row r="4343" spans="1:13" x14ac:dyDescent="0.2">
      <c r="A4343" t="s">
        <v>623</v>
      </c>
      <c r="B4343" t="s">
        <v>133</v>
      </c>
      <c r="C4343" t="s">
        <v>11</v>
      </c>
      <c r="D4343">
        <v>6500</v>
      </c>
      <c r="E4343">
        <v>2020</v>
      </c>
      <c r="F4343">
        <v>1</v>
      </c>
      <c r="G4343">
        <v>20775</v>
      </c>
      <c r="H4343" s="1">
        <v>3</v>
      </c>
      <c r="I4343">
        <v>16</v>
      </c>
      <c r="J4343">
        <f>IF($H4343=0,1,IF($I4343&lt;=1,2,0))</f>
        <v>0</v>
      </c>
      <c r="K4343">
        <v>0</v>
      </c>
      <c r="L4343">
        <f>IF(AND($J4343=0,$K4343=0),0,1)</f>
        <v>0</v>
      </c>
    </row>
    <row r="4344" spans="1:13" x14ac:dyDescent="0.2">
      <c r="A4344" t="s">
        <v>623</v>
      </c>
      <c r="B4344" t="s">
        <v>133</v>
      </c>
      <c r="C4344" t="s">
        <v>11</v>
      </c>
      <c r="D4344">
        <v>6600</v>
      </c>
      <c r="E4344">
        <v>2020</v>
      </c>
      <c r="F4344">
        <v>1</v>
      </c>
      <c r="G4344">
        <v>15851</v>
      </c>
      <c r="H4344" s="1" t="s">
        <v>1823</v>
      </c>
      <c r="I4344">
        <v>36</v>
      </c>
      <c r="J4344">
        <f>IF($H4344=0,1,IF($I4344&lt;=1,2,0))</f>
        <v>0</v>
      </c>
      <c r="K4344">
        <v>0</v>
      </c>
      <c r="L4344">
        <f>IF(AND($J4344=0,$K4344=0),0,1)</f>
        <v>0</v>
      </c>
    </row>
    <row r="4345" spans="1:13" x14ac:dyDescent="0.2">
      <c r="A4345" t="s">
        <v>641</v>
      </c>
      <c r="B4345" t="s">
        <v>17</v>
      </c>
      <c r="C4345" t="s">
        <v>9</v>
      </c>
      <c r="D4345">
        <v>1101</v>
      </c>
      <c r="E4345">
        <v>2020</v>
      </c>
      <c r="F4345">
        <v>1</v>
      </c>
      <c r="G4345">
        <v>11964</v>
      </c>
      <c r="H4345" s="1">
        <v>4</v>
      </c>
      <c r="I4345">
        <v>5</v>
      </c>
      <c r="J4345">
        <f>IF($H4345=0,1,IF($I4345&lt;=1,2,0))</f>
        <v>0</v>
      </c>
      <c r="K4345">
        <v>0</v>
      </c>
      <c r="L4345">
        <f>IF(AND($J4345=0,$K4345=0),0,1)</f>
        <v>0</v>
      </c>
    </row>
    <row r="4346" spans="1:13" x14ac:dyDescent="0.2">
      <c r="A4346" t="s">
        <v>641</v>
      </c>
      <c r="B4346" t="s">
        <v>17</v>
      </c>
      <c r="C4346" t="s">
        <v>9</v>
      </c>
      <c r="D4346">
        <v>2101</v>
      </c>
      <c r="E4346">
        <v>2020</v>
      </c>
      <c r="F4346">
        <v>1</v>
      </c>
      <c r="G4346">
        <v>11965</v>
      </c>
      <c r="H4346" s="1">
        <v>4</v>
      </c>
      <c r="I4346">
        <v>7</v>
      </c>
      <c r="J4346">
        <f>IF($H4346=0,1,IF($I4346&lt;=1,2,0))</f>
        <v>0</v>
      </c>
      <c r="K4346">
        <v>0</v>
      </c>
      <c r="L4346">
        <f>IF(AND($J4346=0,$K4346=0),0,1)</f>
        <v>0</v>
      </c>
    </row>
    <row r="4347" spans="1:13" x14ac:dyDescent="0.2">
      <c r="A4347" t="s">
        <v>642</v>
      </c>
      <c r="B4347" t="s">
        <v>6</v>
      </c>
      <c r="C4347" t="s">
        <v>11</v>
      </c>
      <c r="D4347">
        <v>5015</v>
      </c>
      <c r="E4347">
        <v>2020</v>
      </c>
      <c r="F4347">
        <v>2</v>
      </c>
      <c r="G4347">
        <v>22116</v>
      </c>
      <c r="H4347" s="1">
        <v>4</v>
      </c>
      <c r="I4347">
        <v>52</v>
      </c>
      <c r="J4347">
        <f>IF($H4347=0,1,IF($I4347&lt;=1,2,0))</f>
        <v>0</v>
      </c>
      <c r="K4347">
        <v>0</v>
      </c>
      <c r="L4347">
        <f>IF(AND($J4347=0,$K4347=0),0,1)</f>
        <v>0</v>
      </c>
      <c r="M4347" t="s">
        <v>1216</v>
      </c>
    </row>
    <row r="4348" spans="1:13" x14ac:dyDescent="0.2">
      <c r="A4348" t="s">
        <v>642</v>
      </c>
      <c r="B4348" t="s">
        <v>6</v>
      </c>
      <c r="C4348" t="s">
        <v>11</v>
      </c>
      <c r="D4348">
        <v>5016</v>
      </c>
      <c r="E4348">
        <v>2020</v>
      </c>
      <c r="F4348">
        <v>2</v>
      </c>
      <c r="G4348">
        <v>22126</v>
      </c>
      <c r="H4348" s="1">
        <v>3</v>
      </c>
      <c r="I4348">
        <v>10</v>
      </c>
      <c r="J4348">
        <f>IF($H4348=0,1,IF($I4348&lt;=1,2,0))</f>
        <v>0</v>
      </c>
      <c r="K4348">
        <v>0</v>
      </c>
      <c r="L4348">
        <f>IF(AND($J4348=0,$K4348=0),0,1)</f>
        <v>0</v>
      </c>
      <c r="M4348" t="s">
        <v>1218</v>
      </c>
    </row>
    <row r="4349" spans="1:13" x14ac:dyDescent="0.2">
      <c r="A4349" t="s">
        <v>642</v>
      </c>
      <c r="B4349" t="s">
        <v>6</v>
      </c>
      <c r="C4349" t="s">
        <v>11</v>
      </c>
      <c r="D4349">
        <v>5052</v>
      </c>
      <c r="E4349">
        <v>2020</v>
      </c>
      <c r="F4349">
        <v>1</v>
      </c>
      <c r="G4349">
        <v>11315</v>
      </c>
      <c r="H4349" s="1">
        <v>2</v>
      </c>
      <c r="I4349">
        <v>28</v>
      </c>
      <c r="J4349">
        <f>IF($H4349=0,1,IF($I4349&lt;=1,2,0))</f>
        <v>0</v>
      </c>
      <c r="K4349">
        <v>0</v>
      </c>
      <c r="L4349">
        <f>IF(AND($J4349=0,$K4349=0),0,1)</f>
        <v>0</v>
      </c>
      <c r="M4349" t="s">
        <v>1224</v>
      </c>
    </row>
    <row r="4350" spans="1:13" x14ac:dyDescent="0.2">
      <c r="A4350" t="s">
        <v>642</v>
      </c>
      <c r="B4350" t="s">
        <v>6</v>
      </c>
      <c r="C4350" t="s">
        <v>11</v>
      </c>
      <c r="D4350">
        <v>5053</v>
      </c>
      <c r="E4350">
        <v>2020</v>
      </c>
      <c r="F4350">
        <v>1</v>
      </c>
      <c r="G4350">
        <v>11313</v>
      </c>
      <c r="H4350" s="1">
        <v>2</v>
      </c>
      <c r="I4350">
        <v>11</v>
      </c>
      <c r="J4350">
        <f>IF($H4350=0,1,IF($I4350&lt;=1,2,0))</f>
        <v>0</v>
      </c>
      <c r="K4350">
        <v>0</v>
      </c>
      <c r="L4350">
        <f>IF(AND($J4350=0,$K4350=0),0,1)</f>
        <v>0</v>
      </c>
      <c r="M4350" t="s">
        <v>1225</v>
      </c>
    </row>
    <row r="4351" spans="1:13" x14ac:dyDescent="0.2">
      <c r="A4351" t="s">
        <v>642</v>
      </c>
      <c r="B4351" t="s">
        <v>6</v>
      </c>
      <c r="C4351" t="s">
        <v>11</v>
      </c>
      <c r="D4351">
        <v>5058</v>
      </c>
      <c r="E4351">
        <v>2020</v>
      </c>
      <c r="F4351">
        <v>1</v>
      </c>
      <c r="G4351">
        <v>11316</v>
      </c>
      <c r="H4351" s="1">
        <v>4</v>
      </c>
      <c r="I4351">
        <v>31</v>
      </c>
      <c r="J4351">
        <f>IF($H4351=0,1,IF($I4351&lt;=1,2,0))</f>
        <v>0</v>
      </c>
      <c r="K4351">
        <v>0</v>
      </c>
      <c r="L4351">
        <f>IF(AND($J4351=0,$K4351=0),0,1)</f>
        <v>0</v>
      </c>
      <c r="M4351" t="s">
        <v>1226</v>
      </c>
    </row>
    <row r="4352" spans="1:13" x14ac:dyDescent="0.2">
      <c r="A4352" t="s">
        <v>642</v>
      </c>
      <c r="B4352" t="s">
        <v>6</v>
      </c>
      <c r="C4352" t="s">
        <v>11</v>
      </c>
      <c r="D4352">
        <v>5067</v>
      </c>
      <c r="E4352">
        <v>2020</v>
      </c>
      <c r="F4352">
        <v>2</v>
      </c>
      <c r="G4352">
        <v>22129</v>
      </c>
      <c r="H4352" s="1">
        <v>4</v>
      </c>
      <c r="I4352">
        <v>21</v>
      </c>
      <c r="J4352">
        <f>IF($H4352=0,1,IF($I4352&lt;=1,2,0))</f>
        <v>0</v>
      </c>
      <c r="K4352">
        <v>0</v>
      </c>
      <c r="L4352">
        <f>IF(AND($J4352=0,$K4352=0),0,1)</f>
        <v>0</v>
      </c>
      <c r="M4352" t="s">
        <v>1227</v>
      </c>
    </row>
    <row r="4353" spans="1:13" x14ac:dyDescent="0.2">
      <c r="A4353" t="s">
        <v>642</v>
      </c>
      <c r="B4353" t="s">
        <v>6</v>
      </c>
      <c r="C4353" t="s">
        <v>11</v>
      </c>
      <c r="D4353">
        <v>5070</v>
      </c>
      <c r="E4353">
        <v>2020</v>
      </c>
      <c r="F4353">
        <v>2</v>
      </c>
      <c r="G4353">
        <v>22131</v>
      </c>
      <c r="H4353" s="1">
        <v>4</v>
      </c>
      <c r="I4353">
        <v>16</v>
      </c>
      <c r="J4353">
        <f>IF($H4353=0,1,IF($I4353&lt;=1,2,0))</f>
        <v>0</v>
      </c>
      <c r="K4353">
        <v>0</v>
      </c>
      <c r="L4353">
        <f>IF(AND($J4353=0,$K4353=0),0,1)</f>
        <v>0</v>
      </c>
      <c r="M4353" t="s">
        <v>1228</v>
      </c>
    </row>
    <row r="4354" spans="1:13" x14ac:dyDescent="0.2">
      <c r="A4354" t="s">
        <v>642</v>
      </c>
      <c r="B4354" t="s">
        <v>6</v>
      </c>
      <c r="C4354" t="s">
        <v>11</v>
      </c>
      <c r="D4354">
        <v>5072</v>
      </c>
      <c r="E4354">
        <v>2020</v>
      </c>
      <c r="F4354">
        <v>1</v>
      </c>
      <c r="G4354">
        <v>11320</v>
      </c>
      <c r="H4354" s="1">
        <v>4</v>
      </c>
      <c r="I4354">
        <v>43</v>
      </c>
      <c r="J4354">
        <f>IF($H4354=0,1,IF($I4354&lt;=1,2,0))</f>
        <v>0</v>
      </c>
      <c r="K4354">
        <v>0</v>
      </c>
      <c r="L4354">
        <f>IF(AND($J4354=0,$K4354=0),0,1)</f>
        <v>0</v>
      </c>
      <c r="M4354" t="s">
        <v>1229</v>
      </c>
    </row>
    <row r="4355" spans="1:13" x14ac:dyDescent="0.2">
      <c r="A4355" t="s">
        <v>642</v>
      </c>
      <c r="B4355" t="s">
        <v>6</v>
      </c>
      <c r="C4355" t="s">
        <v>11</v>
      </c>
      <c r="D4355">
        <v>5073</v>
      </c>
      <c r="E4355">
        <v>2020</v>
      </c>
      <c r="F4355">
        <v>2</v>
      </c>
      <c r="G4355">
        <v>22132</v>
      </c>
      <c r="H4355" s="1">
        <v>4</v>
      </c>
      <c r="I4355">
        <v>32</v>
      </c>
      <c r="J4355">
        <f>IF($H4355=0,1,IF($I4355&lt;=1,2,0))</f>
        <v>0</v>
      </c>
      <c r="K4355">
        <v>0</v>
      </c>
      <c r="L4355">
        <f>IF(AND($J4355=0,$K4355=0),0,1)</f>
        <v>0</v>
      </c>
      <c r="M4355" t="s">
        <v>1228</v>
      </c>
    </row>
    <row r="4356" spans="1:13" x14ac:dyDescent="0.2">
      <c r="A4356" t="s">
        <v>646</v>
      </c>
      <c r="B4356" t="s">
        <v>17</v>
      </c>
      <c r="C4356" t="s">
        <v>21</v>
      </c>
      <c r="D4356">
        <v>1310</v>
      </c>
      <c r="E4356">
        <v>2020</v>
      </c>
      <c r="F4356">
        <v>1</v>
      </c>
      <c r="G4356">
        <v>11196</v>
      </c>
      <c r="H4356" s="1">
        <v>3</v>
      </c>
      <c r="I4356">
        <v>38</v>
      </c>
      <c r="J4356">
        <f>IF($H4356=0,1,IF($I4356&lt;=1,2,0))</f>
        <v>0</v>
      </c>
      <c r="K4356">
        <v>0</v>
      </c>
      <c r="L4356">
        <f>IF(AND($J4356=0,$K4356=0),0,1)</f>
        <v>0</v>
      </c>
    </row>
    <row r="4357" spans="1:13" x14ac:dyDescent="0.2">
      <c r="A4357" t="s">
        <v>646</v>
      </c>
      <c r="B4357" t="s">
        <v>17</v>
      </c>
      <c r="C4357" t="s">
        <v>34</v>
      </c>
      <c r="D4357">
        <v>2205</v>
      </c>
      <c r="E4357">
        <v>2020</v>
      </c>
      <c r="F4357">
        <v>1</v>
      </c>
      <c r="G4357">
        <v>11201</v>
      </c>
      <c r="H4357" s="1">
        <v>4</v>
      </c>
      <c r="I4357">
        <v>61</v>
      </c>
      <c r="J4357">
        <f>IF($H4357=0,1,IF($I4357&lt;=1,2,0))</f>
        <v>0</v>
      </c>
      <c r="K4357">
        <v>0</v>
      </c>
      <c r="L4357">
        <f>IF(AND($J4357=0,$K4357=0),0,1)</f>
        <v>0</v>
      </c>
    </row>
    <row r="4358" spans="1:13" x14ac:dyDescent="0.2">
      <c r="A4358" t="s">
        <v>646</v>
      </c>
      <c r="B4358" t="s">
        <v>17</v>
      </c>
      <c r="C4358" t="s">
        <v>21</v>
      </c>
      <c r="D4358">
        <v>2305</v>
      </c>
      <c r="E4358">
        <v>2020</v>
      </c>
      <c r="F4358">
        <v>1</v>
      </c>
      <c r="G4358">
        <v>759</v>
      </c>
      <c r="H4358" s="1">
        <v>4</v>
      </c>
      <c r="I4358">
        <v>5</v>
      </c>
      <c r="J4358">
        <f>IF($H4358=0,1,IF($I4358&lt;=1,2,0))</f>
        <v>0</v>
      </c>
      <c r="K4358">
        <v>0</v>
      </c>
      <c r="L4358">
        <f>IF(AND($J4358=0,$K4358=0),0,1)</f>
        <v>0</v>
      </c>
    </row>
    <row r="4359" spans="1:13" x14ac:dyDescent="0.2">
      <c r="A4359" t="s">
        <v>646</v>
      </c>
      <c r="B4359" t="s">
        <v>17</v>
      </c>
      <c r="C4359" t="s">
        <v>21</v>
      </c>
      <c r="D4359">
        <v>2306</v>
      </c>
      <c r="E4359">
        <v>2020</v>
      </c>
      <c r="F4359">
        <v>1</v>
      </c>
      <c r="G4359">
        <v>551</v>
      </c>
      <c r="H4359" s="1">
        <v>3</v>
      </c>
      <c r="I4359">
        <v>76</v>
      </c>
      <c r="J4359">
        <f>IF($H4359=0,1,IF($I4359&lt;=1,2,0))</f>
        <v>0</v>
      </c>
      <c r="K4359">
        <v>0</v>
      </c>
      <c r="L4359">
        <f>IF(AND($J4359=0,$K4359=0),0,1)</f>
        <v>0</v>
      </c>
    </row>
    <row r="4360" spans="1:13" x14ac:dyDescent="0.2">
      <c r="A4360" t="s">
        <v>646</v>
      </c>
      <c r="B4360" t="s">
        <v>17</v>
      </c>
      <c r="C4360" t="s">
        <v>9</v>
      </c>
      <c r="D4360">
        <v>2506</v>
      </c>
      <c r="E4360">
        <v>2020</v>
      </c>
      <c r="F4360">
        <v>1</v>
      </c>
      <c r="G4360">
        <v>21418</v>
      </c>
      <c r="H4360" s="1">
        <v>4</v>
      </c>
      <c r="I4360">
        <v>36</v>
      </c>
      <c r="J4360">
        <f>IF($H4360=0,1,IF($I4360&lt;=1,2,0))</f>
        <v>0</v>
      </c>
      <c r="K4360">
        <v>0</v>
      </c>
      <c r="L4360">
        <f>IF(AND($J4360=0,$K4360=0),0,1)</f>
        <v>0</v>
      </c>
    </row>
    <row r="4361" spans="1:13" x14ac:dyDescent="0.2">
      <c r="A4361" t="s">
        <v>646</v>
      </c>
      <c r="B4361" t="s">
        <v>17</v>
      </c>
      <c r="C4361" t="s">
        <v>21</v>
      </c>
      <c r="D4361">
        <v>3199</v>
      </c>
      <c r="E4361">
        <v>2020</v>
      </c>
      <c r="F4361">
        <v>1</v>
      </c>
      <c r="G4361">
        <v>11214</v>
      </c>
      <c r="H4361" s="1">
        <v>4</v>
      </c>
      <c r="I4361">
        <v>15</v>
      </c>
      <c r="J4361">
        <f>IF($H4361=0,1,IF($I4361&lt;=1,2,0))</f>
        <v>0</v>
      </c>
      <c r="K4361">
        <v>0</v>
      </c>
      <c r="L4361">
        <f>IF(AND($J4361=0,$K4361=0),0,1)</f>
        <v>0</v>
      </c>
    </row>
    <row r="4362" spans="1:13" x14ac:dyDescent="0.2">
      <c r="A4362" t="s">
        <v>646</v>
      </c>
      <c r="B4362" t="s">
        <v>17</v>
      </c>
      <c r="C4362" t="s">
        <v>21</v>
      </c>
      <c r="D4362">
        <v>3202</v>
      </c>
      <c r="E4362">
        <v>2020</v>
      </c>
      <c r="F4362">
        <v>1</v>
      </c>
      <c r="G4362">
        <v>571</v>
      </c>
      <c r="H4362" s="1">
        <v>3</v>
      </c>
      <c r="I4362">
        <v>22</v>
      </c>
      <c r="J4362">
        <f>IF($H4362=0,1,IF($I4362&lt;=1,2,0))</f>
        <v>0</v>
      </c>
      <c r="K4362">
        <v>0</v>
      </c>
      <c r="L4362">
        <f>IF(AND($J4362=0,$K4362=0),0,1)</f>
        <v>0</v>
      </c>
    </row>
    <row r="4363" spans="1:13" x14ac:dyDescent="0.2">
      <c r="A4363" t="s">
        <v>646</v>
      </c>
      <c r="B4363" t="s">
        <v>17</v>
      </c>
      <c r="C4363" t="s">
        <v>9</v>
      </c>
      <c r="D4363">
        <v>3207</v>
      </c>
      <c r="E4363">
        <v>2020</v>
      </c>
      <c r="F4363">
        <v>1</v>
      </c>
      <c r="G4363">
        <v>16015</v>
      </c>
      <c r="H4363" s="1">
        <v>4</v>
      </c>
      <c r="I4363">
        <v>3</v>
      </c>
      <c r="J4363">
        <f>IF($H4363=0,1,IF($I4363&lt;=1,2,0))</f>
        <v>0</v>
      </c>
      <c r="K4363">
        <v>0</v>
      </c>
      <c r="L4363">
        <f>IF(AND($J4363=0,$K4363=0),0,1)</f>
        <v>0</v>
      </c>
    </row>
    <row r="4364" spans="1:13" x14ac:dyDescent="0.2">
      <c r="A4364" t="s">
        <v>646</v>
      </c>
      <c r="B4364" t="s">
        <v>17</v>
      </c>
      <c r="C4364" t="s">
        <v>21</v>
      </c>
      <c r="D4364">
        <v>3321</v>
      </c>
      <c r="E4364">
        <v>2020</v>
      </c>
      <c r="F4364">
        <v>1</v>
      </c>
      <c r="G4364">
        <v>624</v>
      </c>
      <c r="H4364" s="1">
        <v>4</v>
      </c>
      <c r="I4364">
        <v>8</v>
      </c>
      <c r="J4364">
        <f>IF($H4364=0,1,IF($I4364&lt;=1,2,0))</f>
        <v>0</v>
      </c>
      <c r="K4364">
        <v>0</v>
      </c>
      <c r="L4364">
        <f>IF(AND($J4364=0,$K4364=0),0,1)</f>
        <v>0</v>
      </c>
      <c r="M4364" t="s">
        <v>1233</v>
      </c>
    </row>
    <row r="4365" spans="1:13" x14ac:dyDescent="0.2">
      <c r="A4365" t="s">
        <v>646</v>
      </c>
      <c r="B4365" t="s">
        <v>17</v>
      </c>
      <c r="C4365" t="s">
        <v>9</v>
      </c>
      <c r="D4365">
        <v>4120</v>
      </c>
      <c r="E4365">
        <v>2020</v>
      </c>
      <c r="F4365">
        <v>1</v>
      </c>
      <c r="G4365">
        <v>570</v>
      </c>
      <c r="H4365" s="1">
        <v>4</v>
      </c>
      <c r="I4365">
        <v>15</v>
      </c>
      <c r="J4365">
        <f>IF($H4365=0,1,IF($I4365&lt;=1,2,0))</f>
        <v>0</v>
      </c>
      <c r="K4365">
        <v>0</v>
      </c>
      <c r="L4365">
        <f>IF(AND($J4365=0,$K4365=0),0,1)</f>
        <v>0</v>
      </c>
    </row>
    <row r="4366" spans="1:13" x14ac:dyDescent="0.2">
      <c r="A4366" t="s">
        <v>646</v>
      </c>
      <c r="B4366" t="s">
        <v>17</v>
      </c>
      <c r="C4366" t="s">
        <v>9</v>
      </c>
      <c r="D4366">
        <v>4209</v>
      </c>
      <c r="E4366">
        <v>2020</v>
      </c>
      <c r="F4366">
        <v>1</v>
      </c>
      <c r="G4366">
        <v>21562</v>
      </c>
      <c r="H4366" s="1">
        <v>4</v>
      </c>
      <c r="I4366">
        <v>14</v>
      </c>
      <c r="J4366">
        <f>IF($H4366=0,1,IF($I4366&lt;=1,2,0))</f>
        <v>0</v>
      </c>
      <c r="K4366">
        <v>0</v>
      </c>
      <c r="L4366">
        <f>IF(AND($J4366=0,$K4366=0),0,1)</f>
        <v>0</v>
      </c>
    </row>
    <row r="4367" spans="1:13" x14ac:dyDescent="0.2">
      <c r="A4367" t="s">
        <v>646</v>
      </c>
      <c r="B4367" t="s">
        <v>17</v>
      </c>
      <c r="C4367" t="s">
        <v>9</v>
      </c>
      <c r="D4367">
        <v>4304</v>
      </c>
      <c r="E4367">
        <v>2020</v>
      </c>
      <c r="F4367">
        <v>1</v>
      </c>
      <c r="G4367">
        <v>622</v>
      </c>
      <c r="H4367" s="1">
        <v>4</v>
      </c>
      <c r="I4367">
        <v>5</v>
      </c>
      <c r="J4367">
        <f>IF($H4367=0,1,IF($I4367&lt;=1,2,0))</f>
        <v>0</v>
      </c>
      <c r="K4367">
        <v>0</v>
      </c>
      <c r="L4367">
        <f>IF(AND($J4367=0,$K4367=0),0,1)</f>
        <v>0</v>
      </c>
    </row>
    <row r="4368" spans="1:13" x14ac:dyDescent="0.2">
      <c r="A4368" t="s">
        <v>646</v>
      </c>
      <c r="B4368" t="s">
        <v>17</v>
      </c>
      <c r="C4368" t="s">
        <v>9</v>
      </c>
      <c r="D4368">
        <v>4307</v>
      </c>
      <c r="E4368">
        <v>2020</v>
      </c>
      <c r="F4368">
        <v>1</v>
      </c>
      <c r="G4368">
        <v>11232</v>
      </c>
      <c r="H4368" s="1">
        <v>4</v>
      </c>
      <c r="I4368">
        <v>10</v>
      </c>
      <c r="J4368">
        <f>IF($H4368=0,1,IF($I4368&lt;=1,2,0))</f>
        <v>0</v>
      </c>
      <c r="K4368">
        <v>0</v>
      </c>
      <c r="L4368">
        <f>IF(AND($J4368=0,$K4368=0),0,1)</f>
        <v>0</v>
      </c>
    </row>
    <row r="4369" spans="1:13" x14ac:dyDescent="0.2">
      <c r="A4369" t="s">
        <v>646</v>
      </c>
      <c r="B4369" t="s">
        <v>17</v>
      </c>
      <c r="C4369" t="s">
        <v>9</v>
      </c>
      <c r="D4369">
        <v>4318</v>
      </c>
      <c r="E4369">
        <v>2020</v>
      </c>
      <c r="F4369">
        <v>1</v>
      </c>
      <c r="G4369">
        <v>11233</v>
      </c>
      <c r="H4369" s="1">
        <v>4</v>
      </c>
      <c r="I4369">
        <v>27</v>
      </c>
      <c r="J4369">
        <f>IF($H4369=0,1,IF($I4369&lt;=1,2,0))</f>
        <v>0</v>
      </c>
      <c r="K4369">
        <v>0</v>
      </c>
      <c r="L4369">
        <f>IF(AND($J4369=0,$K4369=0),0,1)</f>
        <v>0</v>
      </c>
    </row>
    <row r="4370" spans="1:13" x14ac:dyDescent="0.2">
      <c r="A4370" t="s">
        <v>646</v>
      </c>
      <c r="B4370" t="s">
        <v>17</v>
      </c>
      <c r="C4370" t="s">
        <v>9</v>
      </c>
      <c r="D4370">
        <v>4322</v>
      </c>
      <c r="E4370">
        <v>2020</v>
      </c>
      <c r="F4370">
        <v>1</v>
      </c>
      <c r="G4370">
        <v>602</v>
      </c>
      <c r="H4370" s="1">
        <v>4</v>
      </c>
      <c r="I4370">
        <v>9</v>
      </c>
      <c r="J4370">
        <f>IF($H4370=0,1,IF($I4370&lt;=1,2,0))</f>
        <v>0</v>
      </c>
      <c r="K4370">
        <v>0</v>
      </c>
      <c r="L4370">
        <f>IF(AND($J4370=0,$K4370=0),0,1)</f>
        <v>0</v>
      </c>
    </row>
    <row r="4371" spans="1:13" x14ac:dyDescent="0.2">
      <c r="A4371" t="s">
        <v>646</v>
      </c>
      <c r="B4371" t="s">
        <v>17</v>
      </c>
      <c r="C4371" t="s">
        <v>34</v>
      </c>
      <c r="D4371">
        <v>4412</v>
      </c>
      <c r="E4371">
        <v>2020</v>
      </c>
      <c r="F4371">
        <v>1</v>
      </c>
      <c r="G4371">
        <v>21383</v>
      </c>
      <c r="H4371" s="1">
        <v>4</v>
      </c>
      <c r="I4371">
        <v>3</v>
      </c>
      <c r="J4371">
        <f>IF($H4371=0,1,IF($I4371&lt;=1,2,0))</f>
        <v>0</v>
      </c>
      <c r="K4371">
        <v>0</v>
      </c>
      <c r="L4371">
        <f>IF(AND($J4371=0,$K4371=0),0,1)</f>
        <v>0</v>
      </c>
    </row>
    <row r="4372" spans="1:13" x14ac:dyDescent="0.2">
      <c r="A4372" t="s">
        <v>646</v>
      </c>
      <c r="B4372" t="s">
        <v>17</v>
      </c>
      <c r="C4372" t="s">
        <v>34</v>
      </c>
      <c r="D4372">
        <v>6101</v>
      </c>
      <c r="E4372">
        <v>2020</v>
      </c>
      <c r="F4372">
        <v>1</v>
      </c>
      <c r="G4372">
        <v>11235</v>
      </c>
      <c r="H4372" s="1">
        <v>3</v>
      </c>
      <c r="I4372">
        <v>12</v>
      </c>
      <c r="J4372">
        <f>IF($H4372=0,1,IF($I4372&lt;=1,2,0))</f>
        <v>0</v>
      </c>
      <c r="K4372">
        <v>0</v>
      </c>
      <c r="L4372">
        <f>IF(AND($J4372=0,$K4372=0),0,1)</f>
        <v>0</v>
      </c>
    </row>
    <row r="4373" spans="1:13" x14ac:dyDescent="0.2">
      <c r="A4373" t="s">
        <v>646</v>
      </c>
      <c r="B4373" t="s">
        <v>17</v>
      </c>
      <c r="C4373" t="s">
        <v>11</v>
      </c>
      <c r="D4373">
        <v>6615</v>
      </c>
      <c r="E4373">
        <v>2020</v>
      </c>
      <c r="F4373">
        <v>1</v>
      </c>
      <c r="G4373">
        <v>11236</v>
      </c>
      <c r="H4373" s="1">
        <v>4</v>
      </c>
      <c r="I4373">
        <v>4</v>
      </c>
      <c r="J4373">
        <f>IF($H4373=0,1,IF($I4373&lt;=1,2,0))</f>
        <v>0</v>
      </c>
      <c r="K4373">
        <v>0</v>
      </c>
      <c r="L4373">
        <f>IF(AND($J4373=0,$K4373=0),0,1)</f>
        <v>0</v>
      </c>
    </row>
    <row r="4374" spans="1:13" x14ac:dyDescent="0.2">
      <c r="A4374" t="s">
        <v>649</v>
      </c>
      <c r="B4374" t="s">
        <v>17</v>
      </c>
      <c r="C4374" t="s">
        <v>21</v>
      </c>
      <c r="D4374">
        <v>1101</v>
      </c>
      <c r="E4374">
        <v>2020</v>
      </c>
      <c r="F4374">
        <v>2</v>
      </c>
      <c r="G4374">
        <v>10863</v>
      </c>
      <c r="H4374" s="1">
        <v>5</v>
      </c>
      <c r="I4374">
        <v>14</v>
      </c>
      <c r="J4374">
        <f>IF($H4374=0,1,IF($I4374&lt;=1,2,0))</f>
        <v>0</v>
      </c>
      <c r="K4374">
        <v>0</v>
      </c>
      <c r="L4374">
        <f>IF(AND($J4374=0,$K4374=0),0,1)</f>
        <v>0</v>
      </c>
      <c r="M4374" t="s">
        <v>1234</v>
      </c>
    </row>
    <row r="4375" spans="1:13" x14ac:dyDescent="0.2">
      <c r="A4375" t="s">
        <v>649</v>
      </c>
      <c r="B4375" t="s">
        <v>17</v>
      </c>
      <c r="C4375" t="s">
        <v>21</v>
      </c>
      <c r="D4375">
        <v>1101</v>
      </c>
      <c r="E4375">
        <v>2020</v>
      </c>
      <c r="F4375">
        <v>1</v>
      </c>
      <c r="G4375">
        <v>10860</v>
      </c>
      <c r="H4375" s="1">
        <v>5</v>
      </c>
      <c r="I4375">
        <v>13</v>
      </c>
      <c r="J4375">
        <f>IF($H4375=0,1,IF($I4375&lt;=1,2,0))</f>
        <v>0</v>
      </c>
      <c r="K4375">
        <v>0</v>
      </c>
      <c r="L4375">
        <f>IF(AND($J4375=0,$K4375=0),0,1)</f>
        <v>0</v>
      </c>
      <c r="M4375" t="s">
        <v>1234</v>
      </c>
    </row>
    <row r="4376" spans="1:13" x14ac:dyDescent="0.2">
      <c r="A4376" t="s">
        <v>649</v>
      </c>
      <c r="B4376" t="s">
        <v>17</v>
      </c>
      <c r="C4376" t="s">
        <v>21</v>
      </c>
      <c r="D4376">
        <v>1101</v>
      </c>
      <c r="E4376">
        <v>2020</v>
      </c>
      <c r="F4376">
        <v>4</v>
      </c>
      <c r="G4376">
        <v>10871</v>
      </c>
      <c r="H4376" s="1">
        <v>5</v>
      </c>
      <c r="I4376">
        <v>11</v>
      </c>
      <c r="J4376">
        <f>IF($H4376=0,1,IF($I4376&lt;=1,2,0))</f>
        <v>0</v>
      </c>
      <c r="K4376">
        <v>0</v>
      </c>
      <c r="L4376">
        <f>IF(AND($J4376=0,$K4376=0),0,1)</f>
        <v>0</v>
      </c>
      <c r="M4376" t="s">
        <v>1234</v>
      </c>
    </row>
    <row r="4377" spans="1:13" x14ac:dyDescent="0.2">
      <c r="A4377" t="s">
        <v>649</v>
      </c>
      <c r="B4377" t="s">
        <v>17</v>
      </c>
      <c r="C4377" t="s">
        <v>21</v>
      </c>
      <c r="D4377">
        <v>1101</v>
      </c>
      <c r="E4377">
        <v>2020</v>
      </c>
      <c r="F4377">
        <v>3</v>
      </c>
      <c r="G4377">
        <v>10870</v>
      </c>
      <c r="H4377" s="1">
        <v>5</v>
      </c>
      <c r="I4377">
        <v>9</v>
      </c>
      <c r="J4377">
        <f>IF($H4377=0,1,IF($I4377&lt;=1,2,0))</f>
        <v>0</v>
      </c>
      <c r="K4377">
        <v>0</v>
      </c>
      <c r="L4377">
        <f>IF(AND($J4377=0,$K4377=0),0,1)</f>
        <v>0</v>
      </c>
      <c r="M4377" t="s">
        <v>1234</v>
      </c>
    </row>
    <row r="4378" spans="1:13" x14ac:dyDescent="0.2">
      <c r="A4378" t="s">
        <v>649</v>
      </c>
      <c r="B4378" t="s">
        <v>17</v>
      </c>
      <c r="C4378" t="s">
        <v>21</v>
      </c>
      <c r="D4378">
        <v>2101</v>
      </c>
      <c r="E4378">
        <v>2020</v>
      </c>
      <c r="F4378">
        <v>1</v>
      </c>
      <c r="G4378">
        <v>10878</v>
      </c>
      <c r="H4378" s="1">
        <v>5</v>
      </c>
      <c r="I4378">
        <v>8</v>
      </c>
      <c r="J4378">
        <f>IF($H4378=0,1,IF($I4378&lt;=1,2,0))</f>
        <v>0</v>
      </c>
      <c r="K4378">
        <v>0</v>
      </c>
      <c r="L4378">
        <f>IF(AND($J4378=0,$K4378=0),0,1)</f>
        <v>0</v>
      </c>
      <c r="M4378" t="s">
        <v>1235</v>
      </c>
    </row>
    <row r="4379" spans="1:13" x14ac:dyDescent="0.2">
      <c r="A4379" t="s">
        <v>649</v>
      </c>
      <c r="B4379" t="s">
        <v>17</v>
      </c>
      <c r="C4379" t="s">
        <v>21</v>
      </c>
      <c r="D4379">
        <v>2101</v>
      </c>
      <c r="E4379">
        <v>2020</v>
      </c>
      <c r="F4379">
        <v>3</v>
      </c>
      <c r="G4379">
        <v>10881</v>
      </c>
      <c r="H4379" s="1">
        <v>5</v>
      </c>
      <c r="I4379">
        <v>7</v>
      </c>
      <c r="J4379">
        <f>IF($H4379=0,1,IF($I4379&lt;=1,2,0))</f>
        <v>0</v>
      </c>
      <c r="K4379">
        <v>0</v>
      </c>
      <c r="L4379">
        <f>IF(AND($J4379=0,$K4379=0),0,1)</f>
        <v>0</v>
      </c>
      <c r="M4379" t="s">
        <v>1235</v>
      </c>
    </row>
    <row r="4380" spans="1:13" x14ac:dyDescent="0.2">
      <c r="A4380" t="s">
        <v>649</v>
      </c>
      <c r="B4380" t="s">
        <v>17</v>
      </c>
      <c r="C4380" t="s">
        <v>21</v>
      </c>
      <c r="D4380">
        <v>2101</v>
      </c>
      <c r="E4380">
        <v>2020</v>
      </c>
      <c r="F4380">
        <v>2</v>
      </c>
      <c r="G4380">
        <v>10880</v>
      </c>
      <c r="H4380" s="1">
        <v>5</v>
      </c>
      <c r="I4380">
        <v>5</v>
      </c>
      <c r="J4380">
        <f>IF($H4380=0,1,IF($I4380&lt;=1,2,0))</f>
        <v>0</v>
      </c>
      <c r="K4380">
        <v>0</v>
      </c>
      <c r="L4380">
        <f>IF(AND($J4380=0,$K4380=0),0,1)</f>
        <v>0</v>
      </c>
      <c r="M4380" t="s">
        <v>1235</v>
      </c>
    </row>
    <row r="4381" spans="1:13" x14ac:dyDescent="0.2">
      <c r="A4381" t="s">
        <v>649</v>
      </c>
      <c r="B4381" t="s">
        <v>17</v>
      </c>
      <c r="C4381" t="s">
        <v>21</v>
      </c>
      <c r="D4381">
        <v>3101</v>
      </c>
      <c r="E4381">
        <v>2020</v>
      </c>
      <c r="F4381">
        <v>1</v>
      </c>
      <c r="G4381">
        <v>10872</v>
      </c>
      <c r="H4381" s="1">
        <v>4</v>
      </c>
      <c r="I4381">
        <v>13</v>
      </c>
      <c r="J4381">
        <f>IF($H4381=0,1,IF($I4381&lt;=1,2,0))</f>
        <v>0</v>
      </c>
      <c r="K4381">
        <v>0</v>
      </c>
      <c r="L4381">
        <f>IF(AND($J4381=0,$K4381=0),0,1)</f>
        <v>0</v>
      </c>
      <c r="M4381" t="s">
        <v>1236</v>
      </c>
    </row>
    <row r="4382" spans="1:13" x14ac:dyDescent="0.2">
      <c r="A4382" t="s">
        <v>649</v>
      </c>
      <c r="B4382" t="s">
        <v>17</v>
      </c>
      <c r="C4382" t="s">
        <v>21</v>
      </c>
      <c r="D4382">
        <v>3101</v>
      </c>
      <c r="E4382">
        <v>2020</v>
      </c>
      <c r="F4382">
        <v>2</v>
      </c>
      <c r="G4382">
        <v>24644</v>
      </c>
      <c r="H4382" s="1">
        <v>4</v>
      </c>
      <c r="I4382">
        <v>6</v>
      </c>
      <c r="J4382">
        <f>IF($H4382=0,1,IF($I4382&lt;=1,2,0))</f>
        <v>0</v>
      </c>
      <c r="K4382">
        <v>0</v>
      </c>
      <c r="L4382">
        <f>IF(AND($J4382=0,$K4382=0),0,1)</f>
        <v>0</v>
      </c>
    </row>
    <row r="4383" spans="1:13" x14ac:dyDescent="0.2">
      <c r="A4383" t="s">
        <v>649</v>
      </c>
      <c r="B4383" t="s">
        <v>17</v>
      </c>
      <c r="C4383" t="s">
        <v>9</v>
      </c>
      <c r="D4383">
        <v>3105</v>
      </c>
      <c r="E4383">
        <v>2020</v>
      </c>
      <c r="F4383">
        <v>1</v>
      </c>
      <c r="G4383">
        <v>13883</v>
      </c>
      <c r="H4383" s="1">
        <v>3</v>
      </c>
      <c r="I4383">
        <v>6</v>
      </c>
      <c r="J4383">
        <f>IF($H4383=0,1,IF($I4383&lt;=1,2,0))</f>
        <v>0</v>
      </c>
      <c r="K4383">
        <v>0</v>
      </c>
      <c r="L4383">
        <f>IF(AND($J4383=0,$K4383=0),0,1)</f>
        <v>0</v>
      </c>
    </row>
    <row r="4384" spans="1:13" x14ac:dyDescent="0.2">
      <c r="A4384" t="s">
        <v>649</v>
      </c>
      <c r="B4384" t="s">
        <v>17</v>
      </c>
      <c r="C4384" t="s">
        <v>21</v>
      </c>
      <c r="D4384">
        <v>3220</v>
      </c>
      <c r="E4384">
        <v>2020</v>
      </c>
      <c r="F4384">
        <v>1</v>
      </c>
      <c r="G4384">
        <v>10588</v>
      </c>
      <c r="H4384" s="1">
        <v>3</v>
      </c>
      <c r="I4384">
        <v>9</v>
      </c>
      <c r="J4384">
        <f>IF($H4384=0,1,IF($I4384&lt;=1,2,0))</f>
        <v>0</v>
      </c>
      <c r="K4384">
        <v>0</v>
      </c>
      <c r="L4384">
        <f>IF(AND($J4384=0,$K4384=0),0,1)</f>
        <v>0</v>
      </c>
    </row>
    <row r="4385" spans="1:13" x14ac:dyDescent="0.2">
      <c r="A4385" t="s">
        <v>649</v>
      </c>
      <c r="B4385" t="s">
        <v>17</v>
      </c>
      <c r="C4385" t="s">
        <v>21</v>
      </c>
      <c r="D4385">
        <v>3332</v>
      </c>
      <c r="E4385">
        <v>2020</v>
      </c>
      <c r="F4385">
        <v>1</v>
      </c>
      <c r="G4385">
        <v>10419</v>
      </c>
      <c r="H4385" s="1">
        <v>3</v>
      </c>
      <c r="I4385">
        <v>8</v>
      </c>
      <c r="J4385">
        <f>IF($H4385=0,1,IF($I4385&lt;=1,2,0))</f>
        <v>0</v>
      </c>
      <c r="K4385">
        <v>0</v>
      </c>
      <c r="L4385">
        <f>IF(AND($J4385=0,$K4385=0),0,1)</f>
        <v>0</v>
      </c>
    </row>
    <row r="4386" spans="1:13" x14ac:dyDescent="0.2">
      <c r="A4386" t="s">
        <v>649</v>
      </c>
      <c r="B4386" t="s">
        <v>17</v>
      </c>
      <c r="C4386" t="s">
        <v>21</v>
      </c>
      <c r="D4386">
        <v>3430</v>
      </c>
      <c r="E4386">
        <v>2020</v>
      </c>
      <c r="F4386">
        <v>1</v>
      </c>
      <c r="G4386">
        <v>10876</v>
      </c>
      <c r="H4386" s="1">
        <v>3</v>
      </c>
      <c r="I4386">
        <v>10</v>
      </c>
      <c r="J4386">
        <f>IF($H4386=0,1,IF($I4386&lt;=1,2,0))</f>
        <v>0</v>
      </c>
      <c r="K4386">
        <v>0</v>
      </c>
      <c r="L4386">
        <f>IF(AND($J4386=0,$K4386=0),0,1)</f>
        <v>0</v>
      </c>
      <c r="M4386" t="s">
        <v>1237</v>
      </c>
    </row>
    <row r="4387" spans="1:13" x14ac:dyDescent="0.2">
      <c r="A4387" t="s">
        <v>649</v>
      </c>
      <c r="B4387" t="s">
        <v>17</v>
      </c>
      <c r="C4387" t="s">
        <v>9</v>
      </c>
      <c r="D4387">
        <v>3595</v>
      </c>
      <c r="E4387">
        <v>2020</v>
      </c>
      <c r="F4387">
        <v>1</v>
      </c>
      <c r="G4387">
        <v>566</v>
      </c>
      <c r="H4387" s="1">
        <v>4</v>
      </c>
      <c r="I4387">
        <v>5</v>
      </c>
      <c r="J4387">
        <f>IF($H4387=0,1,IF($I4387&lt;=1,2,0))</f>
        <v>0</v>
      </c>
      <c r="K4387">
        <v>0</v>
      </c>
      <c r="L4387">
        <f>IF(AND($J4387=0,$K4387=0),0,1)</f>
        <v>0</v>
      </c>
    </row>
    <row r="4388" spans="1:13" x14ac:dyDescent="0.2">
      <c r="A4388" t="s">
        <v>649</v>
      </c>
      <c r="B4388" t="s">
        <v>17</v>
      </c>
      <c r="C4388" t="s">
        <v>9</v>
      </c>
      <c r="D4388">
        <v>4107</v>
      </c>
      <c r="E4388">
        <v>2020</v>
      </c>
      <c r="F4388">
        <v>1</v>
      </c>
      <c r="G4388">
        <v>10444</v>
      </c>
      <c r="H4388" s="1">
        <v>3</v>
      </c>
      <c r="I4388">
        <v>10</v>
      </c>
      <c r="J4388">
        <f>IF($H4388=0,1,IF($I4388&lt;=1,2,0))</f>
        <v>0</v>
      </c>
      <c r="K4388">
        <v>0</v>
      </c>
      <c r="L4388">
        <f>IF(AND($J4388=0,$K4388=0),0,1)</f>
        <v>0</v>
      </c>
    </row>
    <row r="4389" spans="1:13" x14ac:dyDescent="0.2">
      <c r="A4389" t="s">
        <v>649</v>
      </c>
      <c r="B4389" t="s">
        <v>17</v>
      </c>
      <c r="C4389" t="s">
        <v>9</v>
      </c>
      <c r="D4389">
        <v>4342</v>
      </c>
      <c r="E4389">
        <v>2020</v>
      </c>
      <c r="F4389">
        <v>2</v>
      </c>
      <c r="G4389">
        <v>13003</v>
      </c>
      <c r="H4389" s="1">
        <v>4</v>
      </c>
      <c r="I4389">
        <v>10</v>
      </c>
      <c r="J4389">
        <f>IF($H4389=0,1,IF($I4389&lt;=1,2,0))</f>
        <v>0</v>
      </c>
      <c r="K4389">
        <v>0</v>
      </c>
      <c r="L4389">
        <f>IF(AND($J4389=0,$K4389=0),0,1)</f>
        <v>0</v>
      </c>
      <c r="M4389" t="s">
        <v>2014</v>
      </c>
    </row>
    <row r="4390" spans="1:13" x14ac:dyDescent="0.2">
      <c r="A4390" t="s">
        <v>649</v>
      </c>
      <c r="B4390" t="s">
        <v>17</v>
      </c>
      <c r="C4390" t="s">
        <v>9</v>
      </c>
      <c r="D4390">
        <v>4344</v>
      </c>
      <c r="E4390">
        <v>2020</v>
      </c>
      <c r="F4390">
        <v>1</v>
      </c>
      <c r="G4390">
        <v>568</v>
      </c>
      <c r="H4390" s="1">
        <v>3</v>
      </c>
      <c r="I4390">
        <v>7</v>
      </c>
      <c r="J4390">
        <f>IF($H4390=0,1,IF($I4390&lt;=1,2,0))</f>
        <v>0</v>
      </c>
      <c r="K4390">
        <v>0</v>
      </c>
      <c r="L4390">
        <f>IF(AND($J4390=0,$K4390=0),0,1)</f>
        <v>0</v>
      </c>
      <c r="M4390" t="s">
        <v>656</v>
      </c>
    </row>
    <row r="4391" spans="1:13" x14ac:dyDescent="0.2">
      <c r="A4391" t="s">
        <v>649</v>
      </c>
      <c r="B4391" t="s">
        <v>17</v>
      </c>
      <c r="C4391" t="s">
        <v>11</v>
      </c>
      <c r="D4391">
        <v>6014</v>
      </c>
      <c r="E4391">
        <v>2020</v>
      </c>
      <c r="F4391">
        <v>1</v>
      </c>
      <c r="G4391">
        <v>10537</v>
      </c>
      <c r="H4391" s="1">
        <v>4</v>
      </c>
      <c r="I4391">
        <v>7</v>
      </c>
      <c r="J4391">
        <f>IF($H4391=0,1,IF($I4391&lt;=1,2,0))</f>
        <v>0</v>
      </c>
      <c r="K4391">
        <v>0</v>
      </c>
      <c r="L4391">
        <f>IF(AND($J4391=0,$K4391=0),0,1)</f>
        <v>0</v>
      </c>
    </row>
    <row r="4392" spans="1:13" x14ac:dyDescent="0.2">
      <c r="A4392" t="s">
        <v>649</v>
      </c>
      <c r="B4392" t="s">
        <v>17</v>
      </c>
      <c r="C4392" t="s">
        <v>11</v>
      </c>
      <c r="D4392">
        <v>6223</v>
      </c>
      <c r="E4392">
        <v>2020</v>
      </c>
      <c r="F4392">
        <v>1</v>
      </c>
      <c r="G4392">
        <v>12467</v>
      </c>
      <c r="H4392" s="1">
        <v>4</v>
      </c>
      <c r="I4392">
        <v>7</v>
      </c>
      <c r="J4392">
        <f>IF($H4392=0,1,IF($I4392&lt;=1,2,0))</f>
        <v>0</v>
      </c>
      <c r="K4392">
        <v>0</v>
      </c>
      <c r="L4392">
        <f>IF(AND($J4392=0,$K4392=0),0,1)</f>
        <v>0</v>
      </c>
      <c r="M4392" t="s">
        <v>1238</v>
      </c>
    </row>
    <row r="4393" spans="1:13" x14ac:dyDescent="0.2">
      <c r="A4393" t="s">
        <v>649</v>
      </c>
      <c r="B4393" t="s">
        <v>17</v>
      </c>
      <c r="C4393" t="s">
        <v>11</v>
      </c>
      <c r="D4393">
        <v>6330</v>
      </c>
      <c r="E4393">
        <v>2020</v>
      </c>
      <c r="F4393">
        <v>1</v>
      </c>
      <c r="G4393">
        <v>10432</v>
      </c>
      <c r="H4393" s="1">
        <v>4</v>
      </c>
      <c r="I4393">
        <v>9</v>
      </c>
      <c r="J4393">
        <f>IF($H4393=0,1,IF($I4393&lt;=1,2,0))</f>
        <v>0</v>
      </c>
      <c r="K4393">
        <v>0</v>
      </c>
      <c r="L4393">
        <f>IF(AND($J4393=0,$K4393=0),0,1)</f>
        <v>0</v>
      </c>
    </row>
    <row r="4394" spans="1:13" x14ac:dyDescent="0.2">
      <c r="A4394" t="s">
        <v>657</v>
      </c>
      <c r="B4394" t="s">
        <v>6</v>
      </c>
      <c r="C4394" t="s">
        <v>11</v>
      </c>
      <c r="D4394">
        <v>5000</v>
      </c>
      <c r="E4394">
        <v>2020</v>
      </c>
      <c r="F4394">
        <v>1</v>
      </c>
      <c r="G4394">
        <v>15661</v>
      </c>
      <c r="H4394" s="1">
        <v>4</v>
      </c>
      <c r="I4394">
        <v>6</v>
      </c>
      <c r="J4394">
        <f>IF($H4394=0,1,IF($I4394&lt;=1,2,0))</f>
        <v>0</v>
      </c>
      <c r="K4394">
        <v>0</v>
      </c>
      <c r="L4394">
        <f>IF(AND($J4394=0,$K4394=0),0,1)</f>
        <v>0</v>
      </c>
      <c r="M4394" t="s">
        <v>658</v>
      </c>
    </row>
    <row r="4395" spans="1:13" x14ac:dyDescent="0.2">
      <c r="A4395" t="s">
        <v>659</v>
      </c>
      <c r="B4395" t="s">
        <v>241</v>
      </c>
      <c r="C4395" t="s">
        <v>7</v>
      </c>
      <c r="D4395">
        <v>1000</v>
      </c>
      <c r="E4395">
        <v>2020</v>
      </c>
      <c r="F4395">
        <v>1</v>
      </c>
      <c r="G4395">
        <v>12048</v>
      </c>
      <c r="H4395" s="1">
        <v>4</v>
      </c>
      <c r="I4395">
        <v>542</v>
      </c>
      <c r="J4395">
        <f>IF($H4395=0,1,IF($I4395&lt;=1,2,0))</f>
        <v>0</v>
      </c>
      <c r="K4395">
        <v>0</v>
      </c>
      <c r="L4395">
        <f>IF(AND($J4395=0,$K4395=0),0,1)</f>
        <v>0</v>
      </c>
    </row>
    <row r="4396" spans="1:13" x14ac:dyDescent="0.2">
      <c r="A4396" t="s">
        <v>659</v>
      </c>
      <c r="B4396" t="s">
        <v>133</v>
      </c>
      <c r="C4396" t="s">
        <v>9</v>
      </c>
      <c r="D4396">
        <v>1212</v>
      </c>
      <c r="E4396">
        <v>2020</v>
      </c>
      <c r="F4396">
        <v>1</v>
      </c>
      <c r="G4396">
        <v>13054</v>
      </c>
      <c r="H4396" s="1">
        <v>4</v>
      </c>
      <c r="I4396">
        <v>22</v>
      </c>
      <c r="J4396">
        <f>IF($H4396=0,1,IF($I4396&lt;=1,2,0))</f>
        <v>0</v>
      </c>
      <c r="K4396">
        <v>0</v>
      </c>
      <c r="L4396">
        <f>IF(AND($J4396=0,$K4396=0),0,1)</f>
        <v>0</v>
      </c>
      <c r="M4396" t="s">
        <v>1239</v>
      </c>
    </row>
    <row r="4397" spans="1:13" x14ac:dyDescent="0.2">
      <c r="A4397" t="s">
        <v>659</v>
      </c>
      <c r="B4397" t="s">
        <v>133</v>
      </c>
      <c r="C4397" t="s">
        <v>7</v>
      </c>
      <c r="D4397">
        <v>1500</v>
      </c>
      <c r="E4397">
        <v>2020</v>
      </c>
      <c r="F4397">
        <v>1</v>
      </c>
      <c r="G4397">
        <v>24733</v>
      </c>
      <c r="H4397" s="1">
        <v>1</v>
      </c>
      <c r="I4397">
        <v>5</v>
      </c>
      <c r="J4397">
        <f>IF($H4397=0,1,IF($I4397&lt;=1,2,0))</f>
        <v>0</v>
      </c>
      <c r="K4397">
        <v>0</v>
      </c>
      <c r="L4397">
        <f>IF(AND($J4397=0,$K4397=0),0,1)</f>
        <v>0</v>
      </c>
    </row>
    <row r="4398" spans="1:13" x14ac:dyDescent="0.2">
      <c r="A4398" t="s">
        <v>661</v>
      </c>
      <c r="B4398" t="s">
        <v>6</v>
      </c>
      <c r="C4398" t="s">
        <v>9</v>
      </c>
      <c r="D4398">
        <v>1900</v>
      </c>
      <c r="E4398">
        <v>2020</v>
      </c>
      <c r="F4398">
        <v>1</v>
      </c>
      <c r="G4398">
        <v>11168</v>
      </c>
      <c r="H4398" s="1">
        <v>1</v>
      </c>
      <c r="I4398">
        <v>51</v>
      </c>
      <c r="J4398">
        <f>IF($H4398=0,1,IF($I4398&lt;=1,2,0))</f>
        <v>0</v>
      </c>
      <c r="K4398">
        <v>0</v>
      </c>
      <c r="L4398">
        <f>IF(AND($J4398=0,$K4398=0),0,1)</f>
        <v>0</v>
      </c>
      <c r="M4398" t="s">
        <v>1240</v>
      </c>
    </row>
    <row r="4399" spans="1:13" x14ac:dyDescent="0.2">
      <c r="A4399" t="s">
        <v>661</v>
      </c>
      <c r="B4399" t="s">
        <v>6</v>
      </c>
      <c r="C4399" t="s">
        <v>9</v>
      </c>
      <c r="D4399">
        <v>2050</v>
      </c>
      <c r="E4399">
        <v>2020</v>
      </c>
      <c r="F4399">
        <v>1</v>
      </c>
      <c r="G4399">
        <v>11170</v>
      </c>
      <c r="H4399" s="1">
        <v>3</v>
      </c>
      <c r="I4399">
        <v>26</v>
      </c>
      <c r="J4399">
        <f>IF($H4399=0,1,IF($I4399&lt;=1,2,0))</f>
        <v>0</v>
      </c>
      <c r="K4399">
        <v>0</v>
      </c>
      <c r="L4399">
        <f>IF(AND($J4399=0,$K4399=0),0,1)</f>
        <v>0</v>
      </c>
    </row>
    <row r="4400" spans="1:13" x14ac:dyDescent="0.2">
      <c r="A4400" t="s">
        <v>661</v>
      </c>
      <c r="B4400" t="s">
        <v>6</v>
      </c>
      <c r="C4400" t="s">
        <v>9</v>
      </c>
      <c r="D4400">
        <v>2320</v>
      </c>
      <c r="E4400">
        <v>2020</v>
      </c>
      <c r="F4400">
        <v>1</v>
      </c>
      <c r="G4400">
        <v>11171</v>
      </c>
      <c r="H4400" s="1">
        <v>3</v>
      </c>
      <c r="I4400">
        <v>29</v>
      </c>
      <c r="J4400">
        <f>IF($H4400=0,1,IF($I4400&lt;=1,2,0))</f>
        <v>0</v>
      </c>
      <c r="K4400">
        <v>0</v>
      </c>
      <c r="L4400">
        <f>IF(AND($J4400=0,$K4400=0),0,1)</f>
        <v>0</v>
      </c>
      <c r="M4400" t="s">
        <v>662</v>
      </c>
    </row>
    <row r="4401" spans="1:13" x14ac:dyDescent="0.2">
      <c r="A4401" t="s">
        <v>661</v>
      </c>
      <c r="B4401" t="s">
        <v>6</v>
      </c>
      <c r="C4401" t="s">
        <v>9</v>
      </c>
      <c r="D4401">
        <v>3280</v>
      </c>
      <c r="E4401">
        <v>2020</v>
      </c>
      <c r="F4401">
        <v>2</v>
      </c>
      <c r="G4401">
        <v>11175</v>
      </c>
      <c r="H4401" s="1">
        <v>4</v>
      </c>
      <c r="I4401">
        <v>14</v>
      </c>
      <c r="J4401">
        <f>IF($H4401=0,1,IF($I4401&lt;=1,2,0))</f>
        <v>0</v>
      </c>
      <c r="K4401">
        <v>0</v>
      </c>
      <c r="L4401">
        <f>IF(AND($J4401=0,$K4401=0),0,1)</f>
        <v>0</v>
      </c>
      <c r="M4401" t="s">
        <v>662</v>
      </c>
    </row>
    <row r="4402" spans="1:13" x14ac:dyDescent="0.2">
      <c r="A4402" t="s">
        <v>661</v>
      </c>
      <c r="B4402" t="s">
        <v>6</v>
      </c>
      <c r="C4402" t="s">
        <v>9</v>
      </c>
      <c r="D4402">
        <v>3280</v>
      </c>
      <c r="E4402">
        <v>2020</v>
      </c>
      <c r="F4402">
        <v>1</v>
      </c>
      <c r="G4402">
        <v>11174</v>
      </c>
      <c r="H4402" s="1">
        <v>4</v>
      </c>
      <c r="I4402">
        <v>9</v>
      </c>
      <c r="J4402">
        <f>IF($H4402=0,1,IF($I4402&lt;=1,2,0))</f>
        <v>0</v>
      </c>
      <c r="K4402">
        <v>0</v>
      </c>
      <c r="L4402">
        <f>IF(AND($J4402=0,$K4402=0),0,1)</f>
        <v>0</v>
      </c>
      <c r="M4402" t="s">
        <v>663</v>
      </c>
    </row>
    <row r="4403" spans="1:13" x14ac:dyDescent="0.2">
      <c r="A4403" t="s">
        <v>661</v>
      </c>
      <c r="B4403" t="s">
        <v>6</v>
      </c>
      <c r="C4403" t="s">
        <v>9</v>
      </c>
      <c r="D4403">
        <v>3360</v>
      </c>
      <c r="E4403">
        <v>2020</v>
      </c>
      <c r="F4403">
        <v>1</v>
      </c>
      <c r="G4403">
        <v>11183</v>
      </c>
      <c r="H4403" s="1">
        <v>3</v>
      </c>
      <c r="I4403">
        <v>25</v>
      </c>
      <c r="J4403">
        <f>IF($H4403=0,1,IF($I4403&lt;=1,2,0))</f>
        <v>0</v>
      </c>
      <c r="K4403">
        <v>0</v>
      </c>
      <c r="L4403">
        <f>IF(AND($J4403=0,$K4403=0),0,1)</f>
        <v>0</v>
      </c>
    </row>
    <row r="4404" spans="1:13" x14ac:dyDescent="0.2">
      <c r="A4404" t="s">
        <v>661</v>
      </c>
      <c r="B4404" t="s">
        <v>6</v>
      </c>
      <c r="C4404" t="s">
        <v>9</v>
      </c>
      <c r="D4404">
        <v>3366</v>
      </c>
      <c r="E4404">
        <v>2020</v>
      </c>
      <c r="F4404">
        <v>1</v>
      </c>
      <c r="G4404">
        <v>11184</v>
      </c>
      <c r="H4404" s="1">
        <v>3</v>
      </c>
      <c r="I4404">
        <v>23</v>
      </c>
      <c r="J4404">
        <f>IF($H4404=0,1,IF($I4404&lt;=1,2,0))</f>
        <v>0</v>
      </c>
      <c r="K4404">
        <v>0</v>
      </c>
      <c r="L4404">
        <f>IF(AND($J4404=0,$K4404=0),0,1)</f>
        <v>0</v>
      </c>
      <c r="M4404" t="s">
        <v>1241</v>
      </c>
    </row>
    <row r="4405" spans="1:13" x14ac:dyDescent="0.2">
      <c r="A4405" t="s">
        <v>661</v>
      </c>
      <c r="B4405" t="s">
        <v>6</v>
      </c>
      <c r="C4405" t="s">
        <v>9</v>
      </c>
      <c r="D4405">
        <v>3390</v>
      </c>
      <c r="E4405">
        <v>2020</v>
      </c>
      <c r="F4405">
        <v>1</v>
      </c>
      <c r="G4405">
        <v>11185</v>
      </c>
      <c r="H4405" s="1">
        <v>3</v>
      </c>
      <c r="I4405">
        <v>18</v>
      </c>
      <c r="J4405">
        <f>IF($H4405=0,1,IF($I4405&lt;=1,2,0))</f>
        <v>0</v>
      </c>
      <c r="K4405">
        <v>0</v>
      </c>
      <c r="L4405">
        <f>IF(AND($J4405=0,$K4405=0),0,1)</f>
        <v>0</v>
      </c>
      <c r="M4405" t="s">
        <v>663</v>
      </c>
    </row>
    <row r="4406" spans="1:13" x14ac:dyDescent="0.2">
      <c r="A4406" t="s">
        <v>661</v>
      </c>
      <c r="B4406" t="s">
        <v>6</v>
      </c>
      <c r="C4406" t="s">
        <v>9</v>
      </c>
      <c r="D4406">
        <v>3400</v>
      </c>
      <c r="E4406">
        <v>2020</v>
      </c>
      <c r="F4406">
        <v>1</v>
      </c>
      <c r="G4406">
        <v>11189</v>
      </c>
      <c r="H4406" s="1">
        <v>3</v>
      </c>
      <c r="I4406">
        <v>15</v>
      </c>
      <c r="J4406">
        <f>IF($H4406=0,1,IF($I4406&lt;=1,2,0))</f>
        <v>0</v>
      </c>
      <c r="K4406">
        <v>0</v>
      </c>
      <c r="L4406">
        <f>IF(AND($J4406=0,$K4406=0),0,1)</f>
        <v>0</v>
      </c>
    </row>
    <row r="4407" spans="1:13" x14ac:dyDescent="0.2">
      <c r="A4407" t="s">
        <v>661</v>
      </c>
      <c r="B4407" t="s">
        <v>6</v>
      </c>
      <c r="C4407" t="s">
        <v>9</v>
      </c>
      <c r="D4407">
        <v>4240</v>
      </c>
      <c r="E4407">
        <v>2020</v>
      </c>
      <c r="F4407">
        <v>1</v>
      </c>
      <c r="G4407">
        <v>11193</v>
      </c>
      <c r="H4407" s="1">
        <v>3</v>
      </c>
      <c r="I4407">
        <v>17</v>
      </c>
      <c r="J4407">
        <f>IF($H4407=0,1,IF($I4407&lt;=1,2,0))</f>
        <v>0</v>
      </c>
      <c r="K4407">
        <v>0</v>
      </c>
      <c r="L4407">
        <f>IF(AND($J4407=0,$K4407=0),0,1)</f>
        <v>0</v>
      </c>
    </row>
    <row r="4408" spans="1:13" x14ac:dyDescent="0.2">
      <c r="A4408" t="s">
        <v>667</v>
      </c>
      <c r="B4408" t="s">
        <v>6</v>
      </c>
      <c r="C4408" t="s">
        <v>9</v>
      </c>
      <c r="D4408">
        <v>3001</v>
      </c>
      <c r="E4408">
        <v>2020</v>
      </c>
      <c r="F4408">
        <v>1</v>
      </c>
      <c r="G4408">
        <v>10418</v>
      </c>
      <c r="H4408" s="1">
        <v>3</v>
      </c>
      <c r="I4408">
        <v>56</v>
      </c>
      <c r="J4408">
        <f>IF($H4408=0,1,IF($I4408&lt;=1,2,0))</f>
        <v>0</v>
      </c>
      <c r="K4408">
        <v>0</v>
      </c>
      <c r="L4408">
        <f>IF(AND($J4408=0,$K4408=0),0,1)</f>
        <v>0</v>
      </c>
    </row>
    <row r="4409" spans="1:13" x14ac:dyDescent="0.2">
      <c r="A4409" t="s">
        <v>667</v>
      </c>
      <c r="B4409" t="s">
        <v>6</v>
      </c>
      <c r="C4409" t="s">
        <v>9</v>
      </c>
      <c r="D4409">
        <v>3100</v>
      </c>
      <c r="E4409">
        <v>2020</v>
      </c>
      <c r="F4409">
        <v>1</v>
      </c>
      <c r="G4409">
        <v>10420</v>
      </c>
      <c r="H4409" s="1">
        <v>3</v>
      </c>
      <c r="I4409">
        <v>6</v>
      </c>
      <c r="J4409">
        <f>IF($H4409=0,1,IF($I4409&lt;=1,2,0))</f>
        <v>0</v>
      </c>
      <c r="K4409">
        <v>0</v>
      </c>
      <c r="L4409">
        <f>IF(AND($J4409=0,$K4409=0),0,1)</f>
        <v>0</v>
      </c>
    </row>
    <row r="4410" spans="1:13" x14ac:dyDescent="0.2">
      <c r="A4410" t="s">
        <v>668</v>
      </c>
      <c r="B4410" t="s">
        <v>17</v>
      </c>
      <c r="C4410" t="s">
        <v>11</v>
      </c>
      <c r="D4410">
        <v>8001</v>
      </c>
      <c r="E4410">
        <v>2020</v>
      </c>
      <c r="F4410">
        <v>1</v>
      </c>
      <c r="G4410">
        <v>10590</v>
      </c>
      <c r="H4410" s="1">
        <v>4</v>
      </c>
      <c r="I4410">
        <v>3</v>
      </c>
      <c r="J4410">
        <f>IF($H4410=0,1,IF($I4410&lt;=1,2,0))</f>
        <v>0</v>
      </c>
      <c r="K4410">
        <v>0</v>
      </c>
      <c r="L4410">
        <f>IF(AND($J4410=0,$K4410=0),0,1)</f>
        <v>0</v>
      </c>
    </row>
    <row r="4411" spans="1:13" x14ac:dyDescent="0.2">
      <c r="A4411" t="s">
        <v>672</v>
      </c>
      <c r="B4411" t="s">
        <v>6</v>
      </c>
      <c r="C4411" t="s">
        <v>9</v>
      </c>
      <c r="D4411">
        <v>1000</v>
      </c>
      <c r="E4411">
        <v>2020</v>
      </c>
      <c r="F4411">
        <v>1</v>
      </c>
      <c r="G4411">
        <v>11590</v>
      </c>
      <c r="H4411" s="1">
        <v>3</v>
      </c>
      <c r="I4411">
        <v>332</v>
      </c>
      <c r="J4411">
        <f>IF($H4411=0,1,IF($I4411&lt;=1,2,0))</f>
        <v>0</v>
      </c>
      <c r="K4411">
        <v>0</v>
      </c>
      <c r="L4411">
        <f>IF(AND($J4411=0,$K4411=0),0,1)</f>
        <v>0</v>
      </c>
    </row>
    <row r="4412" spans="1:13" x14ac:dyDescent="0.2">
      <c r="A4412" t="s">
        <v>672</v>
      </c>
      <c r="B4412" t="s">
        <v>6</v>
      </c>
      <c r="C4412" t="s">
        <v>9</v>
      </c>
      <c r="D4412">
        <v>1203</v>
      </c>
      <c r="E4412">
        <v>2020</v>
      </c>
      <c r="F4412">
        <v>1</v>
      </c>
      <c r="G4412">
        <v>21376</v>
      </c>
      <c r="H4412" s="1">
        <v>3</v>
      </c>
      <c r="I4412">
        <v>24</v>
      </c>
      <c r="J4412">
        <f>IF($H4412=0,1,IF($I4412&lt;=1,2,0))</f>
        <v>0</v>
      </c>
      <c r="K4412">
        <v>0</v>
      </c>
      <c r="L4412">
        <f>IF(AND($J4412=0,$K4412=0),0,1)</f>
        <v>0</v>
      </c>
    </row>
    <row r="4413" spans="1:13" x14ac:dyDescent="0.2">
      <c r="A4413" t="s">
        <v>672</v>
      </c>
      <c r="B4413" t="s">
        <v>6</v>
      </c>
      <c r="C4413" t="s">
        <v>21</v>
      </c>
      <c r="D4413">
        <v>2208</v>
      </c>
      <c r="E4413">
        <v>2020</v>
      </c>
      <c r="F4413">
        <v>1</v>
      </c>
      <c r="G4413">
        <v>47</v>
      </c>
      <c r="H4413" s="1">
        <v>3</v>
      </c>
      <c r="I4413">
        <v>37</v>
      </c>
      <c r="J4413">
        <f>IF($H4413=0,1,IF($I4413&lt;=1,2,0))</f>
        <v>0</v>
      </c>
      <c r="K4413">
        <v>0</v>
      </c>
      <c r="L4413">
        <f>IF(AND($J4413=0,$K4413=0),0,1)</f>
        <v>0</v>
      </c>
    </row>
    <row r="4414" spans="1:13" x14ac:dyDescent="0.2">
      <c r="A4414" t="s">
        <v>672</v>
      </c>
      <c r="B4414" t="s">
        <v>6</v>
      </c>
      <c r="C4414" t="s">
        <v>9</v>
      </c>
      <c r="D4414">
        <v>2235</v>
      </c>
      <c r="E4414">
        <v>2020</v>
      </c>
      <c r="F4414">
        <v>1</v>
      </c>
      <c r="G4414">
        <v>21520</v>
      </c>
      <c r="H4414" s="1">
        <v>4</v>
      </c>
      <c r="I4414">
        <v>12</v>
      </c>
      <c r="J4414">
        <f>IF($H4414=0,1,IF($I4414&lt;=1,2,0))</f>
        <v>0</v>
      </c>
      <c r="K4414">
        <v>0</v>
      </c>
      <c r="L4414">
        <f>IF(AND($J4414=0,$K4414=0),0,1)</f>
        <v>0</v>
      </c>
    </row>
    <row r="4415" spans="1:13" x14ac:dyDescent="0.2">
      <c r="A4415" t="s">
        <v>672</v>
      </c>
      <c r="B4415" t="s">
        <v>6</v>
      </c>
      <c r="C4415" t="s">
        <v>9</v>
      </c>
      <c r="D4415">
        <v>3000</v>
      </c>
      <c r="E4415">
        <v>2020</v>
      </c>
      <c r="F4415">
        <v>1</v>
      </c>
      <c r="G4415">
        <v>48</v>
      </c>
      <c r="H4415" s="1">
        <v>4</v>
      </c>
      <c r="I4415">
        <v>41</v>
      </c>
      <c r="J4415">
        <f>IF($H4415=0,1,IF($I4415&lt;=1,2,0))</f>
        <v>0</v>
      </c>
      <c r="K4415">
        <v>0</v>
      </c>
      <c r="L4415">
        <f>IF(AND($J4415=0,$K4415=0),0,1)</f>
        <v>0</v>
      </c>
    </row>
    <row r="4416" spans="1:13" x14ac:dyDescent="0.2">
      <c r="A4416" t="s">
        <v>672</v>
      </c>
      <c r="B4416" t="s">
        <v>6</v>
      </c>
      <c r="C4416" t="s">
        <v>9</v>
      </c>
      <c r="D4416">
        <v>3009</v>
      </c>
      <c r="E4416">
        <v>2020</v>
      </c>
      <c r="F4416">
        <v>1</v>
      </c>
      <c r="G4416">
        <v>21377</v>
      </c>
      <c r="H4416" s="1">
        <v>3</v>
      </c>
      <c r="I4416">
        <v>11</v>
      </c>
      <c r="J4416">
        <f>IF($H4416=0,1,IF($I4416&lt;=1,2,0))</f>
        <v>0</v>
      </c>
      <c r="K4416">
        <v>0</v>
      </c>
      <c r="L4416">
        <f>IF(AND($J4416=0,$K4416=0),0,1)</f>
        <v>0</v>
      </c>
    </row>
    <row r="4417" spans="1:13" x14ac:dyDescent="0.2">
      <c r="A4417" t="s">
        <v>672</v>
      </c>
      <c r="B4417" t="s">
        <v>6</v>
      </c>
      <c r="C4417" t="s">
        <v>9</v>
      </c>
      <c r="D4417">
        <v>3010</v>
      </c>
      <c r="E4417">
        <v>2020</v>
      </c>
      <c r="F4417">
        <v>1</v>
      </c>
      <c r="G4417">
        <v>49</v>
      </c>
      <c r="H4417" s="1">
        <v>4</v>
      </c>
      <c r="I4417">
        <v>61</v>
      </c>
      <c r="J4417">
        <f>IF($H4417=0,1,IF($I4417&lt;=1,2,0))</f>
        <v>0</v>
      </c>
      <c r="K4417">
        <v>0</v>
      </c>
      <c r="L4417">
        <f>IF(AND($J4417=0,$K4417=0),0,1)</f>
        <v>0</v>
      </c>
    </row>
    <row r="4418" spans="1:13" x14ac:dyDescent="0.2">
      <c r="A4418" t="s">
        <v>672</v>
      </c>
      <c r="B4418" t="s">
        <v>6</v>
      </c>
      <c r="C4418" t="s">
        <v>9</v>
      </c>
      <c r="D4418">
        <v>3120</v>
      </c>
      <c r="E4418">
        <v>2020</v>
      </c>
      <c r="F4418">
        <v>1</v>
      </c>
      <c r="G4418">
        <v>14304</v>
      </c>
      <c r="H4418" s="1">
        <v>4</v>
      </c>
      <c r="I4418">
        <v>57</v>
      </c>
      <c r="J4418">
        <f>IF($H4418=0,1,IF($I4418&lt;=1,2,0))</f>
        <v>0</v>
      </c>
      <c r="K4418">
        <v>0</v>
      </c>
      <c r="L4418">
        <f>IF(AND($J4418=0,$K4418=0),0,1)</f>
        <v>0</v>
      </c>
      <c r="M4418" t="s">
        <v>1266</v>
      </c>
    </row>
    <row r="4419" spans="1:13" x14ac:dyDescent="0.2">
      <c r="A4419" t="s">
        <v>672</v>
      </c>
      <c r="B4419" t="s">
        <v>6</v>
      </c>
      <c r="C4419" t="s">
        <v>9</v>
      </c>
      <c r="D4419">
        <v>3235</v>
      </c>
      <c r="E4419">
        <v>2020</v>
      </c>
      <c r="F4419">
        <v>1</v>
      </c>
      <c r="G4419">
        <v>51</v>
      </c>
      <c r="H4419" s="1">
        <v>3</v>
      </c>
      <c r="I4419">
        <v>26</v>
      </c>
      <c r="J4419">
        <f>IF($H4419=0,1,IF($I4419&lt;=1,2,0))</f>
        <v>0</v>
      </c>
      <c r="K4419">
        <v>0</v>
      </c>
      <c r="L4419">
        <f>IF(AND($J4419=0,$K4419=0),0,1)</f>
        <v>0</v>
      </c>
    </row>
    <row r="4420" spans="1:13" x14ac:dyDescent="0.2">
      <c r="A4420" t="s">
        <v>672</v>
      </c>
      <c r="B4420" t="s">
        <v>6</v>
      </c>
      <c r="C4420" t="s">
        <v>9</v>
      </c>
      <c r="D4420">
        <v>3324</v>
      </c>
      <c r="E4420">
        <v>2020</v>
      </c>
      <c r="F4420">
        <v>1</v>
      </c>
      <c r="G4420">
        <v>11609</v>
      </c>
      <c r="H4420" s="1">
        <v>3</v>
      </c>
      <c r="I4420">
        <v>187</v>
      </c>
      <c r="J4420">
        <f>IF($H4420=0,1,IF($I4420&lt;=1,2,0))</f>
        <v>0</v>
      </c>
      <c r="K4420">
        <v>0</v>
      </c>
      <c r="L4420">
        <f>IF(AND($J4420=0,$K4420=0),0,1)</f>
        <v>0</v>
      </c>
    </row>
    <row r="4421" spans="1:13" x14ac:dyDescent="0.2">
      <c r="A4421" t="s">
        <v>672</v>
      </c>
      <c r="B4421" t="s">
        <v>6</v>
      </c>
      <c r="C4421" t="s">
        <v>9</v>
      </c>
      <c r="D4421">
        <v>3677</v>
      </c>
      <c r="E4421">
        <v>2020</v>
      </c>
      <c r="F4421">
        <v>1</v>
      </c>
      <c r="G4421">
        <v>21378</v>
      </c>
      <c r="H4421" s="1">
        <v>4</v>
      </c>
      <c r="I4421">
        <v>18</v>
      </c>
      <c r="J4421">
        <f>IF($H4421=0,1,IF($I4421&lt;=1,2,0))</f>
        <v>0</v>
      </c>
      <c r="K4421">
        <v>0</v>
      </c>
      <c r="L4421">
        <f>IF(AND($J4421=0,$K4421=0),0,1)</f>
        <v>0</v>
      </c>
    </row>
    <row r="4422" spans="1:13" x14ac:dyDescent="0.2">
      <c r="A4422" t="s">
        <v>672</v>
      </c>
      <c r="B4422" t="s">
        <v>6</v>
      </c>
      <c r="C4422" t="s">
        <v>9</v>
      </c>
      <c r="D4422">
        <v>3721</v>
      </c>
      <c r="E4422">
        <v>2020</v>
      </c>
      <c r="F4422">
        <v>1</v>
      </c>
      <c r="G4422">
        <v>52</v>
      </c>
      <c r="H4422" s="1">
        <v>4</v>
      </c>
      <c r="I4422">
        <v>16</v>
      </c>
      <c r="J4422">
        <f>IF($H4422=0,1,IF($I4422&lt;=1,2,0))</f>
        <v>0</v>
      </c>
      <c r="K4422">
        <v>0</v>
      </c>
      <c r="L4422">
        <f>IF(AND($J4422=0,$K4422=0),0,1)</f>
        <v>0</v>
      </c>
    </row>
    <row r="4423" spans="1:13" x14ac:dyDescent="0.2">
      <c r="A4423" t="s">
        <v>672</v>
      </c>
      <c r="B4423" t="s">
        <v>6</v>
      </c>
      <c r="C4423" t="s">
        <v>9</v>
      </c>
      <c r="D4423">
        <v>3914</v>
      </c>
      <c r="E4423">
        <v>2020</v>
      </c>
      <c r="F4423">
        <v>1</v>
      </c>
      <c r="G4423">
        <v>11644</v>
      </c>
      <c r="H4423" s="1">
        <v>4</v>
      </c>
      <c r="I4423">
        <v>18</v>
      </c>
      <c r="J4423">
        <f>IF($H4423=0,1,IF($I4423&lt;=1,2,0))</f>
        <v>0</v>
      </c>
      <c r="K4423">
        <v>0</v>
      </c>
      <c r="L4423">
        <f>IF(AND($J4423=0,$K4423=0),0,1)</f>
        <v>0</v>
      </c>
    </row>
    <row r="4424" spans="1:13" x14ac:dyDescent="0.2">
      <c r="A4424" t="s">
        <v>672</v>
      </c>
      <c r="B4424" t="s">
        <v>6</v>
      </c>
      <c r="C4424" t="s">
        <v>7</v>
      </c>
      <c r="D4424">
        <v>3966</v>
      </c>
      <c r="E4424">
        <v>2020</v>
      </c>
      <c r="F4424">
        <v>1</v>
      </c>
      <c r="G4424">
        <v>21521</v>
      </c>
      <c r="H4424" s="1">
        <v>4</v>
      </c>
      <c r="I4424">
        <v>16</v>
      </c>
      <c r="J4424">
        <f>IF($H4424=0,1,IF($I4424&lt;=1,2,0))</f>
        <v>0</v>
      </c>
      <c r="K4424">
        <v>0</v>
      </c>
      <c r="L4424">
        <f>IF(AND($J4424=0,$K4424=0),0,1)</f>
        <v>0</v>
      </c>
    </row>
    <row r="4425" spans="1:13" x14ac:dyDescent="0.2">
      <c r="A4425" t="s">
        <v>672</v>
      </c>
      <c r="B4425" t="s">
        <v>6</v>
      </c>
      <c r="C4425" t="s">
        <v>9</v>
      </c>
      <c r="D4425">
        <v>3974</v>
      </c>
      <c r="E4425">
        <v>2020</v>
      </c>
      <c r="F4425">
        <v>1</v>
      </c>
      <c r="G4425">
        <v>11648</v>
      </c>
      <c r="H4425" s="1">
        <v>4</v>
      </c>
      <c r="I4425">
        <v>47</v>
      </c>
      <c r="J4425">
        <f>IF($H4425=0,1,IF($I4425&lt;=1,2,0))</f>
        <v>0</v>
      </c>
      <c r="K4425">
        <v>0</v>
      </c>
      <c r="L4425">
        <f>IF(AND($J4425=0,$K4425=0),0,1)</f>
        <v>0</v>
      </c>
    </row>
    <row r="4426" spans="1:13" x14ac:dyDescent="0.2">
      <c r="A4426" t="s">
        <v>672</v>
      </c>
      <c r="B4426" t="s">
        <v>6</v>
      </c>
      <c r="C4426" t="s">
        <v>9</v>
      </c>
      <c r="D4426">
        <v>3996</v>
      </c>
      <c r="E4426">
        <v>2020</v>
      </c>
      <c r="F4426">
        <v>1</v>
      </c>
      <c r="G4426">
        <v>11651</v>
      </c>
      <c r="H4426" s="1" t="s">
        <v>1824</v>
      </c>
      <c r="I4426">
        <v>11</v>
      </c>
      <c r="J4426">
        <f>IF($H4426=0,1,IF($I4426&lt;=1,2,0))</f>
        <v>0</v>
      </c>
      <c r="K4426">
        <v>0</v>
      </c>
      <c r="L4426">
        <f>IF(AND($J4426=0,$K4426=0),0,1)</f>
        <v>0</v>
      </c>
    </row>
    <row r="4427" spans="1:13" x14ac:dyDescent="0.2">
      <c r="A4427" t="s">
        <v>672</v>
      </c>
      <c r="B4427" t="s">
        <v>6</v>
      </c>
      <c r="C4427" t="s">
        <v>11</v>
      </c>
      <c r="D4427">
        <v>4370</v>
      </c>
      <c r="E4427">
        <v>2020</v>
      </c>
      <c r="F4427">
        <v>1</v>
      </c>
      <c r="G4427">
        <v>21381</v>
      </c>
      <c r="H4427" s="1">
        <v>3</v>
      </c>
      <c r="I4427">
        <v>12</v>
      </c>
      <c r="J4427">
        <f>IF($H4427=0,1,IF($I4427&lt;=1,2,0))</f>
        <v>0</v>
      </c>
      <c r="K4427">
        <v>0</v>
      </c>
      <c r="L4427">
        <f>IF(AND($J4427=0,$K4427=0),0,1)</f>
        <v>0</v>
      </c>
    </row>
    <row r="4428" spans="1:13" x14ac:dyDescent="0.2">
      <c r="A4428" t="s">
        <v>672</v>
      </c>
      <c r="B4428" t="s">
        <v>6</v>
      </c>
      <c r="C4428" t="s">
        <v>11</v>
      </c>
      <c r="D4428">
        <v>5064</v>
      </c>
      <c r="E4428">
        <v>2020</v>
      </c>
      <c r="F4428">
        <v>1</v>
      </c>
      <c r="G4428">
        <v>11663</v>
      </c>
      <c r="H4428" s="1">
        <v>1</v>
      </c>
      <c r="I4428">
        <v>13</v>
      </c>
      <c r="J4428">
        <f>IF($H4428=0,1,IF($I4428&lt;=1,2,0))</f>
        <v>0</v>
      </c>
      <c r="K4428">
        <v>0</v>
      </c>
      <c r="L4428">
        <f>IF(AND($J4428=0,$K4428=0),0,1)</f>
        <v>0</v>
      </c>
    </row>
    <row r="4429" spans="1:13" x14ac:dyDescent="0.2">
      <c r="A4429" t="s">
        <v>672</v>
      </c>
      <c r="B4429" t="s">
        <v>6</v>
      </c>
      <c r="C4429" t="s">
        <v>11</v>
      </c>
      <c r="D4429">
        <v>6003</v>
      </c>
      <c r="E4429">
        <v>2020</v>
      </c>
      <c r="F4429">
        <v>1</v>
      </c>
      <c r="G4429">
        <v>15409</v>
      </c>
      <c r="H4429" s="1">
        <v>4</v>
      </c>
      <c r="I4429">
        <v>11</v>
      </c>
      <c r="J4429">
        <f>IF($H4429=0,1,IF($I4429&lt;=1,2,0))</f>
        <v>0</v>
      </c>
      <c r="K4429">
        <v>0</v>
      </c>
      <c r="L4429">
        <f>IF(AND($J4429=0,$K4429=0),0,1)</f>
        <v>0</v>
      </c>
    </row>
    <row r="4430" spans="1:13" x14ac:dyDescent="0.2">
      <c r="A4430" t="s">
        <v>672</v>
      </c>
      <c r="B4430" t="s">
        <v>6</v>
      </c>
      <c r="C4430" t="s">
        <v>11</v>
      </c>
      <c r="D4430">
        <v>6010</v>
      </c>
      <c r="E4430">
        <v>2020</v>
      </c>
      <c r="F4430">
        <v>1</v>
      </c>
      <c r="G4430">
        <v>21385</v>
      </c>
      <c r="H4430" s="1">
        <v>3</v>
      </c>
      <c r="I4430">
        <v>3</v>
      </c>
      <c r="J4430">
        <f>IF($H4430=0,1,IF($I4430&lt;=1,2,0))</f>
        <v>0</v>
      </c>
      <c r="K4430">
        <v>0</v>
      </c>
      <c r="L4430">
        <f>IF(AND($J4430=0,$K4430=0),0,1)</f>
        <v>0</v>
      </c>
    </row>
    <row r="4431" spans="1:13" x14ac:dyDescent="0.2">
      <c r="A4431" t="s">
        <v>672</v>
      </c>
      <c r="B4431" t="s">
        <v>6</v>
      </c>
      <c r="C4431" t="s">
        <v>11</v>
      </c>
      <c r="D4431">
        <v>6020</v>
      </c>
      <c r="E4431">
        <v>2020</v>
      </c>
      <c r="F4431">
        <v>1</v>
      </c>
      <c r="G4431">
        <v>24883</v>
      </c>
      <c r="H4431" s="1">
        <v>1</v>
      </c>
      <c r="I4431">
        <v>3</v>
      </c>
      <c r="J4431">
        <f>IF($H4431=0,1,IF($I4431&lt;=1,2,0))</f>
        <v>0</v>
      </c>
      <c r="K4431">
        <v>0</v>
      </c>
      <c r="L4431">
        <f>IF(AND($J4431=0,$K4431=0),0,1)</f>
        <v>0</v>
      </c>
    </row>
    <row r="4432" spans="1:13" x14ac:dyDescent="0.2">
      <c r="A4432" t="s">
        <v>672</v>
      </c>
      <c r="B4432" t="s">
        <v>6</v>
      </c>
      <c r="C4432" t="s">
        <v>11</v>
      </c>
      <c r="D4432">
        <v>6051</v>
      </c>
      <c r="E4432">
        <v>2020</v>
      </c>
      <c r="F4432">
        <v>1</v>
      </c>
      <c r="G4432">
        <v>21386</v>
      </c>
      <c r="H4432" s="1">
        <v>3</v>
      </c>
      <c r="I4432">
        <v>13</v>
      </c>
      <c r="J4432">
        <f>IF($H4432=0,1,IF($I4432&lt;=1,2,0))</f>
        <v>0</v>
      </c>
      <c r="K4432">
        <v>0</v>
      </c>
      <c r="L4432">
        <f>IF(AND($J4432=0,$K4432=0),0,1)</f>
        <v>0</v>
      </c>
    </row>
    <row r="4433" spans="1:13" x14ac:dyDescent="0.2">
      <c r="A4433" t="s">
        <v>672</v>
      </c>
      <c r="B4433" t="s">
        <v>6</v>
      </c>
      <c r="C4433" t="s">
        <v>11</v>
      </c>
      <c r="D4433">
        <v>6095</v>
      </c>
      <c r="E4433">
        <v>2020</v>
      </c>
      <c r="F4433">
        <v>1</v>
      </c>
      <c r="G4433">
        <v>21885</v>
      </c>
      <c r="H4433" s="1">
        <v>2</v>
      </c>
      <c r="I4433">
        <v>6</v>
      </c>
      <c r="J4433">
        <f>IF($H4433=0,1,IF($I4433&lt;=1,2,0))</f>
        <v>0</v>
      </c>
      <c r="K4433">
        <v>0</v>
      </c>
      <c r="L4433">
        <f>IF(AND($J4433=0,$K4433=0),0,1)</f>
        <v>0</v>
      </c>
      <c r="M4433" t="s">
        <v>2016</v>
      </c>
    </row>
    <row r="4434" spans="1:13" x14ac:dyDescent="0.2">
      <c r="A4434" t="s">
        <v>672</v>
      </c>
      <c r="B4434" t="s">
        <v>6</v>
      </c>
      <c r="C4434" t="s">
        <v>11</v>
      </c>
      <c r="D4434">
        <v>8201</v>
      </c>
      <c r="E4434">
        <v>2020</v>
      </c>
      <c r="F4434">
        <v>1</v>
      </c>
      <c r="G4434">
        <v>21387</v>
      </c>
      <c r="H4434" s="1">
        <v>3</v>
      </c>
      <c r="I4434">
        <v>5</v>
      </c>
      <c r="J4434">
        <f>IF($H4434=0,1,IF($I4434&lt;=1,2,0))</f>
        <v>0</v>
      </c>
      <c r="K4434">
        <v>0</v>
      </c>
      <c r="L4434">
        <f>IF(AND($J4434=0,$K4434=0),0,1)</f>
        <v>0</v>
      </c>
    </row>
    <row r="4435" spans="1:13" x14ac:dyDescent="0.2">
      <c r="A4435" t="s">
        <v>672</v>
      </c>
      <c r="B4435" t="s">
        <v>6</v>
      </c>
      <c r="C4435" t="s">
        <v>11</v>
      </c>
      <c r="D4435">
        <v>8300</v>
      </c>
      <c r="E4435">
        <v>2020</v>
      </c>
      <c r="F4435">
        <v>1</v>
      </c>
      <c r="G4435">
        <v>11656</v>
      </c>
      <c r="H4435" s="1">
        <v>3</v>
      </c>
      <c r="I4435">
        <v>12</v>
      </c>
      <c r="J4435">
        <f>IF($H4435=0,1,IF($I4435&lt;=1,2,0))</f>
        <v>0</v>
      </c>
      <c r="K4435">
        <v>0</v>
      </c>
      <c r="L4435">
        <f>IF(AND($J4435=0,$K4435=0),0,1)</f>
        <v>0</v>
      </c>
    </row>
    <row r="4436" spans="1:13" x14ac:dyDescent="0.2">
      <c r="A4436" t="s">
        <v>685</v>
      </c>
      <c r="B4436" t="s">
        <v>17</v>
      </c>
      <c r="C4436" t="s">
        <v>9</v>
      </c>
      <c r="D4436">
        <v>1101</v>
      </c>
      <c r="E4436">
        <v>2020</v>
      </c>
      <c r="F4436">
        <v>23</v>
      </c>
      <c r="G4436">
        <v>575</v>
      </c>
      <c r="H4436" s="1">
        <v>4</v>
      </c>
      <c r="I4436">
        <v>16</v>
      </c>
      <c r="J4436">
        <f>IF($H4436=0,1,IF($I4436&lt;=1,2,0))</f>
        <v>0</v>
      </c>
      <c r="K4436">
        <v>0</v>
      </c>
      <c r="L4436">
        <f>IF(AND($J4436=0,$K4436=0),0,1)</f>
        <v>0</v>
      </c>
    </row>
    <row r="4437" spans="1:13" x14ac:dyDescent="0.2">
      <c r="A4437" t="s">
        <v>685</v>
      </c>
      <c r="B4437" t="s">
        <v>17</v>
      </c>
      <c r="C4437" t="s">
        <v>9</v>
      </c>
      <c r="D4437">
        <v>1101</v>
      </c>
      <c r="E4437">
        <v>2020</v>
      </c>
      <c r="F4437">
        <v>2</v>
      </c>
      <c r="G4437">
        <v>13844</v>
      </c>
      <c r="H4437" s="1">
        <v>4</v>
      </c>
      <c r="I4437">
        <v>15</v>
      </c>
      <c r="J4437">
        <f>IF($H4437=0,1,IF($I4437&lt;=1,2,0))</f>
        <v>0</v>
      </c>
      <c r="K4437">
        <v>0</v>
      </c>
      <c r="L4437">
        <f>IF(AND($J4437=0,$K4437=0),0,1)</f>
        <v>0</v>
      </c>
      <c r="M4437" t="s">
        <v>2017</v>
      </c>
    </row>
    <row r="4438" spans="1:13" x14ac:dyDescent="0.2">
      <c r="A4438" t="s">
        <v>685</v>
      </c>
      <c r="B4438" t="s">
        <v>17</v>
      </c>
      <c r="C4438" t="s">
        <v>9</v>
      </c>
      <c r="D4438">
        <v>1101</v>
      </c>
      <c r="E4438">
        <v>2020</v>
      </c>
      <c r="F4438">
        <v>22</v>
      </c>
      <c r="G4438">
        <v>574</v>
      </c>
      <c r="H4438" s="1">
        <v>4</v>
      </c>
      <c r="I4438">
        <v>15</v>
      </c>
      <c r="J4438">
        <f>IF($H4438=0,1,IF($I4438&lt;=1,2,0))</f>
        <v>0</v>
      </c>
      <c r="K4438">
        <v>0</v>
      </c>
      <c r="L4438">
        <f>IF(AND($J4438=0,$K4438=0),0,1)</f>
        <v>0</v>
      </c>
    </row>
    <row r="4439" spans="1:13" x14ac:dyDescent="0.2">
      <c r="A4439" t="s">
        <v>685</v>
      </c>
      <c r="B4439" t="s">
        <v>17</v>
      </c>
      <c r="C4439" t="s">
        <v>9</v>
      </c>
      <c r="D4439">
        <v>1101</v>
      </c>
      <c r="E4439">
        <v>2020</v>
      </c>
      <c r="F4439">
        <v>5</v>
      </c>
      <c r="G4439">
        <v>13847</v>
      </c>
      <c r="H4439" s="1">
        <v>4</v>
      </c>
      <c r="I4439">
        <v>14</v>
      </c>
      <c r="J4439">
        <f>IF($H4439=0,1,IF($I4439&lt;=1,2,0))</f>
        <v>0</v>
      </c>
      <c r="K4439">
        <v>0</v>
      </c>
      <c r="L4439">
        <f>IF(AND($J4439=0,$K4439=0),0,1)</f>
        <v>0</v>
      </c>
      <c r="M4439" t="s">
        <v>2017</v>
      </c>
    </row>
    <row r="4440" spans="1:13" x14ac:dyDescent="0.2">
      <c r="A4440" t="s">
        <v>685</v>
      </c>
      <c r="B4440" t="s">
        <v>17</v>
      </c>
      <c r="C4440" t="s">
        <v>9</v>
      </c>
      <c r="D4440">
        <v>1101</v>
      </c>
      <c r="E4440">
        <v>2020</v>
      </c>
      <c r="F4440">
        <v>6</v>
      </c>
      <c r="G4440">
        <v>13848</v>
      </c>
      <c r="H4440" s="1">
        <v>4</v>
      </c>
      <c r="I4440">
        <v>14</v>
      </c>
      <c r="J4440">
        <f>IF($H4440=0,1,IF($I4440&lt;=1,2,0))</f>
        <v>0</v>
      </c>
      <c r="K4440">
        <v>0</v>
      </c>
      <c r="L4440">
        <f>IF(AND($J4440=0,$K4440=0),0,1)</f>
        <v>0</v>
      </c>
      <c r="M4440" t="s">
        <v>2017</v>
      </c>
    </row>
    <row r="4441" spans="1:13" x14ac:dyDescent="0.2">
      <c r="A4441" t="s">
        <v>685</v>
      </c>
      <c r="B4441" t="s">
        <v>17</v>
      </c>
      <c r="C4441" t="s">
        <v>9</v>
      </c>
      <c r="D4441">
        <v>1101</v>
      </c>
      <c r="E4441">
        <v>2020</v>
      </c>
      <c r="F4441">
        <v>8</v>
      </c>
      <c r="G4441">
        <v>13850</v>
      </c>
      <c r="H4441" s="1">
        <v>4</v>
      </c>
      <c r="I4441">
        <v>14</v>
      </c>
      <c r="J4441">
        <f>IF($H4441=0,1,IF($I4441&lt;=1,2,0))</f>
        <v>0</v>
      </c>
      <c r="K4441">
        <v>0</v>
      </c>
      <c r="L4441">
        <f>IF(AND($J4441=0,$K4441=0),0,1)</f>
        <v>0</v>
      </c>
      <c r="M4441" t="s">
        <v>2017</v>
      </c>
    </row>
    <row r="4442" spans="1:13" x14ac:dyDescent="0.2">
      <c r="A4442" t="s">
        <v>685</v>
      </c>
      <c r="B4442" t="s">
        <v>17</v>
      </c>
      <c r="C4442" t="s">
        <v>9</v>
      </c>
      <c r="D4442">
        <v>1101</v>
      </c>
      <c r="E4442">
        <v>2020</v>
      </c>
      <c r="F4442">
        <v>21</v>
      </c>
      <c r="G4442">
        <v>573</v>
      </c>
      <c r="H4442" s="1">
        <v>4</v>
      </c>
      <c r="I4442">
        <v>14</v>
      </c>
      <c r="J4442">
        <f>IF($H4442=0,1,IF($I4442&lt;=1,2,0))</f>
        <v>0</v>
      </c>
      <c r="K4442">
        <v>0</v>
      </c>
      <c r="L4442">
        <f>IF(AND($J4442=0,$K4442=0),0,1)</f>
        <v>0</v>
      </c>
    </row>
    <row r="4443" spans="1:13" x14ac:dyDescent="0.2">
      <c r="A4443" t="s">
        <v>685</v>
      </c>
      <c r="B4443" t="s">
        <v>17</v>
      </c>
      <c r="C4443" t="s">
        <v>9</v>
      </c>
      <c r="D4443">
        <v>1101</v>
      </c>
      <c r="E4443">
        <v>2020</v>
      </c>
      <c r="F4443">
        <v>1</v>
      </c>
      <c r="G4443">
        <v>13843</v>
      </c>
      <c r="H4443" s="1">
        <v>4</v>
      </c>
      <c r="I4443">
        <v>13</v>
      </c>
      <c r="J4443">
        <f>IF($H4443=0,1,IF($I4443&lt;=1,2,0))</f>
        <v>0</v>
      </c>
      <c r="K4443">
        <v>0</v>
      </c>
      <c r="L4443">
        <f>IF(AND($J4443=0,$K4443=0),0,1)</f>
        <v>0</v>
      </c>
      <c r="M4443" t="s">
        <v>2017</v>
      </c>
    </row>
    <row r="4444" spans="1:13" x14ac:dyDescent="0.2">
      <c r="A4444" t="s">
        <v>685</v>
      </c>
      <c r="B4444" t="s">
        <v>17</v>
      </c>
      <c r="C4444" t="s">
        <v>9</v>
      </c>
      <c r="D4444">
        <v>1101</v>
      </c>
      <c r="E4444">
        <v>2020</v>
      </c>
      <c r="F4444">
        <v>4</v>
      </c>
      <c r="G4444">
        <v>13846</v>
      </c>
      <c r="H4444" s="1">
        <v>4</v>
      </c>
      <c r="I4444">
        <v>13</v>
      </c>
      <c r="J4444">
        <f>IF($H4444=0,1,IF($I4444&lt;=1,2,0))</f>
        <v>0</v>
      </c>
      <c r="K4444">
        <v>0</v>
      </c>
      <c r="L4444">
        <f>IF(AND($J4444=0,$K4444=0),0,1)</f>
        <v>0</v>
      </c>
      <c r="M4444" t="s">
        <v>2017</v>
      </c>
    </row>
    <row r="4445" spans="1:13" x14ac:dyDescent="0.2">
      <c r="A4445" t="s">
        <v>685</v>
      </c>
      <c r="B4445" t="s">
        <v>17</v>
      </c>
      <c r="C4445" t="s">
        <v>9</v>
      </c>
      <c r="D4445">
        <v>1101</v>
      </c>
      <c r="E4445">
        <v>2020</v>
      </c>
      <c r="F4445">
        <v>10</v>
      </c>
      <c r="G4445">
        <v>13852</v>
      </c>
      <c r="H4445" s="1">
        <v>4</v>
      </c>
      <c r="I4445">
        <v>13</v>
      </c>
      <c r="J4445">
        <f>IF($H4445=0,1,IF($I4445&lt;=1,2,0))</f>
        <v>0</v>
      </c>
      <c r="K4445">
        <v>0</v>
      </c>
      <c r="L4445">
        <f>IF(AND($J4445=0,$K4445=0),0,1)</f>
        <v>0</v>
      </c>
      <c r="M4445" t="s">
        <v>2017</v>
      </c>
    </row>
    <row r="4446" spans="1:13" x14ac:dyDescent="0.2">
      <c r="A4446" t="s">
        <v>685</v>
      </c>
      <c r="B4446" t="s">
        <v>17</v>
      </c>
      <c r="C4446" t="s">
        <v>9</v>
      </c>
      <c r="D4446">
        <v>1101</v>
      </c>
      <c r="E4446">
        <v>2020</v>
      </c>
      <c r="F4446">
        <v>20</v>
      </c>
      <c r="G4446">
        <v>572</v>
      </c>
      <c r="H4446" s="1">
        <v>4</v>
      </c>
      <c r="I4446">
        <v>13</v>
      </c>
      <c r="J4446">
        <f>IF($H4446=0,1,IF($I4446&lt;=1,2,0))</f>
        <v>0</v>
      </c>
      <c r="K4446">
        <v>0</v>
      </c>
      <c r="L4446">
        <f>IF(AND($J4446=0,$K4446=0),0,1)</f>
        <v>0</v>
      </c>
    </row>
    <row r="4447" spans="1:13" x14ac:dyDescent="0.2">
      <c r="A4447" t="s">
        <v>685</v>
      </c>
      <c r="B4447" t="s">
        <v>17</v>
      </c>
      <c r="C4447" t="s">
        <v>9</v>
      </c>
      <c r="D4447">
        <v>1101</v>
      </c>
      <c r="E4447">
        <v>2020</v>
      </c>
      <c r="F4447">
        <v>9</v>
      </c>
      <c r="G4447">
        <v>13851</v>
      </c>
      <c r="H4447" s="1">
        <v>4</v>
      </c>
      <c r="I4447">
        <v>12</v>
      </c>
      <c r="J4447">
        <f>IF($H4447=0,1,IF($I4447&lt;=1,2,0))</f>
        <v>0</v>
      </c>
      <c r="K4447">
        <v>0</v>
      </c>
      <c r="L4447">
        <f>IF(AND($J4447=0,$K4447=0),0,1)</f>
        <v>0</v>
      </c>
      <c r="M4447" t="s">
        <v>2017</v>
      </c>
    </row>
    <row r="4448" spans="1:13" x14ac:dyDescent="0.2">
      <c r="A4448" t="s">
        <v>685</v>
      </c>
      <c r="B4448" t="s">
        <v>17</v>
      </c>
      <c r="C4448" t="s">
        <v>9</v>
      </c>
      <c r="D4448">
        <v>1101</v>
      </c>
      <c r="E4448">
        <v>2020</v>
      </c>
      <c r="F4448">
        <v>11</v>
      </c>
      <c r="G4448">
        <v>24654</v>
      </c>
      <c r="H4448" s="1">
        <v>4</v>
      </c>
      <c r="I4448">
        <v>12</v>
      </c>
      <c r="J4448">
        <f>IF($H4448=0,1,IF($I4448&lt;=1,2,0))</f>
        <v>0</v>
      </c>
      <c r="K4448">
        <v>0</v>
      </c>
      <c r="L4448">
        <f>IF(AND($J4448=0,$K4448=0),0,1)</f>
        <v>0</v>
      </c>
      <c r="M4448" t="s">
        <v>2018</v>
      </c>
    </row>
    <row r="4449" spans="1:13" x14ac:dyDescent="0.2">
      <c r="A4449" t="s">
        <v>685</v>
      </c>
      <c r="B4449" t="s">
        <v>17</v>
      </c>
      <c r="C4449" t="s">
        <v>9</v>
      </c>
      <c r="D4449">
        <v>1101</v>
      </c>
      <c r="E4449">
        <v>2020</v>
      </c>
      <c r="F4449">
        <v>3</v>
      </c>
      <c r="G4449">
        <v>13845</v>
      </c>
      <c r="H4449" s="1">
        <v>4</v>
      </c>
      <c r="I4449">
        <v>11</v>
      </c>
      <c r="J4449">
        <f>IF($H4449=0,1,IF($I4449&lt;=1,2,0))</f>
        <v>0</v>
      </c>
      <c r="K4449">
        <v>0</v>
      </c>
      <c r="L4449">
        <f>IF(AND($J4449=0,$K4449=0),0,1)</f>
        <v>0</v>
      </c>
      <c r="M4449" t="s">
        <v>2017</v>
      </c>
    </row>
    <row r="4450" spans="1:13" x14ac:dyDescent="0.2">
      <c r="A4450" t="s">
        <v>685</v>
      </c>
      <c r="B4450" t="s">
        <v>17</v>
      </c>
      <c r="C4450" t="s">
        <v>9</v>
      </c>
      <c r="D4450">
        <v>1101</v>
      </c>
      <c r="E4450">
        <v>2020</v>
      </c>
      <c r="F4450">
        <v>7</v>
      </c>
      <c r="G4450">
        <v>13849</v>
      </c>
      <c r="H4450" s="1">
        <v>4</v>
      </c>
      <c r="I4450">
        <v>11</v>
      </c>
      <c r="J4450">
        <f>IF($H4450=0,1,IF($I4450&lt;=1,2,0))</f>
        <v>0</v>
      </c>
      <c r="K4450">
        <v>0</v>
      </c>
      <c r="L4450">
        <f>IF(AND($J4450=0,$K4450=0),0,1)</f>
        <v>0</v>
      </c>
      <c r="M4450" t="s">
        <v>2017</v>
      </c>
    </row>
    <row r="4451" spans="1:13" x14ac:dyDescent="0.2">
      <c r="A4451" t="s">
        <v>685</v>
      </c>
      <c r="B4451" t="s">
        <v>17</v>
      </c>
      <c r="C4451" t="s">
        <v>9</v>
      </c>
      <c r="D4451">
        <v>1102</v>
      </c>
      <c r="E4451">
        <v>2020</v>
      </c>
      <c r="F4451">
        <v>21</v>
      </c>
      <c r="G4451">
        <v>577</v>
      </c>
      <c r="H4451" s="1">
        <v>4</v>
      </c>
      <c r="I4451">
        <v>16</v>
      </c>
      <c r="J4451">
        <f>IF($H4451=0,1,IF($I4451&lt;=1,2,0))</f>
        <v>0</v>
      </c>
      <c r="K4451">
        <v>0</v>
      </c>
      <c r="L4451">
        <f>IF(AND($J4451=0,$K4451=0),0,1)</f>
        <v>0</v>
      </c>
    </row>
    <row r="4452" spans="1:13" x14ac:dyDescent="0.2">
      <c r="A4452" t="s">
        <v>685</v>
      </c>
      <c r="B4452" t="s">
        <v>17</v>
      </c>
      <c r="C4452" t="s">
        <v>9</v>
      </c>
      <c r="D4452">
        <v>1102</v>
      </c>
      <c r="E4452">
        <v>2020</v>
      </c>
      <c r="F4452">
        <v>2</v>
      </c>
      <c r="G4452">
        <v>13854</v>
      </c>
      <c r="H4452" s="1">
        <v>4</v>
      </c>
      <c r="I4452">
        <v>15</v>
      </c>
      <c r="J4452">
        <f>IF($H4452=0,1,IF($I4452&lt;=1,2,0))</f>
        <v>0</v>
      </c>
      <c r="K4452">
        <v>0</v>
      </c>
      <c r="L4452">
        <f>IF(AND($J4452=0,$K4452=0),0,1)</f>
        <v>0</v>
      </c>
      <c r="M4452" t="s">
        <v>2019</v>
      </c>
    </row>
    <row r="4453" spans="1:13" x14ac:dyDescent="0.2">
      <c r="A4453" t="s">
        <v>685</v>
      </c>
      <c r="B4453" t="s">
        <v>17</v>
      </c>
      <c r="C4453" t="s">
        <v>9</v>
      </c>
      <c r="D4453">
        <v>1102</v>
      </c>
      <c r="E4453">
        <v>2020</v>
      </c>
      <c r="F4453">
        <v>3</v>
      </c>
      <c r="G4453">
        <v>13855</v>
      </c>
      <c r="H4453" s="1">
        <v>4</v>
      </c>
      <c r="I4453">
        <v>15</v>
      </c>
      <c r="J4453">
        <f>IF($H4453=0,1,IF($I4453&lt;=1,2,0))</f>
        <v>0</v>
      </c>
      <c r="K4453">
        <v>0</v>
      </c>
      <c r="L4453">
        <f>IF(AND($J4453=0,$K4453=0),0,1)</f>
        <v>0</v>
      </c>
      <c r="M4453" t="s">
        <v>2019</v>
      </c>
    </row>
    <row r="4454" spans="1:13" x14ac:dyDescent="0.2">
      <c r="A4454" t="s">
        <v>685</v>
      </c>
      <c r="B4454" t="s">
        <v>17</v>
      </c>
      <c r="C4454" t="s">
        <v>9</v>
      </c>
      <c r="D4454">
        <v>1102</v>
      </c>
      <c r="E4454">
        <v>2020</v>
      </c>
      <c r="F4454">
        <v>4</v>
      </c>
      <c r="G4454">
        <v>13856</v>
      </c>
      <c r="H4454" s="1">
        <v>4</v>
      </c>
      <c r="I4454">
        <v>15</v>
      </c>
      <c r="J4454">
        <f>IF($H4454=0,1,IF($I4454&lt;=1,2,0))</f>
        <v>0</v>
      </c>
      <c r="K4454">
        <v>0</v>
      </c>
      <c r="L4454">
        <f>IF(AND($J4454=0,$K4454=0),0,1)</f>
        <v>0</v>
      </c>
      <c r="M4454" t="s">
        <v>2019</v>
      </c>
    </row>
    <row r="4455" spans="1:13" x14ac:dyDescent="0.2">
      <c r="A4455" t="s">
        <v>685</v>
      </c>
      <c r="B4455" t="s">
        <v>17</v>
      </c>
      <c r="C4455" t="s">
        <v>9</v>
      </c>
      <c r="D4455">
        <v>1102</v>
      </c>
      <c r="E4455">
        <v>2020</v>
      </c>
      <c r="F4455">
        <v>6</v>
      </c>
      <c r="G4455">
        <v>13858</v>
      </c>
      <c r="H4455" s="1">
        <v>4</v>
      </c>
      <c r="I4455">
        <v>15</v>
      </c>
      <c r="J4455">
        <f>IF($H4455=0,1,IF($I4455&lt;=1,2,0))</f>
        <v>0</v>
      </c>
      <c r="K4455">
        <v>0</v>
      </c>
      <c r="L4455">
        <f>IF(AND($J4455=0,$K4455=0),0,1)</f>
        <v>0</v>
      </c>
      <c r="M4455" t="s">
        <v>2019</v>
      </c>
    </row>
    <row r="4456" spans="1:13" x14ac:dyDescent="0.2">
      <c r="A4456" t="s">
        <v>685</v>
      </c>
      <c r="B4456" t="s">
        <v>17</v>
      </c>
      <c r="C4456" t="s">
        <v>9</v>
      </c>
      <c r="D4456">
        <v>1102</v>
      </c>
      <c r="E4456">
        <v>2020</v>
      </c>
      <c r="F4456">
        <v>8</v>
      </c>
      <c r="G4456">
        <v>13860</v>
      </c>
      <c r="H4456" s="1">
        <v>4</v>
      </c>
      <c r="I4456">
        <v>15</v>
      </c>
      <c r="J4456">
        <f>IF($H4456=0,1,IF($I4456&lt;=1,2,0))</f>
        <v>0</v>
      </c>
      <c r="K4456">
        <v>0</v>
      </c>
      <c r="L4456">
        <f>IF(AND($J4456=0,$K4456=0),0,1)</f>
        <v>0</v>
      </c>
      <c r="M4456" t="s">
        <v>2019</v>
      </c>
    </row>
    <row r="4457" spans="1:13" x14ac:dyDescent="0.2">
      <c r="A4457" t="s">
        <v>685</v>
      </c>
      <c r="B4457" t="s">
        <v>17</v>
      </c>
      <c r="C4457" t="s">
        <v>9</v>
      </c>
      <c r="D4457">
        <v>1102</v>
      </c>
      <c r="E4457">
        <v>2020</v>
      </c>
      <c r="F4457">
        <v>20</v>
      </c>
      <c r="G4457">
        <v>576</v>
      </c>
      <c r="H4457" s="1">
        <v>4</v>
      </c>
      <c r="I4457">
        <v>15</v>
      </c>
      <c r="J4457">
        <f>IF($H4457=0,1,IF($I4457&lt;=1,2,0))</f>
        <v>0</v>
      </c>
      <c r="K4457">
        <v>0</v>
      </c>
      <c r="L4457">
        <f>IF(AND($J4457=0,$K4457=0),0,1)</f>
        <v>0</v>
      </c>
    </row>
    <row r="4458" spans="1:13" x14ac:dyDescent="0.2">
      <c r="A4458" t="s">
        <v>685</v>
      </c>
      <c r="B4458" t="s">
        <v>17</v>
      </c>
      <c r="C4458" t="s">
        <v>9</v>
      </c>
      <c r="D4458">
        <v>1102</v>
      </c>
      <c r="E4458">
        <v>2020</v>
      </c>
      <c r="F4458">
        <v>1</v>
      </c>
      <c r="G4458">
        <v>13853</v>
      </c>
      <c r="H4458" s="1">
        <v>4</v>
      </c>
      <c r="I4458">
        <v>14</v>
      </c>
      <c r="J4458">
        <f>IF($H4458=0,1,IF($I4458&lt;=1,2,0))</f>
        <v>0</v>
      </c>
      <c r="K4458">
        <v>0</v>
      </c>
      <c r="L4458">
        <f>IF(AND($J4458=0,$K4458=0),0,1)</f>
        <v>0</v>
      </c>
      <c r="M4458" t="s">
        <v>2019</v>
      </c>
    </row>
    <row r="4459" spans="1:13" x14ac:dyDescent="0.2">
      <c r="A4459" t="s">
        <v>685</v>
      </c>
      <c r="B4459" t="s">
        <v>17</v>
      </c>
      <c r="C4459" t="s">
        <v>9</v>
      </c>
      <c r="D4459">
        <v>1102</v>
      </c>
      <c r="E4459">
        <v>2020</v>
      </c>
      <c r="F4459">
        <v>5</v>
      </c>
      <c r="G4459">
        <v>13857</v>
      </c>
      <c r="H4459" s="1">
        <v>4</v>
      </c>
      <c r="I4459">
        <v>14</v>
      </c>
      <c r="J4459">
        <f>IF($H4459=0,1,IF($I4459&lt;=1,2,0))</f>
        <v>0</v>
      </c>
      <c r="K4459">
        <v>0</v>
      </c>
      <c r="L4459">
        <f>IF(AND($J4459=0,$K4459=0),0,1)</f>
        <v>0</v>
      </c>
      <c r="M4459" t="s">
        <v>2019</v>
      </c>
    </row>
    <row r="4460" spans="1:13" x14ac:dyDescent="0.2">
      <c r="A4460" t="s">
        <v>685</v>
      </c>
      <c r="B4460" t="s">
        <v>17</v>
      </c>
      <c r="C4460" t="s">
        <v>9</v>
      </c>
      <c r="D4460">
        <v>1102</v>
      </c>
      <c r="E4460">
        <v>2020</v>
      </c>
      <c r="F4460">
        <v>7</v>
      </c>
      <c r="G4460">
        <v>13859</v>
      </c>
      <c r="H4460" s="1">
        <v>4</v>
      </c>
      <c r="I4460">
        <v>14</v>
      </c>
      <c r="J4460">
        <f>IF($H4460=0,1,IF($I4460&lt;=1,2,0))</f>
        <v>0</v>
      </c>
      <c r="K4460">
        <v>0</v>
      </c>
      <c r="L4460">
        <f>IF(AND($J4460=0,$K4460=0),0,1)</f>
        <v>0</v>
      </c>
      <c r="M4460" t="s">
        <v>2019</v>
      </c>
    </row>
    <row r="4461" spans="1:13" x14ac:dyDescent="0.2">
      <c r="A4461" t="s">
        <v>685</v>
      </c>
      <c r="B4461" t="s">
        <v>17</v>
      </c>
      <c r="C4461" t="s">
        <v>9</v>
      </c>
      <c r="D4461">
        <v>1102</v>
      </c>
      <c r="E4461">
        <v>2020</v>
      </c>
      <c r="F4461">
        <v>9</v>
      </c>
      <c r="G4461">
        <v>13861</v>
      </c>
      <c r="H4461" s="1">
        <v>4</v>
      </c>
      <c r="I4461">
        <v>12</v>
      </c>
      <c r="J4461">
        <f>IF($H4461=0,1,IF($I4461&lt;=1,2,0))</f>
        <v>0</v>
      </c>
      <c r="K4461">
        <v>0</v>
      </c>
      <c r="L4461">
        <f>IF(AND($J4461=0,$K4461=0),0,1)</f>
        <v>0</v>
      </c>
      <c r="M4461" t="s">
        <v>2019</v>
      </c>
    </row>
    <row r="4462" spans="1:13" x14ac:dyDescent="0.2">
      <c r="A4462" t="s">
        <v>685</v>
      </c>
      <c r="B4462" t="s">
        <v>17</v>
      </c>
      <c r="C4462" t="s">
        <v>9</v>
      </c>
      <c r="D4462">
        <v>2101</v>
      </c>
      <c r="E4462">
        <v>2020</v>
      </c>
      <c r="F4462">
        <v>3</v>
      </c>
      <c r="G4462">
        <v>13864</v>
      </c>
      <c r="H4462" s="1">
        <v>4</v>
      </c>
      <c r="I4462">
        <v>15</v>
      </c>
      <c r="J4462">
        <f>IF($H4462=0,1,IF($I4462&lt;=1,2,0))</f>
        <v>0</v>
      </c>
      <c r="K4462">
        <v>0</v>
      </c>
      <c r="L4462">
        <f>IF(AND($J4462=0,$K4462=0),0,1)</f>
        <v>0</v>
      </c>
      <c r="M4462" t="s">
        <v>2020</v>
      </c>
    </row>
    <row r="4463" spans="1:13" x14ac:dyDescent="0.2">
      <c r="A4463" t="s">
        <v>685</v>
      </c>
      <c r="B4463" t="s">
        <v>17</v>
      </c>
      <c r="C4463" t="s">
        <v>9</v>
      </c>
      <c r="D4463">
        <v>2101</v>
      </c>
      <c r="E4463">
        <v>2020</v>
      </c>
      <c r="F4463">
        <v>20</v>
      </c>
      <c r="G4463">
        <v>604</v>
      </c>
      <c r="H4463" s="1">
        <v>4</v>
      </c>
      <c r="I4463">
        <v>15</v>
      </c>
      <c r="J4463">
        <f>IF($H4463=0,1,IF($I4463&lt;=1,2,0))</f>
        <v>0</v>
      </c>
      <c r="K4463">
        <v>0</v>
      </c>
      <c r="L4463">
        <f>IF(AND($J4463=0,$K4463=0),0,1)</f>
        <v>0</v>
      </c>
    </row>
    <row r="4464" spans="1:13" x14ac:dyDescent="0.2">
      <c r="A4464" t="s">
        <v>685</v>
      </c>
      <c r="B4464" t="s">
        <v>17</v>
      </c>
      <c r="C4464" t="s">
        <v>9</v>
      </c>
      <c r="D4464">
        <v>2101</v>
      </c>
      <c r="E4464">
        <v>2020</v>
      </c>
      <c r="F4464">
        <v>22</v>
      </c>
      <c r="G4464">
        <v>606</v>
      </c>
      <c r="H4464" s="1">
        <v>4</v>
      </c>
      <c r="I4464">
        <v>15</v>
      </c>
      <c r="J4464">
        <f>IF($H4464=0,1,IF($I4464&lt;=1,2,0))</f>
        <v>0</v>
      </c>
      <c r="K4464">
        <v>0</v>
      </c>
      <c r="L4464">
        <f>IF(AND($J4464=0,$K4464=0),0,1)</f>
        <v>0</v>
      </c>
    </row>
    <row r="4465" spans="1:13" x14ac:dyDescent="0.2">
      <c r="A4465" t="s">
        <v>685</v>
      </c>
      <c r="B4465" t="s">
        <v>17</v>
      </c>
      <c r="C4465" t="s">
        <v>9</v>
      </c>
      <c r="D4465">
        <v>2101</v>
      </c>
      <c r="E4465">
        <v>2020</v>
      </c>
      <c r="F4465">
        <v>5</v>
      </c>
      <c r="G4465">
        <v>13866</v>
      </c>
      <c r="H4465" s="1">
        <v>4</v>
      </c>
      <c r="I4465">
        <v>14</v>
      </c>
      <c r="J4465">
        <f>IF($H4465=0,1,IF($I4465&lt;=1,2,0))</f>
        <v>0</v>
      </c>
      <c r="K4465">
        <v>0</v>
      </c>
      <c r="L4465">
        <f>IF(AND($J4465=0,$K4465=0),0,1)</f>
        <v>0</v>
      </c>
      <c r="M4465" t="s">
        <v>2020</v>
      </c>
    </row>
    <row r="4466" spans="1:13" x14ac:dyDescent="0.2">
      <c r="A4466" t="s">
        <v>685</v>
      </c>
      <c r="B4466" t="s">
        <v>17</v>
      </c>
      <c r="C4466" t="s">
        <v>9</v>
      </c>
      <c r="D4466">
        <v>2101</v>
      </c>
      <c r="E4466">
        <v>2020</v>
      </c>
      <c r="F4466">
        <v>7</v>
      </c>
      <c r="G4466">
        <v>13868</v>
      </c>
      <c r="H4466" s="1">
        <v>4</v>
      </c>
      <c r="I4466">
        <v>13</v>
      </c>
      <c r="J4466">
        <f>IF($H4466=0,1,IF($I4466&lt;=1,2,0))</f>
        <v>0</v>
      </c>
      <c r="K4466">
        <v>0</v>
      </c>
      <c r="L4466">
        <f>IF(AND($J4466=0,$K4466=0),0,1)</f>
        <v>0</v>
      </c>
      <c r="M4466" t="s">
        <v>2020</v>
      </c>
    </row>
    <row r="4467" spans="1:13" x14ac:dyDescent="0.2">
      <c r="A4467" t="s">
        <v>685</v>
      </c>
      <c r="B4467" t="s">
        <v>17</v>
      </c>
      <c r="C4467" t="s">
        <v>9</v>
      </c>
      <c r="D4467">
        <v>2101</v>
      </c>
      <c r="E4467">
        <v>2020</v>
      </c>
      <c r="F4467">
        <v>13</v>
      </c>
      <c r="G4467">
        <v>13877</v>
      </c>
      <c r="H4467" s="1">
        <v>4</v>
      </c>
      <c r="I4467">
        <v>13</v>
      </c>
      <c r="J4467">
        <f>IF($H4467=0,1,IF($I4467&lt;=1,2,0))</f>
        <v>0</v>
      </c>
      <c r="K4467">
        <v>0</v>
      </c>
      <c r="L4467">
        <f>IF(AND($J4467=0,$K4467=0),0,1)</f>
        <v>0</v>
      </c>
      <c r="M4467" t="s">
        <v>2020</v>
      </c>
    </row>
    <row r="4468" spans="1:13" x14ac:dyDescent="0.2">
      <c r="A4468" t="s">
        <v>685</v>
      </c>
      <c r="B4468" t="s">
        <v>17</v>
      </c>
      <c r="C4468" t="s">
        <v>9</v>
      </c>
      <c r="D4468">
        <v>2101</v>
      </c>
      <c r="E4468">
        <v>2020</v>
      </c>
      <c r="F4468">
        <v>21</v>
      </c>
      <c r="G4468">
        <v>605</v>
      </c>
      <c r="H4468" s="1">
        <v>4</v>
      </c>
      <c r="I4468">
        <v>13</v>
      </c>
      <c r="J4468">
        <f>IF($H4468=0,1,IF($I4468&lt;=1,2,0))</f>
        <v>0</v>
      </c>
      <c r="K4468">
        <v>0</v>
      </c>
      <c r="L4468">
        <f>IF(AND($J4468=0,$K4468=0),0,1)</f>
        <v>0</v>
      </c>
    </row>
    <row r="4469" spans="1:13" x14ac:dyDescent="0.2">
      <c r="A4469" t="s">
        <v>685</v>
      </c>
      <c r="B4469" t="s">
        <v>17</v>
      </c>
      <c r="C4469" t="s">
        <v>9</v>
      </c>
      <c r="D4469">
        <v>2101</v>
      </c>
      <c r="E4469">
        <v>2020</v>
      </c>
      <c r="F4469">
        <v>23</v>
      </c>
      <c r="G4469">
        <v>607</v>
      </c>
      <c r="H4469" s="1">
        <v>4</v>
      </c>
      <c r="I4469">
        <v>13</v>
      </c>
      <c r="J4469">
        <f>IF($H4469=0,1,IF($I4469&lt;=1,2,0))</f>
        <v>0</v>
      </c>
      <c r="K4469">
        <v>0</v>
      </c>
      <c r="L4469">
        <f>IF(AND($J4469=0,$K4469=0),0,1)</f>
        <v>0</v>
      </c>
    </row>
    <row r="4470" spans="1:13" x14ac:dyDescent="0.2">
      <c r="A4470" t="s">
        <v>685</v>
      </c>
      <c r="B4470" t="s">
        <v>17</v>
      </c>
      <c r="C4470" t="s">
        <v>9</v>
      </c>
      <c r="D4470">
        <v>2101</v>
      </c>
      <c r="E4470">
        <v>2020</v>
      </c>
      <c r="F4470">
        <v>4</v>
      </c>
      <c r="G4470">
        <v>13865</v>
      </c>
      <c r="H4470" s="1">
        <v>4</v>
      </c>
      <c r="I4470">
        <v>12</v>
      </c>
      <c r="J4470">
        <f>IF($H4470=0,1,IF($I4470&lt;=1,2,0))</f>
        <v>0</v>
      </c>
      <c r="K4470">
        <v>0</v>
      </c>
      <c r="L4470">
        <f>IF(AND($J4470=0,$K4470=0),0,1)</f>
        <v>0</v>
      </c>
      <c r="M4470" t="s">
        <v>2020</v>
      </c>
    </row>
    <row r="4471" spans="1:13" x14ac:dyDescent="0.2">
      <c r="A4471" t="s">
        <v>685</v>
      </c>
      <c r="B4471" t="s">
        <v>17</v>
      </c>
      <c r="C4471" t="s">
        <v>9</v>
      </c>
      <c r="D4471">
        <v>2101</v>
      </c>
      <c r="E4471">
        <v>2020</v>
      </c>
      <c r="F4471">
        <v>14</v>
      </c>
      <c r="G4471">
        <v>13878</v>
      </c>
      <c r="H4471" s="1">
        <v>4</v>
      </c>
      <c r="I4471">
        <v>12</v>
      </c>
      <c r="J4471">
        <f>IF($H4471=0,1,IF($I4471&lt;=1,2,0))</f>
        <v>0</v>
      </c>
      <c r="K4471">
        <v>0</v>
      </c>
      <c r="L4471">
        <f>IF(AND($J4471=0,$K4471=0),0,1)</f>
        <v>0</v>
      </c>
      <c r="M4471" t="s">
        <v>2020</v>
      </c>
    </row>
    <row r="4472" spans="1:13" x14ac:dyDescent="0.2">
      <c r="A4472" t="s">
        <v>685</v>
      </c>
      <c r="B4472" t="s">
        <v>17</v>
      </c>
      <c r="C4472" t="s">
        <v>9</v>
      </c>
      <c r="D4472">
        <v>2101</v>
      </c>
      <c r="E4472">
        <v>2020</v>
      </c>
      <c r="F4472">
        <v>9</v>
      </c>
      <c r="G4472">
        <v>13871</v>
      </c>
      <c r="H4472" s="1">
        <v>4</v>
      </c>
      <c r="I4472">
        <v>11</v>
      </c>
      <c r="J4472">
        <f>IF($H4472=0,1,IF($I4472&lt;=1,2,0))</f>
        <v>0</v>
      </c>
      <c r="K4472">
        <v>0</v>
      </c>
      <c r="L4472">
        <f>IF(AND($J4472=0,$K4472=0),0,1)</f>
        <v>0</v>
      </c>
      <c r="M4472" t="s">
        <v>2020</v>
      </c>
    </row>
    <row r="4473" spans="1:13" x14ac:dyDescent="0.2">
      <c r="A4473" t="s">
        <v>685</v>
      </c>
      <c r="B4473" t="s">
        <v>17</v>
      </c>
      <c r="C4473" t="s">
        <v>9</v>
      </c>
      <c r="D4473">
        <v>2101</v>
      </c>
      <c r="E4473">
        <v>2020</v>
      </c>
      <c r="F4473">
        <v>2</v>
      </c>
      <c r="G4473">
        <v>13863</v>
      </c>
      <c r="H4473" s="1">
        <v>4</v>
      </c>
      <c r="I4473">
        <v>10</v>
      </c>
      <c r="J4473">
        <f>IF($H4473=0,1,IF($I4473&lt;=1,2,0))</f>
        <v>0</v>
      </c>
      <c r="K4473">
        <v>0</v>
      </c>
      <c r="L4473">
        <f>IF(AND($J4473=0,$K4473=0),0,1)</f>
        <v>0</v>
      </c>
      <c r="M4473" t="s">
        <v>2020</v>
      </c>
    </row>
    <row r="4474" spans="1:13" x14ac:dyDescent="0.2">
      <c r="A4474" t="s">
        <v>685</v>
      </c>
      <c r="B4474" t="s">
        <v>17</v>
      </c>
      <c r="C4474" t="s">
        <v>9</v>
      </c>
      <c r="D4474">
        <v>2101</v>
      </c>
      <c r="E4474">
        <v>2020</v>
      </c>
      <c r="F4474">
        <v>6</v>
      </c>
      <c r="G4474">
        <v>13867</v>
      </c>
      <c r="H4474" s="1">
        <v>4</v>
      </c>
      <c r="I4474">
        <v>10</v>
      </c>
      <c r="J4474">
        <f>IF($H4474=0,1,IF($I4474&lt;=1,2,0))</f>
        <v>0</v>
      </c>
      <c r="K4474">
        <v>0</v>
      </c>
      <c r="L4474">
        <f>IF(AND($J4474=0,$K4474=0),0,1)</f>
        <v>0</v>
      </c>
      <c r="M4474" t="s">
        <v>2020</v>
      </c>
    </row>
    <row r="4475" spans="1:13" x14ac:dyDescent="0.2">
      <c r="A4475" t="s">
        <v>685</v>
      </c>
      <c r="B4475" t="s">
        <v>17</v>
      </c>
      <c r="C4475" t="s">
        <v>9</v>
      </c>
      <c r="D4475">
        <v>2101</v>
      </c>
      <c r="E4475">
        <v>2020</v>
      </c>
      <c r="F4475">
        <v>11</v>
      </c>
      <c r="G4475">
        <v>13875</v>
      </c>
      <c r="H4475" s="1">
        <v>4</v>
      </c>
      <c r="I4475">
        <v>10</v>
      </c>
      <c r="J4475">
        <f>IF($H4475=0,1,IF($I4475&lt;=1,2,0))</f>
        <v>0</v>
      </c>
      <c r="K4475">
        <v>0</v>
      </c>
      <c r="L4475">
        <f>IF(AND($J4475=0,$K4475=0),0,1)</f>
        <v>0</v>
      </c>
      <c r="M4475" t="s">
        <v>2020</v>
      </c>
    </row>
    <row r="4476" spans="1:13" x14ac:dyDescent="0.2">
      <c r="A4476" t="s">
        <v>685</v>
      </c>
      <c r="B4476" t="s">
        <v>17</v>
      </c>
      <c r="C4476" t="s">
        <v>9</v>
      </c>
      <c r="D4476">
        <v>2101</v>
      </c>
      <c r="E4476">
        <v>2020</v>
      </c>
      <c r="F4476">
        <v>12</v>
      </c>
      <c r="G4476">
        <v>13876</v>
      </c>
      <c r="H4476" s="1">
        <v>4</v>
      </c>
      <c r="I4476">
        <v>10</v>
      </c>
      <c r="J4476">
        <f>IF($H4476=0,1,IF($I4476&lt;=1,2,0))</f>
        <v>0</v>
      </c>
      <c r="K4476">
        <v>0</v>
      </c>
      <c r="L4476">
        <f>IF(AND($J4476=0,$K4476=0),0,1)</f>
        <v>0</v>
      </c>
      <c r="M4476" t="s">
        <v>2020</v>
      </c>
    </row>
    <row r="4477" spans="1:13" x14ac:dyDescent="0.2">
      <c r="A4477" t="s">
        <v>685</v>
      </c>
      <c r="B4477" t="s">
        <v>17</v>
      </c>
      <c r="C4477" t="s">
        <v>9</v>
      </c>
      <c r="D4477">
        <v>2101</v>
      </c>
      <c r="E4477">
        <v>2020</v>
      </c>
      <c r="F4477">
        <v>8</v>
      </c>
      <c r="G4477">
        <v>13869</v>
      </c>
      <c r="H4477" s="1">
        <v>4</v>
      </c>
      <c r="I4477">
        <v>9</v>
      </c>
      <c r="J4477">
        <f>IF($H4477=0,1,IF($I4477&lt;=1,2,0))</f>
        <v>0</v>
      </c>
      <c r="K4477">
        <v>0</v>
      </c>
      <c r="L4477">
        <f>IF(AND($J4477=0,$K4477=0),0,1)</f>
        <v>0</v>
      </c>
      <c r="M4477" t="s">
        <v>2020</v>
      </c>
    </row>
    <row r="4478" spans="1:13" x14ac:dyDescent="0.2">
      <c r="A4478" t="s">
        <v>685</v>
      </c>
      <c r="B4478" t="s">
        <v>17</v>
      </c>
      <c r="C4478" t="s">
        <v>9</v>
      </c>
      <c r="D4478">
        <v>2101</v>
      </c>
      <c r="E4478">
        <v>2020</v>
      </c>
      <c r="F4478">
        <v>10</v>
      </c>
      <c r="G4478">
        <v>13873</v>
      </c>
      <c r="H4478" s="1">
        <v>4</v>
      </c>
      <c r="I4478">
        <v>9</v>
      </c>
      <c r="J4478">
        <f>IF($H4478=0,1,IF($I4478&lt;=1,2,0))</f>
        <v>0</v>
      </c>
      <c r="K4478">
        <v>0</v>
      </c>
      <c r="L4478">
        <f>IF(AND($J4478=0,$K4478=0),0,1)</f>
        <v>0</v>
      </c>
      <c r="M4478" t="s">
        <v>2020</v>
      </c>
    </row>
    <row r="4479" spans="1:13" x14ac:dyDescent="0.2">
      <c r="A4479" t="s">
        <v>685</v>
      </c>
      <c r="B4479" t="s">
        <v>17</v>
      </c>
      <c r="C4479" t="s">
        <v>9</v>
      </c>
      <c r="D4479">
        <v>2102</v>
      </c>
      <c r="E4479">
        <v>2020</v>
      </c>
      <c r="F4479">
        <v>6</v>
      </c>
      <c r="G4479">
        <v>13885</v>
      </c>
      <c r="H4479" s="1">
        <v>4</v>
      </c>
      <c r="I4479">
        <v>15</v>
      </c>
      <c r="J4479">
        <f>IF($H4479=0,1,IF($I4479&lt;=1,2,0))</f>
        <v>0</v>
      </c>
      <c r="K4479">
        <v>0</v>
      </c>
      <c r="L4479">
        <f>IF(AND($J4479=0,$K4479=0),0,1)</f>
        <v>0</v>
      </c>
      <c r="M4479" t="s">
        <v>1969</v>
      </c>
    </row>
    <row r="4480" spans="1:13" x14ac:dyDescent="0.2">
      <c r="A4480" t="s">
        <v>685</v>
      </c>
      <c r="B4480" t="s">
        <v>17</v>
      </c>
      <c r="C4480" t="s">
        <v>9</v>
      </c>
      <c r="D4480">
        <v>2102</v>
      </c>
      <c r="E4480">
        <v>2020</v>
      </c>
      <c r="F4480">
        <v>7</v>
      </c>
      <c r="G4480">
        <v>13886</v>
      </c>
      <c r="H4480" s="1">
        <v>4</v>
      </c>
      <c r="I4480">
        <v>15</v>
      </c>
      <c r="J4480">
        <f>IF($H4480=0,1,IF($I4480&lt;=1,2,0))</f>
        <v>0</v>
      </c>
      <c r="K4480">
        <v>0</v>
      </c>
      <c r="L4480">
        <f>IF(AND($J4480=0,$K4480=0),0,1)</f>
        <v>0</v>
      </c>
      <c r="M4480" t="s">
        <v>1969</v>
      </c>
    </row>
    <row r="4481" spans="1:13" x14ac:dyDescent="0.2">
      <c r="A4481" t="s">
        <v>685</v>
      </c>
      <c r="B4481" t="s">
        <v>17</v>
      </c>
      <c r="C4481" t="s">
        <v>9</v>
      </c>
      <c r="D4481">
        <v>2102</v>
      </c>
      <c r="E4481">
        <v>2020</v>
      </c>
      <c r="F4481">
        <v>9</v>
      </c>
      <c r="G4481">
        <v>13889</v>
      </c>
      <c r="H4481" s="1">
        <v>4</v>
      </c>
      <c r="I4481">
        <v>15</v>
      </c>
      <c r="J4481">
        <f>IF($H4481=0,1,IF($I4481&lt;=1,2,0))</f>
        <v>0</v>
      </c>
      <c r="K4481">
        <v>0</v>
      </c>
      <c r="L4481">
        <f>IF(AND($J4481=0,$K4481=0),0,1)</f>
        <v>0</v>
      </c>
      <c r="M4481" t="s">
        <v>1969</v>
      </c>
    </row>
    <row r="4482" spans="1:13" x14ac:dyDescent="0.2">
      <c r="A4482" t="s">
        <v>685</v>
      </c>
      <c r="B4482" t="s">
        <v>17</v>
      </c>
      <c r="C4482" t="s">
        <v>9</v>
      </c>
      <c r="D4482">
        <v>2102</v>
      </c>
      <c r="E4482">
        <v>2020</v>
      </c>
      <c r="F4482">
        <v>2</v>
      </c>
      <c r="G4482">
        <v>13880</v>
      </c>
      <c r="H4482" s="1">
        <v>4</v>
      </c>
      <c r="I4482">
        <v>14</v>
      </c>
      <c r="J4482">
        <f>IF($H4482=0,1,IF($I4482&lt;=1,2,0))</f>
        <v>0</v>
      </c>
      <c r="K4482">
        <v>0</v>
      </c>
      <c r="L4482">
        <f>IF(AND($J4482=0,$K4482=0),0,1)</f>
        <v>0</v>
      </c>
      <c r="M4482" t="s">
        <v>1969</v>
      </c>
    </row>
    <row r="4483" spans="1:13" x14ac:dyDescent="0.2">
      <c r="A4483" t="s">
        <v>685</v>
      </c>
      <c r="B4483" t="s">
        <v>17</v>
      </c>
      <c r="C4483" t="s">
        <v>9</v>
      </c>
      <c r="D4483">
        <v>2102</v>
      </c>
      <c r="E4483">
        <v>2020</v>
      </c>
      <c r="F4483">
        <v>4</v>
      </c>
      <c r="G4483">
        <v>13882</v>
      </c>
      <c r="H4483" s="1">
        <v>4</v>
      </c>
      <c r="I4483">
        <v>14</v>
      </c>
      <c r="J4483">
        <f>IF($H4483=0,1,IF($I4483&lt;=1,2,0))</f>
        <v>0</v>
      </c>
      <c r="K4483">
        <v>0</v>
      </c>
      <c r="L4483">
        <f>IF(AND($J4483=0,$K4483=0),0,1)</f>
        <v>0</v>
      </c>
      <c r="M4483" t="s">
        <v>1969</v>
      </c>
    </row>
    <row r="4484" spans="1:13" x14ac:dyDescent="0.2">
      <c r="A4484" t="s">
        <v>685</v>
      </c>
      <c r="B4484" t="s">
        <v>17</v>
      </c>
      <c r="C4484" t="s">
        <v>9</v>
      </c>
      <c r="D4484">
        <v>2102</v>
      </c>
      <c r="E4484">
        <v>2020</v>
      </c>
      <c r="F4484">
        <v>5</v>
      </c>
      <c r="G4484">
        <v>13884</v>
      </c>
      <c r="H4484" s="1">
        <v>4</v>
      </c>
      <c r="I4484">
        <v>14</v>
      </c>
      <c r="J4484">
        <f>IF($H4484=0,1,IF($I4484&lt;=1,2,0))</f>
        <v>0</v>
      </c>
      <c r="K4484">
        <v>0</v>
      </c>
      <c r="L4484">
        <f>IF(AND($J4484=0,$K4484=0),0,1)</f>
        <v>0</v>
      </c>
      <c r="M4484" t="s">
        <v>1969</v>
      </c>
    </row>
    <row r="4485" spans="1:13" x14ac:dyDescent="0.2">
      <c r="A4485" t="s">
        <v>685</v>
      </c>
      <c r="B4485" t="s">
        <v>17</v>
      </c>
      <c r="C4485" t="s">
        <v>9</v>
      </c>
      <c r="D4485">
        <v>2102</v>
      </c>
      <c r="E4485">
        <v>2020</v>
      </c>
      <c r="F4485">
        <v>8</v>
      </c>
      <c r="G4485">
        <v>13887</v>
      </c>
      <c r="H4485" s="1">
        <v>4</v>
      </c>
      <c r="I4485">
        <v>14</v>
      </c>
      <c r="J4485">
        <f>IF($H4485=0,1,IF($I4485&lt;=1,2,0))</f>
        <v>0</v>
      </c>
      <c r="K4485">
        <v>0</v>
      </c>
      <c r="L4485">
        <f>IF(AND($J4485=0,$K4485=0),0,1)</f>
        <v>0</v>
      </c>
      <c r="M4485" t="s">
        <v>1969</v>
      </c>
    </row>
    <row r="4486" spans="1:13" x14ac:dyDescent="0.2">
      <c r="A4486" t="s">
        <v>685</v>
      </c>
      <c r="B4486" t="s">
        <v>17</v>
      </c>
      <c r="C4486" t="s">
        <v>9</v>
      </c>
      <c r="D4486">
        <v>2102</v>
      </c>
      <c r="E4486">
        <v>2020</v>
      </c>
      <c r="F4486">
        <v>11</v>
      </c>
      <c r="G4486">
        <v>13891</v>
      </c>
      <c r="H4486" s="1">
        <v>4</v>
      </c>
      <c r="I4486">
        <v>14</v>
      </c>
      <c r="J4486">
        <f>IF($H4486=0,1,IF($I4486&lt;=1,2,0))</f>
        <v>0</v>
      </c>
      <c r="K4486">
        <v>0</v>
      </c>
      <c r="L4486">
        <f>IF(AND($J4486=0,$K4486=0),0,1)</f>
        <v>0</v>
      </c>
      <c r="M4486" t="s">
        <v>1969</v>
      </c>
    </row>
    <row r="4487" spans="1:13" x14ac:dyDescent="0.2">
      <c r="A4487" t="s">
        <v>685</v>
      </c>
      <c r="B4487" t="s">
        <v>17</v>
      </c>
      <c r="C4487" t="s">
        <v>9</v>
      </c>
      <c r="D4487">
        <v>2102</v>
      </c>
      <c r="E4487">
        <v>2020</v>
      </c>
      <c r="F4487">
        <v>10</v>
      </c>
      <c r="G4487">
        <v>13890</v>
      </c>
      <c r="H4487" s="1">
        <v>4</v>
      </c>
      <c r="I4487">
        <v>13</v>
      </c>
      <c r="J4487">
        <f>IF($H4487=0,1,IF($I4487&lt;=1,2,0))</f>
        <v>0</v>
      </c>
      <c r="K4487">
        <v>0</v>
      </c>
      <c r="L4487">
        <f>IF(AND($J4487=0,$K4487=0),0,1)</f>
        <v>0</v>
      </c>
      <c r="M4487" t="s">
        <v>1969</v>
      </c>
    </row>
    <row r="4488" spans="1:13" x14ac:dyDescent="0.2">
      <c r="A4488" t="s">
        <v>685</v>
      </c>
      <c r="B4488" t="s">
        <v>17</v>
      </c>
      <c r="C4488" t="s">
        <v>9</v>
      </c>
      <c r="D4488">
        <v>2102</v>
      </c>
      <c r="E4488">
        <v>2020</v>
      </c>
      <c r="F4488">
        <v>21</v>
      </c>
      <c r="G4488">
        <v>612</v>
      </c>
      <c r="H4488" s="1">
        <v>4</v>
      </c>
      <c r="I4488">
        <v>13</v>
      </c>
      <c r="J4488">
        <f>IF($H4488=0,1,IF($I4488&lt;=1,2,0))</f>
        <v>0</v>
      </c>
      <c r="K4488">
        <v>0</v>
      </c>
      <c r="L4488">
        <f>IF(AND($J4488=0,$K4488=0),0,1)</f>
        <v>0</v>
      </c>
    </row>
    <row r="4489" spans="1:13" x14ac:dyDescent="0.2">
      <c r="A4489" t="s">
        <v>685</v>
      </c>
      <c r="B4489" t="s">
        <v>17</v>
      </c>
      <c r="C4489" t="s">
        <v>9</v>
      </c>
      <c r="D4489">
        <v>2102</v>
      </c>
      <c r="E4489">
        <v>2020</v>
      </c>
      <c r="F4489">
        <v>1</v>
      </c>
      <c r="G4489">
        <v>13879</v>
      </c>
      <c r="H4489" s="1">
        <v>4</v>
      </c>
      <c r="I4489">
        <v>12</v>
      </c>
      <c r="J4489">
        <f>IF($H4489=0,1,IF($I4489&lt;=1,2,0))</f>
        <v>0</v>
      </c>
      <c r="K4489">
        <v>0</v>
      </c>
      <c r="L4489">
        <f>IF(AND($J4489=0,$K4489=0),0,1)</f>
        <v>0</v>
      </c>
      <c r="M4489" t="s">
        <v>1969</v>
      </c>
    </row>
    <row r="4490" spans="1:13" x14ac:dyDescent="0.2">
      <c r="A4490" t="s">
        <v>685</v>
      </c>
      <c r="B4490" t="s">
        <v>17</v>
      </c>
      <c r="C4490" t="s">
        <v>9</v>
      </c>
      <c r="D4490">
        <v>2102</v>
      </c>
      <c r="E4490">
        <v>2020</v>
      </c>
      <c r="F4490">
        <v>3</v>
      </c>
      <c r="G4490">
        <v>13881</v>
      </c>
      <c r="H4490" s="1">
        <v>4</v>
      </c>
      <c r="I4490">
        <v>9</v>
      </c>
      <c r="J4490">
        <f>IF($H4490=0,1,IF($I4490&lt;=1,2,0))</f>
        <v>0</v>
      </c>
      <c r="K4490">
        <v>0</v>
      </c>
      <c r="L4490">
        <f>IF(AND($J4490=0,$K4490=0),0,1)</f>
        <v>0</v>
      </c>
      <c r="M4490" t="s">
        <v>1969</v>
      </c>
    </row>
    <row r="4491" spans="1:13" x14ac:dyDescent="0.2">
      <c r="A4491" t="s">
        <v>685</v>
      </c>
      <c r="B4491" t="s">
        <v>17</v>
      </c>
      <c r="C4491" t="s">
        <v>9</v>
      </c>
      <c r="D4491">
        <v>2102</v>
      </c>
      <c r="E4491">
        <v>2020</v>
      </c>
      <c r="F4491">
        <v>20</v>
      </c>
      <c r="G4491">
        <v>611</v>
      </c>
      <c r="H4491" s="1">
        <v>4</v>
      </c>
      <c r="I4491">
        <v>8</v>
      </c>
      <c r="J4491">
        <f>IF($H4491=0,1,IF($I4491&lt;=1,2,0))</f>
        <v>0</v>
      </c>
      <c r="K4491">
        <v>0</v>
      </c>
      <c r="L4491">
        <f>IF(AND($J4491=0,$K4491=0),0,1)</f>
        <v>0</v>
      </c>
    </row>
    <row r="4492" spans="1:13" x14ac:dyDescent="0.2">
      <c r="A4492" t="s">
        <v>685</v>
      </c>
      <c r="B4492" t="s">
        <v>17</v>
      </c>
      <c r="C4492" t="s">
        <v>9</v>
      </c>
      <c r="D4492">
        <v>2103</v>
      </c>
      <c r="E4492">
        <v>2020</v>
      </c>
      <c r="F4492">
        <v>1</v>
      </c>
      <c r="G4492">
        <v>13892</v>
      </c>
      <c r="H4492" s="1">
        <v>4</v>
      </c>
      <c r="I4492">
        <v>13</v>
      </c>
      <c r="J4492">
        <f>IF($H4492=0,1,IF($I4492&lt;=1,2,0))</f>
        <v>0</v>
      </c>
      <c r="K4492">
        <v>0</v>
      </c>
      <c r="L4492">
        <f>IF(AND($J4492=0,$K4492=0),0,1)</f>
        <v>0</v>
      </c>
      <c r="M4492" t="s">
        <v>1969</v>
      </c>
    </row>
    <row r="4493" spans="1:13" x14ac:dyDescent="0.2">
      <c r="A4493" t="s">
        <v>685</v>
      </c>
      <c r="B4493" t="s">
        <v>17</v>
      </c>
      <c r="C4493" t="s">
        <v>9</v>
      </c>
      <c r="D4493">
        <v>2108</v>
      </c>
      <c r="E4493">
        <v>2020</v>
      </c>
      <c r="F4493">
        <v>2</v>
      </c>
      <c r="G4493">
        <v>13894</v>
      </c>
      <c r="H4493" s="1">
        <v>4</v>
      </c>
      <c r="I4493">
        <v>15</v>
      </c>
      <c r="J4493">
        <f>IF($H4493=0,1,IF($I4493&lt;=1,2,0))</f>
        <v>0</v>
      </c>
      <c r="K4493">
        <v>0</v>
      </c>
      <c r="L4493">
        <f>IF(AND($J4493=0,$K4493=0),0,1)</f>
        <v>0</v>
      </c>
      <c r="M4493" t="s">
        <v>1271</v>
      </c>
    </row>
    <row r="4494" spans="1:13" x14ac:dyDescent="0.2">
      <c r="A4494" t="s">
        <v>685</v>
      </c>
      <c r="B4494" t="s">
        <v>17</v>
      </c>
      <c r="C4494" t="s">
        <v>9</v>
      </c>
      <c r="D4494">
        <v>2108</v>
      </c>
      <c r="E4494">
        <v>2020</v>
      </c>
      <c r="F4494">
        <v>1</v>
      </c>
      <c r="G4494">
        <v>13893</v>
      </c>
      <c r="H4494" s="1">
        <v>4</v>
      </c>
      <c r="I4494">
        <v>14</v>
      </c>
      <c r="J4494">
        <f>IF($H4494=0,1,IF($I4494&lt;=1,2,0))</f>
        <v>0</v>
      </c>
      <c r="K4494">
        <v>0</v>
      </c>
      <c r="L4494">
        <f>IF(AND($J4494=0,$K4494=0),0,1)</f>
        <v>0</v>
      </c>
      <c r="M4494" t="s">
        <v>1271</v>
      </c>
    </row>
    <row r="4495" spans="1:13" x14ac:dyDescent="0.2">
      <c r="A4495" t="s">
        <v>685</v>
      </c>
      <c r="B4495" t="s">
        <v>17</v>
      </c>
      <c r="C4495" t="s">
        <v>9</v>
      </c>
      <c r="D4495">
        <v>3300</v>
      </c>
      <c r="E4495">
        <v>2020</v>
      </c>
      <c r="F4495">
        <v>6</v>
      </c>
      <c r="G4495">
        <v>13786</v>
      </c>
      <c r="H4495" s="1">
        <v>3</v>
      </c>
      <c r="I4495">
        <v>14</v>
      </c>
      <c r="J4495">
        <f>IF($H4495=0,1,IF($I4495&lt;=1,2,0))</f>
        <v>0</v>
      </c>
      <c r="K4495">
        <v>0</v>
      </c>
      <c r="L4495">
        <f>IF(AND($J4495=0,$K4495=0),0,1)</f>
        <v>0</v>
      </c>
      <c r="M4495" t="s">
        <v>1275</v>
      </c>
    </row>
    <row r="4496" spans="1:13" x14ac:dyDescent="0.2">
      <c r="A4496" t="s">
        <v>685</v>
      </c>
      <c r="B4496" t="s">
        <v>17</v>
      </c>
      <c r="C4496" t="s">
        <v>9</v>
      </c>
      <c r="D4496">
        <v>3300</v>
      </c>
      <c r="E4496">
        <v>2020</v>
      </c>
      <c r="F4496">
        <v>20</v>
      </c>
      <c r="G4496">
        <v>614</v>
      </c>
      <c r="H4496" s="1">
        <v>3</v>
      </c>
      <c r="I4496">
        <v>14</v>
      </c>
      <c r="J4496">
        <f>IF($H4496=0,1,IF($I4496&lt;=1,2,0))</f>
        <v>0</v>
      </c>
      <c r="K4496">
        <v>0</v>
      </c>
      <c r="L4496">
        <f>IF(AND($J4496=0,$K4496=0),0,1)</f>
        <v>0</v>
      </c>
    </row>
    <row r="4497" spans="1:13" x14ac:dyDescent="0.2">
      <c r="A4497" t="s">
        <v>685</v>
      </c>
      <c r="B4497" t="s">
        <v>17</v>
      </c>
      <c r="C4497" t="s">
        <v>9</v>
      </c>
      <c r="D4497">
        <v>3300</v>
      </c>
      <c r="E4497">
        <v>2020</v>
      </c>
      <c r="F4497">
        <v>3</v>
      </c>
      <c r="G4497">
        <v>13783</v>
      </c>
      <c r="H4497" s="1">
        <v>3</v>
      </c>
      <c r="I4497">
        <v>13</v>
      </c>
      <c r="J4497">
        <f>IF($H4497=0,1,IF($I4497&lt;=1,2,0))</f>
        <v>0</v>
      </c>
      <c r="K4497">
        <v>0</v>
      </c>
      <c r="L4497">
        <f>IF(AND($J4497=0,$K4497=0),0,1)</f>
        <v>0</v>
      </c>
      <c r="M4497" t="s">
        <v>1273</v>
      </c>
    </row>
    <row r="4498" spans="1:13" x14ac:dyDescent="0.2">
      <c r="A4498" t="s">
        <v>685</v>
      </c>
      <c r="B4498" t="s">
        <v>17</v>
      </c>
      <c r="C4498" t="s">
        <v>9</v>
      </c>
      <c r="D4498">
        <v>3300</v>
      </c>
      <c r="E4498">
        <v>2020</v>
      </c>
      <c r="F4498">
        <v>21</v>
      </c>
      <c r="G4498">
        <v>615</v>
      </c>
      <c r="H4498" s="1">
        <v>3</v>
      </c>
      <c r="I4498">
        <v>12</v>
      </c>
      <c r="J4498">
        <f>IF($H4498=0,1,IF($I4498&lt;=1,2,0))</f>
        <v>0</v>
      </c>
      <c r="K4498">
        <v>0</v>
      </c>
      <c r="L4498">
        <f>IF(AND($J4498=0,$K4498=0),0,1)</f>
        <v>0</v>
      </c>
    </row>
    <row r="4499" spans="1:13" x14ac:dyDescent="0.2">
      <c r="A4499" t="s">
        <v>685</v>
      </c>
      <c r="B4499" t="s">
        <v>17</v>
      </c>
      <c r="C4499" t="s">
        <v>9</v>
      </c>
      <c r="D4499">
        <v>3300</v>
      </c>
      <c r="E4499">
        <v>2020</v>
      </c>
      <c r="F4499">
        <v>1</v>
      </c>
      <c r="G4499">
        <v>13781</v>
      </c>
      <c r="H4499" s="1">
        <v>3</v>
      </c>
      <c r="I4499">
        <v>11</v>
      </c>
      <c r="J4499">
        <f>IF($H4499=0,1,IF($I4499&lt;=1,2,0))</f>
        <v>0</v>
      </c>
      <c r="K4499">
        <v>0</v>
      </c>
      <c r="L4499">
        <f>IF(AND($J4499=0,$K4499=0),0,1)</f>
        <v>0</v>
      </c>
      <c r="M4499" t="s">
        <v>1272</v>
      </c>
    </row>
    <row r="4500" spans="1:13" x14ac:dyDescent="0.2">
      <c r="A4500" t="s">
        <v>685</v>
      </c>
      <c r="B4500" t="s">
        <v>17</v>
      </c>
      <c r="C4500" t="s">
        <v>9</v>
      </c>
      <c r="D4500">
        <v>3300</v>
      </c>
      <c r="E4500">
        <v>2020</v>
      </c>
      <c r="F4500">
        <v>2</v>
      </c>
      <c r="G4500">
        <v>13782</v>
      </c>
      <c r="H4500" s="1">
        <v>3</v>
      </c>
      <c r="I4500">
        <v>10</v>
      </c>
      <c r="J4500">
        <f>IF($H4500=0,1,IF($I4500&lt;=1,2,0))</f>
        <v>0</v>
      </c>
      <c r="K4500">
        <v>0</v>
      </c>
      <c r="L4500">
        <f>IF(AND($J4500=0,$K4500=0),0,1)</f>
        <v>0</v>
      </c>
      <c r="M4500" t="s">
        <v>2021</v>
      </c>
    </row>
    <row r="4501" spans="1:13" x14ac:dyDescent="0.2">
      <c r="A4501" t="s">
        <v>685</v>
      </c>
      <c r="B4501" t="s">
        <v>17</v>
      </c>
      <c r="C4501" t="s">
        <v>9</v>
      </c>
      <c r="D4501">
        <v>3300</v>
      </c>
      <c r="E4501">
        <v>2020</v>
      </c>
      <c r="F4501">
        <v>5</v>
      </c>
      <c r="G4501">
        <v>13785</v>
      </c>
      <c r="H4501" s="1">
        <v>3</v>
      </c>
      <c r="I4501">
        <v>8</v>
      </c>
      <c r="J4501">
        <f>IF($H4501=0,1,IF($I4501&lt;=1,2,0))</f>
        <v>0</v>
      </c>
      <c r="K4501">
        <v>0</v>
      </c>
      <c r="L4501">
        <f>IF(AND($J4501=0,$K4501=0),0,1)</f>
        <v>0</v>
      </c>
      <c r="M4501" t="s">
        <v>1274</v>
      </c>
    </row>
    <row r="4502" spans="1:13" x14ac:dyDescent="0.2">
      <c r="A4502" t="s">
        <v>685</v>
      </c>
      <c r="B4502" t="s">
        <v>17</v>
      </c>
      <c r="C4502" t="s">
        <v>9</v>
      </c>
      <c r="D4502">
        <v>3300</v>
      </c>
      <c r="E4502">
        <v>2020</v>
      </c>
      <c r="F4502">
        <v>7</v>
      </c>
      <c r="G4502">
        <v>13787</v>
      </c>
      <c r="H4502" s="1">
        <v>3</v>
      </c>
      <c r="I4502">
        <v>8</v>
      </c>
      <c r="J4502">
        <f>IF($H4502=0,1,IF($I4502&lt;=1,2,0))</f>
        <v>0</v>
      </c>
      <c r="K4502">
        <v>0</v>
      </c>
      <c r="L4502">
        <f>IF(AND($J4502=0,$K4502=0),0,1)</f>
        <v>0</v>
      </c>
      <c r="M4502" t="s">
        <v>1276</v>
      </c>
    </row>
    <row r="4503" spans="1:13" x14ac:dyDescent="0.2">
      <c r="A4503" t="s">
        <v>685</v>
      </c>
      <c r="B4503" t="s">
        <v>17</v>
      </c>
      <c r="C4503" t="s">
        <v>9</v>
      </c>
      <c r="D4503">
        <v>3300</v>
      </c>
      <c r="E4503">
        <v>2020</v>
      </c>
      <c r="F4503">
        <v>4</v>
      </c>
      <c r="G4503">
        <v>13784</v>
      </c>
      <c r="H4503" s="1">
        <v>3</v>
      </c>
      <c r="I4503">
        <v>7</v>
      </c>
      <c r="J4503">
        <f>IF($H4503=0,1,IF($I4503&lt;=1,2,0))</f>
        <v>0</v>
      </c>
      <c r="K4503">
        <v>0</v>
      </c>
      <c r="L4503">
        <f>IF(AND($J4503=0,$K4503=0),0,1)</f>
        <v>0</v>
      </c>
      <c r="M4503" t="s">
        <v>2022</v>
      </c>
    </row>
    <row r="4504" spans="1:13" x14ac:dyDescent="0.2">
      <c r="A4504" t="s">
        <v>685</v>
      </c>
      <c r="B4504" t="s">
        <v>17</v>
      </c>
      <c r="C4504" t="s">
        <v>9</v>
      </c>
      <c r="D4504">
        <v>3315</v>
      </c>
      <c r="E4504">
        <v>2020</v>
      </c>
      <c r="F4504">
        <v>1</v>
      </c>
      <c r="G4504">
        <v>10737</v>
      </c>
      <c r="H4504" s="1">
        <v>3</v>
      </c>
      <c r="I4504">
        <v>10</v>
      </c>
      <c r="J4504">
        <f>IF($H4504=0,1,IF($I4504&lt;=1,2,0))</f>
        <v>0</v>
      </c>
      <c r="K4504">
        <v>0</v>
      </c>
      <c r="L4504">
        <f>IF(AND($J4504=0,$K4504=0),0,1)</f>
        <v>0</v>
      </c>
    </row>
    <row r="4505" spans="1:13" x14ac:dyDescent="0.2">
      <c r="A4505" t="s">
        <v>685</v>
      </c>
      <c r="B4505" t="s">
        <v>17</v>
      </c>
      <c r="C4505" t="s">
        <v>9</v>
      </c>
      <c r="D4505">
        <v>3349</v>
      </c>
      <c r="E4505">
        <v>2020</v>
      </c>
      <c r="F4505">
        <v>2</v>
      </c>
      <c r="G4505">
        <v>10518</v>
      </c>
      <c r="H4505" s="1">
        <v>3</v>
      </c>
      <c r="I4505">
        <v>17</v>
      </c>
      <c r="J4505">
        <f>IF($H4505=0,1,IF($I4505&lt;=1,2,0))</f>
        <v>0</v>
      </c>
      <c r="K4505">
        <v>0</v>
      </c>
      <c r="L4505">
        <f>IF(AND($J4505=0,$K4505=0),0,1)</f>
        <v>0</v>
      </c>
    </row>
    <row r="4506" spans="1:13" x14ac:dyDescent="0.2">
      <c r="A4506" t="s">
        <v>685</v>
      </c>
      <c r="B4506" t="s">
        <v>17</v>
      </c>
      <c r="C4506" t="s">
        <v>9</v>
      </c>
      <c r="D4506">
        <v>3349</v>
      </c>
      <c r="E4506">
        <v>2020</v>
      </c>
      <c r="F4506">
        <v>1</v>
      </c>
      <c r="G4506">
        <v>10517</v>
      </c>
      <c r="H4506" s="1">
        <v>3</v>
      </c>
      <c r="I4506">
        <v>14</v>
      </c>
      <c r="J4506">
        <f>IF($H4506=0,1,IF($I4506&lt;=1,2,0))</f>
        <v>0</v>
      </c>
      <c r="K4506">
        <v>0</v>
      </c>
      <c r="L4506">
        <f>IF(AND($J4506=0,$K4506=0),0,1)</f>
        <v>0</v>
      </c>
    </row>
    <row r="4507" spans="1:13" x14ac:dyDescent="0.2">
      <c r="A4507" t="s">
        <v>685</v>
      </c>
      <c r="B4507" t="s">
        <v>17</v>
      </c>
      <c r="C4507" t="s">
        <v>9</v>
      </c>
      <c r="D4507">
        <v>3349</v>
      </c>
      <c r="E4507">
        <v>2020</v>
      </c>
      <c r="F4507">
        <v>3</v>
      </c>
      <c r="G4507">
        <v>20759</v>
      </c>
      <c r="H4507" s="1">
        <v>3</v>
      </c>
      <c r="I4507">
        <v>12</v>
      </c>
      <c r="J4507">
        <f>IF($H4507=0,1,IF($I4507&lt;=1,2,0))</f>
        <v>0</v>
      </c>
      <c r="K4507">
        <v>0</v>
      </c>
      <c r="L4507">
        <f>IF(AND($J4507=0,$K4507=0),0,1)</f>
        <v>0</v>
      </c>
    </row>
    <row r="4508" spans="1:13" x14ac:dyDescent="0.2">
      <c r="A4508" t="s">
        <v>685</v>
      </c>
      <c r="B4508" t="s">
        <v>17</v>
      </c>
      <c r="C4508" t="s">
        <v>9</v>
      </c>
      <c r="D4508">
        <v>3350</v>
      </c>
      <c r="E4508">
        <v>2020</v>
      </c>
      <c r="F4508">
        <v>1</v>
      </c>
      <c r="G4508">
        <v>10519</v>
      </c>
      <c r="H4508" s="1">
        <v>3</v>
      </c>
      <c r="I4508">
        <v>13</v>
      </c>
      <c r="J4508">
        <f>IF($H4508=0,1,IF($I4508&lt;=1,2,0))</f>
        <v>0</v>
      </c>
      <c r="K4508">
        <v>0</v>
      </c>
      <c r="L4508">
        <f>IF(AND($J4508=0,$K4508=0),0,1)</f>
        <v>0</v>
      </c>
    </row>
    <row r="4509" spans="1:13" x14ac:dyDescent="0.2">
      <c r="A4509" t="s">
        <v>685</v>
      </c>
      <c r="B4509" t="s">
        <v>17</v>
      </c>
      <c r="C4509" t="s">
        <v>9</v>
      </c>
      <c r="D4509">
        <v>3350</v>
      </c>
      <c r="E4509">
        <v>2020</v>
      </c>
      <c r="F4509">
        <v>4</v>
      </c>
      <c r="G4509">
        <v>10522</v>
      </c>
      <c r="H4509" s="1">
        <v>3</v>
      </c>
      <c r="I4509">
        <v>13</v>
      </c>
      <c r="J4509">
        <f>IF($H4509=0,1,IF($I4509&lt;=1,2,0))</f>
        <v>0</v>
      </c>
      <c r="K4509">
        <v>0</v>
      </c>
      <c r="L4509">
        <f>IF(AND($J4509=0,$K4509=0),0,1)</f>
        <v>0</v>
      </c>
    </row>
    <row r="4510" spans="1:13" x14ac:dyDescent="0.2">
      <c r="A4510" t="s">
        <v>685</v>
      </c>
      <c r="B4510" t="s">
        <v>17</v>
      </c>
      <c r="C4510" t="s">
        <v>9</v>
      </c>
      <c r="D4510">
        <v>3350</v>
      </c>
      <c r="E4510">
        <v>2020</v>
      </c>
      <c r="F4510">
        <v>3</v>
      </c>
      <c r="G4510">
        <v>10521</v>
      </c>
      <c r="H4510" s="1">
        <v>3</v>
      </c>
      <c r="I4510">
        <v>9</v>
      </c>
      <c r="J4510">
        <f>IF($H4510=0,1,IF($I4510&lt;=1,2,0))</f>
        <v>0</v>
      </c>
      <c r="K4510">
        <v>0</v>
      </c>
      <c r="L4510">
        <f>IF(AND($J4510=0,$K4510=0),0,1)</f>
        <v>0</v>
      </c>
    </row>
    <row r="4511" spans="1:13" x14ac:dyDescent="0.2">
      <c r="A4511" t="s">
        <v>685</v>
      </c>
      <c r="B4511" t="s">
        <v>17</v>
      </c>
      <c r="C4511" t="s">
        <v>9</v>
      </c>
      <c r="D4511">
        <v>3350</v>
      </c>
      <c r="E4511">
        <v>2020</v>
      </c>
      <c r="F4511">
        <v>2</v>
      </c>
      <c r="G4511">
        <v>10520</v>
      </c>
      <c r="H4511" s="1">
        <v>3</v>
      </c>
      <c r="I4511">
        <v>7</v>
      </c>
      <c r="J4511">
        <f>IF($H4511=0,1,IF($I4511&lt;=1,2,0))</f>
        <v>0</v>
      </c>
      <c r="K4511">
        <v>0</v>
      </c>
      <c r="L4511">
        <f>IF(AND($J4511=0,$K4511=0),0,1)</f>
        <v>0</v>
      </c>
    </row>
    <row r="4512" spans="1:13" x14ac:dyDescent="0.2">
      <c r="A4512" t="s">
        <v>685</v>
      </c>
      <c r="B4512" t="s">
        <v>17</v>
      </c>
      <c r="C4512" t="s">
        <v>9</v>
      </c>
      <c r="D4512">
        <v>3887</v>
      </c>
      <c r="E4512">
        <v>2020</v>
      </c>
      <c r="F4512">
        <v>1</v>
      </c>
      <c r="G4512">
        <v>15935</v>
      </c>
      <c r="H4512" s="1">
        <v>3</v>
      </c>
      <c r="I4512">
        <v>8</v>
      </c>
      <c r="J4512">
        <f>IF($H4512=0,1,IF($I4512&lt;=1,2,0))</f>
        <v>0</v>
      </c>
      <c r="K4512">
        <v>0</v>
      </c>
      <c r="L4512">
        <f>IF(AND($J4512=0,$K4512=0),0,1)</f>
        <v>0</v>
      </c>
    </row>
    <row r="4513" spans="1:13" x14ac:dyDescent="0.2">
      <c r="A4513" t="s">
        <v>685</v>
      </c>
      <c r="B4513" t="s">
        <v>17</v>
      </c>
      <c r="C4513" t="s">
        <v>9</v>
      </c>
      <c r="D4513">
        <v>3888</v>
      </c>
      <c r="E4513">
        <v>2020</v>
      </c>
      <c r="F4513">
        <v>1</v>
      </c>
      <c r="G4513">
        <v>15290</v>
      </c>
      <c r="H4513" s="1">
        <v>3</v>
      </c>
      <c r="I4513">
        <v>10</v>
      </c>
      <c r="J4513">
        <f>IF($H4513=0,1,IF($I4513&lt;=1,2,0))</f>
        <v>0</v>
      </c>
      <c r="K4513">
        <v>0</v>
      </c>
      <c r="L4513">
        <f>IF(AND($J4513=0,$K4513=0),0,1)</f>
        <v>0</v>
      </c>
      <c r="M4513" t="s">
        <v>1277</v>
      </c>
    </row>
    <row r="4514" spans="1:13" x14ac:dyDescent="0.2">
      <c r="A4514" t="s">
        <v>685</v>
      </c>
      <c r="B4514" t="s">
        <v>17</v>
      </c>
      <c r="C4514" t="s">
        <v>9</v>
      </c>
      <c r="D4514">
        <v>3991</v>
      </c>
      <c r="E4514">
        <v>2020</v>
      </c>
      <c r="F4514">
        <v>1</v>
      </c>
      <c r="G4514">
        <v>10739</v>
      </c>
      <c r="H4514" s="1">
        <v>4</v>
      </c>
      <c r="I4514">
        <v>6</v>
      </c>
      <c r="J4514">
        <f>IF($H4514=0,1,IF($I4514&lt;=1,2,0))</f>
        <v>0</v>
      </c>
      <c r="K4514">
        <v>0</v>
      </c>
      <c r="L4514">
        <f>IF(AND($J4514=0,$K4514=0),0,1)</f>
        <v>0</v>
      </c>
      <c r="M4514" t="s">
        <v>1278</v>
      </c>
    </row>
    <row r="4515" spans="1:13" x14ac:dyDescent="0.2">
      <c r="A4515" t="s">
        <v>685</v>
      </c>
      <c r="B4515" t="s">
        <v>17</v>
      </c>
      <c r="C4515" t="s">
        <v>9</v>
      </c>
      <c r="D4515">
        <v>4010</v>
      </c>
      <c r="E4515">
        <v>2020</v>
      </c>
      <c r="F4515">
        <v>1</v>
      </c>
      <c r="G4515">
        <v>12902</v>
      </c>
      <c r="H4515" s="1">
        <v>3</v>
      </c>
      <c r="I4515">
        <v>7</v>
      </c>
      <c r="J4515">
        <f>IF($H4515=0,1,IF($I4515&lt;=1,2,0))</f>
        <v>0</v>
      </c>
      <c r="K4515">
        <v>0</v>
      </c>
      <c r="L4515">
        <f>IF(AND($J4515=0,$K4515=0),0,1)</f>
        <v>0</v>
      </c>
      <c r="M4515" t="s">
        <v>1279</v>
      </c>
    </row>
    <row r="4516" spans="1:13" x14ac:dyDescent="0.2">
      <c r="A4516" t="s">
        <v>685</v>
      </c>
      <c r="B4516" t="s">
        <v>17</v>
      </c>
      <c r="C4516" t="s">
        <v>9</v>
      </c>
      <c r="D4516">
        <v>4030</v>
      </c>
      <c r="E4516">
        <v>2020</v>
      </c>
      <c r="F4516">
        <v>1</v>
      </c>
      <c r="G4516">
        <v>12778</v>
      </c>
      <c r="H4516" s="1">
        <v>4</v>
      </c>
      <c r="I4516">
        <v>4</v>
      </c>
      <c r="J4516">
        <f>IF($H4516=0,1,IF($I4516&lt;=1,2,0))</f>
        <v>0</v>
      </c>
      <c r="K4516">
        <v>0</v>
      </c>
      <c r="L4516">
        <f>IF(AND($J4516=0,$K4516=0),0,1)</f>
        <v>0</v>
      </c>
    </row>
    <row r="4517" spans="1:13" x14ac:dyDescent="0.2">
      <c r="A4517" t="s">
        <v>685</v>
      </c>
      <c r="B4517" t="s">
        <v>17</v>
      </c>
      <c r="C4517" t="s">
        <v>11</v>
      </c>
      <c r="D4517">
        <v>6020</v>
      </c>
      <c r="E4517">
        <v>2020</v>
      </c>
      <c r="F4517">
        <v>1</v>
      </c>
      <c r="G4517">
        <v>13017</v>
      </c>
      <c r="H4517" s="1">
        <v>4</v>
      </c>
      <c r="I4517">
        <v>10</v>
      </c>
      <c r="J4517">
        <f>IF($H4517=0,1,IF($I4517&lt;=1,2,0))</f>
        <v>0</v>
      </c>
      <c r="K4517">
        <v>0</v>
      </c>
      <c r="L4517">
        <f>IF(AND($J4517=0,$K4517=0),0,1)</f>
        <v>0</v>
      </c>
      <c r="M4517" t="s">
        <v>1281</v>
      </c>
    </row>
    <row r="4518" spans="1:13" x14ac:dyDescent="0.2">
      <c r="A4518" t="s">
        <v>685</v>
      </c>
      <c r="B4518" t="s">
        <v>17</v>
      </c>
      <c r="C4518" t="s">
        <v>11</v>
      </c>
      <c r="D4518">
        <v>6180</v>
      </c>
      <c r="E4518">
        <v>2020</v>
      </c>
      <c r="F4518">
        <v>1</v>
      </c>
      <c r="G4518">
        <v>10742</v>
      </c>
      <c r="H4518" s="1">
        <v>4</v>
      </c>
      <c r="I4518">
        <v>3</v>
      </c>
      <c r="J4518">
        <f>IF($H4518=0,1,IF($I4518&lt;=1,2,0))</f>
        <v>0</v>
      </c>
      <c r="K4518">
        <v>0</v>
      </c>
      <c r="L4518">
        <f>IF(AND($J4518=0,$K4518=0),0,1)</f>
        <v>0</v>
      </c>
    </row>
    <row r="4519" spans="1:13" x14ac:dyDescent="0.2">
      <c r="A4519" t="s">
        <v>685</v>
      </c>
      <c r="B4519" t="s">
        <v>17</v>
      </c>
      <c r="C4519" t="s">
        <v>11</v>
      </c>
      <c r="D4519">
        <v>6343</v>
      </c>
      <c r="E4519">
        <v>2020</v>
      </c>
      <c r="F4519">
        <v>1</v>
      </c>
      <c r="G4519">
        <v>10741</v>
      </c>
      <c r="H4519" s="1">
        <v>4</v>
      </c>
      <c r="I4519">
        <v>7</v>
      </c>
      <c r="J4519">
        <f>IF($H4519=0,1,IF($I4519&lt;=1,2,0))</f>
        <v>0</v>
      </c>
      <c r="K4519">
        <v>0</v>
      </c>
      <c r="L4519">
        <f>IF(AND($J4519=0,$K4519=0),0,1)</f>
        <v>0</v>
      </c>
    </row>
    <row r="4520" spans="1:13" x14ac:dyDescent="0.2">
      <c r="A4520" t="s">
        <v>698</v>
      </c>
      <c r="B4520" t="s">
        <v>133</v>
      </c>
      <c r="C4520" t="s">
        <v>9</v>
      </c>
      <c r="D4520">
        <v>1001</v>
      </c>
      <c r="E4520">
        <v>2020</v>
      </c>
      <c r="F4520">
        <v>1</v>
      </c>
      <c r="G4520">
        <v>12833</v>
      </c>
      <c r="H4520" s="1">
        <v>3</v>
      </c>
      <c r="I4520">
        <v>138</v>
      </c>
      <c r="J4520">
        <f>IF($H4520=0,1,IF($I4520&lt;=1,2,0))</f>
        <v>0</v>
      </c>
      <c r="K4520">
        <v>0</v>
      </c>
      <c r="L4520">
        <f>IF(AND($J4520=0,$K4520=0),0,1)</f>
        <v>0</v>
      </c>
    </row>
    <row r="4521" spans="1:13" x14ac:dyDescent="0.2">
      <c r="A4521" t="s">
        <v>698</v>
      </c>
      <c r="B4521" t="s">
        <v>133</v>
      </c>
      <c r="C4521" t="s">
        <v>9</v>
      </c>
      <c r="D4521">
        <v>1010</v>
      </c>
      <c r="E4521">
        <v>2020</v>
      </c>
      <c r="F4521">
        <v>1</v>
      </c>
      <c r="G4521">
        <v>12406</v>
      </c>
      <c r="H4521" s="1">
        <v>4</v>
      </c>
      <c r="I4521">
        <v>22</v>
      </c>
      <c r="J4521">
        <f>IF($H4521=0,1,IF($I4521&lt;=1,2,0))</f>
        <v>0</v>
      </c>
      <c r="K4521">
        <v>0</v>
      </c>
      <c r="L4521">
        <f>IF(AND($J4521=0,$K4521=0),0,1)</f>
        <v>0</v>
      </c>
    </row>
    <row r="4522" spans="1:13" x14ac:dyDescent="0.2">
      <c r="A4522" t="s">
        <v>698</v>
      </c>
      <c r="B4522" t="s">
        <v>133</v>
      </c>
      <c r="C4522" t="s">
        <v>9</v>
      </c>
      <c r="D4522">
        <v>1101</v>
      </c>
      <c r="E4522">
        <v>2020</v>
      </c>
      <c r="F4522">
        <v>1</v>
      </c>
      <c r="G4522">
        <v>12835</v>
      </c>
      <c r="H4522" s="1">
        <v>3</v>
      </c>
      <c r="I4522">
        <v>86</v>
      </c>
      <c r="J4522">
        <f>IF($H4522=0,1,IF($I4522&lt;=1,2,0))</f>
        <v>0</v>
      </c>
      <c r="K4522">
        <v>0</v>
      </c>
      <c r="L4522">
        <f>IF(AND($J4522=0,$K4522=0),0,1)</f>
        <v>0</v>
      </c>
    </row>
    <row r="4523" spans="1:13" x14ac:dyDescent="0.2">
      <c r="A4523" t="s">
        <v>698</v>
      </c>
      <c r="B4523" t="s">
        <v>133</v>
      </c>
      <c r="C4523" t="s">
        <v>9</v>
      </c>
      <c r="D4523">
        <v>1101</v>
      </c>
      <c r="E4523">
        <v>2020</v>
      </c>
      <c r="F4523">
        <v>2</v>
      </c>
      <c r="G4523">
        <v>12889</v>
      </c>
      <c r="H4523" s="1">
        <v>3</v>
      </c>
      <c r="I4523">
        <v>61</v>
      </c>
      <c r="J4523">
        <f>IF($H4523=0,1,IF($I4523&lt;=1,2,0))</f>
        <v>0</v>
      </c>
      <c r="K4523">
        <v>0</v>
      </c>
      <c r="L4523">
        <f>IF(AND($J4523=0,$K4523=0),0,1)</f>
        <v>0</v>
      </c>
    </row>
    <row r="4524" spans="1:13" x14ac:dyDescent="0.2">
      <c r="A4524" t="s">
        <v>698</v>
      </c>
      <c r="B4524" t="s">
        <v>133</v>
      </c>
      <c r="C4524" t="s">
        <v>9</v>
      </c>
      <c r="D4524">
        <v>1101</v>
      </c>
      <c r="E4524">
        <v>2020</v>
      </c>
      <c r="F4524">
        <v>3</v>
      </c>
      <c r="G4524">
        <v>12837</v>
      </c>
      <c r="H4524" s="1">
        <v>3</v>
      </c>
      <c r="I4524">
        <v>54</v>
      </c>
      <c r="J4524">
        <f>IF($H4524=0,1,IF($I4524&lt;=1,2,0))</f>
        <v>0</v>
      </c>
      <c r="K4524">
        <v>0</v>
      </c>
      <c r="L4524">
        <f>IF(AND($J4524=0,$K4524=0),0,1)</f>
        <v>0</v>
      </c>
    </row>
    <row r="4525" spans="1:13" x14ac:dyDescent="0.2">
      <c r="A4525" t="s">
        <v>698</v>
      </c>
      <c r="B4525" t="s">
        <v>133</v>
      </c>
      <c r="C4525" t="s">
        <v>9</v>
      </c>
      <c r="D4525">
        <v>1201</v>
      </c>
      <c r="E4525">
        <v>2020</v>
      </c>
      <c r="F4525">
        <v>2</v>
      </c>
      <c r="G4525">
        <v>12845</v>
      </c>
      <c r="H4525" s="1">
        <v>3</v>
      </c>
      <c r="I4525">
        <v>89</v>
      </c>
      <c r="J4525">
        <f>IF($H4525=0,1,IF($I4525&lt;=1,2,0))</f>
        <v>0</v>
      </c>
      <c r="K4525">
        <v>0</v>
      </c>
      <c r="L4525">
        <f>IF(AND($J4525=0,$K4525=0),0,1)</f>
        <v>0</v>
      </c>
    </row>
    <row r="4526" spans="1:13" x14ac:dyDescent="0.2">
      <c r="A4526" t="s">
        <v>698</v>
      </c>
      <c r="B4526" t="s">
        <v>133</v>
      </c>
      <c r="C4526" t="s">
        <v>9</v>
      </c>
      <c r="D4526">
        <v>1201</v>
      </c>
      <c r="E4526">
        <v>2020</v>
      </c>
      <c r="F4526">
        <v>3</v>
      </c>
      <c r="G4526">
        <v>12846</v>
      </c>
      <c r="H4526" s="1">
        <v>3</v>
      </c>
      <c r="I4526">
        <v>81</v>
      </c>
      <c r="J4526">
        <f>IF($H4526=0,1,IF($I4526&lt;=1,2,0))</f>
        <v>0</v>
      </c>
      <c r="K4526">
        <v>0</v>
      </c>
      <c r="L4526">
        <f>IF(AND($J4526=0,$K4526=0),0,1)</f>
        <v>0</v>
      </c>
    </row>
    <row r="4527" spans="1:13" x14ac:dyDescent="0.2">
      <c r="A4527" t="s">
        <v>698</v>
      </c>
      <c r="B4527" t="s">
        <v>133</v>
      </c>
      <c r="C4527" t="s">
        <v>9</v>
      </c>
      <c r="D4527">
        <v>1201</v>
      </c>
      <c r="E4527">
        <v>2020</v>
      </c>
      <c r="F4527">
        <v>1</v>
      </c>
      <c r="G4527">
        <v>12844</v>
      </c>
      <c r="H4527" s="1">
        <v>3</v>
      </c>
      <c r="I4527">
        <v>79</v>
      </c>
      <c r="J4527">
        <f>IF($H4527=0,1,IF($I4527&lt;=1,2,0))</f>
        <v>0</v>
      </c>
      <c r="K4527">
        <v>0</v>
      </c>
      <c r="L4527">
        <f>IF(AND($J4527=0,$K4527=0),0,1)</f>
        <v>0</v>
      </c>
    </row>
    <row r="4528" spans="1:13" x14ac:dyDescent="0.2">
      <c r="A4528" t="s">
        <v>698</v>
      </c>
      <c r="B4528" t="s">
        <v>133</v>
      </c>
      <c r="C4528" t="s">
        <v>9</v>
      </c>
      <c r="D4528">
        <v>1201</v>
      </c>
      <c r="E4528">
        <v>2020</v>
      </c>
      <c r="F4528">
        <v>4</v>
      </c>
      <c r="G4528">
        <v>12847</v>
      </c>
      <c r="H4528" s="1">
        <v>3</v>
      </c>
      <c r="I4528">
        <v>38</v>
      </c>
      <c r="J4528">
        <f>IF($H4528=0,1,IF($I4528&lt;=1,2,0))</f>
        <v>0</v>
      </c>
      <c r="K4528">
        <v>0</v>
      </c>
      <c r="L4528">
        <f>IF(AND($J4528=0,$K4528=0),0,1)</f>
        <v>0</v>
      </c>
    </row>
    <row r="4529" spans="1:13" x14ac:dyDescent="0.2">
      <c r="A4529" t="s">
        <v>698</v>
      </c>
      <c r="B4529" t="s">
        <v>133</v>
      </c>
      <c r="C4529" t="s">
        <v>9</v>
      </c>
      <c r="D4529">
        <v>1202</v>
      </c>
      <c r="E4529">
        <v>2020</v>
      </c>
      <c r="F4529">
        <v>1</v>
      </c>
      <c r="G4529">
        <v>12882</v>
      </c>
      <c r="H4529" s="1">
        <v>1</v>
      </c>
      <c r="I4529">
        <v>22</v>
      </c>
      <c r="J4529">
        <f>IF($H4529=0,1,IF($I4529&lt;=1,2,0))</f>
        <v>0</v>
      </c>
      <c r="K4529">
        <v>0</v>
      </c>
      <c r="L4529">
        <f>IF(AND($J4529=0,$K4529=0),0,1)</f>
        <v>0</v>
      </c>
    </row>
    <row r="4530" spans="1:13" x14ac:dyDescent="0.2">
      <c r="A4530" t="s">
        <v>698</v>
      </c>
      <c r="B4530" t="s">
        <v>133</v>
      </c>
      <c r="C4530" t="s">
        <v>9</v>
      </c>
      <c r="D4530">
        <v>2103</v>
      </c>
      <c r="E4530">
        <v>2020</v>
      </c>
      <c r="F4530">
        <v>1</v>
      </c>
      <c r="G4530">
        <v>12883</v>
      </c>
      <c r="H4530" s="1">
        <v>3</v>
      </c>
      <c r="I4530">
        <v>47</v>
      </c>
      <c r="J4530">
        <f>IF($H4530=0,1,IF($I4530&lt;=1,2,0))</f>
        <v>0</v>
      </c>
      <c r="K4530">
        <v>0</v>
      </c>
      <c r="L4530">
        <f>IF(AND($J4530=0,$K4530=0),0,1)</f>
        <v>0</v>
      </c>
    </row>
    <row r="4531" spans="1:13" x14ac:dyDescent="0.2">
      <c r="A4531" t="s">
        <v>698</v>
      </c>
      <c r="B4531" t="s">
        <v>133</v>
      </c>
      <c r="C4531" t="s">
        <v>9</v>
      </c>
      <c r="D4531">
        <v>3105</v>
      </c>
      <c r="E4531">
        <v>2020</v>
      </c>
      <c r="F4531">
        <v>1</v>
      </c>
      <c r="G4531">
        <v>12884</v>
      </c>
      <c r="H4531" s="1">
        <v>3</v>
      </c>
      <c r="I4531">
        <v>21</v>
      </c>
      <c r="J4531">
        <f>IF($H4531=0,1,IF($I4531&lt;=1,2,0))</f>
        <v>0</v>
      </c>
      <c r="K4531">
        <v>0</v>
      </c>
      <c r="L4531">
        <f>IF(AND($J4531=0,$K4531=0),0,1)</f>
        <v>0</v>
      </c>
    </row>
    <row r="4532" spans="1:13" x14ac:dyDescent="0.2">
      <c r="A4532" t="s">
        <v>698</v>
      </c>
      <c r="B4532" t="s">
        <v>133</v>
      </c>
      <c r="C4532" t="s">
        <v>9</v>
      </c>
      <c r="D4532">
        <v>3107</v>
      </c>
      <c r="E4532">
        <v>2020</v>
      </c>
      <c r="F4532">
        <v>1</v>
      </c>
      <c r="G4532">
        <v>12885</v>
      </c>
      <c r="H4532" s="1">
        <v>1</v>
      </c>
      <c r="I4532">
        <v>21</v>
      </c>
      <c r="J4532">
        <f>IF($H4532=0,1,IF($I4532&lt;=1,2,0))</f>
        <v>0</v>
      </c>
      <c r="K4532">
        <v>0</v>
      </c>
      <c r="L4532">
        <f>IF(AND($J4532=0,$K4532=0),0,1)</f>
        <v>0</v>
      </c>
      <c r="M4532" t="s">
        <v>699</v>
      </c>
    </row>
    <row r="4533" spans="1:13" x14ac:dyDescent="0.2">
      <c r="A4533" t="s">
        <v>698</v>
      </c>
      <c r="B4533" t="s">
        <v>133</v>
      </c>
      <c r="C4533" t="s">
        <v>9</v>
      </c>
      <c r="D4533">
        <v>3107</v>
      </c>
      <c r="E4533">
        <v>2020</v>
      </c>
      <c r="F4533">
        <v>3</v>
      </c>
      <c r="G4533">
        <v>24688</v>
      </c>
      <c r="H4533" s="1">
        <v>3</v>
      </c>
      <c r="I4533">
        <v>3</v>
      </c>
      <c r="J4533">
        <f>IF($H4533=0,1,IF($I4533&lt;=1,2,0))</f>
        <v>0</v>
      </c>
      <c r="K4533">
        <v>0</v>
      </c>
      <c r="L4533">
        <f>IF(AND($J4533=0,$K4533=0),0,1)</f>
        <v>0</v>
      </c>
      <c r="M4533" t="s">
        <v>699</v>
      </c>
    </row>
    <row r="4534" spans="1:13" x14ac:dyDescent="0.2">
      <c r="A4534" t="s">
        <v>698</v>
      </c>
      <c r="B4534" t="s">
        <v>133</v>
      </c>
      <c r="C4534" t="s">
        <v>9</v>
      </c>
      <c r="D4534">
        <v>4001</v>
      </c>
      <c r="E4534">
        <v>2020</v>
      </c>
      <c r="F4534">
        <v>1</v>
      </c>
      <c r="G4534">
        <v>12888</v>
      </c>
      <c r="H4534" s="1">
        <v>3</v>
      </c>
      <c r="I4534">
        <v>89</v>
      </c>
      <c r="J4534">
        <f>IF($H4534=0,1,IF($I4534&lt;=1,2,0))</f>
        <v>0</v>
      </c>
      <c r="K4534">
        <v>0</v>
      </c>
      <c r="L4534">
        <f>IF(AND($J4534=0,$K4534=0),0,1)</f>
        <v>0</v>
      </c>
    </row>
    <row r="4535" spans="1:13" x14ac:dyDescent="0.2">
      <c r="A4535" t="s">
        <v>698</v>
      </c>
      <c r="B4535" t="s">
        <v>133</v>
      </c>
      <c r="C4535" t="s">
        <v>9</v>
      </c>
      <c r="D4535">
        <v>4203</v>
      </c>
      <c r="E4535">
        <v>2020</v>
      </c>
      <c r="F4535">
        <v>3</v>
      </c>
      <c r="G4535">
        <v>12474</v>
      </c>
      <c r="H4535" s="1">
        <v>3</v>
      </c>
      <c r="I4535">
        <v>67</v>
      </c>
      <c r="J4535">
        <f>IF($H4535=0,1,IF($I4535&lt;=1,2,0))</f>
        <v>0</v>
      </c>
      <c r="K4535">
        <v>0</v>
      </c>
      <c r="L4535">
        <f>IF(AND($J4535=0,$K4535=0),0,1)</f>
        <v>0</v>
      </c>
    </row>
    <row r="4536" spans="1:13" x14ac:dyDescent="0.2">
      <c r="A4536" t="s">
        <v>698</v>
      </c>
      <c r="B4536" t="s">
        <v>133</v>
      </c>
      <c r="C4536" t="s">
        <v>9</v>
      </c>
      <c r="D4536">
        <v>4203</v>
      </c>
      <c r="E4536">
        <v>2020</v>
      </c>
      <c r="F4536">
        <v>1</v>
      </c>
      <c r="G4536">
        <v>12473</v>
      </c>
      <c r="H4536" s="1">
        <v>3</v>
      </c>
      <c r="I4536">
        <v>16</v>
      </c>
      <c r="J4536">
        <f>IF($H4536=0,1,IF($I4536&lt;=1,2,0))</f>
        <v>0</v>
      </c>
      <c r="K4536">
        <v>0</v>
      </c>
      <c r="L4536">
        <f>IF(AND($J4536=0,$K4536=0),0,1)</f>
        <v>0</v>
      </c>
      <c r="M4536" t="s">
        <v>700</v>
      </c>
    </row>
    <row r="4537" spans="1:13" x14ac:dyDescent="0.2">
      <c r="A4537" t="s">
        <v>698</v>
      </c>
      <c r="B4537" t="s">
        <v>133</v>
      </c>
      <c r="C4537" t="s">
        <v>9</v>
      </c>
      <c r="D4537">
        <v>4204</v>
      </c>
      <c r="E4537">
        <v>2020</v>
      </c>
      <c r="F4537">
        <v>3</v>
      </c>
      <c r="G4537">
        <v>12477</v>
      </c>
      <c r="H4537" s="1">
        <v>3</v>
      </c>
      <c r="I4537">
        <v>47</v>
      </c>
      <c r="J4537">
        <f>IF($H4537=0,1,IF($I4537&lt;=1,2,0))</f>
        <v>0</v>
      </c>
      <c r="K4537">
        <v>0</v>
      </c>
      <c r="L4537">
        <f>IF(AND($J4537=0,$K4537=0),0,1)</f>
        <v>0</v>
      </c>
    </row>
    <row r="4538" spans="1:13" x14ac:dyDescent="0.2">
      <c r="A4538" t="s">
        <v>698</v>
      </c>
      <c r="B4538" t="s">
        <v>133</v>
      </c>
      <c r="C4538" t="s">
        <v>9</v>
      </c>
      <c r="D4538">
        <v>4205</v>
      </c>
      <c r="E4538">
        <v>2020</v>
      </c>
      <c r="F4538">
        <v>2</v>
      </c>
      <c r="G4538">
        <v>12891</v>
      </c>
      <c r="H4538" s="1">
        <v>3</v>
      </c>
      <c r="I4538">
        <v>32</v>
      </c>
      <c r="J4538">
        <f>IF($H4538=0,1,IF($I4538&lt;=1,2,0))</f>
        <v>0</v>
      </c>
      <c r="K4538">
        <v>0</v>
      </c>
      <c r="L4538">
        <f>IF(AND($J4538=0,$K4538=0),0,1)</f>
        <v>0</v>
      </c>
    </row>
    <row r="4539" spans="1:13" x14ac:dyDescent="0.2">
      <c r="A4539" t="s">
        <v>698</v>
      </c>
      <c r="B4539" t="s">
        <v>133</v>
      </c>
      <c r="C4539" t="s">
        <v>9</v>
      </c>
      <c r="D4539">
        <v>4205</v>
      </c>
      <c r="E4539">
        <v>2020</v>
      </c>
      <c r="F4539">
        <v>1</v>
      </c>
      <c r="G4539">
        <v>12890</v>
      </c>
      <c r="H4539" s="1">
        <v>3</v>
      </c>
      <c r="I4539">
        <v>24</v>
      </c>
      <c r="J4539">
        <f>IF($H4539=0,1,IF($I4539&lt;=1,2,0))</f>
        <v>0</v>
      </c>
      <c r="K4539">
        <v>0</v>
      </c>
      <c r="L4539">
        <f>IF(AND($J4539=0,$K4539=0),0,1)</f>
        <v>0</v>
      </c>
      <c r="M4539" t="s">
        <v>700</v>
      </c>
    </row>
    <row r="4540" spans="1:13" x14ac:dyDescent="0.2">
      <c r="A4540" t="s">
        <v>698</v>
      </c>
      <c r="B4540" t="s">
        <v>133</v>
      </c>
      <c r="C4540" t="s">
        <v>9</v>
      </c>
      <c r="D4540">
        <v>4205</v>
      </c>
      <c r="E4540">
        <v>2020</v>
      </c>
      <c r="F4540">
        <v>4</v>
      </c>
      <c r="G4540">
        <v>12483</v>
      </c>
      <c r="H4540" s="1">
        <v>3</v>
      </c>
      <c r="I4540">
        <v>10</v>
      </c>
      <c r="J4540">
        <f>IF($H4540=0,1,IF($I4540&lt;=1,2,0))</f>
        <v>0</v>
      </c>
      <c r="K4540">
        <v>0</v>
      </c>
      <c r="L4540">
        <f>IF(AND($J4540=0,$K4540=0),0,1)</f>
        <v>0</v>
      </c>
    </row>
    <row r="4541" spans="1:13" x14ac:dyDescent="0.2">
      <c r="A4541" t="s">
        <v>698</v>
      </c>
      <c r="B4541" t="s">
        <v>133</v>
      </c>
      <c r="C4541" t="s">
        <v>9</v>
      </c>
      <c r="D4541">
        <v>4205</v>
      </c>
      <c r="E4541">
        <v>2020</v>
      </c>
      <c r="F4541">
        <v>3</v>
      </c>
      <c r="G4541">
        <v>12478</v>
      </c>
      <c r="H4541" s="1">
        <v>3</v>
      </c>
      <c r="I4541">
        <v>9</v>
      </c>
      <c r="J4541">
        <f>IF($H4541=0,1,IF($I4541&lt;=1,2,0))</f>
        <v>0</v>
      </c>
      <c r="K4541">
        <v>0</v>
      </c>
      <c r="L4541">
        <f>IF(AND($J4541=0,$K4541=0),0,1)</f>
        <v>0</v>
      </c>
    </row>
    <row r="4542" spans="1:13" x14ac:dyDescent="0.2">
      <c r="A4542" t="s">
        <v>698</v>
      </c>
      <c r="B4542" t="s">
        <v>133</v>
      </c>
      <c r="C4542" t="s">
        <v>9</v>
      </c>
      <c r="D4542">
        <v>4206</v>
      </c>
      <c r="E4542">
        <v>2020</v>
      </c>
      <c r="F4542">
        <v>1</v>
      </c>
      <c r="G4542">
        <v>12485</v>
      </c>
      <c r="H4542" s="1">
        <v>3</v>
      </c>
      <c r="I4542">
        <v>21</v>
      </c>
      <c r="J4542">
        <f>IF($H4542=0,1,IF($I4542&lt;=1,2,0))</f>
        <v>0</v>
      </c>
      <c r="K4542">
        <v>0</v>
      </c>
      <c r="L4542">
        <f>IF(AND($J4542=0,$K4542=0),0,1)</f>
        <v>0</v>
      </c>
      <c r="M4542" t="s">
        <v>700</v>
      </c>
    </row>
    <row r="4543" spans="1:13" x14ac:dyDescent="0.2">
      <c r="A4543" t="s">
        <v>698</v>
      </c>
      <c r="B4543" t="s">
        <v>133</v>
      </c>
      <c r="C4543" t="s">
        <v>9</v>
      </c>
      <c r="D4543">
        <v>4207</v>
      </c>
      <c r="E4543">
        <v>2020</v>
      </c>
      <c r="F4543">
        <v>1</v>
      </c>
      <c r="G4543">
        <v>12487</v>
      </c>
      <c r="H4543" s="1">
        <v>3</v>
      </c>
      <c r="I4543">
        <v>30</v>
      </c>
      <c r="J4543">
        <f>IF($H4543=0,1,IF($I4543&lt;=1,2,0))</f>
        <v>0</v>
      </c>
      <c r="K4543">
        <v>0</v>
      </c>
      <c r="L4543">
        <f>IF(AND($J4543=0,$K4543=0),0,1)</f>
        <v>0</v>
      </c>
    </row>
    <row r="4544" spans="1:13" x14ac:dyDescent="0.2">
      <c r="A4544" t="s">
        <v>698</v>
      </c>
      <c r="B4544" t="s">
        <v>133</v>
      </c>
      <c r="C4544" t="s">
        <v>9</v>
      </c>
      <c r="D4544">
        <v>4224</v>
      </c>
      <c r="E4544">
        <v>2020</v>
      </c>
      <c r="F4544">
        <v>1</v>
      </c>
      <c r="G4544">
        <v>12490</v>
      </c>
      <c r="H4544" s="1">
        <v>3</v>
      </c>
      <c r="I4544">
        <v>21</v>
      </c>
      <c r="J4544">
        <f>IF($H4544=0,1,IF($I4544&lt;=1,2,0))</f>
        <v>0</v>
      </c>
      <c r="K4544">
        <v>0</v>
      </c>
      <c r="L4544">
        <f>IF(AND($J4544=0,$K4544=0),0,1)</f>
        <v>0</v>
      </c>
    </row>
    <row r="4545" spans="1:13" x14ac:dyDescent="0.2">
      <c r="A4545" t="s">
        <v>698</v>
      </c>
      <c r="B4545" t="s">
        <v>133</v>
      </c>
      <c r="C4545" t="s">
        <v>9</v>
      </c>
      <c r="D4545">
        <v>4234</v>
      </c>
      <c r="E4545">
        <v>2020</v>
      </c>
      <c r="F4545">
        <v>1</v>
      </c>
      <c r="G4545">
        <v>12492</v>
      </c>
      <c r="H4545" s="1">
        <v>3</v>
      </c>
      <c r="I4545">
        <v>8</v>
      </c>
      <c r="J4545">
        <f>IF($H4545=0,1,IF($I4545&lt;=1,2,0))</f>
        <v>0</v>
      </c>
      <c r="K4545">
        <v>0</v>
      </c>
      <c r="L4545">
        <f>IF(AND($J4545=0,$K4545=0),0,1)</f>
        <v>0</v>
      </c>
    </row>
    <row r="4546" spans="1:13" x14ac:dyDescent="0.2">
      <c r="A4546" t="s">
        <v>698</v>
      </c>
      <c r="B4546" t="s">
        <v>133</v>
      </c>
      <c r="C4546" t="s">
        <v>9</v>
      </c>
      <c r="D4546">
        <v>4243</v>
      </c>
      <c r="E4546">
        <v>2020</v>
      </c>
      <c r="F4546">
        <v>1</v>
      </c>
      <c r="G4546">
        <v>12493</v>
      </c>
      <c r="H4546" s="1">
        <v>3</v>
      </c>
      <c r="I4546">
        <v>11</v>
      </c>
      <c r="J4546">
        <f>IF($H4546=0,1,IF($I4546&lt;=1,2,0))</f>
        <v>0</v>
      </c>
      <c r="K4546">
        <v>0</v>
      </c>
      <c r="L4546">
        <f>IF(AND($J4546=0,$K4546=0),0,1)</f>
        <v>0</v>
      </c>
    </row>
    <row r="4547" spans="1:13" x14ac:dyDescent="0.2">
      <c r="A4547" t="s">
        <v>698</v>
      </c>
      <c r="B4547" t="s">
        <v>133</v>
      </c>
      <c r="C4547" t="s">
        <v>9</v>
      </c>
      <c r="D4547">
        <v>4261</v>
      </c>
      <c r="E4547">
        <v>2020</v>
      </c>
      <c r="F4547">
        <v>1</v>
      </c>
      <c r="G4547">
        <v>12494</v>
      </c>
      <c r="H4547" s="1">
        <v>3</v>
      </c>
      <c r="I4547">
        <v>8</v>
      </c>
      <c r="J4547">
        <f>IF($H4547=0,1,IF($I4547&lt;=1,2,0))</f>
        <v>0</v>
      </c>
      <c r="K4547">
        <v>0</v>
      </c>
      <c r="L4547">
        <f>IF(AND($J4547=0,$K4547=0),0,1)</f>
        <v>0</v>
      </c>
    </row>
    <row r="4548" spans="1:13" x14ac:dyDescent="0.2">
      <c r="A4548" t="s">
        <v>698</v>
      </c>
      <c r="B4548" t="s">
        <v>133</v>
      </c>
      <c r="C4548" t="s">
        <v>11</v>
      </c>
      <c r="D4548">
        <v>4263</v>
      </c>
      <c r="E4548">
        <v>2020</v>
      </c>
      <c r="F4548">
        <v>2</v>
      </c>
      <c r="G4548">
        <v>12496</v>
      </c>
      <c r="H4548" s="1">
        <v>3</v>
      </c>
      <c r="I4548">
        <v>12</v>
      </c>
      <c r="J4548">
        <f>IF($H4548=0,1,IF($I4548&lt;=1,2,0))</f>
        <v>0</v>
      </c>
      <c r="K4548">
        <v>0</v>
      </c>
      <c r="L4548">
        <f>IF(AND($J4548=0,$K4548=0),0,1)</f>
        <v>0</v>
      </c>
    </row>
    <row r="4549" spans="1:13" x14ac:dyDescent="0.2">
      <c r="A4549" t="s">
        <v>698</v>
      </c>
      <c r="B4549" t="s">
        <v>133</v>
      </c>
      <c r="C4549" t="s">
        <v>11</v>
      </c>
      <c r="D4549">
        <v>4263</v>
      </c>
      <c r="E4549">
        <v>2020</v>
      </c>
      <c r="F4549">
        <v>1</v>
      </c>
      <c r="G4549">
        <v>12495</v>
      </c>
      <c r="H4549" s="1">
        <v>3</v>
      </c>
      <c r="I4549">
        <v>3</v>
      </c>
      <c r="J4549">
        <f>IF($H4549=0,1,IF($I4549&lt;=1,2,0))</f>
        <v>0</v>
      </c>
      <c r="K4549">
        <v>0</v>
      </c>
      <c r="L4549">
        <f>IF(AND($J4549=0,$K4549=0),0,1)</f>
        <v>0</v>
      </c>
    </row>
    <row r="4550" spans="1:13" x14ac:dyDescent="0.2">
      <c r="A4550" t="s">
        <v>698</v>
      </c>
      <c r="B4550" t="s">
        <v>133</v>
      </c>
      <c r="C4550" t="s">
        <v>11</v>
      </c>
      <c r="D4550">
        <v>4264</v>
      </c>
      <c r="E4550">
        <v>2020</v>
      </c>
      <c r="F4550">
        <v>2</v>
      </c>
      <c r="G4550">
        <v>12506</v>
      </c>
      <c r="H4550" s="1">
        <v>3</v>
      </c>
      <c r="I4550">
        <v>6</v>
      </c>
      <c r="J4550">
        <f>IF($H4550=0,1,IF($I4550&lt;=1,2,0))</f>
        <v>0</v>
      </c>
      <c r="K4550">
        <v>0</v>
      </c>
      <c r="L4550">
        <f>IF(AND($J4550=0,$K4550=0),0,1)</f>
        <v>0</v>
      </c>
    </row>
    <row r="4551" spans="1:13" x14ac:dyDescent="0.2">
      <c r="A4551" t="s">
        <v>698</v>
      </c>
      <c r="B4551" t="s">
        <v>133</v>
      </c>
      <c r="C4551" t="s">
        <v>9</v>
      </c>
      <c r="D4551">
        <v>4281</v>
      </c>
      <c r="E4551">
        <v>2020</v>
      </c>
      <c r="F4551">
        <v>1</v>
      </c>
      <c r="G4551">
        <v>12509</v>
      </c>
      <c r="H4551" s="1">
        <v>3</v>
      </c>
      <c r="I4551">
        <v>11</v>
      </c>
      <c r="J4551">
        <f>IF($H4551=0,1,IF($I4551&lt;=1,2,0))</f>
        <v>0</v>
      </c>
      <c r="K4551">
        <v>0</v>
      </c>
      <c r="L4551">
        <f>IF(AND($J4551=0,$K4551=0),0,1)</f>
        <v>0</v>
      </c>
    </row>
    <row r="4552" spans="1:13" x14ac:dyDescent="0.2">
      <c r="A4552" t="s">
        <v>698</v>
      </c>
      <c r="B4552" t="s">
        <v>133</v>
      </c>
      <c r="C4552" t="s">
        <v>9</v>
      </c>
      <c r="D4552">
        <v>4291</v>
      </c>
      <c r="E4552">
        <v>2020</v>
      </c>
      <c r="F4552">
        <v>1</v>
      </c>
      <c r="G4552">
        <v>12515</v>
      </c>
      <c r="H4552" s="1">
        <v>3</v>
      </c>
      <c r="I4552">
        <v>6</v>
      </c>
      <c r="J4552">
        <f>IF($H4552=0,1,IF($I4552&lt;=1,2,0))</f>
        <v>0</v>
      </c>
      <c r="K4552">
        <v>0</v>
      </c>
      <c r="L4552">
        <f>IF(AND($J4552=0,$K4552=0),0,1)</f>
        <v>0</v>
      </c>
    </row>
    <row r="4553" spans="1:13" x14ac:dyDescent="0.2">
      <c r="A4553" t="s">
        <v>698</v>
      </c>
      <c r="B4553" t="s">
        <v>133</v>
      </c>
      <c r="C4553" t="s">
        <v>9</v>
      </c>
      <c r="D4553">
        <v>5203</v>
      </c>
      <c r="E4553">
        <v>2020</v>
      </c>
      <c r="F4553">
        <v>5</v>
      </c>
      <c r="G4553">
        <v>12521</v>
      </c>
      <c r="H4553" s="1">
        <v>3</v>
      </c>
      <c r="I4553">
        <v>110</v>
      </c>
      <c r="J4553">
        <f>IF($H4553=0,1,IF($I4553&lt;=1,2,0))</f>
        <v>0</v>
      </c>
      <c r="K4553">
        <v>0</v>
      </c>
      <c r="L4553">
        <f>IF(AND($J4553=0,$K4553=0),0,1)</f>
        <v>0</v>
      </c>
    </row>
    <row r="4554" spans="1:13" x14ac:dyDescent="0.2">
      <c r="A4554" t="s">
        <v>698</v>
      </c>
      <c r="B4554" t="s">
        <v>133</v>
      </c>
      <c r="C4554" t="s">
        <v>9</v>
      </c>
      <c r="D4554">
        <v>5203</v>
      </c>
      <c r="E4554">
        <v>2020</v>
      </c>
      <c r="F4554">
        <v>3</v>
      </c>
      <c r="G4554">
        <v>12520</v>
      </c>
      <c r="H4554" s="1">
        <v>3</v>
      </c>
      <c r="I4554">
        <v>24</v>
      </c>
      <c r="J4554">
        <f>IF($H4554=0,1,IF($I4554&lt;=1,2,0))</f>
        <v>0</v>
      </c>
      <c r="K4554">
        <v>0</v>
      </c>
      <c r="L4554">
        <f>IF(AND($J4554=0,$K4554=0),0,1)</f>
        <v>0</v>
      </c>
    </row>
    <row r="4555" spans="1:13" x14ac:dyDescent="0.2">
      <c r="A4555" t="s">
        <v>698</v>
      </c>
      <c r="B4555" t="s">
        <v>133</v>
      </c>
      <c r="C4555" t="s">
        <v>11</v>
      </c>
      <c r="D4555">
        <v>5293</v>
      </c>
      <c r="E4555">
        <v>2020</v>
      </c>
      <c r="F4555">
        <v>4</v>
      </c>
      <c r="G4555">
        <v>20773</v>
      </c>
      <c r="H4555" s="1">
        <v>3</v>
      </c>
      <c r="I4555">
        <v>17</v>
      </c>
      <c r="J4555">
        <f>IF($H4555=0,1,IF($I4555&lt;=1,2,0))</f>
        <v>0</v>
      </c>
      <c r="K4555">
        <v>0</v>
      </c>
      <c r="L4555">
        <f>IF(AND($J4555=0,$K4555=0),0,1)</f>
        <v>0</v>
      </c>
      <c r="M4555" t="s">
        <v>1289</v>
      </c>
    </row>
    <row r="4556" spans="1:13" x14ac:dyDescent="0.2">
      <c r="A4556" t="s">
        <v>698</v>
      </c>
      <c r="B4556" t="s">
        <v>133</v>
      </c>
      <c r="C4556" t="s">
        <v>11</v>
      </c>
      <c r="D4556">
        <v>5398</v>
      </c>
      <c r="E4556">
        <v>2020</v>
      </c>
      <c r="F4556">
        <v>1</v>
      </c>
      <c r="G4556">
        <v>12410</v>
      </c>
      <c r="H4556" s="1" t="s">
        <v>1831</v>
      </c>
      <c r="I4556">
        <v>2</v>
      </c>
      <c r="J4556">
        <f>IF($H4556=0,1,IF($I4556&lt;=1,2,0))</f>
        <v>0</v>
      </c>
      <c r="K4556">
        <v>0</v>
      </c>
      <c r="L4556">
        <f>IF(AND($J4556=0,$K4556=0),0,1)</f>
        <v>0</v>
      </c>
    </row>
    <row r="4557" spans="1:13" x14ac:dyDescent="0.2">
      <c r="A4557" t="s">
        <v>698</v>
      </c>
      <c r="B4557" t="s">
        <v>133</v>
      </c>
      <c r="C4557" t="s">
        <v>11</v>
      </c>
      <c r="D4557">
        <v>5399</v>
      </c>
      <c r="E4557">
        <v>2020</v>
      </c>
      <c r="F4557">
        <v>1</v>
      </c>
      <c r="G4557">
        <v>12409</v>
      </c>
      <c r="H4557" s="1">
        <v>1</v>
      </c>
      <c r="I4557">
        <v>5</v>
      </c>
      <c r="J4557">
        <f>IF($H4557=0,1,IF($I4557&lt;=1,2,0))</f>
        <v>0</v>
      </c>
      <c r="K4557">
        <v>0</v>
      </c>
      <c r="L4557">
        <f>IF(AND($J4557=0,$K4557=0),0,1)</f>
        <v>0</v>
      </c>
    </row>
    <row r="4558" spans="1:13" x14ac:dyDescent="0.2">
      <c r="A4558" t="s">
        <v>728</v>
      </c>
      <c r="B4558" t="s">
        <v>17</v>
      </c>
      <c r="C4558" t="s">
        <v>9</v>
      </c>
      <c r="D4558">
        <v>1101</v>
      </c>
      <c r="E4558">
        <v>2020</v>
      </c>
      <c r="F4558">
        <v>1</v>
      </c>
      <c r="G4558">
        <v>15282</v>
      </c>
      <c r="H4558" s="1">
        <v>4</v>
      </c>
      <c r="I4558">
        <v>10</v>
      </c>
      <c r="J4558">
        <f>IF($H4558=0,1,IF($I4558&lt;=1,2,0))</f>
        <v>0</v>
      </c>
      <c r="K4558">
        <v>0</v>
      </c>
      <c r="L4558">
        <f>IF(AND($J4558=0,$K4558=0),0,1)</f>
        <v>0</v>
      </c>
    </row>
    <row r="4559" spans="1:13" x14ac:dyDescent="0.2">
      <c r="A4559" t="s">
        <v>729</v>
      </c>
      <c r="B4559" t="s">
        <v>17</v>
      </c>
      <c r="C4559" t="s">
        <v>9</v>
      </c>
      <c r="D4559">
        <v>1101</v>
      </c>
      <c r="E4559">
        <v>2020</v>
      </c>
      <c r="F4559">
        <v>1</v>
      </c>
      <c r="G4559">
        <v>10606</v>
      </c>
      <c r="H4559" s="1">
        <v>4</v>
      </c>
      <c r="I4559">
        <v>15</v>
      </c>
      <c r="J4559">
        <f>IF($H4559=0,1,IF($I4559&lt;=1,2,0))</f>
        <v>0</v>
      </c>
      <c r="K4559">
        <v>0</v>
      </c>
      <c r="L4559">
        <f>IF(AND($J4559=0,$K4559=0),0,1)</f>
        <v>0</v>
      </c>
    </row>
    <row r="4560" spans="1:13" x14ac:dyDescent="0.2">
      <c r="A4560" t="s">
        <v>729</v>
      </c>
      <c r="B4560" t="s">
        <v>17</v>
      </c>
      <c r="C4560" t="s">
        <v>9</v>
      </c>
      <c r="D4560">
        <v>2101</v>
      </c>
      <c r="E4560">
        <v>2020</v>
      </c>
      <c r="F4560">
        <v>1</v>
      </c>
      <c r="G4560">
        <v>10607</v>
      </c>
      <c r="H4560" s="1">
        <v>4</v>
      </c>
      <c r="I4560">
        <v>6</v>
      </c>
      <c r="J4560">
        <f>IF($H4560=0,1,IF($I4560&lt;=1,2,0))</f>
        <v>0</v>
      </c>
      <c r="K4560">
        <v>0</v>
      </c>
      <c r="L4560">
        <f>IF(AND($J4560=0,$K4560=0),0,1)</f>
        <v>0</v>
      </c>
    </row>
    <row r="4561" spans="1:13" x14ac:dyDescent="0.2">
      <c r="A4561" t="s">
        <v>729</v>
      </c>
      <c r="B4561" t="s">
        <v>17</v>
      </c>
      <c r="C4561" t="s">
        <v>34</v>
      </c>
      <c r="D4561">
        <v>3301</v>
      </c>
      <c r="E4561">
        <v>2020</v>
      </c>
      <c r="F4561">
        <v>1</v>
      </c>
      <c r="G4561">
        <v>10608</v>
      </c>
      <c r="H4561" s="1">
        <v>4</v>
      </c>
      <c r="I4561">
        <v>3</v>
      </c>
      <c r="J4561">
        <f>IF($H4561=0,1,IF($I4561&lt;=1,2,0))</f>
        <v>0</v>
      </c>
      <c r="K4561">
        <v>0</v>
      </c>
      <c r="L4561">
        <f>IF(AND($J4561=0,$K4561=0),0,1)</f>
        <v>0</v>
      </c>
    </row>
    <row r="4562" spans="1:13" x14ac:dyDescent="0.2">
      <c r="A4562" t="s">
        <v>739</v>
      </c>
      <c r="B4562" t="s">
        <v>386</v>
      </c>
      <c r="C4562" t="s">
        <v>21</v>
      </c>
      <c r="D4562">
        <v>2022</v>
      </c>
      <c r="E4562">
        <v>2020</v>
      </c>
      <c r="F4562">
        <v>1</v>
      </c>
      <c r="G4562">
        <v>14</v>
      </c>
      <c r="H4562" s="1" t="s">
        <v>1827</v>
      </c>
      <c r="I4562">
        <v>11</v>
      </c>
      <c r="J4562">
        <f>IF($H4562=0,1,IF($I4562&lt;=1,2,0))</f>
        <v>0</v>
      </c>
      <c r="K4562">
        <v>0</v>
      </c>
      <c r="L4562">
        <f>IF(AND($J4562=0,$K4562=0),0,1)</f>
        <v>0</v>
      </c>
      <c r="M4562" t="s">
        <v>1298</v>
      </c>
    </row>
    <row r="4563" spans="1:13" x14ac:dyDescent="0.2">
      <c r="A4563" t="s">
        <v>739</v>
      </c>
      <c r="B4563" t="s">
        <v>386</v>
      </c>
      <c r="C4563" t="s">
        <v>21</v>
      </c>
      <c r="D4563">
        <v>2023</v>
      </c>
      <c r="E4563">
        <v>2020</v>
      </c>
      <c r="F4563">
        <v>1</v>
      </c>
      <c r="G4563">
        <v>167</v>
      </c>
      <c r="H4563" s="1" t="s">
        <v>1827</v>
      </c>
      <c r="I4563">
        <v>6</v>
      </c>
      <c r="J4563">
        <f>IF($H4563=0,1,IF($I4563&lt;=1,2,0))</f>
        <v>0</v>
      </c>
      <c r="K4563">
        <v>0</v>
      </c>
      <c r="L4563">
        <f>IF(AND($J4563=0,$K4563=0),0,1)</f>
        <v>0</v>
      </c>
      <c r="M4563" t="s">
        <v>1298</v>
      </c>
    </row>
    <row r="4564" spans="1:13" x14ac:dyDescent="0.2">
      <c r="A4564" t="s">
        <v>739</v>
      </c>
      <c r="B4564" t="s">
        <v>386</v>
      </c>
      <c r="C4564" t="s">
        <v>21</v>
      </c>
      <c r="D4564">
        <v>2140</v>
      </c>
      <c r="E4564">
        <v>2020</v>
      </c>
      <c r="F4564">
        <v>1</v>
      </c>
      <c r="G4564">
        <v>15</v>
      </c>
      <c r="H4564" s="1">
        <v>3</v>
      </c>
      <c r="I4564">
        <v>14</v>
      </c>
      <c r="J4564">
        <f>IF($H4564=0,1,IF($I4564&lt;=1,2,0))</f>
        <v>0</v>
      </c>
      <c r="K4564">
        <v>0</v>
      </c>
      <c r="L4564">
        <f>IF(AND($J4564=0,$K4564=0),0,1)</f>
        <v>0</v>
      </c>
    </row>
    <row r="4565" spans="1:13" x14ac:dyDescent="0.2">
      <c r="A4565" t="s">
        <v>739</v>
      </c>
      <c r="B4565" t="s">
        <v>386</v>
      </c>
      <c r="C4565" t="s">
        <v>21</v>
      </c>
      <c r="D4565">
        <v>2420</v>
      </c>
      <c r="E4565">
        <v>2020</v>
      </c>
      <c r="F4565">
        <v>1</v>
      </c>
      <c r="G4565">
        <v>16</v>
      </c>
      <c r="H4565" s="1">
        <v>3</v>
      </c>
      <c r="I4565">
        <v>7</v>
      </c>
      <c r="J4565">
        <f>IF($H4565=0,1,IF($I4565&lt;=1,2,0))</f>
        <v>0</v>
      </c>
      <c r="K4565">
        <v>0</v>
      </c>
      <c r="L4565">
        <f>IF(AND($J4565=0,$K4565=0),0,1)</f>
        <v>0</v>
      </c>
    </row>
    <row r="4566" spans="1:13" x14ac:dyDescent="0.2">
      <c r="A4566" t="s">
        <v>739</v>
      </c>
      <c r="B4566" t="s">
        <v>386</v>
      </c>
      <c r="C4566" t="s">
        <v>21</v>
      </c>
      <c r="D4566">
        <v>2422</v>
      </c>
      <c r="E4566">
        <v>2020</v>
      </c>
      <c r="F4566">
        <v>2</v>
      </c>
      <c r="G4566">
        <v>690</v>
      </c>
      <c r="H4566" s="1" t="s">
        <v>1827</v>
      </c>
      <c r="I4566">
        <v>9</v>
      </c>
      <c r="J4566">
        <f>IF($H4566=0,1,IF($I4566&lt;=1,2,0))</f>
        <v>0</v>
      </c>
      <c r="K4566">
        <v>0</v>
      </c>
      <c r="L4566">
        <f>IF(AND($J4566=0,$K4566=0),0,1)</f>
        <v>0</v>
      </c>
    </row>
    <row r="4567" spans="1:13" x14ac:dyDescent="0.2">
      <c r="A4567" t="s">
        <v>739</v>
      </c>
      <c r="B4567" t="s">
        <v>386</v>
      </c>
      <c r="C4567" t="s">
        <v>21</v>
      </c>
      <c r="D4567">
        <v>2427</v>
      </c>
      <c r="E4567">
        <v>2020</v>
      </c>
      <c r="F4567">
        <v>2</v>
      </c>
      <c r="G4567">
        <v>694</v>
      </c>
      <c r="H4567" s="1" t="s">
        <v>1827</v>
      </c>
      <c r="I4567">
        <v>2</v>
      </c>
      <c r="J4567">
        <f>IF($H4567=0,1,IF($I4567&lt;=1,2,0))</f>
        <v>0</v>
      </c>
      <c r="K4567">
        <v>0</v>
      </c>
      <c r="L4567">
        <f>IF(AND($J4567=0,$K4567=0),0,1)</f>
        <v>0</v>
      </c>
    </row>
    <row r="4568" spans="1:13" x14ac:dyDescent="0.2">
      <c r="A4568" t="s">
        <v>739</v>
      </c>
      <c r="B4568" t="s">
        <v>386</v>
      </c>
      <c r="C4568" t="s">
        <v>21</v>
      </c>
      <c r="D4568">
        <v>3004</v>
      </c>
      <c r="E4568">
        <v>2020</v>
      </c>
      <c r="F4568">
        <v>2</v>
      </c>
      <c r="G4568">
        <v>171</v>
      </c>
      <c r="H4568" s="1">
        <v>3</v>
      </c>
      <c r="I4568">
        <v>9</v>
      </c>
      <c r="J4568">
        <f>IF($H4568=0,1,IF($I4568&lt;=1,2,0))</f>
        <v>0</v>
      </c>
      <c r="K4568">
        <v>0</v>
      </c>
      <c r="L4568">
        <f>IF(AND($J4568=0,$K4568=0),0,1)</f>
        <v>0</v>
      </c>
      <c r="M4568" t="s">
        <v>1299</v>
      </c>
    </row>
    <row r="4569" spans="1:13" x14ac:dyDescent="0.2">
      <c r="A4569" t="s">
        <v>739</v>
      </c>
      <c r="B4569" t="s">
        <v>386</v>
      </c>
      <c r="C4569" t="s">
        <v>21</v>
      </c>
      <c r="D4569">
        <v>3004</v>
      </c>
      <c r="E4569">
        <v>2020</v>
      </c>
      <c r="F4569">
        <v>1</v>
      </c>
      <c r="G4569">
        <v>169</v>
      </c>
      <c r="H4569" s="1">
        <v>3</v>
      </c>
      <c r="I4569">
        <v>7</v>
      </c>
      <c r="J4569">
        <f>IF($H4569=0,1,IF($I4569&lt;=1,2,0))</f>
        <v>0</v>
      </c>
      <c r="K4569">
        <v>0</v>
      </c>
      <c r="L4569">
        <f>IF(AND($J4569=0,$K4569=0),0,1)</f>
        <v>0</v>
      </c>
      <c r="M4569" t="s">
        <v>1299</v>
      </c>
    </row>
    <row r="4570" spans="1:13" x14ac:dyDescent="0.2">
      <c r="A4570" t="s">
        <v>739</v>
      </c>
      <c r="B4570" t="s">
        <v>386</v>
      </c>
      <c r="C4570" t="s">
        <v>21</v>
      </c>
      <c r="D4570">
        <v>3004</v>
      </c>
      <c r="E4570">
        <v>2020</v>
      </c>
      <c r="F4570">
        <v>3</v>
      </c>
      <c r="G4570">
        <v>173</v>
      </c>
      <c r="H4570" s="1">
        <v>3</v>
      </c>
      <c r="I4570">
        <v>7</v>
      </c>
      <c r="J4570">
        <f>IF($H4570=0,1,IF($I4570&lt;=1,2,0))</f>
        <v>0</v>
      </c>
      <c r="K4570">
        <v>0</v>
      </c>
      <c r="L4570">
        <f>IF(AND($J4570=0,$K4570=0),0,1)</f>
        <v>0</v>
      </c>
      <c r="M4570" t="s">
        <v>1299</v>
      </c>
    </row>
    <row r="4571" spans="1:13" x14ac:dyDescent="0.2">
      <c r="A4571" t="s">
        <v>739</v>
      </c>
      <c r="B4571" t="s">
        <v>386</v>
      </c>
      <c r="C4571" t="s">
        <v>21</v>
      </c>
      <c r="D4571">
        <v>3005</v>
      </c>
      <c r="E4571">
        <v>2020</v>
      </c>
      <c r="F4571">
        <v>3</v>
      </c>
      <c r="G4571">
        <v>179</v>
      </c>
      <c r="H4571" s="1">
        <v>3</v>
      </c>
      <c r="I4571">
        <v>8</v>
      </c>
      <c r="J4571">
        <f>IF($H4571=0,1,IF($I4571&lt;=1,2,0))</f>
        <v>0</v>
      </c>
      <c r="K4571">
        <v>0</v>
      </c>
      <c r="L4571">
        <f>IF(AND($J4571=0,$K4571=0),0,1)</f>
        <v>0</v>
      </c>
      <c r="M4571" t="s">
        <v>1299</v>
      </c>
    </row>
    <row r="4572" spans="1:13" x14ac:dyDescent="0.2">
      <c r="A4572" t="s">
        <v>739</v>
      </c>
      <c r="B4572" t="s">
        <v>386</v>
      </c>
      <c r="C4572" t="s">
        <v>21</v>
      </c>
      <c r="D4572">
        <v>3005</v>
      </c>
      <c r="E4572">
        <v>2020</v>
      </c>
      <c r="F4572">
        <v>1</v>
      </c>
      <c r="G4572">
        <v>175</v>
      </c>
      <c r="H4572" s="1">
        <v>3</v>
      </c>
      <c r="I4572">
        <v>7</v>
      </c>
      <c r="J4572">
        <f>IF($H4572=0,1,IF($I4572&lt;=1,2,0))</f>
        <v>0</v>
      </c>
      <c r="K4572">
        <v>0</v>
      </c>
      <c r="L4572">
        <f>IF(AND($J4572=0,$K4572=0),0,1)</f>
        <v>0</v>
      </c>
      <c r="M4572" t="s">
        <v>1299</v>
      </c>
    </row>
    <row r="4573" spans="1:13" x14ac:dyDescent="0.2">
      <c r="A4573" t="s">
        <v>739</v>
      </c>
      <c r="B4573" t="s">
        <v>386</v>
      </c>
      <c r="C4573" t="s">
        <v>21</v>
      </c>
      <c r="D4573">
        <v>3005</v>
      </c>
      <c r="E4573">
        <v>2020</v>
      </c>
      <c r="F4573">
        <v>2</v>
      </c>
      <c r="G4573">
        <v>176</v>
      </c>
      <c r="H4573" s="1">
        <v>3</v>
      </c>
      <c r="I4573">
        <v>4</v>
      </c>
      <c r="J4573">
        <f>IF($H4573=0,1,IF($I4573&lt;=1,2,0))</f>
        <v>0</v>
      </c>
      <c r="K4573">
        <v>0</v>
      </c>
      <c r="L4573">
        <f>IF(AND($J4573=0,$K4573=0),0,1)</f>
        <v>0</v>
      </c>
      <c r="M4573" t="s">
        <v>1299</v>
      </c>
    </row>
    <row r="4574" spans="1:13" x14ac:dyDescent="0.2">
      <c r="A4574" t="s">
        <v>739</v>
      </c>
      <c r="B4574" t="s">
        <v>386</v>
      </c>
      <c r="C4574" t="s">
        <v>21</v>
      </c>
      <c r="D4574">
        <v>3140</v>
      </c>
      <c r="E4574">
        <v>2020</v>
      </c>
      <c r="F4574">
        <v>1</v>
      </c>
      <c r="G4574">
        <v>25</v>
      </c>
      <c r="H4574" s="1">
        <v>4</v>
      </c>
      <c r="I4574">
        <v>9</v>
      </c>
      <c r="J4574">
        <f>IF($H4574=0,1,IF($I4574&lt;=1,2,0))</f>
        <v>0</v>
      </c>
      <c r="K4574">
        <v>0</v>
      </c>
      <c r="L4574">
        <f>IF(AND($J4574=0,$K4574=0),0,1)</f>
        <v>0</v>
      </c>
    </row>
    <row r="4575" spans="1:13" x14ac:dyDescent="0.2">
      <c r="A4575" t="s">
        <v>739</v>
      </c>
      <c r="B4575" t="s">
        <v>386</v>
      </c>
      <c r="C4575" t="s">
        <v>21</v>
      </c>
      <c r="D4575">
        <v>3142</v>
      </c>
      <c r="E4575">
        <v>2020</v>
      </c>
      <c r="F4575">
        <v>1</v>
      </c>
      <c r="G4575">
        <v>27</v>
      </c>
      <c r="H4575" s="1">
        <v>4</v>
      </c>
      <c r="I4575">
        <v>15</v>
      </c>
      <c r="J4575">
        <f>IF($H4575=0,1,IF($I4575&lt;=1,2,0))</f>
        <v>0</v>
      </c>
      <c r="K4575">
        <v>0</v>
      </c>
      <c r="L4575">
        <f>IF(AND($J4575=0,$K4575=0),0,1)</f>
        <v>0</v>
      </c>
    </row>
    <row r="4576" spans="1:13" x14ac:dyDescent="0.2">
      <c r="A4576" t="s">
        <v>739</v>
      </c>
      <c r="B4576" t="s">
        <v>386</v>
      </c>
      <c r="C4576" t="s">
        <v>21</v>
      </c>
      <c r="D4576">
        <v>3150</v>
      </c>
      <c r="E4576">
        <v>2020</v>
      </c>
      <c r="F4576">
        <v>1</v>
      </c>
      <c r="G4576">
        <v>28</v>
      </c>
      <c r="H4576" s="1">
        <v>3</v>
      </c>
      <c r="I4576">
        <v>28</v>
      </c>
      <c r="J4576">
        <f>IF($H4576=0,1,IF($I4576&lt;=1,2,0))</f>
        <v>0</v>
      </c>
      <c r="K4576">
        <v>0</v>
      </c>
      <c r="L4576">
        <f>IF(AND($J4576=0,$K4576=0),0,1)</f>
        <v>0</v>
      </c>
    </row>
    <row r="4577" spans="1:13" x14ac:dyDescent="0.2">
      <c r="A4577" t="s">
        <v>739</v>
      </c>
      <c r="B4577" t="s">
        <v>386</v>
      </c>
      <c r="C4577" t="s">
        <v>21</v>
      </c>
      <c r="D4577">
        <v>3154</v>
      </c>
      <c r="E4577">
        <v>2020</v>
      </c>
      <c r="F4577">
        <v>1</v>
      </c>
      <c r="G4577">
        <v>30</v>
      </c>
      <c r="H4577" s="1">
        <v>3</v>
      </c>
      <c r="I4577">
        <v>44</v>
      </c>
      <c r="J4577">
        <f>IF($H4577=0,1,IF($I4577&lt;=1,2,0))</f>
        <v>0</v>
      </c>
      <c r="K4577">
        <v>0</v>
      </c>
      <c r="L4577">
        <f>IF(AND($J4577=0,$K4577=0),0,1)</f>
        <v>0</v>
      </c>
    </row>
    <row r="4578" spans="1:13" x14ac:dyDescent="0.2">
      <c r="A4578" t="s">
        <v>739</v>
      </c>
      <c r="B4578" t="s">
        <v>386</v>
      </c>
      <c r="C4578" t="s">
        <v>21</v>
      </c>
      <c r="D4578">
        <v>3167</v>
      </c>
      <c r="E4578">
        <v>2020</v>
      </c>
      <c r="F4578">
        <v>1</v>
      </c>
      <c r="G4578">
        <v>31</v>
      </c>
      <c r="H4578" s="1">
        <v>4</v>
      </c>
      <c r="I4578">
        <v>12</v>
      </c>
      <c r="J4578">
        <f>IF($H4578=0,1,IF($I4578&lt;=1,2,0))</f>
        <v>0</v>
      </c>
      <c r="K4578">
        <v>0</v>
      </c>
      <c r="L4578">
        <f>IF(AND($J4578=0,$K4578=0),0,1)</f>
        <v>0</v>
      </c>
    </row>
    <row r="4579" spans="1:13" x14ac:dyDescent="0.2">
      <c r="A4579" t="s">
        <v>739</v>
      </c>
      <c r="B4579" t="s">
        <v>386</v>
      </c>
      <c r="C4579" t="s">
        <v>21</v>
      </c>
      <c r="D4579">
        <v>3200</v>
      </c>
      <c r="E4579">
        <v>2020</v>
      </c>
      <c r="F4579">
        <v>1</v>
      </c>
      <c r="G4579">
        <v>32</v>
      </c>
      <c r="H4579" s="1">
        <v>3</v>
      </c>
      <c r="I4579">
        <v>5</v>
      </c>
      <c r="J4579">
        <f>IF($H4579=0,1,IF($I4579&lt;=1,2,0))</f>
        <v>0</v>
      </c>
      <c r="K4579">
        <v>0</v>
      </c>
      <c r="L4579">
        <f>IF(AND($J4579=0,$K4579=0),0,1)</f>
        <v>0</v>
      </c>
    </row>
    <row r="4580" spans="1:13" x14ac:dyDescent="0.2">
      <c r="A4580" t="s">
        <v>739</v>
      </c>
      <c r="B4580" t="s">
        <v>386</v>
      </c>
      <c r="C4580" t="s">
        <v>21</v>
      </c>
      <c r="D4580">
        <v>3202</v>
      </c>
      <c r="E4580">
        <v>2020</v>
      </c>
      <c r="F4580">
        <v>1</v>
      </c>
      <c r="G4580">
        <v>113</v>
      </c>
      <c r="H4580" s="1">
        <v>4</v>
      </c>
      <c r="I4580">
        <v>5</v>
      </c>
      <c r="J4580">
        <f>IF($H4580=0,1,IF($I4580&lt;=1,2,0))</f>
        <v>0</v>
      </c>
      <c r="K4580">
        <v>0</v>
      </c>
      <c r="L4580">
        <f>IF(AND($J4580=0,$K4580=0),0,1)</f>
        <v>0</v>
      </c>
    </row>
    <row r="4581" spans="1:13" x14ac:dyDescent="0.2">
      <c r="A4581" t="s">
        <v>739</v>
      </c>
      <c r="B4581" t="s">
        <v>386</v>
      </c>
      <c r="C4581" t="s">
        <v>21</v>
      </c>
      <c r="D4581">
        <v>3300</v>
      </c>
      <c r="E4581">
        <v>2020</v>
      </c>
      <c r="F4581">
        <v>1</v>
      </c>
      <c r="G4581">
        <v>33</v>
      </c>
      <c r="H4581" s="1">
        <v>3</v>
      </c>
      <c r="I4581">
        <v>8</v>
      </c>
      <c r="J4581">
        <f>IF($H4581=0,1,IF($I4581&lt;=1,2,0))</f>
        <v>0</v>
      </c>
      <c r="K4581">
        <v>0</v>
      </c>
      <c r="L4581">
        <f>IF(AND($J4581=0,$K4581=0),0,1)</f>
        <v>0</v>
      </c>
    </row>
    <row r="4582" spans="1:13" x14ac:dyDescent="0.2">
      <c r="A4582" t="s">
        <v>739</v>
      </c>
      <c r="B4582" t="s">
        <v>386</v>
      </c>
      <c r="C4582" t="s">
        <v>21</v>
      </c>
      <c r="D4582">
        <v>3401</v>
      </c>
      <c r="E4582">
        <v>2020</v>
      </c>
      <c r="F4582">
        <v>1</v>
      </c>
      <c r="G4582">
        <v>34</v>
      </c>
      <c r="H4582" s="1">
        <v>3</v>
      </c>
      <c r="I4582">
        <v>12</v>
      </c>
      <c r="J4582">
        <f>IF($H4582=0,1,IF($I4582&lt;=1,2,0))</f>
        <v>0</v>
      </c>
      <c r="K4582">
        <v>0</v>
      </c>
      <c r="L4582">
        <f>IF(AND($J4582=0,$K4582=0),0,1)</f>
        <v>0</v>
      </c>
    </row>
    <row r="4583" spans="1:13" x14ac:dyDescent="0.2">
      <c r="A4583" t="s">
        <v>739</v>
      </c>
      <c r="B4583" t="s">
        <v>386</v>
      </c>
      <c r="C4583" t="s">
        <v>21</v>
      </c>
      <c r="D4583">
        <v>3404</v>
      </c>
      <c r="E4583">
        <v>2020</v>
      </c>
      <c r="F4583">
        <v>1</v>
      </c>
      <c r="G4583">
        <v>703</v>
      </c>
      <c r="H4583" s="1">
        <v>3</v>
      </c>
      <c r="I4583">
        <v>5</v>
      </c>
      <c r="J4583">
        <f>IF($H4583=0,1,IF($I4583&lt;=1,2,0))</f>
        <v>0</v>
      </c>
      <c r="K4583">
        <v>0</v>
      </c>
      <c r="L4583">
        <f>IF(AND($J4583=0,$K4583=0),0,1)</f>
        <v>0</v>
      </c>
    </row>
    <row r="4584" spans="1:13" x14ac:dyDescent="0.2">
      <c r="A4584" t="s">
        <v>739</v>
      </c>
      <c r="B4584" t="s">
        <v>386</v>
      </c>
      <c r="C4584" t="s">
        <v>21</v>
      </c>
      <c r="D4584">
        <v>3405</v>
      </c>
      <c r="E4584">
        <v>2020</v>
      </c>
      <c r="F4584">
        <v>1</v>
      </c>
      <c r="G4584">
        <v>114</v>
      </c>
      <c r="H4584" s="1">
        <v>3</v>
      </c>
      <c r="I4584">
        <v>3</v>
      </c>
      <c r="J4584">
        <f>IF($H4584=0,1,IF($I4584&lt;=1,2,0))</f>
        <v>0</v>
      </c>
      <c r="K4584">
        <v>0</v>
      </c>
      <c r="L4584">
        <f>IF(AND($J4584=0,$K4584=0),0,1)</f>
        <v>0</v>
      </c>
    </row>
    <row r="4585" spans="1:13" x14ac:dyDescent="0.2">
      <c r="A4585" t="s">
        <v>747</v>
      </c>
      <c r="B4585" t="s">
        <v>17</v>
      </c>
      <c r="C4585" t="s">
        <v>9</v>
      </c>
      <c r="D4585">
        <v>1410</v>
      </c>
      <c r="E4585">
        <v>2020</v>
      </c>
      <c r="F4585">
        <v>1</v>
      </c>
      <c r="G4585">
        <v>10720</v>
      </c>
      <c r="H4585" s="1">
        <v>4</v>
      </c>
      <c r="I4585">
        <v>3</v>
      </c>
      <c r="J4585">
        <f>IF($H4585=0,1,IF($I4585&lt;=1,2,0))</f>
        <v>0</v>
      </c>
      <c r="K4585">
        <v>0</v>
      </c>
      <c r="L4585">
        <f>IF(AND($J4585=0,$K4585=0),0,1)</f>
        <v>0</v>
      </c>
    </row>
    <row r="4586" spans="1:13" x14ac:dyDescent="0.2">
      <c r="A4586" t="s">
        <v>747</v>
      </c>
      <c r="B4586" t="s">
        <v>17</v>
      </c>
      <c r="C4586" t="s">
        <v>9</v>
      </c>
      <c r="D4586">
        <v>1600</v>
      </c>
      <c r="E4586">
        <v>2020</v>
      </c>
      <c r="F4586">
        <v>1</v>
      </c>
      <c r="G4586">
        <v>10721</v>
      </c>
      <c r="H4586" s="1">
        <v>5</v>
      </c>
      <c r="I4586">
        <v>6</v>
      </c>
      <c r="J4586">
        <f>IF($H4586=0,1,IF($I4586&lt;=1,2,0))</f>
        <v>0</v>
      </c>
      <c r="K4586">
        <v>0</v>
      </c>
      <c r="L4586">
        <f>IF(AND($J4586=0,$K4586=0),0,1)</f>
        <v>0</v>
      </c>
      <c r="M4586" t="s">
        <v>2027</v>
      </c>
    </row>
    <row r="4587" spans="1:13" x14ac:dyDescent="0.2">
      <c r="A4587" t="s">
        <v>747</v>
      </c>
      <c r="B4587" t="s">
        <v>17</v>
      </c>
      <c r="C4587" t="s">
        <v>9</v>
      </c>
      <c r="D4587">
        <v>2412</v>
      </c>
      <c r="E4587">
        <v>2020</v>
      </c>
      <c r="F4587">
        <v>1</v>
      </c>
      <c r="G4587">
        <v>10722</v>
      </c>
      <c r="H4587" s="1">
        <v>4</v>
      </c>
      <c r="I4587">
        <v>4</v>
      </c>
      <c r="J4587">
        <f>IF($H4587=0,1,IF($I4587&lt;=1,2,0))</f>
        <v>0</v>
      </c>
      <c r="K4587">
        <v>0</v>
      </c>
      <c r="L4587">
        <f>IF(AND($J4587=0,$K4587=0),0,1)</f>
        <v>0</v>
      </c>
      <c r="M4587" t="s">
        <v>2027</v>
      </c>
    </row>
    <row r="4588" spans="1:13" x14ac:dyDescent="0.2">
      <c r="A4588" t="s">
        <v>747</v>
      </c>
      <c r="B4588" t="s">
        <v>17</v>
      </c>
      <c r="C4588" t="s">
        <v>9</v>
      </c>
      <c r="D4588">
        <v>2603</v>
      </c>
      <c r="E4588">
        <v>2020</v>
      </c>
      <c r="F4588">
        <v>1</v>
      </c>
      <c r="G4588">
        <v>10723</v>
      </c>
      <c r="H4588" s="1">
        <v>4</v>
      </c>
      <c r="I4588">
        <v>5</v>
      </c>
      <c r="J4588">
        <f>IF($H4588=0,1,IF($I4588&lt;=1,2,0))</f>
        <v>0</v>
      </c>
      <c r="K4588">
        <v>0</v>
      </c>
      <c r="L4588">
        <f>IF(AND($J4588=0,$K4588=0),0,1)</f>
        <v>0</v>
      </c>
      <c r="M4588" t="s">
        <v>2027</v>
      </c>
    </row>
    <row r="4589" spans="1:13" x14ac:dyDescent="0.2">
      <c r="A4589" t="s">
        <v>747</v>
      </c>
      <c r="B4589" t="s">
        <v>17</v>
      </c>
      <c r="C4589" t="s">
        <v>9</v>
      </c>
      <c r="D4589">
        <v>2710</v>
      </c>
      <c r="E4589">
        <v>2020</v>
      </c>
      <c r="F4589">
        <v>1</v>
      </c>
      <c r="G4589">
        <v>13943</v>
      </c>
      <c r="H4589" s="1">
        <v>4</v>
      </c>
      <c r="I4589">
        <v>4</v>
      </c>
      <c r="J4589">
        <f>IF($H4589=0,1,IF($I4589&lt;=1,2,0))</f>
        <v>0</v>
      </c>
      <c r="K4589">
        <v>0</v>
      </c>
      <c r="L4589">
        <f>IF(AND($J4589=0,$K4589=0),0,1)</f>
        <v>0</v>
      </c>
      <c r="M4589" t="s">
        <v>2027</v>
      </c>
    </row>
    <row r="4590" spans="1:13" x14ac:dyDescent="0.2">
      <c r="A4590" t="s">
        <v>747</v>
      </c>
      <c r="B4590" t="s">
        <v>17</v>
      </c>
      <c r="C4590" t="s">
        <v>11</v>
      </c>
      <c r="D4590">
        <v>3611</v>
      </c>
      <c r="E4590">
        <v>2020</v>
      </c>
      <c r="F4590">
        <v>1</v>
      </c>
      <c r="G4590">
        <v>10724</v>
      </c>
      <c r="H4590" s="1">
        <v>4</v>
      </c>
      <c r="I4590">
        <v>2</v>
      </c>
      <c r="J4590">
        <f>IF($H4590=0,1,IF($I4590&lt;=1,2,0))</f>
        <v>0</v>
      </c>
      <c r="K4590">
        <v>0</v>
      </c>
      <c r="L4590">
        <f>IF(AND($J4590=0,$K4590=0),0,1)</f>
        <v>0</v>
      </c>
      <c r="M4590" t="s">
        <v>2027</v>
      </c>
    </row>
    <row r="4591" spans="1:13" x14ac:dyDescent="0.2">
      <c r="A4591" t="s">
        <v>748</v>
      </c>
      <c r="B4591" t="s">
        <v>17</v>
      </c>
      <c r="C4591" t="s">
        <v>9</v>
      </c>
      <c r="D4591">
        <v>1101</v>
      </c>
      <c r="E4591">
        <v>2020</v>
      </c>
      <c r="F4591">
        <v>1</v>
      </c>
      <c r="G4591">
        <v>11971</v>
      </c>
      <c r="H4591" s="1">
        <v>4</v>
      </c>
      <c r="I4591">
        <v>2</v>
      </c>
      <c r="J4591">
        <f>IF($H4591=0,1,IF($I4591&lt;=1,2,0))</f>
        <v>0</v>
      </c>
      <c r="K4591">
        <v>0</v>
      </c>
      <c r="L4591">
        <f>IF(AND($J4591=0,$K4591=0),0,1)</f>
        <v>0</v>
      </c>
    </row>
    <row r="4592" spans="1:13" x14ac:dyDescent="0.2">
      <c r="A4592" t="s">
        <v>749</v>
      </c>
      <c r="B4592" t="s">
        <v>17</v>
      </c>
      <c r="C4592" t="s">
        <v>9</v>
      </c>
      <c r="D4592">
        <v>1101</v>
      </c>
      <c r="E4592">
        <v>2020</v>
      </c>
      <c r="F4592">
        <v>1</v>
      </c>
      <c r="G4592">
        <v>10539</v>
      </c>
      <c r="H4592" s="1">
        <v>4</v>
      </c>
      <c r="I4592">
        <v>8</v>
      </c>
      <c r="J4592">
        <f>IF($H4592=0,1,IF($I4592&lt;=1,2,0))</f>
        <v>0</v>
      </c>
      <c r="K4592">
        <v>0</v>
      </c>
      <c r="L4592">
        <f>IF(AND($J4592=0,$K4592=0),0,1)</f>
        <v>0</v>
      </c>
    </row>
    <row r="4593" spans="1:13" x14ac:dyDescent="0.2">
      <c r="A4593" t="s">
        <v>749</v>
      </c>
      <c r="B4593" t="s">
        <v>17</v>
      </c>
      <c r="C4593" t="s">
        <v>9</v>
      </c>
      <c r="D4593">
        <v>2101</v>
      </c>
      <c r="E4593">
        <v>2020</v>
      </c>
      <c r="F4593">
        <v>1</v>
      </c>
      <c r="G4593">
        <v>10549</v>
      </c>
      <c r="H4593" s="1">
        <v>4</v>
      </c>
      <c r="I4593">
        <v>3</v>
      </c>
      <c r="J4593">
        <f>IF($H4593=0,1,IF($I4593&lt;=1,2,0))</f>
        <v>0</v>
      </c>
      <c r="K4593">
        <v>0</v>
      </c>
      <c r="L4593">
        <f>IF(AND($J4593=0,$K4593=0),0,1)</f>
        <v>0</v>
      </c>
    </row>
    <row r="4594" spans="1:13" x14ac:dyDescent="0.2">
      <c r="A4594" t="s">
        <v>749</v>
      </c>
      <c r="B4594" t="s">
        <v>17</v>
      </c>
      <c r="C4594" t="s">
        <v>9</v>
      </c>
      <c r="D4594">
        <v>4006</v>
      </c>
      <c r="E4594">
        <v>2020</v>
      </c>
      <c r="F4594">
        <v>1</v>
      </c>
      <c r="G4594">
        <v>10557</v>
      </c>
      <c r="H4594" s="1">
        <v>3</v>
      </c>
      <c r="I4594">
        <v>2</v>
      </c>
      <c r="J4594">
        <f>IF($H4594=0,1,IF($I4594&lt;=1,2,0))</f>
        <v>0</v>
      </c>
      <c r="K4594">
        <v>0</v>
      </c>
      <c r="L4594">
        <f>IF(AND($J4594=0,$K4594=0),0,1)</f>
        <v>0</v>
      </c>
    </row>
    <row r="4595" spans="1:13" x14ac:dyDescent="0.2">
      <c r="A4595" t="s">
        <v>750</v>
      </c>
      <c r="B4595" t="s">
        <v>6</v>
      </c>
      <c r="C4595" t="s">
        <v>21</v>
      </c>
      <c r="D4595">
        <v>1515</v>
      </c>
      <c r="E4595">
        <v>2020</v>
      </c>
      <c r="F4595">
        <v>1</v>
      </c>
      <c r="G4595">
        <v>2</v>
      </c>
      <c r="H4595" s="1">
        <v>3</v>
      </c>
      <c r="I4595">
        <v>33</v>
      </c>
      <c r="J4595">
        <f>IF($H4595=0,1,IF($I4595&lt;=1,2,0))</f>
        <v>0</v>
      </c>
      <c r="K4595">
        <v>0</v>
      </c>
      <c r="L4595">
        <f>IF(AND($J4595=0,$K4595=0),0,1)</f>
        <v>0</v>
      </c>
    </row>
    <row r="4596" spans="1:13" x14ac:dyDescent="0.2">
      <c r="A4596" t="s">
        <v>750</v>
      </c>
      <c r="B4596" t="s">
        <v>6</v>
      </c>
      <c r="C4596" t="s">
        <v>21</v>
      </c>
      <c r="D4596">
        <v>2200</v>
      </c>
      <c r="E4596">
        <v>2020</v>
      </c>
      <c r="F4596">
        <v>1</v>
      </c>
      <c r="G4596">
        <v>1</v>
      </c>
      <c r="H4596" s="1">
        <v>3</v>
      </c>
      <c r="I4596">
        <v>19</v>
      </c>
      <c r="J4596">
        <f>IF($H4596=0,1,IF($I4596&lt;=1,2,0))</f>
        <v>0</v>
      </c>
      <c r="K4596">
        <v>0</v>
      </c>
      <c r="L4596">
        <f>IF(AND($J4596=0,$K4596=0),0,1)</f>
        <v>0</v>
      </c>
      <c r="M4596" t="s">
        <v>753</v>
      </c>
    </row>
    <row r="4597" spans="1:13" x14ac:dyDescent="0.2">
      <c r="A4597" t="s">
        <v>750</v>
      </c>
      <c r="B4597" t="s">
        <v>6</v>
      </c>
      <c r="C4597" t="s">
        <v>21</v>
      </c>
      <c r="D4597">
        <v>3440</v>
      </c>
      <c r="E4597">
        <v>2020</v>
      </c>
      <c r="F4597">
        <v>1</v>
      </c>
      <c r="G4597">
        <v>3</v>
      </c>
      <c r="H4597" s="1">
        <v>3</v>
      </c>
      <c r="I4597">
        <v>24</v>
      </c>
      <c r="J4597">
        <f>IF($H4597=0,1,IF($I4597&lt;=1,2,0))</f>
        <v>0</v>
      </c>
      <c r="K4597">
        <v>0</v>
      </c>
      <c r="L4597">
        <f>IF(AND($J4597=0,$K4597=0),0,1)</f>
        <v>0</v>
      </c>
      <c r="M4597" t="s">
        <v>755</v>
      </c>
    </row>
    <row r="4598" spans="1:13" x14ac:dyDescent="0.2">
      <c r="A4598" t="s">
        <v>750</v>
      </c>
      <c r="B4598" t="s">
        <v>6</v>
      </c>
      <c r="C4598" t="s">
        <v>21</v>
      </c>
      <c r="D4598">
        <v>3545</v>
      </c>
      <c r="E4598">
        <v>2020</v>
      </c>
      <c r="F4598">
        <v>3</v>
      </c>
      <c r="G4598">
        <v>9</v>
      </c>
      <c r="H4598" s="1">
        <v>4</v>
      </c>
      <c r="I4598">
        <v>18</v>
      </c>
      <c r="J4598">
        <f>IF($H4598=0,1,IF($I4598&lt;=1,2,0))</f>
        <v>0</v>
      </c>
      <c r="K4598">
        <v>0</v>
      </c>
      <c r="L4598">
        <f>IF(AND($J4598=0,$K4598=0),0,1)</f>
        <v>0</v>
      </c>
      <c r="M4598" t="s">
        <v>756</v>
      </c>
    </row>
    <row r="4599" spans="1:13" x14ac:dyDescent="0.2">
      <c r="A4599" t="s">
        <v>750</v>
      </c>
      <c r="B4599" t="s">
        <v>6</v>
      </c>
      <c r="C4599" t="s">
        <v>21</v>
      </c>
      <c r="D4599">
        <v>3545</v>
      </c>
      <c r="E4599">
        <v>2020</v>
      </c>
      <c r="F4599">
        <v>1</v>
      </c>
      <c r="G4599">
        <v>5</v>
      </c>
      <c r="H4599" s="1">
        <v>4</v>
      </c>
      <c r="I4599">
        <v>16</v>
      </c>
      <c r="J4599">
        <f>IF($H4599=0,1,IF($I4599&lt;=1,2,0))</f>
        <v>0</v>
      </c>
      <c r="K4599">
        <v>0</v>
      </c>
      <c r="L4599">
        <f>IF(AND($J4599=0,$K4599=0),0,1)</f>
        <v>0</v>
      </c>
      <c r="M4599" t="s">
        <v>1301</v>
      </c>
    </row>
    <row r="4600" spans="1:13" x14ac:dyDescent="0.2">
      <c r="A4600" t="s">
        <v>750</v>
      </c>
      <c r="B4600" t="s">
        <v>6</v>
      </c>
      <c r="C4600" t="s">
        <v>21</v>
      </c>
      <c r="D4600">
        <v>3545</v>
      </c>
      <c r="E4600">
        <v>2020</v>
      </c>
      <c r="F4600">
        <v>2</v>
      </c>
      <c r="G4600">
        <v>6</v>
      </c>
      <c r="H4600" s="1">
        <v>4</v>
      </c>
      <c r="I4600">
        <v>6</v>
      </c>
      <c r="J4600">
        <f>IF($H4600=0,1,IF($I4600&lt;=1,2,0))</f>
        <v>0</v>
      </c>
      <c r="K4600">
        <v>0</v>
      </c>
      <c r="L4600">
        <f>IF(AND($J4600=0,$K4600=0),0,1)</f>
        <v>0</v>
      </c>
      <c r="M4600" t="s">
        <v>1301</v>
      </c>
    </row>
    <row r="4601" spans="1:13" x14ac:dyDescent="0.2">
      <c r="A4601" t="s">
        <v>750</v>
      </c>
      <c r="B4601" t="s">
        <v>6</v>
      </c>
      <c r="C4601" t="s">
        <v>21</v>
      </c>
      <c r="D4601">
        <v>3992</v>
      </c>
      <c r="E4601">
        <v>2020</v>
      </c>
      <c r="F4601">
        <v>1</v>
      </c>
      <c r="G4601">
        <v>7</v>
      </c>
      <c r="H4601" s="1">
        <v>4</v>
      </c>
      <c r="I4601">
        <v>11</v>
      </c>
      <c r="J4601">
        <f>IF($H4601=0,1,IF($I4601&lt;=1,2,0))</f>
        <v>0</v>
      </c>
      <c r="K4601">
        <v>0</v>
      </c>
      <c r="L4601">
        <f>IF(AND($J4601=0,$K4601=0),0,1)</f>
        <v>0</v>
      </c>
    </row>
    <row r="4602" spans="1:13" x14ac:dyDescent="0.2">
      <c r="A4602" t="s">
        <v>750</v>
      </c>
      <c r="B4602" t="s">
        <v>6</v>
      </c>
      <c r="C4602" t="s">
        <v>21</v>
      </c>
      <c r="D4602">
        <v>3992</v>
      </c>
      <c r="E4602">
        <v>2020</v>
      </c>
      <c r="F4602">
        <v>2</v>
      </c>
      <c r="G4602">
        <v>11</v>
      </c>
      <c r="H4602" s="1">
        <v>4</v>
      </c>
      <c r="I4602">
        <v>11</v>
      </c>
      <c r="J4602">
        <f>IF($H4602=0,1,IF($I4602&lt;=1,2,0))</f>
        <v>0</v>
      </c>
      <c r="K4602">
        <v>0</v>
      </c>
      <c r="L4602">
        <f>IF(AND($J4602=0,$K4602=0),0,1)</f>
        <v>0</v>
      </c>
      <c r="M4602" t="s">
        <v>757</v>
      </c>
    </row>
    <row r="4603" spans="1:13" x14ac:dyDescent="0.2">
      <c r="A4603" t="s">
        <v>750</v>
      </c>
      <c r="B4603" t="s">
        <v>6</v>
      </c>
      <c r="C4603" t="s">
        <v>21</v>
      </c>
      <c r="D4603">
        <v>3992</v>
      </c>
      <c r="E4603">
        <v>2020</v>
      </c>
      <c r="F4603">
        <v>3</v>
      </c>
      <c r="G4603">
        <v>12</v>
      </c>
      <c r="H4603" s="1">
        <v>4</v>
      </c>
      <c r="I4603">
        <v>10</v>
      </c>
      <c r="J4603">
        <f>IF($H4603=0,1,IF($I4603&lt;=1,2,0))</f>
        <v>0</v>
      </c>
      <c r="K4603">
        <v>0</v>
      </c>
      <c r="L4603">
        <f>IF(AND($J4603=0,$K4603=0),0,1)</f>
        <v>0</v>
      </c>
      <c r="M4603" t="s">
        <v>757</v>
      </c>
    </row>
    <row r="4604" spans="1:13" x14ac:dyDescent="0.2">
      <c r="A4604" t="s">
        <v>750</v>
      </c>
      <c r="B4604" t="s">
        <v>6</v>
      </c>
      <c r="C4604" t="s">
        <v>21</v>
      </c>
      <c r="D4604">
        <v>3994</v>
      </c>
      <c r="E4604">
        <v>2020</v>
      </c>
      <c r="F4604">
        <v>1</v>
      </c>
      <c r="G4604">
        <v>13</v>
      </c>
      <c r="H4604" s="1">
        <v>4</v>
      </c>
      <c r="I4604">
        <v>7</v>
      </c>
      <c r="J4604">
        <f>IF($H4604=0,1,IF($I4604&lt;=1,2,0))</f>
        <v>0</v>
      </c>
      <c r="K4604">
        <v>0</v>
      </c>
      <c r="L4604">
        <f>IF(AND($J4604=0,$K4604=0),0,1)</f>
        <v>0</v>
      </c>
    </row>
    <row r="4605" spans="1:13" x14ac:dyDescent="0.2">
      <c r="A4605" t="s">
        <v>759</v>
      </c>
      <c r="B4605" t="s">
        <v>386</v>
      </c>
      <c r="C4605" t="s">
        <v>407</v>
      </c>
      <c r="D4605">
        <v>1000</v>
      </c>
      <c r="E4605">
        <v>2020</v>
      </c>
      <c r="F4605">
        <v>1</v>
      </c>
      <c r="G4605">
        <v>13605</v>
      </c>
      <c r="H4605" s="1">
        <v>3</v>
      </c>
      <c r="I4605">
        <v>19</v>
      </c>
      <c r="J4605">
        <f>IF($H4605=0,1,IF($I4605&lt;=1,2,0))</f>
        <v>0</v>
      </c>
      <c r="K4605">
        <v>0</v>
      </c>
      <c r="L4605">
        <f>IF(AND($J4605=0,$K4605=0),0,1)</f>
        <v>0</v>
      </c>
    </row>
    <row r="4606" spans="1:13" x14ac:dyDescent="0.2">
      <c r="A4606" t="s">
        <v>759</v>
      </c>
      <c r="B4606" t="s">
        <v>386</v>
      </c>
      <c r="C4606" t="s">
        <v>407</v>
      </c>
      <c r="D4606">
        <v>1000</v>
      </c>
      <c r="E4606">
        <v>2020</v>
      </c>
      <c r="F4606">
        <v>2</v>
      </c>
      <c r="G4606">
        <v>13609</v>
      </c>
      <c r="H4606" s="1">
        <v>3</v>
      </c>
      <c r="I4606">
        <v>12</v>
      </c>
      <c r="J4606">
        <f>IF($H4606=0,1,IF($I4606&lt;=1,2,0))</f>
        <v>0</v>
      </c>
      <c r="K4606">
        <v>0</v>
      </c>
      <c r="L4606">
        <f>IF(AND($J4606=0,$K4606=0),0,1)</f>
        <v>0</v>
      </c>
    </row>
    <row r="4607" spans="1:13" x14ac:dyDescent="0.2">
      <c r="A4607" t="s">
        <v>759</v>
      </c>
      <c r="B4607" t="s">
        <v>386</v>
      </c>
      <c r="C4607" t="s">
        <v>407</v>
      </c>
      <c r="D4607">
        <v>1700</v>
      </c>
      <c r="E4607">
        <v>2020</v>
      </c>
      <c r="F4607">
        <v>1</v>
      </c>
      <c r="G4607">
        <v>13614</v>
      </c>
      <c r="H4607" s="1">
        <v>3</v>
      </c>
      <c r="I4607">
        <v>14</v>
      </c>
      <c r="J4607">
        <f>IF($H4607=0,1,IF($I4607&lt;=1,2,0))</f>
        <v>0</v>
      </c>
      <c r="K4607">
        <v>0</v>
      </c>
      <c r="L4607">
        <f>IF(AND($J4607=0,$K4607=0),0,1)</f>
        <v>0</v>
      </c>
    </row>
    <row r="4608" spans="1:13" x14ac:dyDescent="0.2">
      <c r="A4608" t="s">
        <v>759</v>
      </c>
      <c r="B4608" t="s">
        <v>386</v>
      </c>
      <c r="C4608" t="s">
        <v>407</v>
      </c>
      <c r="D4608">
        <v>1700</v>
      </c>
      <c r="E4608">
        <v>2020</v>
      </c>
      <c r="F4608">
        <v>2</v>
      </c>
      <c r="G4608">
        <v>13615</v>
      </c>
      <c r="H4608" s="1">
        <v>3</v>
      </c>
      <c r="I4608">
        <v>9</v>
      </c>
      <c r="J4608">
        <f>IF($H4608=0,1,IF($I4608&lt;=1,2,0))</f>
        <v>0</v>
      </c>
      <c r="K4608">
        <v>0</v>
      </c>
      <c r="L4608">
        <f>IF(AND($J4608=0,$K4608=0),0,1)</f>
        <v>0</v>
      </c>
    </row>
    <row r="4609" spans="1:13" x14ac:dyDescent="0.2">
      <c r="A4609" t="s">
        <v>759</v>
      </c>
      <c r="B4609" t="s">
        <v>386</v>
      </c>
      <c r="C4609" t="s">
        <v>407</v>
      </c>
      <c r="D4609">
        <v>2001</v>
      </c>
      <c r="E4609">
        <v>2020</v>
      </c>
      <c r="F4609">
        <v>1</v>
      </c>
      <c r="G4609">
        <v>13616</v>
      </c>
      <c r="H4609" s="1">
        <v>3</v>
      </c>
      <c r="I4609">
        <v>17</v>
      </c>
      <c r="J4609">
        <f>IF($H4609=0,1,IF($I4609&lt;=1,2,0))</f>
        <v>0</v>
      </c>
      <c r="K4609">
        <v>0</v>
      </c>
      <c r="L4609">
        <f>IF(AND($J4609=0,$K4609=0),0,1)</f>
        <v>0</v>
      </c>
    </row>
    <row r="4610" spans="1:13" x14ac:dyDescent="0.2">
      <c r="A4610" t="s">
        <v>759</v>
      </c>
      <c r="B4610" t="s">
        <v>386</v>
      </c>
      <c r="C4610" t="s">
        <v>407</v>
      </c>
      <c r="D4610">
        <v>2200</v>
      </c>
      <c r="E4610">
        <v>2020</v>
      </c>
      <c r="F4610">
        <v>1</v>
      </c>
      <c r="G4610">
        <v>13626</v>
      </c>
      <c r="H4610" s="1">
        <v>3</v>
      </c>
      <c r="I4610">
        <v>8</v>
      </c>
      <c r="J4610">
        <f>IF($H4610=0,1,IF($I4610&lt;=1,2,0))</f>
        <v>0</v>
      </c>
      <c r="K4610">
        <v>0</v>
      </c>
      <c r="L4610">
        <f>IF(AND($J4610=0,$K4610=0),0,1)</f>
        <v>0</v>
      </c>
    </row>
    <row r="4611" spans="1:13" x14ac:dyDescent="0.2">
      <c r="A4611" t="s">
        <v>759</v>
      </c>
      <c r="B4611" t="s">
        <v>386</v>
      </c>
      <c r="C4611" t="s">
        <v>407</v>
      </c>
      <c r="D4611">
        <v>2300</v>
      </c>
      <c r="E4611">
        <v>2020</v>
      </c>
      <c r="F4611">
        <v>1</v>
      </c>
      <c r="G4611">
        <v>13627</v>
      </c>
      <c r="H4611" s="1">
        <v>3</v>
      </c>
      <c r="I4611">
        <v>8</v>
      </c>
      <c r="J4611">
        <f>IF($H4611=0,1,IF($I4611&lt;=1,2,0))</f>
        <v>0</v>
      </c>
      <c r="K4611">
        <v>0</v>
      </c>
      <c r="L4611">
        <f>IF(AND($J4611=0,$K4611=0),0,1)</f>
        <v>0</v>
      </c>
    </row>
    <row r="4612" spans="1:13" x14ac:dyDescent="0.2">
      <c r="A4612" t="s">
        <v>759</v>
      </c>
      <c r="B4612" t="s">
        <v>386</v>
      </c>
      <c r="C4612" t="s">
        <v>407</v>
      </c>
      <c r="D4612">
        <v>2430</v>
      </c>
      <c r="E4612">
        <v>2020</v>
      </c>
      <c r="F4612">
        <v>1</v>
      </c>
      <c r="G4612">
        <v>13629</v>
      </c>
      <c r="H4612" s="1">
        <v>3</v>
      </c>
      <c r="I4612">
        <v>7</v>
      </c>
      <c r="J4612">
        <f>IF($H4612=0,1,IF($I4612&lt;=1,2,0))</f>
        <v>0</v>
      </c>
      <c r="K4612">
        <v>0</v>
      </c>
      <c r="L4612">
        <f>IF(AND($J4612=0,$K4612=0),0,1)</f>
        <v>0</v>
      </c>
    </row>
    <row r="4613" spans="1:13" x14ac:dyDescent="0.2">
      <c r="A4613" t="s">
        <v>759</v>
      </c>
      <c r="B4613" t="s">
        <v>386</v>
      </c>
      <c r="C4613" t="s">
        <v>34</v>
      </c>
      <c r="D4613">
        <v>3101</v>
      </c>
      <c r="E4613">
        <v>2020</v>
      </c>
      <c r="F4613">
        <v>1</v>
      </c>
      <c r="G4613">
        <v>13631</v>
      </c>
      <c r="H4613" s="1">
        <v>3</v>
      </c>
      <c r="I4613">
        <v>8</v>
      </c>
      <c r="J4613">
        <f>IF($H4613=0,1,IF($I4613&lt;=1,2,0))</f>
        <v>0</v>
      </c>
      <c r="K4613">
        <v>0</v>
      </c>
      <c r="L4613">
        <f>IF(AND($J4613=0,$K4613=0),0,1)</f>
        <v>0</v>
      </c>
    </row>
    <row r="4614" spans="1:13" x14ac:dyDescent="0.2">
      <c r="A4614" t="s">
        <v>759</v>
      </c>
      <c r="B4614" t="s">
        <v>386</v>
      </c>
      <c r="C4614" t="s">
        <v>407</v>
      </c>
      <c r="D4614">
        <v>3104</v>
      </c>
      <c r="E4614">
        <v>2020</v>
      </c>
      <c r="F4614">
        <v>1</v>
      </c>
      <c r="G4614">
        <v>20756</v>
      </c>
      <c r="H4614" s="1">
        <v>3</v>
      </c>
      <c r="I4614">
        <v>4</v>
      </c>
      <c r="J4614">
        <f>IF($H4614=0,1,IF($I4614&lt;=1,2,0))</f>
        <v>0</v>
      </c>
      <c r="K4614">
        <v>0</v>
      </c>
      <c r="L4614">
        <f>IF(AND($J4614=0,$K4614=0),0,1)</f>
        <v>0</v>
      </c>
    </row>
    <row r="4615" spans="1:13" x14ac:dyDescent="0.2">
      <c r="A4615" t="s">
        <v>759</v>
      </c>
      <c r="B4615" t="s">
        <v>386</v>
      </c>
      <c r="C4615" t="s">
        <v>34</v>
      </c>
      <c r="D4615">
        <v>3412</v>
      </c>
      <c r="E4615">
        <v>2020</v>
      </c>
      <c r="F4615">
        <v>1</v>
      </c>
      <c r="G4615">
        <v>13632</v>
      </c>
      <c r="H4615" s="1">
        <v>3</v>
      </c>
      <c r="I4615">
        <v>4</v>
      </c>
      <c r="J4615">
        <f>IF($H4615=0,1,IF($I4615&lt;=1,2,0))</f>
        <v>0</v>
      </c>
      <c r="K4615">
        <v>0</v>
      </c>
      <c r="L4615">
        <f>IF(AND($J4615=0,$K4615=0),0,1)</f>
        <v>0</v>
      </c>
    </row>
    <row r="4616" spans="1:13" x14ac:dyDescent="0.2">
      <c r="A4616" t="s">
        <v>759</v>
      </c>
      <c r="B4616" t="s">
        <v>386</v>
      </c>
      <c r="C4616" t="s">
        <v>407</v>
      </c>
      <c r="D4616">
        <v>3431</v>
      </c>
      <c r="E4616">
        <v>2020</v>
      </c>
      <c r="F4616">
        <v>1</v>
      </c>
      <c r="G4616">
        <v>13634</v>
      </c>
      <c r="H4616" s="1">
        <v>3</v>
      </c>
      <c r="I4616">
        <v>4</v>
      </c>
      <c r="J4616">
        <f>IF($H4616=0,1,IF($I4616&lt;=1,2,0))</f>
        <v>0</v>
      </c>
      <c r="K4616">
        <v>0</v>
      </c>
      <c r="L4616">
        <f>IF(AND($J4616=0,$K4616=0),0,1)</f>
        <v>0</v>
      </c>
    </row>
    <row r="4617" spans="1:13" x14ac:dyDescent="0.2">
      <c r="A4617" t="s">
        <v>759</v>
      </c>
      <c r="B4617" t="s">
        <v>386</v>
      </c>
      <c r="C4617" t="s">
        <v>407</v>
      </c>
      <c r="D4617">
        <v>3500</v>
      </c>
      <c r="E4617">
        <v>2020</v>
      </c>
      <c r="F4617">
        <v>1</v>
      </c>
      <c r="G4617">
        <v>13688</v>
      </c>
      <c r="H4617" s="1">
        <v>3</v>
      </c>
      <c r="I4617">
        <v>2</v>
      </c>
      <c r="J4617">
        <f>IF($H4617=0,1,IF($I4617&lt;=1,2,0))</f>
        <v>0</v>
      </c>
      <c r="K4617">
        <v>0</v>
      </c>
      <c r="L4617">
        <f>IF(AND($J4617=0,$K4617=0),0,1)</f>
        <v>0</v>
      </c>
    </row>
    <row r="4618" spans="1:13" x14ac:dyDescent="0.2">
      <c r="A4618" t="s">
        <v>759</v>
      </c>
      <c r="B4618" t="s">
        <v>386</v>
      </c>
      <c r="C4618" t="s">
        <v>407</v>
      </c>
      <c r="D4618">
        <v>3800</v>
      </c>
      <c r="E4618">
        <v>2020</v>
      </c>
      <c r="F4618">
        <v>1</v>
      </c>
      <c r="G4618">
        <v>13635</v>
      </c>
      <c r="H4618" s="1">
        <v>3</v>
      </c>
      <c r="I4618">
        <v>9</v>
      </c>
      <c r="J4618">
        <f>IF($H4618=0,1,IF($I4618&lt;=1,2,0))</f>
        <v>0</v>
      </c>
      <c r="K4618">
        <v>0</v>
      </c>
      <c r="L4618">
        <f>IF(AND($J4618=0,$K4618=0),0,1)</f>
        <v>0</v>
      </c>
    </row>
    <row r="4619" spans="1:13" x14ac:dyDescent="0.2">
      <c r="A4619" t="s">
        <v>759</v>
      </c>
      <c r="B4619" t="s">
        <v>386</v>
      </c>
      <c r="C4619" t="s">
        <v>407</v>
      </c>
      <c r="D4619">
        <v>3900</v>
      </c>
      <c r="E4619">
        <v>2020</v>
      </c>
      <c r="F4619">
        <v>1</v>
      </c>
      <c r="G4619">
        <v>13636</v>
      </c>
      <c r="H4619" s="1">
        <v>2</v>
      </c>
      <c r="I4619">
        <v>10</v>
      </c>
      <c r="J4619">
        <f>IF($H4619=0,1,IF($I4619&lt;=1,2,0))</f>
        <v>0</v>
      </c>
      <c r="K4619">
        <v>0</v>
      </c>
      <c r="L4619">
        <f>IF(AND($J4619=0,$K4619=0),0,1)</f>
        <v>0</v>
      </c>
      <c r="M4619" t="s">
        <v>761</v>
      </c>
    </row>
    <row r="4620" spans="1:13" x14ac:dyDescent="0.2">
      <c r="A4620" t="s">
        <v>759</v>
      </c>
      <c r="B4620" t="s">
        <v>386</v>
      </c>
      <c r="C4620" t="s">
        <v>407</v>
      </c>
      <c r="D4620">
        <v>3910</v>
      </c>
      <c r="E4620">
        <v>2020</v>
      </c>
      <c r="F4620">
        <v>1</v>
      </c>
      <c r="G4620">
        <v>13638</v>
      </c>
      <c r="H4620" s="1">
        <v>2</v>
      </c>
      <c r="I4620">
        <v>10</v>
      </c>
      <c r="J4620">
        <f>IF($H4620=0,1,IF($I4620&lt;=1,2,0))</f>
        <v>0</v>
      </c>
      <c r="K4620">
        <v>0</v>
      </c>
      <c r="L4620">
        <f>IF(AND($J4620=0,$K4620=0),0,1)</f>
        <v>0</v>
      </c>
      <c r="M4620" t="s">
        <v>761</v>
      </c>
    </row>
    <row r="4621" spans="1:13" x14ac:dyDescent="0.2">
      <c r="A4621" t="s">
        <v>759</v>
      </c>
      <c r="B4621" t="s">
        <v>386</v>
      </c>
      <c r="C4621" t="s">
        <v>407</v>
      </c>
      <c r="D4621">
        <v>4704</v>
      </c>
      <c r="E4621">
        <v>2020</v>
      </c>
      <c r="F4621">
        <v>1</v>
      </c>
      <c r="G4621">
        <v>20752</v>
      </c>
      <c r="H4621" s="1">
        <v>3</v>
      </c>
      <c r="I4621">
        <v>8</v>
      </c>
      <c r="J4621">
        <f>IF($H4621=0,1,IF($I4621&lt;=1,2,0))</f>
        <v>0</v>
      </c>
      <c r="K4621">
        <v>0</v>
      </c>
      <c r="L4621">
        <f>IF(AND($J4621=0,$K4621=0),0,1)</f>
        <v>0</v>
      </c>
    </row>
    <row r="4622" spans="1:13" x14ac:dyDescent="0.2">
      <c r="A4622" t="s">
        <v>759</v>
      </c>
      <c r="B4622" t="s">
        <v>386</v>
      </c>
      <c r="C4622" t="s">
        <v>407</v>
      </c>
      <c r="D4622">
        <v>5932</v>
      </c>
      <c r="E4622">
        <v>2020</v>
      </c>
      <c r="F4622">
        <v>1</v>
      </c>
      <c r="G4622">
        <v>13748</v>
      </c>
      <c r="H4622" s="1" t="s">
        <v>1827</v>
      </c>
      <c r="I4622">
        <v>4</v>
      </c>
      <c r="J4622">
        <f>IF($H4622=0,1,IF($I4622&lt;=1,2,0))</f>
        <v>0</v>
      </c>
      <c r="K4622">
        <v>0</v>
      </c>
      <c r="L4622">
        <f>IF(AND($J4622=0,$K4622=0),0,1)</f>
        <v>0</v>
      </c>
      <c r="M4622" t="s">
        <v>761</v>
      </c>
    </row>
    <row r="4623" spans="1:13" x14ac:dyDescent="0.2">
      <c r="A4623" t="s">
        <v>759</v>
      </c>
      <c r="B4623" t="s">
        <v>386</v>
      </c>
      <c r="C4623" t="s">
        <v>407</v>
      </c>
      <c r="D4623">
        <v>5932</v>
      </c>
      <c r="E4623">
        <v>2020</v>
      </c>
      <c r="F4623">
        <v>10</v>
      </c>
      <c r="G4623">
        <v>15468</v>
      </c>
      <c r="H4623" s="1" t="s">
        <v>1827</v>
      </c>
      <c r="I4623">
        <v>3</v>
      </c>
      <c r="J4623">
        <f>IF($H4623=0,1,IF($I4623&lt;=1,2,0))</f>
        <v>0</v>
      </c>
      <c r="K4623">
        <v>0</v>
      </c>
      <c r="L4623">
        <f>IF(AND($J4623=0,$K4623=0),0,1)</f>
        <v>0</v>
      </c>
      <c r="M4623" t="s">
        <v>761</v>
      </c>
    </row>
    <row r="4624" spans="1:13" x14ac:dyDescent="0.2">
      <c r="A4624" t="s">
        <v>759</v>
      </c>
      <c r="B4624" t="s">
        <v>386</v>
      </c>
      <c r="C4624" t="s">
        <v>407</v>
      </c>
      <c r="D4624">
        <v>5932</v>
      </c>
      <c r="E4624">
        <v>2020</v>
      </c>
      <c r="F4624">
        <v>2</v>
      </c>
      <c r="G4624">
        <v>13749</v>
      </c>
      <c r="H4624" s="1" t="s">
        <v>1827</v>
      </c>
      <c r="I4624">
        <v>2</v>
      </c>
      <c r="J4624">
        <f>IF($H4624=0,1,IF($I4624&lt;=1,2,0))</f>
        <v>0</v>
      </c>
      <c r="K4624">
        <v>0</v>
      </c>
      <c r="L4624">
        <f>IF(AND($J4624=0,$K4624=0),0,1)</f>
        <v>0</v>
      </c>
      <c r="M4624" t="s">
        <v>761</v>
      </c>
    </row>
    <row r="4625" spans="1:12" x14ac:dyDescent="0.2">
      <c r="A4625" t="s">
        <v>764</v>
      </c>
      <c r="B4625" t="s">
        <v>17</v>
      </c>
      <c r="C4625" t="s">
        <v>9</v>
      </c>
      <c r="D4625">
        <v>1101</v>
      </c>
      <c r="E4625">
        <v>2020</v>
      </c>
      <c r="F4625">
        <v>1</v>
      </c>
      <c r="G4625">
        <v>10725</v>
      </c>
      <c r="H4625" s="1">
        <v>5</v>
      </c>
      <c r="I4625">
        <v>4</v>
      </c>
      <c r="J4625">
        <f>IF($H4625=0,1,IF($I4625&lt;=1,2,0))</f>
        <v>0</v>
      </c>
      <c r="K4625">
        <v>0</v>
      </c>
      <c r="L4625">
        <f>IF(AND($J4625=0,$K4625=0),0,1)</f>
        <v>0</v>
      </c>
    </row>
    <row r="4626" spans="1:12" x14ac:dyDescent="0.2">
      <c r="A4626" t="s">
        <v>764</v>
      </c>
      <c r="B4626" t="s">
        <v>17</v>
      </c>
      <c r="C4626" t="s">
        <v>9</v>
      </c>
      <c r="D4626">
        <v>2101</v>
      </c>
      <c r="E4626">
        <v>2020</v>
      </c>
      <c r="F4626">
        <v>1</v>
      </c>
      <c r="G4626">
        <v>10726</v>
      </c>
      <c r="H4626" s="1">
        <v>5</v>
      </c>
      <c r="I4626">
        <v>4</v>
      </c>
      <c r="J4626">
        <f>IF($H4626=0,1,IF($I4626&lt;=1,2,0))</f>
        <v>0</v>
      </c>
      <c r="K4626">
        <v>0</v>
      </c>
      <c r="L4626">
        <f>IF(AND($J4626=0,$K4626=0),0,1)</f>
        <v>0</v>
      </c>
    </row>
    <row r="4627" spans="1:12" x14ac:dyDescent="0.2">
      <c r="A4627" t="s">
        <v>764</v>
      </c>
      <c r="B4627" t="s">
        <v>17</v>
      </c>
      <c r="C4627" t="s">
        <v>9</v>
      </c>
      <c r="D4627">
        <v>3101</v>
      </c>
      <c r="E4627">
        <v>2020</v>
      </c>
      <c r="F4627">
        <v>1</v>
      </c>
      <c r="G4627">
        <v>15303</v>
      </c>
      <c r="H4627" s="1">
        <v>3</v>
      </c>
      <c r="I4627">
        <v>4</v>
      </c>
      <c r="J4627">
        <f>IF($H4627=0,1,IF($I4627&lt;=1,2,0))</f>
        <v>0</v>
      </c>
      <c r="K4627">
        <v>0</v>
      </c>
      <c r="L4627">
        <f>IF(AND($J4627=0,$K4627=0),0,1)</f>
        <v>0</v>
      </c>
    </row>
    <row r="4628" spans="1:12" x14ac:dyDescent="0.2">
      <c r="A4628" t="s">
        <v>764</v>
      </c>
      <c r="B4628" t="s">
        <v>17</v>
      </c>
      <c r="C4628" t="s">
        <v>9</v>
      </c>
      <c r="D4628">
        <v>4101</v>
      </c>
      <c r="E4628">
        <v>2020</v>
      </c>
      <c r="F4628">
        <v>1</v>
      </c>
      <c r="G4628">
        <v>13014</v>
      </c>
      <c r="H4628" s="1">
        <v>4</v>
      </c>
      <c r="I4628">
        <v>4</v>
      </c>
      <c r="J4628">
        <f>IF($H4628=0,1,IF($I4628&lt;=1,2,0))</f>
        <v>0</v>
      </c>
      <c r="K4628">
        <v>0</v>
      </c>
      <c r="L4628">
        <f>IF(AND($J4628=0,$K4628=0),0,1)</f>
        <v>0</v>
      </c>
    </row>
    <row r="4629" spans="1:12" x14ac:dyDescent="0.2">
      <c r="A4629" t="s">
        <v>765</v>
      </c>
      <c r="B4629" t="s">
        <v>17</v>
      </c>
      <c r="C4629" t="s">
        <v>9</v>
      </c>
      <c r="D4629">
        <v>1101</v>
      </c>
      <c r="E4629">
        <v>2020</v>
      </c>
      <c r="F4629">
        <v>1</v>
      </c>
      <c r="G4629">
        <v>10875</v>
      </c>
      <c r="H4629" s="1">
        <v>4</v>
      </c>
      <c r="I4629">
        <v>6</v>
      </c>
      <c r="J4629">
        <f>IF($H4629=0,1,IF($I4629&lt;=1,2,0))</f>
        <v>0</v>
      </c>
      <c r="K4629">
        <v>0</v>
      </c>
      <c r="L4629">
        <f>IF(AND($J4629=0,$K4629=0),0,1)</f>
        <v>0</v>
      </c>
    </row>
    <row r="4630" spans="1:12" x14ac:dyDescent="0.2">
      <c r="A4630" t="s">
        <v>765</v>
      </c>
      <c r="B4630" t="s">
        <v>17</v>
      </c>
      <c r="C4630" t="s">
        <v>9</v>
      </c>
      <c r="D4630">
        <v>2101</v>
      </c>
      <c r="E4630">
        <v>2020</v>
      </c>
      <c r="F4630">
        <v>1</v>
      </c>
      <c r="G4630">
        <v>10877</v>
      </c>
      <c r="H4630" s="1">
        <v>4</v>
      </c>
      <c r="I4630">
        <v>2</v>
      </c>
      <c r="J4630">
        <f>IF($H4630=0,1,IF($I4630&lt;=1,2,0))</f>
        <v>0</v>
      </c>
      <c r="K4630">
        <v>0</v>
      </c>
      <c r="L4630">
        <f>IF(AND($J4630=0,$K4630=0),0,1)</f>
        <v>0</v>
      </c>
    </row>
    <row r="4631" spans="1:12" x14ac:dyDescent="0.2">
      <c r="A4631" t="s">
        <v>765</v>
      </c>
      <c r="B4631" t="s">
        <v>17</v>
      </c>
      <c r="C4631" t="s">
        <v>9</v>
      </c>
      <c r="D4631">
        <v>3301</v>
      </c>
      <c r="E4631">
        <v>2020</v>
      </c>
      <c r="F4631">
        <v>1</v>
      </c>
      <c r="G4631">
        <v>10879</v>
      </c>
      <c r="H4631" s="1">
        <v>4</v>
      </c>
      <c r="I4631">
        <v>3</v>
      </c>
      <c r="J4631">
        <f>IF($H4631=0,1,IF($I4631&lt;=1,2,0))</f>
        <v>0</v>
      </c>
      <c r="K4631">
        <v>0</v>
      </c>
      <c r="L4631">
        <f>IF(AND($J4631=0,$K4631=0),0,1)</f>
        <v>0</v>
      </c>
    </row>
    <row r="4632" spans="1:12" x14ac:dyDescent="0.2">
      <c r="A4632" t="s">
        <v>767</v>
      </c>
      <c r="B4632" t="s">
        <v>6</v>
      </c>
      <c r="C4632" t="s">
        <v>9</v>
      </c>
      <c r="D4632">
        <v>3125</v>
      </c>
      <c r="E4632">
        <v>2020</v>
      </c>
      <c r="F4632">
        <v>1</v>
      </c>
      <c r="G4632">
        <v>10010</v>
      </c>
      <c r="H4632" s="1">
        <v>3</v>
      </c>
      <c r="I4632">
        <v>63</v>
      </c>
      <c r="J4632">
        <f>IF($H4632=0,1,IF($I4632&lt;=1,2,0))</f>
        <v>0</v>
      </c>
      <c r="K4632">
        <v>0</v>
      </c>
      <c r="L4632">
        <f>IF(AND($J4632=0,$K4632=0),0,1)</f>
        <v>0</v>
      </c>
    </row>
    <row r="4633" spans="1:12" x14ac:dyDescent="0.2">
      <c r="A4633" t="s">
        <v>767</v>
      </c>
      <c r="B4633" t="s">
        <v>6</v>
      </c>
      <c r="C4633" t="s">
        <v>9</v>
      </c>
      <c r="D4633">
        <v>3265</v>
      </c>
      <c r="E4633">
        <v>2020</v>
      </c>
      <c r="F4633">
        <v>1</v>
      </c>
      <c r="G4633">
        <v>22992</v>
      </c>
      <c r="H4633" s="1">
        <v>3</v>
      </c>
      <c r="I4633">
        <v>7</v>
      </c>
      <c r="J4633">
        <f>IF($H4633=0,1,IF($I4633&lt;=1,2,0))</f>
        <v>0</v>
      </c>
      <c r="K4633">
        <v>0</v>
      </c>
      <c r="L4633">
        <f>IF(AND($J4633=0,$K4633=0),0,1)</f>
        <v>0</v>
      </c>
    </row>
    <row r="4634" spans="1:12" x14ac:dyDescent="0.2">
      <c r="A4634" t="s">
        <v>767</v>
      </c>
      <c r="B4634" t="s">
        <v>6</v>
      </c>
      <c r="C4634" t="s">
        <v>9</v>
      </c>
      <c r="D4634">
        <v>3311</v>
      </c>
      <c r="E4634">
        <v>2020</v>
      </c>
      <c r="F4634">
        <v>1</v>
      </c>
      <c r="G4634">
        <v>293</v>
      </c>
      <c r="H4634" s="1">
        <v>4</v>
      </c>
      <c r="I4634">
        <v>18</v>
      </c>
      <c r="J4634">
        <f>IF($H4634=0,1,IF($I4634&lt;=1,2,0))</f>
        <v>0</v>
      </c>
      <c r="K4634">
        <v>0</v>
      </c>
      <c r="L4634">
        <f>IF(AND($J4634=0,$K4634=0),0,1)</f>
        <v>0</v>
      </c>
    </row>
    <row r="4635" spans="1:12" x14ac:dyDescent="0.2">
      <c r="A4635" t="s">
        <v>767</v>
      </c>
      <c r="B4635" t="s">
        <v>6</v>
      </c>
      <c r="C4635" t="s">
        <v>21</v>
      </c>
      <c r="D4635">
        <v>3312</v>
      </c>
      <c r="E4635">
        <v>2020</v>
      </c>
      <c r="F4635">
        <v>1</v>
      </c>
      <c r="G4635">
        <v>296</v>
      </c>
      <c r="H4635" s="1">
        <v>4</v>
      </c>
      <c r="I4635">
        <v>10</v>
      </c>
      <c r="J4635">
        <f>IF($H4635=0,1,IF($I4635&lt;=1,2,0))</f>
        <v>0</v>
      </c>
      <c r="K4635">
        <v>0</v>
      </c>
      <c r="L4635">
        <f>IF(AND($J4635=0,$K4635=0),0,1)</f>
        <v>0</v>
      </c>
    </row>
    <row r="4636" spans="1:12" x14ac:dyDescent="0.2">
      <c r="A4636" t="s">
        <v>767</v>
      </c>
      <c r="B4636" t="s">
        <v>6</v>
      </c>
      <c r="C4636" t="s">
        <v>9</v>
      </c>
      <c r="D4636">
        <v>3450</v>
      </c>
      <c r="E4636">
        <v>2020</v>
      </c>
      <c r="F4636">
        <v>1</v>
      </c>
      <c r="G4636">
        <v>10011</v>
      </c>
      <c r="H4636" s="1">
        <v>3</v>
      </c>
      <c r="I4636">
        <v>19</v>
      </c>
      <c r="J4636">
        <f>IF($H4636=0,1,IF($I4636&lt;=1,2,0))</f>
        <v>0</v>
      </c>
      <c r="K4636">
        <v>0</v>
      </c>
      <c r="L4636">
        <f>IF(AND($J4636=0,$K4636=0),0,1)</f>
        <v>0</v>
      </c>
    </row>
    <row r="4637" spans="1:12" x14ac:dyDescent="0.2">
      <c r="A4637" t="s">
        <v>767</v>
      </c>
      <c r="B4637" t="s">
        <v>6</v>
      </c>
      <c r="C4637" t="s">
        <v>21</v>
      </c>
      <c r="D4637">
        <v>3521</v>
      </c>
      <c r="E4637">
        <v>2020</v>
      </c>
      <c r="F4637">
        <v>1</v>
      </c>
      <c r="G4637">
        <v>10045</v>
      </c>
      <c r="H4637" s="1">
        <v>4</v>
      </c>
      <c r="I4637">
        <v>4</v>
      </c>
      <c r="J4637">
        <f>IF($H4637=0,1,IF($I4637&lt;=1,2,0))</f>
        <v>0</v>
      </c>
      <c r="K4637">
        <v>0</v>
      </c>
      <c r="L4637">
        <f>IF(AND($J4637=0,$K4637=0),0,1)</f>
        <v>0</v>
      </c>
    </row>
    <row r="4638" spans="1:12" x14ac:dyDescent="0.2">
      <c r="A4638" t="s">
        <v>767</v>
      </c>
      <c r="B4638" t="s">
        <v>6</v>
      </c>
      <c r="C4638" t="s">
        <v>21</v>
      </c>
      <c r="D4638">
        <v>3525</v>
      </c>
      <c r="E4638">
        <v>2020</v>
      </c>
      <c r="F4638">
        <v>1</v>
      </c>
      <c r="G4638">
        <v>301</v>
      </c>
      <c r="H4638" s="1">
        <v>4</v>
      </c>
      <c r="I4638">
        <v>11</v>
      </c>
      <c r="J4638">
        <f>IF($H4638=0,1,IF($I4638&lt;=1,2,0))</f>
        <v>0</v>
      </c>
      <c r="K4638">
        <v>0</v>
      </c>
      <c r="L4638">
        <f>IF(AND($J4638=0,$K4638=0),0,1)</f>
        <v>0</v>
      </c>
    </row>
    <row r="4639" spans="1:12" x14ac:dyDescent="0.2">
      <c r="A4639" t="s">
        <v>767</v>
      </c>
      <c r="B4639" t="s">
        <v>6</v>
      </c>
      <c r="C4639" t="s">
        <v>21</v>
      </c>
      <c r="D4639">
        <v>3813</v>
      </c>
      <c r="E4639">
        <v>2020</v>
      </c>
      <c r="F4639">
        <v>1</v>
      </c>
      <c r="G4639">
        <v>302</v>
      </c>
      <c r="H4639" s="1">
        <v>4</v>
      </c>
      <c r="I4639">
        <v>8</v>
      </c>
      <c r="J4639">
        <f>IF($H4639=0,1,IF($I4639&lt;=1,2,0))</f>
        <v>0</v>
      </c>
      <c r="K4639">
        <v>0</v>
      </c>
      <c r="L4639">
        <f>IF(AND($J4639=0,$K4639=0),0,1)</f>
        <v>0</v>
      </c>
    </row>
    <row r="4640" spans="1:12" x14ac:dyDescent="0.2">
      <c r="A4640" t="s">
        <v>767</v>
      </c>
      <c r="B4640" t="s">
        <v>6</v>
      </c>
      <c r="C4640" t="s">
        <v>9</v>
      </c>
      <c r="D4640">
        <v>4235</v>
      </c>
      <c r="E4640">
        <v>2020</v>
      </c>
      <c r="F4640">
        <v>1</v>
      </c>
      <c r="G4640">
        <v>15328</v>
      </c>
      <c r="H4640" s="1">
        <v>4</v>
      </c>
      <c r="I4640">
        <v>13</v>
      </c>
      <c r="J4640">
        <f>IF($H4640=0,1,IF($I4640&lt;=1,2,0))</f>
        <v>0</v>
      </c>
      <c r="K4640">
        <v>0</v>
      </c>
      <c r="L4640">
        <f>IF(AND($J4640=0,$K4640=0),0,1)</f>
        <v>0</v>
      </c>
    </row>
    <row r="4641" spans="1:12" x14ac:dyDescent="0.2">
      <c r="A4641" t="s">
        <v>767</v>
      </c>
      <c r="B4641" t="s">
        <v>6</v>
      </c>
      <c r="C4641" t="s">
        <v>9</v>
      </c>
      <c r="D4641">
        <v>4350</v>
      </c>
      <c r="E4641">
        <v>2020</v>
      </c>
      <c r="F4641">
        <v>1</v>
      </c>
      <c r="G4641">
        <v>10047</v>
      </c>
      <c r="H4641" s="1">
        <v>4</v>
      </c>
      <c r="I4641">
        <v>10</v>
      </c>
      <c r="J4641">
        <f>IF($H4641=0,1,IF($I4641&lt;=1,2,0))</f>
        <v>0</v>
      </c>
      <c r="K4641">
        <v>0</v>
      </c>
      <c r="L4641">
        <f>IF(AND($J4641=0,$K4641=0),0,1)</f>
        <v>0</v>
      </c>
    </row>
    <row r="4642" spans="1:12" x14ac:dyDescent="0.2">
      <c r="A4642" t="s">
        <v>767</v>
      </c>
      <c r="B4642" t="s">
        <v>6</v>
      </c>
      <c r="C4642" t="s">
        <v>11</v>
      </c>
      <c r="D4642">
        <v>6001</v>
      </c>
      <c r="E4642">
        <v>2020</v>
      </c>
      <c r="F4642">
        <v>1</v>
      </c>
      <c r="G4642">
        <v>20742</v>
      </c>
      <c r="H4642" s="1">
        <v>4</v>
      </c>
      <c r="I4642">
        <v>8</v>
      </c>
      <c r="J4642">
        <f>IF($H4642=0,1,IF($I4642&lt;=1,2,0))</f>
        <v>0</v>
      </c>
      <c r="K4642">
        <v>0</v>
      </c>
      <c r="L4642">
        <f>IF(AND($J4642=0,$K4642=0),0,1)</f>
        <v>0</v>
      </c>
    </row>
    <row r="4643" spans="1:12" x14ac:dyDescent="0.2">
      <c r="A4643" t="s">
        <v>769</v>
      </c>
      <c r="B4643" t="s">
        <v>386</v>
      </c>
      <c r="C4643" t="s">
        <v>9</v>
      </c>
      <c r="D4643">
        <v>1100</v>
      </c>
      <c r="E4643">
        <v>2020</v>
      </c>
      <c r="F4643">
        <v>2</v>
      </c>
      <c r="G4643">
        <v>12904</v>
      </c>
      <c r="H4643" s="1">
        <v>3</v>
      </c>
      <c r="I4643">
        <v>15</v>
      </c>
      <c r="J4643">
        <f>IF($H4643=0,1,IF($I4643&lt;=1,2,0))</f>
        <v>0</v>
      </c>
      <c r="K4643">
        <v>0</v>
      </c>
      <c r="L4643">
        <f>IF(AND($J4643=0,$K4643=0),0,1)</f>
        <v>0</v>
      </c>
    </row>
    <row r="4644" spans="1:12" x14ac:dyDescent="0.2">
      <c r="A4644" t="s">
        <v>769</v>
      </c>
      <c r="B4644" t="s">
        <v>386</v>
      </c>
      <c r="C4644" t="s">
        <v>9</v>
      </c>
      <c r="D4644">
        <v>1100</v>
      </c>
      <c r="E4644">
        <v>2020</v>
      </c>
      <c r="F4644">
        <v>3</v>
      </c>
      <c r="G4644">
        <v>12905</v>
      </c>
      <c r="H4644" s="1">
        <v>3</v>
      </c>
      <c r="I4644">
        <v>13</v>
      </c>
      <c r="J4644">
        <f>IF($H4644=0,1,IF($I4644&lt;=1,2,0))</f>
        <v>0</v>
      </c>
      <c r="K4644">
        <v>0</v>
      </c>
      <c r="L4644">
        <f>IF(AND($J4644=0,$K4644=0),0,1)</f>
        <v>0</v>
      </c>
    </row>
    <row r="4645" spans="1:12" x14ac:dyDescent="0.2">
      <c r="A4645" t="s">
        <v>769</v>
      </c>
      <c r="B4645" t="s">
        <v>386</v>
      </c>
      <c r="C4645" t="s">
        <v>9</v>
      </c>
      <c r="D4645">
        <v>1100</v>
      </c>
      <c r="E4645">
        <v>2020</v>
      </c>
      <c r="F4645">
        <v>1</v>
      </c>
      <c r="G4645">
        <v>12903</v>
      </c>
      <c r="H4645" s="1">
        <v>3</v>
      </c>
      <c r="I4645">
        <v>9</v>
      </c>
      <c r="J4645">
        <f>IF($H4645=0,1,IF($I4645&lt;=1,2,0))</f>
        <v>0</v>
      </c>
      <c r="K4645">
        <v>0</v>
      </c>
      <c r="L4645">
        <f>IF(AND($J4645=0,$K4645=0),0,1)</f>
        <v>0</v>
      </c>
    </row>
    <row r="4646" spans="1:12" x14ac:dyDescent="0.2">
      <c r="A4646" t="s">
        <v>769</v>
      </c>
      <c r="B4646" t="s">
        <v>386</v>
      </c>
      <c r="C4646" t="s">
        <v>9</v>
      </c>
      <c r="D4646">
        <v>1200</v>
      </c>
      <c r="E4646">
        <v>2020</v>
      </c>
      <c r="F4646">
        <v>1</v>
      </c>
      <c r="G4646">
        <v>12908</v>
      </c>
      <c r="H4646" s="1">
        <v>3</v>
      </c>
      <c r="I4646">
        <v>14</v>
      </c>
      <c r="J4646">
        <f>IF($H4646=0,1,IF($I4646&lt;=1,2,0))</f>
        <v>0</v>
      </c>
      <c r="K4646">
        <v>0</v>
      </c>
      <c r="L4646">
        <f>IF(AND($J4646=0,$K4646=0),0,1)</f>
        <v>0</v>
      </c>
    </row>
    <row r="4647" spans="1:12" x14ac:dyDescent="0.2">
      <c r="A4647" t="s">
        <v>769</v>
      </c>
      <c r="B4647" t="s">
        <v>386</v>
      </c>
      <c r="C4647" t="s">
        <v>9</v>
      </c>
      <c r="D4647">
        <v>1200</v>
      </c>
      <c r="E4647">
        <v>2020</v>
      </c>
      <c r="F4647">
        <v>2</v>
      </c>
      <c r="G4647">
        <v>12909</v>
      </c>
      <c r="H4647" s="1">
        <v>3</v>
      </c>
      <c r="I4647">
        <v>13</v>
      </c>
      <c r="J4647">
        <f>IF($H4647=0,1,IF($I4647&lt;=1,2,0))</f>
        <v>0</v>
      </c>
      <c r="K4647">
        <v>0</v>
      </c>
      <c r="L4647">
        <f>IF(AND($J4647=0,$K4647=0),0,1)</f>
        <v>0</v>
      </c>
    </row>
    <row r="4648" spans="1:12" x14ac:dyDescent="0.2">
      <c r="A4648" t="s">
        <v>769</v>
      </c>
      <c r="B4648" t="s">
        <v>386</v>
      </c>
      <c r="C4648" t="s">
        <v>9</v>
      </c>
      <c r="D4648">
        <v>1300</v>
      </c>
      <c r="E4648">
        <v>2020</v>
      </c>
      <c r="F4648">
        <v>1</v>
      </c>
      <c r="G4648">
        <v>12910</v>
      </c>
      <c r="H4648" s="1">
        <v>3</v>
      </c>
      <c r="I4648">
        <v>13</v>
      </c>
      <c r="J4648">
        <f>IF($H4648=0,1,IF($I4648&lt;=1,2,0))</f>
        <v>0</v>
      </c>
      <c r="K4648">
        <v>0</v>
      </c>
      <c r="L4648">
        <f>IF(AND($J4648=0,$K4648=0),0,1)</f>
        <v>0</v>
      </c>
    </row>
    <row r="4649" spans="1:12" x14ac:dyDescent="0.2">
      <c r="A4649" t="s">
        <v>769</v>
      </c>
      <c r="B4649" t="s">
        <v>386</v>
      </c>
      <c r="C4649" t="s">
        <v>9</v>
      </c>
      <c r="D4649">
        <v>2100</v>
      </c>
      <c r="E4649">
        <v>2020</v>
      </c>
      <c r="F4649">
        <v>1</v>
      </c>
      <c r="G4649">
        <v>12912</v>
      </c>
      <c r="H4649" s="1">
        <v>3</v>
      </c>
      <c r="I4649">
        <v>15</v>
      </c>
      <c r="J4649">
        <f>IF($H4649=0,1,IF($I4649&lt;=1,2,0))</f>
        <v>0</v>
      </c>
      <c r="K4649">
        <v>0</v>
      </c>
      <c r="L4649">
        <f>IF(AND($J4649=0,$K4649=0),0,1)</f>
        <v>0</v>
      </c>
    </row>
    <row r="4650" spans="1:12" x14ac:dyDescent="0.2">
      <c r="A4650" t="s">
        <v>769</v>
      </c>
      <c r="B4650" t="s">
        <v>386</v>
      </c>
      <c r="C4650" t="s">
        <v>9</v>
      </c>
      <c r="D4650">
        <v>2100</v>
      </c>
      <c r="E4650">
        <v>2020</v>
      </c>
      <c r="F4650">
        <v>2</v>
      </c>
      <c r="G4650">
        <v>12913</v>
      </c>
      <c r="H4650" s="1">
        <v>3</v>
      </c>
      <c r="I4650">
        <v>12</v>
      </c>
      <c r="J4650">
        <f>IF($H4650=0,1,IF($I4650&lt;=1,2,0))</f>
        <v>0</v>
      </c>
      <c r="K4650">
        <v>0</v>
      </c>
      <c r="L4650">
        <f>IF(AND($J4650=0,$K4650=0),0,1)</f>
        <v>0</v>
      </c>
    </row>
    <row r="4651" spans="1:12" x14ac:dyDescent="0.2">
      <c r="A4651" t="s">
        <v>769</v>
      </c>
      <c r="B4651" t="s">
        <v>386</v>
      </c>
      <c r="C4651" t="s">
        <v>9</v>
      </c>
      <c r="D4651">
        <v>2200</v>
      </c>
      <c r="E4651">
        <v>2020</v>
      </c>
      <c r="F4651">
        <v>1</v>
      </c>
      <c r="G4651">
        <v>12914</v>
      </c>
      <c r="H4651" s="1">
        <v>3</v>
      </c>
      <c r="I4651">
        <v>10</v>
      </c>
      <c r="J4651">
        <f>IF($H4651=0,1,IF($I4651&lt;=1,2,0))</f>
        <v>0</v>
      </c>
      <c r="K4651">
        <v>0</v>
      </c>
      <c r="L4651">
        <f>IF(AND($J4651=0,$K4651=0),0,1)</f>
        <v>0</v>
      </c>
    </row>
    <row r="4652" spans="1:12" x14ac:dyDescent="0.2">
      <c r="A4652" t="s">
        <v>769</v>
      </c>
      <c r="B4652" t="s">
        <v>386</v>
      </c>
      <c r="C4652" t="s">
        <v>9</v>
      </c>
      <c r="D4652">
        <v>2211</v>
      </c>
      <c r="E4652">
        <v>2020</v>
      </c>
      <c r="F4652">
        <v>1</v>
      </c>
      <c r="G4652">
        <v>12923</v>
      </c>
      <c r="H4652" s="1">
        <v>3</v>
      </c>
      <c r="I4652">
        <v>13</v>
      </c>
      <c r="J4652">
        <f>IF($H4652=0,1,IF($I4652&lt;=1,2,0))</f>
        <v>0</v>
      </c>
      <c r="K4652">
        <v>0</v>
      </c>
      <c r="L4652">
        <f>IF(AND($J4652=0,$K4652=0),0,1)</f>
        <v>0</v>
      </c>
    </row>
    <row r="4653" spans="1:12" x14ac:dyDescent="0.2">
      <c r="A4653" t="s">
        <v>769</v>
      </c>
      <c r="B4653" t="s">
        <v>386</v>
      </c>
      <c r="C4653" t="s">
        <v>9</v>
      </c>
      <c r="D4653">
        <v>2300</v>
      </c>
      <c r="E4653">
        <v>2020</v>
      </c>
      <c r="F4653">
        <v>1</v>
      </c>
      <c r="G4653">
        <v>12915</v>
      </c>
      <c r="H4653" s="1">
        <v>3</v>
      </c>
      <c r="I4653">
        <v>14</v>
      </c>
      <c r="J4653">
        <f>IF($H4653=0,1,IF($I4653&lt;=1,2,0))</f>
        <v>0</v>
      </c>
      <c r="K4653">
        <v>0</v>
      </c>
      <c r="L4653">
        <f>IF(AND($J4653=0,$K4653=0),0,1)</f>
        <v>0</v>
      </c>
    </row>
    <row r="4654" spans="1:12" x14ac:dyDescent="0.2">
      <c r="A4654" t="s">
        <v>769</v>
      </c>
      <c r="B4654" t="s">
        <v>386</v>
      </c>
      <c r="C4654" t="s">
        <v>9</v>
      </c>
      <c r="D4654">
        <v>2311</v>
      </c>
      <c r="E4654">
        <v>2020</v>
      </c>
      <c r="F4654">
        <v>1</v>
      </c>
      <c r="G4654">
        <v>12924</v>
      </c>
      <c r="H4654" s="1">
        <v>3</v>
      </c>
      <c r="I4654">
        <v>13</v>
      </c>
      <c r="J4654">
        <f>IF($H4654=0,1,IF($I4654&lt;=1,2,0))</f>
        <v>0</v>
      </c>
      <c r="K4654">
        <v>0</v>
      </c>
      <c r="L4654">
        <f>IF(AND($J4654=0,$K4654=0),0,1)</f>
        <v>0</v>
      </c>
    </row>
    <row r="4655" spans="1:12" x14ac:dyDescent="0.2">
      <c r="A4655" t="s">
        <v>769</v>
      </c>
      <c r="B4655" t="s">
        <v>386</v>
      </c>
      <c r="C4655" t="s">
        <v>9</v>
      </c>
      <c r="D4655">
        <v>3014</v>
      </c>
      <c r="E4655">
        <v>2020</v>
      </c>
      <c r="F4655">
        <v>1</v>
      </c>
      <c r="G4655">
        <v>12936</v>
      </c>
      <c r="H4655" s="1">
        <v>3</v>
      </c>
      <c r="I4655">
        <v>15</v>
      </c>
      <c r="J4655">
        <f>IF($H4655=0,1,IF($I4655&lt;=1,2,0))</f>
        <v>0</v>
      </c>
      <c r="K4655">
        <v>0</v>
      </c>
      <c r="L4655">
        <f>IF(AND($J4655=0,$K4655=0),0,1)</f>
        <v>0</v>
      </c>
    </row>
    <row r="4656" spans="1:12" x14ac:dyDescent="0.2">
      <c r="A4656" t="s">
        <v>769</v>
      </c>
      <c r="B4656" t="s">
        <v>386</v>
      </c>
      <c r="C4656" t="s">
        <v>9</v>
      </c>
      <c r="D4656">
        <v>3016</v>
      </c>
      <c r="E4656">
        <v>2020</v>
      </c>
      <c r="F4656">
        <v>1</v>
      </c>
      <c r="G4656">
        <v>12927</v>
      </c>
      <c r="H4656" s="1">
        <v>3</v>
      </c>
      <c r="I4656">
        <v>16</v>
      </c>
      <c r="J4656">
        <f>IF($H4656=0,1,IF($I4656&lt;=1,2,0))</f>
        <v>0</v>
      </c>
      <c r="K4656">
        <v>0</v>
      </c>
      <c r="L4656">
        <f>IF(AND($J4656=0,$K4656=0),0,1)</f>
        <v>0</v>
      </c>
    </row>
    <row r="4657" spans="1:12" x14ac:dyDescent="0.2">
      <c r="A4657" t="s">
        <v>769</v>
      </c>
      <c r="B4657" t="s">
        <v>386</v>
      </c>
      <c r="C4657" t="s">
        <v>9</v>
      </c>
      <c r="D4657">
        <v>3019</v>
      </c>
      <c r="E4657">
        <v>2020</v>
      </c>
      <c r="F4657">
        <v>1</v>
      </c>
      <c r="G4657">
        <v>22882</v>
      </c>
      <c r="H4657" s="1">
        <v>3</v>
      </c>
      <c r="I4657">
        <v>6</v>
      </c>
      <c r="J4657">
        <f>IF($H4657=0,1,IF($I4657&lt;=1,2,0))</f>
        <v>0</v>
      </c>
      <c r="K4657">
        <v>0</v>
      </c>
      <c r="L4657">
        <f>IF(AND($J4657=0,$K4657=0),0,1)</f>
        <v>0</v>
      </c>
    </row>
    <row r="4658" spans="1:12" x14ac:dyDescent="0.2">
      <c r="A4658" t="s">
        <v>769</v>
      </c>
      <c r="B4658" t="s">
        <v>386</v>
      </c>
      <c r="C4658" t="s">
        <v>9</v>
      </c>
      <c r="D4658">
        <v>3023</v>
      </c>
      <c r="E4658">
        <v>2020</v>
      </c>
      <c r="F4658">
        <v>1</v>
      </c>
      <c r="G4658">
        <v>22883</v>
      </c>
      <c r="H4658" s="1">
        <v>3</v>
      </c>
      <c r="I4658">
        <v>14</v>
      </c>
      <c r="J4658">
        <f>IF($H4658=0,1,IF($I4658&lt;=1,2,0))</f>
        <v>0</v>
      </c>
      <c r="K4658">
        <v>0</v>
      </c>
      <c r="L4658">
        <f>IF(AND($J4658=0,$K4658=0),0,1)</f>
        <v>0</v>
      </c>
    </row>
    <row r="4659" spans="1:12" x14ac:dyDescent="0.2">
      <c r="A4659" t="s">
        <v>769</v>
      </c>
      <c r="B4659" t="s">
        <v>386</v>
      </c>
      <c r="C4659" t="s">
        <v>34</v>
      </c>
      <c r="D4659">
        <v>3100</v>
      </c>
      <c r="E4659">
        <v>2020</v>
      </c>
      <c r="F4659">
        <v>2</v>
      </c>
      <c r="G4659">
        <v>12917</v>
      </c>
      <c r="H4659" s="1">
        <v>3</v>
      </c>
      <c r="I4659">
        <v>11</v>
      </c>
      <c r="J4659">
        <f>IF($H4659=0,1,IF($I4659&lt;=1,2,0))</f>
        <v>0</v>
      </c>
      <c r="K4659">
        <v>0</v>
      </c>
      <c r="L4659">
        <f>IF(AND($J4659=0,$K4659=0),0,1)</f>
        <v>0</v>
      </c>
    </row>
    <row r="4660" spans="1:12" x14ac:dyDescent="0.2">
      <c r="A4660" t="s">
        <v>769</v>
      </c>
      <c r="B4660" t="s">
        <v>386</v>
      </c>
      <c r="C4660" t="s">
        <v>34</v>
      </c>
      <c r="D4660">
        <v>3101</v>
      </c>
      <c r="E4660">
        <v>2020</v>
      </c>
      <c r="F4660">
        <v>1</v>
      </c>
      <c r="G4660">
        <v>12918</v>
      </c>
      <c r="H4660" s="1">
        <v>4</v>
      </c>
      <c r="I4660">
        <v>10</v>
      </c>
      <c r="J4660">
        <f>IF($H4660=0,1,IF($I4660&lt;=1,2,0))</f>
        <v>0</v>
      </c>
      <c r="K4660">
        <v>0</v>
      </c>
      <c r="L4660">
        <f>IF(AND($J4660=0,$K4660=0),0,1)</f>
        <v>0</v>
      </c>
    </row>
    <row r="4661" spans="1:12" x14ac:dyDescent="0.2">
      <c r="A4661" t="s">
        <v>769</v>
      </c>
      <c r="B4661" t="s">
        <v>386</v>
      </c>
      <c r="C4661" t="s">
        <v>9</v>
      </c>
      <c r="D4661">
        <v>3114</v>
      </c>
      <c r="E4661">
        <v>2020</v>
      </c>
      <c r="F4661">
        <v>1</v>
      </c>
      <c r="G4661">
        <v>12937</v>
      </c>
      <c r="H4661" s="1">
        <v>3</v>
      </c>
      <c r="I4661">
        <v>14</v>
      </c>
      <c r="J4661">
        <f>IF($H4661=0,1,IF($I4661&lt;=1,2,0))</f>
        <v>0</v>
      </c>
      <c r="K4661">
        <v>0</v>
      </c>
      <c r="L4661">
        <f>IF(AND($J4661=0,$K4661=0),0,1)</f>
        <v>0</v>
      </c>
    </row>
    <row r="4662" spans="1:12" x14ac:dyDescent="0.2">
      <c r="A4662" t="s">
        <v>769</v>
      </c>
      <c r="B4662" t="s">
        <v>386</v>
      </c>
      <c r="C4662" t="s">
        <v>9</v>
      </c>
      <c r="D4662">
        <v>3116</v>
      </c>
      <c r="E4662">
        <v>2020</v>
      </c>
      <c r="F4662">
        <v>1</v>
      </c>
      <c r="G4662">
        <v>12938</v>
      </c>
      <c r="H4662" s="1">
        <v>3</v>
      </c>
      <c r="I4662">
        <v>13</v>
      </c>
      <c r="J4662">
        <f>IF($H4662=0,1,IF($I4662&lt;=1,2,0))</f>
        <v>0</v>
      </c>
      <c r="K4662">
        <v>0</v>
      </c>
      <c r="L4662">
        <f>IF(AND($J4662=0,$K4662=0),0,1)</f>
        <v>0</v>
      </c>
    </row>
    <row r="4663" spans="1:12" x14ac:dyDescent="0.2">
      <c r="A4663" t="s">
        <v>769</v>
      </c>
      <c r="B4663" t="s">
        <v>386</v>
      </c>
      <c r="C4663" t="s">
        <v>9</v>
      </c>
      <c r="D4663">
        <v>3120</v>
      </c>
      <c r="E4663">
        <v>2020</v>
      </c>
      <c r="F4663">
        <v>1</v>
      </c>
      <c r="G4663">
        <v>13250</v>
      </c>
      <c r="H4663" s="1">
        <v>3</v>
      </c>
      <c r="I4663">
        <v>20</v>
      </c>
      <c r="J4663">
        <f>IF($H4663=0,1,IF($I4663&lt;=1,2,0))</f>
        <v>0</v>
      </c>
      <c r="K4663">
        <v>0</v>
      </c>
      <c r="L4663">
        <f>IF(AND($J4663=0,$K4663=0),0,1)</f>
        <v>0</v>
      </c>
    </row>
    <row r="4664" spans="1:12" x14ac:dyDescent="0.2">
      <c r="A4664" t="s">
        <v>769</v>
      </c>
      <c r="B4664" t="s">
        <v>386</v>
      </c>
      <c r="C4664" t="s">
        <v>9</v>
      </c>
      <c r="D4664">
        <v>3200</v>
      </c>
      <c r="E4664">
        <v>2020</v>
      </c>
      <c r="F4664">
        <v>1</v>
      </c>
      <c r="G4664">
        <v>12919</v>
      </c>
      <c r="H4664" s="1">
        <v>3</v>
      </c>
      <c r="I4664">
        <v>12</v>
      </c>
      <c r="J4664">
        <f>IF($H4664=0,1,IF($I4664&lt;=1,2,0))</f>
        <v>0</v>
      </c>
      <c r="K4664">
        <v>0</v>
      </c>
      <c r="L4664">
        <f>IF(AND($J4664=0,$K4664=0),0,1)</f>
        <v>0</v>
      </c>
    </row>
    <row r="4665" spans="1:12" x14ac:dyDescent="0.2">
      <c r="A4665" t="s">
        <v>769</v>
      </c>
      <c r="B4665" t="s">
        <v>386</v>
      </c>
      <c r="C4665" t="s">
        <v>9</v>
      </c>
      <c r="D4665">
        <v>3214</v>
      </c>
      <c r="E4665">
        <v>2020</v>
      </c>
      <c r="F4665">
        <v>1</v>
      </c>
      <c r="G4665">
        <v>12939</v>
      </c>
      <c r="H4665" s="1">
        <v>3</v>
      </c>
      <c r="I4665">
        <v>15</v>
      </c>
      <c r="J4665">
        <f>IF($H4665=0,1,IF($I4665&lt;=1,2,0))</f>
        <v>0</v>
      </c>
      <c r="K4665">
        <v>0</v>
      </c>
      <c r="L4665">
        <f>IF(AND($J4665=0,$K4665=0),0,1)</f>
        <v>0</v>
      </c>
    </row>
    <row r="4666" spans="1:12" x14ac:dyDescent="0.2">
      <c r="A4666" t="s">
        <v>769</v>
      </c>
      <c r="B4666" t="s">
        <v>386</v>
      </c>
      <c r="C4666" t="s">
        <v>9</v>
      </c>
      <c r="D4666">
        <v>3300</v>
      </c>
      <c r="E4666">
        <v>2020</v>
      </c>
      <c r="F4666">
        <v>1</v>
      </c>
      <c r="G4666">
        <v>12920</v>
      </c>
      <c r="H4666" s="1">
        <v>3</v>
      </c>
      <c r="I4666">
        <v>11</v>
      </c>
      <c r="J4666">
        <f>IF($H4666=0,1,IF($I4666&lt;=1,2,0))</f>
        <v>0</v>
      </c>
      <c r="K4666">
        <v>0</v>
      </c>
      <c r="L4666">
        <f>IF(AND($J4666=0,$K4666=0),0,1)</f>
        <v>0</v>
      </c>
    </row>
    <row r="4667" spans="1:12" x14ac:dyDescent="0.2">
      <c r="A4667" t="s">
        <v>769</v>
      </c>
      <c r="B4667" t="s">
        <v>386</v>
      </c>
      <c r="C4667" t="s">
        <v>9</v>
      </c>
      <c r="D4667">
        <v>4310</v>
      </c>
      <c r="E4667">
        <v>2020</v>
      </c>
      <c r="F4667">
        <v>1</v>
      </c>
      <c r="G4667">
        <v>12922</v>
      </c>
      <c r="H4667" s="1">
        <v>3</v>
      </c>
      <c r="I4667">
        <v>14</v>
      </c>
      <c r="J4667">
        <f>IF($H4667=0,1,IF($I4667&lt;=1,2,0))</f>
        <v>0</v>
      </c>
      <c r="K4667">
        <v>0</v>
      </c>
      <c r="L4667">
        <f>IF(AND($J4667=0,$K4667=0),0,1)</f>
        <v>0</v>
      </c>
    </row>
    <row r="4668" spans="1:12" x14ac:dyDescent="0.2">
      <c r="A4668" t="s">
        <v>769</v>
      </c>
      <c r="B4668" t="s">
        <v>386</v>
      </c>
      <c r="C4668" t="s">
        <v>407</v>
      </c>
      <c r="D4668">
        <v>5100</v>
      </c>
      <c r="E4668">
        <v>2020</v>
      </c>
      <c r="F4668">
        <v>1</v>
      </c>
      <c r="G4668">
        <v>13995</v>
      </c>
      <c r="H4668" s="1">
        <v>6</v>
      </c>
      <c r="I4668">
        <v>12</v>
      </c>
      <c r="J4668">
        <f>IF($H4668=0,1,IF($I4668&lt;=1,2,0))</f>
        <v>0</v>
      </c>
      <c r="K4668">
        <v>0</v>
      </c>
      <c r="L4668">
        <f>IF(AND($J4668=0,$K4668=0),0,1)</f>
        <v>0</v>
      </c>
    </row>
    <row r="4669" spans="1:12" x14ac:dyDescent="0.2">
      <c r="A4669" t="s">
        <v>769</v>
      </c>
      <c r="B4669" t="s">
        <v>386</v>
      </c>
      <c r="C4669" t="s">
        <v>407</v>
      </c>
      <c r="D4669">
        <v>5100</v>
      </c>
      <c r="E4669">
        <v>2020</v>
      </c>
      <c r="F4669">
        <v>2</v>
      </c>
      <c r="G4669">
        <v>13996</v>
      </c>
      <c r="H4669" s="1">
        <v>6</v>
      </c>
      <c r="I4669">
        <v>12</v>
      </c>
      <c r="J4669">
        <f>IF($H4669=0,1,IF($I4669&lt;=1,2,0))</f>
        <v>0</v>
      </c>
      <c r="K4669">
        <v>0</v>
      </c>
      <c r="L4669">
        <f>IF(AND($J4669=0,$K4669=0),0,1)</f>
        <v>0</v>
      </c>
    </row>
    <row r="4670" spans="1:12" x14ac:dyDescent="0.2">
      <c r="A4670" t="s">
        <v>769</v>
      </c>
      <c r="B4670" t="s">
        <v>386</v>
      </c>
      <c r="C4670" t="s">
        <v>407</v>
      </c>
      <c r="D4670">
        <v>5100</v>
      </c>
      <c r="E4670">
        <v>2020</v>
      </c>
      <c r="F4670">
        <v>3</v>
      </c>
      <c r="G4670">
        <v>13999</v>
      </c>
      <c r="H4670" s="1">
        <v>6</v>
      </c>
      <c r="I4670">
        <v>12</v>
      </c>
      <c r="J4670">
        <f>IF($H4670=0,1,IF($I4670&lt;=1,2,0))</f>
        <v>0</v>
      </c>
      <c r="K4670">
        <v>0</v>
      </c>
      <c r="L4670">
        <f>IF(AND($J4670=0,$K4670=0),0,1)</f>
        <v>0</v>
      </c>
    </row>
    <row r="4671" spans="1:12" x14ac:dyDescent="0.2">
      <c r="A4671" t="s">
        <v>769</v>
      </c>
      <c r="B4671" t="s">
        <v>386</v>
      </c>
      <c r="C4671" t="s">
        <v>407</v>
      </c>
      <c r="D4671">
        <v>5100</v>
      </c>
      <c r="E4671">
        <v>2020</v>
      </c>
      <c r="F4671">
        <v>4</v>
      </c>
      <c r="G4671">
        <v>14007</v>
      </c>
      <c r="H4671" s="1">
        <v>6</v>
      </c>
      <c r="I4671">
        <v>12</v>
      </c>
      <c r="J4671">
        <f>IF($H4671=0,1,IF($I4671&lt;=1,2,0))</f>
        <v>0</v>
      </c>
      <c r="K4671">
        <v>0</v>
      </c>
      <c r="L4671">
        <f>IF(AND($J4671=0,$K4671=0),0,1)</f>
        <v>0</v>
      </c>
    </row>
    <row r="4672" spans="1:12" x14ac:dyDescent="0.2">
      <c r="A4672" t="s">
        <v>769</v>
      </c>
      <c r="B4672" t="s">
        <v>386</v>
      </c>
      <c r="C4672" t="s">
        <v>407</v>
      </c>
      <c r="D4672">
        <v>5100</v>
      </c>
      <c r="E4672">
        <v>2020</v>
      </c>
      <c r="F4672">
        <v>5</v>
      </c>
      <c r="G4672">
        <v>14008</v>
      </c>
      <c r="H4672" s="1">
        <v>6</v>
      </c>
      <c r="I4672">
        <v>12</v>
      </c>
      <c r="J4672">
        <f>IF($H4672=0,1,IF($I4672&lt;=1,2,0))</f>
        <v>0</v>
      </c>
      <c r="K4672">
        <v>0</v>
      </c>
      <c r="L4672">
        <f>IF(AND($J4672=0,$K4672=0),0,1)</f>
        <v>0</v>
      </c>
    </row>
    <row r="4673" spans="1:12" x14ac:dyDescent="0.2">
      <c r="A4673" t="s">
        <v>769</v>
      </c>
      <c r="B4673" t="s">
        <v>386</v>
      </c>
      <c r="C4673" t="s">
        <v>407</v>
      </c>
      <c r="D4673">
        <v>5100</v>
      </c>
      <c r="E4673">
        <v>2020</v>
      </c>
      <c r="F4673">
        <v>6</v>
      </c>
      <c r="G4673">
        <v>14009</v>
      </c>
      <c r="H4673" s="1">
        <v>6</v>
      </c>
      <c r="I4673">
        <v>12</v>
      </c>
      <c r="J4673">
        <f>IF($H4673=0,1,IF($I4673&lt;=1,2,0))</f>
        <v>0</v>
      </c>
      <c r="K4673">
        <v>0</v>
      </c>
      <c r="L4673">
        <f>IF(AND($J4673=0,$K4673=0),0,1)</f>
        <v>0</v>
      </c>
    </row>
    <row r="4674" spans="1:12" x14ac:dyDescent="0.2">
      <c r="A4674" t="s">
        <v>769</v>
      </c>
      <c r="B4674" t="s">
        <v>386</v>
      </c>
      <c r="C4674" t="s">
        <v>407</v>
      </c>
      <c r="D4674">
        <v>5100</v>
      </c>
      <c r="E4674">
        <v>2020</v>
      </c>
      <c r="F4674">
        <v>8</v>
      </c>
      <c r="G4674">
        <v>14012</v>
      </c>
      <c r="H4674" s="1">
        <v>6</v>
      </c>
      <c r="I4674">
        <v>12</v>
      </c>
      <c r="J4674">
        <f>IF($H4674=0,1,IF($I4674&lt;=1,2,0))</f>
        <v>0</v>
      </c>
      <c r="K4674">
        <v>0</v>
      </c>
      <c r="L4674">
        <f>IF(AND($J4674=0,$K4674=0),0,1)</f>
        <v>0</v>
      </c>
    </row>
    <row r="4675" spans="1:12" x14ac:dyDescent="0.2">
      <c r="A4675" t="s">
        <v>769</v>
      </c>
      <c r="B4675" t="s">
        <v>386</v>
      </c>
      <c r="C4675" t="s">
        <v>407</v>
      </c>
      <c r="D4675">
        <v>5100</v>
      </c>
      <c r="E4675">
        <v>2020</v>
      </c>
      <c r="F4675">
        <v>10</v>
      </c>
      <c r="G4675">
        <v>14014</v>
      </c>
      <c r="H4675" s="1">
        <v>6</v>
      </c>
      <c r="I4675">
        <v>12</v>
      </c>
      <c r="J4675">
        <f>IF($H4675=0,1,IF($I4675&lt;=1,2,0))</f>
        <v>0</v>
      </c>
      <c r="K4675">
        <v>0</v>
      </c>
      <c r="L4675">
        <f>IF(AND($J4675=0,$K4675=0),0,1)</f>
        <v>0</v>
      </c>
    </row>
    <row r="4676" spans="1:12" x14ac:dyDescent="0.2">
      <c r="A4676" t="s">
        <v>769</v>
      </c>
      <c r="B4676" t="s">
        <v>386</v>
      </c>
      <c r="C4676" t="s">
        <v>407</v>
      </c>
      <c r="D4676">
        <v>5100</v>
      </c>
      <c r="E4676">
        <v>2020</v>
      </c>
      <c r="F4676">
        <v>7</v>
      </c>
      <c r="G4676">
        <v>14010</v>
      </c>
      <c r="H4676" s="1">
        <v>6</v>
      </c>
      <c r="I4676">
        <v>11</v>
      </c>
      <c r="J4676">
        <f>IF($H4676=0,1,IF($I4676&lt;=1,2,0))</f>
        <v>0</v>
      </c>
      <c r="K4676">
        <v>0</v>
      </c>
      <c r="L4676">
        <f>IF(AND($J4676=0,$K4676=0),0,1)</f>
        <v>0</v>
      </c>
    </row>
    <row r="4677" spans="1:12" x14ac:dyDescent="0.2">
      <c r="A4677" t="s">
        <v>769</v>
      </c>
      <c r="B4677" t="s">
        <v>386</v>
      </c>
      <c r="C4677" t="s">
        <v>407</v>
      </c>
      <c r="D4677">
        <v>5100</v>
      </c>
      <c r="E4677">
        <v>2020</v>
      </c>
      <c r="F4677">
        <v>9</v>
      </c>
      <c r="G4677">
        <v>14013</v>
      </c>
      <c r="H4677" s="1">
        <v>6</v>
      </c>
      <c r="I4677">
        <v>11</v>
      </c>
      <c r="J4677">
        <f>IF($H4677=0,1,IF($I4677&lt;=1,2,0))</f>
        <v>0</v>
      </c>
      <c r="K4677">
        <v>0</v>
      </c>
      <c r="L4677">
        <f>IF(AND($J4677=0,$K4677=0),0,1)</f>
        <v>0</v>
      </c>
    </row>
    <row r="4678" spans="1:12" x14ac:dyDescent="0.2">
      <c r="A4678" t="s">
        <v>769</v>
      </c>
      <c r="B4678" t="s">
        <v>386</v>
      </c>
      <c r="C4678" t="s">
        <v>407</v>
      </c>
      <c r="D4678">
        <v>5200</v>
      </c>
      <c r="E4678">
        <v>2020</v>
      </c>
      <c r="F4678">
        <v>3</v>
      </c>
      <c r="G4678">
        <v>22304</v>
      </c>
      <c r="H4678" s="1">
        <v>6</v>
      </c>
      <c r="I4678">
        <v>10</v>
      </c>
      <c r="J4678">
        <f>IF($H4678=0,1,IF($I4678&lt;=1,2,0))</f>
        <v>0</v>
      </c>
      <c r="K4678">
        <v>0</v>
      </c>
      <c r="L4678">
        <f>IF(AND($J4678=0,$K4678=0),0,1)</f>
        <v>0</v>
      </c>
    </row>
    <row r="4679" spans="1:12" x14ac:dyDescent="0.2">
      <c r="A4679" t="s">
        <v>769</v>
      </c>
      <c r="B4679" t="s">
        <v>386</v>
      </c>
      <c r="C4679" t="s">
        <v>407</v>
      </c>
      <c r="D4679">
        <v>5200</v>
      </c>
      <c r="E4679">
        <v>2020</v>
      </c>
      <c r="F4679">
        <v>4</v>
      </c>
      <c r="G4679">
        <v>22305</v>
      </c>
      <c r="H4679" s="1">
        <v>6</v>
      </c>
      <c r="I4679">
        <v>10</v>
      </c>
      <c r="J4679">
        <f>IF($H4679=0,1,IF($I4679&lt;=1,2,0))</f>
        <v>0</v>
      </c>
      <c r="K4679">
        <v>0</v>
      </c>
      <c r="L4679">
        <f>IF(AND($J4679=0,$K4679=0),0,1)</f>
        <v>0</v>
      </c>
    </row>
    <row r="4680" spans="1:12" x14ac:dyDescent="0.2">
      <c r="A4680" t="s">
        <v>769</v>
      </c>
      <c r="B4680" t="s">
        <v>386</v>
      </c>
      <c r="C4680" t="s">
        <v>407</v>
      </c>
      <c r="D4680">
        <v>5200</v>
      </c>
      <c r="E4680">
        <v>2020</v>
      </c>
      <c r="F4680">
        <v>1</v>
      </c>
      <c r="G4680">
        <v>22302</v>
      </c>
      <c r="H4680" s="1">
        <v>6</v>
      </c>
      <c r="I4680">
        <v>9</v>
      </c>
      <c r="J4680">
        <f>IF($H4680=0,1,IF($I4680&lt;=1,2,0))</f>
        <v>0</v>
      </c>
      <c r="K4680">
        <v>0</v>
      </c>
      <c r="L4680">
        <f>IF(AND($J4680=0,$K4680=0),0,1)</f>
        <v>0</v>
      </c>
    </row>
    <row r="4681" spans="1:12" x14ac:dyDescent="0.2">
      <c r="A4681" t="s">
        <v>769</v>
      </c>
      <c r="B4681" t="s">
        <v>386</v>
      </c>
      <c r="C4681" t="s">
        <v>407</v>
      </c>
      <c r="D4681">
        <v>5200</v>
      </c>
      <c r="E4681">
        <v>2020</v>
      </c>
      <c r="F4681">
        <v>2</v>
      </c>
      <c r="G4681">
        <v>22303</v>
      </c>
      <c r="H4681" s="1">
        <v>6</v>
      </c>
      <c r="I4681">
        <v>8</v>
      </c>
      <c r="J4681">
        <f>IF($H4681=0,1,IF($I4681&lt;=1,2,0))</f>
        <v>0</v>
      </c>
      <c r="K4681">
        <v>0</v>
      </c>
      <c r="L4681">
        <f>IF(AND($J4681=0,$K4681=0),0,1)</f>
        <v>0</v>
      </c>
    </row>
    <row r="4682" spans="1:12" x14ac:dyDescent="0.2">
      <c r="A4682" t="s">
        <v>769</v>
      </c>
      <c r="B4682" t="s">
        <v>386</v>
      </c>
      <c r="C4682" t="s">
        <v>407</v>
      </c>
      <c r="D4682">
        <v>5300</v>
      </c>
      <c r="E4682">
        <v>2020</v>
      </c>
      <c r="F4682">
        <v>3</v>
      </c>
      <c r="G4682">
        <v>14265</v>
      </c>
      <c r="H4682" s="1">
        <v>6</v>
      </c>
      <c r="I4682">
        <v>9</v>
      </c>
      <c r="J4682">
        <f>IF($H4682=0,1,IF($I4682&lt;=1,2,0))</f>
        <v>0</v>
      </c>
      <c r="K4682">
        <v>0</v>
      </c>
      <c r="L4682">
        <f>IF(AND($J4682=0,$K4682=0),0,1)</f>
        <v>0</v>
      </c>
    </row>
    <row r="4683" spans="1:12" x14ac:dyDescent="0.2">
      <c r="A4683" t="s">
        <v>769</v>
      </c>
      <c r="B4683" t="s">
        <v>386</v>
      </c>
      <c r="C4683" t="s">
        <v>407</v>
      </c>
      <c r="D4683">
        <v>5300</v>
      </c>
      <c r="E4683">
        <v>2020</v>
      </c>
      <c r="F4683">
        <v>4</v>
      </c>
      <c r="G4683">
        <v>14266</v>
      </c>
      <c r="H4683" s="1">
        <v>6</v>
      </c>
      <c r="I4683">
        <v>9</v>
      </c>
      <c r="J4683">
        <f>IF($H4683=0,1,IF($I4683&lt;=1,2,0))</f>
        <v>0</v>
      </c>
      <c r="K4683">
        <v>0</v>
      </c>
      <c r="L4683">
        <f>IF(AND($J4683=0,$K4683=0),0,1)</f>
        <v>0</v>
      </c>
    </row>
    <row r="4684" spans="1:12" x14ac:dyDescent="0.2">
      <c r="A4684" t="s">
        <v>769</v>
      </c>
      <c r="B4684" t="s">
        <v>386</v>
      </c>
      <c r="C4684" t="s">
        <v>407</v>
      </c>
      <c r="D4684">
        <v>5300</v>
      </c>
      <c r="E4684">
        <v>2020</v>
      </c>
      <c r="F4684">
        <v>5</v>
      </c>
      <c r="G4684">
        <v>22393</v>
      </c>
      <c r="H4684" s="1">
        <v>6</v>
      </c>
      <c r="I4684">
        <v>9</v>
      </c>
      <c r="J4684">
        <f>IF($H4684=0,1,IF($I4684&lt;=1,2,0))</f>
        <v>0</v>
      </c>
      <c r="K4684">
        <v>0</v>
      </c>
      <c r="L4684">
        <f>IF(AND($J4684=0,$K4684=0),0,1)</f>
        <v>0</v>
      </c>
    </row>
    <row r="4685" spans="1:12" x14ac:dyDescent="0.2">
      <c r="A4685" t="s">
        <v>769</v>
      </c>
      <c r="B4685" t="s">
        <v>386</v>
      </c>
      <c r="C4685" t="s">
        <v>407</v>
      </c>
      <c r="D4685">
        <v>5300</v>
      </c>
      <c r="E4685">
        <v>2020</v>
      </c>
      <c r="F4685">
        <v>2</v>
      </c>
      <c r="G4685">
        <v>14264</v>
      </c>
      <c r="H4685" s="1">
        <v>6</v>
      </c>
      <c r="I4685">
        <v>8</v>
      </c>
      <c r="J4685">
        <f>IF($H4685=0,1,IF($I4685&lt;=1,2,0))</f>
        <v>0</v>
      </c>
      <c r="K4685">
        <v>0</v>
      </c>
      <c r="L4685">
        <f>IF(AND($J4685=0,$K4685=0),0,1)</f>
        <v>0</v>
      </c>
    </row>
    <row r="4686" spans="1:12" x14ac:dyDescent="0.2">
      <c r="A4686" t="s">
        <v>769</v>
      </c>
      <c r="B4686" t="s">
        <v>386</v>
      </c>
      <c r="C4686" t="s">
        <v>407</v>
      </c>
      <c r="D4686">
        <v>5300</v>
      </c>
      <c r="E4686">
        <v>2020</v>
      </c>
      <c r="F4686">
        <v>1</v>
      </c>
      <c r="G4686">
        <v>14263</v>
      </c>
      <c r="H4686" s="1">
        <v>6</v>
      </c>
      <c r="I4686">
        <v>6</v>
      </c>
      <c r="J4686">
        <f>IF($H4686=0,1,IF($I4686&lt;=1,2,0))</f>
        <v>0</v>
      </c>
      <c r="K4686">
        <v>0</v>
      </c>
      <c r="L4686">
        <f>IF(AND($J4686=0,$K4686=0),0,1)</f>
        <v>0</v>
      </c>
    </row>
    <row r="4687" spans="1:12" x14ac:dyDescent="0.2">
      <c r="A4687" t="s">
        <v>769</v>
      </c>
      <c r="B4687" t="s">
        <v>386</v>
      </c>
      <c r="C4687" t="s">
        <v>407</v>
      </c>
      <c r="D4687">
        <v>5700</v>
      </c>
      <c r="E4687">
        <v>2020</v>
      </c>
      <c r="F4687">
        <v>1</v>
      </c>
      <c r="G4687">
        <v>15442</v>
      </c>
      <c r="H4687" s="1" t="s">
        <v>770</v>
      </c>
      <c r="I4687">
        <v>2</v>
      </c>
      <c r="J4687">
        <f>IF($H4687=0,1,IF($I4687&lt;=1,2,0))</f>
        <v>0</v>
      </c>
      <c r="K4687">
        <v>0</v>
      </c>
      <c r="L4687">
        <f>IF(AND($J4687=0,$K4687=0),0,1)</f>
        <v>0</v>
      </c>
    </row>
    <row r="4688" spans="1:12" x14ac:dyDescent="0.2">
      <c r="A4688" t="s">
        <v>769</v>
      </c>
      <c r="B4688" t="s">
        <v>386</v>
      </c>
      <c r="C4688" t="s">
        <v>34</v>
      </c>
      <c r="D4688">
        <v>6010</v>
      </c>
      <c r="E4688">
        <v>2020</v>
      </c>
      <c r="F4688">
        <v>1</v>
      </c>
      <c r="G4688">
        <v>14267</v>
      </c>
      <c r="H4688" s="1">
        <v>3</v>
      </c>
      <c r="I4688">
        <v>16</v>
      </c>
      <c r="J4688">
        <f>IF($H4688=0,1,IF($I4688&lt;=1,2,0))</f>
        <v>0</v>
      </c>
      <c r="K4688">
        <v>0</v>
      </c>
      <c r="L4688">
        <f>IF(AND($J4688=0,$K4688=0),0,1)</f>
        <v>0</v>
      </c>
    </row>
    <row r="4689" spans="1:12" x14ac:dyDescent="0.2">
      <c r="A4689" t="s">
        <v>769</v>
      </c>
      <c r="B4689" t="s">
        <v>386</v>
      </c>
      <c r="C4689" t="s">
        <v>34</v>
      </c>
      <c r="D4689">
        <v>6010</v>
      </c>
      <c r="E4689">
        <v>2020</v>
      </c>
      <c r="F4689">
        <v>2</v>
      </c>
      <c r="G4689">
        <v>14268</v>
      </c>
      <c r="H4689" s="1">
        <v>3</v>
      </c>
      <c r="I4689">
        <v>14</v>
      </c>
      <c r="J4689">
        <f>IF($H4689=0,1,IF($I4689&lt;=1,2,0))</f>
        <v>0</v>
      </c>
      <c r="K4689">
        <v>0</v>
      </c>
      <c r="L4689">
        <f>IF(AND($J4689=0,$K4689=0),0,1)</f>
        <v>0</v>
      </c>
    </row>
    <row r="4690" spans="1:12" x14ac:dyDescent="0.2">
      <c r="A4690" t="s">
        <v>769</v>
      </c>
      <c r="B4690" t="s">
        <v>386</v>
      </c>
      <c r="C4690" t="s">
        <v>34</v>
      </c>
      <c r="D4690">
        <v>6010</v>
      </c>
      <c r="E4690">
        <v>2020</v>
      </c>
      <c r="F4690">
        <v>4</v>
      </c>
      <c r="G4690">
        <v>14270</v>
      </c>
      <c r="H4690" s="1">
        <v>3</v>
      </c>
      <c r="I4690">
        <v>14</v>
      </c>
      <c r="J4690">
        <f>IF($H4690=0,1,IF($I4690&lt;=1,2,0))</f>
        <v>0</v>
      </c>
      <c r="K4690">
        <v>0</v>
      </c>
      <c r="L4690">
        <f>IF(AND($J4690=0,$K4690=0),0,1)</f>
        <v>0</v>
      </c>
    </row>
    <row r="4691" spans="1:12" x14ac:dyDescent="0.2">
      <c r="A4691" t="s">
        <v>769</v>
      </c>
      <c r="B4691" t="s">
        <v>386</v>
      </c>
      <c r="C4691" t="s">
        <v>34</v>
      </c>
      <c r="D4691">
        <v>6010</v>
      </c>
      <c r="E4691">
        <v>2020</v>
      </c>
      <c r="F4691">
        <v>5</v>
      </c>
      <c r="G4691">
        <v>14271</v>
      </c>
      <c r="H4691" s="1">
        <v>3</v>
      </c>
      <c r="I4691">
        <v>13</v>
      </c>
      <c r="J4691">
        <f>IF($H4691=0,1,IF($I4691&lt;=1,2,0))</f>
        <v>0</v>
      </c>
      <c r="K4691">
        <v>0</v>
      </c>
      <c r="L4691">
        <f>IF(AND($J4691=0,$K4691=0),0,1)</f>
        <v>0</v>
      </c>
    </row>
    <row r="4692" spans="1:12" x14ac:dyDescent="0.2">
      <c r="A4692" t="s">
        <v>769</v>
      </c>
      <c r="B4692" t="s">
        <v>386</v>
      </c>
      <c r="C4692" t="s">
        <v>34</v>
      </c>
      <c r="D4692">
        <v>6010</v>
      </c>
      <c r="E4692">
        <v>2020</v>
      </c>
      <c r="F4692">
        <v>3</v>
      </c>
      <c r="G4692">
        <v>14269</v>
      </c>
      <c r="H4692" s="1">
        <v>3</v>
      </c>
      <c r="I4692">
        <v>11</v>
      </c>
      <c r="J4692">
        <f>IF($H4692=0,1,IF($I4692&lt;=1,2,0))</f>
        <v>0</v>
      </c>
      <c r="K4692">
        <v>0</v>
      </c>
      <c r="L4692">
        <f>IF(AND($J4692=0,$K4692=0),0,1)</f>
        <v>0</v>
      </c>
    </row>
    <row r="4693" spans="1:12" x14ac:dyDescent="0.2">
      <c r="A4693" t="s">
        <v>769</v>
      </c>
      <c r="B4693" t="s">
        <v>386</v>
      </c>
      <c r="C4693" t="s">
        <v>407</v>
      </c>
      <c r="D4693">
        <v>6110</v>
      </c>
      <c r="E4693">
        <v>2020</v>
      </c>
      <c r="F4693">
        <v>2</v>
      </c>
      <c r="G4693">
        <v>14273</v>
      </c>
      <c r="H4693" s="1">
        <v>3</v>
      </c>
      <c r="I4693">
        <v>30</v>
      </c>
      <c r="J4693">
        <f>IF($H4693=0,1,IF($I4693&lt;=1,2,0))</f>
        <v>0</v>
      </c>
      <c r="K4693">
        <v>0</v>
      </c>
      <c r="L4693">
        <f>IF(AND($J4693=0,$K4693=0),0,1)</f>
        <v>0</v>
      </c>
    </row>
    <row r="4694" spans="1:12" x14ac:dyDescent="0.2">
      <c r="A4694" t="s">
        <v>769</v>
      </c>
      <c r="B4694" t="s">
        <v>386</v>
      </c>
      <c r="C4694" t="s">
        <v>407</v>
      </c>
      <c r="D4694">
        <v>6110</v>
      </c>
      <c r="E4694">
        <v>2020</v>
      </c>
      <c r="F4694">
        <v>3</v>
      </c>
      <c r="G4694">
        <v>14274</v>
      </c>
      <c r="H4694" s="1">
        <v>3</v>
      </c>
      <c r="I4694">
        <v>22</v>
      </c>
      <c r="J4694">
        <f>IF($H4694=0,1,IF($I4694&lt;=1,2,0))</f>
        <v>0</v>
      </c>
      <c r="K4694">
        <v>0</v>
      </c>
      <c r="L4694">
        <f>IF(AND($J4694=0,$K4694=0),0,1)</f>
        <v>0</v>
      </c>
    </row>
    <row r="4695" spans="1:12" x14ac:dyDescent="0.2">
      <c r="A4695" t="s">
        <v>769</v>
      </c>
      <c r="B4695" t="s">
        <v>386</v>
      </c>
      <c r="C4695" t="s">
        <v>407</v>
      </c>
      <c r="D4695">
        <v>6110</v>
      </c>
      <c r="E4695">
        <v>2020</v>
      </c>
      <c r="F4695">
        <v>6</v>
      </c>
      <c r="G4695">
        <v>14277</v>
      </c>
      <c r="H4695" s="1">
        <v>3</v>
      </c>
      <c r="I4695">
        <v>21</v>
      </c>
      <c r="J4695">
        <f>IF($H4695=0,1,IF($I4695&lt;=1,2,0))</f>
        <v>0</v>
      </c>
      <c r="K4695">
        <v>0</v>
      </c>
      <c r="L4695">
        <f>IF(AND($J4695=0,$K4695=0),0,1)</f>
        <v>0</v>
      </c>
    </row>
    <row r="4696" spans="1:12" x14ac:dyDescent="0.2">
      <c r="A4696" t="s">
        <v>769</v>
      </c>
      <c r="B4696" t="s">
        <v>386</v>
      </c>
      <c r="C4696" t="s">
        <v>407</v>
      </c>
      <c r="D4696">
        <v>6110</v>
      </c>
      <c r="E4696">
        <v>2020</v>
      </c>
      <c r="F4696">
        <v>9</v>
      </c>
      <c r="G4696">
        <v>14280</v>
      </c>
      <c r="H4696" s="1">
        <v>3</v>
      </c>
      <c r="I4696">
        <v>19</v>
      </c>
      <c r="J4696">
        <f>IF($H4696=0,1,IF($I4696&lt;=1,2,0))</f>
        <v>0</v>
      </c>
      <c r="K4696">
        <v>0</v>
      </c>
      <c r="L4696">
        <f>IF(AND($J4696=0,$K4696=0),0,1)</f>
        <v>0</v>
      </c>
    </row>
    <row r="4697" spans="1:12" x14ac:dyDescent="0.2">
      <c r="A4697" t="s">
        <v>769</v>
      </c>
      <c r="B4697" t="s">
        <v>386</v>
      </c>
      <c r="C4697" t="s">
        <v>407</v>
      </c>
      <c r="D4697">
        <v>6110</v>
      </c>
      <c r="E4697">
        <v>2020</v>
      </c>
      <c r="F4697">
        <v>11</v>
      </c>
      <c r="G4697">
        <v>14282</v>
      </c>
      <c r="H4697" s="1">
        <v>3</v>
      </c>
      <c r="I4697">
        <v>19</v>
      </c>
      <c r="J4697">
        <f>IF($H4697=0,1,IF($I4697&lt;=1,2,0))</f>
        <v>0</v>
      </c>
      <c r="K4697">
        <v>0</v>
      </c>
      <c r="L4697">
        <f>IF(AND($J4697=0,$K4697=0),0,1)</f>
        <v>0</v>
      </c>
    </row>
    <row r="4698" spans="1:12" x14ac:dyDescent="0.2">
      <c r="A4698" t="s">
        <v>769</v>
      </c>
      <c r="B4698" t="s">
        <v>386</v>
      </c>
      <c r="C4698" t="s">
        <v>407</v>
      </c>
      <c r="D4698">
        <v>6110</v>
      </c>
      <c r="E4698">
        <v>2020</v>
      </c>
      <c r="F4698">
        <v>12</v>
      </c>
      <c r="G4698">
        <v>14283</v>
      </c>
      <c r="H4698" s="1">
        <v>3</v>
      </c>
      <c r="I4698">
        <v>19</v>
      </c>
      <c r="J4698">
        <f>IF($H4698=0,1,IF($I4698&lt;=1,2,0))</f>
        <v>0</v>
      </c>
      <c r="K4698">
        <v>0</v>
      </c>
      <c r="L4698">
        <f>IF(AND($J4698=0,$K4698=0),0,1)</f>
        <v>0</v>
      </c>
    </row>
    <row r="4699" spans="1:12" x14ac:dyDescent="0.2">
      <c r="A4699" t="s">
        <v>769</v>
      </c>
      <c r="B4699" t="s">
        <v>386</v>
      </c>
      <c r="C4699" t="s">
        <v>407</v>
      </c>
      <c r="D4699">
        <v>6110</v>
      </c>
      <c r="E4699">
        <v>2020</v>
      </c>
      <c r="F4699">
        <v>10</v>
      </c>
      <c r="G4699">
        <v>14281</v>
      </c>
      <c r="H4699" s="1">
        <v>3</v>
      </c>
      <c r="I4699">
        <v>16</v>
      </c>
      <c r="J4699">
        <f>IF($H4699=0,1,IF($I4699&lt;=1,2,0))</f>
        <v>0</v>
      </c>
      <c r="K4699">
        <v>0</v>
      </c>
      <c r="L4699">
        <f>IF(AND($J4699=0,$K4699=0),0,1)</f>
        <v>0</v>
      </c>
    </row>
    <row r="4700" spans="1:12" x14ac:dyDescent="0.2">
      <c r="A4700" t="s">
        <v>769</v>
      </c>
      <c r="B4700" t="s">
        <v>386</v>
      </c>
      <c r="C4700" t="s">
        <v>407</v>
      </c>
      <c r="D4700">
        <v>6110</v>
      </c>
      <c r="E4700">
        <v>2020</v>
      </c>
      <c r="F4700">
        <v>1</v>
      </c>
      <c r="G4700">
        <v>14272</v>
      </c>
      <c r="H4700" s="1">
        <v>3</v>
      </c>
      <c r="I4700">
        <v>14</v>
      </c>
      <c r="J4700">
        <f>IF($H4700=0,1,IF($I4700&lt;=1,2,0))</f>
        <v>0</v>
      </c>
      <c r="K4700">
        <v>0</v>
      </c>
      <c r="L4700">
        <f>IF(AND($J4700=0,$K4700=0),0,1)</f>
        <v>0</v>
      </c>
    </row>
    <row r="4701" spans="1:12" x14ac:dyDescent="0.2">
      <c r="A4701" t="s">
        <v>769</v>
      </c>
      <c r="B4701" t="s">
        <v>386</v>
      </c>
      <c r="C4701" t="s">
        <v>407</v>
      </c>
      <c r="D4701">
        <v>6110</v>
      </c>
      <c r="E4701">
        <v>2020</v>
      </c>
      <c r="F4701">
        <v>5</v>
      </c>
      <c r="G4701">
        <v>14276</v>
      </c>
      <c r="H4701" s="1">
        <v>3</v>
      </c>
      <c r="I4701">
        <v>14</v>
      </c>
      <c r="J4701">
        <f>IF($H4701=0,1,IF($I4701&lt;=1,2,0))</f>
        <v>0</v>
      </c>
      <c r="K4701">
        <v>0</v>
      </c>
      <c r="L4701">
        <f>IF(AND($J4701=0,$K4701=0),0,1)</f>
        <v>0</v>
      </c>
    </row>
    <row r="4702" spans="1:12" x14ac:dyDescent="0.2">
      <c r="A4702" t="s">
        <v>769</v>
      </c>
      <c r="B4702" t="s">
        <v>386</v>
      </c>
      <c r="C4702" t="s">
        <v>407</v>
      </c>
      <c r="D4702">
        <v>6110</v>
      </c>
      <c r="E4702">
        <v>2020</v>
      </c>
      <c r="F4702">
        <v>7</v>
      </c>
      <c r="G4702">
        <v>14278</v>
      </c>
      <c r="H4702" s="1">
        <v>3</v>
      </c>
      <c r="I4702">
        <v>13</v>
      </c>
      <c r="J4702">
        <f>IF($H4702=0,1,IF($I4702&lt;=1,2,0))</f>
        <v>0</v>
      </c>
      <c r="K4702">
        <v>0</v>
      </c>
      <c r="L4702">
        <f>IF(AND($J4702=0,$K4702=0),0,1)</f>
        <v>0</v>
      </c>
    </row>
    <row r="4703" spans="1:12" x14ac:dyDescent="0.2">
      <c r="A4703" t="s">
        <v>769</v>
      </c>
      <c r="B4703" t="s">
        <v>386</v>
      </c>
      <c r="C4703" t="s">
        <v>407</v>
      </c>
      <c r="D4703">
        <v>6210</v>
      </c>
      <c r="E4703">
        <v>2020</v>
      </c>
      <c r="F4703">
        <v>7</v>
      </c>
      <c r="G4703">
        <v>17320</v>
      </c>
      <c r="H4703" s="1">
        <v>3</v>
      </c>
      <c r="I4703">
        <v>20</v>
      </c>
      <c r="J4703">
        <f>IF($H4703=0,1,IF($I4703&lt;=1,2,0))</f>
        <v>0</v>
      </c>
      <c r="K4703">
        <v>0</v>
      </c>
      <c r="L4703">
        <f>IF(AND($J4703=0,$K4703=0),0,1)</f>
        <v>0</v>
      </c>
    </row>
    <row r="4704" spans="1:12" x14ac:dyDescent="0.2">
      <c r="A4704" t="s">
        <v>769</v>
      </c>
      <c r="B4704" t="s">
        <v>386</v>
      </c>
      <c r="C4704" t="s">
        <v>407</v>
      </c>
      <c r="D4704">
        <v>6210</v>
      </c>
      <c r="E4704">
        <v>2020</v>
      </c>
      <c r="F4704">
        <v>1</v>
      </c>
      <c r="G4704">
        <v>14284</v>
      </c>
      <c r="H4704" s="1">
        <v>3</v>
      </c>
      <c r="I4704">
        <v>19</v>
      </c>
      <c r="J4704">
        <f>IF($H4704=0,1,IF($I4704&lt;=1,2,0))</f>
        <v>0</v>
      </c>
      <c r="K4704">
        <v>0</v>
      </c>
      <c r="L4704">
        <f>IF(AND($J4704=0,$K4704=0),0,1)</f>
        <v>0</v>
      </c>
    </row>
    <row r="4705" spans="1:12" x14ac:dyDescent="0.2">
      <c r="A4705" t="s">
        <v>769</v>
      </c>
      <c r="B4705" t="s">
        <v>386</v>
      </c>
      <c r="C4705" t="s">
        <v>407</v>
      </c>
      <c r="D4705">
        <v>6210</v>
      </c>
      <c r="E4705">
        <v>2020</v>
      </c>
      <c r="F4705">
        <v>6</v>
      </c>
      <c r="G4705">
        <v>14289</v>
      </c>
      <c r="H4705" s="1">
        <v>3</v>
      </c>
      <c r="I4705">
        <v>18</v>
      </c>
      <c r="J4705">
        <f>IF($H4705=0,1,IF($I4705&lt;=1,2,0))</f>
        <v>0</v>
      </c>
      <c r="K4705">
        <v>0</v>
      </c>
      <c r="L4705">
        <f>IF(AND($J4705=0,$K4705=0),0,1)</f>
        <v>0</v>
      </c>
    </row>
    <row r="4706" spans="1:12" x14ac:dyDescent="0.2">
      <c r="A4706" t="s">
        <v>769</v>
      </c>
      <c r="B4706" t="s">
        <v>386</v>
      </c>
      <c r="C4706" t="s">
        <v>407</v>
      </c>
      <c r="D4706">
        <v>6210</v>
      </c>
      <c r="E4706">
        <v>2020</v>
      </c>
      <c r="F4706">
        <v>3</v>
      </c>
      <c r="G4706">
        <v>14286</v>
      </c>
      <c r="H4706" s="1">
        <v>3</v>
      </c>
      <c r="I4706">
        <v>17</v>
      </c>
      <c r="J4706">
        <f>IF($H4706=0,1,IF($I4706&lt;=1,2,0))</f>
        <v>0</v>
      </c>
      <c r="K4706">
        <v>0</v>
      </c>
      <c r="L4706">
        <f>IF(AND($J4706=0,$K4706=0),0,1)</f>
        <v>0</v>
      </c>
    </row>
    <row r="4707" spans="1:12" x14ac:dyDescent="0.2">
      <c r="A4707" t="s">
        <v>769</v>
      </c>
      <c r="B4707" t="s">
        <v>386</v>
      </c>
      <c r="C4707" t="s">
        <v>407</v>
      </c>
      <c r="D4707">
        <v>6210</v>
      </c>
      <c r="E4707">
        <v>2020</v>
      </c>
      <c r="F4707">
        <v>5</v>
      </c>
      <c r="G4707">
        <v>14288</v>
      </c>
      <c r="H4707" s="1">
        <v>3</v>
      </c>
      <c r="I4707">
        <v>17</v>
      </c>
      <c r="J4707">
        <f>IF($H4707=0,1,IF($I4707&lt;=1,2,0))</f>
        <v>0</v>
      </c>
      <c r="K4707">
        <v>0</v>
      </c>
      <c r="L4707">
        <f>IF(AND($J4707=0,$K4707=0),0,1)</f>
        <v>0</v>
      </c>
    </row>
    <row r="4708" spans="1:12" x14ac:dyDescent="0.2">
      <c r="A4708" t="s">
        <v>769</v>
      </c>
      <c r="B4708" t="s">
        <v>386</v>
      </c>
      <c r="C4708" t="s">
        <v>407</v>
      </c>
      <c r="D4708">
        <v>6210</v>
      </c>
      <c r="E4708">
        <v>2020</v>
      </c>
      <c r="F4708">
        <v>4</v>
      </c>
      <c r="G4708">
        <v>14287</v>
      </c>
      <c r="H4708" s="1">
        <v>3</v>
      </c>
      <c r="I4708">
        <v>16</v>
      </c>
      <c r="J4708">
        <f>IF($H4708=0,1,IF($I4708&lt;=1,2,0))</f>
        <v>0</v>
      </c>
      <c r="K4708">
        <v>0</v>
      </c>
      <c r="L4708">
        <f>IF(AND($J4708=0,$K4708=0),0,1)</f>
        <v>0</v>
      </c>
    </row>
    <row r="4709" spans="1:12" x14ac:dyDescent="0.2">
      <c r="A4709" t="s">
        <v>769</v>
      </c>
      <c r="B4709" t="s">
        <v>386</v>
      </c>
      <c r="C4709" t="s">
        <v>407</v>
      </c>
      <c r="D4709">
        <v>6310</v>
      </c>
      <c r="E4709">
        <v>2020</v>
      </c>
      <c r="F4709">
        <v>1</v>
      </c>
      <c r="G4709">
        <v>14290</v>
      </c>
      <c r="H4709" s="1">
        <v>3</v>
      </c>
      <c r="I4709">
        <v>21</v>
      </c>
      <c r="J4709">
        <f>IF($H4709=0,1,IF($I4709&lt;=1,2,0))</f>
        <v>0</v>
      </c>
      <c r="K4709">
        <v>0</v>
      </c>
      <c r="L4709">
        <f>IF(AND($J4709=0,$K4709=0),0,1)</f>
        <v>0</v>
      </c>
    </row>
    <row r="4710" spans="1:12" x14ac:dyDescent="0.2">
      <c r="A4710" t="s">
        <v>769</v>
      </c>
      <c r="B4710" t="s">
        <v>386</v>
      </c>
      <c r="C4710" t="s">
        <v>407</v>
      </c>
      <c r="D4710">
        <v>6310</v>
      </c>
      <c r="E4710">
        <v>2020</v>
      </c>
      <c r="F4710">
        <v>3</v>
      </c>
      <c r="G4710">
        <v>14292</v>
      </c>
      <c r="H4710" s="1">
        <v>3</v>
      </c>
      <c r="I4710">
        <v>17</v>
      </c>
      <c r="J4710">
        <f>IF($H4710=0,1,IF($I4710&lt;=1,2,0))</f>
        <v>0</v>
      </c>
      <c r="K4710">
        <v>0</v>
      </c>
      <c r="L4710">
        <f>IF(AND($J4710=0,$K4710=0),0,1)</f>
        <v>0</v>
      </c>
    </row>
    <row r="4711" spans="1:12" x14ac:dyDescent="0.2">
      <c r="A4711" t="s">
        <v>769</v>
      </c>
      <c r="B4711" t="s">
        <v>386</v>
      </c>
      <c r="C4711" t="s">
        <v>407</v>
      </c>
      <c r="D4711">
        <v>6310</v>
      </c>
      <c r="E4711">
        <v>2020</v>
      </c>
      <c r="F4711">
        <v>2</v>
      </c>
      <c r="G4711">
        <v>14291</v>
      </c>
      <c r="H4711" s="1">
        <v>3</v>
      </c>
      <c r="I4711">
        <v>14</v>
      </c>
      <c r="J4711">
        <f>IF($H4711=0,1,IF($I4711&lt;=1,2,0))</f>
        <v>0</v>
      </c>
      <c r="K4711">
        <v>0</v>
      </c>
      <c r="L4711">
        <f>IF(AND($J4711=0,$K4711=0),0,1)</f>
        <v>0</v>
      </c>
    </row>
    <row r="4712" spans="1:12" x14ac:dyDescent="0.2">
      <c r="A4712" t="s">
        <v>769</v>
      </c>
      <c r="B4712" t="s">
        <v>386</v>
      </c>
      <c r="C4712" t="s">
        <v>34</v>
      </c>
      <c r="D4712">
        <v>6400</v>
      </c>
      <c r="E4712">
        <v>2020</v>
      </c>
      <c r="F4712">
        <v>1</v>
      </c>
      <c r="G4712">
        <v>14293</v>
      </c>
      <c r="H4712" s="1">
        <v>3</v>
      </c>
      <c r="I4712">
        <v>12</v>
      </c>
      <c r="J4712">
        <f>IF($H4712=0,1,IF($I4712&lt;=1,2,0))</f>
        <v>0</v>
      </c>
      <c r="K4712">
        <v>0</v>
      </c>
      <c r="L4712">
        <f>IF(AND($J4712=0,$K4712=0),0,1)</f>
        <v>0</v>
      </c>
    </row>
    <row r="4713" spans="1:12" x14ac:dyDescent="0.2">
      <c r="A4713" t="s">
        <v>769</v>
      </c>
      <c r="B4713" t="s">
        <v>386</v>
      </c>
      <c r="C4713" t="s">
        <v>34</v>
      </c>
      <c r="D4713">
        <v>6400</v>
      </c>
      <c r="E4713">
        <v>2020</v>
      </c>
      <c r="F4713">
        <v>2</v>
      </c>
      <c r="G4713">
        <v>14294</v>
      </c>
      <c r="H4713" s="1">
        <v>3</v>
      </c>
      <c r="I4713">
        <v>11</v>
      </c>
      <c r="J4713">
        <f>IF($H4713=0,1,IF($I4713&lt;=1,2,0))</f>
        <v>0</v>
      </c>
      <c r="K4713">
        <v>0</v>
      </c>
      <c r="L4713">
        <f>IF(AND($J4713=0,$K4713=0),0,1)</f>
        <v>0</v>
      </c>
    </row>
    <row r="4714" spans="1:12" x14ac:dyDescent="0.2">
      <c r="A4714" t="s">
        <v>769</v>
      </c>
      <c r="B4714" t="s">
        <v>386</v>
      </c>
      <c r="C4714" t="s">
        <v>407</v>
      </c>
      <c r="D4714">
        <v>6410</v>
      </c>
      <c r="E4714">
        <v>2020</v>
      </c>
      <c r="F4714">
        <v>1</v>
      </c>
      <c r="G4714">
        <v>14295</v>
      </c>
      <c r="H4714" s="1">
        <v>3</v>
      </c>
      <c r="I4714">
        <v>12</v>
      </c>
      <c r="J4714">
        <f>IF($H4714=0,1,IF($I4714&lt;=1,2,0))</f>
        <v>0</v>
      </c>
      <c r="K4714">
        <v>0</v>
      </c>
      <c r="L4714">
        <f>IF(AND($J4714=0,$K4714=0),0,1)</f>
        <v>0</v>
      </c>
    </row>
    <row r="4715" spans="1:12" x14ac:dyDescent="0.2">
      <c r="A4715" t="s">
        <v>769</v>
      </c>
      <c r="B4715" t="s">
        <v>386</v>
      </c>
      <c r="C4715" t="s">
        <v>407</v>
      </c>
      <c r="D4715">
        <v>6510</v>
      </c>
      <c r="E4715">
        <v>2020</v>
      </c>
      <c r="F4715">
        <v>1</v>
      </c>
      <c r="G4715">
        <v>14296</v>
      </c>
      <c r="H4715" s="1">
        <v>3</v>
      </c>
      <c r="I4715">
        <v>48</v>
      </c>
      <c r="J4715">
        <f>IF($H4715=0,1,IF($I4715&lt;=1,2,0))</f>
        <v>0</v>
      </c>
      <c r="K4715">
        <v>0</v>
      </c>
      <c r="L4715">
        <f>IF(AND($J4715=0,$K4715=0),0,1)</f>
        <v>0</v>
      </c>
    </row>
    <row r="4716" spans="1:12" x14ac:dyDescent="0.2">
      <c r="A4716" t="s">
        <v>769</v>
      </c>
      <c r="B4716" t="s">
        <v>386</v>
      </c>
      <c r="C4716" t="s">
        <v>407</v>
      </c>
      <c r="D4716">
        <v>6520</v>
      </c>
      <c r="E4716">
        <v>2020</v>
      </c>
      <c r="F4716">
        <v>1</v>
      </c>
      <c r="G4716">
        <v>14297</v>
      </c>
      <c r="H4716" s="1">
        <v>3</v>
      </c>
      <c r="I4716">
        <v>26</v>
      </c>
      <c r="J4716">
        <f>IF($H4716=0,1,IF($I4716&lt;=1,2,0))</f>
        <v>0</v>
      </c>
      <c r="K4716">
        <v>0</v>
      </c>
      <c r="L4716">
        <f>IF(AND($J4716=0,$K4716=0),0,1)</f>
        <v>0</v>
      </c>
    </row>
    <row r="4717" spans="1:12" x14ac:dyDescent="0.2">
      <c r="A4717" t="s">
        <v>769</v>
      </c>
      <c r="B4717" t="s">
        <v>386</v>
      </c>
      <c r="C4717" t="s">
        <v>407</v>
      </c>
      <c r="D4717">
        <v>6530</v>
      </c>
      <c r="E4717">
        <v>2020</v>
      </c>
      <c r="F4717">
        <v>1</v>
      </c>
      <c r="G4717">
        <v>14298</v>
      </c>
      <c r="H4717" s="1">
        <v>3</v>
      </c>
      <c r="I4717">
        <v>32</v>
      </c>
      <c r="J4717">
        <f>IF($H4717=0,1,IF($I4717&lt;=1,2,0))</f>
        <v>0</v>
      </c>
      <c r="K4717">
        <v>0</v>
      </c>
      <c r="L4717">
        <f>IF(AND($J4717=0,$K4717=0),0,1)</f>
        <v>0</v>
      </c>
    </row>
    <row r="4718" spans="1:12" x14ac:dyDescent="0.2">
      <c r="A4718" t="s">
        <v>769</v>
      </c>
      <c r="B4718" t="s">
        <v>386</v>
      </c>
      <c r="C4718" t="s">
        <v>34</v>
      </c>
      <c r="D4718">
        <v>6610</v>
      </c>
      <c r="E4718">
        <v>2020</v>
      </c>
      <c r="F4718">
        <v>10</v>
      </c>
      <c r="G4718">
        <v>23311</v>
      </c>
      <c r="H4718" s="1">
        <v>1.5</v>
      </c>
      <c r="I4718">
        <v>18</v>
      </c>
      <c r="J4718">
        <f>IF($H4718=0,1,IF($I4718&lt;=1,2,0))</f>
        <v>0</v>
      </c>
      <c r="K4718">
        <v>0</v>
      </c>
      <c r="L4718">
        <f>IF(AND($J4718=0,$K4718=0),0,1)</f>
        <v>0</v>
      </c>
    </row>
    <row r="4719" spans="1:12" x14ac:dyDescent="0.2">
      <c r="A4719" t="s">
        <v>769</v>
      </c>
      <c r="B4719" t="s">
        <v>386</v>
      </c>
      <c r="C4719" t="s">
        <v>34</v>
      </c>
      <c r="D4719">
        <v>6610</v>
      </c>
      <c r="E4719">
        <v>2020</v>
      </c>
      <c r="F4719">
        <v>11</v>
      </c>
      <c r="G4719">
        <v>23312</v>
      </c>
      <c r="H4719" s="1">
        <v>1.5</v>
      </c>
      <c r="I4719">
        <v>18</v>
      </c>
      <c r="J4719">
        <f>IF($H4719=0,1,IF($I4719&lt;=1,2,0))</f>
        <v>0</v>
      </c>
      <c r="K4719">
        <v>0</v>
      </c>
      <c r="L4719">
        <f>IF(AND($J4719=0,$K4719=0),0,1)</f>
        <v>0</v>
      </c>
    </row>
    <row r="4720" spans="1:12" x14ac:dyDescent="0.2">
      <c r="A4720" t="s">
        <v>769</v>
      </c>
      <c r="B4720" t="s">
        <v>386</v>
      </c>
      <c r="C4720" t="s">
        <v>34</v>
      </c>
      <c r="D4720">
        <v>6610</v>
      </c>
      <c r="E4720">
        <v>2020</v>
      </c>
      <c r="F4720">
        <v>2</v>
      </c>
      <c r="G4720">
        <v>23303</v>
      </c>
      <c r="H4720" s="1">
        <v>1.5</v>
      </c>
      <c r="I4720">
        <v>16</v>
      </c>
      <c r="J4720">
        <f>IF($H4720=0,1,IF($I4720&lt;=1,2,0))</f>
        <v>0</v>
      </c>
      <c r="K4720">
        <v>0</v>
      </c>
      <c r="L4720">
        <f>IF(AND($J4720=0,$K4720=0),0,1)</f>
        <v>0</v>
      </c>
    </row>
    <row r="4721" spans="1:12" x14ac:dyDescent="0.2">
      <c r="A4721" t="s">
        <v>769</v>
      </c>
      <c r="B4721" t="s">
        <v>386</v>
      </c>
      <c r="C4721" t="s">
        <v>34</v>
      </c>
      <c r="D4721">
        <v>6610</v>
      </c>
      <c r="E4721">
        <v>2020</v>
      </c>
      <c r="F4721">
        <v>12</v>
      </c>
      <c r="G4721">
        <v>23313</v>
      </c>
      <c r="H4721" s="1">
        <v>1.5</v>
      </c>
      <c r="I4721">
        <v>16</v>
      </c>
      <c r="J4721">
        <f>IF($H4721=0,1,IF($I4721&lt;=1,2,0))</f>
        <v>0</v>
      </c>
      <c r="K4721">
        <v>0</v>
      </c>
      <c r="L4721">
        <f>IF(AND($J4721=0,$K4721=0),0,1)</f>
        <v>0</v>
      </c>
    </row>
    <row r="4722" spans="1:12" x14ac:dyDescent="0.2">
      <c r="A4722" t="s">
        <v>769</v>
      </c>
      <c r="B4722" t="s">
        <v>386</v>
      </c>
      <c r="C4722" t="s">
        <v>34</v>
      </c>
      <c r="D4722">
        <v>6610</v>
      </c>
      <c r="E4722">
        <v>2020</v>
      </c>
      <c r="F4722">
        <v>9</v>
      </c>
      <c r="G4722">
        <v>23310</v>
      </c>
      <c r="H4722" s="1">
        <v>1.5</v>
      </c>
      <c r="I4722">
        <v>15</v>
      </c>
      <c r="J4722">
        <f>IF($H4722=0,1,IF($I4722&lt;=1,2,0))</f>
        <v>0</v>
      </c>
      <c r="K4722">
        <v>0</v>
      </c>
      <c r="L4722">
        <f>IF(AND($J4722=0,$K4722=0),0,1)</f>
        <v>0</v>
      </c>
    </row>
    <row r="4723" spans="1:12" x14ac:dyDescent="0.2">
      <c r="A4723" t="s">
        <v>769</v>
      </c>
      <c r="B4723" t="s">
        <v>386</v>
      </c>
      <c r="C4723" t="s">
        <v>34</v>
      </c>
      <c r="D4723">
        <v>6610</v>
      </c>
      <c r="E4723">
        <v>2020</v>
      </c>
      <c r="F4723">
        <v>5</v>
      </c>
      <c r="G4723">
        <v>23306</v>
      </c>
      <c r="H4723" s="1">
        <v>1.5</v>
      </c>
      <c r="I4723">
        <v>14</v>
      </c>
      <c r="J4723">
        <f>IF($H4723=0,1,IF($I4723&lt;=1,2,0))</f>
        <v>0</v>
      </c>
      <c r="K4723">
        <v>0</v>
      </c>
      <c r="L4723">
        <f>IF(AND($J4723=0,$K4723=0),0,1)</f>
        <v>0</v>
      </c>
    </row>
    <row r="4724" spans="1:12" x14ac:dyDescent="0.2">
      <c r="A4724" t="s">
        <v>769</v>
      </c>
      <c r="B4724" t="s">
        <v>386</v>
      </c>
      <c r="C4724" t="s">
        <v>34</v>
      </c>
      <c r="D4724">
        <v>6610</v>
      </c>
      <c r="E4724">
        <v>2020</v>
      </c>
      <c r="F4724">
        <v>7</v>
      </c>
      <c r="G4724">
        <v>23308</v>
      </c>
      <c r="H4724" s="1">
        <v>1.5</v>
      </c>
      <c r="I4724">
        <v>14</v>
      </c>
      <c r="J4724">
        <f>IF($H4724=0,1,IF($I4724&lt;=1,2,0))</f>
        <v>0</v>
      </c>
      <c r="K4724">
        <v>0</v>
      </c>
      <c r="L4724">
        <f>IF(AND($J4724=0,$K4724=0),0,1)</f>
        <v>0</v>
      </c>
    </row>
    <row r="4725" spans="1:12" x14ac:dyDescent="0.2">
      <c r="A4725" t="s">
        <v>769</v>
      </c>
      <c r="B4725" t="s">
        <v>386</v>
      </c>
      <c r="C4725" t="s">
        <v>34</v>
      </c>
      <c r="D4725">
        <v>6610</v>
      </c>
      <c r="E4725">
        <v>2020</v>
      </c>
      <c r="F4725">
        <v>3</v>
      </c>
      <c r="G4725">
        <v>23304</v>
      </c>
      <c r="H4725" s="1">
        <v>1.5</v>
      </c>
      <c r="I4725">
        <v>13</v>
      </c>
      <c r="J4725">
        <f>IF($H4725=0,1,IF($I4725&lt;=1,2,0))</f>
        <v>0</v>
      </c>
      <c r="K4725">
        <v>0</v>
      </c>
      <c r="L4725">
        <f>IF(AND($J4725=0,$K4725=0),0,1)</f>
        <v>0</v>
      </c>
    </row>
    <row r="4726" spans="1:12" x14ac:dyDescent="0.2">
      <c r="A4726" t="s">
        <v>769</v>
      </c>
      <c r="B4726" t="s">
        <v>386</v>
      </c>
      <c r="C4726" t="s">
        <v>34</v>
      </c>
      <c r="D4726">
        <v>6610</v>
      </c>
      <c r="E4726">
        <v>2020</v>
      </c>
      <c r="F4726">
        <v>4</v>
      </c>
      <c r="G4726">
        <v>23305</v>
      </c>
      <c r="H4726" s="1">
        <v>1.5</v>
      </c>
      <c r="I4726">
        <v>13</v>
      </c>
      <c r="J4726">
        <f>IF($H4726=0,1,IF($I4726&lt;=1,2,0))</f>
        <v>0</v>
      </c>
      <c r="K4726">
        <v>0</v>
      </c>
      <c r="L4726">
        <f>IF(AND($J4726=0,$K4726=0),0,1)</f>
        <v>0</v>
      </c>
    </row>
    <row r="4727" spans="1:12" x14ac:dyDescent="0.2">
      <c r="A4727" t="s">
        <v>769</v>
      </c>
      <c r="B4727" t="s">
        <v>386</v>
      </c>
      <c r="C4727" t="s">
        <v>34</v>
      </c>
      <c r="D4727">
        <v>6610</v>
      </c>
      <c r="E4727">
        <v>2020</v>
      </c>
      <c r="F4727">
        <v>6</v>
      </c>
      <c r="G4727">
        <v>23307</v>
      </c>
      <c r="H4727" s="1">
        <v>1.5</v>
      </c>
      <c r="I4727">
        <v>13</v>
      </c>
      <c r="J4727">
        <f>IF($H4727=0,1,IF($I4727&lt;=1,2,0))</f>
        <v>0</v>
      </c>
      <c r="K4727">
        <v>0</v>
      </c>
      <c r="L4727">
        <f>IF(AND($J4727=0,$K4727=0),0,1)</f>
        <v>0</v>
      </c>
    </row>
    <row r="4728" spans="1:12" x14ac:dyDescent="0.2">
      <c r="A4728" t="s">
        <v>769</v>
      </c>
      <c r="B4728" t="s">
        <v>386</v>
      </c>
      <c r="C4728" t="s">
        <v>34</v>
      </c>
      <c r="D4728">
        <v>6610</v>
      </c>
      <c r="E4728">
        <v>2020</v>
      </c>
      <c r="F4728">
        <v>1</v>
      </c>
      <c r="G4728">
        <v>23302</v>
      </c>
      <c r="H4728" s="1">
        <v>1.5</v>
      </c>
      <c r="I4728">
        <v>11</v>
      </c>
      <c r="J4728">
        <f>IF($H4728=0,1,IF($I4728&lt;=1,2,0))</f>
        <v>0</v>
      </c>
      <c r="K4728">
        <v>0</v>
      </c>
      <c r="L4728">
        <f>IF(AND($J4728=0,$K4728=0),0,1)</f>
        <v>0</v>
      </c>
    </row>
    <row r="4729" spans="1:12" x14ac:dyDescent="0.2">
      <c r="A4729" t="s">
        <v>769</v>
      </c>
      <c r="B4729" t="s">
        <v>386</v>
      </c>
      <c r="C4729" t="s">
        <v>34</v>
      </c>
      <c r="D4729">
        <v>6610</v>
      </c>
      <c r="E4729">
        <v>2020</v>
      </c>
      <c r="F4729">
        <v>8</v>
      </c>
      <c r="G4729">
        <v>23309</v>
      </c>
      <c r="H4729" s="1">
        <v>1.5</v>
      </c>
      <c r="I4729">
        <v>10</v>
      </c>
      <c r="J4729">
        <f>IF($H4729=0,1,IF($I4729&lt;=1,2,0))</f>
        <v>0</v>
      </c>
      <c r="K4729">
        <v>0</v>
      </c>
      <c r="L4729">
        <f>IF(AND($J4729=0,$K4729=0),0,1)</f>
        <v>0</v>
      </c>
    </row>
    <row r="4730" spans="1:12" x14ac:dyDescent="0.2">
      <c r="A4730" t="s">
        <v>769</v>
      </c>
      <c r="B4730" t="s">
        <v>386</v>
      </c>
      <c r="C4730" t="s">
        <v>407</v>
      </c>
      <c r="D4730">
        <v>6611</v>
      </c>
      <c r="E4730">
        <v>2020</v>
      </c>
      <c r="F4730">
        <v>1</v>
      </c>
      <c r="G4730">
        <v>23314</v>
      </c>
      <c r="H4730" s="1">
        <v>1</v>
      </c>
      <c r="I4730">
        <v>18</v>
      </c>
      <c r="J4730">
        <f>IF($H4730=0,1,IF($I4730&lt;=1,2,0))</f>
        <v>0</v>
      </c>
      <c r="K4730">
        <v>0</v>
      </c>
      <c r="L4730">
        <f>IF(AND($J4730=0,$K4730=0),0,1)</f>
        <v>0</v>
      </c>
    </row>
    <row r="4731" spans="1:12" x14ac:dyDescent="0.2">
      <c r="A4731" t="s">
        <v>769</v>
      </c>
      <c r="B4731" t="s">
        <v>386</v>
      </c>
      <c r="C4731" t="s">
        <v>407</v>
      </c>
      <c r="D4731">
        <v>8200</v>
      </c>
      <c r="E4731">
        <v>2020</v>
      </c>
      <c r="F4731">
        <v>5</v>
      </c>
      <c r="G4731">
        <v>14303</v>
      </c>
      <c r="H4731" s="1">
        <v>9</v>
      </c>
      <c r="I4731">
        <v>11</v>
      </c>
      <c r="J4731">
        <f>IF($H4731=0,1,IF($I4731&lt;=1,2,0))</f>
        <v>0</v>
      </c>
      <c r="K4731">
        <v>0</v>
      </c>
      <c r="L4731">
        <f>IF(AND($J4731=0,$K4731=0),0,1)</f>
        <v>0</v>
      </c>
    </row>
    <row r="4732" spans="1:12" x14ac:dyDescent="0.2">
      <c r="A4732" t="s">
        <v>769</v>
      </c>
      <c r="B4732" t="s">
        <v>386</v>
      </c>
      <c r="C4732" t="s">
        <v>407</v>
      </c>
      <c r="D4732">
        <v>8200</v>
      </c>
      <c r="E4732">
        <v>2020</v>
      </c>
      <c r="F4732">
        <v>3</v>
      </c>
      <c r="G4732">
        <v>14301</v>
      </c>
      <c r="H4732" s="1">
        <v>9</v>
      </c>
      <c r="I4732">
        <v>10</v>
      </c>
      <c r="J4732">
        <f>IF($H4732=0,1,IF($I4732&lt;=1,2,0))</f>
        <v>0</v>
      </c>
      <c r="K4732">
        <v>0</v>
      </c>
      <c r="L4732">
        <f>IF(AND($J4732=0,$K4732=0),0,1)</f>
        <v>0</v>
      </c>
    </row>
    <row r="4733" spans="1:12" x14ac:dyDescent="0.2">
      <c r="A4733" t="s">
        <v>769</v>
      </c>
      <c r="B4733" t="s">
        <v>386</v>
      </c>
      <c r="C4733" t="s">
        <v>407</v>
      </c>
      <c r="D4733">
        <v>8200</v>
      </c>
      <c r="E4733">
        <v>2020</v>
      </c>
      <c r="F4733">
        <v>1</v>
      </c>
      <c r="G4733">
        <v>14299</v>
      </c>
      <c r="H4733" s="1">
        <v>9</v>
      </c>
      <c r="I4733">
        <v>8</v>
      </c>
      <c r="J4733">
        <f>IF($H4733=0,1,IF($I4733&lt;=1,2,0))</f>
        <v>0</v>
      </c>
      <c r="K4733">
        <v>0</v>
      </c>
      <c r="L4733">
        <f>IF(AND($J4733=0,$K4733=0),0,1)</f>
        <v>0</v>
      </c>
    </row>
    <row r="4734" spans="1:12" x14ac:dyDescent="0.2">
      <c r="A4734" t="s">
        <v>769</v>
      </c>
      <c r="B4734" t="s">
        <v>386</v>
      </c>
      <c r="C4734" t="s">
        <v>407</v>
      </c>
      <c r="D4734">
        <v>8200</v>
      </c>
      <c r="E4734">
        <v>2020</v>
      </c>
      <c r="F4734">
        <v>4</v>
      </c>
      <c r="G4734">
        <v>14302</v>
      </c>
      <c r="H4734" s="1">
        <v>9</v>
      </c>
      <c r="I4734">
        <v>6</v>
      </c>
      <c r="J4734">
        <f>IF($H4734=0,1,IF($I4734&lt;=1,2,0))</f>
        <v>0</v>
      </c>
      <c r="K4734">
        <v>0</v>
      </c>
      <c r="L4734">
        <f>IF(AND($J4734=0,$K4734=0),0,1)</f>
        <v>0</v>
      </c>
    </row>
    <row r="4735" spans="1:12" x14ac:dyDescent="0.2">
      <c r="A4735" t="s">
        <v>771</v>
      </c>
      <c r="B4735" t="s">
        <v>17</v>
      </c>
      <c r="C4735" t="s">
        <v>9</v>
      </c>
      <c r="D4735">
        <v>1101</v>
      </c>
      <c r="E4735">
        <v>2020</v>
      </c>
      <c r="F4735">
        <v>1</v>
      </c>
      <c r="G4735">
        <v>13338</v>
      </c>
      <c r="H4735" s="1">
        <v>4</v>
      </c>
      <c r="I4735">
        <v>7</v>
      </c>
      <c r="J4735">
        <f>IF($H4735=0,1,IF($I4735&lt;=1,2,0))</f>
        <v>0</v>
      </c>
      <c r="K4735">
        <v>0</v>
      </c>
      <c r="L4735">
        <f>IF(AND($J4735=0,$K4735=0),0,1)</f>
        <v>0</v>
      </c>
    </row>
    <row r="4736" spans="1:12" x14ac:dyDescent="0.2">
      <c r="A4736" t="s">
        <v>771</v>
      </c>
      <c r="B4736" t="s">
        <v>17</v>
      </c>
      <c r="C4736" t="s">
        <v>9</v>
      </c>
      <c r="D4736">
        <v>1102</v>
      </c>
      <c r="E4736">
        <v>2020</v>
      </c>
      <c r="F4736">
        <v>1</v>
      </c>
      <c r="G4736">
        <v>13339</v>
      </c>
      <c r="H4736" s="1">
        <v>4</v>
      </c>
      <c r="I4736">
        <v>5</v>
      </c>
      <c r="J4736">
        <f>IF($H4736=0,1,IF($I4736&lt;=1,2,0))</f>
        <v>0</v>
      </c>
      <c r="K4736">
        <v>0</v>
      </c>
      <c r="L4736">
        <f>IF(AND($J4736=0,$K4736=0),0,1)</f>
        <v>0</v>
      </c>
    </row>
    <row r="4737" spans="1:13" x14ac:dyDescent="0.2">
      <c r="A4737" t="s">
        <v>772</v>
      </c>
      <c r="B4737" t="s">
        <v>17</v>
      </c>
      <c r="C4737" t="s">
        <v>9</v>
      </c>
      <c r="D4737">
        <v>1101</v>
      </c>
      <c r="E4737">
        <v>2020</v>
      </c>
      <c r="F4737">
        <v>1</v>
      </c>
      <c r="G4737">
        <v>11972</v>
      </c>
      <c r="H4737" s="1">
        <v>4</v>
      </c>
      <c r="I4737">
        <v>4</v>
      </c>
      <c r="J4737">
        <f>IF($H4737=0,1,IF($I4737&lt;=1,2,0))</f>
        <v>0</v>
      </c>
      <c r="K4737">
        <v>0</v>
      </c>
      <c r="L4737">
        <f>IF(AND($J4737=0,$K4737=0),0,1)</f>
        <v>0</v>
      </c>
      <c r="M4737" t="s">
        <v>1307</v>
      </c>
    </row>
    <row r="4738" spans="1:13" x14ac:dyDescent="0.2">
      <c r="A4738" t="s">
        <v>772</v>
      </c>
      <c r="B4738" t="s">
        <v>17</v>
      </c>
      <c r="C4738" t="s">
        <v>9</v>
      </c>
      <c r="D4738">
        <v>2101</v>
      </c>
      <c r="E4738">
        <v>2020</v>
      </c>
      <c r="F4738">
        <v>1</v>
      </c>
      <c r="G4738">
        <v>11973</v>
      </c>
      <c r="H4738" s="1">
        <v>4</v>
      </c>
      <c r="I4738">
        <v>7</v>
      </c>
      <c r="J4738">
        <f>IF($H4738=0,1,IF($I4738&lt;=1,2,0))</f>
        <v>0</v>
      </c>
      <c r="K4738">
        <v>0</v>
      </c>
      <c r="L4738">
        <f>IF(AND($J4738=0,$K4738=0),0,1)</f>
        <v>0</v>
      </c>
      <c r="M4738" t="s">
        <v>773</v>
      </c>
    </row>
    <row r="4739" spans="1:13" x14ac:dyDescent="0.2">
      <c r="A4739" t="s">
        <v>5</v>
      </c>
      <c r="B4739" t="s">
        <v>6</v>
      </c>
      <c r="C4739" t="s">
        <v>7</v>
      </c>
      <c r="D4739">
        <v>1001</v>
      </c>
      <c r="E4739">
        <v>2021</v>
      </c>
      <c r="F4739">
        <v>1</v>
      </c>
      <c r="G4739">
        <v>13587</v>
      </c>
      <c r="H4739" s="1">
        <v>4</v>
      </c>
      <c r="I4739">
        <v>39</v>
      </c>
      <c r="J4739">
        <f>IF($H4739=0,1,IF($I4739&lt;=1,2,0))</f>
        <v>0</v>
      </c>
      <c r="K4739">
        <v>0</v>
      </c>
      <c r="L4739">
        <f>IF(AND($J4739=0,$K4739=0),0,1)</f>
        <v>0</v>
      </c>
    </row>
    <row r="4740" spans="1:13" x14ac:dyDescent="0.2">
      <c r="A4740" t="s">
        <v>5</v>
      </c>
      <c r="B4740" t="s">
        <v>6</v>
      </c>
      <c r="C4740" t="s">
        <v>9</v>
      </c>
      <c r="D4740">
        <v>3030</v>
      </c>
      <c r="E4740">
        <v>2021</v>
      </c>
      <c r="F4740">
        <v>1</v>
      </c>
      <c r="G4740">
        <v>13588</v>
      </c>
      <c r="H4740" s="1">
        <v>3</v>
      </c>
      <c r="I4740">
        <v>16</v>
      </c>
      <c r="J4740">
        <f>IF($H4740=0,1,IF($I4740&lt;=1,2,0))</f>
        <v>0</v>
      </c>
      <c r="K4740">
        <v>0</v>
      </c>
      <c r="L4740">
        <f>IF(AND($J4740=0,$K4740=0),0,1)</f>
        <v>0</v>
      </c>
    </row>
    <row r="4741" spans="1:13" x14ac:dyDescent="0.2">
      <c r="A4741" t="s">
        <v>5</v>
      </c>
      <c r="B4741" t="s">
        <v>6</v>
      </c>
      <c r="C4741" t="s">
        <v>7</v>
      </c>
      <c r="D4741">
        <v>3930</v>
      </c>
      <c r="E4741">
        <v>2021</v>
      </c>
      <c r="F4741">
        <v>1</v>
      </c>
      <c r="G4741">
        <v>13589</v>
      </c>
      <c r="H4741" s="1">
        <v>4</v>
      </c>
      <c r="I4741">
        <v>9</v>
      </c>
      <c r="J4741">
        <f>IF($H4741=0,1,IF($I4741&lt;=1,2,0))</f>
        <v>0</v>
      </c>
      <c r="K4741">
        <v>0</v>
      </c>
      <c r="L4741">
        <f>IF(AND($J4741=0,$K4741=0),0,1)</f>
        <v>0</v>
      </c>
      <c r="M4741" t="s">
        <v>1310</v>
      </c>
    </row>
    <row r="4742" spans="1:13" x14ac:dyDescent="0.2">
      <c r="A4742" t="s">
        <v>5</v>
      </c>
      <c r="B4742" t="s">
        <v>6</v>
      </c>
      <c r="C4742" t="s">
        <v>9</v>
      </c>
      <c r="D4742">
        <v>3943</v>
      </c>
      <c r="E4742">
        <v>2021</v>
      </c>
      <c r="F4742">
        <v>1</v>
      </c>
      <c r="G4742">
        <v>15049</v>
      </c>
      <c r="H4742" s="1">
        <v>4</v>
      </c>
      <c r="I4742">
        <v>16</v>
      </c>
      <c r="J4742">
        <f>IF($H4742=0,1,IF($I4742&lt;=1,2,0))</f>
        <v>0</v>
      </c>
      <c r="K4742">
        <v>0</v>
      </c>
      <c r="L4742">
        <f>IF(AND($J4742=0,$K4742=0),0,1)</f>
        <v>0</v>
      </c>
      <c r="M4742" t="s">
        <v>1311</v>
      </c>
    </row>
    <row r="4743" spans="1:13" x14ac:dyDescent="0.2">
      <c r="A4743" t="s">
        <v>5</v>
      </c>
      <c r="B4743" t="s">
        <v>6</v>
      </c>
      <c r="C4743" t="s">
        <v>11</v>
      </c>
      <c r="D4743">
        <v>4080</v>
      </c>
      <c r="E4743">
        <v>2021</v>
      </c>
      <c r="F4743">
        <v>3</v>
      </c>
      <c r="G4743">
        <v>18004</v>
      </c>
      <c r="H4743" s="1">
        <v>4</v>
      </c>
      <c r="I4743">
        <v>8</v>
      </c>
      <c r="J4743">
        <f>IF($H4743=0,1,IF($I4743&lt;=1,2,0))</f>
        <v>0</v>
      </c>
      <c r="K4743">
        <v>0</v>
      </c>
      <c r="L4743">
        <f>IF(AND($J4743=0,$K4743=0),0,1)</f>
        <v>0</v>
      </c>
      <c r="M4743" t="s">
        <v>1312</v>
      </c>
    </row>
    <row r="4744" spans="1:13" x14ac:dyDescent="0.2">
      <c r="A4744" t="s">
        <v>5</v>
      </c>
      <c r="B4744" t="s">
        <v>6</v>
      </c>
      <c r="C4744" t="s">
        <v>11</v>
      </c>
      <c r="D4744">
        <v>4080</v>
      </c>
      <c r="E4744">
        <v>2021</v>
      </c>
      <c r="F4744">
        <v>2</v>
      </c>
      <c r="G4744">
        <v>15667</v>
      </c>
      <c r="H4744" s="1">
        <v>4</v>
      </c>
      <c r="I4744">
        <v>7</v>
      </c>
      <c r="J4744">
        <f>IF($H4744=0,1,IF($I4744&lt;=1,2,0))</f>
        <v>0</v>
      </c>
      <c r="K4744">
        <v>0</v>
      </c>
      <c r="L4744">
        <f>IF(AND($J4744=0,$K4744=0),0,1)</f>
        <v>0</v>
      </c>
      <c r="M4744" t="s">
        <v>2028</v>
      </c>
    </row>
    <row r="4745" spans="1:13" x14ac:dyDescent="0.2">
      <c r="A4745" t="s">
        <v>5</v>
      </c>
      <c r="B4745" t="s">
        <v>6</v>
      </c>
      <c r="C4745" t="s">
        <v>11</v>
      </c>
      <c r="D4745">
        <v>4080</v>
      </c>
      <c r="E4745">
        <v>2021</v>
      </c>
      <c r="F4745">
        <v>4</v>
      </c>
      <c r="G4745">
        <v>18450</v>
      </c>
      <c r="H4745" s="1">
        <v>4</v>
      </c>
      <c r="I4745">
        <v>7</v>
      </c>
      <c r="J4745">
        <f>IF($H4745=0,1,IF($I4745&lt;=1,2,0))</f>
        <v>0</v>
      </c>
      <c r="K4745">
        <v>0</v>
      </c>
      <c r="L4745">
        <f>IF(AND($J4745=0,$K4745=0),0,1)</f>
        <v>0</v>
      </c>
      <c r="M4745" t="s">
        <v>1313</v>
      </c>
    </row>
    <row r="4746" spans="1:13" x14ac:dyDescent="0.2">
      <c r="A4746" t="s">
        <v>5</v>
      </c>
      <c r="B4746" t="s">
        <v>6</v>
      </c>
      <c r="C4746" t="s">
        <v>11</v>
      </c>
      <c r="D4746">
        <v>4080</v>
      </c>
      <c r="E4746">
        <v>2021</v>
      </c>
      <c r="F4746">
        <v>5</v>
      </c>
      <c r="G4746">
        <v>18456</v>
      </c>
      <c r="H4746" s="1">
        <v>4</v>
      </c>
      <c r="I4746">
        <v>3</v>
      </c>
      <c r="J4746">
        <f>IF($H4746=0,1,IF($I4746&lt;=1,2,0))</f>
        <v>0</v>
      </c>
      <c r="K4746">
        <v>0</v>
      </c>
      <c r="L4746">
        <f>IF(AND($J4746=0,$K4746=0),0,1)</f>
        <v>0</v>
      </c>
      <c r="M4746" t="s">
        <v>1314</v>
      </c>
    </row>
    <row r="4747" spans="1:13" x14ac:dyDescent="0.2">
      <c r="A4747" t="s">
        <v>5</v>
      </c>
      <c r="B4747" t="s">
        <v>6</v>
      </c>
      <c r="C4747" t="s">
        <v>11</v>
      </c>
      <c r="D4747">
        <v>4990</v>
      </c>
      <c r="E4747">
        <v>2021</v>
      </c>
      <c r="F4747">
        <v>1</v>
      </c>
      <c r="G4747">
        <v>18028</v>
      </c>
      <c r="H4747" s="1">
        <v>4</v>
      </c>
      <c r="I4747">
        <v>8</v>
      </c>
      <c r="J4747">
        <f>IF($H4747=0,1,IF($I4747&lt;=1,2,0))</f>
        <v>0</v>
      </c>
      <c r="K4747">
        <v>0</v>
      </c>
      <c r="L4747">
        <f>IF(AND($J4747=0,$K4747=0),0,1)</f>
        <v>0</v>
      </c>
      <c r="M4747" t="s">
        <v>2029</v>
      </c>
    </row>
    <row r="4748" spans="1:13" x14ac:dyDescent="0.2">
      <c r="A4748" t="s">
        <v>16</v>
      </c>
      <c r="B4748" t="s">
        <v>17</v>
      </c>
      <c r="C4748" t="s">
        <v>21</v>
      </c>
      <c r="D4748">
        <v>2412</v>
      </c>
      <c r="E4748">
        <v>2021</v>
      </c>
      <c r="F4748">
        <v>1</v>
      </c>
      <c r="G4748">
        <v>11276</v>
      </c>
      <c r="H4748" s="1">
        <v>3</v>
      </c>
      <c r="I4748">
        <v>56</v>
      </c>
      <c r="J4748">
        <f>IF($H4748=0,1,IF($I4748&lt;=1,2,0))</f>
        <v>0</v>
      </c>
      <c r="K4748">
        <v>0</v>
      </c>
      <c r="L4748">
        <f>IF(AND($J4748=0,$K4748=0),0,1)</f>
        <v>0</v>
      </c>
    </row>
    <row r="4749" spans="1:13" x14ac:dyDescent="0.2">
      <c r="A4749" t="s">
        <v>16</v>
      </c>
      <c r="B4749" t="s">
        <v>17</v>
      </c>
      <c r="C4749" t="s">
        <v>9</v>
      </c>
      <c r="D4749">
        <v>2415</v>
      </c>
      <c r="E4749">
        <v>2021</v>
      </c>
      <c r="F4749">
        <v>1</v>
      </c>
      <c r="G4749">
        <v>11560</v>
      </c>
      <c r="H4749" s="1">
        <v>3</v>
      </c>
      <c r="I4749">
        <v>16</v>
      </c>
      <c r="J4749">
        <f>IF($H4749=0,1,IF($I4749&lt;=1,2,0))</f>
        <v>0</v>
      </c>
      <c r="K4749">
        <v>0</v>
      </c>
      <c r="L4749">
        <f>IF(AND($J4749=0,$K4749=0),0,1)</f>
        <v>0</v>
      </c>
      <c r="M4749" t="s">
        <v>1319</v>
      </c>
    </row>
    <row r="4750" spans="1:13" x14ac:dyDescent="0.2">
      <c r="A4750" t="s">
        <v>16</v>
      </c>
      <c r="B4750" t="s">
        <v>17</v>
      </c>
      <c r="C4750" t="s">
        <v>9</v>
      </c>
      <c r="D4750">
        <v>2602</v>
      </c>
      <c r="E4750">
        <v>2021</v>
      </c>
      <c r="F4750">
        <v>1</v>
      </c>
      <c r="G4750">
        <v>11358</v>
      </c>
      <c r="H4750" s="1">
        <v>3</v>
      </c>
      <c r="I4750">
        <v>45</v>
      </c>
      <c r="J4750">
        <f>IF($H4750=0,1,IF($I4750&lt;=1,2,0))</f>
        <v>0</v>
      </c>
      <c r="K4750">
        <v>0</v>
      </c>
      <c r="L4750">
        <f>IF(AND($J4750=0,$K4750=0),0,1)</f>
        <v>0</v>
      </c>
    </row>
    <row r="4751" spans="1:13" x14ac:dyDescent="0.2">
      <c r="A4751" t="s">
        <v>16</v>
      </c>
      <c r="B4751" t="s">
        <v>17</v>
      </c>
      <c r="C4751" t="s">
        <v>9</v>
      </c>
      <c r="D4751">
        <v>3000</v>
      </c>
      <c r="E4751">
        <v>2021</v>
      </c>
      <c r="F4751">
        <v>1</v>
      </c>
      <c r="G4751">
        <v>12898</v>
      </c>
      <c r="H4751" s="1">
        <v>4</v>
      </c>
      <c r="I4751">
        <v>8</v>
      </c>
      <c r="J4751">
        <f>IF($H4751=0,1,IF($I4751&lt;=1,2,0))</f>
        <v>0</v>
      </c>
      <c r="K4751">
        <v>0</v>
      </c>
      <c r="L4751">
        <f>IF(AND($J4751=0,$K4751=0),0,1)</f>
        <v>0</v>
      </c>
      <c r="M4751" t="s">
        <v>1320</v>
      </c>
    </row>
    <row r="4752" spans="1:13" x14ac:dyDescent="0.2">
      <c r="A4752" t="s">
        <v>16</v>
      </c>
      <c r="B4752" t="s">
        <v>17</v>
      </c>
      <c r="C4752" t="s">
        <v>7</v>
      </c>
      <c r="D4752">
        <v>3002</v>
      </c>
      <c r="E4752">
        <v>2021</v>
      </c>
      <c r="F4752">
        <v>1</v>
      </c>
      <c r="G4752">
        <v>11359</v>
      </c>
      <c r="H4752" s="1">
        <v>3</v>
      </c>
      <c r="I4752">
        <v>6</v>
      </c>
      <c r="J4752">
        <f>IF($H4752=0,1,IF($I4752&lt;=1,2,0))</f>
        <v>0</v>
      </c>
      <c r="K4752">
        <v>0</v>
      </c>
      <c r="L4752">
        <f>IF(AND($J4752=0,$K4752=0),0,1)</f>
        <v>0</v>
      </c>
      <c r="M4752" t="s">
        <v>786</v>
      </c>
    </row>
    <row r="4753" spans="1:13" x14ac:dyDescent="0.2">
      <c r="A4753" t="s">
        <v>16</v>
      </c>
      <c r="B4753" t="s">
        <v>17</v>
      </c>
      <c r="C4753" t="s">
        <v>9</v>
      </c>
      <c r="D4753">
        <v>3017</v>
      </c>
      <c r="E4753">
        <v>2021</v>
      </c>
      <c r="F4753">
        <v>1</v>
      </c>
      <c r="G4753">
        <v>13798</v>
      </c>
      <c r="H4753" s="1">
        <v>4</v>
      </c>
      <c r="I4753">
        <v>11</v>
      </c>
      <c r="J4753">
        <f>IF($H4753=0,1,IF($I4753&lt;=1,2,0))</f>
        <v>0</v>
      </c>
      <c r="K4753">
        <v>0</v>
      </c>
      <c r="L4753">
        <f>IF(AND($J4753=0,$K4753=0),0,1)</f>
        <v>0</v>
      </c>
      <c r="M4753" t="s">
        <v>1321</v>
      </c>
    </row>
    <row r="4754" spans="1:13" x14ac:dyDescent="0.2">
      <c r="A4754" t="s">
        <v>16</v>
      </c>
      <c r="B4754" t="s">
        <v>17</v>
      </c>
      <c r="C4754" t="s">
        <v>7</v>
      </c>
      <c r="D4754">
        <v>3413</v>
      </c>
      <c r="E4754">
        <v>2021</v>
      </c>
      <c r="F4754">
        <v>1</v>
      </c>
      <c r="G4754">
        <v>11362</v>
      </c>
      <c r="H4754" s="1">
        <v>4</v>
      </c>
      <c r="I4754">
        <v>5</v>
      </c>
      <c r="J4754">
        <f>IF($H4754=0,1,IF($I4754&lt;=1,2,0))</f>
        <v>0</v>
      </c>
      <c r="K4754">
        <v>0</v>
      </c>
      <c r="L4754">
        <f>IF(AND($J4754=0,$K4754=0),0,1)</f>
        <v>0</v>
      </c>
      <c r="M4754" t="s">
        <v>1329</v>
      </c>
    </row>
    <row r="4755" spans="1:13" x14ac:dyDescent="0.2">
      <c r="A4755" t="s">
        <v>16</v>
      </c>
      <c r="B4755" t="s">
        <v>17</v>
      </c>
      <c r="C4755" t="s">
        <v>9</v>
      </c>
      <c r="D4755">
        <v>3614</v>
      </c>
      <c r="E4755">
        <v>2021</v>
      </c>
      <c r="F4755">
        <v>1</v>
      </c>
      <c r="G4755">
        <v>13213</v>
      </c>
      <c r="H4755" s="1">
        <v>4</v>
      </c>
      <c r="I4755">
        <v>9</v>
      </c>
      <c r="J4755">
        <f>IF($H4755=0,1,IF($I4755&lt;=1,2,0))</f>
        <v>0</v>
      </c>
      <c r="K4755">
        <v>0</v>
      </c>
      <c r="L4755">
        <f>IF(AND($J4755=0,$K4755=0),0,1)</f>
        <v>0</v>
      </c>
      <c r="M4755" t="s">
        <v>1330</v>
      </c>
    </row>
    <row r="4756" spans="1:13" x14ac:dyDescent="0.2">
      <c r="A4756" t="s">
        <v>16</v>
      </c>
      <c r="B4756" t="s">
        <v>17</v>
      </c>
      <c r="C4756" t="s">
        <v>9</v>
      </c>
      <c r="D4756">
        <v>3615</v>
      </c>
      <c r="E4756">
        <v>2021</v>
      </c>
      <c r="F4756">
        <v>1</v>
      </c>
      <c r="G4756">
        <v>13930</v>
      </c>
      <c r="H4756" s="1">
        <v>4</v>
      </c>
      <c r="I4756">
        <v>11</v>
      </c>
      <c r="J4756">
        <f>IF($H4756=0,1,IF($I4756&lt;=1,2,0))</f>
        <v>0</v>
      </c>
      <c r="K4756">
        <v>0</v>
      </c>
      <c r="L4756">
        <f>IF(AND($J4756=0,$K4756=0),0,1)</f>
        <v>0</v>
      </c>
    </row>
    <row r="4757" spans="1:13" x14ac:dyDescent="0.2">
      <c r="A4757" t="s">
        <v>16</v>
      </c>
      <c r="B4757" t="s">
        <v>17</v>
      </c>
      <c r="C4757" t="s">
        <v>9</v>
      </c>
      <c r="D4757">
        <v>4110</v>
      </c>
      <c r="E4757">
        <v>2021</v>
      </c>
      <c r="F4757">
        <v>1</v>
      </c>
      <c r="G4757">
        <v>11278</v>
      </c>
      <c r="H4757" s="1">
        <v>3</v>
      </c>
      <c r="I4757">
        <v>44</v>
      </c>
      <c r="J4757">
        <f>IF($H4757=0,1,IF($I4757&lt;=1,2,0))</f>
        <v>0</v>
      </c>
      <c r="K4757">
        <v>0</v>
      </c>
      <c r="L4757">
        <f>IF(AND($J4757=0,$K4757=0),0,1)</f>
        <v>0</v>
      </c>
    </row>
    <row r="4758" spans="1:13" x14ac:dyDescent="0.2">
      <c r="A4758" t="s">
        <v>16</v>
      </c>
      <c r="B4758" t="s">
        <v>17</v>
      </c>
      <c r="C4758" t="s">
        <v>11</v>
      </c>
      <c r="D4758">
        <v>4503</v>
      </c>
      <c r="E4758">
        <v>2021</v>
      </c>
      <c r="F4758">
        <v>1</v>
      </c>
      <c r="G4758">
        <v>15073</v>
      </c>
      <c r="H4758" s="1">
        <v>4</v>
      </c>
      <c r="I4758">
        <v>18</v>
      </c>
      <c r="J4758">
        <f>IF($H4758=0,1,IF($I4758&lt;=1,2,0))</f>
        <v>0</v>
      </c>
      <c r="K4758">
        <v>0</v>
      </c>
      <c r="L4758">
        <f>IF(AND($J4758=0,$K4758=0),0,1)</f>
        <v>0</v>
      </c>
      <c r="M4758" t="s">
        <v>1335</v>
      </c>
    </row>
    <row r="4759" spans="1:13" x14ac:dyDescent="0.2">
      <c r="A4759" t="s">
        <v>16</v>
      </c>
      <c r="B4759" t="s">
        <v>17</v>
      </c>
      <c r="C4759" t="s">
        <v>9</v>
      </c>
      <c r="D4759">
        <v>4546</v>
      </c>
      <c r="E4759">
        <v>2021</v>
      </c>
      <c r="F4759">
        <v>1</v>
      </c>
      <c r="G4759">
        <v>11397</v>
      </c>
      <c r="H4759" s="1">
        <v>4</v>
      </c>
      <c r="I4759">
        <v>19</v>
      </c>
      <c r="J4759">
        <f>IF($H4759=0,1,IF($I4759&lt;=1,2,0))</f>
        <v>0</v>
      </c>
      <c r="K4759">
        <v>0</v>
      </c>
      <c r="L4759">
        <f>IF(AND($J4759=0,$K4759=0),0,1)</f>
        <v>0</v>
      </c>
      <c r="M4759" t="s">
        <v>1336</v>
      </c>
    </row>
    <row r="4760" spans="1:13" x14ac:dyDescent="0.2">
      <c r="A4760" t="s">
        <v>16</v>
      </c>
      <c r="B4760" t="s">
        <v>17</v>
      </c>
      <c r="C4760" t="s">
        <v>9</v>
      </c>
      <c r="D4760">
        <v>4727</v>
      </c>
      <c r="E4760">
        <v>2021</v>
      </c>
      <c r="F4760">
        <v>1</v>
      </c>
      <c r="G4760">
        <v>16465</v>
      </c>
      <c r="H4760" s="1">
        <v>4</v>
      </c>
      <c r="I4760">
        <v>15</v>
      </c>
      <c r="J4760">
        <f>IF($H4760=0,1,IF($I4760&lt;=1,2,0))</f>
        <v>0</v>
      </c>
      <c r="K4760">
        <v>0</v>
      </c>
      <c r="L4760">
        <f>IF(AND($J4760=0,$K4760=0),0,1)</f>
        <v>0</v>
      </c>
      <c r="M4760" t="s">
        <v>1337</v>
      </c>
    </row>
    <row r="4761" spans="1:13" x14ac:dyDescent="0.2">
      <c r="A4761" t="s">
        <v>16</v>
      </c>
      <c r="B4761" t="s">
        <v>17</v>
      </c>
      <c r="C4761" t="s">
        <v>11</v>
      </c>
      <c r="D4761">
        <v>6412</v>
      </c>
      <c r="E4761">
        <v>2021</v>
      </c>
      <c r="F4761">
        <v>1</v>
      </c>
      <c r="G4761">
        <v>16173</v>
      </c>
      <c r="H4761" s="1">
        <v>3</v>
      </c>
      <c r="I4761">
        <v>26</v>
      </c>
      <c r="J4761">
        <f>IF($H4761=0,1,IF($I4761&lt;=1,2,0))</f>
        <v>0</v>
      </c>
      <c r="K4761">
        <v>0</v>
      </c>
      <c r="L4761">
        <f>IF(AND($J4761=0,$K4761=0),0,1)</f>
        <v>0</v>
      </c>
    </row>
    <row r="4762" spans="1:13" x14ac:dyDescent="0.2">
      <c r="A4762" t="s">
        <v>16</v>
      </c>
      <c r="B4762" t="s">
        <v>17</v>
      </c>
      <c r="C4762" t="s">
        <v>11</v>
      </c>
      <c r="D4762">
        <v>6601</v>
      </c>
      <c r="E4762">
        <v>2021</v>
      </c>
      <c r="F4762">
        <v>1</v>
      </c>
      <c r="G4762">
        <v>13214</v>
      </c>
      <c r="H4762" s="1">
        <v>3</v>
      </c>
      <c r="I4762">
        <v>12</v>
      </c>
      <c r="J4762">
        <f>IF($H4762=0,1,IF($I4762&lt;=1,2,0))</f>
        <v>0</v>
      </c>
      <c r="K4762">
        <v>0</v>
      </c>
      <c r="L4762">
        <f>IF(AND($J4762=0,$K4762=0),0,1)</f>
        <v>0</v>
      </c>
    </row>
    <row r="4763" spans="1:13" x14ac:dyDescent="0.2">
      <c r="A4763" t="s">
        <v>16</v>
      </c>
      <c r="B4763" t="s">
        <v>17</v>
      </c>
      <c r="C4763" t="s">
        <v>11</v>
      </c>
      <c r="D4763">
        <v>8000</v>
      </c>
      <c r="E4763">
        <v>2021</v>
      </c>
      <c r="F4763">
        <v>1</v>
      </c>
      <c r="G4763">
        <v>11399</v>
      </c>
      <c r="H4763" s="1">
        <v>4</v>
      </c>
      <c r="I4763">
        <v>6</v>
      </c>
      <c r="J4763">
        <f>IF($H4763=0,1,IF($I4763&lt;=1,2,0))</f>
        <v>0</v>
      </c>
      <c r="K4763">
        <v>0</v>
      </c>
      <c r="L4763">
        <f>IF(AND($J4763=0,$K4763=0),0,1)</f>
        <v>0</v>
      </c>
      <c r="M4763" t="s">
        <v>807</v>
      </c>
    </row>
    <row r="4764" spans="1:13" x14ac:dyDescent="0.2">
      <c r="A4764" t="s">
        <v>16</v>
      </c>
      <c r="B4764" t="s">
        <v>17</v>
      </c>
      <c r="C4764" t="s">
        <v>11</v>
      </c>
      <c r="D4764">
        <v>8128</v>
      </c>
      <c r="E4764">
        <v>2021</v>
      </c>
      <c r="F4764">
        <v>1</v>
      </c>
      <c r="G4764">
        <v>18367</v>
      </c>
      <c r="H4764" s="1">
        <v>4</v>
      </c>
      <c r="I4764">
        <v>7</v>
      </c>
      <c r="J4764">
        <f>IF($H4764=0,1,IF($I4764&lt;=1,2,0))</f>
        <v>0</v>
      </c>
      <c r="K4764">
        <v>0</v>
      </c>
      <c r="L4764">
        <f>IF(AND($J4764=0,$K4764=0),0,1)</f>
        <v>0</v>
      </c>
      <c r="M4764" t="s">
        <v>1338</v>
      </c>
    </row>
    <row r="4765" spans="1:13" x14ac:dyDescent="0.2">
      <c r="A4765" t="s">
        <v>16</v>
      </c>
      <c r="B4765" t="s">
        <v>17</v>
      </c>
      <c r="C4765" t="s">
        <v>11</v>
      </c>
      <c r="D4765">
        <v>8366</v>
      </c>
      <c r="E4765">
        <v>2021</v>
      </c>
      <c r="F4765">
        <v>1</v>
      </c>
      <c r="G4765">
        <v>18760</v>
      </c>
      <c r="H4765" s="1">
        <v>4</v>
      </c>
      <c r="I4765">
        <v>11</v>
      </c>
      <c r="J4765">
        <f>IF($H4765=0,1,IF($I4765&lt;=1,2,0))</f>
        <v>0</v>
      </c>
      <c r="K4765">
        <v>0</v>
      </c>
      <c r="L4765">
        <f>IF(AND($J4765=0,$K4765=0),0,1)</f>
        <v>0</v>
      </c>
      <c r="M4765" t="s">
        <v>1339</v>
      </c>
    </row>
    <row r="4766" spans="1:13" x14ac:dyDescent="0.2">
      <c r="A4766" t="s">
        <v>16</v>
      </c>
      <c r="B4766" t="s">
        <v>17</v>
      </c>
      <c r="C4766" t="s">
        <v>11</v>
      </c>
      <c r="D4766">
        <v>8484</v>
      </c>
      <c r="E4766">
        <v>2021</v>
      </c>
      <c r="F4766">
        <v>1</v>
      </c>
      <c r="G4766">
        <v>11400</v>
      </c>
      <c r="H4766" s="1">
        <v>4</v>
      </c>
      <c r="I4766">
        <v>8</v>
      </c>
      <c r="J4766">
        <f>IF($H4766=0,1,IF($I4766&lt;=1,2,0))</f>
        <v>0</v>
      </c>
      <c r="K4766">
        <v>0</v>
      </c>
      <c r="L4766">
        <f>IF(AND($J4766=0,$K4766=0),0,1)</f>
        <v>0</v>
      </c>
      <c r="M4766" t="s">
        <v>1340</v>
      </c>
    </row>
    <row r="4767" spans="1:13" x14ac:dyDescent="0.2">
      <c r="A4767" t="s">
        <v>16</v>
      </c>
      <c r="B4767" t="s">
        <v>17</v>
      </c>
      <c r="C4767" t="s">
        <v>11</v>
      </c>
      <c r="D4767">
        <v>8497</v>
      </c>
      <c r="E4767">
        <v>2021</v>
      </c>
      <c r="F4767">
        <v>1</v>
      </c>
      <c r="G4767">
        <v>18856</v>
      </c>
      <c r="H4767" s="1">
        <v>4</v>
      </c>
      <c r="I4767">
        <v>9</v>
      </c>
      <c r="J4767">
        <f>IF($H4767=0,1,IF($I4767&lt;=1,2,0))</f>
        <v>0</v>
      </c>
      <c r="K4767">
        <v>0</v>
      </c>
      <c r="L4767">
        <f>IF(AND($J4767=0,$K4767=0),0,1)</f>
        <v>0</v>
      </c>
    </row>
    <row r="4768" spans="1:13" x14ac:dyDescent="0.2">
      <c r="A4768" t="s">
        <v>16</v>
      </c>
      <c r="B4768" t="s">
        <v>17</v>
      </c>
      <c r="C4768" t="s">
        <v>11</v>
      </c>
      <c r="D4768">
        <v>8656</v>
      </c>
      <c r="E4768">
        <v>2021</v>
      </c>
      <c r="F4768">
        <v>1</v>
      </c>
      <c r="G4768">
        <v>11401</v>
      </c>
      <c r="H4768" s="1">
        <v>4</v>
      </c>
      <c r="I4768">
        <v>11</v>
      </c>
      <c r="J4768">
        <f>IF($H4768=0,1,IF($I4768&lt;=1,2,0))</f>
        <v>0</v>
      </c>
      <c r="K4768">
        <v>0</v>
      </c>
      <c r="L4768">
        <f>IF(AND($J4768=0,$K4768=0),0,1)</f>
        <v>0</v>
      </c>
      <c r="M4768" t="s">
        <v>1341</v>
      </c>
    </row>
    <row r="4769" spans="1:13" x14ac:dyDescent="0.2">
      <c r="A4769" t="s">
        <v>16</v>
      </c>
      <c r="B4769" t="s">
        <v>17</v>
      </c>
      <c r="C4769" t="s">
        <v>11</v>
      </c>
      <c r="D4769">
        <v>8765</v>
      </c>
      <c r="E4769">
        <v>2021</v>
      </c>
      <c r="F4769">
        <v>1</v>
      </c>
      <c r="G4769">
        <v>15779</v>
      </c>
      <c r="H4769" s="1">
        <v>4</v>
      </c>
      <c r="I4769">
        <v>8</v>
      </c>
      <c r="J4769">
        <f>IF($H4769=0,1,IF($I4769&lt;=1,2,0))</f>
        <v>0</v>
      </c>
      <c r="K4769">
        <v>0</v>
      </c>
      <c r="L4769">
        <f>IF(AND($J4769=0,$K4769=0),0,1)</f>
        <v>0</v>
      </c>
      <c r="M4769" t="s">
        <v>1342</v>
      </c>
    </row>
    <row r="4770" spans="1:13" x14ac:dyDescent="0.2">
      <c r="A4770" t="s">
        <v>16</v>
      </c>
      <c r="B4770" t="s">
        <v>17</v>
      </c>
      <c r="C4770" t="s">
        <v>11</v>
      </c>
      <c r="D4770">
        <v>8803</v>
      </c>
      <c r="E4770">
        <v>2021</v>
      </c>
      <c r="F4770">
        <v>1</v>
      </c>
      <c r="G4770">
        <v>20129</v>
      </c>
      <c r="H4770" s="1">
        <v>4</v>
      </c>
      <c r="I4770">
        <v>9</v>
      </c>
      <c r="J4770">
        <f>IF($H4770=0,1,IF($I4770&lt;=1,2,0))</f>
        <v>0</v>
      </c>
      <c r="K4770">
        <v>0</v>
      </c>
      <c r="L4770">
        <f>IF(AND($J4770=0,$K4770=0),0,1)</f>
        <v>0</v>
      </c>
      <c r="M4770" t="s">
        <v>1343</v>
      </c>
    </row>
    <row r="4771" spans="1:13" x14ac:dyDescent="0.2">
      <c r="A4771" t="s">
        <v>40</v>
      </c>
      <c r="B4771" t="s">
        <v>17</v>
      </c>
      <c r="C4771" t="s">
        <v>21</v>
      </c>
      <c r="D4771">
        <v>3321</v>
      </c>
      <c r="E4771">
        <v>2021</v>
      </c>
      <c r="F4771">
        <v>1</v>
      </c>
      <c r="G4771">
        <v>10244</v>
      </c>
      <c r="H4771" s="1">
        <v>3</v>
      </c>
      <c r="I4771">
        <v>25</v>
      </c>
      <c r="J4771">
        <f>IF($H4771=0,1,IF($I4771&lt;=1,2,0))</f>
        <v>0</v>
      </c>
      <c r="K4771">
        <v>0</v>
      </c>
      <c r="L4771">
        <f>IF(AND($J4771=0,$K4771=0),0,1)</f>
        <v>0</v>
      </c>
      <c r="M4771" t="s">
        <v>41</v>
      </c>
    </row>
    <row r="4772" spans="1:13" x14ac:dyDescent="0.2">
      <c r="A4772" t="s">
        <v>40</v>
      </c>
      <c r="B4772" t="s">
        <v>17</v>
      </c>
      <c r="C4772" t="s">
        <v>21</v>
      </c>
      <c r="D4772">
        <v>3321</v>
      </c>
      <c r="E4772">
        <v>2021</v>
      </c>
      <c r="F4772">
        <v>3</v>
      </c>
      <c r="G4772">
        <v>10246</v>
      </c>
      <c r="H4772" s="1">
        <v>3</v>
      </c>
      <c r="I4772">
        <v>21</v>
      </c>
      <c r="J4772">
        <f>IF($H4772=0,1,IF($I4772&lt;=1,2,0))</f>
        <v>0</v>
      </c>
      <c r="K4772">
        <v>0</v>
      </c>
      <c r="L4772">
        <f>IF(AND($J4772=0,$K4772=0),0,1)</f>
        <v>0</v>
      </c>
    </row>
    <row r="4773" spans="1:13" x14ac:dyDescent="0.2">
      <c r="A4773" t="s">
        <v>40</v>
      </c>
      <c r="B4773" t="s">
        <v>17</v>
      </c>
      <c r="C4773" t="s">
        <v>21</v>
      </c>
      <c r="D4773">
        <v>3321</v>
      </c>
      <c r="E4773">
        <v>2021</v>
      </c>
      <c r="F4773">
        <v>2</v>
      </c>
      <c r="G4773">
        <v>10245</v>
      </c>
      <c r="H4773" s="1">
        <v>3</v>
      </c>
      <c r="I4773">
        <v>17</v>
      </c>
      <c r="J4773">
        <f>IF($H4773=0,1,IF($I4773&lt;=1,2,0))</f>
        <v>0</v>
      </c>
      <c r="K4773">
        <v>0</v>
      </c>
      <c r="L4773">
        <f>IF(AND($J4773=0,$K4773=0),0,1)</f>
        <v>0</v>
      </c>
    </row>
    <row r="4774" spans="1:13" x14ac:dyDescent="0.2">
      <c r="A4774" t="s">
        <v>40</v>
      </c>
      <c r="B4774" t="s">
        <v>17</v>
      </c>
      <c r="C4774" t="s">
        <v>21</v>
      </c>
      <c r="D4774">
        <v>3321</v>
      </c>
      <c r="E4774">
        <v>2021</v>
      </c>
      <c r="F4774">
        <v>4</v>
      </c>
      <c r="G4774">
        <v>10247</v>
      </c>
      <c r="H4774" s="1">
        <v>3</v>
      </c>
      <c r="I4774">
        <v>17</v>
      </c>
      <c r="J4774">
        <f>IF($H4774=0,1,IF($I4774&lt;=1,2,0))</f>
        <v>0</v>
      </c>
      <c r="K4774">
        <v>0</v>
      </c>
      <c r="L4774">
        <f>IF(AND($J4774=0,$K4774=0),0,1)</f>
        <v>0</v>
      </c>
    </row>
    <row r="4775" spans="1:13" x14ac:dyDescent="0.2">
      <c r="A4775" t="s">
        <v>42</v>
      </c>
      <c r="B4775" t="s">
        <v>17</v>
      </c>
      <c r="C4775" t="s">
        <v>21</v>
      </c>
      <c r="D4775">
        <v>1399</v>
      </c>
      <c r="E4775">
        <v>2021</v>
      </c>
      <c r="F4775">
        <v>2</v>
      </c>
      <c r="G4775">
        <v>387</v>
      </c>
      <c r="H4775" s="1">
        <v>4</v>
      </c>
      <c r="I4775">
        <v>17</v>
      </c>
      <c r="J4775">
        <f>IF($H4775=0,1,IF($I4775&lt;=1,2,0))</f>
        <v>0</v>
      </c>
      <c r="K4775">
        <v>0</v>
      </c>
      <c r="L4775">
        <f>IF(AND($J4775=0,$K4775=0),0,1)</f>
        <v>0</v>
      </c>
    </row>
    <row r="4776" spans="1:13" x14ac:dyDescent="0.2">
      <c r="A4776" t="s">
        <v>42</v>
      </c>
      <c r="B4776" t="s">
        <v>17</v>
      </c>
      <c r="C4776" t="s">
        <v>21</v>
      </c>
      <c r="D4776">
        <v>1399</v>
      </c>
      <c r="E4776">
        <v>2021</v>
      </c>
      <c r="F4776">
        <v>3</v>
      </c>
      <c r="G4776">
        <v>10511</v>
      </c>
      <c r="H4776" s="1">
        <v>4</v>
      </c>
      <c r="I4776">
        <v>12</v>
      </c>
      <c r="J4776">
        <f>IF($H4776=0,1,IF($I4776&lt;=1,2,0))</f>
        <v>0</v>
      </c>
      <c r="K4776">
        <v>0</v>
      </c>
      <c r="L4776">
        <f>IF(AND($J4776=0,$K4776=0),0,1)</f>
        <v>0</v>
      </c>
    </row>
    <row r="4777" spans="1:13" x14ac:dyDescent="0.2">
      <c r="A4777" t="s">
        <v>42</v>
      </c>
      <c r="B4777" t="s">
        <v>17</v>
      </c>
      <c r="C4777" t="s">
        <v>21</v>
      </c>
      <c r="D4777">
        <v>1399</v>
      </c>
      <c r="E4777">
        <v>2021</v>
      </c>
      <c r="F4777">
        <v>1</v>
      </c>
      <c r="G4777">
        <v>459</v>
      </c>
      <c r="H4777" s="1">
        <v>4</v>
      </c>
      <c r="I4777">
        <v>10</v>
      </c>
      <c r="J4777">
        <f>IF($H4777=0,1,IF($I4777&lt;=1,2,0))</f>
        <v>0</v>
      </c>
      <c r="K4777">
        <v>0</v>
      </c>
      <c r="L4777">
        <f>IF(AND($J4777=0,$K4777=0),0,1)</f>
        <v>0</v>
      </c>
    </row>
    <row r="4778" spans="1:13" x14ac:dyDescent="0.2">
      <c r="A4778" t="s">
        <v>42</v>
      </c>
      <c r="B4778" t="s">
        <v>17</v>
      </c>
      <c r="C4778" t="s">
        <v>21</v>
      </c>
      <c r="D4778">
        <v>1400</v>
      </c>
      <c r="E4778">
        <v>2021</v>
      </c>
      <c r="F4778">
        <v>2</v>
      </c>
      <c r="G4778">
        <v>10904</v>
      </c>
      <c r="H4778" s="1">
        <v>4</v>
      </c>
      <c r="I4778">
        <v>22</v>
      </c>
      <c r="J4778">
        <f>IF($H4778=0,1,IF($I4778&lt;=1,2,0))</f>
        <v>0</v>
      </c>
      <c r="K4778">
        <v>0</v>
      </c>
      <c r="L4778">
        <f>IF(AND($J4778=0,$K4778=0),0,1)</f>
        <v>0</v>
      </c>
    </row>
    <row r="4779" spans="1:13" x14ac:dyDescent="0.2">
      <c r="A4779" t="s">
        <v>42</v>
      </c>
      <c r="B4779" t="s">
        <v>17</v>
      </c>
      <c r="C4779" t="s">
        <v>21</v>
      </c>
      <c r="D4779">
        <v>1400</v>
      </c>
      <c r="E4779">
        <v>2021</v>
      </c>
      <c r="F4779">
        <v>1</v>
      </c>
      <c r="G4779">
        <v>386</v>
      </c>
      <c r="H4779" s="1">
        <v>4</v>
      </c>
      <c r="I4779">
        <v>21</v>
      </c>
      <c r="J4779">
        <f>IF($H4779=0,1,IF($I4779&lt;=1,2,0))</f>
        <v>0</v>
      </c>
      <c r="K4779">
        <v>0</v>
      </c>
      <c r="L4779">
        <f>IF(AND($J4779=0,$K4779=0),0,1)</f>
        <v>0</v>
      </c>
    </row>
    <row r="4780" spans="1:13" x14ac:dyDescent="0.2">
      <c r="A4780" t="s">
        <v>42</v>
      </c>
      <c r="B4780" t="s">
        <v>17</v>
      </c>
      <c r="C4780" t="s">
        <v>21</v>
      </c>
      <c r="D4780">
        <v>1400</v>
      </c>
      <c r="E4780">
        <v>2021</v>
      </c>
      <c r="F4780">
        <v>4</v>
      </c>
      <c r="G4780">
        <v>18666</v>
      </c>
      <c r="H4780" s="1">
        <v>4</v>
      </c>
      <c r="I4780">
        <v>20</v>
      </c>
      <c r="J4780">
        <f>IF($H4780=0,1,IF($I4780&lt;=1,2,0))</f>
        <v>0</v>
      </c>
      <c r="K4780">
        <v>0</v>
      </c>
      <c r="L4780">
        <f>IF(AND($J4780=0,$K4780=0),0,1)</f>
        <v>0</v>
      </c>
    </row>
    <row r="4781" spans="1:13" x14ac:dyDescent="0.2">
      <c r="A4781" t="s">
        <v>42</v>
      </c>
      <c r="B4781" t="s">
        <v>17</v>
      </c>
      <c r="C4781" t="s">
        <v>21</v>
      </c>
      <c r="D4781">
        <v>1400</v>
      </c>
      <c r="E4781">
        <v>2021</v>
      </c>
      <c r="F4781">
        <v>3</v>
      </c>
      <c r="G4781">
        <v>15694</v>
      </c>
      <c r="H4781" s="1">
        <v>4</v>
      </c>
      <c r="I4781">
        <v>19</v>
      </c>
      <c r="J4781">
        <f>IF($H4781=0,1,IF($I4781&lt;=1,2,0))</f>
        <v>0</v>
      </c>
      <c r="K4781">
        <v>0</v>
      </c>
      <c r="L4781">
        <f>IF(AND($J4781=0,$K4781=0),0,1)</f>
        <v>0</v>
      </c>
    </row>
    <row r="4782" spans="1:13" x14ac:dyDescent="0.2">
      <c r="A4782" t="s">
        <v>42</v>
      </c>
      <c r="B4782" t="s">
        <v>17</v>
      </c>
      <c r="C4782" t="s">
        <v>21</v>
      </c>
      <c r="D4782">
        <v>2604</v>
      </c>
      <c r="E4782">
        <v>2021</v>
      </c>
      <c r="F4782">
        <v>2</v>
      </c>
      <c r="G4782">
        <v>18161</v>
      </c>
      <c r="H4782" s="1">
        <v>3</v>
      </c>
      <c r="I4782">
        <v>23</v>
      </c>
      <c r="J4782">
        <f>IF($H4782=0,1,IF($I4782&lt;=1,2,0))</f>
        <v>0</v>
      </c>
      <c r="K4782">
        <v>0</v>
      </c>
      <c r="L4782">
        <f>IF(AND($J4782=0,$K4782=0),0,1)</f>
        <v>0</v>
      </c>
    </row>
    <row r="4783" spans="1:13" x14ac:dyDescent="0.2">
      <c r="A4783" t="s">
        <v>42</v>
      </c>
      <c r="B4783" t="s">
        <v>17</v>
      </c>
      <c r="C4783" t="s">
        <v>21</v>
      </c>
      <c r="D4783">
        <v>2604</v>
      </c>
      <c r="E4783">
        <v>2021</v>
      </c>
      <c r="F4783">
        <v>1</v>
      </c>
      <c r="G4783">
        <v>11402</v>
      </c>
      <c r="H4783" s="1">
        <v>3</v>
      </c>
      <c r="I4783">
        <v>21</v>
      </c>
      <c r="J4783">
        <f>IF($H4783=0,1,IF($I4783&lt;=1,2,0))</f>
        <v>0</v>
      </c>
      <c r="K4783">
        <v>0</v>
      </c>
      <c r="L4783">
        <f>IF(AND($J4783=0,$K4783=0),0,1)</f>
        <v>0</v>
      </c>
    </row>
    <row r="4784" spans="1:13" x14ac:dyDescent="0.2">
      <c r="A4784" t="s">
        <v>42</v>
      </c>
      <c r="B4784" t="s">
        <v>17</v>
      </c>
      <c r="C4784" t="s">
        <v>21</v>
      </c>
      <c r="D4784">
        <v>3830</v>
      </c>
      <c r="E4784">
        <v>2021</v>
      </c>
      <c r="F4784">
        <v>1</v>
      </c>
      <c r="G4784">
        <v>18519</v>
      </c>
      <c r="H4784" s="1">
        <v>4</v>
      </c>
      <c r="I4784">
        <v>16</v>
      </c>
      <c r="J4784">
        <f>IF($H4784=0,1,IF($I4784&lt;=1,2,0))</f>
        <v>0</v>
      </c>
      <c r="K4784">
        <v>0</v>
      </c>
      <c r="L4784">
        <f>IF(AND($J4784=0,$K4784=0),0,1)</f>
        <v>0</v>
      </c>
    </row>
    <row r="4785" spans="1:13" x14ac:dyDescent="0.2">
      <c r="A4785" t="s">
        <v>1344</v>
      </c>
      <c r="B4785" t="s">
        <v>6</v>
      </c>
      <c r="C4785" t="s">
        <v>9</v>
      </c>
      <c r="D4785">
        <v>4462</v>
      </c>
      <c r="E4785">
        <v>2021</v>
      </c>
      <c r="F4785">
        <v>1</v>
      </c>
      <c r="G4785">
        <v>14968</v>
      </c>
      <c r="H4785" s="1">
        <v>4</v>
      </c>
      <c r="I4785">
        <v>9</v>
      </c>
      <c r="J4785">
        <f>IF($H4785=0,1,IF($I4785&lt;=1,2,0))</f>
        <v>0</v>
      </c>
      <c r="K4785">
        <v>0</v>
      </c>
      <c r="L4785">
        <f>IF(AND($J4785=0,$K4785=0),0,1)</f>
        <v>0</v>
      </c>
    </row>
    <row r="4786" spans="1:13" x14ac:dyDescent="0.2">
      <c r="A4786" t="s">
        <v>44</v>
      </c>
      <c r="B4786" t="s">
        <v>6</v>
      </c>
      <c r="C4786" t="s">
        <v>9</v>
      </c>
      <c r="D4786">
        <v>3920</v>
      </c>
      <c r="E4786">
        <v>2021</v>
      </c>
      <c r="F4786">
        <v>1</v>
      </c>
      <c r="G4786">
        <v>11053</v>
      </c>
      <c r="H4786" s="1">
        <v>1</v>
      </c>
      <c r="I4786">
        <v>4</v>
      </c>
      <c r="J4786">
        <f>IF($H4786=0,1,IF($I4786&lt;=1,2,0))</f>
        <v>0</v>
      </c>
      <c r="K4786">
        <v>0</v>
      </c>
      <c r="L4786">
        <f>IF(AND($J4786=0,$K4786=0),0,1)</f>
        <v>0</v>
      </c>
      <c r="M4786" t="s">
        <v>1345</v>
      </c>
    </row>
    <row r="4787" spans="1:13" x14ac:dyDescent="0.2">
      <c r="A4787" t="s">
        <v>44</v>
      </c>
      <c r="B4787" t="s">
        <v>6</v>
      </c>
      <c r="C4787" t="s">
        <v>9</v>
      </c>
      <c r="D4787">
        <v>3930</v>
      </c>
      <c r="E4787">
        <v>2021</v>
      </c>
      <c r="F4787">
        <v>1</v>
      </c>
      <c r="G4787">
        <v>11234</v>
      </c>
      <c r="H4787" s="1">
        <v>4</v>
      </c>
      <c r="I4787">
        <v>17</v>
      </c>
      <c r="J4787">
        <f>IF($H4787=0,1,IF($I4787&lt;=1,2,0))</f>
        <v>0</v>
      </c>
      <c r="K4787">
        <v>0</v>
      </c>
      <c r="L4787">
        <f>IF(AND($J4787=0,$K4787=0),0,1)</f>
        <v>0</v>
      </c>
      <c r="M4787" t="s">
        <v>1346</v>
      </c>
    </row>
    <row r="4788" spans="1:13" x14ac:dyDescent="0.2">
      <c r="A4788" t="s">
        <v>44</v>
      </c>
      <c r="B4788" t="s">
        <v>6</v>
      </c>
      <c r="C4788" t="s">
        <v>9</v>
      </c>
      <c r="D4788">
        <v>3930</v>
      </c>
      <c r="E4788">
        <v>2021</v>
      </c>
      <c r="F4788">
        <v>3</v>
      </c>
      <c r="G4788">
        <v>11270</v>
      </c>
      <c r="H4788" s="1">
        <v>4</v>
      </c>
      <c r="I4788">
        <v>15</v>
      </c>
      <c r="J4788">
        <f>IF($H4788=0,1,IF($I4788&lt;=1,2,0))</f>
        <v>0</v>
      </c>
      <c r="K4788">
        <v>0</v>
      </c>
      <c r="L4788">
        <f>IF(AND($J4788=0,$K4788=0),0,1)</f>
        <v>0</v>
      </c>
      <c r="M4788" t="s">
        <v>1346</v>
      </c>
    </row>
    <row r="4789" spans="1:13" x14ac:dyDescent="0.2">
      <c r="A4789" t="s">
        <v>44</v>
      </c>
      <c r="B4789" t="s">
        <v>6</v>
      </c>
      <c r="C4789" t="s">
        <v>9</v>
      </c>
      <c r="D4789">
        <v>3930</v>
      </c>
      <c r="E4789">
        <v>2021</v>
      </c>
      <c r="F4789">
        <v>6</v>
      </c>
      <c r="G4789">
        <v>13516</v>
      </c>
      <c r="H4789" s="1">
        <v>4</v>
      </c>
      <c r="I4789">
        <v>12</v>
      </c>
      <c r="J4789">
        <f>IF($H4789=0,1,IF($I4789&lt;=1,2,0))</f>
        <v>0</v>
      </c>
      <c r="K4789">
        <v>0</v>
      </c>
      <c r="L4789">
        <f>IF(AND($J4789=0,$K4789=0),0,1)</f>
        <v>0</v>
      </c>
      <c r="M4789" t="s">
        <v>1346</v>
      </c>
    </row>
    <row r="4790" spans="1:13" x14ac:dyDescent="0.2">
      <c r="A4790" t="s">
        <v>44</v>
      </c>
      <c r="B4790" t="s">
        <v>6</v>
      </c>
      <c r="C4790" t="s">
        <v>9</v>
      </c>
      <c r="D4790">
        <v>3930</v>
      </c>
      <c r="E4790">
        <v>2021</v>
      </c>
      <c r="F4790">
        <v>2</v>
      </c>
      <c r="G4790">
        <v>11261</v>
      </c>
      <c r="H4790" s="1">
        <v>4</v>
      </c>
      <c r="I4790">
        <v>11</v>
      </c>
      <c r="J4790">
        <f>IF($H4790=0,1,IF($I4790&lt;=1,2,0))</f>
        <v>0</v>
      </c>
      <c r="K4790">
        <v>0</v>
      </c>
      <c r="L4790">
        <f>IF(AND($J4790=0,$K4790=0),0,1)</f>
        <v>0</v>
      </c>
      <c r="M4790" t="s">
        <v>1347</v>
      </c>
    </row>
    <row r="4791" spans="1:13" x14ac:dyDescent="0.2">
      <c r="A4791" t="s">
        <v>44</v>
      </c>
      <c r="B4791" t="s">
        <v>6</v>
      </c>
      <c r="C4791" t="s">
        <v>9</v>
      </c>
      <c r="D4791">
        <v>3935</v>
      </c>
      <c r="E4791">
        <v>2021</v>
      </c>
      <c r="F4791">
        <v>1</v>
      </c>
      <c r="G4791">
        <v>14003</v>
      </c>
      <c r="H4791" s="1">
        <v>4</v>
      </c>
      <c r="I4791">
        <v>9</v>
      </c>
      <c r="J4791">
        <f>IF($H4791=0,1,IF($I4791&lt;=1,2,0))</f>
        <v>0</v>
      </c>
      <c r="K4791">
        <v>0</v>
      </c>
      <c r="L4791">
        <f>IF(AND($J4791=0,$K4791=0),0,1)</f>
        <v>0</v>
      </c>
      <c r="M4791" t="s">
        <v>1348</v>
      </c>
    </row>
    <row r="4792" spans="1:13" x14ac:dyDescent="0.2">
      <c r="A4792" t="s">
        <v>50</v>
      </c>
      <c r="B4792" t="s">
        <v>6</v>
      </c>
      <c r="C4792" t="s">
        <v>21</v>
      </c>
      <c r="D4792">
        <v>3996</v>
      </c>
      <c r="E4792">
        <v>2021</v>
      </c>
      <c r="F4792">
        <v>1</v>
      </c>
      <c r="G4792">
        <v>10657</v>
      </c>
      <c r="H4792" s="1">
        <v>3</v>
      </c>
      <c r="I4792">
        <v>3</v>
      </c>
      <c r="J4792">
        <f>IF($H4792=0,1,IF($I4792&lt;=1,2,0))</f>
        <v>0</v>
      </c>
      <c r="K4792">
        <v>0</v>
      </c>
      <c r="L4792">
        <f>IF(AND($J4792=0,$K4792=0),0,1)</f>
        <v>0</v>
      </c>
    </row>
    <row r="4793" spans="1:13" x14ac:dyDescent="0.2">
      <c r="A4793" t="s">
        <v>52</v>
      </c>
      <c r="B4793" t="s">
        <v>6</v>
      </c>
      <c r="C4793" t="s">
        <v>11</v>
      </c>
      <c r="D4793">
        <v>6406</v>
      </c>
      <c r="E4793">
        <v>2021</v>
      </c>
      <c r="F4793">
        <v>1</v>
      </c>
      <c r="G4793">
        <v>18298</v>
      </c>
      <c r="H4793" s="1">
        <v>3</v>
      </c>
      <c r="I4793">
        <v>8</v>
      </c>
      <c r="J4793">
        <f>IF($H4793=0,1,IF($I4793&lt;=1,2,0))</f>
        <v>0</v>
      </c>
      <c r="K4793">
        <v>0</v>
      </c>
      <c r="L4793">
        <f>IF(AND($J4793=0,$K4793=0),0,1)</f>
        <v>0</v>
      </c>
      <c r="M4793" t="s">
        <v>1350</v>
      </c>
    </row>
    <row r="4794" spans="1:13" x14ac:dyDescent="0.2">
      <c r="A4794" t="s">
        <v>54</v>
      </c>
      <c r="B4794" t="s">
        <v>6</v>
      </c>
      <c r="C4794" t="s">
        <v>21</v>
      </c>
      <c r="D4794">
        <v>1002</v>
      </c>
      <c r="E4794">
        <v>2021</v>
      </c>
      <c r="F4794">
        <v>1</v>
      </c>
      <c r="G4794">
        <v>11220</v>
      </c>
      <c r="H4794" s="1">
        <v>3</v>
      </c>
      <c r="I4794">
        <v>55</v>
      </c>
      <c r="J4794">
        <f>IF($H4794=0,1,IF($I4794&lt;=1,2,0))</f>
        <v>0</v>
      </c>
      <c r="K4794">
        <v>0</v>
      </c>
      <c r="L4794">
        <f>IF(AND($J4794=0,$K4794=0),0,1)</f>
        <v>0</v>
      </c>
    </row>
    <row r="4795" spans="1:13" x14ac:dyDescent="0.2">
      <c r="A4795" t="s">
        <v>54</v>
      </c>
      <c r="B4795" t="s">
        <v>6</v>
      </c>
      <c r="C4795" t="s">
        <v>21</v>
      </c>
      <c r="D4795">
        <v>1007</v>
      </c>
      <c r="E4795">
        <v>2021</v>
      </c>
      <c r="F4795">
        <v>1</v>
      </c>
      <c r="G4795">
        <v>541</v>
      </c>
      <c r="H4795" s="1">
        <v>3</v>
      </c>
      <c r="I4795">
        <v>133</v>
      </c>
      <c r="J4795">
        <f>IF($H4795=0,1,IF($I4795&lt;=1,2,0))</f>
        <v>0</v>
      </c>
      <c r="K4795">
        <v>0</v>
      </c>
      <c r="L4795">
        <f>IF(AND($J4795=0,$K4795=0),0,1)</f>
        <v>0</v>
      </c>
      <c r="M4795" t="s">
        <v>1351</v>
      </c>
    </row>
    <row r="4796" spans="1:13" x14ac:dyDescent="0.2">
      <c r="A4796" t="s">
        <v>54</v>
      </c>
      <c r="B4796" t="s">
        <v>6</v>
      </c>
      <c r="C4796" t="s">
        <v>21</v>
      </c>
      <c r="D4796">
        <v>1008</v>
      </c>
      <c r="E4796">
        <v>2021</v>
      </c>
      <c r="F4796">
        <v>1</v>
      </c>
      <c r="G4796">
        <v>11168</v>
      </c>
      <c r="H4796" s="1">
        <v>3</v>
      </c>
      <c r="I4796">
        <v>91</v>
      </c>
      <c r="J4796">
        <f>IF($H4796=0,1,IF($I4796&lt;=1,2,0))</f>
        <v>0</v>
      </c>
      <c r="K4796">
        <v>0</v>
      </c>
      <c r="L4796">
        <f>IF(AND($J4796=0,$K4796=0),0,1)</f>
        <v>0</v>
      </c>
    </row>
    <row r="4797" spans="1:13" x14ac:dyDescent="0.2">
      <c r="A4797" t="s">
        <v>54</v>
      </c>
      <c r="B4797" t="s">
        <v>6</v>
      </c>
      <c r="C4797" t="s">
        <v>21</v>
      </c>
      <c r="D4797">
        <v>2004</v>
      </c>
      <c r="E4797">
        <v>2021</v>
      </c>
      <c r="F4797">
        <v>1</v>
      </c>
      <c r="G4797">
        <v>10118</v>
      </c>
      <c r="H4797" s="1">
        <v>3</v>
      </c>
      <c r="I4797">
        <v>57</v>
      </c>
      <c r="J4797">
        <f>IF($H4797=0,1,IF($I4797&lt;=1,2,0))</f>
        <v>0</v>
      </c>
      <c r="K4797">
        <v>0</v>
      </c>
      <c r="L4797">
        <f>IF(AND($J4797=0,$K4797=0),0,1)</f>
        <v>0</v>
      </c>
    </row>
    <row r="4798" spans="1:13" x14ac:dyDescent="0.2">
      <c r="A4798" t="s">
        <v>54</v>
      </c>
      <c r="B4798" t="s">
        <v>6</v>
      </c>
      <c r="C4798" t="s">
        <v>9</v>
      </c>
      <c r="D4798">
        <v>3040</v>
      </c>
      <c r="E4798">
        <v>2021</v>
      </c>
      <c r="F4798">
        <v>1</v>
      </c>
      <c r="G4798">
        <v>540</v>
      </c>
      <c r="H4798" s="1">
        <v>4</v>
      </c>
      <c r="I4798">
        <v>27</v>
      </c>
      <c r="J4798">
        <f>IF($H4798=0,1,IF($I4798&lt;=1,2,0))</f>
        <v>0</v>
      </c>
      <c r="K4798">
        <v>0</v>
      </c>
      <c r="L4798">
        <f>IF(AND($J4798=0,$K4798=0),0,1)</f>
        <v>0</v>
      </c>
      <c r="M4798" t="s">
        <v>1357</v>
      </c>
    </row>
    <row r="4799" spans="1:13" x14ac:dyDescent="0.2">
      <c r="A4799" t="s">
        <v>54</v>
      </c>
      <c r="B4799" t="s">
        <v>6</v>
      </c>
      <c r="C4799" t="s">
        <v>9</v>
      </c>
      <c r="D4799">
        <v>3071</v>
      </c>
      <c r="E4799">
        <v>2021</v>
      </c>
      <c r="F4799">
        <v>1</v>
      </c>
      <c r="G4799">
        <v>16084</v>
      </c>
      <c r="H4799" s="1">
        <v>4</v>
      </c>
      <c r="I4799">
        <v>11</v>
      </c>
      <c r="J4799">
        <f>IF($H4799=0,1,IF($I4799&lt;=1,2,0))</f>
        <v>0</v>
      </c>
      <c r="K4799">
        <v>0</v>
      </c>
      <c r="L4799">
        <f>IF(AND($J4799=0,$K4799=0),0,1)</f>
        <v>0</v>
      </c>
    </row>
    <row r="4800" spans="1:13" x14ac:dyDescent="0.2">
      <c r="A4800" t="s">
        <v>54</v>
      </c>
      <c r="B4800" t="s">
        <v>6</v>
      </c>
      <c r="C4800" t="s">
        <v>9</v>
      </c>
      <c r="D4800">
        <v>3151</v>
      </c>
      <c r="E4800">
        <v>2021</v>
      </c>
      <c r="F4800">
        <v>1</v>
      </c>
      <c r="G4800">
        <v>10120</v>
      </c>
      <c r="H4800" s="1">
        <v>4</v>
      </c>
      <c r="I4800">
        <v>16</v>
      </c>
      <c r="J4800">
        <f>IF($H4800=0,1,IF($I4800&lt;=1,2,0))</f>
        <v>0</v>
      </c>
      <c r="K4800">
        <v>0</v>
      </c>
      <c r="L4800">
        <f>IF(AND($J4800=0,$K4800=0),0,1)</f>
        <v>0</v>
      </c>
      <c r="M4800" t="s">
        <v>1358</v>
      </c>
    </row>
    <row r="4801" spans="1:13" x14ac:dyDescent="0.2">
      <c r="A4801" t="s">
        <v>54</v>
      </c>
      <c r="B4801" t="s">
        <v>6</v>
      </c>
      <c r="C4801" t="s">
        <v>9</v>
      </c>
      <c r="D4801">
        <v>3663</v>
      </c>
      <c r="E4801">
        <v>2021</v>
      </c>
      <c r="F4801">
        <v>1</v>
      </c>
      <c r="G4801">
        <v>539</v>
      </c>
      <c r="H4801" s="1">
        <v>4</v>
      </c>
      <c r="I4801">
        <v>17</v>
      </c>
      <c r="J4801">
        <f>IF($H4801=0,1,IF($I4801&lt;=1,2,0))</f>
        <v>0</v>
      </c>
      <c r="K4801">
        <v>0</v>
      </c>
      <c r="L4801">
        <f>IF(AND($J4801=0,$K4801=0),0,1)</f>
        <v>0</v>
      </c>
      <c r="M4801" t="s">
        <v>2032</v>
      </c>
    </row>
    <row r="4802" spans="1:13" x14ac:dyDescent="0.2">
      <c r="A4802" t="s">
        <v>54</v>
      </c>
      <c r="B4802" t="s">
        <v>6</v>
      </c>
      <c r="C4802" t="s">
        <v>21</v>
      </c>
      <c r="D4802">
        <v>3723</v>
      </c>
      <c r="E4802">
        <v>2021</v>
      </c>
      <c r="F4802">
        <v>1</v>
      </c>
      <c r="G4802">
        <v>538</v>
      </c>
      <c r="H4802" s="1">
        <v>4</v>
      </c>
      <c r="I4802">
        <v>24</v>
      </c>
      <c r="J4802">
        <f>IF($H4802=0,1,IF($I4802&lt;=1,2,0))</f>
        <v>0</v>
      </c>
      <c r="K4802">
        <v>0</v>
      </c>
      <c r="L4802">
        <f>IF(AND($J4802=0,$K4802=0),0,1)</f>
        <v>0</v>
      </c>
      <c r="M4802" t="s">
        <v>1359</v>
      </c>
    </row>
    <row r="4803" spans="1:13" x14ac:dyDescent="0.2">
      <c r="A4803" t="s">
        <v>54</v>
      </c>
      <c r="B4803" t="s">
        <v>6</v>
      </c>
      <c r="C4803" t="s">
        <v>9</v>
      </c>
      <c r="D4803">
        <v>3726</v>
      </c>
      <c r="E4803">
        <v>2021</v>
      </c>
      <c r="F4803">
        <v>1</v>
      </c>
      <c r="G4803">
        <v>18070</v>
      </c>
      <c r="H4803" s="1">
        <v>4</v>
      </c>
      <c r="I4803">
        <v>9</v>
      </c>
      <c r="J4803">
        <f>IF($H4803=0,1,IF($I4803&lt;=1,2,0))</f>
        <v>0</v>
      </c>
      <c r="K4803">
        <v>0</v>
      </c>
      <c r="L4803">
        <f>IF(AND($J4803=0,$K4803=0),0,1)</f>
        <v>0</v>
      </c>
    </row>
    <row r="4804" spans="1:13" x14ac:dyDescent="0.2">
      <c r="A4804" t="s">
        <v>54</v>
      </c>
      <c r="B4804" t="s">
        <v>6</v>
      </c>
      <c r="C4804" t="s">
        <v>21</v>
      </c>
      <c r="D4804">
        <v>3821</v>
      </c>
      <c r="E4804">
        <v>2021</v>
      </c>
      <c r="F4804">
        <v>1</v>
      </c>
      <c r="G4804">
        <v>10325</v>
      </c>
      <c r="H4804" s="1">
        <v>4</v>
      </c>
      <c r="I4804">
        <v>39</v>
      </c>
      <c r="J4804">
        <f>IF($H4804=0,1,IF($I4804&lt;=1,2,0))</f>
        <v>0</v>
      </c>
      <c r="K4804">
        <v>0</v>
      </c>
      <c r="L4804">
        <f>IF(AND($J4804=0,$K4804=0),0,1)</f>
        <v>0</v>
      </c>
    </row>
    <row r="4805" spans="1:13" x14ac:dyDescent="0.2">
      <c r="A4805" t="s">
        <v>54</v>
      </c>
      <c r="B4805" t="s">
        <v>6</v>
      </c>
      <c r="C4805" t="s">
        <v>21</v>
      </c>
      <c r="D4805">
        <v>3829</v>
      </c>
      <c r="E4805">
        <v>2021</v>
      </c>
      <c r="F4805">
        <v>1</v>
      </c>
      <c r="G4805">
        <v>670</v>
      </c>
      <c r="H4805" s="1">
        <v>4</v>
      </c>
      <c r="I4805">
        <v>13</v>
      </c>
      <c r="J4805">
        <f>IF($H4805=0,1,IF($I4805&lt;=1,2,0))</f>
        <v>0</v>
      </c>
      <c r="K4805">
        <v>0</v>
      </c>
      <c r="L4805">
        <f>IF(AND($J4805=0,$K4805=0),0,1)</f>
        <v>0</v>
      </c>
    </row>
    <row r="4806" spans="1:13" x14ac:dyDescent="0.2">
      <c r="A4806" t="s">
        <v>54</v>
      </c>
      <c r="B4806" t="s">
        <v>6</v>
      </c>
      <c r="C4806" t="s">
        <v>21</v>
      </c>
      <c r="D4806">
        <v>3861</v>
      </c>
      <c r="E4806">
        <v>2021</v>
      </c>
      <c r="F4806">
        <v>1</v>
      </c>
      <c r="G4806">
        <v>708</v>
      </c>
      <c r="H4806" s="1">
        <v>4</v>
      </c>
      <c r="I4806">
        <v>12</v>
      </c>
      <c r="J4806">
        <f>IF($H4806=0,1,IF($I4806&lt;=1,2,0))</f>
        <v>0</v>
      </c>
      <c r="K4806">
        <v>0</v>
      </c>
      <c r="L4806">
        <f>IF(AND($J4806=0,$K4806=0),0,1)</f>
        <v>0</v>
      </c>
      <c r="M4806" t="s">
        <v>1360</v>
      </c>
    </row>
    <row r="4807" spans="1:13" x14ac:dyDescent="0.2">
      <c r="A4807" t="s">
        <v>54</v>
      </c>
      <c r="B4807" t="s">
        <v>6</v>
      </c>
      <c r="C4807" t="s">
        <v>21</v>
      </c>
      <c r="D4807">
        <v>3888</v>
      </c>
      <c r="E4807">
        <v>2021</v>
      </c>
      <c r="F4807">
        <v>1</v>
      </c>
      <c r="G4807">
        <v>10311</v>
      </c>
      <c r="H4807" s="1">
        <v>4</v>
      </c>
      <c r="I4807">
        <v>12</v>
      </c>
      <c r="J4807">
        <f>IF($H4807=0,1,IF($I4807&lt;=1,2,0))</f>
        <v>0</v>
      </c>
      <c r="K4807">
        <v>0</v>
      </c>
      <c r="L4807">
        <f>IF(AND($J4807=0,$K4807=0),0,1)</f>
        <v>0</v>
      </c>
      <c r="M4807" t="s">
        <v>1362</v>
      </c>
    </row>
    <row r="4808" spans="1:13" x14ac:dyDescent="0.2">
      <c r="A4808" t="s">
        <v>54</v>
      </c>
      <c r="B4808" t="s">
        <v>6</v>
      </c>
      <c r="C4808" t="s">
        <v>21</v>
      </c>
      <c r="D4808">
        <v>3976</v>
      </c>
      <c r="E4808">
        <v>2021</v>
      </c>
      <c r="F4808">
        <v>1</v>
      </c>
      <c r="G4808">
        <v>534</v>
      </c>
      <c r="H4808" s="1">
        <v>4</v>
      </c>
      <c r="I4808">
        <v>9</v>
      </c>
      <c r="J4808">
        <f>IF($H4808=0,1,IF($I4808&lt;=1,2,0))</f>
        <v>0</v>
      </c>
      <c r="K4808">
        <v>0</v>
      </c>
      <c r="L4808">
        <f>IF(AND($J4808=0,$K4808=0),0,1)</f>
        <v>0</v>
      </c>
      <c r="M4808" t="s">
        <v>2033</v>
      </c>
    </row>
    <row r="4809" spans="1:13" x14ac:dyDescent="0.2">
      <c r="A4809" t="s">
        <v>54</v>
      </c>
      <c r="B4809" t="s">
        <v>6</v>
      </c>
      <c r="C4809" t="s">
        <v>21</v>
      </c>
      <c r="D4809">
        <v>3999</v>
      </c>
      <c r="E4809">
        <v>2021</v>
      </c>
      <c r="F4809">
        <v>1</v>
      </c>
      <c r="G4809">
        <v>10119</v>
      </c>
      <c r="H4809" s="1">
        <v>4</v>
      </c>
      <c r="I4809">
        <v>5</v>
      </c>
      <c r="J4809">
        <f>IF($H4809=0,1,IF($I4809&lt;=1,2,0))</f>
        <v>0</v>
      </c>
      <c r="K4809">
        <v>0</v>
      </c>
      <c r="L4809">
        <f>IF(AND($J4809=0,$K4809=0),0,1)</f>
        <v>0</v>
      </c>
      <c r="M4809" t="s">
        <v>1364</v>
      </c>
    </row>
    <row r="4810" spans="1:13" x14ac:dyDescent="0.2">
      <c r="A4810" t="s">
        <v>54</v>
      </c>
      <c r="B4810" t="s">
        <v>6</v>
      </c>
      <c r="C4810" t="s">
        <v>11</v>
      </c>
      <c r="D4810">
        <v>4002</v>
      </c>
      <c r="E4810">
        <v>2021</v>
      </c>
      <c r="F4810">
        <v>1</v>
      </c>
      <c r="G4810">
        <v>11221</v>
      </c>
      <c r="H4810" s="1">
        <v>3</v>
      </c>
      <c r="I4810">
        <v>9</v>
      </c>
      <c r="J4810">
        <f>IF($H4810=0,1,IF($I4810&lt;=1,2,0))</f>
        <v>0</v>
      </c>
      <c r="K4810">
        <v>0</v>
      </c>
      <c r="L4810">
        <f>IF(AND($J4810=0,$K4810=0),0,1)</f>
        <v>0</v>
      </c>
      <c r="M4810" t="s">
        <v>1365</v>
      </c>
    </row>
    <row r="4811" spans="1:13" x14ac:dyDescent="0.2">
      <c r="A4811" t="s">
        <v>54</v>
      </c>
      <c r="B4811" t="s">
        <v>6</v>
      </c>
      <c r="C4811" t="s">
        <v>9</v>
      </c>
      <c r="D4811">
        <v>4066</v>
      </c>
      <c r="E4811">
        <v>2021</v>
      </c>
      <c r="F4811">
        <v>1</v>
      </c>
      <c r="G4811">
        <v>13513</v>
      </c>
      <c r="H4811" s="1">
        <v>4</v>
      </c>
      <c r="I4811">
        <v>8</v>
      </c>
      <c r="J4811">
        <f>IF($H4811=0,1,IF($I4811&lt;=1,2,0))</f>
        <v>0</v>
      </c>
      <c r="K4811">
        <v>0</v>
      </c>
      <c r="L4811">
        <f>IF(AND($J4811=0,$K4811=0),0,1)</f>
        <v>0</v>
      </c>
      <c r="M4811" t="s">
        <v>1366</v>
      </c>
    </row>
    <row r="4812" spans="1:13" x14ac:dyDescent="0.2">
      <c r="A4812" t="s">
        <v>54</v>
      </c>
      <c r="B4812" t="s">
        <v>6</v>
      </c>
      <c r="C4812" t="s">
        <v>11</v>
      </c>
      <c r="D4812">
        <v>4118</v>
      </c>
      <c r="E4812">
        <v>2021</v>
      </c>
      <c r="F4812">
        <v>1</v>
      </c>
      <c r="G4812">
        <v>10326</v>
      </c>
      <c r="H4812" s="1">
        <v>3</v>
      </c>
      <c r="I4812">
        <v>17</v>
      </c>
      <c r="J4812">
        <f>IF($H4812=0,1,IF($I4812&lt;=1,2,0))</f>
        <v>0</v>
      </c>
      <c r="K4812">
        <v>0</v>
      </c>
      <c r="L4812">
        <f>IF(AND($J4812=0,$K4812=0),0,1)</f>
        <v>0</v>
      </c>
    </row>
    <row r="4813" spans="1:13" x14ac:dyDescent="0.2">
      <c r="A4813" t="s">
        <v>54</v>
      </c>
      <c r="B4813" t="s">
        <v>6</v>
      </c>
      <c r="C4813" t="s">
        <v>9</v>
      </c>
      <c r="D4813">
        <v>4282</v>
      </c>
      <c r="E4813">
        <v>2021</v>
      </c>
      <c r="F4813">
        <v>1</v>
      </c>
      <c r="G4813">
        <v>10237</v>
      </c>
      <c r="H4813" s="1">
        <v>3</v>
      </c>
      <c r="I4813">
        <v>13</v>
      </c>
      <c r="J4813">
        <f>IF($H4813=0,1,IF($I4813&lt;=1,2,0))</f>
        <v>0</v>
      </c>
      <c r="K4813">
        <v>0</v>
      </c>
      <c r="L4813">
        <f>IF(AND($J4813=0,$K4813=0),0,1)</f>
        <v>0</v>
      </c>
    </row>
    <row r="4814" spans="1:13" x14ac:dyDescent="0.2">
      <c r="A4814" t="s">
        <v>54</v>
      </c>
      <c r="B4814" t="s">
        <v>6</v>
      </c>
      <c r="C4814" t="s">
        <v>9</v>
      </c>
      <c r="D4814">
        <v>4653</v>
      </c>
      <c r="E4814">
        <v>2021</v>
      </c>
      <c r="F4814">
        <v>1</v>
      </c>
      <c r="G4814">
        <v>13512</v>
      </c>
      <c r="H4814" s="1">
        <v>4</v>
      </c>
      <c r="I4814">
        <v>13</v>
      </c>
      <c r="J4814">
        <f>IF($H4814=0,1,IF($I4814&lt;=1,2,0))</f>
        <v>0</v>
      </c>
      <c r="K4814">
        <v>0</v>
      </c>
      <c r="L4814">
        <f>IF(AND($J4814=0,$K4814=0),0,1)</f>
        <v>0</v>
      </c>
    </row>
    <row r="4815" spans="1:13" x14ac:dyDescent="0.2">
      <c r="A4815" t="s">
        <v>54</v>
      </c>
      <c r="B4815" t="s">
        <v>6</v>
      </c>
      <c r="C4815" t="s">
        <v>11</v>
      </c>
      <c r="D4815">
        <v>5115</v>
      </c>
      <c r="E4815">
        <v>2021</v>
      </c>
      <c r="F4815">
        <v>1</v>
      </c>
      <c r="G4815">
        <v>10123</v>
      </c>
      <c r="H4815" s="1">
        <v>3</v>
      </c>
      <c r="I4815">
        <v>21</v>
      </c>
      <c r="J4815">
        <f>IF($H4815=0,1,IF($I4815&lt;=1,2,0))</f>
        <v>0</v>
      </c>
      <c r="K4815">
        <v>0</v>
      </c>
      <c r="L4815">
        <f>IF(AND($J4815=0,$K4815=0),0,1)</f>
        <v>0</v>
      </c>
      <c r="M4815" t="s">
        <v>1367</v>
      </c>
    </row>
    <row r="4816" spans="1:13" x14ac:dyDescent="0.2">
      <c r="A4816" t="s">
        <v>54</v>
      </c>
      <c r="B4816" t="s">
        <v>6</v>
      </c>
      <c r="C4816" t="s">
        <v>11</v>
      </c>
      <c r="D4816">
        <v>5201</v>
      </c>
      <c r="E4816">
        <v>2021</v>
      </c>
      <c r="F4816">
        <v>1</v>
      </c>
      <c r="G4816">
        <v>10239</v>
      </c>
      <c r="H4816" s="1">
        <v>3</v>
      </c>
      <c r="I4816">
        <v>21</v>
      </c>
      <c r="J4816">
        <f>IF($H4816=0,1,IF($I4816&lt;=1,2,0))</f>
        <v>0</v>
      </c>
      <c r="K4816">
        <v>0</v>
      </c>
      <c r="L4816">
        <f>IF(AND($J4816=0,$K4816=0),0,1)</f>
        <v>0</v>
      </c>
      <c r="M4816" t="s">
        <v>1368</v>
      </c>
    </row>
    <row r="4817" spans="1:13" x14ac:dyDescent="0.2">
      <c r="A4817" t="s">
        <v>54</v>
      </c>
      <c r="B4817" t="s">
        <v>6</v>
      </c>
      <c r="C4817" t="s">
        <v>11</v>
      </c>
      <c r="D4817">
        <v>5361</v>
      </c>
      <c r="E4817">
        <v>2021</v>
      </c>
      <c r="F4817">
        <v>1</v>
      </c>
      <c r="G4817">
        <v>10240</v>
      </c>
      <c r="H4817" s="1">
        <v>3</v>
      </c>
      <c r="I4817">
        <v>22</v>
      </c>
      <c r="J4817">
        <f>IF($H4817=0,1,IF($I4817&lt;=1,2,0))</f>
        <v>0</v>
      </c>
      <c r="K4817">
        <v>0</v>
      </c>
      <c r="L4817">
        <f>IF(AND($J4817=0,$K4817=0),0,1)</f>
        <v>0</v>
      </c>
      <c r="M4817" t="s">
        <v>1369</v>
      </c>
    </row>
    <row r="4818" spans="1:13" x14ac:dyDescent="0.2">
      <c r="A4818" t="s">
        <v>54</v>
      </c>
      <c r="B4818" t="s">
        <v>6</v>
      </c>
      <c r="C4818" t="s">
        <v>11</v>
      </c>
      <c r="D4818">
        <v>6070</v>
      </c>
      <c r="E4818">
        <v>2021</v>
      </c>
      <c r="F4818">
        <v>1</v>
      </c>
      <c r="G4818">
        <v>10304</v>
      </c>
      <c r="H4818" s="1">
        <v>3</v>
      </c>
      <c r="I4818">
        <v>18</v>
      </c>
      <c r="J4818">
        <f>IF($H4818=0,1,IF($I4818&lt;=1,2,0))</f>
        <v>0</v>
      </c>
      <c r="K4818">
        <v>0</v>
      </c>
      <c r="L4818">
        <f>IF(AND($J4818=0,$K4818=0),0,1)</f>
        <v>0</v>
      </c>
      <c r="M4818" t="s">
        <v>1370</v>
      </c>
    </row>
    <row r="4819" spans="1:13" x14ac:dyDescent="0.2">
      <c r="A4819" t="s">
        <v>54</v>
      </c>
      <c r="B4819" t="s">
        <v>6</v>
      </c>
      <c r="C4819" t="s">
        <v>11</v>
      </c>
      <c r="D4819">
        <v>6085</v>
      </c>
      <c r="E4819">
        <v>2021</v>
      </c>
      <c r="F4819">
        <v>1</v>
      </c>
      <c r="G4819">
        <v>10121</v>
      </c>
      <c r="H4819" s="1">
        <v>3</v>
      </c>
      <c r="I4819">
        <v>19</v>
      </c>
      <c r="J4819">
        <f>IF($H4819=0,1,IF($I4819&lt;=1,2,0))</f>
        <v>0</v>
      </c>
      <c r="K4819">
        <v>0</v>
      </c>
      <c r="L4819">
        <f>IF(AND($J4819=0,$K4819=0),0,1)</f>
        <v>0</v>
      </c>
    </row>
    <row r="4820" spans="1:13" x14ac:dyDescent="0.2">
      <c r="A4820" t="s">
        <v>54</v>
      </c>
      <c r="B4820" t="s">
        <v>6</v>
      </c>
      <c r="C4820" t="s">
        <v>11</v>
      </c>
      <c r="D4820">
        <v>6135</v>
      </c>
      <c r="E4820">
        <v>2021</v>
      </c>
      <c r="F4820">
        <v>1</v>
      </c>
      <c r="G4820">
        <v>15692</v>
      </c>
      <c r="H4820" s="1">
        <v>4</v>
      </c>
      <c r="I4820">
        <v>12</v>
      </c>
      <c r="J4820">
        <f>IF($H4820=0,1,IF($I4820&lt;=1,2,0))</f>
        <v>0</v>
      </c>
      <c r="K4820">
        <v>0</v>
      </c>
      <c r="L4820">
        <f>IF(AND($J4820=0,$K4820=0),0,1)</f>
        <v>0</v>
      </c>
    </row>
    <row r="4821" spans="1:13" x14ac:dyDescent="0.2">
      <c r="A4821" t="s">
        <v>54</v>
      </c>
      <c r="B4821" t="s">
        <v>6</v>
      </c>
      <c r="C4821" t="s">
        <v>11</v>
      </c>
      <c r="D4821">
        <v>6245</v>
      </c>
      <c r="E4821">
        <v>2021</v>
      </c>
      <c r="F4821">
        <v>1</v>
      </c>
      <c r="G4821">
        <v>10126</v>
      </c>
      <c r="H4821" s="1">
        <v>3</v>
      </c>
      <c r="I4821">
        <v>20</v>
      </c>
      <c r="J4821">
        <f>IF($H4821=0,1,IF($I4821&lt;=1,2,0))</f>
        <v>0</v>
      </c>
      <c r="K4821">
        <v>0</v>
      </c>
      <c r="L4821">
        <f>IF(AND($J4821=0,$K4821=0),0,1)</f>
        <v>0</v>
      </c>
      <c r="M4821" t="s">
        <v>1372</v>
      </c>
    </row>
    <row r="4822" spans="1:13" x14ac:dyDescent="0.2">
      <c r="A4822" t="s">
        <v>54</v>
      </c>
      <c r="B4822" t="s">
        <v>6</v>
      </c>
      <c r="C4822" t="s">
        <v>11</v>
      </c>
      <c r="D4822">
        <v>6352</v>
      </c>
      <c r="E4822">
        <v>2021</v>
      </c>
      <c r="F4822">
        <v>1</v>
      </c>
      <c r="G4822">
        <v>10122</v>
      </c>
      <c r="H4822" s="1">
        <v>3</v>
      </c>
      <c r="I4822">
        <v>23</v>
      </c>
      <c r="J4822">
        <f>IF($H4822=0,1,IF($I4822&lt;=1,2,0))</f>
        <v>0</v>
      </c>
      <c r="K4822">
        <v>0</v>
      </c>
      <c r="L4822">
        <f>IF(AND($J4822=0,$K4822=0),0,1)</f>
        <v>0</v>
      </c>
      <c r="M4822" t="s">
        <v>1373</v>
      </c>
    </row>
    <row r="4823" spans="1:13" x14ac:dyDescent="0.2">
      <c r="A4823" t="s">
        <v>54</v>
      </c>
      <c r="B4823" t="s">
        <v>6</v>
      </c>
      <c r="C4823" t="s">
        <v>11</v>
      </c>
      <c r="D4823">
        <v>6649</v>
      </c>
      <c r="E4823">
        <v>2021</v>
      </c>
      <c r="F4823">
        <v>1</v>
      </c>
      <c r="G4823">
        <v>10314</v>
      </c>
      <c r="H4823" s="1">
        <v>3</v>
      </c>
      <c r="I4823">
        <v>13</v>
      </c>
      <c r="J4823">
        <f>IF($H4823=0,1,IF($I4823&lt;=1,2,0))</f>
        <v>0</v>
      </c>
      <c r="K4823">
        <v>0</v>
      </c>
      <c r="L4823">
        <f>IF(AND($J4823=0,$K4823=0),0,1)</f>
        <v>0</v>
      </c>
      <c r="M4823" t="s">
        <v>1374</v>
      </c>
    </row>
    <row r="4824" spans="1:13" x14ac:dyDescent="0.2">
      <c r="A4824" t="s">
        <v>54</v>
      </c>
      <c r="B4824" t="s">
        <v>6</v>
      </c>
      <c r="C4824" t="s">
        <v>11</v>
      </c>
      <c r="D4824">
        <v>6652</v>
      </c>
      <c r="E4824">
        <v>2021</v>
      </c>
      <c r="F4824">
        <v>1</v>
      </c>
      <c r="G4824">
        <v>10238</v>
      </c>
      <c r="H4824" s="1">
        <v>3</v>
      </c>
      <c r="I4824">
        <v>17</v>
      </c>
      <c r="J4824">
        <f>IF($H4824=0,1,IF($I4824&lt;=1,2,0))</f>
        <v>0</v>
      </c>
      <c r="K4824">
        <v>0</v>
      </c>
      <c r="L4824">
        <f>IF(AND($J4824=0,$K4824=0),0,1)</f>
        <v>0</v>
      </c>
    </row>
    <row r="4825" spans="1:13" x14ac:dyDescent="0.2">
      <c r="A4825" t="s">
        <v>54</v>
      </c>
      <c r="B4825" t="s">
        <v>6</v>
      </c>
      <c r="C4825" t="s">
        <v>11</v>
      </c>
      <c r="D4825">
        <v>6653</v>
      </c>
      <c r="E4825">
        <v>2021</v>
      </c>
      <c r="F4825">
        <v>1</v>
      </c>
      <c r="G4825">
        <v>10303</v>
      </c>
      <c r="H4825" s="1">
        <v>3</v>
      </c>
      <c r="I4825">
        <v>13</v>
      </c>
      <c r="J4825">
        <f>IF($H4825=0,1,IF($I4825&lt;=1,2,0))</f>
        <v>0</v>
      </c>
      <c r="K4825">
        <v>0</v>
      </c>
      <c r="L4825">
        <f>IF(AND($J4825=0,$K4825=0),0,1)</f>
        <v>0</v>
      </c>
      <c r="M4825" t="s">
        <v>1375</v>
      </c>
    </row>
    <row r="4826" spans="1:13" x14ac:dyDescent="0.2">
      <c r="A4826" t="s">
        <v>54</v>
      </c>
      <c r="B4826" t="s">
        <v>6</v>
      </c>
      <c r="C4826" t="s">
        <v>11</v>
      </c>
      <c r="D4826">
        <v>8003</v>
      </c>
      <c r="E4826">
        <v>2021</v>
      </c>
      <c r="F4826">
        <v>1</v>
      </c>
      <c r="G4826">
        <v>20214</v>
      </c>
      <c r="H4826" s="1">
        <v>3</v>
      </c>
      <c r="I4826">
        <v>6</v>
      </c>
      <c r="J4826">
        <f>IF($H4826=0,1,IF($I4826&lt;=1,2,0))</f>
        <v>0</v>
      </c>
      <c r="K4826">
        <v>0</v>
      </c>
      <c r="L4826">
        <f>IF(AND($J4826=0,$K4826=0),0,1)</f>
        <v>0</v>
      </c>
    </row>
    <row r="4827" spans="1:13" x14ac:dyDescent="0.2">
      <c r="A4827" t="s">
        <v>70</v>
      </c>
      <c r="B4827" t="s">
        <v>71</v>
      </c>
      <c r="C4827" t="s">
        <v>72</v>
      </c>
      <c r="D4827">
        <v>6650</v>
      </c>
      <c r="E4827">
        <v>2021</v>
      </c>
      <c r="F4827">
        <v>19</v>
      </c>
      <c r="G4827">
        <v>12631</v>
      </c>
      <c r="H4827" s="1" t="s">
        <v>1828</v>
      </c>
      <c r="I4827">
        <v>2</v>
      </c>
      <c r="J4827">
        <f>IF($H4827=0,1,IF($I4827&lt;=1,2,0))</f>
        <v>0</v>
      </c>
      <c r="K4827">
        <v>0</v>
      </c>
      <c r="L4827">
        <f>IF(AND($J4827=0,$K4827=0),0,1)</f>
        <v>0</v>
      </c>
    </row>
    <row r="4828" spans="1:13" x14ac:dyDescent="0.2">
      <c r="A4828" t="s">
        <v>70</v>
      </c>
      <c r="B4828" t="s">
        <v>71</v>
      </c>
      <c r="C4828" t="s">
        <v>72</v>
      </c>
      <c r="D4828">
        <v>6650</v>
      </c>
      <c r="E4828">
        <v>2021</v>
      </c>
      <c r="F4828">
        <v>38</v>
      </c>
      <c r="G4828">
        <v>12639</v>
      </c>
      <c r="H4828" s="1" t="s">
        <v>1828</v>
      </c>
      <c r="I4828">
        <v>2</v>
      </c>
      <c r="J4828">
        <f>IF($H4828=0,1,IF($I4828&lt;=1,2,0))</f>
        <v>0</v>
      </c>
      <c r="K4828">
        <v>0</v>
      </c>
      <c r="L4828">
        <f>IF(AND($J4828=0,$K4828=0),0,1)</f>
        <v>0</v>
      </c>
    </row>
    <row r="4829" spans="1:13" x14ac:dyDescent="0.2">
      <c r="A4829" t="s">
        <v>73</v>
      </c>
      <c r="B4829" t="s">
        <v>71</v>
      </c>
      <c r="C4829" t="s">
        <v>72</v>
      </c>
      <c r="D4829">
        <v>4650</v>
      </c>
      <c r="E4829">
        <v>2021</v>
      </c>
      <c r="F4829">
        <v>1</v>
      </c>
      <c r="G4829">
        <v>13726</v>
      </c>
      <c r="H4829" s="1">
        <v>3</v>
      </c>
      <c r="I4829">
        <v>15</v>
      </c>
      <c r="J4829">
        <f>IF($H4829=0,1,IF($I4829&lt;=1,2,0))</f>
        <v>0</v>
      </c>
      <c r="K4829">
        <v>0</v>
      </c>
      <c r="L4829">
        <f>IF(AND($J4829=0,$K4829=0),0,1)</f>
        <v>0</v>
      </c>
      <c r="M4829" t="s">
        <v>74</v>
      </c>
    </row>
    <row r="4830" spans="1:13" x14ac:dyDescent="0.2">
      <c r="A4830" t="s">
        <v>854</v>
      </c>
      <c r="B4830" t="s">
        <v>71</v>
      </c>
      <c r="C4830" t="s">
        <v>72</v>
      </c>
      <c r="D4830">
        <v>4080</v>
      </c>
      <c r="E4830">
        <v>2021</v>
      </c>
      <c r="F4830">
        <v>1</v>
      </c>
      <c r="G4830">
        <v>11065</v>
      </c>
      <c r="H4830" s="1">
        <v>3</v>
      </c>
      <c r="I4830">
        <v>17</v>
      </c>
      <c r="J4830">
        <f>IF($H4830=0,1,IF($I4830&lt;=1,2,0))</f>
        <v>0</v>
      </c>
      <c r="K4830">
        <v>0</v>
      </c>
      <c r="L4830">
        <f>IF(AND($J4830=0,$K4830=0),0,1)</f>
        <v>0</v>
      </c>
    </row>
    <row r="4831" spans="1:13" x14ac:dyDescent="0.2">
      <c r="A4831" t="s">
        <v>75</v>
      </c>
      <c r="B4831" t="s">
        <v>71</v>
      </c>
      <c r="C4831" t="s">
        <v>72</v>
      </c>
      <c r="D4831">
        <v>2000</v>
      </c>
      <c r="E4831">
        <v>2021</v>
      </c>
      <c r="F4831">
        <v>2</v>
      </c>
      <c r="G4831">
        <v>12729</v>
      </c>
      <c r="H4831" s="1">
        <v>4</v>
      </c>
      <c r="I4831">
        <v>122</v>
      </c>
      <c r="J4831">
        <f>IF($H4831=0,1,IF($I4831&lt;=1,2,0))</f>
        <v>0</v>
      </c>
      <c r="K4831">
        <v>0</v>
      </c>
      <c r="L4831">
        <f>IF(AND($J4831=0,$K4831=0),0,1)</f>
        <v>0</v>
      </c>
      <c r="M4831" t="s">
        <v>76</v>
      </c>
    </row>
    <row r="4832" spans="1:13" x14ac:dyDescent="0.2">
      <c r="A4832" t="s">
        <v>75</v>
      </c>
      <c r="B4832" t="s">
        <v>71</v>
      </c>
      <c r="C4832" t="s">
        <v>72</v>
      </c>
      <c r="D4832">
        <v>2000</v>
      </c>
      <c r="E4832">
        <v>2021</v>
      </c>
      <c r="F4832">
        <v>3</v>
      </c>
      <c r="G4832">
        <v>12730</v>
      </c>
      <c r="H4832" s="1">
        <v>4</v>
      </c>
      <c r="I4832">
        <v>81</v>
      </c>
      <c r="J4832">
        <f>IF($H4832=0,1,IF($I4832&lt;=1,2,0))</f>
        <v>0</v>
      </c>
      <c r="K4832">
        <v>0</v>
      </c>
      <c r="L4832">
        <f>IF(AND($J4832=0,$K4832=0),0,1)</f>
        <v>0</v>
      </c>
      <c r="M4832" t="s">
        <v>76</v>
      </c>
    </row>
    <row r="4833" spans="1:13" x14ac:dyDescent="0.2">
      <c r="A4833" t="s">
        <v>75</v>
      </c>
      <c r="B4833" t="s">
        <v>71</v>
      </c>
      <c r="C4833" t="s">
        <v>72</v>
      </c>
      <c r="D4833">
        <v>2000</v>
      </c>
      <c r="E4833">
        <v>2021</v>
      </c>
      <c r="F4833">
        <v>1</v>
      </c>
      <c r="G4833">
        <v>12728</v>
      </c>
      <c r="H4833" s="1">
        <v>4</v>
      </c>
      <c r="I4833">
        <v>35</v>
      </c>
      <c r="J4833">
        <f>IF($H4833=0,1,IF($I4833&lt;=1,2,0))</f>
        <v>0</v>
      </c>
      <c r="K4833">
        <v>0</v>
      </c>
      <c r="L4833">
        <f>IF(AND($J4833=0,$K4833=0),0,1)</f>
        <v>0</v>
      </c>
      <c r="M4833" t="s">
        <v>76</v>
      </c>
    </row>
    <row r="4834" spans="1:13" x14ac:dyDescent="0.2">
      <c r="A4834" t="s">
        <v>75</v>
      </c>
      <c r="B4834" t="s">
        <v>71</v>
      </c>
      <c r="C4834" t="s">
        <v>72</v>
      </c>
      <c r="D4834">
        <v>2101</v>
      </c>
      <c r="E4834">
        <v>2021</v>
      </c>
      <c r="F4834">
        <v>1</v>
      </c>
      <c r="G4834">
        <v>12740</v>
      </c>
      <c r="H4834" s="1">
        <v>3</v>
      </c>
      <c r="I4834">
        <v>35</v>
      </c>
      <c r="J4834">
        <f>IF($H4834=0,1,IF($I4834&lt;=1,2,0))</f>
        <v>0</v>
      </c>
      <c r="K4834">
        <v>0</v>
      </c>
      <c r="L4834">
        <f>IF(AND($J4834=0,$K4834=0),0,1)</f>
        <v>0</v>
      </c>
    </row>
    <row r="4835" spans="1:13" x14ac:dyDescent="0.2">
      <c r="A4835" t="s">
        <v>75</v>
      </c>
      <c r="B4835" t="s">
        <v>71</v>
      </c>
      <c r="C4835" t="s">
        <v>72</v>
      </c>
      <c r="D4835">
        <v>3101</v>
      </c>
      <c r="E4835">
        <v>2021</v>
      </c>
      <c r="F4835">
        <v>1</v>
      </c>
      <c r="G4835">
        <v>12741</v>
      </c>
      <c r="H4835" s="1">
        <v>3</v>
      </c>
      <c r="I4835">
        <v>23</v>
      </c>
      <c r="J4835">
        <f>IF($H4835=0,1,IF($I4835&lt;=1,2,0))</f>
        <v>0</v>
      </c>
      <c r="K4835">
        <v>0</v>
      </c>
      <c r="L4835">
        <f>IF(AND($J4835=0,$K4835=0),0,1)</f>
        <v>0</v>
      </c>
    </row>
    <row r="4836" spans="1:13" x14ac:dyDescent="0.2">
      <c r="A4836" t="s">
        <v>75</v>
      </c>
      <c r="B4836" t="s">
        <v>71</v>
      </c>
      <c r="C4836" t="s">
        <v>72</v>
      </c>
      <c r="D4836">
        <v>4007</v>
      </c>
      <c r="E4836">
        <v>2021</v>
      </c>
      <c r="F4836">
        <v>1</v>
      </c>
      <c r="G4836">
        <v>13585</v>
      </c>
      <c r="H4836" s="1">
        <v>3</v>
      </c>
      <c r="I4836">
        <v>83</v>
      </c>
      <c r="J4836">
        <f>IF($H4836=0,1,IF($I4836&lt;=1,2,0))</f>
        <v>0</v>
      </c>
      <c r="K4836">
        <v>0</v>
      </c>
      <c r="L4836">
        <f>IF(AND($J4836=0,$K4836=0),0,1)</f>
        <v>0</v>
      </c>
      <c r="M4836" t="s">
        <v>74</v>
      </c>
    </row>
    <row r="4837" spans="1:13" x14ac:dyDescent="0.2">
      <c r="A4837" t="s">
        <v>75</v>
      </c>
      <c r="B4837" t="s">
        <v>71</v>
      </c>
      <c r="C4837" t="s">
        <v>72</v>
      </c>
      <c r="D4837">
        <v>4200</v>
      </c>
      <c r="E4837">
        <v>2021</v>
      </c>
      <c r="F4837">
        <v>1</v>
      </c>
      <c r="G4837">
        <v>12742</v>
      </c>
      <c r="H4837" s="1">
        <v>3</v>
      </c>
      <c r="I4837">
        <v>44</v>
      </c>
      <c r="J4837">
        <f>IF($H4837=0,1,IF($I4837&lt;=1,2,0))</f>
        <v>0</v>
      </c>
      <c r="K4837">
        <v>0</v>
      </c>
      <c r="L4837">
        <f>IF(AND($J4837=0,$K4837=0),0,1)</f>
        <v>0</v>
      </c>
      <c r="M4837" t="s">
        <v>74</v>
      </c>
    </row>
    <row r="4838" spans="1:13" x14ac:dyDescent="0.2">
      <c r="A4838" t="s">
        <v>75</v>
      </c>
      <c r="B4838" t="s">
        <v>71</v>
      </c>
      <c r="C4838" t="s">
        <v>72</v>
      </c>
      <c r="D4838">
        <v>4200</v>
      </c>
      <c r="E4838">
        <v>2021</v>
      </c>
      <c r="F4838">
        <v>2</v>
      </c>
      <c r="G4838">
        <v>18524</v>
      </c>
      <c r="H4838" s="1">
        <v>3</v>
      </c>
      <c r="I4838">
        <v>27</v>
      </c>
      <c r="J4838">
        <f>IF($H4838=0,1,IF($I4838&lt;=1,2,0))</f>
        <v>0</v>
      </c>
      <c r="K4838">
        <v>0</v>
      </c>
      <c r="L4838">
        <f>IF(AND($J4838=0,$K4838=0),0,1)</f>
        <v>0</v>
      </c>
      <c r="M4838" t="s">
        <v>74</v>
      </c>
    </row>
    <row r="4839" spans="1:13" x14ac:dyDescent="0.2">
      <c r="A4839" t="s">
        <v>75</v>
      </c>
      <c r="B4839" t="s">
        <v>71</v>
      </c>
      <c r="C4839" t="s">
        <v>72</v>
      </c>
      <c r="D4839">
        <v>4200</v>
      </c>
      <c r="E4839">
        <v>2021</v>
      </c>
      <c r="F4839" t="s">
        <v>84</v>
      </c>
      <c r="G4839">
        <v>16097</v>
      </c>
      <c r="H4839" s="1">
        <v>3</v>
      </c>
      <c r="I4839">
        <v>6</v>
      </c>
      <c r="J4839">
        <f>IF($H4839=0,1,IF($I4839&lt;=1,2,0))</f>
        <v>0</v>
      </c>
      <c r="K4839">
        <v>0</v>
      </c>
      <c r="L4839">
        <f>IF(AND($J4839=0,$K4839=0),0,1)</f>
        <v>0</v>
      </c>
      <c r="M4839" t="s">
        <v>85</v>
      </c>
    </row>
    <row r="4840" spans="1:13" x14ac:dyDescent="0.2">
      <c r="A4840" t="s">
        <v>75</v>
      </c>
      <c r="B4840" t="s">
        <v>71</v>
      </c>
      <c r="C4840" t="s">
        <v>72</v>
      </c>
      <c r="D4840">
        <v>4204</v>
      </c>
      <c r="E4840">
        <v>2021</v>
      </c>
      <c r="F4840">
        <v>1</v>
      </c>
      <c r="G4840">
        <v>12743</v>
      </c>
      <c r="H4840" s="1">
        <v>3</v>
      </c>
      <c r="I4840">
        <v>69</v>
      </c>
      <c r="J4840">
        <f>IF($H4840=0,1,IF($I4840&lt;=1,2,0))</f>
        <v>0</v>
      </c>
      <c r="K4840">
        <v>0</v>
      </c>
      <c r="L4840">
        <f>IF(AND($J4840=0,$K4840=0),0,1)</f>
        <v>0</v>
      </c>
    </row>
    <row r="4841" spans="1:13" x14ac:dyDescent="0.2">
      <c r="A4841" t="s">
        <v>75</v>
      </c>
      <c r="B4841" t="s">
        <v>71</v>
      </c>
      <c r="C4841" t="s">
        <v>72</v>
      </c>
      <c r="D4841">
        <v>4204</v>
      </c>
      <c r="E4841">
        <v>2021</v>
      </c>
      <c r="F4841" t="s">
        <v>84</v>
      </c>
      <c r="G4841">
        <v>16098</v>
      </c>
      <c r="H4841" s="1">
        <v>3</v>
      </c>
      <c r="I4841">
        <v>6</v>
      </c>
      <c r="J4841">
        <f>IF($H4841=0,1,IF($I4841&lt;=1,2,0))</f>
        <v>0</v>
      </c>
      <c r="K4841">
        <v>0</v>
      </c>
      <c r="L4841">
        <f>IF(AND($J4841=0,$K4841=0),0,1)</f>
        <v>0</v>
      </c>
      <c r="M4841" t="s">
        <v>85</v>
      </c>
    </row>
    <row r="4842" spans="1:13" x14ac:dyDescent="0.2">
      <c r="A4842" t="s">
        <v>75</v>
      </c>
      <c r="B4842" t="s">
        <v>71</v>
      </c>
      <c r="C4842" t="s">
        <v>72</v>
      </c>
      <c r="D4842">
        <v>4300</v>
      </c>
      <c r="E4842">
        <v>2021</v>
      </c>
      <c r="F4842">
        <v>1</v>
      </c>
      <c r="G4842">
        <v>12744</v>
      </c>
      <c r="H4842" s="1">
        <v>3</v>
      </c>
      <c r="I4842">
        <v>111</v>
      </c>
      <c r="J4842">
        <f>IF($H4842=0,1,IF($I4842&lt;=1,2,0))</f>
        <v>0</v>
      </c>
      <c r="K4842">
        <v>0</v>
      </c>
      <c r="L4842">
        <f>IF(AND($J4842=0,$K4842=0),0,1)</f>
        <v>0</v>
      </c>
      <c r="M4842" t="s">
        <v>74</v>
      </c>
    </row>
    <row r="4843" spans="1:13" x14ac:dyDescent="0.2">
      <c r="A4843" t="s">
        <v>75</v>
      </c>
      <c r="B4843" t="s">
        <v>71</v>
      </c>
      <c r="C4843" t="s">
        <v>72</v>
      </c>
      <c r="D4843">
        <v>4300</v>
      </c>
      <c r="E4843">
        <v>2021</v>
      </c>
      <c r="F4843" t="s">
        <v>84</v>
      </c>
      <c r="G4843">
        <v>20227</v>
      </c>
      <c r="H4843" s="1">
        <v>3</v>
      </c>
      <c r="I4843">
        <v>3</v>
      </c>
      <c r="J4843">
        <f>IF($H4843=0,1,IF($I4843&lt;=1,2,0))</f>
        <v>0</v>
      </c>
      <c r="K4843">
        <v>0</v>
      </c>
      <c r="L4843">
        <f>IF(AND($J4843=0,$K4843=0),0,1)</f>
        <v>0</v>
      </c>
      <c r="M4843" t="s">
        <v>85</v>
      </c>
    </row>
    <row r="4844" spans="1:13" x14ac:dyDescent="0.2">
      <c r="A4844" t="s">
        <v>75</v>
      </c>
      <c r="B4844" t="s">
        <v>71</v>
      </c>
      <c r="C4844" t="s">
        <v>72</v>
      </c>
      <c r="D4844">
        <v>4302</v>
      </c>
      <c r="E4844">
        <v>2021</v>
      </c>
      <c r="F4844">
        <v>1</v>
      </c>
      <c r="G4844">
        <v>12745</v>
      </c>
      <c r="H4844" s="1">
        <v>3</v>
      </c>
      <c r="I4844">
        <v>29</v>
      </c>
      <c r="J4844">
        <f>IF($H4844=0,1,IF($I4844&lt;=1,2,0))</f>
        <v>0</v>
      </c>
      <c r="K4844">
        <v>0</v>
      </c>
      <c r="L4844">
        <f>IF(AND($J4844=0,$K4844=0),0,1)</f>
        <v>0</v>
      </c>
    </row>
    <row r="4845" spans="1:13" x14ac:dyDescent="0.2">
      <c r="A4845" t="s">
        <v>75</v>
      </c>
      <c r="B4845" t="s">
        <v>71</v>
      </c>
      <c r="C4845" t="s">
        <v>72</v>
      </c>
      <c r="D4845">
        <v>4302</v>
      </c>
      <c r="E4845">
        <v>2021</v>
      </c>
      <c r="F4845" t="s">
        <v>84</v>
      </c>
      <c r="G4845">
        <v>16099</v>
      </c>
      <c r="H4845" s="1">
        <v>3</v>
      </c>
      <c r="I4845">
        <v>3</v>
      </c>
      <c r="J4845">
        <f>IF($H4845=0,1,IF($I4845&lt;=1,2,0))</f>
        <v>0</v>
      </c>
      <c r="K4845">
        <v>0</v>
      </c>
      <c r="L4845">
        <f>IF(AND($J4845=0,$K4845=0),0,1)</f>
        <v>0</v>
      </c>
      <c r="M4845" t="s">
        <v>85</v>
      </c>
    </row>
    <row r="4846" spans="1:13" x14ac:dyDescent="0.2">
      <c r="A4846" t="s">
        <v>75</v>
      </c>
      <c r="B4846" t="s">
        <v>71</v>
      </c>
      <c r="C4846" t="s">
        <v>72</v>
      </c>
      <c r="D4846">
        <v>4901</v>
      </c>
      <c r="E4846">
        <v>2021</v>
      </c>
      <c r="F4846">
        <v>1</v>
      </c>
      <c r="G4846">
        <v>12746</v>
      </c>
      <c r="H4846" s="1" t="s">
        <v>1831</v>
      </c>
      <c r="I4846">
        <v>66</v>
      </c>
      <c r="J4846">
        <f>IF($H4846=0,1,IF($I4846&lt;=1,2,0))</f>
        <v>0</v>
      </c>
      <c r="K4846">
        <v>0</v>
      </c>
      <c r="L4846">
        <f>IF(AND($J4846=0,$K4846=0),0,1)</f>
        <v>0</v>
      </c>
    </row>
    <row r="4847" spans="1:13" x14ac:dyDescent="0.2">
      <c r="A4847" t="s">
        <v>75</v>
      </c>
      <c r="B4847" t="s">
        <v>71</v>
      </c>
      <c r="C4847" t="s">
        <v>72</v>
      </c>
      <c r="D4847">
        <v>4903</v>
      </c>
      <c r="E4847">
        <v>2021</v>
      </c>
      <c r="F4847">
        <v>1</v>
      </c>
      <c r="G4847">
        <v>12747</v>
      </c>
      <c r="H4847" s="1" t="s">
        <v>1824</v>
      </c>
      <c r="I4847">
        <v>54</v>
      </c>
      <c r="J4847">
        <f>IF($H4847=0,1,IF($I4847&lt;=1,2,0))</f>
        <v>0</v>
      </c>
      <c r="K4847">
        <v>0</v>
      </c>
      <c r="L4847">
        <f>IF(AND($J4847=0,$K4847=0),0,1)</f>
        <v>0</v>
      </c>
    </row>
    <row r="4848" spans="1:13" x14ac:dyDescent="0.2">
      <c r="A4848" t="s">
        <v>75</v>
      </c>
      <c r="B4848" t="s">
        <v>71</v>
      </c>
      <c r="C4848" t="s">
        <v>72</v>
      </c>
      <c r="D4848">
        <v>4990</v>
      </c>
      <c r="E4848">
        <v>2021</v>
      </c>
      <c r="F4848">
        <v>1</v>
      </c>
      <c r="G4848">
        <v>13590</v>
      </c>
      <c r="H4848" s="1">
        <v>3</v>
      </c>
      <c r="I4848">
        <v>31</v>
      </c>
      <c r="J4848">
        <f>IF($H4848=0,1,IF($I4848&lt;=1,2,0))</f>
        <v>0</v>
      </c>
      <c r="K4848">
        <v>0</v>
      </c>
      <c r="L4848">
        <f>IF(AND($J4848=0,$K4848=0),0,1)</f>
        <v>0</v>
      </c>
    </row>
    <row r="4849" spans="1:13" x14ac:dyDescent="0.2">
      <c r="A4849" t="s">
        <v>75</v>
      </c>
      <c r="B4849" t="s">
        <v>71</v>
      </c>
      <c r="C4849" t="s">
        <v>72</v>
      </c>
      <c r="D4849">
        <v>4990</v>
      </c>
      <c r="E4849">
        <v>2021</v>
      </c>
      <c r="F4849">
        <v>2</v>
      </c>
      <c r="G4849">
        <v>18525</v>
      </c>
      <c r="H4849" s="1">
        <v>3</v>
      </c>
      <c r="I4849">
        <v>30</v>
      </c>
      <c r="J4849">
        <f>IF($H4849=0,1,IF($I4849&lt;=1,2,0))</f>
        <v>0</v>
      </c>
      <c r="K4849">
        <v>0</v>
      </c>
      <c r="L4849">
        <f>IF(AND($J4849=0,$K4849=0),0,1)</f>
        <v>0</v>
      </c>
    </row>
    <row r="4850" spans="1:13" x14ac:dyDescent="0.2">
      <c r="A4850" t="s">
        <v>75</v>
      </c>
      <c r="B4850" t="s">
        <v>71</v>
      </c>
      <c r="C4850" t="s">
        <v>72</v>
      </c>
      <c r="D4850">
        <v>6301</v>
      </c>
      <c r="E4850">
        <v>2021</v>
      </c>
      <c r="F4850">
        <v>1</v>
      </c>
      <c r="G4850">
        <v>13584</v>
      </c>
      <c r="H4850" s="1">
        <v>3</v>
      </c>
      <c r="I4850">
        <v>20</v>
      </c>
      <c r="J4850">
        <f>IF($H4850=0,1,IF($I4850&lt;=1,2,0))</f>
        <v>0</v>
      </c>
      <c r="K4850">
        <v>0</v>
      </c>
      <c r="L4850">
        <f>IF(AND($J4850=0,$K4850=0),0,1)</f>
        <v>0</v>
      </c>
    </row>
    <row r="4851" spans="1:13" x14ac:dyDescent="0.2">
      <c r="A4851" t="s">
        <v>86</v>
      </c>
      <c r="B4851" t="s">
        <v>71</v>
      </c>
      <c r="C4851" t="s">
        <v>72</v>
      </c>
      <c r="D4851">
        <v>3200</v>
      </c>
      <c r="E4851">
        <v>2021</v>
      </c>
      <c r="F4851">
        <v>1</v>
      </c>
      <c r="G4851">
        <v>13549</v>
      </c>
      <c r="H4851" s="1">
        <v>3</v>
      </c>
      <c r="I4851">
        <v>11</v>
      </c>
      <c r="J4851">
        <f>IF($H4851=0,1,IF($I4851&lt;=1,2,0))</f>
        <v>0</v>
      </c>
      <c r="K4851">
        <v>0</v>
      </c>
      <c r="L4851">
        <f>IF(AND($J4851=0,$K4851=0),0,1)</f>
        <v>0</v>
      </c>
    </row>
    <row r="4852" spans="1:13" x14ac:dyDescent="0.2">
      <c r="A4852" t="s">
        <v>86</v>
      </c>
      <c r="B4852" t="s">
        <v>71</v>
      </c>
      <c r="C4852" t="s">
        <v>72</v>
      </c>
      <c r="D4852">
        <v>4010</v>
      </c>
      <c r="E4852">
        <v>2021</v>
      </c>
      <c r="F4852">
        <v>1</v>
      </c>
      <c r="G4852">
        <v>13550</v>
      </c>
      <c r="H4852" s="1">
        <v>3</v>
      </c>
      <c r="I4852">
        <v>27</v>
      </c>
      <c r="J4852">
        <f>IF($H4852=0,1,IF($I4852&lt;=1,2,0))</f>
        <v>0</v>
      </c>
      <c r="K4852">
        <v>0</v>
      </c>
      <c r="L4852">
        <f>IF(AND($J4852=0,$K4852=0),0,1)</f>
        <v>0</v>
      </c>
    </row>
    <row r="4853" spans="1:13" x14ac:dyDescent="0.2">
      <c r="A4853" t="s">
        <v>86</v>
      </c>
      <c r="B4853" t="s">
        <v>71</v>
      </c>
      <c r="C4853" t="s">
        <v>72</v>
      </c>
      <c r="D4853">
        <v>4100</v>
      </c>
      <c r="E4853">
        <v>2021</v>
      </c>
      <c r="F4853">
        <v>1</v>
      </c>
      <c r="G4853">
        <v>13551</v>
      </c>
      <c r="H4853" s="1">
        <v>3</v>
      </c>
      <c r="I4853">
        <v>28</v>
      </c>
      <c r="J4853">
        <f>IF($H4853=0,1,IF($I4853&lt;=1,2,0))</f>
        <v>0</v>
      </c>
      <c r="K4853">
        <v>0</v>
      </c>
      <c r="L4853">
        <f>IF(AND($J4853=0,$K4853=0),0,1)</f>
        <v>0</v>
      </c>
    </row>
    <row r="4854" spans="1:13" x14ac:dyDescent="0.2">
      <c r="A4854" t="s">
        <v>86</v>
      </c>
      <c r="B4854" t="s">
        <v>71</v>
      </c>
      <c r="C4854" t="s">
        <v>72</v>
      </c>
      <c r="D4854">
        <v>4112</v>
      </c>
      <c r="E4854">
        <v>2021</v>
      </c>
      <c r="F4854">
        <v>1</v>
      </c>
      <c r="G4854">
        <v>13552</v>
      </c>
      <c r="H4854" s="1">
        <v>3</v>
      </c>
      <c r="I4854">
        <v>14</v>
      </c>
      <c r="J4854">
        <f>IF($H4854=0,1,IF($I4854&lt;=1,2,0))</f>
        <v>0</v>
      </c>
      <c r="K4854">
        <v>0</v>
      </c>
      <c r="L4854">
        <f>IF(AND($J4854=0,$K4854=0),0,1)</f>
        <v>0</v>
      </c>
    </row>
    <row r="4855" spans="1:13" x14ac:dyDescent="0.2">
      <c r="A4855" t="s">
        <v>86</v>
      </c>
      <c r="B4855" t="s">
        <v>71</v>
      </c>
      <c r="C4855" t="s">
        <v>72</v>
      </c>
      <c r="D4855">
        <v>4112</v>
      </c>
      <c r="E4855">
        <v>2021</v>
      </c>
      <c r="F4855" t="s">
        <v>84</v>
      </c>
      <c r="G4855">
        <v>16102</v>
      </c>
      <c r="H4855" s="1">
        <v>3</v>
      </c>
      <c r="I4855">
        <v>2</v>
      </c>
      <c r="J4855">
        <f>IF($H4855=0,1,IF($I4855&lt;=1,2,0))</f>
        <v>0</v>
      </c>
      <c r="K4855">
        <v>0</v>
      </c>
      <c r="L4855">
        <f>IF(AND($J4855=0,$K4855=0),0,1)</f>
        <v>0</v>
      </c>
      <c r="M4855" t="s">
        <v>85</v>
      </c>
    </row>
    <row r="4856" spans="1:13" x14ac:dyDescent="0.2">
      <c r="A4856" t="s">
        <v>86</v>
      </c>
      <c r="B4856" t="s">
        <v>71</v>
      </c>
      <c r="C4856" t="s">
        <v>72</v>
      </c>
      <c r="D4856">
        <v>4130</v>
      </c>
      <c r="E4856">
        <v>2021</v>
      </c>
      <c r="F4856">
        <v>1</v>
      </c>
      <c r="G4856">
        <v>13553</v>
      </c>
      <c r="H4856" s="1">
        <v>3</v>
      </c>
      <c r="I4856">
        <v>8</v>
      </c>
      <c r="J4856">
        <f>IF($H4856=0,1,IF($I4856&lt;=1,2,0))</f>
        <v>0</v>
      </c>
      <c r="K4856">
        <v>0</v>
      </c>
      <c r="L4856">
        <f>IF(AND($J4856=0,$K4856=0),0,1)</f>
        <v>0</v>
      </c>
    </row>
    <row r="4857" spans="1:13" x14ac:dyDescent="0.2">
      <c r="A4857" t="s">
        <v>86</v>
      </c>
      <c r="B4857" t="s">
        <v>71</v>
      </c>
      <c r="C4857" t="s">
        <v>72</v>
      </c>
      <c r="D4857">
        <v>4300</v>
      </c>
      <c r="E4857">
        <v>2021</v>
      </c>
      <c r="F4857">
        <v>1</v>
      </c>
      <c r="G4857">
        <v>13554</v>
      </c>
      <c r="H4857" s="1">
        <v>3</v>
      </c>
      <c r="I4857">
        <v>31</v>
      </c>
      <c r="J4857">
        <f>IF($H4857=0,1,IF($I4857&lt;=1,2,0))</f>
        <v>0</v>
      </c>
      <c r="K4857">
        <v>0</v>
      </c>
      <c r="L4857">
        <f>IF(AND($J4857=0,$K4857=0),0,1)</f>
        <v>0</v>
      </c>
    </row>
    <row r="4858" spans="1:13" x14ac:dyDescent="0.2">
      <c r="A4858" t="s">
        <v>86</v>
      </c>
      <c r="B4858" t="s">
        <v>71</v>
      </c>
      <c r="C4858" t="s">
        <v>72</v>
      </c>
      <c r="D4858">
        <v>4300</v>
      </c>
      <c r="E4858">
        <v>2021</v>
      </c>
      <c r="F4858" t="s">
        <v>84</v>
      </c>
      <c r="G4858">
        <v>16421</v>
      </c>
      <c r="H4858" s="1">
        <v>3</v>
      </c>
      <c r="I4858">
        <v>6</v>
      </c>
      <c r="J4858">
        <f>IF($H4858=0,1,IF($I4858&lt;=1,2,0))</f>
        <v>0</v>
      </c>
      <c r="K4858">
        <v>0</v>
      </c>
      <c r="L4858">
        <f>IF(AND($J4858=0,$K4858=0),0,1)</f>
        <v>0</v>
      </c>
      <c r="M4858" t="s">
        <v>85</v>
      </c>
    </row>
    <row r="4859" spans="1:13" x14ac:dyDescent="0.2">
      <c r="A4859" t="s">
        <v>86</v>
      </c>
      <c r="B4859" t="s">
        <v>71</v>
      </c>
      <c r="C4859" t="s">
        <v>72</v>
      </c>
      <c r="D4859">
        <v>4330</v>
      </c>
      <c r="E4859">
        <v>2021</v>
      </c>
      <c r="F4859">
        <v>1</v>
      </c>
      <c r="G4859">
        <v>13942</v>
      </c>
      <c r="H4859" s="1">
        <v>3</v>
      </c>
      <c r="I4859">
        <v>4</v>
      </c>
      <c r="J4859">
        <f>IF($H4859=0,1,IF($I4859&lt;=1,2,0))</f>
        <v>0</v>
      </c>
      <c r="K4859">
        <v>0</v>
      </c>
      <c r="L4859">
        <f>IF(AND($J4859=0,$K4859=0),0,1)</f>
        <v>0</v>
      </c>
    </row>
    <row r="4860" spans="1:13" x14ac:dyDescent="0.2">
      <c r="A4860" t="s">
        <v>86</v>
      </c>
      <c r="B4860" t="s">
        <v>71</v>
      </c>
      <c r="C4860" t="s">
        <v>72</v>
      </c>
      <c r="D4860">
        <v>4600</v>
      </c>
      <c r="E4860">
        <v>2021</v>
      </c>
      <c r="F4860">
        <v>1</v>
      </c>
      <c r="G4860">
        <v>13727</v>
      </c>
      <c r="H4860" s="1">
        <v>3</v>
      </c>
      <c r="I4860">
        <v>14</v>
      </c>
      <c r="J4860">
        <f>IF($H4860=0,1,IF($I4860&lt;=1,2,0))</f>
        <v>0</v>
      </c>
      <c r="K4860">
        <v>0</v>
      </c>
      <c r="L4860">
        <f>IF(AND($J4860=0,$K4860=0),0,1)</f>
        <v>0</v>
      </c>
    </row>
    <row r="4861" spans="1:13" x14ac:dyDescent="0.2">
      <c r="A4861" t="s">
        <v>86</v>
      </c>
      <c r="B4861" t="s">
        <v>71</v>
      </c>
      <c r="C4861" t="s">
        <v>72</v>
      </c>
      <c r="D4861">
        <v>4710</v>
      </c>
      <c r="E4861">
        <v>2021</v>
      </c>
      <c r="F4861">
        <v>1</v>
      </c>
      <c r="G4861">
        <v>13724</v>
      </c>
      <c r="H4861" s="1">
        <v>3</v>
      </c>
      <c r="I4861">
        <v>14</v>
      </c>
      <c r="J4861">
        <f>IF($H4861=0,1,IF($I4861&lt;=1,2,0))</f>
        <v>0</v>
      </c>
      <c r="K4861">
        <v>0</v>
      </c>
      <c r="L4861">
        <f>IF(AND($J4861=0,$K4861=0),0,1)</f>
        <v>0</v>
      </c>
      <c r="M4861" t="s">
        <v>88</v>
      </c>
    </row>
    <row r="4862" spans="1:13" x14ac:dyDescent="0.2">
      <c r="A4862" t="s">
        <v>86</v>
      </c>
      <c r="B4862" t="s">
        <v>71</v>
      </c>
      <c r="C4862" t="s">
        <v>72</v>
      </c>
      <c r="D4862">
        <v>4901</v>
      </c>
      <c r="E4862">
        <v>2021</v>
      </c>
      <c r="F4862">
        <v>1</v>
      </c>
      <c r="G4862">
        <v>13555</v>
      </c>
      <c r="H4862" s="1">
        <v>1</v>
      </c>
      <c r="I4862">
        <v>9</v>
      </c>
      <c r="J4862">
        <f>IF($H4862=0,1,IF($I4862&lt;=1,2,0))</f>
        <v>0</v>
      </c>
      <c r="K4862">
        <v>0</v>
      </c>
      <c r="L4862">
        <f>IF(AND($J4862=0,$K4862=0),0,1)</f>
        <v>0</v>
      </c>
    </row>
    <row r="4863" spans="1:13" x14ac:dyDescent="0.2">
      <c r="A4863" t="s">
        <v>86</v>
      </c>
      <c r="B4863" t="s">
        <v>71</v>
      </c>
      <c r="C4863" t="s">
        <v>72</v>
      </c>
      <c r="D4863">
        <v>4903</v>
      </c>
      <c r="E4863">
        <v>2021</v>
      </c>
      <c r="F4863">
        <v>1</v>
      </c>
      <c r="G4863">
        <v>13556</v>
      </c>
      <c r="H4863" s="1">
        <v>2</v>
      </c>
      <c r="I4863">
        <v>16</v>
      </c>
      <c r="J4863">
        <f>IF($H4863=0,1,IF($I4863&lt;=1,2,0))</f>
        <v>0</v>
      </c>
      <c r="K4863">
        <v>0</v>
      </c>
      <c r="L4863">
        <f>IF(AND($J4863=0,$K4863=0),0,1)</f>
        <v>0</v>
      </c>
    </row>
    <row r="4864" spans="1:13" x14ac:dyDescent="0.2">
      <c r="A4864" t="s">
        <v>86</v>
      </c>
      <c r="B4864" t="s">
        <v>71</v>
      </c>
      <c r="C4864" t="s">
        <v>72</v>
      </c>
      <c r="D4864">
        <v>6081</v>
      </c>
      <c r="E4864">
        <v>2021</v>
      </c>
      <c r="F4864">
        <v>0</v>
      </c>
      <c r="G4864">
        <v>13557</v>
      </c>
      <c r="H4864" s="1">
        <v>3</v>
      </c>
      <c r="I4864">
        <v>19</v>
      </c>
      <c r="J4864">
        <f>IF($H4864=0,1,IF($I4864&lt;=1,2,0))</f>
        <v>0</v>
      </c>
      <c r="K4864">
        <v>0</v>
      </c>
      <c r="L4864">
        <f>IF(AND($J4864=0,$K4864=0),0,1)</f>
        <v>0</v>
      </c>
    </row>
    <row r="4865" spans="1:13" x14ac:dyDescent="0.2">
      <c r="A4865" t="s">
        <v>86</v>
      </c>
      <c r="B4865" t="s">
        <v>71</v>
      </c>
      <c r="C4865" t="s">
        <v>72</v>
      </c>
      <c r="D4865">
        <v>6101</v>
      </c>
      <c r="E4865">
        <v>2021</v>
      </c>
      <c r="F4865">
        <v>1</v>
      </c>
      <c r="G4865">
        <v>13558</v>
      </c>
      <c r="H4865" s="1">
        <v>3</v>
      </c>
      <c r="I4865">
        <v>10</v>
      </c>
      <c r="J4865">
        <f>IF($H4865=0,1,IF($I4865&lt;=1,2,0))</f>
        <v>0</v>
      </c>
      <c r="K4865">
        <v>0</v>
      </c>
      <c r="L4865">
        <f>IF(AND($J4865=0,$K4865=0),0,1)</f>
        <v>0</v>
      </c>
    </row>
    <row r="4866" spans="1:13" x14ac:dyDescent="0.2">
      <c r="A4866" t="s">
        <v>86</v>
      </c>
      <c r="B4866" t="s">
        <v>71</v>
      </c>
      <c r="C4866" t="s">
        <v>72</v>
      </c>
      <c r="D4866">
        <v>6333</v>
      </c>
      <c r="E4866">
        <v>2021</v>
      </c>
      <c r="F4866">
        <v>1</v>
      </c>
      <c r="G4866">
        <v>13946</v>
      </c>
      <c r="H4866" s="1">
        <v>3</v>
      </c>
      <c r="I4866">
        <v>4</v>
      </c>
      <c r="J4866">
        <f>IF($H4866=0,1,IF($I4866&lt;=1,2,0))</f>
        <v>0</v>
      </c>
      <c r="K4866">
        <v>0</v>
      </c>
      <c r="L4866">
        <f>IF(AND($J4866=0,$K4866=0),0,1)</f>
        <v>0</v>
      </c>
      <c r="M4866" t="s">
        <v>89</v>
      </c>
    </row>
    <row r="4867" spans="1:13" x14ac:dyDescent="0.2">
      <c r="A4867" t="s">
        <v>86</v>
      </c>
      <c r="B4867" t="s">
        <v>71</v>
      </c>
      <c r="C4867" t="s">
        <v>72</v>
      </c>
      <c r="D4867">
        <v>6336</v>
      </c>
      <c r="E4867">
        <v>2021</v>
      </c>
      <c r="F4867">
        <v>1</v>
      </c>
      <c r="G4867">
        <v>20345</v>
      </c>
      <c r="H4867" s="1">
        <v>3</v>
      </c>
      <c r="I4867">
        <v>3</v>
      </c>
      <c r="J4867">
        <f>IF($H4867=0,1,IF($I4867&lt;=1,2,0))</f>
        <v>0</v>
      </c>
      <c r="K4867">
        <v>0</v>
      </c>
      <c r="L4867">
        <f>IF(AND($J4867=0,$K4867=0),0,1)</f>
        <v>0</v>
      </c>
    </row>
    <row r="4868" spans="1:13" x14ac:dyDescent="0.2">
      <c r="A4868" t="s">
        <v>86</v>
      </c>
      <c r="B4868" t="s">
        <v>71</v>
      </c>
      <c r="C4868" t="s">
        <v>72</v>
      </c>
      <c r="D4868">
        <v>6340</v>
      </c>
      <c r="E4868">
        <v>2021</v>
      </c>
      <c r="F4868">
        <v>1</v>
      </c>
      <c r="G4868">
        <v>13948</v>
      </c>
      <c r="H4868" s="1">
        <v>3</v>
      </c>
      <c r="I4868">
        <v>3</v>
      </c>
      <c r="J4868">
        <f>IF($H4868=0,1,IF($I4868&lt;=1,2,0))</f>
        <v>0</v>
      </c>
      <c r="K4868">
        <v>0</v>
      </c>
      <c r="L4868">
        <f>IF(AND($J4868=0,$K4868=0),0,1)</f>
        <v>0</v>
      </c>
      <c r="M4868" t="s">
        <v>90</v>
      </c>
    </row>
    <row r="4869" spans="1:13" x14ac:dyDescent="0.2">
      <c r="A4869" t="s">
        <v>93</v>
      </c>
      <c r="B4869" t="s">
        <v>17</v>
      </c>
      <c r="C4869" t="s">
        <v>9</v>
      </c>
      <c r="D4869">
        <v>1010</v>
      </c>
      <c r="E4869">
        <v>2021</v>
      </c>
      <c r="F4869">
        <v>1</v>
      </c>
      <c r="G4869">
        <v>600</v>
      </c>
      <c r="H4869" s="1">
        <v>3</v>
      </c>
      <c r="I4869">
        <v>21</v>
      </c>
      <c r="J4869">
        <f>IF($H4869=0,1,IF($I4869&lt;=1,2,0))</f>
        <v>0</v>
      </c>
      <c r="K4869">
        <v>0</v>
      </c>
      <c r="L4869">
        <f>IF(AND($J4869=0,$K4869=0),0,1)</f>
        <v>0</v>
      </c>
      <c r="M4869" t="s">
        <v>1378</v>
      </c>
    </row>
    <row r="4870" spans="1:13" x14ac:dyDescent="0.2">
      <c r="A4870" t="s">
        <v>93</v>
      </c>
      <c r="B4870" t="s">
        <v>17</v>
      </c>
      <c r="C4870" t="s">
        <v>9</v>
      </c>
      <c r="D4870">
        <v>1010</v>
      </c>
      <c r="E4870">
        <v>2021</v>
      </c>
      <c r="F4870">
        <v>2</v>
      </c>
      <c r="G4870">
        <v>601</v>
      </c>
      <c r="H4870" s="1">
        <v>3</v>
      </c>
      <c r="I4870">
        <v>20</v>
      </c>
      <c r="J4870">
        <f>IF($H4870=0,1,IF($I4870&lt;=1,2,0))</f>
        <v>0</v>
      </c>
      <c r="K4870">
        <v>0</v>
      </c>
      <c r="L4870">
        <f>IF(AND($J4870=0,$K4870=0),0,1)</f>
        <v>0</v>
      </c>
      <c r="M4870" t="s">
        <v>1378</v>
      </c>
    </row>
    <row r="4871" spans="1:13" x14ac:dyDescent="0.2">
      <c r="A4871" t="s">
        <v>93</v>
      </c>
      <c r="B4871" t="s">
        <v>17</v>
      </c>
      <c r="C4871" t="s">
        <v>21</v>
      </c>
      <c r="D4871">
        <v>1020</v>
      </c>
      <c r="E4871">
        <v>2021</v>
      </c>
      <c r="F4871">
        <v>1</v>
      </c>
      <c r="G4871">
        <v>603</v>
      </c>
      <c r="H4871" s="1">
        <v>3</v>
      </c>
      <c r="I4871">
        <v>13</v>
      </c>
      <c r="J4871">
        <f>IF($H4871=0,1,IF($I4871&lt;=1,2,0))</f>
        <v>0</v>
      </c>
      <c r="K4871">
        <v>0</v>
      </c>
      <c r="L4871">
        <f>IF(AND($J4871=0,$K4871=0),0,1)</f>
        <v>0</v>
      </c>
      <c r="M4871" t="s">
        <v>1379</v>
      </c>
    </row>
    <row r="4872" spans="1:13" x14ac:dyDescent="0.2">
      <c r="A4872" t="s">
        <v>93</v>
      </c>
      <c r="B4872" t="s">
        <v>17</v>
      </c>
      <c r="C4872" t="s">
        <v>21</v>
      </c>
      <c r="D4872">
        <v>2101</v>
      </c>
      <c r="E4872">
        <v>2021</v>
      </c>
      <c r="F4872">
        <v>2</v>
      </c>
      <c r="G4872">
        <v>614</v>
      </c>
      <c r="H4872" s="1">
        <v>4.5</v>
      </c>
      <c r="I4872">
        <v>16</v>
      </c>
      <c r="J4872">
        <f>IF($H4872=0,1,IF($I4872&lt;=1,2,0))</f>
        <v>0</v>
      </c>
      <c r="K4872">
        <v>0</v>
      </c>
      <c r="L4872">
        <f>IF(AND($J4872=0,$K4872=0),0,1)</f>
        <v>0</v>
      </c>
      <c r="M4872" t="s">
        <v>1380</v>
      </c>
    </row>
    <row r="4873" spans="1:13" x14ac:dyDescent="0.2">
      <c r="A4873" t="s">
        <v>93</v>
      </c>
      <c r="B4873" t="s">
        <v>17</v>
      </c>
      <c r="C4873" t="s">
        <v>21</v>
      </c>
      <c r="D4873">
        <v>2101</v>
      </c>
      <c r="E4873">
        <v>2021</v>
      </c>
      <c r="F4873">
        <v>1</v>
      </c>
      <c r="G4873">
        <v>613</v>
      </c>
      <c r="H4873" s="1">
        <v>4.5</v>
      </c>
      <c r="I4873">
        <v>15</v>
      </c>
      <c r="J4873">
        <f>IF($H4873=0,1,IF($I4873&lt;=1,2,0))</f>
        <v>0</v>
      </c>
      <c r="K4873">
        <v>0</v>
      </c>
      <c r="L4873">
        <f>IF(AND($J4873=0,$K4873=0),0,1)</f>
        <v>0</v>
      </c>
      <c r="M4873" t="s">
        <v>1379</v>
      </c>
    </row>
    <row r="4874" spans="1:13" x14ac:dyDescent="0.2">
      <c r="A4874" t="s">
        <v>93</v>
      </c>
      <c r="B4874" t="s">
        <v>17</v>
      </c>
      <c r="C4874" t="s">
        <v>21</v>
      </c>
      <c r="D4874">
        <v>2103</v>
      </c>
      <c r="E4874">
        <v>2021</v>
      </c>
      <c r="F4874">
        <v>1</v>
      </c>
      <c r="G4874">
        <v>615</v>
      </c>
      <c r="H4874" s="1">
        <v>4.5</v>
      </c>
      <c r="I4874">
        <v>14</v>
      </c>
      <c r="J4874">
        <f>IF($H4874=0,1,IF($I4874&lt;=1,2,0))</f>
        <v>0</v>
      </c>
      <c r="K4874">
        <v>0</v>
      </c>
      <c r="L4874">
        <f>IF(AND($J4874=0,$K4874=0),0,1)</f>
        <v>0</v>
      </c>
      <c r="M4874" t="s">
        <v>1380</v>
      </c>
    </row>
    <row r="4875" spans="1:13" x14ac:dyDescent="0.2">
      <c r="A4875" t="s">
        <v>93</v>
      </c>
      <c r="B4875" t="s">
        <v>17</v>
      </c>
      <c r="C4875" t="s">
        <v>21</v>
      </c>
      <c r="D4875">
        <v>3120</v>
      </c>
      <c r="E4875">
        <v>2021</v>
      </c>
      <c r="F4875">
        <v>1</v>
      </c>
      <c r="G4875">
        <v>618</v>
      </c>
      <c r="H4875" s="1">
        <v>3</v>
      </c>
      <c r="I4875">
        <v>51</v>
      </c>
      <c r="J4875">
        <f>IF($H4875=0,1,IF($I4875&lt;=1,2,0))</f>
        <v>0</v>
      </c>
      <c r="K4875">
        <v>0</v>
      </c>
      <c r="L4875">
        <f>IF(AND($J4875=0,$K4875=0),0,1)</f>
        <v>0</v>
      </c>
      <c r="M4875" t="s">
        <v>1381</v>
      </c>
    </row>
    <row r="4876" spans="1:13" x14ac:dyDescent="0.2">
      <c r="A4876" t="s">
        <v>93</v>
      </c>
      <c r="B4876" t="s">
        <v>17</v>
      </c>
      <c r="C4876" t="s">
        <v>21</v>
      </c>
      <c r="D4876">
        <v>3201</v>
      </c>
      <c r="E4876">
        <v>2021</v>
      </c>
      <c r="F4876">
        <v>1</v>
      </c>
      <c r="G4876">
        <v>616</v>
      </c>
      <c r="H4876" s="1">
        <v>4.5</v>
      </c>
      <c r="I4876">
        <v>28</v>
      </c>
      <c r="J4876">
        <f>IF($H4876=0,1,IF($I4876&lt;=1,2,0))</f>
        <v>0</v>
      </c>
      <c r="K4876">
        <v>0</v>
      </c>
      <c r="L4876">
        <f>IF(AND($J4876=0,$K4876=0),0,1)</f>
        <v>0</v>
      </c>
      <c r="M4876" t="s">
        <v>1380</v>
      </c>
    </row>
    <row r="4877" spans="1:13" x14ac:dyDescent="0.2">
      <c r="A4877" t="s">
        <v>93</v>
      </c>
      <c r="B4877" t="s">
        <v>17</v>
      </c>
      <c r="C4877" t="s">
        <v>21</v>
      </c>
      <c r="D4877">
        <v>3211</v>
      </c>
      <c r="E4877">
        <v>2021</v>
      </c>
      <c r="F4877">
        <v>1</v>
      </c>
      <c r="G4877">
        <v>617</v>
      </c>
      <c r="H4877" s="1">
        <v>4.5</v>
      </c>
      <c r="I4877">
        <v>10</v>
      </c>
      <c r="J4877">
        <f>IF($H4877=0,1,IF($I4877&lt;=1,2,0))</f>
        <v>0</v>
      </c>
      <c r="K4877">
        <v>0</v>
      </c>
      <c r="L4877">
        <f>IF(AND($J4877=0,$K4877=0),0,1)</f>
        <v>0</v>
      </c>
      <c r="M4877" t="s">
        <v>2034</v>
      </c>
    </row>
    <row r="4878" spans="1:13" x14ac:dyDescent="0.2">
      <c r="A4878" t="s">
        <v>93</v>
      </c>
      <c r="B4878" t="s">
        <v>17</v>
      </c>
      <c r="C4878" t="s">
        <v>21</v>
      </c>
      <c r="D4878">
        <v>3312</v>
      </c>
      <c r="E4878">
        <v>2021</v>
      </c>
      <c r="F4878">
        <v>1</v>
      </c>
      <c r="G4878">
        <v>620</v>
      </c>
      <c r="H4878" s="1">
        <v>3</v>
      </c>
      <c r="I4878">
        <v>17</v>
      </c>
      <c r="J4878">
        <f>IF($H4878=0,1,IF($I4878&lt;=1,2,0))</f>
        <v>0</v>
      </c>
      <c r="K4878">
        <v>0</v>
      </c>
      <c r="L4878">
        <f>IF(AND($J4878=0,$K4878=0),0,1)</f>
        <v>0</v>
      </c>
      <c r="M4878" t="s">
        <v>1380</v>
      </c>
    </row>
    <row r="4879" spans="1:13" x14ac:dyDescent="0.2">
      <c r="A4879" t="s">
        <v>93</v>
      </c>
      <c r="B4879" t="s">
        <v>17</v>
      </c>
      <c r="C4879" t="s">
        <v>9</v>
      </c>
      <c r="D4879">
        <v>3502</v>
      </c>
      <c r="E4879">
        <v>2021</v>
      </c>
      <c r="F4879">
        <v>2</v>
      </c>
      <c r="G4879">
        <v>621</v>
      </c>
      <c r="H4879" s="1">
        <v>4</v>
      </c>
      <c r="I4879">
        <v>27</v>
      </c>
      <c r="J4879">
        <f>IF($H4879=0,1,IF($I4879&lt;=1,2,0))</f>
        <v>0</v>
      </c>
      <c r="K4879">
        <v>0</v>
      </c>
      <c r="L4879">
        <f>IF(AND($J4879=0,$K4879=0),0,1)</f>
        <v>0</v>
      </c>
      <c r="M4879" t="s">
        <v>1382</v>
      </c>
    </row>
    <row r="4880" spans="1:13" x14ac:dyDescent="0.2">
      <c r="A4880" t="s">
        <v>93</v>
      </c>
      <c r="B4880" t="s">
        <v>17</v>
      </c>
      <c r="C4880" t="s">
        <v>21</v>
      </c>
      <c r="D4880">
        <v>3901</v>
      </c>
      <c r="E4880">
        <v>2021</v>
      </c>
      <c r="F4880">
        <v>1</v>
      </c>
      <c r="G4880">
        <v>622</v>
      </c>
      <c r="H4880" s="1">
        <v>4</v>
      </c>
      <c r="I4880">
        <v>16</v>
      </c>
      <c r="J4880">
        <f>IF($H4880=0,1,IF($I4880&lt;=1,2,0))</f>
        <v>0</v>
      </c>
      <c r="K4880">
        <v>0</v>
      </c>
      <c r="L4880">
        <f>IF(AND($J4880=0,$K4880=0),0,1)</f>
        <v>0</v>
      </c>
      <c r="M4880" t="s">
        <v>1380</v>
      </c>
    </row>
    <row r="4881" spans="1:13" x14ac:dyDescent="0.2">
      <c r="A4881" t="s">
        <v>93</v>
      </c>
      <c r="B4881" t="s">
        <v>17</v>
      </c>
      <c r="C4881" t="s">
        <v>9</v>
      </c>
      <c r="D4881">
        <v>4140</v>
      </c>
      <c r="E4881">
        <v>2021</v>
      </c>
      <c r="F4881">
        <v>1</v>
      </c>
      <c r="G4881">
        <v>677</v>
      </c>
      <c r="H4881" s="1">
        <v>4</v>
      </c>
      <c r="I4881">
        <v>8</v>
      </c>
      <c r="J4881">
        <f>IF($H4881=0,1,IF($I4881&lt;=1,2,0))</f>
        <v>0</v>
      </c>
      <c r="K4881">
        <v>0</v>
      </c>
      <c r="L4881">
        <f>IF(AND($J4881=0,$K4881=0),0,1)</f>
        <v>0</v>
      </c>
      <c r="M4881" t="s">
        <v>1386</v>
      </c>
    </row>
    <row r="4882" spans="1:13" x14ac:dyDescent="0.2">
      <c r="A4882" t="s">
        <v>93</v>
      </c>
      <c r="B4882" t="s">
        <v>17</v>
      </c>
      <c r="C4882" t="s">
        <v>9</v>
      </c>
      <c r="D4882">
        <v>4150</v>
      </c>
      <c r="E4882">
        <v>2021</v>
      </c>
      <c r="F4882">
        <v>1</v>
      </c>
      <c r="G4882">
        <v>678</v>
      </c>
      <c r="H4882" s="1">
        <v>4</v>
      </c>
      <c r="I4882">
        <v>11</v>
      </c>
      <c r="J4882">
        <f>IF($H4882=0,1,IF($I4882&lt;=1,2,0))</f>
        <v>0</v>
      </c>
      <c r="K4882">
        <v>0</v>
      </c>
      <c r="L4882">
        <f>IF(AND($J4882=0,$K4882=0),0,1)</f>
        <v>0</v>
      </c>
      <c r="M4882" t="s">
        <v>1387</v>
      </c>
    </row>
    <row r="4883" spans="1:13" x14ac:dyDescent="0.2">
      <c r="A4883" t="s">
        <v>129</v>
      </c>
      <c r="B4883" t="s">
        <v>6</v>
      </c>
      <c r="C4883" t="s">
        <v>21</v>
      </c>
      <c r="D4883">
        <v>1002</v>
      </c>
      <c r="E4883">
        <v>2021</v>
      </c>
      <c r="F4883">
        <v>1</v>
      </c>
      <c r="G4883">
        <v>18668</v>
      </c>
      <c r="H4883" s="1">
        <v>4</v>
      </c>
      <c r="I4883">
        <v>23</v>
      </c>
      <c r="J4883">
        <f>IF($H4883=0,1,IF($I4883&lt;=1,2,0))</f>
        <v>0</v>
      </c>
      <c r="K4883">
        <v>0</v>
      </c>
      <c r="L4883">
        <f>IF(AND($J4883=0,$K4883=0),0,1)</f>
        <v>0</v>
      </c>
    </row>
    <row r="4884" spans="1:13" x14ac:dyDescent="0.2">
      <c r="A4884" t="s">
        <v>129</v>
      </c>
      <c r="B4884" t="s">
        <v>6</v>
      </c>
      <c r="C4884" t="s">
        <v>21</v>
      </c>
      <c r="D4884">
        <v>1359</v>
      </c>
      <c r="E4884">
        <v>2021</v>
      </c>
      <c r="F4884">
        <v>1</v>
      </c>
      <c r="G4884">
        <v>10905</v>
      </c>
      <c r="H4884" s="1">
        <v>4</v>
      </c>
      <c r="I4884">
        <v>48</v>
      </c>
      <c r="J4884">
        <f>IF($H4884=0,1,IF($I4884&lt;=1,2,0))</f>
        <v>0</v>
      </c>
      <c r="K4884">
        <v>0</v>
      </c>
      <c r="L4884">
        <f>IF(AND($J4884=0,$K4884=0),0,1)</f>
        <v>0</v>
      </c>
    </row>
    <row r="4885" spans="1:13" x14ac:dyDescent="0.2">
      <c r="A4885" t="s">
        <v>129</v>
      </c>
      <c r="B4885" t="s">
        <v>6</v>
      </c>
      <c r="C4885" t="s">
        <v>21</v>
      </c>
      <c r="D4885">
        <v>1361</v>
      </c>
      <c r="E4885">
        <v>2021</v>
      </c>
      <c r="F4885">
        <v>1</v>
      </c>
      <c r="G4885">
        <v>10906</v>
      </c>
      <c r="H4885" s="1">
        <v>4</v>
      </c>
      <c r="I4885">
        <v>54</v>
      </c>
      <c r="J4885">
        <f>IF($H4885=0,1,IF($I4885&lt;=1,2,0))</f>
        <v>0</v>
      </c>
      <c r="K4885">
        <v>0</v>
      </c>
      <c r="L4885">
        <f>IF(AND($J4885=0,$K4885=0),0,1)</f>
        <v>0</v>
      </c>
    </row>
    <row r="4886" spans="1:13" x14ac:dyDescent="0.2">
      <c r="A4886" t="s">
        <v>129</v>
      </c>
      <c r="B4886" t="s">
        <v>6</v>
      </c>
      <c r="C4886" t="s">
        <v>21</v>
      </c>
      <c r="D4886">
        <v>1365</v>
      </c>
      <c r="E4886">
        <v>2021</v>
      </c>
      <c r="F4886">
        <v>1</v>
      </c>
      <c r="G4886">
        <v>10907</v>
      </c>
      <c r="H4886" s="1">
        <v>4</v>
      </c>
      <c r="I4886">
        <v>42</v>
      </c>
      <c r="J4886">
        <f>IF($H4886=0,1,IF($I4886&lt;=1,2,0))</f>
        <v>0</v>
      </c>
      <c r="K4886">
        <v>0</v>
      </c>
      <c r="L4886">
        <f>IF(AND($J4886=0,$K4886=0),0,1)</f>
        <v>0</v>
      </c>
    </row>
    <row r="4887" spans="1:13" x14ac:dyDescent="0.2">
      <c r="A4887" t="s">
        <v>130</v>
      </c>
      <c r="B4887" t="s">
        <v>6</v>
      </c>
      <c r="C4887" t="s">
        <v>21</v>
      </c>
      <c r="D4887">
        <v>2003</v>
      </c>
      <c r="E4887">
        <v>2021</v>
      </c>
      <c r="F4887">
        <v>1</v>
      </c>
      <c r="G4887">
        <v>10498</v>
      </c>
      <c r="H4887" s="1">
        <v>4</v>
      </c>
      <c r="I4887">
        <v>64</v>
      </c>
      <c r="J4887">
        <f>IF($H4887=0,1,IF($I4887&lt;=1,2,0))</f>
        <v>0</v>
      </c>
      <c r="K4887">
        <v>0</v>
      </c>
      <c r="L4887">
        <f>IF(AND($J4887=0,$K4887=0),0,1)</f>
        <v>0</v>
      </c>
      <c r="M4887" t="s">
        <v>2043</v>
      </c>
    </row>
    <row r="4888" spans="1:13" x14ac:dyDescent="0.2">
      <c r="A4888" t="s">
        <v>130</v>
      </c>
      <c r="B4888" t="s">
        <v>6</v>
      </c>
      <c r="C4888" t="s">
        <v>21</v>
      </c>
      <c r="D4888">
        <v>2357</v>
      </c>
      <c r="E4888">
        <v>2021</v>
      </c>
      <c r="F4888">
        <v>1</v>
      </c>
      <c r="G4888">
        <v>385</v>
      </c>
      <c r="H4888" s="1">
        <v>4</v>
      </c>
      <c r="I4888">
        <v>83</v>
      </c>
      <c r="J4888">
        <f>IF($H4888=0,1,IF($I4888&lt;=1,2,0))</f>
        <v>0</v>
      </c>
      <c r="K4888">
        <v>0</v>
      </c>
      <c r="L4888">
        <f>IF(AND($J4888=0,$K4888=0),0,1)</f>
        <v>0</v>
      </c>
      <c r="M4888" t="s">
        <v>1395</v>
      </c>
    </row>
    <row r="4889" spans="1:13" x14ac:dyDescent="0.2">
      <c r="A4889" t="s">
        <v>877</v>
      </c>
      <c r="B4889" t="s">
        <v>133</v>
      </c>
      <c r="C4889" t="s">
        <v>9</v>
      </c>
      <c r="D4889">
        <v>1900</v>
      </c>
      <c r="E4889">
        <v>2021</v>
      </c>
      <c r="F4889">
        <v>1</v>
      </c>
      <c r="G4889">
        <v>18160</v>
      </c>
      <c r="H4889" s="1">
        <v>1</v>
      </c>
      <c r="I4889">
        <v>41</v>
      </c>
      <c r="J4889">
        <f>IF($H4889=0,1,IF($I4889&lt;=1,2,0))</f>
        <v>0</v>
      </c>
      <c r="K4889">
        <v>0</v>
      </c>
      <c r="L4889">
        <f>IF(AND($J4889=0,$K4889=0),0,1)</f>
        <v>0</v>
      </c>
    </row>
    <row r="4890" spans="1:13" x14ac:dyDescent="0.2">
      <c r="A4890" t="s">
        <v>132</v>
      </c>
      <c r="B4890" t="s">
        <v>133</v>
      </c>
      <c r="C4890" t="s">
        <v>9</v>
      </c>
      <c r="D4890">
        <v>1403</v>
      </c>
      <c r="E4890">
        <v>2021</v>
      </c>
      <c r="F4890">
        <v>1</v>
      </c>
      <c r="G4890">
        <v>12831</v>
      </c>
      <c r="H4890" s="1">
        <v>3</v>
      </c>
      <c r="I4890">
        <v>44</v>
      </c>
      <c r="J4890">
        <f>IF($H4890=0,1,IF($I4890&lt;=1,2,0))</f>
        <v>0</v>
      </c>
      <c r="K4890">
        <v>0</v>
      </c>
      <c r="L4890">
        <f>IF(AND($J4890=0,$K4890=0),0,1)</f>
        <v>0</v>
      </c>
    </row>
    <row r="4891" spans="1:13" x14ac:dyDescent="0.2">
      <c r="A4891" t="s">
        <v>132</v>
      </c>
      <c r="B4891" t="s">
        <v>133</v>
      </c>
      <c r="C4891" t="s">
        <v>9</v>
      </c>
      <c r="D4891">
        <v>1404</v>
      </c>
      <c r="E4891">
        <v>2021</v>
      </c>
      <c r="F4891">
        <v>1</v>
      </c>
      <c r="G4891">
        <v>12832</v>
      </c>
      <c r="H4891" s="1">
        <v>3</v>
      </c>
      <c r="I4891">
        <v>53</v>
      </c>
      <c r="J4891">
        <f>IF($H4891=0,1,IF($I4891&lt;=1,2,0))</f>
        <v>0</v>
      </c>
      <c r="K4891">
        <v>0</v>
      </c>
      <c r="L4891">
        <f>IF(AND($J4891=0,$K4891=0),0,1)</f>
        <v>0</v>
      </c>
    </row>
    <row r="4892" spans="1:13" x14ac:dyDescent="0.2">
      <c r="A4892" t="s">
        <v>132</v>
      </c>
      <c r="B4892" t="s">
        <v>133</v>
      </c>
      <c r="C4892" t="s">
        <v>9</v>
      </c>
      <c r="D4892">
        <v>1453</v>
      </c>
      <c r="E4892">
        <v>2021</v>
      </c>
      <c r="F4892">
        <v>1</v>
      </c>
      <c r="G4892">
        <v>12833</v>
      </c>
      <c r="H4892" s="1">
        <v>3</v>
      </c>
      <c r="I4892">
        <v>74</v>
      </c>
      <c r="J4892">
        <f>IF($H4892=0,1,IF($I4892&lt;=1,2,0))</f>
        <v>0</v>
      </c>
      <c r="K4892">
        <v>0</v>
      </c>
      <c r="L4892">
        <f>IF(AND($J4892=0,$K4892=0),0,1)</f>
        <v>0</v>
      </c>
    </row>
    <row r="4893" spans="1:13" x14ac:dyDescent="0.2">
      <c r="A4893" t="s">
        <v>132</v>
      </c>
      <c r="B4893" t="s">
        <v>133</v>
      </c>
      <c r="C4893" t="s">
        <v>9</v>
      </c>
      <c r="D4893">
        <v>1836</v>
      </c>
      <c r="E4893">
        <v>2021</v>
      </c>
      <c r="F4893">
        <v>1</v>
      </c>
      <c r="G4893">
        <v>12834</v>
      </c>
      <c r="H4893" s="1">
        <v>3</v>
      </c>
      <c r="I4893">
        <v>39</v>
      </c>
      <c r="J4893">
        <f>IF($H4893=0,1,IF($I4893&lt;=1,2,0))</f>
        <v>0</v>
      </c>
      <c r="K4893">
        <v>0</v>
      </c>
      <c r="L4893">
        <f>IF(AND($J4893=0,$K4893=0),0,1)</f>
        <v>0</v>
      </c>
    </row>
    <row r="4894" spans="1:13" x14ac:dyDescent="0.2">
      <c r="A4894" t="s">
        <v>132</v>
      </c>
      <c r="B4894" t="s">
        <v>133</v>
      </c>
      <c r="C4894" t="s">
        <v>9</v>
      </c>
      <c r="D4894">
        <v>1903</v>
      </c>
      <c r="E4894">
        <v>2021</v>
      </c>
      <c r="F4894">
        <v>1</v>
      </c>
      <c r="G4894">
        <v>150</v>
      </c>
      <c r="H4894" s="1">
        <v>1</v>
      </c>
      <c r="I4894">
        <v>10</v>
      </c>
      <c r="J4894">
        <f>IF($H4894=0,1,IF($I4894&lt;=1,2,0))</f>
        <v>0</v>
      </c>
      <c r="K4894">
        <v>0</v>
      </c>
      <c r="L4894">
        <f>IF(AND($J4894=0,$K4894=0),0,1)</f>
        <v>0</v>
      </c>
    </row>
    <row r="4895" spans="1:13" x14ac:dyDescent="0.2">
      <c r="A4895" t="s">
        <v>132</v>
      </c>
      <c r="B4895" t="s">
        <v>133</v>
      </c>
      <c r="C4895" t="s">
        <v>9</v>
      </c>
      <c r="D4895">
        <v>1903</v>
      </c>
      <c r="E4895">
        <v>2021</v>
      </c>
      <c r="F4895">
        <v>2</v>
      </c>
      <c r="G4895">
        <v>151</v>
      </c>
      <c r="H4895" s="1">
        <v>1</v>
      </c>
      <c r="I4895">
        <v>8</v>
      </c>
      <c r="J4895">
        <f>IF($H4895=0,1,IF($I4895&lt;=1,2,0))</f>
        <v>0</v>
      </c>
      <c r="K4895">
        <v>0</v>
      </c>
      <c r="L4895">
        <f>IF(AND($J4895=0,$K4895=0),0,1)</f>
        <v>0</v>
      </c>
    </row>
    <row r="4896" spans="1:13" x14ac:dyDescent="0.2">
      <c r="A4896" t="s">
        <v>132</v>
      </c>
      <c r="B4896" t="s">
        <v>133</v>
      </c>
      <c r="C4896" t="s">
        <v>9</v>
      </c>
      <c r="D4896">
        <v>1904</v>
      </c>
      <c r="E4896">
        <v>2021</v>
      </c>
      <c r="F4896">
        <v>1</v>
      </c>
      <c r="G4896">
        <v>146</v>
      </c>
      <c r="H4896" s="1">
        <v>1</v>
      </c>
      <c r="I4896">
        <v>10</v>
      </c>
      <c r="J4896">
        <f>IF($H4896=0,1,IF($I4896&lt;=1,2,0))</f>
        <v>0</v>
      </c>
      <c r="K4896">
        <v>0</v>
      </c>
      <c r="L4896">
        <f>IF(AND($J4896=0,$K4896=0),0,1)</f>
        <v>0</v>
      </c>
    </row>
    <row r="4897" spans="1:13" x14ac:dyDescent="0.2">
      <c r="A4897" t="s">
        <v>132</v>
      </c>
      <c r="B4897" t="s">
        <v>133</v>
      </c>
      <c r="C4897" t="s">
        <v>9</v>
      </c>
      <c r="D4897">
        <v>2001</v>
      </c>
      <c r="E4897">
        <v>2021</v>
      </c>
      <c r="F4897">
        <v>1</v>
      </c>
      <c r="G4897">
        <v>12835</v>
      </c>
      <c r="H4897" s="1">
        <v>3</v>
      </c>
      <c r="I4897">
        <v>39</v>
      </c>
      <c r="J4897">
        <f>IF($H4897=0,1,IF($I4897&lt;=1,2,0))</f>
        <v>0</v>
      </c>
      <c r="K4897">
        <v>0</v>
      </c>
      <c r="L4897">
        <f>IF(AND($J4897=0,$K4897=0),0,1)</f>
        <v>0</v>
      </c>
    </row>
    <row r="4898" spans="1:13" x14ac:dyDescent="0.2">
      <c r="A4898" t="s">
        <v>132</v>
      </c>
      <c r="B4898" t="s">
        <v>133</v>
      </c>
      <c r="C4898" t="s">
        <v>9</v>
      </c>
      <c r="D4898">
        <v>2900</v>
      </c>
      <c r="E4898">
        <v>2021</v>
      </c>
      <c r="F4898">
        <v>1</v>
      </c>
      <c r="G4898">
        <v>12836</v>
      </c>
      <c r="H4898" s="1">
        <v>1</v>
      </c>
      <c r="I4898">
        <v>56</v>
      </c>
      <c r="J4898">
        <f>IF($H4898=0,1,IF($I4898&lt;=1,2,0))</f>
        <v>0</v>
      </c>
      <c r="K4898">
        <v>0</v>
      </c>
      <c r="L4898">
        <f>IF(AND($J4898=0,$K4898=0),0,1)</f>
        <v>0</v>
      </c>
    </row>
    <row r="4899" spans="1:13" x14ac:dyDescent="0.2">
      <c r="A4899" t="s">
        <v>132</v>
      </c>
      <c r="B4899" t="s">
        <v>133</v>
      </c>
      <c r="C4899" t="s">
        <v>7</v>
      </c>
      <c r="D4899">
        <v>3105</v>
      </c>
      <c r="E4899">
        <v>2021</v>
      </c>
      <c r="F4899">
        <v>1</v>
      </c>
      <c r="G4899">
        <v>12837</v>
      </c>
      <c r="H4899" s="1">
        <v>3</v>
      </c>
      <c r="I4899">
        <v>16</v>
      </c>
      <c r="J4899">
        <f>IF($H4899=0,1,IF($I4899&lt;=1,2,0))</f>
        <v>0</v>
      </c>
      <c r="K4899">
        <v>0</v>
      </c>
      <c r="L4899">
        <f>IF(AND($J4899=0,$K4899=0),0,1)</f>
        <v>0</v>
      </c>
    </row>
    <row r="4900" spans="1:13" x14ac:dyDescent="0.2">
      <c r="A4900" t="s">
        <v>132</v>
      </c>
      <c r="B4900" t="s">
        <v>133</v>
      </c>
      <c r="C4900" t="s">
        <v>9</v>
      </c>
      <c r="D4900">
        <v>3602</v>
      </c>
      <c r="E4900">
        <v>2021</v>
      </c>
      <c r="F4900">
        <v>1</v>
      </c>
      <c r="G4900">
        <v>12838</v>
      </c>
      <c r="H4900" s="1">
        <v>3</v>
      </c>
      <c r="I4900">
        <v>19</v>
      </c>
      <c r="J4900">
        <f>IF($H4900=0,1,IF($I4900&lt;=1,2,0))</f>
        <v>0</v>
      </c>
      <c r="K4900">
        <v>0</v>
      </c>
      <c r="L4900">
        <f>IF(AND($J4900=0,$K4900=0),0,1)</f>
        <v>0</v>
      </c>
    </row>
    <row r="4901" spans="1:13" x14ac:dyDescent="0.2">
      <c r="A4901" t="s">
        <v>132</v>
      </c>
      <c r="B4901" t="s">
        <v>133</v>
      </c>
      <c r="C4901" t="s">
        <v>11</v>
      </c>
      <c r="D4901">
        <v>6001</v>
      </c>
      <c r="E4901">
        <v>2021</v>
      </c>
      <c r="F4901">
        <v>1</v>
      </c>
      <c r="G4901">
        <v>13264</v>
      </c>
      <c r="H4901" s="1">
        <v>3</v>
      </c>
      <c r="I4901">
        <v>14</v>
      </c>
      <c r="J4901">
        <f>IF($H4901=0,1,IF($I4901&lt;=1,2,0))</f>
        <v>0</v>
      </c>
      <c r="K4901">
        <v>0</v>
      </c>
      <c r="L4901">
        <f>IF(AND($J4901=0,$K4901=0),0,1)</f>
        <v>0</v>
      </c>
    </row>
    <row r="4902" spans="1:13" x14ac:dyDescent="0.2">
      <c r="A4902" t="s">
        <v>132</v>
      </c>
      <c r="B4902" t="s">
        <v>133</v>
      </c>
      <c r="C4902" t="s">
        <v>11</v>
      </c>
      <c r="D4902">
        <v>8003</v>
      </c>
      <c r="E4902">
        <v>2021</v>
      </c>
      <c r="F4902">
        <v>1</v>
      </c>
      <c r="G4902">
        <v>13265</v>
      </c>
      <c r="H4902" s="1">
        <v>3</v>
      </c>
      <c r="I4902">
        <v>10</v>
      </c>
      <c r="J4902">
        <f>IF($H4902=0,1,IF($I4902&lt;=1,2,0))</f>
        <v>0</v>
      </c>
      <c r="K4902">
        <v>0</v>
      </c>
      <c r="L4902">
        <f>IF(AND($J4902=0,$K4902=0),0,1)</f>
        <v>0</v>
      </c>
    </row>
    <row r="4903" spans="1:13" x14ac:dyDescent="0.2">
      <c r="A4903" t="s">
        <v>134</v>
      </c>
      <c r="B4903" t="s">
        <v>133</v>
      </c>
      <c r="C4903" t="s">
        <v>9</v>
      </c>
      <c r="D4903">
        <v>3300</v>
      </c>
      <c r="E4903">
        <v>2021</v>
      </c>
      <c r="F4903">
        <v>1</v>
      </c>
      <c r="G4903">
        <v>11072</v>
      </c>
      <c r="H4903" s="1">
        <v>3</v>
      </c>
      <c r="I4903">
        <v>54</v>
      </c>
      <c r="J4903">
        <f>IF($H4903=0,1,IF($I4903&lt;=1,2,0))</f>
        <v>0</v>
      </c>
      <c r="K4903">
        <v>0</v>
      </c>
      <c r="L4903">
        <f>IF(AND($J4903=0,$K4903=0),0,1)</f>
        <v>0</v>
      </c>
      <c r="M4903" t="s">
        <v>2044</v>
      </c>
    </row>
    <row r="4904" spans="1:13" x14ac:dyDescent="0.2">
      <c r="A4904" t="s">
        <v>134</v>
      </c>
      <c r="B4904" t="s">
        <v>133</v>
      </c>
      <c r="C4904" t="s">
        <v>9</v>
      </c>
      <c r="D4904">
        <v>4323</v>
      </c>
      <c r="E4904">
        <v>2021</v>
      </c>
      <c r="F4904">
        <v>1</v>
      </c>
      <c r="G4904">
        <v>13560</v>
      </c>
      <c r="H4904" s="1">
        <v>4</v>
      </c>
      <c r="I4904">
        <v>7</v>
      </c>
      <c r="J4904">
        <f>IF($H4904=0,1,IF($I4904&lt;=1,2,0))</f>
        <v>0</v>
      </c>
      <c r="K4904">
        <v>0</v>
      </c>
      <c r="L4904">
        <f>IF(AND($J4904=0,$K4904=0),0,1)</f>
        <v>0</v>
      </c>
      <c r="M4904" t="s">
        <v>1398</v>
      </c>
    </row>
    <row r="4905" spans="1:13" x14ac:dyDescent="0.2">
      <c r="A4905" t="s">
        <v>138</v>
      </c>
      <c r="B4905" t="s">
        <v>17</v>
      </c>
      <c r="C4905" t="s">
        <v>9</v>
      </c>
      <c r="D4905">
        <v>1101</v>
      </c>
      <c r="E4905">
        <v>2021</v>
      </c>
      <c r="F4905">
        <v>1</v>
      </c>
      <c r="G4905">
        <v>10138</v>
      </c>
      <c r="H4905" s="1">
        <v>4</v>
      </c>
      <c r="I4905">
        <v>13</v>
      </c>
      <c r="J4905">
        <f>IF($H4905=0,1,IF($I4905&lt;=1,2,0))</f>
        <v>0</v>
      </c>
      <c r="K4905">
        <v>0</v>
      </c>
      <c r="L4905">
        <f>IF(AND($J4905=0,$K4905=0),0,1)</f>
        <v>0</v>
      </c>
    </row>
    <row r="4906" spans="1:13" x14ac:dyDescent="0.2">
      <c r="A4906" t="s">
        <v>138</v>
      </c>
      <c r="B4906" t="s">
        <v>17</v>
      </c>
      <c r="C4906" t="s">
        <v>9</v>
      </c>
      <c r="D4906">
        <v>2101</v>
      </c>
      <c r="E4906">
        <v>2021</v>
      </c>
      <c r="F4906">
        <v>1</v>
      </c>
      <c r="G4906">
        <v>10139</v>
      </c>
      <c r="H4906" s="1">
        <v>4</v>
      </c>
      <c r="I4906">
        <v>4</v>
      </c>
      <c r="J4906">
        <f>IF($H4906=0,1,IF($I4906&lt;=1,2,0))</f>
        <v>0</v>
      </c>
      <c r="K4906">
        <v>0</v>
      </c>
      <c r="L4906">
        <f>IF(AND($J4906=0,$K4906=0),0,1)</f>
        <v>0</v>
      </c>
    </row>
    <row r="4907" spans="1:13" x14ac:dyDescent="0.2">
      <c r="A4907" t="s">
        <v>138</v>
      </c>
      <c r="B4907" t="s">
        <v>17</v>
      </c>
      <c r="C4907" t="s">
        <v>9</v>
      </c>
      <c r="D4907">
        <v>4331</v>
      </c>
      <c r="E4907">
        <v>2021</v>
      </c>
      <c r="F4907">
        <v>1</v>
      </c>
      <c r="G4907">
        <v>10140</v>
      </c>
      <c r="H4907" s="1">
        <v>3</v>
      </c>
      <c r="I4907">
        <v>3</v>
      </c>
      <c r="J4907">
        <f>IF($H4907=0,1,IF($I4907&lt;=1,2,0))</f>
        <v>0</v>
      </c>
      <c r="K4907">
        <v>0</v>
      </c>
      <c r="L4907">
        <f>IF(AND($J4907=0,$K4907=0),0,1)</f>
        <v>0</v>
      </c>
    </row>
    <row r="4908" spans="1:13" x14ac:dyDescent="0.2">
      <c r="A4908" t="s">
        <v>139</v>
      </c>
      <c r="B4908" t="s">
        <v>17</v>
      </c>
      <c r="C4908" t="s">
        <v>9</v>
      </c>
      <c r="D4908">
        <v>1101</v>
      </c>
      <c r="E4908">
        <v>2021</v>
      </c>
      <c r="F4908">
        <v>1</v>
      </c>
      <c r="G4908">
        <v>12071</v>
      </c>
      <c r="H4908" s="1">
        <v>4</v>
      </c>
      <c r="I4908">
        <v>25</v>
      </c>
      <c r="J4908">
        <f>IF($H4908=0,1,IF($I4908&lt;=1,2,0))</f>
        <v>0</v>
      </c>
      <c r="K4908">
        <v>0</v>
      </c>
      <c r="L4908">
        <f>IF(AND($J4908=0,$K4908=0),0,1)</f>
        <v>0</v>
      </c>
    </row>
    <row r="4909" spans="1:13" x14ac:dyDescent="0.2">
      <c r="A4909" t="s">
        <v>139</v>
      </c>
      <c r="B4909" t="s">
        <v>17</v>
      </c>
      <c r="C4909" t="s">
        <v>9</v>
      </c>
      <c r="D4909">
        <v>1101</v>
      </c>
      <c r="E4909">
        <v>2021</v>
      </c>
      <c r="F4909">
        <v>2</v>
      </c>
      <c r="G4909">
        <v>20372</v>
      </c>
      <c r="H4909" s="1">
        <v>4</v>
      </c>
      <c r="I4909">
        <v>7</v>
      </c>
      <c r="J4909">
        <f>IF($H4909=0,1,IF($I4909&lt;=1,2,0))</f>
        <v>0</v>
      </c>
      <c r="K4909">
        <v>0</v>
      </c>
      <c r="L4909">
        <f>IF(AND($J4909=0,$K4909=0),0,1)</f>
        <v>0</v>
      </c>
    </row>
    <row r="4910" spans="1:13" x14ac:dyDescent="0.2">
      <c r="A4910" t="s">
        <v>139</v>
      </c>
      <c r="B4910" t="s">
        <v>17</v>
      </c>
      <c r="C4910" t="s">
        <v>9</v>
      </c>
      <c r="D4910">
        <v>2101</v>
      </c>
      <c r="E4910">
        <v>2021</v>
      </c>
      <c r="F4910">
        <v>1</v>
      </c>
      <c r="G4910">
        <v>12072</v>
      </c>
      <c r="H4910" s="1">
        <v>4</v>
      </c>
      <c r="I4910">
        <v>6</v>
      </c>
      <c r="J4910">
        <f>IF($H4910=0,1,IF($I4910&lt;=1,2,0))</f>
        <v>0</v>
      </c>
      <c r="K4910">
        <v>0</v>
      </c>
      <c r="L4910">
        <f>IF(AND($J4910=0,$K4910=0),0,1)</f>
        <v>0</v>
      </c>
    </row>
    <row r="4911" spans="1:13" x14ac:dyDescent="0.2">
      <c r="A4911" t="s">
        <v>140</v>
      </c>
      <c r="B4911" t="s">
        <v>133</v>
      </c>
      <c r="C4911" t="s">
        <v>11</v>
      </c>
      <c r="D4911">
        <v>4001</v>
      </c>
      <c r="E4911">
        <v>2021</v>
      </c>
      <c r="F4911">
        <v>1</v>
      </c>
      <c r="G4911">
        <v>12914</v>
      </c>
      <c r="H4911" s="1">
        <v>3</v>
      </c>
      <c r="I4911">
        <v>13</v>
      </c>
      <c r="J4911">
        <f>IF($H4911=0,1,IF($I4911&lt;=1,2,0))</f>
        <v>0</v>
      </c>
      <c r="K4911">
        <v>0</v>
      </c>
      <c r="L4911">
        <f>IF(AND($J4911=0,$K4911=0),0,1)</f>
        <v>0</v>
      </c>
    </row>
    <row r="4912" spans="1:13" x14ac:dyDescent="0.2">
      <c r="A4912" t="s">
        <v>140</v>
      </c>
      <c r="B4912" t="s">
        <v>133</v>
      </c>
      <c r="C4912" t="s">
        <v>11</v>
      </c>
      <c r="D4912">
        <v>4003</v>
      </c>
      <c r="E4912">
        <v>2021</v>
      </c>
      <c r="F4912">
        <v>1</v>
      </c>
      <c r="G4912">
        <v>12916</v>
      </c>
      <c r="H4912" s="1">
        <v>3</v>
      </c>
      <c r="I4912">
        <v>10</v>
      </c>
      <c r="J4912">
        <f>IF($H4912=0,1,IF($I4912&lt;=1,2,0))</f>
        <v>0</v>
      </c>
      <c r="K4912">
        <v>0</v>
      </c>
      <c r="L4912">
        <f>IF(AND($J4912=0,$K4912=0),0,1)</f>
        <v>0</v>
      </c>
    </row>
    <row r="4913" spans="1:13" x14ac:dyDescent="0.2">
      <c r="A4913" t="s">
        <v>140</v>
      </c>
      <c r="B4913" t="s">
        <v>133</v>
      </c>
      <c r="C4913" t="s">
        <v>11</v>
      </c>
      <c r="D4913">
        <v>4006</v>
      </c>
      <c r="E4913">
        <v>2021</v>
      </c>
      <c r="F4913">
        <v>1</v>
      </c>
      <c r="G4913">
        <v>14051</v>
      </c>
      <c r="H4913" s="1">
        <v>3</v>
      </c>
      <c r="I4913">
        <v>25</v>
      </c>
      <c r="J4913">
        <f>IF($H4913=0,1,IF($I4913&lt;=1,2,0))</f>
        <v>0</v>
      </c>
      <c r="K4913">
        <v>0</v>
      </c>
      <c r="L4913">
        <f>IF(AND($J4913=0,$K4913=0),0,1)</f>
        <v>0</v>
      </c>
    </row>
    <row r="4914" spans="1:13" x14ac:dyDescent="0.2">
      <c r="A4914" t="s">
        <v>140</v>
      </c>
      <c r="B4914" t="s">
        <v>133</v>
      </c>
      <c r="C4914" t="s">
        <v>9</v>
      </c>
      <c r="D4914">
        <v>4008</v>
      </c>
      <c r="E4914">
        <v>2021</v>
      </c>
      <c r="F4914">
        <v>1</v>
      </c>
      <c r="G4914">
        <v>12963</v>
      </c>
      <c r="H4914" s="1">
        <v>3</v>
      </c>
      <c r="I4914">
        <v>5</v>
      </c>
      <c r="J4914">
        <f>IF($H4914=0,1,IF($I4914&lt;=1,2,0))</f>
        <v>0</v>
      </c>
      <c r="K4914">
        <v>0</v>
      </c>
      <c r="L4914">
        <f>IF(AND($J4914=0,$K4914=0),0,1)</f>
        <v>0</v>
      </c>
      <c r="M4914" t="s">
        <v>1893</v>
      </c>
    </row>
    <row r="4915" spans="1:13" x14ac:dyDescent="0.2">
      <c r="A4915" t="s">
        <v>140</v>
      </c>
      <c r="B4915" t="s">
        <v>133</v>
      </c>
      <c r="C4915" t="s">
        <v>11</v>
      </c>
      <c r="D4915">
        <v>4011</v>
      </c>
      <c r="E4915">
        <v>2021</v>
      </c>
      <c r="F4915">
        <v>1</v>
      </c>
      <c r="G4915">
        <v>13430</v>
      </c>
      <c r="H4915" s="1">
        <v>3</v>
      </c>
      <c r="I4915">
        <v>2</v>
      </c>
      <c r="J4915">
        <f>IF($H4915=0,1,IF($I4915&lt;=1,2,0))</f>
        <v>0</v>
      </c>
      <c r="K4915">
        <v>0</v>
      </c>
      <c r="L4915">
        <f>IF(AND($J4915=0,$K4915=0),0,1)</f>
        <v>0</v>
      </c>
    </row>
    <row r="4916" spans="1:13" x14ac:dyDescent="0.2">
      <c r="A4916" t="s">
        <v>140</v>
      </c>
      <c r="B4916" t="s">
        <v>133</v>
      </c>
      <c r="C4916" t="s">
        <v>11</v>
      </c>
      <c r="D4916">
        <v>4017</v>
      </c>
      <c r="E4916">
        <v>2021</v>
      </c>
      <c r="F4916">
        <v>1</v>
      </c>
      <c r="G4916">
        <v>13432</v>
      </c>
      <c r="H4916" s="1">
        <v>3</v>
      </c>
      <c r="I4916">
        <v>19</v>
      </c>
      <c r="J4916">
        <f>IF($H4916=0,1,IF($I4916&lt;=1,2,0))</f>
        <v>0</v>
      </c>
      <c r="K4916">
        <v>0</v>
      </c>
      <c r="L4916">
        <f>IF(AND($J4916=0,$K4916=0),0,1)</f>
        <v>0</v>
      </c>
      <c r="M4916" t="s">
        <v>1894</v>
      </c>
    </row>
    <row r="4917" spans="1:13" x14ac:dyDescent="0.2">
      <c r="A4917" t="s">
        <v>140</v>
      </c>
      <c r="B4917" t="s">
        <v>133</v>
      </c>
      <c r="C4917" t="s">
        <v>11</v>
      </c>
      <c r="D4917">
        <v>6001</v>
      </c>
      <c r="E4917">
        <v>2021</v>
      </c>
      <c r="F4917">
        <v>9</v>
      </c>
      <c r="G4917">
        <v>13446</v>
      </c>
      <c r="H4917" s="1" t="s">
        <v>1834</v>
      </c>
      <c r="I4917">
        <v>5</v>
      </c>
      <c r="J4917">
        <f>IF($H4917=0,1,IF($I4917&lt;=1,2,0))</f>
        <v>0</v>
      </c>
      <c r="K4917">
        <v>0</v>
      </c>
      <c r="L4917">
        <f>IF(AND($J4917=0,$K4917=0),0,1)</f>
        <v>0</v>
      </c>
    </row>
    <row r="4918" spans="1:13" x14ac:dyDescent="0.2">
      <c r="A4918" t="s">
        <v>140</v>
      </c>
      <c r="B4918" t="s">
        <v>133</v>
      </c>
      <c r="C4918" t="s">
        <v>11</v>
      </c>
      <c r="D4918">
        <v>6001</v>
      </c>
      <c r="E4918">
        <v>2021</v>
      </c>
      <c r="F4918">
        <v>2</v>
      </c>
      <c r="G4918">
        <v>13437</v>
      </c>
      <c r="H4918" s="1" t="s">
        <v>1834</v>
      </c>
      <c r="I4918">
        <v>3</v>
      </c>
      <c r="J4918">
        <f>IF($H4918=0,1,IF($I4918&lt;=1,2,0))</f>
        <v>0</v>
      </c>
      <c r="K4918">
        <v>0</v>
      </c>
      <c r="L4918">
        <f>IF(AND($J4918=0,$K4918=0),0,1)</f>
        <v>0</v>
      </c>
    </row>
    <row r="4919" spans="1:13" x14ac:dyDescent="0.2">
      <c r="A4919" t="s">
        <v>140</v>
      </c>
      <c r="B4919" t="s">
        <v>133</v>
      </c>
      <c r="C4919" t="s">
        <v>11</v>
      </c>
      <c r="D4919">
        <v>6001</v>
      </c>
      <c r="E4919">
        <v>2021</v>
      </c>
      <c r="F4919">
        <v>15</v>
      </c>
      <c r="G4919">
        <v>13452</v>
      </c>
      <c r="H4919" s="1" t="s">
        <v>1834</v>
      </c>
      <c r="I4919">
        <v>3</v>
      </c>
      <c r="J4919">
        <f>IF($H4919=0,1,IF($I4919&lt;=1,2,0))</f>
        <v>0</v>
      </c>
      <c r="K4919">
        <v>0</v>
      </c>
      <c r="L4919">
        <f>IF(AND($J4919=0,$K4919=0),0,1)</f>
        <v>0</v>
      </c>
    </row>
    <row r="4920" spans="1:13" x14ac:dyDescent="0.2">
      <c r="A4920" t="s">
        <v>140</v>
      </c>
      <c r="B4920" t="s">
        <v>133</v>
      </c>
      <c r="C4920" t="s">
        <v>11</v>
      </c>
      <c r="D4920">
        <v>6001</v>
      </c>
      <c r="E4920">
        <v>2021</v>
      </c>
      <c r="F4920">
        <v>7</v>
      </c>
      <c r="G4920">
        <v>13444</v>
      </c>
      <c r="H4920" s="1" t="s">
        <v>1834</v>
      </c>
      <c r="I4920">
        <v>2</v>
      </c>
      <c r="J4920">
        <f>IF($H4920=0,1,IF($I4920&lt;=1,2,0))</f>
        <v>0</v>
      </c>
      <c r="K4920">
        <v>0</v>
      </c>
      <c r="L4920">
        <f>IF(AND($J4920=0,$K4920=0),0,1)</f>
        <v>0</v>
      </c>
    </row>
    <row r="4921" spans="1:13" x14ac:dyDescent="0.2">
      <c r="A4921" t="s">
        <v>140</v>
      </c>
      <c r="B4921" t="s">
        <v>133</v>
      </c>
      <c r="C4921" t="s">
        <v>11</v>
      </c>
      <c r="D4921">
        <v>6001</v>
      </c>
      <c r="E4921">
        <v>2021</v>
      </c>
      <c r="F4921">
        <v>13</v>
      </c>
      <c r="G4921">
        <v>13449</v>
      </c>
      <c r="H4921" s="1" t="s">
        <v>1834</v>
      </c>
      <c r="I4921">
        <v>2</v>
      </c>
      <c r="J4921">
        <f>IF($H4921=0,1,IF($I4921&lt;=1,2,0))</f>
        <v>0</v>
      </c>
      <c r="K4921">
        <v>0</v>
      </c>
      <c r="L4921">
        <f>IF(AND($J4921=0,$K4921=0),0,1)</f>
        <v>0</v>
      </c>
    </row>
    <row r="4922" spans="1:13" x14ac:dyDescent="0.2">
      <c r="A4922" t="s">
        <v>140</v>
      </c>
      <c r="B4922" t="s">
        <v>133</v>
      </c>
      <c r="C4922" t="s">
        <v>11</v>
      </c>
      <c r="D4922">
        <v>6001</v>
      </c>
      <c r="E4922">
        <v>2021</v>
      </c>
      <c r="F4922">
        <v>16</v>
      </c>
      <c r="G4922">
        <v>13454</v>
      </c>
      <c r="H4922" s="1" t="s">
        <v>1834</v>
      </c>
      <c r="I4922">
        <v>2</v>
      </c>
      <c r="J4922">
        <f>IF($H4922=0,1,IF($I4922&lt;=1,2,0))</f>
        <v>0</v>
      </c>
      <c r="K4922">
        <v>0</v>
      </c>
      <c r="L4922">
        <f>IF(AND($J4922=0,$K4922=0),0,1)</f>
        <v>0</v>
      </c>
    </row>
    <row r="4923" spans="1:13" x14ac:dyDescent="0.2">
      <c r="A4923" t="s">
        <v>1400</v>
      </c>
      <c r="B4923" t="s">
        <v>133</v>
      </c>
      <c r="C4923" t="s">
        <v>9</v>
      </c>
      <c r="D4923">
        <v>4501</v>
      </c>
      <c r="E4923">
        <v>2021</v>
      </c>
      <c r="F4923">
        <v>1</v>
      </c>
      <c r="G4923">
        <v>10602</v>
      </c>
      <c r="H4923" s="1">
        <v>4</v>
      </c>
      <c r="I4923">
        <v>78</v>
      </c>
      <c r="J4923">
        <f>IF($H4923=0,1,IF($I4923&lt;=1,2,0))</f>
        <v>0</v>
      </c>
      <c r="K4923">
        <v>0</v>
      </c>
      <c r="L4923">
        <f>IF(AND($J4923=0,$K4923=0),0,1)</f>
        <v>0</v>
      </c>
      <c r="M4923" t="s">
        <v>1401</v>
      </c>
    </row>
    <row r="4924" spans="1:13" x14ac:dyDescent="0.2">
      <c r="A4924" t="s">
        <v>142</v>
      </c>
      <c r="B4924" t="s">
        <v>133</v>
      </c>
      <c r="C4924" t="s">
        <v>7</v>
      </c>
      <c r="D4924">
        <v>1908</v>
      </c>
      <c r="E4924">
        <v>2021</v>
      </c>
      <c r="F4924">
        <v>1</v>
      </c>
      <c r="G4924">
        <v>10116</v>
      </c>
      <c r="H4924" s="1">
        <v>1</v>
      </c>
      <c r="I4924">
        <v>54</v>
      </c>
      <c r="J4924">
        <f>IF($H4924=0,1,IF($I4924&lt;=1,2,0))</f>
        <v>0</v>
      </c>
      <c r="K4924">
        <v>0</v>
      </c>
      <c r="L4924">
        <f>IF(AND($J4924=0,$K4924=0),0,1)</f>
        <v>0</v>
      </c>
    </row>
    <row r="4925" spans="1:13" x14ac:dyDescent="0.2">
      <c r="A4925" t="s">
        <v>142</v>
      </c>
      <c r="B4925" t="s">
        <v>133</v>
      </c>
      <c r="C4925" t="s">
        <v>7</v>
      </c>
      <c r="D4925">
        <v>2005</v>
      </c>
      <c r="E4925">
        <v>2021</v>
      </c>
      <c r="F4925">
        <v>1</v>
      </c>
      <c r="G4925">
        <v>11155</v>
      </c>
      <c r="H4925" s="1">
        <v>4</v>
      </c>
      <c r="I4925">
        <v>221</v>
      </c>
      <c r="J4925">
        <f>IF($H4925=0,1,IF($I4925&lt;=1,2,0))</f>
        <v>0</v>
      </c>
      <c r="K4925">
        <v>0</v>
      </c>
      <c r="L4925">
        <f>IF(AND($J4925=0,$K4925=0),0,1)</f>
        <v>0</v>
      </c>
      <c r="M4925" t="s">
        <v>1406</v>
      </c>
    </row>
    <row r="4926" spans="1:13" x14ac:dyDescent="0.2">
      <c r="A4926" t="s">
        <v>142</v>
      </c>
      <c r="B4926" t="s">
        <v>133</v>
      </c>
      <c r="C4926" t="s">
        <v>7</v>
      </c>
      <c r="D4926">
        <v>2005</v>
      </c>
      <c r="E4926">
        <v>2021</v>
      </c>
      <c r="F4926">
        <v>2</v>
      </c>
      <c r="G4926">
        <v>11156</v>
      </c>
      <c r="H4926" s="1">
        <v>4</v>
      </c>
      <c r="I4926">
        <v>104</v>
      </c>
      <c r="J4926">
        <f>IF($H4926=0,1,IF($I4926&lt;=1,2,0))</f>
        <v>0</v>
      </c>
      <c r="K4926">
        <v>0</v>
      </c>
      <c r="L4926">
        <f>IF(AND($J4926=0,$K4926=0),0,1)</f>
        <v>0</v>
      </c>
      <c r="M4926" t="s">
        <v>1407</v>
      </c>
    </row>
    <row r="4927" spans="1:13" x14ac:dyDescent="0.2">
      <c r="A4927" t="s">
        <v>142</v>
      </c>
      <c r="B4927" t="s">
        <v>133</v>
      </c>
      <c r="C4927" t="s">
        <v>153</v>
      </c>
      <c r="D4927">
        <v>2401</v>
      </c>
      <c r="E4927">
        <v>2021</v>
      </c>
      <c r="F4927">
        <v>1</v>
      </c>
      <c r="G4927">
        <v>11157</v>
      </c>
      <c r="H4927" s="1">
        <v>3</v>
      </c>
      <c r="I4927">
        <v>66</v>
      </c>
      <c r="J4927">
        <f>IF($H4927=0,1,IF($I4927&lt;=1,2,0))</f>
        <v>0</v>
      </c>
      <c r="K4927">
        <v>0</v>
      </c>
      <c r="L4927">
        <f>IF(AND($J4927=0,$K4927=0),0,1)</f>
        <v>0</v>
      </c>
      <c r="M4927" t="s">
        <v>1406</v>
      </c>
    </row>
    <row r="4928" spans="1:13" x14ac:dyDescent="0.2">
      <c r="A4928" t="s">
        <v>142</v>
      </c>
      <c r="B4928" t="s">
        <v>133</v>
      </c>
      <c r="C4928" t="s">
        <v>153</v>
      </c>
      <c r="D4928">
        <v>2401</v>
      </c>
      <c r="E4928">
        <v>2021</v>
      </c>
      <c r="F4928">
        <v>2</v>
      </c>
      <c r="G4928">
        <v>11158</v>
      </c>
      <c r="H4928" s="1">
        <v>3</v>
      </c>
      <c r="I4928">
        <v>26</v>
      </c>
      <c r="J4928">
        <f>IF($H4928=0,1,IF($I4928&lt;=1,2,0))</f>
        <v>0</v>
      </c>
      <c r="K4928">
        <v>0</v>
      </c>
      <c r="L4928">
        <f>IF(AND($J4928=0,$K4928=0),0,1)</f>
        <v>0</v>
      </c>
    </row>
    <row r="4929" spans="1:13" x14ac:dyDescent="0.2">
      <c r="A4929" t="s">
        <v>142</v>
      </c>
      <c r="B4929" t="s">
        <v>133</v>
      </c>
      <c r="C4929" t="s">
        <v>9</v>
      </c>
      <c r="D4929">
        <v>3004</v>
      </c>
      <c r="E4929">
        <v>2021</v>
      </c>
      <c r="F4929">
        <v>1</v>
      </c>
      <c r="G4929">
        <v>11148</v>
      </c>
      <c r="H4929" s="1">
        <v>4</v>
      </c>
      <c r="I4929">
        <v>82</v>
      </c>
      <c r="J4929">
        <f>IF($H4929=0,1,IF($I4929&lt;=1,2,0))</f>
        <v>0</v>
      </c>
      <c r="K4929">
        <v>0</v>
      </c>
      <c r="L4929">
        <f>IF(AND($J4929=0,$K4929=0),0,1)</f>
        <v>0</v>
      </c>
      <c r="M4929" t="s">
        <v>2046</v>
      </c>
    </row>
    <row r="4930" spans="1:13" x14ac:dyDescent="0.2">
      <c r="A4930" t="s">
        <v>142</v>
      </c>
      <c r="B4930" t="s">
        <v>133</v>
      </c>
      <c r="C4930" t="s">
        <v>153</v>
      </c>
      <c r="D4930">
        <v>3006</v>
      </c>
      <c r="E4930">
        <v>2021</v>
      </c>
      <c r="F4930">
        <v>1</v>
      </c>
      <c r="G4930">
        <v>10596</v>
      </c>
      <c r="H4930" s="1">
        <v>3</v>
      </c>
      <c r="I4930">
        <v>46</v>
      </c>
      <c r="J4930">
        <f>IF($H4930=0,1,IF($I4930&lt;=1,2,0))</f>
        <v>0</v>
      </c>
      <c r="K4930">
        <v>0</v>
      </c>
      <c r="L4930">
        <f>IF(AND($J4930=0,$K4930=0),0,1)</f>
        <v>0</v>
      </c>
    </row>
    <row r="4931" spans="1:13" x14ac:dyDescent="0.2">
      <c r="A4931" t="s">
        <v>142</v>
      </c>
      <c r="B4931" t="s">
        <v>133</v>
      </c>
      <c r="C4931" t="s">
        <v>9</v>
      </c>
      <c r="D4931">
        <v>3022</v>
      </c>
      <c r="E4931">
        <v>2021</v>
      </c>
      <c r="F4931">
        <v>1</v>
      </c>
      <c r="G4931">
        <v>10104</v>
      </c>
      <c r="H4931" s="1">
        <v>3</v>
      </c>
      <c r="I4931">
        <v>36</v>
      </c>
      <c r="J4931">
        <f>IF($H4931=0,1,IF($I4931&lt;=1,2,0))</f>
        <v>0</v>
      </c>
      <c r="K4931">
        <v>0</v>
      </c>
      <c r="L4931">
        <f>IF(AND($J4931=0,$K4931=0),0,1)</f>
        <v>0</v>
      </c>
      <c r="M4931" t="s">
        <v>1412</v>
      </c>
    </row>
    <row r="4932" spans="1:13" x14ac:dyDescent="0.2">
      <c r="A4932" t="s">
        <v>142</v>
      </c>
      <c r="B4932" t="s">
        <v>133</v>
      </c>
      <c r="C4932" t="s">
        <v>9</v>
      </c>
      <c r="D4932">
        <v>3025</v>
      </c>
      <c r="E4932">
        <v>2021</v>
      </c>
      <c r="F4932">
        <v>1</v>
      </c>
      <c r="G4932">
        <v>10098</v>
      </c>
      <c r="H4932" s="1">
        <v>3</v>
      </c>
      <c r="I4932">
        <v>28</v>
      </c>
      <c r="J4932">
        <f>IF($H4932=0,1,IF($I4932&lt;=1,2,0))</f>
        <v>0</v>
      </c>
      <c r="K4932">
        <v>0</v>
      </c>
      <c r="L4932">
        <f>IF(AND($J4932=0,$K4932=0),0,1)</f>
        <v>0</v>
      </c>
    </row>
    <row r="4933" spans="1:13" x14ac:dyDescent="0.2">
      <c r="A4933" t="s">
        <v>142</v>
      </c>
      <c r="B4933" t="s">
        <v>133</v>
      </c>
      <c r="C4933" t="s">
        <v>9</v>
      </c>
      <c r="D4933">
        <v>3041</v>
      </c>
      <c r="E4933">
        <v>2021</v>
      </c>
      <c r="F4933">
        <v>1</v>
      </c>
      <c r="G4933">
        <v>13721</v>
      </c>
      <c r="H4933" s="1">
        <v>3</v>
      </c>
      <c r="I4933">
        <v>37</v>
      </c>
      <c r="J4933">
        <f>IF($H4933=0,1,IF($I4933&lt;=1,2,0))</f>
        <v>0</v>
      </c>
      <c r="K4933">
        <v>0</v>
      </c>
      <c r="L4933">
        <f>IF(AND($J4933=0,$K4933=0),0,1)</f>
        <v>0</v>
      </c>
    </row>
    <row r="4934" spans="1:13" x14ac:dyDescent="0.2">
      <c r="A4934" t="s">
        <v>142</v>
      </c>
      <c r="B4934" t="s">
        <v>133</v>
      </c>
      <c r="C4934" t="s">
        <v>9</v>
      </c>
      <c r="D4934">
        <v>3073</v>
      </c>
      <c r="E4934">
        <v>2021</v>
      </c>
      <c r="F4934">
        <v>1</v>
      </c>
      <c r="G4934">
        <v>10106</v>
      </c>
      <c r="H4934" s="1">
        <v>3</v>
      </c>
      <c r="I4934">
        <v>22</v>
      </c>
      <c r="J4934">
        <f>IF($H4934=0,1,IF($I4934&lt;=1,2,0))</f>
        <v>0</v>
      </c>
      <c r="K4934">
        <v>0</v>
      </c>
      <c r="L4934">
        <f>IF(AND($J4934=0,$K4934=0),0,1)</f>
        <v>0</v>
      </c>
      <c r="M4934" t="s">
        <v>1413</v>
      </c>
    </row>
    <row r="4935" spans="1:13" x14ac:dyDescent="0.2">
      <c r="A4935" t="s">
        <v>142</v>
      </c>
      <c r="B4935" t="s">
        <v>133</v>
      </c>
      <c r="C4935" t="s">
        <v>9</v>
      </c>
      <c r="D4935">
        <v>3320</v>
      </c>
      <c r="E4935">
        <v>2021</v>
      </c>
      <c r="F4935">
        <v>1</v>
      </c>
      <c r="G4935">
        <v>13993</v>
      </c>
      <c r="H4935" s="1">
        <v>4</v>
      </c>
      <c r="I4935">
        <v>9</v>
      </c>
      <c r="J4935">
        <f>IF($H4935=0,1,IF($I4935&lt;=1,2,0))</f>
        <v>0</v>
      </c>
      <c r="K4935">
        <v>0</v>
      </c>
      <c r="L4935">
        <f>IF(AND($J4935=0,$K4935=0),0,1)</f>
        <v>0</v>
      </c>
      <c r="M4935" t="s">
        <v>1416</v>
      </c>
    </row>
    <row r="4936" spans="1:13" x14ac:dyDescent="0.2">
      <c r="A4936" t="s">
        <v>142</v>
      </c>
      <c r="B4936" t="s">
        <v>133</v>
      </c>
      <c r="C4936" t="s">
        <v>9</v>
      </c>
      <c r="D4936">
        <v>3404</v>
      </c>
      <c r="E4936">
        <v>2021</v>
      </c>
      <c r="F4936">
        <v>1</v>
      </c>
      <c r="G4936">
        <v>10115</v>
      </c>
      <c r="H4936" s="1">
        <v>3</v>
      </c>
      <c r="I4936">
        <v>19</v>
      </c>
      <c r="J4936">
        <f>IF($H4936=0,1,IF($I4936&lt;=1,2,0))</f>
        <v>0</v>
      </c>
      <c r="K4936">
        <v>0</v>
      </c>
      <c r="L4936">
        <f>IF(AND($J4936=0,$K4936=0),0,1)</f>
        <v>0</v>
      </c>
      <c r="M4936" t="s">
        <v>1418</v>
      </c>
    </row>
    <row r="4937" spans="1:13" x14ac:dyDescent="0.2">
      <c r="A4937" t="s">
        <v>142</v>
      </c>
      <c r="B4937" t="s">
        <v>133</v>
      </c>
      <c r="C4937" t="s">
        <v>9</v>
      </c>
      <c r="D4937">
        <v>3500</v>
      </c>
      <c r="E4937">
        <v>2021</v>
      </c>
      <c r="F4937">
        <v>1</v>
      </c>
      <c r="G4937">
        <v>10111</v>
      </c>
      <c r="H4937" s="1" t="s">
        <v>1832</v>
      </c>
      <c r="I4937">
        <v>56</v>
      </c>
      <c r="J4937">
        <f>IF($H4937=0,1,IF($I4937&lt;=1,2,0))</f>
        <v>0</v>
      </c>
      <c r="K4937">
        <v>0</v>
      </c>
      <c r="L4937">
        <f>IF(AND($J4937=0,$K4937=0),0,1)</f>
        <v>0</v>
      </c>
      <c r="M4937" t="s">
        <v>1419</v>
      </c>
    </row>
    <row r="4938" spans="1:13" x14ac:dyDescent="0.2">
      <c r="A4938" t="s">
        <v>142</v>
      </c>
      <c r="B4938" t="s">
        <v>133</v>
      </c>
      <c r="C4938" t="s">
        <v>9</v>
      </c>
      <c r="D4938">
        <v>3560</v>
      </c>
      <c r="E4938">
        <v>2021</v>
      </c>
      <c r="F4938">
        <v>1</v>
      </c>
      <c r="G4938">
        <v>10109</v>
      </c>
      <c r="H4938" s="1">
        <v>4</v>
      </c>
      <c r="I4938">
        <v>10</v>
      </c>
      <c r="J4938">
        <f>IF($H4938=0,1,IF($I4938&lt;=1,2,0))</f>
        <v>0</v>
      </c>
      <c r="K4938">
        <v>0</v>
      </c>
      <c r="L4938">
        <f>IF(AND($J4938=0,$K4938=0),0,1)</f>
        <v>0</v>
      </c>
    </row>
    <row r="4939" spans="1:13" x14ac:dyDescent="0.2">
      <c r="A4939" t="s">
        <v>142</v>
      </c>
      <c r="B4939" t="s">
        <v>133</v>
      </c>
      <c r="C4939" t="s">
        <v>9</v>
      </c>
      <c r="D4939">
        <v>4004</v>
      </c>
      <c r="E4939">
        <v>2021</v>
      </c>
      <c r="F4939">
        <v>1</v>
      </c>
      <c r="G4939">
        <v>11150</v>
      </c>
      <c r="H4939" s="1">
        <v>4</v>
      </c>
      <c r="I4939">
        <v>8</v>
      </c>
      <c r="J4939">
        <f>IF($H4939=0,1,IF($I4939&lt;=1,2,0))</f>
        <v>0</v>
      </c>
      <c r="K4939">
        <v>0</v>
      </c>
      <c r="L4939">
        <f>IF(AND($J4939=0,$K4939=0),0,1)</f>
        <v>0</v>
      </c>
      <c r="M4939" t="s">
        <v>2046</v>
      </c>
    </row>
    <row r="4940" spans="1:13" x14ac:dyDescent="0.2">
      <c r="A4940" t="s">
        <v>142</v>
      </c>
      <c r="B4940" t="s">
        <v>133</v>
      </c>
      <c r="C4940" t="s">
        <v>9</v>
      </c>
      <c r="D4940">
        <v>4034</v>
      </c>
      <c r="E4940">
        <v>2021</v>
      </c>
      <c r="F4940">
        <v>1</v>
      </c>
      <c r="G4940">
        <v>11073</v>
      </c>
      <c r="H4940" s="1">
        <v>3</v>
      </c>
      <c r="I4940">
        <v>39</v>
      </c>
      <c r="J4940">
        <f>IF($H4940=0,1,IF($I4940&lt;=1,2,0))</f>
        <v>0</v>
      </c>
      <c r="K4940">
        <v>0</v>
      </c>
      <c r="L4940">
        <f>IF(AND($J4940=0,$K4940=0),0,1)</f>
        <v>0</v>
      </c>
    </row>
    <row r="4941" spans="1:13" x14ac:dyDescent="0.2">
      <c r="A4941" t="s">
        <v>142</v>
      </c>
      <c r="B4941" t="s">
        <v>133</v>
      </c>
      <c r="C4941" t="s">
        <v>9</v>
      </c>
      <c r="D4941">
        <v>4036</v>
      </c>
      <c r="E4941">
        <v>2021</v>
      </c>
      <c r="F4941">
        <v>1</v>
      </c>
      <c r="G4941">
        <v>13526</v>
      </c>
      <c r="H4941" s="1">
        <v>3</v>
      </c>
      <c r="I4941">
        <v>13</v>
      </c>
      <c r="J4941">
        <f>IF($H4941=0,1,IF($I4941&lt;=1,2,0))</f>
        <v>0</v>
      </c>
      <c r="K4941">
        <v>0</v>
      </c>
      <c r="L4941">
        <f>IF(AND($J4941=0,$K4941=0),0,1)</f>
        <v>0</v>
      </c>
      <c r="M4941" t="s">
        <v>1424</v>
      </c>
    </row>
    <row r="4942" spans="1:13" x14ac:dyDescent="0.2">
      <c r="A4942" t="s">
        <v>142</v>
      </c>
      <c r="B4942" t="s">
        <v>133</v>
      </c>
      <c r="C4942" t="s">
        <v>9</v>
      </c>
      <c r="D4942">
        <v>4300</v>
      </c>
      <c r="E4942">
        <v>2021</v>
      </c>
      <c r="F4942">
        <v>1</v>
      </c>
      <c r="G4942">
        <v>10112</v>
      </c>
      <c r="H4942" s="1">
        <v>3</v>
      </c>
      <c r="I4942">
        <v>43</v>
      </c>
      <c r="J4942">
        <f>IF($H4942=0,1,IF($I4942&lt;=1,2,0))</f>
        <v>0</v>
      </c>
      <c r="K4942">
        <v>0</v>
      </c>
      <c r="L4942">
        <f>IF(AND($J4942=0,$K4942=0),0,1)</f>
        <v>0</v>
      </c>
    </row>
    <row r="4943" spans="1:13" x14ac:dyDescent="0.2">
      <c r="A4943" t="s">
        <v>142</v>
      </c>
      <c r="B4943" t="s">
        <v>133</v>
      </c>
      <c r="C4943" t="s">
        <v>11</v>
      </c>
      <c r="D4943">
        <v>4600</v>
      </c>
      <c r="E4943">
        <v>2021</v>
      </c>
      <c r="F4943">
        <v>1</v>
      </c>
      <c r="G4943">
        <v>10110</v>
      </c>
      <c r="H4943" s="1">
        <v>3</v>
      </c>
      <c r="I4943">
        <v>16</v>
      </c>
      <c r="J4943">
        <f>IF($H4943=0,1,IF($I4943&lt;=1,2,0))</f>
        <v>0</v>
      </c>
      <c r="K4943">
        <v>0</v>
      </c>
      <c r="L4943">
        <f>IF(AND($J4943=0,$K4943=0),0,1)</f>
        <v>0</v>
      </c>
      <c r="M4943" t="s">
        <v>1426</v>
      </c>
    </row>
    <row r="4944" spans="1:13" x14ac:dyDescent="0.2">
      <c r="A4944" t="s">
        <v>142</v>
      </c>
      <c r="B4944" t="s">
        <v>133</v>
      </c>
      <c r="C4944" t="s">
        <v>9</v>
      </c>
      <c r="D4944">
        <v>5022</v>
      </c>
      <c r="E4944">
        <v>2021</v>
      </c>
      <c r="F4944">
        <v>1</v>
      </c>
      <c r="G4944">
        <v>15048</v>
      </c>
      <c r="H4944" s="1">
        <v>3</v>
      </c>
      <c r="I4944">
        <v>2</v>
      </c>
      <c r="J4944">
        <f>IF($H4944=0,1,IF($I4944&lt;=1,2,0))</f>
        <v>0</v>
      </c>
      <c r="K4944">
        <v>0</v>
      </c>
      <c r="L4944">
        <f>IF(AND($J4944=0,$K4944=0),0,1)</f>
        <v>0</v>
      </c>
      <c r="M4944" t="s">
        <v>1427</v>
      </c>
    </row>
    <row r="4945" spans="1:13" x14ac:dyDescent="0.2">
      <c r="A4945" t="s">
        <v>142</v>
      </c>
      <c r="B4945" t="s">
        <v>133</v>
      </c>
      <c r="C4945" t="s">
        <v>9</v>
      </c>
      <c r="D4945">
        <v>5073</v>
      </c>
      <c r="E4945">
        <v>2021</v>
      </c>
      <c r="F4945">
        <v>1</v>
      </c>
      <c r="G4945">
        <v>10107</v>
      </c>
      <c r="H4945" s="1">
        <v>3</v>
      </c>
      <c r="I4945">
        <v>6</v>
      </c>
      <c r="J4945">
        <f>IF($H4945=0,1,IF($I4945&lt;=1,2,0))</f>
        <v>0</v>
      </c>
      <c r="K4945">
        <v>0</v>
      </c>
      <c r="L4945">
        <f>IF(AND($J4945=0,$K4945=0),0,1)</f>
        <v>0</v>
      </c>
      <c r="M4945" t="s">
        <v>1413</v>
      </c>
    </row>
    <row r="4946" spans="1:13" x14ac:dyDescent="0.2">
      <c r="A4946" t="s">
        <v>142</v>
      </c>
      <c r="B4946" t="s">
        <v>133</v>
      </c>
      <c r="C4946" t="s">
        <v>11</v>
      </c>
      <c r="D4946">
        <v>6007</v>
      </c>
      <c r="E4946">
        <v>2021</v>
      </c>
      <c r="F4946">
        <v>1</v>
      </c>
      <c r="G4946">
        <v>10101</v>
      </c>
      <c r="H4946" s="1">
        <v>3</v>
      </c>
      <c r="I4946">
        <v>23</v>
      </c>
      <c r="J4946">
        <f>IF($H4946=0,1,IF($I4946&lt;=1,2,0))</f>
        <v>0</v>
      </c>
      <c r="K4946">
        <v>0</v>
      </c>
      <c r="L4946">
        <f>IF(AND($J4946=0,$K4946=0),0,1)</f>
        <v>0</v>
      </c>
    </row>
    <row r="4947" spans="1:13" x14ac:dyDescent="0.2">
      <c r="A4947" t="s">
        <v>142</v>
      </c>
      <c r="B4947" t="s">
        <v>133</v>
      </c>
      <c r="C4947" t="s">
        <v>11</v>
      </c>
      <c r="D4947">
        <v>6401</v>
      </c>
      <c r="E4947">
        <v>2021</v>
      </c>
      <c r="F4947">
        <v>1</v>
      </c>
      <c r="G4947">
        <v>10606</v>
      </c>
      <c r="H4947" s="1">
        <v>2</v>
      </c>
      <c r="I4947">
        <v>20</v>
      </c>
      <c r="J4947">
        <f>IF($H4947=0,1,IF($I4947&lt;=1,2,0))</f>
        <v>0</v>
      </c>
      <c r="K4947">
        <v>0</v>
      </c>
      <c r="L4947">
        <f>IF(AND($J4947=0,$K4947=0),0,1)</f>
        <v>0</v>
      </c>
      <c r="M4947" t="s">
        <v>1429</v>
      </c>
    </row>
    <row r="4948" spans="1:13" x14ac:dyDescent="0.2">
      <c r="A4948" t="s">
        <v>171</v>
      </c>
      <c r="B4948" t="s">
        <v>133</v>
      </c>
      <c r="C4948" t="s">
        <v>9</v>
      </c>
      <c r="D4948">
        <v>4160</v>
      </c>
      <c r="E4948">
        <v>2021</v>
      </c>
      <c r="F4948">
        <v>1</v>
      </c>
      <c r="G4948">
        <v>10102</v>
      </c>
      <c r="H4948" s="1">
        <v>3</v>
      </c>
      <c r="I4948">
        <v>30</v>
      </c>
      <c r="J4948">
        <f>IF($H4948=0,1,IF($I4948&lt;=1,2,0))</f>
        <v>0</v>
      </c>
      <c r="K4948">
        <v>0</v>
      </c>
      <c r="L4948">
        <f>IF(AND($J4948=0,$K4948=0),0,1)</f>
        <v>0</v>
      </c>
      <c r="M4948" t="s">
        <v>1430</v>
      </c>
    </row>
    <row r="4949" spans="1:13" x14ac:dyDescent="0.2">
      <c r="A4949" t="s">
        <v>171</v>
      </c>
      <c r="B4949" t="s">
        <v>133</v>
      </c>
      <c r="C4949" t="s">
        <v>9</v>
      </c>
      <c r="D4949">
        <v>4180</v>
      </c>
      <c r="E4949">
        <v>2021</v>
      </c>
      <c r="F4949">
        <v>1</v>
      </c>
      <c r="G4949">
        <v>10103</v>
      </c>
      <c r="H4949" s="1">
        <v>3</v>
      </c>
      <c r="I4949">
        <v>37</v>
      </c>
      <c r="J4949">
        <f>IF($H4949=0,1,IF($I4949&lt;=1,2,0))</f>
        <v>0</v>
      </c>
      <c r="K4949">
        <v>0</v>
      </c>
      <c r="L4949">
        <f>IF(AND($J4949=0,$K4949=0),0,1)</f>
        <v>0</v>
      </c>
      <c r="M4949" t="s">
        <v>1431</v>
      </c>
    </row>
    <row r="4950" spans="1:13" x14ac:dyDescent="0.2">
      <c r="A4950" t="s">
        <v>171</v>
      </c>
      <c r="B4950" t="s">
        <v>133</v>
      </c>
      <c r="C4950" t="s">
        <v>9</v>
      </c>
      <c r="D4950">
        <v>4200</v>
      </c>
      <c r="E4950">
        <v>2021</v>
      </c>
      <c r="F4950">
        <v>1</v>
      </c>
      <c r="G4950">
        <v>13734</v>
      </c>
      <c r="H4950" s="1">
        <v>3</v>
      </c>
      <c r="I4950">
        <v>95</v>
      </c>
      <c r="J4950">
        <f>IF($H4950=0,1,IF($I4950&lt;=1,2,0))</f>
        <v>0</v>
      </c>
      <c r="K4950">
        <v>0</v>
      </c>
      <c r="L4950">
        <f>IF(AND($J4950=0,$K4950=0),0,1)</f>
        <v>0</v>
      </c>
      <c r="M4950" t="s">
        <v>1432</v>
      </c>
    </row>
    <row r="4951" spans="1:13" x14ac:dyDescent="0.2">
      <c r="A4951" t="s">
        <v>171</v>
      </c>
      <c r="B4951" t="s">
        <v>133</v>
      </c>
      <c r="C4951" t="s">
        <v>11</v>
      </c>
      <c r="D4951">
        <v>5500</v>
      </c>
      <c r="E4951">
        <v>2021</v>
      </c>
      <c r="F4951">
        <v>1</v>
      </c>
      <c r="G4951">
        <v>11151</v>
      </c>
      <c r="H4951" s="1" t="s">
        <v>1835</v>
      </c>
      <c r="I4951">
        <v>3</v>
      </c>
      <c r="J4951">
        <f>IF($H4951=0,1,IF($I4951&lt;=1,2,0))</f>
        <v>0</v>
      </c>
      <c r="K4951">
        <v>0</v>
      </c>
      <c r="L4951">
        <f>IF(AND($J4951=0,$K4951=0),0,1)</f>
        <v>0</v>
      </c>
      <c r="M4951" t="s">
        <v>2048</v>
      </c>
    </row>
    <row r="4952" spans="1:13" x14ac:dyDescent="0.2">
      <c r="A4952" t="s">
        <v>171</v>
      </c>
      <c r="B4952" t="s">
        <v>133</v>
      </c>
      <c r="C4952" t="s">
        <v>11</v>
      </c>
      <c r="D4952">
        <v>5500</v>
      </c>
      <c r="E4952">
        <v>2021</v>
      </c>
      <c r="F4952">
        <v>2</v>
      </c>
      <c r="G4952">
        <v>11152</v>
      </c>
      <c r="H4952" s="1" t="s">
        <v>1835</v>
      </c>
      <c r="I4952">
        <v>2</v>
      </c>
      <c r="J4952">
        <f>IF($H4952=0,1,IF($I4952&lt;=1,2,0))</f>
        <v>0</v>
      </c>
      <c r="K4952">
        <v>0</v>
      </c>
      <c r="L4952">
        <f>IF(AND($J4952=0,$K4952=0),0,1)</f>
        <v>0</v>
      </c>
      <c r="M4952" t="s">
        <v>2048</v>
      </c>
    </row>
    <row r="4953" spans="1:13" x14ac:dyDescent="0.2">
      <c r="A4953" t="s">
        <v>173</v>
      </c>
      <c r="B4953" t="s">
        <v>71</v>
      </c>
      <c r="C4953" t="s">
        <v>9</v>
      </c>
      <c r="D4953">
        <v>4020</v>
      </c>
      <c r="E4953">
        <v>2021</v>
      </c>
      <c r="F4953">
        <v>1</v>
      </c>
      <c r="G4953">
        <v>12050</v>
      </c>
      <c r="H4953" s="1">
        <v>3</v>
      </c>
      <c r="I4953">
        <v>27</v>
      </c>
      <c r="J4953">
        <f>IF($H4953=0,1,IF($I4953&lt;=1,2,0))</f>
        <v>0</v>
      </c>
      <c r="K4953">
        <v>0</v>
      </c>
      <c r="L4953">
        <f>IF(AND($J4953=0,$K4953=0),0,1)</f>
        <v>0</v>
      </c>
    </row>
    <row r="4954" spans="1:13" x14ac:dyDescent="0.2">
      <c r="A4954" t="s">
        <v>173</v>
      </c>
      <c r="B4954" t="s">
        <v>71</v>
      </c>
      <c r="C4954" t="s">
        <v>9</v>
      </c>
      <c r="D4954">
        <v>4020</v>
      </c>
      <c r="E4954">
        <v>2021</v>
      </c>
      <c r="F4954" t="s">
        <v>84</v>
      </c>
      <c r="G4954">
        <v>16103</v>
      </c>
      <c r="H4954" s="1">
        <v>3</v>
      </c>
      <c r="I4954">
        <v>4</v>
      </c>
      <c r="J4954">
        <f>IF($H4954=0,1,IF($I4954&lt;=1,2,0))</f>
        <v>0</v>
      </c>
      <c r="K4954">
        <v>0</v>
      </c>
      <c r="L4954">
        <f>IF(AND($J4954=0,$K4954=0),0,1)</f>
        <v>0</v>
      </c>
      <c r="M4954" t="s">
        <v>85</v>
      </c>
    </row>
    <row r="4955" spans="1:13" x14ac:dyDescent="0.2">
      <c r="A4955" t="s">
        <v>908</v>
      </c>
      <c r="B4955" t="s">
        <v>71</v>
      </c>
      <c r="C4955" t="s">
        <v>72</v>
      </c>
      <c r="D4955">
        <v>4030</v>
      </c>
      <c r="E4955">
        <v>2021</v>
      </c>
      <c r="F4955">
        <v>1</v>
      </c>
      <c r="G4955">
        <v>12216</v>
      </c>
      <c r="H4955" s="1">
        <v>3</v>
      </c>
      <c r="I4955">
        <v>43</v>
      </c>
      <c r="J4955">
        <f>IF($H4955=0,1,IF($I4955&lt;=1,2,0))</f>
        <v>0</v>
      </c>
      <c r="K4955">
        <v>0</v>
      </c>
      <c r="L4955">
        <f>IF(AND($J4955=0,$K4955=0),0,1)</f>
        <v>0</v>
      </c>
    </row>
    <row r="4956" spans="1:13" x14ac:dyDescent="0.2">
      <c r="A4956" t="s">
        <v>908</v>
      </c>
      <c r="B4956" t="s">
        <v>71</v>
      </c>
      <c r="C4956" t="s">
        <v>72</v>
      </c>
      <c r="D4956">
        <v>4740</v>
      </c>
      <c r="E4956">
        <v>2021</v>
      </c>
      <c r="F4956">
        <v>1</v>
      </c>
      <c r="G4956">
        <v>18092</v>
      </c>
      <c r="H4956" s="1">
        <v>3</v>
      </c>
      <c r="I4956">
        <v>26</v>
      </c>
      <c r="J4956">
        <f>IF($H4956=0,1,IF($I4956&lt;=1,2,0))</f>
        <v>0</v>
      </c>
      <c r="K4956">
        <v>0</v>
      </c>
      <c r="L4956">
        <f>IF(AND($J4956=0,$K4956=0),0,1)</f>
        <v>0</v>
      </c>
      <c r="M4956" t="s">
        <v>1433</v>
      </c>
    </row>
    <row r="4957" spans="1:13" x14ac:dyDescent="0.2">
      <c r="A4957" t="s">
        <v>174</v>
      </c>
      <c r="B4957" t="s">
        <v>71</v>
      </c>
      <c r="C4957" t="s">
        <v>72</v>
      </c>
      <c r="D4957">
        <v>3010</v>
      </c>
      <c r="E4957">
        <v>2021</v>
      </c>
      <c r="F4957">
        <v>1</v>
      </c>
      <c r="G4957">
        <v>11745</v>
      </c>
      <c r="H4957" s="1">
        <v>3</v>
      </c>
      <c r="I4957">
        <v>60</v>
      </c>
      <c r="J4957">
        <f>IF($H4957=0,1,IF($I4957&lt;=1,2,0))</f>
        <v>0</v>
      </c>
      <c r="K4957">
        <v>0</v>
      </c>
      <c r="L4957">
        <f>IF(AND($J4957=0,$K4957=0),0,1)</f>
        <v>0</v>
      </c>
    </row>
    <row r="4958" spans="1:13" x14ac:dyDescent="0.2">
      <c r="A4958" t="s">
        <v>174</v>
      </c>
      <c r="B4958" t="s">
        <v>71</v>
      </c>
      <c r="C4958" t="s">
        <v>72</v>
      </c>
      <c r="D4958">
        <v>3910</v>
      </c>
      <c r="E4958">
        <v>2021</v>
      </c>
      <c r="F4958">
        <v>1</v>
      </c>
      <c r="G4958">
        <v>12212</v>
      </c>
      <c r="H4958" s="1">
        <v>4</v>
      </c>
      <c r="I4958">
        <v>45</v>
      </c>
      <c r="J4958">
        <f>IF($H4958=0,1,IF($I4958&lt;=1,2,0))</f>
        <v>0</v>
      </c>
      <c r="K4958">
        <v>0</v>
      </c>
      <c r="L4958">
        <f>IF(AND($J4958=0,$K4958=0),0,1)</f>
        <v>0</v>
      </c>
    </row>
    <row r="4959" spans="1:13" x14ac:dyDescent="0.2">
      <c r="A4959" t="s">
        <v>174</v>
      </c>
      <c r="B4959" t="s">
        <v>71</v>
      </c>
      <c r="C4959" t="s">
        <v>72</v>
      </c>
      <c r="D4959">
        <v>4000</v>
      </c>
      <c r="E4959">
        <v>2021</v>
      </c>
      <c r="F4959">
        <v>3</v>
      </c>
      <c r="G4959">
        <v>12214</v>
      </c>
      <c r="H4959" s="1">
        <v>3</v>
      </c>
      <c r="I4959">
        <v>38</v>
      </c>
      <c r="J4959">
        <f>IF($H4959=0,1,IF($I4959&lt;=1,2,0))</f>
        <v>0</v>
      </c>
      <c r="K4959">
        <v>0</v>
      </c>
      <c r="L4959">
        <f>IF(AND($J4959=0,$K4959=0),0,1)</f>
        <v>0</v>
      </c>
    </row>
    <row r="4960" spans="1:13" x14ac:dyDescent="0.2">
      <c r="A4960" t="s">
        <v>174</v>
      </c>
      <c r="B4960" t="s">
        <v>71</v>
      </c>
      <c r="C4960" t="s">
        <v>72</v>
      </c>
      <c r="D4960">
        <v>4001</v>
      </c>
      <c r="E4960">
        <v>2021</v>
      </c>
      <c r="F4960">
        <v>1</v>
      </c>
      <c r="G4960">
        <v>12215</v>
      </c>
      <c r="H4960" s="1">
        <v>3</v>
      </c>
      <c r="I4960">
        <v>85</v>
      </c>
      <c r="J4960">
        <f>IF($H4960=0,1,IF($I4960&lt;=1,2,0))</f>
        <v>0</v>
      </c>
      <c r="K4960">
        <v>0</v>
      </c>
      <c r="L4960">
        <f>IF(AND($J4960=0,$K4960=0),0,1)</f>
        <v>0</v>
      </c>
    </row>
    <row r="4961" spans="1:13" x14ac:dyDescent="0.2">
      <c r="A4961" t="s">
        <v>174</v>
      </c>
      <c r="B4961" t="s">
        <v>71</v>
      </c>
      <c r="C4961" t="s">
        <v>72</v>
      </c>
      <c r="D4961">
        <v>4001</v>
      </c>
      <c r="E4961">
        <v>2021</v>
      </c>
      <c r="F4961" t="s">
        <v>84</v>
      </c>
      <c r="G4961">
        <v>18752</v>
      </c>
      <c r="H4961" s="1">
        <v>3</v>
      </c>
      <c r="I4961">
        <v>8</v>
      </c>
      <c r="J4961">
        <f>IF($H4961=0,1,IF($I4961&lt;=1,2,0))</f>
        <v>0</v>
      </c>
      <c r="K4961">
        <v>0</v>
      </c>
      <c r="L4961">
        <f>IF(AND($J4961=0,$K4961=0),0,1)</f>
        <v>0</v>
      </c>
      <c r="M4961" t="s">
        <v>85</v>
      </c>
    </row>
    <row r="4962" spans="1:13" x14ac:dyDescent="0.2">
      <c r="A4962" t="s">
        <v>174</v>
      </c>
      <c r="B4962" t="s">
        <v>71</v>
      </c>
      <c r="C4962" t="s">
        <v>72</v>
      </c>
      <c r="D4962">
        <v>4110</v>
      </c>
      <c r="E4962">
        <v>2021</v>
      </c>
      <c r="F4962">
        <v>1</v>
      </c>
      <c r="G4962">
        <v>12217</v>
      </c>
      <c r="H4962" s="1">
        <v>4</v>
      </c>
      <c r="I4962">
        <v>125</v>
      </c>
      <c r="J4962">
        <f>IF($H4962=0,1,IF($I4962&lt;=1,2,0))</f>
        <v>0</v>
      </c>
      <c r="K4962">
        <v>0</v>
      </c>
      <c r="L4962">
        <f>IF(AND($J4962=0,$K4962=0),0,1)</f>
        <v>0</v>
      </c>
    </row>
    <row r="4963" spans="1:13" x14ac:dyDescent="0.2">
      <c r="A4963" t="s">
        <v>174</v>
      </c>
      <c r="B4963" t="s">
        <v>71</v>
      </c>
      <c r="C4963" t="s">
        <v>72</v>
      </c>
      <c r="D4963">
        <v>4470</v>
      </c>
      <c r="E4963">
        <v>2021</v>
      </c>
      <c r="F4963">
        <v>1</v>
      </c>
      <c r="G4963">
        <v>15068</v>
      </c>
      <c r="H4963" s="1">
        <v>3</v>
      </c>
      <c r="I4963">
        <v>67</v>
      </c>
      <c r="J4963">
        <f>IF($H4963=0,1,IF($I4963&lt;=1,2,0))</f>
        <v>0</v>
      </c>
      <c r="K4963">
        <v>0</v>
      </c>
      <c r="L4963">
        <f>IF(AND($J4963=0,$K4963=0),0,1)</f>
        <v>0</v>
      </c>
    </row>
    <row r="4964" spans="1:13" x14ac:dyDescent="0.2">
      <c r="A4964" t="s">
        <v>174</v>
      </c>
      <c r="B4964" t="s">
        <v>71</v>
      </c>
      <c r="C4964" t="s">
        <v>72</v>
      </c>
      <c r="D4964">
        <v>4490</v>
      </c>
      <c r="E4964">
        <v>2021</v>
      </c>
      <c r="F4964">
        <v>1</v>
      </c>
      <c r="G4964">
        <v>15069</v>
      </c>
      <c r="H4964" s="1">
        <v>3</v>
      </c>
      <c r="I4964">
        <v>20</v>
      </c>
      <c r="J4964">
        <f>IF($H4964=0,1,IF($I4964&lt;=1,2,0))</f>
        <v>0</v>
      </c>
      <c r="K4964">
        <v>0</v>
      </c>
      <c r="L4964">
        <f>IF(AND($J4964=0,$K4964=0),0,1)</f>
        <v>0</v>
      </c>
    </row>
    <row r="4965" spans="1:13" x14ac:dyDescent="0.2">
      <c r="A4965" t="s">
        <v>174</v>
      </c>
      <c r="B4965" t="s">
        <v>71</v>
      </c>
      <c r="C4965" t="s">
        <v>72</v>
      </c>
      <c r="D4965">
        <v>4510</v>
      </c>
      <c r="E4965">
        <v>2021</v>
      </c>
      <c r="F4965">
        <v>1</v>
      </c>
      <c r="G4965">
        <v>12218</v>
      </c>
      <c r="H4965" s="1">
        <v>3</v>
      </c>
      <c r="I4965">
        <v>65</v>
      </c>
      <c r="J4965">
        <f>IF($H4965=0,1,IF($I4965&lt;=1,2,0))</f>
        <v>0</v>
      </c>
      <c r="K4965">
        <v>0</v>
      </c>
      <c r="L4965">
        <f>IF(AND($J4965=0,$K4965=0),0,1)</f>
        <v>0</v>
      </c>
    </row>
    <row r="4966" spans="1:13" x14ac:dyDescent="0.2">
      <c r="A4966" t="s">
        <v>174</v>
      </c>
      <c r="B4966" t="s">
        <v>71</v>
      </c>
      <c r="C4966" t="s">
        <v>72</v>
      </c>
      <c r="D4966">
        <v>4520</v>
      </c>
      <c r="E4966">
        <v>2021</v>
      </c>
      <c r="F4966">
        <v>1</v>
      </c>
      <c r="G4966">
        <v>12219</v>
      </c>
      <c r="H4966" s="1">
        <v>3</v>
      </c>
      <c r="I4966">
        <v>40</v>
      </c>
      <c r="J4966">
        <f>IF($H4966=0,1,IF($I4966&lt;=1,2,0))</f>
        <v>0</v>
      </c>
      <c r="K4966">
        <v>0</v>
      </c>
      <c r="L4966">
        <f>IF(AND($J4966=0,$K4966=0),0,1)</f>
        <v>0</v>
      </c>
    </row>
    <row r="4967" spans="1:13" x14ac:dyDescent="0.2">
      <c r="A4967" t="s">
        <v>174</v>
      </c>
      <c r="B4967" t="s">
        <v>71</v>
      </c>
      <c r="C4967" t="s">
        <v>72</v>
      </c>
      <c r="D4967">
        <v>4580</v>
      </c>
      <c r="E4967">
        <v>2021</v>
      </c>
      <c r="F4967">
        <v>1</v>
      </c>
      <c r="G4967">
        <v>15689</v>
      </c>
      <c r="H4967" s="1">
        <v>3</v>
      </c>
      <c r="I4967">
        <v>39</v>
      </c>
      <c r="J4967">
        <f>IF($H4967=0,1,IF($I4967&lt;=1,2,0))</f>
        <v>0</v>
      </c>
      <c r="K4967">
        <v>0</v>
      </c>
      <c r="L4967">
        <f>IF(AND($J4967=0,$K4967=0),0,1)</f>
        <v>0</v>
      </c>
    </row>
    <row r="4968" spans="1:13" x14ac:dyDescent="0.2">
      <c r="A4968" t="s">
        <v>174</v>
      </c>
      <c r="B4968" t="s">
        <v>71</v>
      </c>
      <c r="C4968" t="s">
        <v>72</v>
      </c>
      <c r="D4968">
        <v>4580</v>
      </c>
      <c r="E4968">
        <v>2021</v>
      </c>
      <c r="F4968" t="s">
        <v>84</v>
      </c>
      <c r="G4968">
        <v>18362</v>
      </c>
      <c r="H4968" s="1">
        <v>3</v>
      </c>
      <c r="I4968">
        <v>2</v>
      </c>
      <c r="J4968">
        <f>IF($H4968=0,1,IF($I4968&lt;=1,2,0))</f>
        <v>0</v>
      </c>
      <c r="K4968">
        <v>0</v>
      </c>
      <c r="L4968">
        <f>IF(AND($J4968=0,$K4968=0),0,1)</f>
        <v>0</v>
      </c>
      <c r="M4968" t="s">
        <v>85</v>
      </c>
    </row>
    <row r="4969" spans="1:13" x14ac:dyDescent="0.2">
      <c r="A4969" t="s">
        <v>174</v>
      </c>
      <c r="B4969" t="s">
        <v>71</v>
      </c>
      <c r="C4969" t="s">
        <v>72</v>
      </c>
      <c r="D4969">
        <v>4590</v>
      </c>
      <c r="E4969">
        <v>2021</v>
      </c>
      <c r="F4969">
        <v>1</v>
      </c>
      <c r="G4969">
        <v>12220</v>
      </c>
      <c r="H4969" s="1">
        <v>3</v>
      </c>
      <c r="I4969">
        <v>56</v>
      </c>
      <c r="J4969">
        <f>IF($H4969=0,1,IF($I4969&lt;=1,2,0))</f>
        <v>0</v>
      </c>
      <c r="K4969">
        <v>0</v>
      </c>
      <c r="L4969">
        <f>IF(AND($J4969=0,$K4969=0),0,1)</f>
        <v>0</v>
      </c>
    </row>
    <row r="4970" spans="1:13" x14ac:dyDescent="0.2">
      <c r="A4970" t="s">
        <v>174</v>
      </c>
      <c r="B4970" t="s">
        <v>71</v>
      </c>
      <c r="C4970" t="s">
        <v>72</v>
      </c>
      <c r="D4970">
        <v>4590</v>
      </c>
      <c r="E4970">
        <v>2021</v>
      </c>
      <c r="F4970" t="s">
        <v>84</v>
      </c>
      <c r="G4970">
        <v>18684</v>
      </c>
      <c r="H4970" s="1">
        <v>3</v>
      </c>
      <c r="I4970">
        <v>5</v>
      </c>
      <c r="J4970">
        <f>IF($H4970=0,1,IF($I4970&lt;=1,2,0))</f>
        <v>0</v>
      </c>
      <c r="K4970">
        <v>0</v>
      </c>
      <c r="L4970">
        <f>IF(AND($J4970=0,$K4970=0),0,1)</f>
        <v>0</v>
      </c>
      <c r="M4970" t="s">
        <v>85</v>
      </c>
    </row>
    <row r="4971" spans="1:13" x14ac:dyDescent="0.2">
      <c r="A4971" t="s">
        <v>182</v>
      </c>
      <c r="B4971" t="s">
        <v>6</v>
      </c>
      <c r="C4971" t="s">
        <v>9</v>
      </c>
      <c r="D4971">
        <v>3013</v>
      </c>
      <c r="E4971">
        <v>2021</v>
      </c>
      <c r="F4971">
        <v>1</v>
      </c>
      <c r="G4971">
        <v>12569</v>
      </c>
      <c r="H4971" s="1">
        <v>3</v>
      </c>
      <c r="I4971">
        <v>59</v>
      </c>
      <c r="J4971">
        <f>IF($H4971=0,1,IF($I4971&lt;=1,2,0))</f>
        <v>0</v>
      </c>
      <c r="K4971">
        <v>0</v>
      </c>
      <c r="L4971">
        <f>IF(AND($J4971=0,$K4971=0),0,1)</f>
        <v>0</v>
      </c>
      <c r="M4971" t="s">
        <v>1434</v>
      </c>
    </row>
    <row r="4972" spans="1:13" x14ac:dyDescent="0.2">
      <c r="A4972" t="s">
        <v>182</v>
      </c>
      <c r="B4972" t="s">
        <v>6</v>
      </c>
      <c r="C4972" t="s">
        <v>9</v>
      </c>
      <c r="D4972">
        <v>3021</v>
      </c>
      <c r="E4972">
        <v>2021</v>
      </c>
      <c r="F4972">
        <v>1</v>
      </c>
      <c r="G4972">
        <v>12567</v>
      </c>
      <c r="H4972" s="1">
        <v>3</v>
      </c>
      <c r="I4972">
        <v>60</v>
      </c>
      <c r="J4972">
        <f>IF($H4972=0,1,IF($I4972&lt;=1,2,0))</f>
        <v>0</v>
      </c>
      <c r="K4972">
        <v>0</v>
      </c>
      <c r="L4972">
        <f>IF(AND($J4972=0,$K4972=0),0,1)</f>
        <v>0</v>
      </c>
      <c r="M4972" t="s">
        <v>1434</v>
      </c>
    </row>
    <row r="4973" spans="1:13" x14ac:dyDescent="0.2">
      <c r="A4973" t="s">
        <v>182</v>
      </c>
      <c r="B4973" t="s">
        <v>6</v>
      </c>
      <c r="C4973" t="s">
        <v>9</v>
      </c>
      <c r="D4973">
        <v>3702</v>
      </c>
      <c r="E4973">
        <v>2021</v>
      </c>
      <c r="F4973">
        <v>1</v>
      </c>
      <c r="G4973">
        <v>12566</v>
      </c>
      <c r="H4973" s="1">
        <v>3</v>
      </c>
      <c r="I4973">
        <v>59</v>
      </c>
      <c r="J4973">
        <f>IF($H4973=0,1,IF($I4973&lt;=1,2,0))</f>
        <v>0</v>
      </c>
      <c r="K4973">
        <v>0</v>
      </c>
      <c r="L4973">
        <f>IF(AND($J4973=0,$K4973=0),0,1)</f>
        <v>0</v>
      </c>
      <c r="M4973" t="s">
        <v>1434</v>
      </c>
    </row>
    <row r="4974" spans="1:13" x14ac:dyDescent="0.2">
      <c r="A4974" t="s">
        <v>182</v>
      </c>
      <c r="B4974" t="s">
        <v>6</v>
      </c>
      <c r="C4974" t="s">
        <v>9</v>
      </c>
      <c r="D4974">
        <v>3703</v>
      </c>
      <c r="E4974">
        <v>2021</v>
      </c>
      <c r="F4974">
        <v>1</v>
      </c>
      <c r="G4974">
        <v>12565</v>
      </c>
      <c r="H4974" s="1">
        <v>3</v>
      </c>
      <c r="I4974">
        <v>64</v>
      </c>
      <c r="J4974">
        <f>IF($H4974=0,1,IF($I4974&lt;=1,2,0))</f>
        <v>0</v>
      </c>
      <c r="K4974">
        <v>0</v>
      </c>
      <c r="L4974">
        <f>IF(AND($J4974=0,$K4974=0),0,1)</f>
        <v>0</v>
      </c>
      <c r="M4974" t="s">
        <v>1434</v>
      </c>
    </row>
    <row r="4975" spans="1:13" x14ac:dyDescent="0.2">
      <c r="A4975" t="s">
        <v>194</v>
      </c>
      <c r="B4975" t="s">
        <v>17</v>
      </c>
      <c r="C4975" t="s">
        <v>9</v>
      </c>
      <c r="D4975">
        <v>1120</v>
      </c>
      <c r="E4975">
        <v>2021</v>
      </c>
      <c r="F4975">
        <v>1</v>
      </c>
      <c r="G4975">
        <v>12977</v>
      </c>
      <c r="H4975" s="1">
        <v>4</v>
      </c>
      <c r="I4975">
        <v>4</v>
      </c>
      <c r="J4975">
        <f>IF($H4975=0,1,IF($I4975&lt;=1,2,0))</f>
        <v>0</v>
      </c>
      <c r="K4975">
        <v>0</v>
      </c>
      <c r="L4975">
        <f>IF(AND($J4975=0,$K4975=0),0,1)</f>
        <v>0</v>
      </c>
    </row>
    <row r="4976" spans="1:13" x14ac:dyDescent="0.2">
      <c r="A4976" t="s">
        <v>194</v>
      </c>
      <c r="B4976" t="s">
        <v>17</v>
      </c>
      <c r="C4976" t="s">
        <v>9</v>
      </c>
      <c r="D4976">
        <v>1201</v>
      </c>
      <c r="E4976">
        <v>2021</v>
      </c>
      <c r="F4976">
        <v>1</v>
      </c>
      <c r="G4976">
        <v>12979</v>
      </c>
      <c r="H4976" s="1">
        <v>4</v>
      </c>
      <c r="I4976">
        <v>6</v>
      </c>
      <c r="J4976">
        <f>IF($H4976=0,1,IF($I4976&lt;=1,2,0))</f>
        <v>0</v>
      </c>
      <c r="K4976">
        <v>0</v>
      </c>
      <c r="L4976">
        <f>IF(AND($J4976=0,$K4976=0),0,1)</f>
        <v>0</v>
      </c>
    </row>
    <row r="4977" spans="1:13" x14ac:dyDescent="0.2">
      <c r="A4977" t="s">
        <v>196</v>
      </c>
      <c r="B4977" t="s">
        <v>6</v>
      </c>
      <c r="C4977" t="s">
        <v>7</v>
      </c>
      <c r="D4977">
        <v>3300</v>
      </c>
      <c r="E4977">
        <v>2021</v>
      </c>
      <c r="F4977">
        <v>1</v>
      </c>
      <c r="G4977">
        <v>13024</v>
      </c>
      <c r="H4977" s="1">
        <v>3</v>
      </c>
      <c r="I4977">
        <v>9</v>
      </c>
      <c r="J4977">
        <f>IF($H4977=0,1,IF($I4977&lt;=1,2,0))</f>
        <v>0</v>
      </c>
      <c r="K4977">
        <v>0</v>
      </c>
      <c r="L4977">
        <f>IF(AND($J4977=0,$K4977=0),0,1)</f>
        <v>0</v>
      </c>
    </row>
    <row r="4978" spans="1:13" x14ac:dyDescent="0.2">
      <c r="A4978" t="s">
        <v>196</v>
      </c>
      <c r="B4978" t="s">
        <v>6</v>
      </c>
      <c r="C4978" t="s">
        <v>9</v>
      </c>
      <c r="D4978">
        <v>4200</v>
      </c>
      <c r="E4978">
        <v>2021</v>
      </c>
      <c r="F4978">
        <v>1</v>
      </c>
      <c r="G4978">
        <v>13025</v>
      </c>
      <c r="H4978" s="1">
        <v>3</v>
      </c>
      <c r="I4978">
        <v>19</v>
      </c>
      <c r="J4978">
        <f>IF($H4978=0,1,IF($I4978&lt;=1,2,0))</f>
        <v>0</v>
      </c>
      <c r="K4978">
        <v>0</v>
      </c>
      <c r="L4978">
        <f>IF(AND($J4978=0,$K4978=0),0,1)</f>
        <v>0</v>
      </c>
      <c r="M4978" t="s">
        <v>1445</v>
      </c>
    </row>
    <row r="4979" spans="1:13" x14ac:dyDescent="0.2">
      <c r="A4979" t="s">
        <v>196</v>
      </c>
      <c r="B4979" t="s">
        <v>6</v>
      </c>
      <c r="C4979" t="s">
        <v>11</v>
      </c>
      <c r="D4979">
        <v>4600</v>
      </c>
      <c r="E4979">
        <v>2021</v>
      </c>
      <c r="F4979">
        <v>1</v>
      </c>
      <c r="G4979">
        <v>18435</v>
      </c>
      <c r="H4979" s="1">
        <v>3</v>
      </c>
      <c r="I4979">
        <v>7</v>
      </c>
      <c r="J4979">
        <f>IF($H4979=0,1,IF($I4979&lt;=1,2,0))</f>
        <v>0</v>
      </c>
      <c r="K4979">
        <v>0</v>
      </c>
      <c r="L4979">
        <f>IF(AND($J4979=0,$K4979=0),0,1)</f>
        <v>0</v>
      </c>
    </row>
    <row r="4980" spans="1:13" x14ac:dyDescent="0.2">
      <c r="A4980" t="s">
        <v>196</v>
      </c>
      <c r="B4980" t="s">
        <v>6</v>
      </c>
      <c r="C4980" t="s">
        <v>11</v>
      </c>
      <c r="D4980">
        <v>6312</v>
      </c>
      <c r="E4980">
        <v>2021</v>
      </c>
      <c r="F4980">
        <v>1</v>
      </c>
      <c r="G4980">
        <v>17767</v>
      </c>
      <c r="H4980" s="1">
        <v>3</v>
      </c>
      <c r="I4980">
        <v>17</v>
      </c>
      <c r="J4980">
        <f>IF($H4980=0,1,IF($I4980&lt;=1,2,0))</f>
        <v>0</v>
      </c>
      <c r="K4980">
        <v>0</v>
      </c>
      <c r="L4980">
        <f>IF(AND($J4980=0,$K4980=0),0,1)</f>
        <v>0</v>
      </c>
    </row>
    <row r="4981" spans="1:13" x14ac:dyDescent="0.2">
      <c r="A4981" t="s">
        <v>196</v>
      </c>
      <c r="B4981" t="s">
        <v>6</v>
      </c>
      <c r="C4981" t="s">
        <v>11</v>
      </c>
      <c r="D4981">
        <v>6575</v>
      </c>
      <c r="E4981">
        <v>2021</v>
      </c>
      <c r="F4981">
        <v>1</v>
      </c>
      <c r="G4981">
        <v>18034</v>
      </c>
      <c r="H4981" s="1">
        <v>3</v>
      </c>
      <c r="I4981">
        <v>19</v>
      </c>
      <c r="J4981">
        <f>IF($H4981=0,1,IF($I4981&lt;=1,2,0))</f>
        <v>0</v>
      </c>
      <c r="K4981">
        <v>0</v>
      </c>
      <c r="L4981">
        <f>IF(AND($J4981=0,$K4981=0),0,1)</f>
        <v>0</v>
      </c>
    </row>
    <row r="4982" spans="1:13" x14ac:dyDescent="0.2">
      <c r="A4982" t="s">
        <v>196</v>
      </c>
      <c r="B4982" t="s">
        <v>6</v>
      </c>
      <c r="C4982" t="s">
        <v>11</v>
      </c>
      <c r="D4982">
        <v>6730</v>
      </c>
      <c r="E4982">
        <v>2021</v>
      </c>
      <c r="F4982">
        <v>1</v>
      </c>
      <c r="G4982">
        <v>17770</v>
      </c>
      <c r="H4982" s="1">
        <v>3</v>
      </c>
      <c r="I4982">
        <v>20</v>
      </c>
      <c r="J4982">
        <f>IF($H4982=0,1,IF($I4982&lt;=1,2,0))</f>
        <v>0</v>
      </c>
      <c r="K4982">
        <v>0</v>
      </c>
      <c r="L4982">
        <f>IF(AND($J4982=0,$K4982=0),0,1)</f>
        <v>0</v>
      </c>
    </row>
    <row r="4983" spans="1:13" x14ac:dyDescent="0.2">
      <c r="A4983" t="s">
        <v>200</v>
      </c>
      <c r="B4983" t="s">
        <v>71</v>
      </c>
      <c r="C4983" t="s">
        <v>72</v>
      </c>
      <c r="D4983">
        <v>4120</v>
      </c>
      <c r="E4983">
        <v>2021</v>
      </c>
      <c r="F4983">
        <v>1</v>
      </c>
      <c r="G4983">
        <v>11064</v>
      </c>
      <c r="H4983" s="1">
        <v>3</v>
      </c>
      <c r="I4983">
        <v>32</v>
      </c>
      <c r="J4983">
        <f>IF($H4983=0,1,IF($I4983&lt;=1,2,0))</f>
        <v>0</v>
      </c>
      <c r="K4983">
        <v>0</v>
      </c>
      <c r="L4983">
        <f>IF(AND($J4983=0,$K4983=0),0,1)</f>
        <v>0</v>
      </c>
    </row>
    <row r="4984" spans="1:13" x14ac:dyDescent="0.2">
      <c r="A4984" t="s">
        <v>201</v>
      </c>
      <c r="B4984" t="s">
        <v>71</v>
      </c>
      <c r="C4984" t="s">
        <v>72</v>
      </c>
      <c r="D4984">
        <v>3010</v>
      </c>
      <c r="E4984">
        <v>2021</v>
      </c>
      <c r="F4984">
        <v>1</v>
      </c>
      <c r="G4984">
        <v>11070</v>
      </c>
      <c r="H4984" s="1">
        <v>3</v>
      </c>
      <c r="I4984">
        <v>32</v>
      </c>
      <c r="J4984">
        <f>IF($H4984=0,1,IF($I4984&lt;=1,2,0))</f>
        <v>0</v>
      </c>
      <c r="K4984">
        <v>0</v>
      </c>
      <c r="L4984">
        <f>IF(AND($J4984=0,$K4984=0),0,1)</f>
        <v>0</v>
      </c>
    </row>
    <row r="4985" spans="1:13" x14ac:dyDescent="0.2">
      <c r="A4985" t="s">
        <v>201</v>
      </c>
      <c r="B4985" t="s">
        <v>71</v>
      </c>
      <c r="C4985" t="s">
        <v>72</v>
      </c>
      <c r="D4985">
        <v>4252</v>
      </c>
      <c r="E4985">
        <v>2021</v>
      </c>
      <c r="F4985">
        <v>1</v>
      </c>
      <c r="G4985">
        <v>13348</v>
      </c>
      <c r="H4985" s="1">
        <v>3</v>
      </c>
      <c r="I4985">
        <v>6</v>
      </c>
      <c r="J4985">
        <f>IF($H4985=0,1,IF($I4985&lt;=1,2,0))</f>
        <v>0</v>
      </c>
      <c r="K4985">
        <v>0</v>
      </c>
      <c r="L4985">
        <f>IF(AND($J4985=0,$K4985=0),0,1)</f>
        <v>0</v>
      </c>
    </row>
    <row r="4986" spans="1:13" x14ac:dyDescent="0.2">
      <c r="A4986" t="s">
        <v>201</v>
      </c>
      <c r="B4986" t="s">
        <v>71</v>
      </c>
      <c r="C4986" t="s">
        <v>72</v>
      </c>
      <c r="D4986">
        <v>4252</v>
      </c>
      <c r="E4986">
        <v>2021</v>
      </c>
      <c r="F4986" t="s">
        <v>84</v>
      </c>
      <c r="G4986">
        <v>16104</v>
      </c>
      <c r="H4986" s="1">
        <v>3</v>
      </c>
      <c r="I4986">
        <v>3</v>
      </c>
      <c r="J4986">
        <f>IF($H4986=0,1,IF($I4986&lt;=1,2,0))</f>
        <v>0</v>
      </c>
      <c r="K4986">
        <v>0</v>
      </c>
      <c r="L4986">
        <f>IF(AND($J4986=0,$K4986=0),0,1)</f>
        <v>0</v>
      </c>
      <c r="M4986" t="s">
        <v>85</v>
      </c>
    </row>
    <row r="4987" spans="1:13" x14ac:dyDescent="0.2">
      <c r="A4987" t="s">
        <v>202</v>
      </c>
      <c r="B4987" t="s">
        <v>133</v>
      </c>
      <c r="C4987" t="s">
        <v>9</v>
      </c>
      <c r="D4987">
        <v>1403</v>
      </c>
      <c r="E4987">
        <v>2021</v>
      </c>
      <c r="F4987">
        <v>1</v>
      </c>
      <c r="G4987">
        <v>10525</v>
      </c>
      <c r="H4987" s="1">
        <v>4</v>
      </c>
      <c r="I4987">
        <v>242</v>
      </c>
      <c r="J4987">
        <f>IF($H4987=0,1,IF($I4987&lt;=1,2,0))</f>
        <v>0</v>
      </c>
      <c r="K4987">
        <v>0</v>
      </c>
      <c r="L4987">
        <f>IF(AND($J4987=0,$K4987=0),0,1)</f>
        <v>0</v>
      </c>
    </row>
    <row r="4988" spans="1:13" x14ac:dyDescent="0.2">
      <c r="A4988" t="s">
        <v>202</v>
      </c>
      <c r="B4988" t="s">
        <v>133</v>
      </c>
      <c r="C4988" t="s">
        <v>9</v>
      </c>
      <c r="D4988">
        <v>1403</v>
      </c>
      <c r="E4988">
        <v>2021</v>
      </c>
      <c r="F4988">
        <v>3</v>
      </c>
      <c r="G4988">
        <v>10527</v>
      </c>
      <c r="H4988" s="1">
        <v>4</v>
      </c>
      <c r="I4988">
        <v>192</v>
      </c>
      <c r="J4988">
        <f>IF($H4988=0,1,IF($I4988&lt;=1,2,0))</f>
        <v>0</v>
      </c>
      <c r="K4988">
        <v>0</v>
      </c>
      <c r="L4988">
        <f>IF(AND($J4988=0,$K4988=0),0,1)</f>
        <v>0</v>
      </c>
      <c r="M4988" t="s">
        <v>925</v>
      </c>
    </row>
    <row r="4989" spans="1:13" x14ac:dyDescent="0.2">
      <c r="A4989" t="s">
        <v>202</v>
      </c>
      <c r="B4989" t="s">
        <v>133</v>
      </c>
      <c r="C4989" t="s">
        <v>9</v>
      </c>
      <c r="D4989">
        <v>1403</v>
      </c>
      <c r="E4989">
        <v>2021</v>
      </c>
      <c r="F4989">
        <v>2</v>
      </c>
      <c r="G4989">
        <v>10526</v>
      </c>
      <c r="H4989" s="1">
        <v>4</v>
      </c>
      <c r="I4989">
        <v>164</v>
      </c>
      <c r="J4989">
        <f>IF($H4989=0,1,IF($I4989&lt;=1,2,0))</f>
        <v>0</v>
      </c>
      <c r="K4989">
        <v>0</v>
      </c>
      <c r="L4989">
        <f>IF(AND($J4989=0,$K4989=0),0,1)</f>
        <v>0</v>
      </c>
      <c r="M4989" t="s">
        <v>925</v>
      </c>
    </row>
    <row r="4990" spans="1:13" x14ac:dyDescent="0.2">
      <c r="A4990" t="s">
        <v>202</v>
      </c>
      <c r="B4990" t="s">
        <v>133</v>
      </c>
      <c r="C4990" t="s">
        <v>9</v>
      </c>
      <c r="D4990">
        <v>1403</v>
      </c>
      <c r="E4990">
        <v>2021</v>
      </c>
      <c r="F4990">
        <v>4</v>
      </c>
      <c r="G4990">
        <v>10528</v>
      </c>
      <c r="H4990" s="1">
        <v>4</v>
      </c>
      <c r="I4990">
        <v>82</v>
      </c>
      <c r="J4990">
        <f>IF($H4990=0,1,IF($I4990&lt;=1,2,0))</f>
        <v>0</v>
      </c>
      <c r="K4990">
        <v>0</v>
      </c>
      <c r="L4990">
        <f>IF(AND($J4990=0,$K4990=0),0,1)</f>
        <v>0</v>
      </c>
      <c r="M4990" t="s">
        <v>925</v>
      </c>
    </row>
    <row r="4991" spans="1:13" x14ac:dyDescent="0.2">
      <c r="A4991" t="s">
        <v>202</v>
      </c>
      <c r="B4991" t="s">
        <v>133</v>
      </c>
      <c r="C4991" t="s">
        <v>9</v>
      </c>
      <c r="D4991">
        <v>1507</v>
      </c>
      <c r="E4991">
        <v>2021</v>
      </c>
      <c r="F4991">
        <v>1</v>
      </c>
      <c r="G4991">
        <v>10535</v>
      </c>
      <c r="H4991" s="1">
        <v>3</v>
      </c>
      <c r="I4991">
        <v>16</v>
      </c>
      <c r="J4991">
        <f>IF($H4991=0,1,IF($I4991&lt;=1,2,0))</f>
        <v>0</v>
      </c>
      <c r="K4991">
        <v>0</v>
      </c>
      <c r="L4991">
        <f>IF(AND($J4991=0,$K4991=0),0,1)</f>
        <v>0</v>
      </c>
    </row>
    <row r="4992" spans="1:13" x14ac:dyDescent="0.2">
      <c r="A4992" t="s">
        <v>202</v>
      </c>
      <c r="B4992" t="s">
        <v>133</v>
      </c>
      <c r="C4992" t="s">
        <v>9</v>
      </c>
      <c r="D4992">
        <v>1507</v>
      </c>
      <c r="E4992">
        <v>2021</v>
      </c>
      <c r="F4992">
        <v>2</v>
      </c>
      <c r="G4992">
        <v>10536</v>
      </c>
      <c r="H4992" s="1">
        <v>3</v>
      </c>
      <c r="I4992">
        <v>15</v>
      </c>
      <c r="J4992">
        <f>IF($H4992=0,1,IF($I4992&lt;=1,2,0))</f>
        <v>0</v>
      </c>
      <c r="K4992">
        <v>0</v>
      </c>
      <c r="L4992">
        <f>IF(AND($J4992=0,$K4992=0),0,1)</f>
        <v>0</v>
      </c>
    </row>
    <row r="4993" spans="1:13" x14ac:dyDescent="0.2">
      <c r="A4993" t="s">
        <v>202</v>
      </c>
      <c r="B4993" t="s">
        <v>133</v>
      </c>
      <c r="C4993" t="s">
        <v>9</v>
      </c>
      <c r="D4993">
        <v>1604</v>
      </c>
      <c r="E4993">
        <v>2021</v>
      </c>
      <c r="F4993">
        <v>1</v>
      </c>
      <c r="G4993">
        <v>10537</v>
      </c>
      <c r="H4993" s="1">
        <v>4</v>
      </c>
      <c r="I4993">
        <v>62</v>
      </c>
      <c r="J4993">
        <f>IF($H4993=0,1,IF($I4993&lt;=1,2,0))</f>
        <v>0</v>
      </c>
      <c r="K4993">
        <v>0</v>
      </c>
      <c r="L4993">
        <f>IF(AND($J4993=0,$K4993=0),0,1)</f>
        <v>0</v>
      </c>
      <c r="M4993" t="s">
        <v>1903</v>
      </c>
    </row>
    <row r="4994" spans="1:13" x14ac:dyDescent="0.2">
      <c r="A4994" t="s">
        <v>202</v>
      </c>
      <c r="B4994" t="s">
        <v>133</v>
      </c>
      <c r="C4994" t="s">
        <v>9</v>
      </c>
      <c r="D4994">
        <v>2045</v>
      </c>
      <c r="E4994">
        <v>2021</v>
      </c>
      <c r="F4994">
        <v>1</v>
      </c>
      <c r="G4994">
        <v>10544</v>
      </c>
      <c r="H4994" s="1">
        <v>4</v>
      </c>
      <c r="I4994">
        <v>31</v>
      </c>
      <c r="J4994">
        <f>IF($H4994=0,1,IF($I4994&lt;=1,2,0))</f>
        <v>0</v>
      </c>
      <c r="K4994">
        <v>0</v>
      </c>
      <c r="L4994">
        <f>IF(AND($J4994=0,$K4994=0),0,1)</f>
        <v>0</v>
      </c>
      <c r="M4994" t="s">
        <v>1449</v>
      </c>
    </row>
    <row r="4995" spans="1:13" x14ac:dyDescent="0.2">
      <c r="A4995" t="s">
        <v>202</v>
      </c>
      <c r="B4995" t="s">
        <v>133</v>
      </c>
      <c r="C4995" t="s">
        <v>9</v>
      </c>
      <c r="D4995">
        <v>2046</v>
      </c>
      <c r="E4995">
        <v>2021</v>
      </c>
      <c r="F4995">
        <v>1</v>
      </c>
      <c r="G4995">
        <v>10545</v>
      </c>
      <c r="H4995" s="1">
        <v>4</v>
      </c>
      <c r="I4995">
        <v>25</v>
      </c>
      <c r="J4995">
        <f>IF($H4995=0,1,IF($I4995&lt;=1,2,0))</f>
        <v>0</v>
      </c>
      <c r="K4995">
        <v>0</v>
      </c>
      <c r="L4995">
        <f>IF(AND($J4995=0,$K4995=0),0,1)</f>
        <v>0</v>
      </c>
      <c r="M4995" t="s">
        <v>1450</v>
      </c>
    </row>
    <row r="4996" spans="1:13" x14ac:dyDescent="0.2">
      <c r="A4996" t="s">
        <v>202</v>
      </c>
      <c r="B4996" t="s">
        <v>133</v>
      </c>
      <c r="C4996" t="s">
        <v>9</v>
      </c>
      <c r="D4996">
        <v>2443</v>
      </c>
      <c r="E4996">
        <v>2021</v>
      </c>
      <c r="F4996">
        <v>1</v>
      </c>
      <c r="G4996">
        <v>10546</v>
      </c>
      <c r="H4996" s="1">
        <v>4</v>
      </c>
      <c r="I4996">
        <v>137</v>
      </c>
      <c r="J4996">
        <f>IF($H4996=0,1,IF($I4996&lt;=1,2,0))</f>
        <v>0</v>
      </c>
      <c r="K4996">
        <v>0</v>
      </c>
      <c r="L4996">
        <f>IF(AND($J4996=0,$K4996=0),0,1)</f>
        <v>0</v>
      </c>
      <c r="M4996" t="s">
        <v>1904</v>
      </c>
    </row>
    <row r="4997" spans="1:13" x14ac:dyDescent="0.2">
      <c r="A4997" t="s">
        <v>202</v>
      </c>
      <c r="B4997" t="s">
        <v>133</v>
      </c>
      <c r="C4997" t="s">
        <v>9</v>
      </c>
      <c r="D4997">
        <v>2443</v>
      </c>
      <c r="E4997">
        <v>2021</v>
      </c>
      <c r="F4997">
        <v>3</v>
      </c>
      <c r="G4997">
        <v>10548</v>
      </c>
      <c r="H4997" s="1">
        <v>4</v>
      </c>
      <c r="I4997">
        <v>126</v>
      </c>
      <c r="J4997">
        <f>IF($H4997=0,1,IF($I4997&lt;=1,2,0))</f>
        <v>0</v>
      </c>
      <c r="K4997">
        <v>0</v>
      </c>
      <c r="L4997">
        <f>IF(AND($J4997=0,$K4997=0),0,1)</f>
        <v>0</v>
      </c>
      <c r="M4997" t="s">
        <v>1906</v>
      </c>
    </row>
    <row r="4998" spans="1:13" x14ac:dyDescent="0.2">
      <c r="A4998" t="s">
        <v>202</v>
      </c>
      <c r="B4998" t="s">
        <v>133</v>
      </c>
      <c r="C4998" t="s">
        <v>9</v>
      </c>
      <c r="D4998">
        <v>2443</v>
      </c>
      <c r="E4998">
        <v>2021</v>
      </c>
      <c r="F4998">
        <v>2</v>
      </c>
      <c r="G4998">
        <v>10547</v>
      </c>
      <c r="H4998" s="1">
        <v>4</v>
      </c>
      <c r="I4998">
        <v>38</v>
      </c>
      <c r="J4998">
        <f>IF($H4998=0,1,IF($I4998&lt;=1,2,0))</f>
        <v>0</v>
      </c>
      <c r="K4998">
        <v>0</v>
      </c>
      <c r="L4998">
        <f>IF(AND($J4998=0,$K4998=0),0,1)</f>
        <v>0</v>
      </c>
      <c r="M4998" t="s">
        <v>1905</v>
      </c>
    </row>
    <row r="4999" spans="1:13" x14ac:dyDescent="0.2">
      <c r="A4999" t="s">
        <v>202</v>
      </c>
      <c r="B4999" t="s">
        <v>133</v>
      </c>
      <c r="C4999" t="s">
        <v>9</v>
      </c>
      <c r="D4999">
        <v>2545</v>
      </c>
      <c r="E4999">
        <v>2021</v>
      </c>
      <c r="F4999">
        <v>1</v>
      </c>
      <c r="G4999">
        <v>10566</v>
      </c>
      <c r="H4999" s="1">
        <v>3</v>
      </c>
      <c r="I4999">
        <v>11</v>
      </c>
      <c r="J4999">
        <f>IF($H4999=0,1,IF($I4999&lt;=1,2,0))</f>
        <v>0</v>
      </c>
      <c r="K4999">
        <v>0</v>
      </c>
      <c r="L4999">
        <f>IF(AND($J4999=0,$K4999=0),0,1)</f>
        <v>0</v>
      </c>
      <c r="M4999" t="s">
        <v>1447</v>
      </c>
    </row>
    <row r="5000" spans="1:13" x14ac:dyDescent="0.2">
      <c r="A5000" t="s">
        <v>202</v>
      </c>
      <c r="B5000" t="s">
        <v>133</v>
      </c>
      <c r="C5000" t="s">
        <v>9</v>
      </c>
      <c r="D5000">
        <v>2545</v>
      </c>
      <c r="E5000">
        <v>2021</v>
      </c>
      <c r="F5000">
        <v>2</v>
      </c>
      <c r="G5000">
        <v>10567</v>
      </c>
      <c r="H5000" s="1">
        <v>3</v>
      </c>
      <c r="I5000">
        <v>11</v>
      </c>
      <c r="J5000">
        <f>IF($H5000=0,1,IF($I5000&lt;=1,2,0))</f>
        <v>0</v>
      </c>
      <c r="K5000">
        <v>0</v>
      </c>
      <c r="L5000">
        <f>IF(AND($J5000=0,$K5000=0),0,1)</f>
        <v>0</v>
      </c>
      <c r="M5000" t="s">
        <v>1447</v>
      </c>
    </row>
    <row r="5001" spans="1:13" x14ac:dyDescent="0.2">
      <c r="A5001" t="s">
        <v>202</v>
      </c>
      <c r="B5001" t="s">
        <v>133</v>
      </c>
      <c r="C5001" t="s">
        <v>9</v>
      </c>
      <c r="D5001">
        <v>3079</v>
      </c>
      <c r="E5001">
        <v>2021</v>
      </c>
      <c r="F5001">
        <v>1</v>
      </c>
      <c r="G5001">
        <v>10568</v>
      </c>
      <c r="H5001" s="1">
        <v>4</v>
      </c>
      <c r="I5001">
        <v>30</v>
      </c>
      <c r="J5001">
        <f>IF($H5001=0,1,IF($I5001&lt;=1,2,0))</f>
        <v>0</v>
      </c>
      <c r="K5001">
        <v>0</v>
      </c>
      <c r="L5001">
        <f>IF(AND($J5001=0,$K5001=0),0,1)</f>
        <v>0</v>
      </c>
      <c r="M5001" t="s">
        <v>1451</v>
      </c>
    </row>
    <row r="5002" spans="1:13" x14ac:dyDescent="0.2">
      <c r="A5002" t="s">
        <v>202</v>
      </c>
      <c r="B5002" t="s">
        <v>133</v>
      </c>
      <c r="C5002" t="s">
        <v>9</v>
      </c>
      <c r="D5002">
        <v>3085</v>
      </c>
      <c r="E5002">
        <v>2021</v>
      </c>
      <c r="F5002">
        <v>1</v>
      </c>
      <c r="G5002">
        <v>10569</v>
      </c>
      <c r="H5002" s="1">
        <v>4</v>
      </c>
      <c r="I5002">
        <v>7</v>
      </c>
      <c r="J5002">
        <f>IF($H5002=0,1,IF($I5002&lt;=1,2,0))</f>
        <v>0</v>
      </c>
      <c r="K5002">
        <v>0</v>
      </c>
      <c r="L5002">
        <f>IF(AND($J5002=0,$K5002=0),0,1)</f>
        <v>0</v>
      </c>
    </row>
    <row r="5003" spans="1:13" x14ac:dyDescent="0.2">
      <c r="A5003" t="s">
        <v>202</v>
      </c>
      <c r="B5003" t="s">
        <v>133</v>
      </c>
      <c r="C5003" t="s">
        <v>9</v>
      </c>
      <c r="D5003">
        <v>3920</v>
      </c>
      <c r="E5003">
        <v>2021</v>
      </c>
      <c r="F5003">
        <v>1</v>
      </c>
      <c r="G5003">
        <v>10572</v>
      </c>
      <c r="H5003" s="1">
        <v>2</v>
      </c>
      <c r="I5003">
        <v>10</v>
      </c>
      <c r="J5003">
        <f>IF($H5003=0,1,IF($I5003&lt;=1,2,0))</f>
        <v>0</v>
      </c>
      <c r="K5003">
        <v>0</v>
      </c>
      <c r="L5003">
        <f>IF(AND($J5003=0,$K5003=0),0,1)</f>
        <v>0</v>
      </c>
    </row>
    <row r="5004" spans="1:13" x14ac:dyDescent="0.2">
      <c r="A5004" t="s">
        <v>202</v>
      </c>
      <c r="B5004" t="s">
        <v>133</v>
      </c>
      <c r="C5004" t="s">
        <v>11</v>
      </c>
      <c r="D5004">
        <v>4071</v>
      </c>
      <c r="E5004">
        <v>2021</v>
      </c>
      <c r="F5004">
        <v>1</v>
      </c>
      <c r="G5004">
        <v>10519</v>
      </c>
      <c r="H5004" s="1">
        <v>4.5</v>
      </c>
      <c r="I5004">
        <v>26</v>
      </c>
      <c r="J5004">
        <f>IF($H5004=0,1,IF($I5004&lt;=1,2,0))</f>
        <v>0</v>
      </c>
      <c r="K5004">
        <v>0</v>
      </c>
      <c r="L5004">
        <f>IF(AND($J5004=0,$K5004=0),0,1)</f>
        <v>0</v>
      </c>
    </row>
    <row r="5005" spans="1:13" x14ac:dyDescent="0.2">
      <c r="A5005" t="s">
        <v>202</v>
      </c>
      <c r="B5005" t="s">
        <v>133</v>
      </c>
      <c r="C5005" t="s">
        <v>11</v>
      </c>
      <c r="D5005">
        <v>4147</v>
      </c>
      <c r="E5005">
        <v>2021</v>
      </c>
      <c r="F5005">
        <v>1</v>
      </c>
      <c r="G5005">
        <v>10520</v>
      </c>
      <c r="H5005" s="1">
        <v>4.5</v>
      </c>
      <c r="I5005">
        <v>16</v>
      </c>
      <c r="J5005">
        <f>IF($H5005=0,1,IF($I5005&lt;=1,2,0))</f>
        <v>0</v>
      </c>
      <c r="K5005">
        <v>0</v>
      </c>
      <c r="L5005">
        <f>IF(AND($J5005=0,$K5005=0),0,1)</f>
        <v>0</v>
      </c>
    </row>
    <row r="5006" spans="1:13" x14ac:dyDescent="0.2">
      <c r="A5006" t="s">
        <v>202</v>
      </c>
      <c r="B5006" t="s">
        <v>133</v>
      </c>
      <c r="C5006" t="s">
        <v>11</v>
      </c>
      <c r="D5006">
        <v>4148</v>
      </c>
      <c r="E5006">
        <v>2021</v>
      </c>
      <c r="F5006">
        <v>1</v>
      </c>
      <c r="G5006">
        <v>10521</v>
      </c>
      <c r="H5006" s="1">
        <v>4.5</v>
      </c>
      <c r="I5006">
        <v>8</v>
      </c>
      <c r="J5006">
        <f>IF($H5006=0,1,IF($I5006&lt;=1,2,0))</f>
        <v>0</v>
      </c>
      <c r="K5006">
        <v>0</v>
      </c>
      <c r="L5006">
        <f>IF(AND($J5006=0,$K5006=0),0,1)</f>
        <v>0</v>
      </c>
    </row>
    <row r="5007" spans="1:13" x14ac:dyDescent="0.2">
      <c r="A5007" t="s">
        <v>202</v>
      </c>
      <c r="B5007" t="s">
        <v>133</v>
      </c>
      <c r="C5007" t="s">
        <v>11</v>
      </c>
      <c r="D5007">
        <v>4221</v>
      </c>
      <c r="E5007">
        <v>2021</v>
      </c>
      <c r="F5007">
        <v>1</v>
      </c>
      <c r="G5007">
        <v>10522</v>
      </c>
      <c r="H5007" s="1">
        <v>4.5</v>
      </c>
      <c r="I5007">
        <v>11</v>
      </c>
      <c r="J5007">
        <f>IF($H5007=0,1,IF($I5007&lt;=1,2,0))</f>
        <v>0</v>
      </c>
      <c r="K5007">
        <v>0</v>
      </c>
      <c r="L5007">
        <f>IF(AND($J5007=0,$K5007=0),0,1)</f>
        <v>0</v>
      </c>
    </row>
    <row r="5008" spans="1:13" x14ac:dyDescent="0.2">
      <c r="A5008" t="s">
        <v>202</v>
      </c>
      <c r="B5008" t="s">
        <v>133</v>
      </c>
      <c r="C5008" t="s">
        <v>11</v>
      </c>
      <c r="D5008">
        <v>4230</v>
      </c>
      <c r="E5008">
        <v>2021</v>
      </c>
      <c r="F5008">
        <v>1</v>
      </c>
      <c r="G5008">
        <v>10523</v>
      </c>
      <c r="H5008" s="1">
        <v>4.5</v>
      </c>
      <c r="I5008">
        <v>3</v>
      </c>
      <c r="J5008">
        <f>IF($H5008=0,1,IF($I5008&lt;=1,2,0))</f>
        <v>0</v>
      </c>
      <c r="K5008">
        <v>0</v>
      </c>
      <c r="L5008">
        <f>IF(AND($J5008=0,$K5008=0),0,1)</f>
        <v>0</v>
      </c>
    </row>
    <row r="5009" spans="1:13" x14ac:dyDescent="0.2">
      <c r="A5009" t="s">
        <v>210</v>
      </c>
      <c r="B5009" t="s">
        <v>71</v>
      </c>
      <c r="C5009" t="s">
        <v>72</v>
      </c>
      <c r="D5009">
        <v>2100</v>
      </c>
      <c r="E5009">
        <v>2021</v>
      </c>
      <c r="F5009">
        <v>1</v>
      </c>
      <c r="G5009">
        <v>11043</v>
      </c>
      <c r="H5009" s="1">
        <v>3</v>
      </c>
      <c r="I5009">
        <v>30</v>
      </c>
      <c r="J5009">
        <f>IF($H5009=0,1,IF($I5009&lt;=1,2,0))</f>
        <v>0</v>
      </c>
      <c r="K5009">
        <v>0</v>
      </c>
      <c r="L5009">
        <f>IF(AND($J5009=0,$K5009=0),0,1)</f>
        <v>0</v>
      </c>
    </row>
    <row r="5010" spans="1:13" x14ac:dyDescent="0.2">
      <c r="A5010" t="s">
        <v>210</v>
      </c>
      <c r="B5010" t="s">
        <v>71</v>
      </c>
      <c r="C5010" t="s">
        <v>72</v>
      </c>
      <c r="D5010">
        <v>3020</v>
      </c>
      <c r="E5010">
        <v>2021</v>
      </c>
      <c r="F5010">
        <v>1</v>
      </c>
      <c r="G5010">
        <v>11054</v>
      </c>
      <c r="H5010" s="1">
        <v>3</v>
      </c>
      <c r="I5010">
        <v>21</v>
      </c>
      <c r="J5010">
        <f>IF($H5010=0,1,IF($I5010&lt;=1,2,0))</f>
        <v>0</v>
      </c>
      <c r="K5010">
        <v>0</v>
      </c>
      <c r="L5010">
        <f>IF(AND($J5010=0,$K5010=0),0,1)</f>
        <v>0</v>
      </c>
    </row>
    <row r="5011" spans="1:13" x14ac:dyDescent="0.2">
      <c r="A5011" t="s">
        <v>210</v>
      </c>
      <c r="B5011" t="s">
        <v>71</v>
      </c>
      <c r="C5011" t="s">
        <v>72</v>
      </c>
      <c r="D5011">
        <v>3110</v>
      </c>
      <c r="E5011">
        <v>2021</v>
      </c>
      <c r="F5011">
        <v>1</v>
      </c>
      <c r="G5011">
        <v>11041</v>
      </c>
      <c r="H5011" s="1">
        <v>3</v>
      </c>
      <c r="I5011">
        <v>30</v>
      </c>
      <c r="J5011">
        <f>IF($H5011=0,1,IF($I5011&lt;=1,2,0))</f>
        <v>0</v>
      </c>
      <c r="K5011">
        <v>0</v>
      </c>
      <c r="L5011">
        <f>IF(AND($J5011=0,$K5011=0),0,1)</f>
        <v>0</v>
      </c>
    </row>
    <row r="5012" spans="1:13" x14ac:dyDescent="0.2">
      <c r="A5012" t="s">
        <v>210</v>
      </c>
      <c r="B5012" t="s">
        <v>71</v>
      </c>
      <c r="C5012" t="s">
        <v>72</v>
      </c>
      <c r="D5012">
        <v>4002</v>
      </c>
      <c r="E5012">
        <v>2021</v>
      </c>
      <c r="F5012">
        <v>1</v>
      </c>
      <c r="G5012">
        <v>11068</v>
      </c>
      <c r="H5012" s="1">
        <v>3</v>
      </c>
      <c r="I5012">
        <v>19</v>
      </c>
      <c r="J5012">
        <f>IF($H5012=0,1,IF($I5012&lt;=1,2,0))</f>
        <v>0</v>
      </c>
      <c r="K5012">
        <v>0</v>
      </c>
      <c r="L5012">
        <f>IF(AND($J5012=0,$K5012=0),0,1)</f>
        <v>0</v>
      </c>
    </row>
    <row r="5013" spans="1:13" x14ac:dyDescent="0.2">
      <c r="A5013" t="s">
        <v>210</v>
      </c>
      <c r="B5013" t="s">
        <v>71</v>
      </c>
      <c r="C5013" t="s">
        <v>72</v>
      </c>
      <c r="D5013">
        <v>4010</v>
      </c>
      <c r="E5013">
        <v>2021</v>
      </c>
      <c r="F5013">
        <v>1</v>
      </c>
      <c r="G5013">
        <v>11044</v>
      </c>
      <c r="H5013" s="1">
        <v>3</v>
      </c>
      <c r="I5013">
        <v>58</v>
      </c>
      <c r="J5013">
        <f>IF($H5013=0,1,IF($I5013&lt;=1,2,0))</f>
        <v>0</v>
      </c>
      <c r="K5013">
        <v>0</v>
      </c>
      <c r="L5013">
        <f>IF(AND($J5013=0,$K5013=0),0,1)</f>
        <v>0</v>
      </c>
    </row>
    <row r="5014" spans="1:13" x14ac:dyDescent="0.2">
      <c r="A5014" t="s">
        <v>210</v>
      </c>
      <c r="B5014" t="s">
        <v>71</v>
      </c>
      <c r="C5014" t="s">
        <v>72</v>
      </c>
      <c r="D5014">
        <v>4010</v>
      </c>
      <c r="E5014">
        <v>2021</v>
      </c>
      <c r="F5014" t="s">
        <v>84</v>
      </c>
      <c r="G5014">
        <v>16105</v>
      </c>
      <c r="H5014" s="1">
        <v>3</v>
      </c>
      <c r="I5014">
        <v>7</v>
      </c>
      <c r="J5014">
        <f>IF($H5014=0,1,IF($I5014&lt;=1,2,0))</f>
        <v>0</v>
      </c>
      <c r="K5014">
        <v>0</v>
      </c>
      <c r="L5014">
        <f>IF(AND($J5014=0,$K5014=0),0,1)</f>
        <v>0</v>
      </c>
      <c r="M5014" t="s">
        <v>85</v>
      </c>
    </row>
    <row r="5015" spans="1:13" x14ac:dyDescent="0.2">
      <c r="A5015" t="s">
        <v>210</v>
      </c>
      <c r="B5015" t="s">
        <v>71</v>
      </c>
      <c r="C5015" t="s">
        <v>72</v>
      </c>
      <c r="D5015">
        <v>4020</v>
      </c>
      <c r="E5015">
        <v>2021</v>
      </c>
      <c r="F5015">
        <v>1</v>
      </c>
      <c r="G5015">
        <v>11062</v>
      </c>
      <c r="H5015" s="1">
        <v>3</v>
      </c>
      <c r="I5015">
        <v>38</v>
      </c>
      <c r="J5015">
        <f>IF($H5015=0,1,IF($I5015&lt;=1,2,0))</f>
        <v>0</v>
      </c>
      <c r="K5015">
        <v>0</v>
      </c>
      <c r="L5015">
        <f>IF(AND($J5015=0,$K5015=0),0,1)</f>
        <v>0</v>
      </c>
    </row>
    <row r="5016" spans="1:13" x14ac:dyDescent="0.2">
      <c r="A5016" t="s">
        <v>210</v>
      </c>
      <c r="B5016" t="s">
        <v>71</v>
      </c>
      <c r="C5016" t="s">
        <v>72</v>
      </c>
      <c r="D5016">
        <v>4020</v>
      </c>
      <c r="E5016">
        <v>2021</v>
      </c>
      <c r="F5016" t="s">
        <v>84</v>
      </c>
      <c r="G5016">
        <v>17061</v>
      </c>
      <c r="H5016" s="1">
        <v>3</v>
      </c>
      <c r="I5016">
        <v>6</v>
      </c>
      <c r="J5016">
        <f>IF($H5016=0,1,IF($I5016&lt;=1,2,0))</f>
        <v>0</v>
      </c>
      <c r="K5016">
        <v>0</v>
      </c>
      <c r="L5016">
        <f>IF(AND($J5016=0,$K5016=0),0,1)</f>
        <v>0</v>
      </c>
      <c r="M5016" t="s">
        <v>85</v>
      </c>
    </row>
    <row r="5017" spans="1:13" x14ac:dyDescent="0.2">
      <c r="A5017" t="s">
        <v>210</v>
      </c>
      <c r="B5017" t="s">
        <v>71</v>
      </c>
      <c r="C5017" t="s">
        <v>72</v>
      </c>
      <c r="D5017">
        <v>4110</v>
      </c>
      <c r="E5017">
        <v>2021</v>
      </c>
      <c r="F5017">
        <v>1</v>
      </c>
      <c r="G5017">
        <v>11045</v>
      </c>
      <c r="H5017" s="1">
        <v>3</v>
      </c>
      <c r="I5017">
        <v>43</v>
      </c>
      <c r="J5017">
        <f>IF($H5017=0,1,IF($I5017&lt;=1,2,0))</f>
        <v>0</v>
      </c>
      <c r="K5017">
        <v>0</v>
      </c>
      <c r="L5017">
        <f>IF(AND($J5017=0,$K5017=0),0,1)</f>
        <v>0</v>
      </c>
    </row>
    <row r="5018" spans="1:13" x14ac:dyDescent="0.2">
      <c r="A5018" t="s">
        <v>210</v>
      </c>
      <c r="B5018" t="s">
        <v>71</v>
      </c>
      <c r="C5018" t="s">
        <v>72</v>
      </c>
      <c r="D5018">
        <v>4110</v>
      </c>
      <c r="E5018">
        <v>2021</v>
      </c>
      <c r="F5018" t="s">
        <v>84</v>
      </c>
      <c r="G5018">
        <v>16106</v>
      </c>
      <c r="H5018" s="1">
        <v>3</v>
      </c>
      <c r="I5018">
        <v>4</v>
      </c>
      <c r="J5018">
        <f>IF($H5018=0,1,IF($I5018&lt;=1,2,0))</f>
        <v>0</v>
      </c>
      <c r="K5018">
        <v>0</v>
      </c>
      <c r="L5018">
        <f>IF(AND($J5018=0,$K5018=0),0,1)</f>
        <v>0</v>
      </c>
      <c r="M5018" t="s">
        <v>85</v>
      </c>
    </row>
    <row r="5019" spans="1:13" x14ac:dyDescent="0.2">
      <c r="A5019" t="s">
        <v>210</v>
      </c>
      <c r="B5019" t="s">
        <v>71</v>
      </c>
      <c r="C5019" t="s">
        <v>72</v>
      </c>
      <c r="D5019">
        <v>4130</v>
      </c>
      <c r="E5019">
        <v>2021</v>
      </c>
      <c r="F5019">
        <v>1</v>
      </c>
      <c r="G5019">
        <v>11055</v>
      </c>
      <c r="H5019" s="1">
        <v>3</v>
      </c>
      <c r="I5019">
        <v>58</v>
      </c>
      <c r="J5019">
        <f>IF($H5019=0,1,IF($I5019&lt;=1,2,0))</f>
        <v>0</v>
      </c>
      <c r="K5019">
        <v>0</v>
      </c>
      <c r="L5019">
        <f>IF(AND($J5019=0,$K5019=0),0,1)</f>
        <v>0</v>
      </c>
    </row>
    <row r="5020" spans="1:13" x14ac:dyDescent="0.2">
      <c r="A5020" t="s">
        <v>210</v>
      </c>
      <c r="B5020" t="s">
        <v>71</v>
      </c>
      <c r="C5020" t="s">
        <v>72</v>
      </c>
      <c r="D5020">
        <v>4130</v>
      </c>
      <c r="E5020">
        <v>2021</v>
      </c>
      <c r="F5020" t="s">
        <v>84</v>
      </c>
      <c r="G5020">
        <v>18753</v>
      </c>
      <c r="H5020" s="1">
        <v>3</v>
      </c>
      <c r="I5020">
        <v>3</v>
      </c>
      <c r="J5020">
        <f>IF($H5020=0,1,IF($I5020&lt;=1,2,0))</f>
        <v>0</v>
      </c>
      <c r="K5020">
        <v>0</v>
      </c>
      <c r="L5020">
        <f>IF(AND($J5020=0,$K5020=0),0,1)</f>
        <v>0</v>
      </c>
      <c r="M5020" t="s">
        <v>85</v>
      </c>
    </row>
    <row r="5021" spans="1:13" x14ac:dyDescent="0.2">
      <c r="A5021" t="s">
        <v>210</v>
      </c>
      <c r="B5021" t="s">
        <v>71</v>
      </c>
      <c r="C5021" t="s">
        <v>72</v>
      </c>
      <c r="D5021">
        <v>4140</v>
      </c>
      <c r="E5021">
        <v>2021</v>
      </c>
      <c r="F5021">
        <v>1</v>
      </c>
      <c r="G5021">
        <v>11058</v>
      </c>
      <c r="H5021" s="1">
        <v>3</v>
      </c>
      <c r="I5021">
        <v>27</v>
      </c>
      <c r="J5021">
        <f>IF($H5021=0,1,IF($I5021&lt;=1,2,0))</f>
        <v>0</v>
      </c>
      <c r="K5021">
        <v>0</v>
      </c>
      <c r="L5021">
        <f>IF(AND($J5021=0,$K5021=0),0,1)</f>
        <v>0</v>
      </c>
    </row>
    <row r="5022" spans="1:13" x14ac:dyDescent="0.2">
      <c r="A5022" t="s">
        <v>210</v>
      </c>
      <c r="B5022" t="s">
        <v>71</v>
      </c>
      <c r="C5022" t="s">
        <v>72</v>
      </c>
      <c r="D5022">
        <v>4140</v>
      </c>
      <c r="E5022">
        <v>2021</v>
      </c>
      <c r="F5022" t="s">
        <v>84</v>
      </c>
      <c r="G5022">
        <v>16107</v>
      </c>
      <c r="H5022" s="1">
        <v>3</v>
      </c>
      <c r="I5022">
        <v>2</v>
      </c>
      <c r="J5022">
        <f>IF($H5022=0,1,IF($I5022&lt;=1,2,0))</f>
        <v>0</v>
      </c>
      <c r="K5022">
        <v>0</v>
      </c>
      <c r="L5022">
        <f>IF(AND($J5022=0,$K5022=0),0,1)</f>
        <v>0</v>
      </c>
      <c r="M5022" t="s">
        <v>85</v>
      </c>
    </row>
    <row r="5023" spans="1:13" x14ac:dyDescent="0.2">
      <c r="A5023" t="s">
        <v>210</v>
      </c>
      <c r="B5023" t="s">
        <v>71</v>
      </c>
      <c r="C5023" t="s">
        <v>72</v>
      </c>
      <c r="D5023">
        <v>4201</v>
      </c>
      <c r="E5023">
        <v>2021</v>
      </c>
      <c r="F5023">
        <v>1</v>
      </c>
      <c r="G5023">
        <v>11040</v>
      </c>
      <c r="H5023" s="1">
        <v>3</v>
      </c>
      <c r="I5023">
        <v>43</v>
      </c>
      <c r="J5023">
        <f>IF($H5023=0,1,IF($I5023&lt;=1,2,0))</f>
        <v>0</v>
      </c>
      <c r="K5023">
        <v>0</v>
      </c>
      <c r="L5023">
        <f>IF(AND($J5023=0,$K5023=0),0,1)</f>
        <v>0</v>
      </c>
    </row>
    <row r="5024" spans="1:13" x14ac:dyDescent="0.2">
      <c r="A5024" t="s">
        <v>210</v>
      </c>
      <c r="B5024" t="s">
        <v>71</v>
      </c>
      <c r="C5024" t="s">
        <v>72</v>
      </c>
      <c r="D5024">
        <v>4231</v>
      </c>
      <c r="E5024">
        <v>2021</v>
      </c>
      <c r="F5024">
        <v>1</v>
      </c>
      <c r="G5024">
        <v>11042</v>
      </c>
      <c r="H5024" s="1">
        <v>3</v>
      </c>
      <c r="I5024">
        <v>48</v>
      </c>
      <c r="J5024">
        <f>IF($H5024=0,1,IF($I5024&lt;=1,2,0))</f>
        <v>0</v>
      </c>
      <c r="K5024">
        <v>0</v>
      </c>
      <c r="L5024">
        <f>IF(AND($J5024=0,$K5024=0),0,1)</f>
        <v>0</v>
      </c>
    </row>
    <row r="5025" spans="1:13" x14ac:dyDescent="0.2">
      <c r="A5025" t="s">
        <v>210</v>
      </c>
      <c r="B5025" t="s">
        <v>71</v>
      </c>
      <c r="C5025" t="s">
        <v>72</v>
      </c>
      <c r="D5025">
        <v>4231</v>
      </c>
      <c r="E5025">
        <v>2021</v>
      </c>
      <c r="F5025" t="s">
        <v>84</v>
      </c>
      <c r="G5025">
        <v>16109</v>
      </c>
      <c r="H5025" s="1">
        <v>3</v>
      </c>
      <c r="I5025">
        <v>3</v>
      </c>
      <c r="J5025">
        <f>IF($H5025=0,1,IF($I5025&lt;=1,2,0))</f>
        <v>0</v>
      </c>
      <c r="K5025">
        <v>0</v>
      </c>
      <c r="L5025">
        <f>IF(AND($J5025=0,$K5025=0),0,1)</f>
        <v>0</v>
      </c>
      <c r="M5025" t="s">
        <v>85</v>
      </c>
    </row>
    <row r="5026" spans="1:13" x14ac:dyDescent="0.2">
      <c r="A5026" t="s">
        <v>210</v>
      </c>
      <c r="B5026" t="s">
        <v>71</v>
      </c>
      <c r="C5026" t="s">
        <v>72</v>
      </c>
      <c r="D5026">
        <v>4235</v>
      </c>
      <c r="E5026">
        <v>2021</v>
      </c>
      <c r="F5026">
        <v>1</v>
      </c>
      <c r="G5026">
        <v>11049</v>
      </c>
      <c r="H5026" s="1">
        <v>3</v>
      </c>
      <c r="I5026">
        <v>41</v>
      </c>
      <c r="J5026">
        <f>IF($H5026=0,1,IF($I5026&lt;=1,2,0))</f>
        <v>0</v>
      </c>
      <c r="K5026">
        <v>0</v>
      </c>
      <c r="L5026">
        <f>IF(AND($J5026=0,$K5026=0),0,1)</f>
        <v>0</v>
      </c>
    </row>
    <row r="5027" spans="1:13" x14ac:dyDescent="0.2">
      <c r="A5027" t="s">
        <v>210</v>
      </c>
      <c r="B5027" t="s">
        <v>71</v>
      </c>
      <c r="C5027" t="s">
        <v>72</v>
      </c>
      <c r="D5027">
        <v>4300</v>
      </c>
      <c r="E5027">
        <v>2021</v>
      </c>
      <c r="F5027">
        <v>1</v>
      </c>
      <c r="G5027">
        <v>11050</v>
      </c>
      <c r="H5027" s="1">
        <v>3</v>
      </c>
      <c r="I5027">
        <v>22</v>
      </c>
      <c r="J5027">
        <f>IF($H5027=0,1,IF($I5027&lt;=1,2,0))</f>
        <v>0</v>
      </c>
      <c r="K5027">
        <v>0</v>
      </c>
      <c r="L5027">
        <f>IF(AND($J5027=0,$K5027=0),0,1)</f>
        <v>0</v>
      </c>
    </row>
    <row r="5028" spans="1:13" x14ac:dyDescent="0.2">
      <c r="A5028" t="s">
        <v>210</v>
      </c>
      <c r="B5028" t="s">
        <v>71</v>
      </c>
      <c r="C5028" t="s">
        <v>72</v>
      </c>
      <c r="D5028">
        <v>4500</v>
      </c>
      <c r="E5028">
        <v>2021</v>
      </c>
      <c r="F5028">
        <v>1</v>
      </c>
      <c r="G5028">
        <v>11046</v>
      </c>
      <c r="H5028" s="1">
        <v>4</v>
      </c>
      <c r="I5028">
        <v>22</v>
      </c>
      <c r="J5028">
        <f>IF($H5028=0,1,IF($I5028&lt;=1,2,0))</f>
        <v>0</v>
      </c>
      <c r="K5028">
        <v>0</v>
      </c>
      <c r="L5028">
        <f>IF(AND($J5028=0,$K5028=0),0,1)</f>
        <v>0</v>
      </c>
    </row>
    <row r="5029" spans="1:13" x14ac:dyDescent="0.2">
      <c r="A5029" t="s">
        <v>210</v>
      </c>
      <c r="B5029" t="s">
        <v>71</v>
      </c>
      <c r="C5029" t="s">
        <v>72</v>
      </c>
      <c r="D5029">
        <v>4501</v>
      </c>
      <c r="E5029">
        <v>2021</v>
      </c>
      <c r="F5029">
        <v>1</v>
      </c>
      <c r="G5029">
        <v>15672</v>
      </c>
      <c r="H5029" s="1">
        <v>3</v>
      </c>
      <c r="I5029">
        <v>25</v>
      </c>
      <c r="J5029">
        <f>IF($H5029=0,1,IF($I5029&lt;=1,2,0))</f>
        <v>0</v>
      </c>
      <c r="K5029">
        <v>0</v>
      </c>
      <c r="L5029">
        <f>IF(AND($J5029=0,$K5029=0),0,1)</f>
        <v>0</v>
      </c>
    </row>
    <row r="5030" spans="1:13" x14ac:dyDescent="0.2">
      <c r="A5030" t="s">
        <v>210</v>
      </c>
      <c r="B5030" t="s">
        <v>71</v>
      </c>
      <c r="C5030" t="s">
        <v>72</v>
      </c>
      <c r="D5030">
        <v>4580</v>
      </c>
      <c r="E5030">
        <v>2021</v>
      </c>
      <c r="F5030">
        <v>1</v>
      </c>
      <c r="G5030">
        <v>11048</v>
      </c>
      <c r="H5030" s="1">
        <v>3</v>
      </c>
      <c r="I5030">
        <v>40</v>
      </c>
      <c r="J5030">
        <f>IF($H5030=0,1,IF($I5030&lt;=1,2,0))</f>
        <v>0</v>
      </c>
      <c r="K5030">
        <v>0</v>
      </c>
      <c r="L5030">
        <f>IF(AND($J5030=0,$K5030=0),0,1)</f>
        <v>0</v>
      </c>
    </row>
    <row r="5031" spans="1:13" x14ac:dyDescent="0.2">
      <c r="A5031" t="s">
        <v>210</v>
      </c>
      <c r="B5031" t="s">
        <v>71</v>
      </c>
      <c r="C5031" t="s">
        <v>72</v>
      </c>
      <c r="D5031">
        <v>4660</v>
      </c>
      <c r="E5031">
        <v>2021</v>
      </c>
      <c r="F5031">
        <v>1</v>
      </c>
      <c r="G5031">
        <v>12574</v>
      </c>
      <c r="H5031" s="1">
        <v>3</v>
      </c>
      <c r="I5031">
        <v>41</v>
      </c>
      <c r="J5031">
        <f>IF($H5031=0,1,IF($I5031&lt;=1,2,0))</f>
        <v>0</v>
      </c>
      <c r="K5031">
        <v>0</v>
      </c>
      <c r="L5031">
        <f>IF(AND($J5031=0,$K5031=0),0,1)</f>
        <v>0</v>
      </c>
    </row>
    <row r="5032" spans="1:13" x14ac:dyDescent="0.2">
      <c r="A5032" t="s">
        <v>210</v>
      </c>
      <c r="B5032" t="s">
        <v>71</v>
      </c>
      <c r="C5032" t="s">
        <v>72</v>
      </c>
      <c r="D5032">
        <v>4700</v>
      </c>
      <c r="E5032">
        <v>2021</v>
      </c>
      <c r="F5032">
        <v>1</v>
      </c>
      <c r="G5032">
        <v>11063</v>
      </c>
      <c r="H5032" s="1">
        <v>3</v>
      </c>
      <c r="I5032">
        <v>46</v>
      </c>
      <c r="J5032">
        <f>IF($H5032=0,1,IF($I5032&lt;=1,2,0))</f>
        <v>0</v>
      </c>
      <c r="K5032">
        <v>0</v>
      </c>
      <c r="L5032">
        <f>IF(AND($J5032=0,$K5032=0),0,1)</f>
        <v>0</v>
      </c>
    </row>
    <row r="5033" spans="1:13" x14ac:dyDescent="0.2">
      <c r="A5033" t="s">
        <v>210</v>
      </c>
      <c r="B5033" t="s">
        <v>71</v>
      </c>
      <c r="C5033" t="s">
        <v>72</v>
      </c>
      <c r="D5033">
        <v>4860</v>
      </c>
      <c r="E5033">
        <v>2021</v>
      </c>
      <c r="F5033">
        <v>1</v>
      </c>
      <c r="G5033">
        <v>11061</v>
      </c>
      <c r="H5033" s="1">
        <v>3</v>
      </c>
      <c r="I5033">
        <v>28</v>
      </c>
      <c r="J5033">
        <f>IF($H5033=0,1,IF($I5033&lt;=1,2,0))</f>
        <v>0</v>
      </c>
      <c r="K5033">
        <v>0</v>
      </c>
      <c r="L5033">
        <f>IF(AND($J5033=0,$K5033=0),0,1)</f>
        <v>0</v>
      </c>
    </row>
    <row r="5034" spans="1:13" x14ac:dyDescent="0.2">
      <c r="A5034" t="s">
        <v>210</v>
      </c>
      <c r="B5034" t="s">
        <v>71</v>
      </c>
      <c r="C5034" t="s">
        <v>72</v>
      </c>
      <c r="D5034">
        <v>4930</v>
      </c>
      <c r="E5034">
        <v>2021</v>
      </c>
      <c r="F5034">
        <v>1</v>
      </c>
      <c r="G5034">
        <v>11071</v>
      </c>
      <c r="H5034" s="1">
        <v>3</v>
      </c>
      <c r="I5034">
        <v>21</v>
      </c>
      <c r="J5034">
        <f>IF($H5034=0,1,IF($I5034&lt;=1,2,0))</f>
        <v>0</v>
      </c>
      <c r="K5034">
        <v>0</v>
      </c>
      <c r="L5034">
        <f>IF(AND($J5034=0,$K5034=0),0,1)</f>
        <v>0</v>
      </c>
    </row>
    <row r="5035" spans="1:13" x14ac:dyDescent="0.2">
      <c r="A5035" t="s">
        <v>216</v>
      </c>
      <c r="B5035" t="s">
        <v>17</v>
      </c>
      <c r="C5035" t="s">
        <v>7</v>
      </c>
      <c r="D5035">
        <v>1011</v>
      </c>
      <c r="E5035">
        <v>2021</v>
      </c>
      <c r="F5035">
        <v>1</v>
      </c>
      <c r="G5035">
        <v>10945</v>
      </c>
      <c r="H5035" s="1">
        <v>2.5</v>
      </c>
      <c r="I5035">
        <v>4</v>
      </c>
      <c r="J5035">
        <f>IF($H5035=0,1,IF($I5035&lt;=1,2,0))</f>
        <v>0</v>
      </c>
      <c r="K5035">
        <v>0</v>
      </c>
      <c r="L5035">
        <f>IF(AND($J5035=0,$K5035=0),0,1)</f>
        <v>0</v>
      </c>
    </row>
    <row r="5036" spans="1:13" x14ac:dyDescent="0.2">
      <c r="A5036" t="s">
        <v>216</v>
      </c>
      <c r="B5036" t="s">
        <v>17</v>
      </c>
      <c r="C5036" t="s">
        <v>7</v>
      </c>
      <c r="D5036">
        <v>1011</v>
      </c>
      <c r="E5036">
        <v>2021</v>
      </c>
      <c r="F5036">
        <v>2</v>
      </c>
      <c r="G5036">
        <v>10946</v>
      </c>
      <c r="H5036" s="1">
        <v>2.5</v>
      </c>
      <c r="I5036">
        <v>2</v>
      </c>
      <c r="J5036">
        <f>IF($H5036=0,1,IF($I5036&lt;=1,2,0))</f>
        <v>0</v>
      </c>
      <c r="K5036">
        <v>0</v>
      </c>
      <c r="L5036">
        <f>IF(AND($J5036=0,$K5036=0),0,1)</f>
        <v>0</v>
      </c>
    </row>
    <row r="5037" spans="1:13" x14ac:dyDescent="0.2">
      <c r="A5037" t="s">
        <v>216</v>
      </c>
      <c r="B5037" t="s">
        <v>17</v>
      </c>
      <c r="C5037" t="s">
        <v>7</v>
      </c>
      <c r="D5037">
        <v>1101</v>
      </c>
      <c r="E5037">
        <v>2021</v>
      </c>
      <c r="F5037">
        <v>3</v>
      </c>
      <c r="G5037">
        <v>10950</v>
      </c>
      <c r="H5037" s="1">
        <v>5</v>
      </c>
      <c r="I5037">
        <v>16</v>
      </c>
      <c r="J5037">
        <f>IF($H5037=0,1,IF($I5037&lt;=1,2,0))</f>
        <v>0</v>
      </c>
      <c r="K5037">
        <v>0</v>
      </c>
      <c r="L5037">
        <f>IF(AND($J5037=0,$K5037=0),0,1)</f>
        <v>0</v>
      </c>
    </row>
    <row r="5038" spans="1:13" x14ac:dyDescent="0.2">
      <c r="A5038" t="s">
        <v>216</v>
      </c>
      <c r="B5038" t="s">
        <v>17</v>
      </c>
      <c r="C5038" t="s">
        <v>7</v>
      </c>
      <c r="D5038">
        <v>1101</v>
      </c>
      <c r="E5038">
        <v>2021</v>
      </c>
      <c r="F5038">
        <v>5</v>
      </c>
      <c r="G5038">
        <v>10953</v>
      </c>
      <c r="H5038" s="1">
        <v>5</v>
      </c>
      <c r="I5038">
        <v>16</v>
      </c>
      <c r="J5038">
        <f>IF($H5038=0,1,IF($I5038&lt;=1,2,0))</f>
        <v>0</v>
      </c>
      <c r="K5038">
        <v>0</v>
      </c>
      <c r="L5038">
        <f>IF(AND($J5038=0,$K5038=0),0,1)</f>
        <v>0</v>
      </c>
    </row>
    <row r="5039" spans="1:13" x14ac:dyDescent="0.2">
      <c r="A5039" t="s">
        <v>216</v>
      </c>
      <c r="B5039" t="s">
        <v>17</v>
      </c>
      <c r="C5039" t="s">
        <v>7</v>
      </c>
      <c r="D5039">
        <v>1101</v>
      </c>
      <c r="E5039">
        <v>2021</v>
      </c>
      <c r="F5039">
        <v>1</v>
      </c>
      <c r="G5039">
        <v>10948</v>
      </c>
      <c r="H5039" s="1">
        <v>5</v>
      </c>
      <c r="I5039">
        <v>14</v>
      </c>
      <c r="J5039">
        <f>IF($H5039=0,1,IF($I5039&lt;=1,2,0))</f>
        <v>0</v>
      </c>
      <c r="K5039">
        <v>0</v>
      </c>
      <c r="L5039">
        <f>IF(AND($J5039=0,$K5039=0),0,1)</f>
        <v>0</v>
      </c>
    </row>
    <row r="5040" spans="1:13" x14ac:dyDescent="0.2">
      <c r="A5040" t="s">
        <v>216</v>
      </c>
      <c r="B5040" t="s">
        <v>17</v>
      </c>
      <c r="C5040" t="s">
        <v>7</v>
      </c>
      <c r="D5040">
        <v>1101</v>
      </c>
      <c r="E5040">
        <v>2021</v>
      </c>
      <c r="F5040">
        <v>4</v>
      </c>
      <c r="G5040">
        <v>10952</v>
      </c>
      <c r="H5040" s="1">
        <v>5</v>
      </c>
      <c r="I5040">
        <v>13</v>
      </c>
      <c r="J5040">
        <f>IF($H5040=0,1,IF($I5040&lt;=1,2,0))</f>
        <v>0</v>
      </c>
      <c r="K5040">
        <v>0</v>
      </c>
      <c r="L5040">
        <f>IF(AND($J5040=0,$K5040=0),0,1)</f>
        <v>0</v>
      </c>
    </row>
    <row r="5041" spans="1:12" x14ac:dyDescent="0.2">
      <c r="A5041" t="s">
        <v>216</v>
      </c>
      <c r="B5041" t="s">
        <v>17</v>
      </c>
      <c r="C5041" t="s">
        <v>7</v>
      </c>
      <c r="D5041">
        <v>1101</v>
      </c>
      <c r="E5041">
        <v>2021</v>
      </c>
      <c r="F5041">
        <v>2</v>
      </c>
      <c r="G5041">
        <v>10949</v>
      </c>
      <c r="H5041" s="1">
        <v>5</v>
      </c>
      <c r="I5041">
        <v>12</v>
      </c>
      <c r="J5041">
        <f>IF($H5041=0,1,IF($I5041&lt;=1,2,0))</f>
        <v>0</v>
      </c>
      <c r="K5041">
        <v>0</v>
      </c>
      <c r="L5041">
        <f>IF(AND($J5041=0,$K5041=0),0,1)</f>
        <v>0</v>
      </c>
    </row>
    <row r="5042" spans="1:12" x14ac:dyDescent="0.2">
      <c r="A5042" t="s">
        <v>216</v>
      </c>
      <c r="B5042" t="s">
        <v>17</v>
      </c>
      <c r="C5042" t="s">
        <v>7</v>
      </c>
      <c r="D5042">
        <v>1102</v>
      </c>
      <c r="E5042">
        <v>2021</v>
      </c>
      <c r="F5042">
        <v>1</v>
      </c>
      <c r="G5042">
        <v>10954</v>
      </c>
      <c r="H5042" s="1">
        <v>5</v>
      </c>
      <c r="I5042">
        <v>16</v>
      </c>
      <c r="J5042">
        <f>IF($H5042=0,1,IF($I5042&lt;=1,2,0))</f>
        <v>0</v>
      </c>
      <c r="K5042">
        <v>0</v>
      </c>
      <c r="L5042">
        <f>IF(AND($J5042=0,$K5042=0),0,1)</f>
        <v>0</v>
      </c>
    </row>
    <row r="5043" spans="1:12" x14ac:dyDescent="0.2">
      <c r="A5043" t="s">
        <v>216</v>
      </c>
      <c r="B5043" t="s">
        <v>17</v>
      </c>
      <c r="C5043" t="s">
        <v>7</v>
      </c>
      <c r="D5043">
        <v>1111</v>
      </c>
      <c r="E5043">
        <v>2021</v>
      </c>
      <c r="F5043">
        <v>1</v>
      </c>
      <c r="G5043">
        <v>10955</v>
      </c>
      <c r="H5043" s="1">
        <v>5</v>
      </c>
      <c r="I5043">
        <v>20</v>
      </c>
      <c r="J5043">
        <f>IF($H5043=0,1,IF($I5043&lt;=1,2,0))</f>
        <v>0</v>
      </c>
      <c r="K5043">
        <v>0</v>
      </c>
      <c r="L5043">
        <f>IF(AND($J5043=0,$K5043=0),0,1)</f>
        <v>0</v>
      </c>
    </row>
    <row r="5044" spans="1:12" x14ac:dyDescent="0.2">
      <c r="A5044" t="s">
        <v>216</v>
      </c>
      <c r="B5044" t="s">
        <v>17</v>
      </c>
      <c r="C5044" t="s">
        <v>7</v>
      </c>
      <c r="D5044">
        <v>1111</v>
      </c>
      <c r="E5044">
        <v>2021</v>
      </c>
      <c r="F5044">
        <v>2</v>
      </c>
      <c r="G5044">
        <v>10956</v>
      </c>
      <c r="H5044" s="1">
        <v>5</v>
      </c>
      <c r="I5044">
        <v>13</v>
      </c>
      <c r="J5044">
        <f>IF($H5044=0,1,IF($I5044&lt;=1,2,0))</f>
        <v>0</v>
      </c>
      <c r="K5044">
        <v>0</v>
      </c>
      <c r="L5044">
        <f>IF(AND($J5044=0,$K5044=0),0,1)</f>
        <v>0</v>
      </c>
    </row>
    <row r="5045" spans="1:12" x14ac:dyDescent="0.2">
      <c r="A5045" t="s">
        <v>216</v>
      </c>
      <c r="B5045" t="s">
        <v>17</v>
      </c>
      <c r="C5045" t="s">
        <v>7</v>
      </c>
      <c r="D5045">
        <v>2201</v>
      </c>
      <c r="E5045">
        <v>2021</v>
      </c>
      <c r="F5045">
        <v>2</v>
      </c>
      <c r="G5045">
        <v>10959</v>
      </c>
      <c r="H5045" s="1">
        <v>5</v>
      </c>
      <c r="I5045">
        <v>17</v>
      </c>
      <c r="J5045">
        <f>IF($H5045=0,1,IF($I5045&lt;=1,2,0))</f>
        <v>0</v>
      </c>
      <c r="K5045">
        <v>0</v>
      </c>
      <c r="L5045">
        <f>IF(AND($J5045=0,$K5045=0),0,1)</f>
        <v>0</v>
      </c>
    </row>
    <row r="5046" spans="1:12" x14ac:dyDescent="0.2">
      <c r="A5046" t="s">
        <v>216</v>
      </c>
      <c r="B5046" t="s">
        <v>17</v>
      </c>
      <c r="C5046" t="s">
        <v>7</v>
      </c>
      <c r="D5046">
        <v>2201</v>
      </c>
      <c r="E5046">
        <v>2021</v>
      </c>
      <c r="F5046">
        <v>3</v>
      </c>
      <c r="G5046">
        <v>10960</v>
      </c>
      <c r="H5046" s="1">
        <v>5</v>
      </c>
      <c r="I5046">
        <v>17</v>
      </c>
      <c r="J5046">
        <f>IF($H5046=0,1,IF($I5046&lt;=1,2,0))</f>
        <v>0</v>
      </c>
      <c r="K5046">
        <v>0</v>
      </c>
      <c r="L5046">
        <f>IF(AND($J5046=0,$K5046=0),0,1)</f>
        <v>0</v>
      </c>
    </row>
    <row r="5047" spans="1:12" x14ac:dyDescent="0.2">
      <c r="A5047" t="s">
        <v>216</v>
      </c>
      <c r="B5047" t="s">
        <v>17</v>
      </c>
      <c r="C5047" t="s">
        <v>7</v>
      </c>
      <c r="D5047">
        <v>2201</v>
      </c>
      <c r="E5047">
        <v>2021</v>
      </c>
      <c r="F5047">
        <v>1</v>
      </c>
      <c r="G5047">
        <v>10958</v>
      </c>
      <c r="H5047" s="1">
        <v>5</v>
      </c>
      <c r="I5047">
        <v>14</v>
      </c>
      <c r="J5047">
        <f>IF($H5047=0,1,IF($I5047&lt;=1,2,0))</f>
        <v>0</v>
      </c>
      <c r="K5047">
        <v>0</v>
      </c>
      <c r="L5047">
        <f>IF(AND($J5047=0,$K5047=0),0,1)</f>
        <v>0</v>
      </c>
    </row>
    <row r="5048" spans="1:12" x14ac:dyDescent="0.2">
      <c r="A5048" t="s">
        <v>216</v>
      </c>
      <c r="B5048" t="s">
        <v>17</v>
      </c>
      <c r="C5048" t="s">
        <v>7</v>
      </c>
      <c r="D5048">
        <v>2201</v>
      </c>
      <c r="E5048">
        <v>2021</v>
      </c>
      <c r="F5048">
        <v>5</v>
      </c>
      <c r="G5048">
        <v>10963</v>
      </c>
      <c r="H5048" s="1">
        <v>5</v>
      </c>
      <c r="I5048">
        <v>10</v>
      </c>
      <c r="J5048">
        <f>IF($H5048=0,1,IF($I5048&lt;=1,2,0))</f>
        <v>0</v>
      </c>
      <c r="K5048">
        <v>0</v>
      </c>
      <c r="L5048">
        <f>IF(AND($J5048=0,$K5048=0),0,1)</f>
        <v>0</v>
      </c>
    </row>
    <row r="5049" spans="1:12" x14ac:dyDescent="0.2">
      <c r="A5049" t="s">
        <v>216</v>
      </c>
      <c r="B5049" t="s">
        <v>17</v>
      </c>
      <c r="C5049" t="s">
        <v>7</v>
      </c>
      <c r="D5049">
        <v>2201</v>
      </c>
      <c r="E5049">
        <v>2021</v>
      </c>
      <c r="F5049">
        <v>4</v>
      </c>
      <c r="G5049">
        <v>10961</v>
      </c>
      <c r="H5049" s="1">
        <v>5</v>
      </c>
      <c r="I5049">
        <v>5</v>
      </c>
      <c r="J5049">
        <f>IF($H5049=0,1,IF($I5049&lt;=1,2,0))</f>
        <v>0</v>
      </c>
      <c r="K5049">
        <v>0</v>
      </c>
      <c r="L5049">
        <f>IF(AND($J5049=0,$K5049=0),0,1)</f>
        <v>0</v>
      </c>
    </row>
    <row r="5050" spans="1:12" x14ac:dyDescent="0.2">
      <c r="A5050" t="s">
        <v>216</v>
      </c>
      <c r="B5050" t="s">
        <v>17</v>
      </c>
      <c r="C5050" t="s">
        <v>7</v>
      </c>
      <c r="D5050">
        <v>2202</v>
      </c>
      <c r="E5050">
        <v>2021</v>
      </c>
      <c r="F5050">
        <v>1</v>
      </c>
      <c r="G5050">
        <v>10965</v>
      </c>
      <c r="H5050" s="1">
        <v>5</v>
      </c>
      <c r="I5050">
        <v>8</v>
      </c>
      <c r="J5050">
        <f>IF($H5050=0,1,IF($I5050&lt;=1,2,0))</f>
        <v>0</v>
      </c>
      <c r="K5050">
        <v>0</v>
      </c>
      <c r="L5050">
        <f>IF(AND($J5050=0,$K5050=0),0,1)</f>
        <v>0</v>
      </c>
    </row>
    <row r="5051" spans="1:12" x14ac:dyDescent="0.2">
      <c r="A5051" t="s">
        <v>216</v>
      </c>
      <c r="B5051" t="s">
        <v>17</v>
      </c>
      <c r="C5051" t="s">
        <v>7</v>
      </c>
      <c r="D5051">
        <v>2221</v>
      </c>
      <c r="E5051">
        <v>2021</v>
      </c>
      <c r="F5051">
        <v>1</v>
      </c>
      <c r="G5051">
        <v>10966</v>
      </c>
      <c r="H5051" s="1">
        <v>5</v>
      </c>
      <c r="I5051">
        <v>8</v>
      </c>
      <c r="J5051">
        <f>IF($H5051=0,1,IF($I5051&lt;=1,2,0))</f>
        <v>0</v>
      </c>
      <c r="K5051">
        <v>0</v>
      </c>
      <c r="L5051">
        <f>IF(AND($J5051=0,$K5051=0),0,1)</f>
        <v>0</v>
      </c>
    </row>
    <row r="5052" spans="1:12" x14ac:dyDescent="0.2">
      <c r="A5052" t="s">
        <v>216</v>
      </c>
      <c r="B5052" t="s">
        <v>17</v>
      </c>
      <c r="C5052" t="s">
        <v>9</v>
      </c>
      <c r="D5052">
        <v>3003</v>
      </c>
      <c r="E5052">
        <v>2021</v>
      </c>
      <c r="F5052">
        <v>2</v>
      </c>
      <c r="G5052">
        <v>10969</v>
      </c>
      <c r="H5052" s="1">
        <v>5</v>
      </c>
      <c r="I5052">
        <v>17</v>
      </c>
      <c r="J5052">
        <f>IF($H5052=0,1,IF($I5052&lt;=1,2,0))</f>
        <v>0</v>
      </c>
      <c r="K5052">
        <v>0</v>
      </c>
      <c r="L5052">
        <f>IF(AND($J5052=0,$K5052=0),0,1)</f>
        <v>0</v>
      </c>
    </row>
    <row r="5053" spans="1:12" x14ac:dyDescent="0.2">
      <c r="A5053" t="s">
        <v>216</v>
      </c>
      <c r="B5053" t="s">
        <v>17</v>
      </c>
      <c r="C5053" t="s">
        <v>9</v>
      </c>
      <c r="D5053">
        <v>3003</v>
      </c>
      <c r="E5053">
        <v>2021</v>
      </c>
      <c r="F5053">
        <v>4</v>
      </c>
      <c r="G5053">
        <v>10972</v>
      </c>
      <c r="H5053" s="1">
        <v>5</v>
      </c>
      <c r="I5053">
        <v>10</v>
      </c>
      <c r="J5053">
        <f>IF($H5053=0,1,IF($I5053&lt;=1,2,0))</f>
        <v>0</v>
      </c>
      <c r="K5053">
        <v>0</v>
      </c>
      <c r="L5053">
        <f>IF(AND($J5053=0,$K5053=0),0,1)</f>
        <v>0</v>
      </c>
    </row>
    <row r="5054" spans="1:12" x14ac:dyDescent="0.2">
      <c r="A5054" t="s">
        <v>216</v>
      </c>
      <c r="B5054" t="s">
        <v>17</v>
      </c>
      <c r="C5054" t="s">
        <v>9</v>
      </c>
      <c r="D5054">
        <v>3003</v>
      </c>
      <c r="E5054">
        <v>2021</v>
      </c>
      <c r="F5054">
        <v>1</v>
      </c>
      <c r="G5054">
        <v>10968</v>
      </c>
      <c r="H5054" s="1">
        <v>5</v>
      </c>
      <c r="I5054">
        <v>9</v>
      </c>
      <c r="J5054">
        <f>IF($H5054=0,1,IF($I5054&lt;=1,2,0))</f>
        <v>0</v>
      </c>
      <c r="K5054">
        <v>0</v>
      </c>
      <c r="L5054">
        <f>IF(AND($J5054=0,$K5054=0),0,1)</f>
        <v>0</v>
      </c>
    </row>
    <row r="5055" spans="1:12" x14ac:dyDescent="0.2">
      <c r="A5055" t="s">
        <v>216</v>
      </c>
      <c r="B5055" t="s">
        <v>17</v>
      </c>
      <c r="C5055" t="s">
        <v>9</v>
      </c>
      <c r="D5055">
        <v>3003</v>
      </c>
      <c r="E5055">
        <v>2021</v>
      </c>
      <c r="F5055">
        <v>3</v>
      </c>
      <c r="G5055">
        <v>10971</v>
      </c>
      <c r="H5055" s="1">
        <v>5</v>
      </c>
      <c r="I5055">
        <v>9</v>
      </c>
      <c r="J5055">
        <f>IF($H5055=0,1,IF($I5055&lt;=1,2,0))</f>
        <v>0</v>
      </c>
      <c r="K5055">
        <v>0</v>
      </c>
      <c r="L5055">
        <f>IF(AND($J5055=0,$K5055=0),0,1)</f>
        <v>0</v>
      </c>
    </row>
    <row r="5056" spans="1:12" x14ac:dyDescent="0.2">
      <c r="A5056" t="s">
        <v>216</v>
      </c>
      <c r="B5056" t="s">
        <v>17</v>
      </c>
      <c r="C5056" t="s">
        <v>9</v>
      </c>
      <c r="D5056">
        <v>3005</v>
      </c>
      <c r="E5056">
        <v>2021</v>
      </c>
      <c r="F5056">
        <v>1</v>
      </c>
      <c r="G5056">
        <v>10974</v>
      </c>
      <c r="H5056" s="1">
        <v>5</v>
      </c>
      <c r="I5056">
        <v>10</v>
      </c>
      <c r="J5056">
        <f>IF($H5056=0,1,IF($I5056&lt;=1,2,0))</f>
        <v>0</v>
      </c>
      <c r="K5056">
        <v>0</v>
      </c>
      <c r="L5056">
        <f>IF(AND($J5056=0,$K5056=0),0,1)</f>
        <v>0</v>
      </c>
    </row>
    <row r="5057" spans="1:13" x14ac:dyDescent="0.2">
      <c r="A5057" t="s">
        <v>216</v>
      </c>
      <c r="B5057" t="s">
        <v>17</v>
      </c>
      <c r="C5057" t="s">
        <v>9</v>
      </c>
      <c r="D5057">
        <v>4012</v>
      </c>
      <c r="E5057">
        <v>2021</v>
      </c>
      <c r="F5057">
        <v>1</v>
      </c>
      <c r="G5057">
        <v>10975</v>
      </c>
      <c r="H5057" s="1">
        <v>4</v>
      </c>
      <c r="I5057">
        <v>7</v>
      </c>
      <c r="J5057">
        <f>IF($H5057=0,1,IF($I5057&lt;=1,2,0))</f>
        <v>0</v>
      </c>
      <c r="K5057">
        <v>0</v>
      </c>
      <c r="L5057">
        <f>IF(AND($J5057=0,$K5057=0),0,1)</f>
        <v>0</v>
      </c>
    </row>
    <row r="5058" spans="1:13" x14ac:dyDescent="0.2">
      <c r="A5058" t="s">
        <v>216</v>
      </c>
      <c r="B5058" t="s">
        <v>17</v>
      </c>
      <c r="C5058" t="s">
        <v>9</v>
      </c>
      <c r="D5058">
        <v>4014</v>
      </c>
      <c r="E5058">
        <v>2021</v>
      </c>
      <c r="F5058">
        <v>1</v>
      </c>
      <c r="G5058">
        <v>10979</v>
      </c>
      <c r="H5058" s="1">
        <v>4</v>
      </c>
      <c r="I5058">
        <v>9</v>
      </c>
      <c r="J5058">
        <f>IF($H5058=0,1,IF($I5058&lt;=1,2,0))</f>
        <v>0</v>
      </c>
      <c r="K5058">
        <v>0</v>
      </c>
      <c r="L5058">
        <f>IF(AND($J5058=0,$K5058=0),0,1)</f>
        <v>0</v>
      </c>
    </row>
    <row r="5059" spans="1:13" x14ac:dyDescent="0.2">
      <c r="A5059" t="s">
        <v>216</v>
      </c>
      <c r="B5059" t="s">
        <v>17</v>
      </c>
      <c r="C5059" t="s">
        <v>11</v>
      </c>
      <c r="D5059">
        <v>4015</v>
      </c>
      <c r="E5059">
        <v>2021</v>
      </c>
      <c r="F5059">
        <v>1</v>
      </c>
      <c r="G5059">
        <v>10981</v>
      </c>
      <c r="H5059" s="1">
        <v>4</v>
      </c>
      <c r="I5059">
        <v>8</v>
      </c>
      <c r="J5059">
        <f>IF($H5059=0,1,IF($I5059&lt;=1,2,0))</f>
        <v>0</v>
      </c>
      <c r="K5059">
        <v>0</v>
      </c>
      <c r="L5059">
        <f>IF(AND($J5059=0,$K5059=0),0,1)</f>
        <v>0</v>
      </c>
    </row>
    <row r="5060" spans="1:13" x14ac:dyDescent="0.2">
      <c r="A5060" t="s">
        <v>216</v>
      </c>
      <c r="B5060" t="s">
        <v>17</v>
      </c>
      <c r="C5060" t="s">
        <v>9</v>
      </c>
      <c r="D5060">
        <v>4017</v>
      </c>
      <c r="E5060">
        <v>2021</v>
      </c>
      <c r="F5060">
        <v>1</v>
      </c>
      <c r="G5060">
        <v>10983</v>
      </c>
      <c r="H5060" s="1">
        <v>4</v>
      </c>
      <c r="I5060">
        <v>7</v>
      </c>
      <c r="J5060">
        <f>IF($H5060=0,1,IF($I5060&lt;=1,2,0))</f>
        <v>0</v>
      </c>
      <c r="K5060">
        <v>0</v>
      </c>
      <c r="L5060">
        <f>IF(AND($J5060=0,$K5060=0),0,1)</f>
        <v>0</v>
      </c>
    </row>
    <row r="5061" spans="1:13" x14ac:dyDescent="0.2">
      <c r="A5061" t="s">
        <v>216</v>
      </c>
      <c r="B5061" t="s">
        <v>17</v>
      </c>
      <c r="C5061" t="s">
        <v>9</v>
      </c>
      <c r="D5061">
        <v>4019</v>
      </c>
      <c r="E5061">
        <v>2021</v>
      </c>
      <c r="F5061">
        <v>1</v>
      </c>
      <c r="G5061">
        <v>10984</v>
      </c>
      <c r="H5061" s="1">
        <v>3</v>
      </c>
      <c r="I5061">
        <v>13</v>
      </c>
      <c r="J5061">
        <f>IF($H5061=0,1,IF($I5061&lt;=1,2,0))</f>
        <v>0</v>
      </c>
      <c r="K5061">
        <v>0</v>
      </c>
      <c r="L5061">
        <f>IF(AND($J5061=0,$K5061=0),0,1)</f>
        <v>0</v>
      </c>
    </row>
    <row r="5062" spans="1:13" x14ac:dyDescent="0.2">
      <c r="A5062" t="s">
        <v>216</v>
      </c>
      <c r="B5062" t="s">
        <v>17</v>
      </c>
      <c r="C5062" t="s">
        <v>9</v>
      </c>
      <c r="D5062">
        <v>4112</v>
      </c>
      <c r="E5062">
        <v>2021</v>
      </c>
      <c r="F5062">
        <v>1</v>
      </c>
      <c r="G5062">
        <v>10986</v>
      </c>
      <c r="H5062" s="1">
        <v>4</v>
      </c>
      <c r="I5062">
        <v>8</v>
      </c>
      <c r="J5062">
        <f>IF($H5062=0,1,IF($I5062&lt;=1,2,0))</f>
        <v>0</v>
      </c>
      <c r="K5062">
        <v>0</v>
      </c>
      <c r="L5062">
        <f>IF(AND($J5062=0,$K5062=0),0,1)</f>
        <v>0</v>
      </c>
    </row>
    <row r="5063" spans="1:13" x14ac:dyDescent="0.2">
      <c r="A5063" t="s">
        <v>216</v>
      </c>
      <c r="B5063" t="s">
        <v>17</v>
      </c>
      <c r="C5063" t="s">
        <v>9</v>
      </c>
      <c r="D5063">
        <v>4301</v>
      </c>
      <c r="E5063">
        <v>2021</v>
      </c>
      <c r="F5063">
        <v>1</v>
      </c>
      <c r="G5063">
        <v>10987</v>
      </c>
      <c r="H5063" s="1">
        <v>3</v>
      </c>
      <c r="I5063">
        <v>19</v>
      </c>
      <c r="J5063">
        <f>IF($H5063=0,1,IF($I5063&lt;=1,2,0))</f>
        <v>0</v>
      </c>
      <c r="K5063">
        <v>0</v>
      </c>
      <c r="L5063">
        <f>IF(AND($J5063=0,$K5063=0),0,1)</f>
        <v>0</v>
      </c>
    </row>
    <row r="5064" spans="1:13" x14ac:dyDescent="0.2">
      <c r="A5064" t="s">
        <v>216</v>
      </c>
      <c r="B5064" t="s">
        <v>17</v>
      </c>
      <c r="C5064" t="s">
        <v>9</v>
      </c>
      <c r="D5064">
        <v>4507</v>
      </c>
      <c r="E5064">
        <v>2021</v>
      </c>
      <c r="F5064">
        <v>1</v>
      </c>
      <c r="G5064">
        <v>10909</v>
      </c>
      <c r="H5064" s="1">
        <v>3</v>
      </c>
      <c r="I5064">
        <v>16</v>
      </c>
      <c r="J5064">
        <f>IF($H5064=0,1,IF($I5064&lt;=1,2,0))</f>
        <v>0</v>
      </c>
      <c r="K5064">
        <v>0</v>
      </c>
      <c r="L5064">
        <f>IF(AND($J5064=0,$K5064=0),0,1)</f>
        <v>0</v>
      </c>
    </row>
    <row r="5065" spans="1:13" x14ac:dyDescent="0.2">
      <c r="A5065" t="s">
        <v>216</v>
      </c>
      <c r="B5065" t="s">
        <v>17</v>
      </c>
      <c r="C5065" t="s">
        <v>11</v>
      </c>
      <c r="D5065">
        <v>4516</v>
      </c>
      <c r="E5065">
        <v>2021</v>
      </c>
      <c r="F5065">
        <v>1</v>
      </c>
      <c r="G5065">
        <v>10989</v>
      </c>
      <c r="H5065" s="1">
        <v>4</v>
      </c>
      <c r="I5065">
        <v>11</v>
      </c>
      <c r="J5065">
        <f>IF($H5065=0,1,IF($I5065&lt;=1,2,0))</f>
        <v>0</v>
      </c>
      <c r="K5065">
        <v>0</v>
      </c>
      <c r="L5065">
        <f>IF(AND($J5065=0,$K5065=0),0,1)</f>
        <v>0</v>
      </c>
    </row>
    <row r="5066" spans="1:13" x14ac:dyDescent="0.2">
      <c r="A5066" t="s">
        <v>216</v>
      </c>
      <c r="B5066" t="s">
        <v>17</v>
      </c>
      <c r="C5066" t="s">
        <v>9</v>
      </c>
      <c r="D5066">
        <v>4904</v>
      </c>
      <c r="E5066">
        <v>2021</v>
      </c>
      <c r="F5066">
        <v>1</v>
      </c>
      <c r="G5066">
        <v>10990</v>
      </c>
      <c r="H5066" s="1">
        <v>4</v>
      </c>
      <c r="I5066">
        <v>9</v>
      </c>
      <c r="J5066">
        <f>IF($H5066=0,1,IF($I5066&lt;=1,2,0))</f>
        <v>0</v>
      </c>
      <c r="K5066">
        <v>0</v>
      </c>
      <c r="L5066">
        <f>IF(AND($J5066=0,$K5066=0),0,1)</f>
        <v>0</v>
      </c>
    </row>
    <row r="5067" spans="1:13" x14ac:dyDescent="0.2">
      <c r="A5067" t="s">
        <v>217</v>
      </c>
      <c r="B5067" t="s">
        <v>71</v>
      </c>
      <c r="C5067" t="s">
        <v>72</v>
      </c>
      <c r="D5067">
        <v>4252</v>
      </c>
      <c r="E5067">
        <v>2021</v>
      </c>
      <c r="F5067">
        <v>1</v>
      </c>
      <c r="G5067">
        <v>13349</v>
      </c>
      <c r="H5067" s="1">
        <v>3</v>
      </c>
      <c r="I5067">
        <v>28</v>
      </c>
      <c r="J5067">
        <f>IF($H5067=0,1,IF($I5067&lt;=1,2,0))</f>
        <v>0</v>
      </c>
      <c r="K5067">
        <v>0</v>
      </c>
      <c r="L5067">
        <f>IF(AND($J5067=0,$K5067=0),0,1)</f>
        <v>0</v>
      </c>
    </row>
    <row r="5068" spans="1:13" x14ac:dyDescent="0.2">
      <c r="A5068" t="s">
        <v>218</v>
      </c>
      <c r="B5068" t="s">
        <v>71</v>
      </c>
      <c r="C5068" t="s">
        <v>72</v>
      </c>
      <c r="D5068">
        <v>3111</v>
      </c>
      <c r="E5068">
        <v>2021</v>
      </c>
      <c r="F5068">
        <v>1</v>
      </c>
      <c r="G5068">
        <v>12852</v>
      </c>
      <c r="H5068" s="1">
        <v>3.5</v>
      </c>
      <c r="I5068">
        <v>31</v>
      </c>
      <c r="J5068">
        <f>IF($H5068=0,1,IF($I5068&lt;=1,2,0))</f>
        <v>0</v>
      </c>
      <c r="K5068">
        <v>0</v>
      </c>
      <c r="L5068">
        <f>IF(AND($J5068=0,$K5068=0),0,1)</f>
        <v>0</v>
      </c>
    </row>
    <row r="5069" spans="1:13" x14ac:dyDescent="0.2">
      <c r="A5069" t="s">
        <v>218</v>
      </c>
      <c r="B5069" t="s">
        <v>71</v>
      </c>
      <c r="C5069" t="s">
        <v>72</v>
      </c>
      <c r="D5069">
        <v>3127</v>
      </c>
      <c r="E5069">
        <v>2021</v>
      </c>
      <c r="F5069">
        <v>1</v>
      </c>
      <c r="G5069">
        <v>12851</v>
      </c>
      <c r="H5069" s="1">
        <v>3</v>
      </c>
      <c r="I5069">
        <v>8</v>
      </c>
      <c r="J5069">
        <f>IF($H5069=0,1,IF($I5069&lt;=1,2,0))</f>
        <v>0</v>
      </c>
      <c r="K5069">
        <v>0</v>
      </c>
      <c r="L5069">
        <f>IF(AND($J5069=0,$K5069=0),0,1)</f>
        <v>0</v>
      </c>
    </row>
    <row r="5070" spans="1:13" x14ac:dyDescent="0.2">
      <c r="A5070" t="s">
        <v>218</v>
      </c>
      <c r="B5070" t="s">
        <v>71</v>
      </c>
      <c r="C5070" t="s">
        <v>72</v>
      </c>
      <c r="D5070">
        <v>3129</v>
      </c>
      <c r="E5070">
        <v>2021</v>
      </c>
      <c r="F5070">
        <v>1</v>
      </c>
      <c r="G5070">
        <v>12871</v>
      </c>
      <c r="H5070" s="1">
        <v>3</v>
      </c>
      <c r="I5070">
        <v>34</v>
      </c>
      <c r="J5070">
        <f>IF($H5070=0,1,IF($I5070&lt;=1,2,0))</f>
        <v>0</v>
      </c>
      <c r="K5070">
        <v>0</v>
      </c>
      <c r="L5070">
        <f>IF(AND($J5070=0,$K5070=0),0,1)</f>
        <v>0</v>
      </c>
    </row>
    <row r="5071" spans="1:13" x14ac:dyDescent="0.2">
      <c r="A5071" t="s">
        <v>218</v>
      </c>
      <c r="B5071" t="s">
        <v>71</v>
      </c>
      <c r="C5071" t="s">
        <v>72</v>
      </c>
      <c r="D5071">
        <v>3304</v>
      </c>
      <c r="E5071">
        <v>2021</v>
      </c>
      <c r="F5071">
        <v>5</v>
      </c>
      <c r="G5071">
        <v>20257</v>
      </c>
      <c r="H5071" s="1" t="s">
        <v>1827</v>
      </c>
      <c r="I5071">
        <v>3</v>
      </c>
      <c r="J5071">
        <f>IF($H5071=0,1,IF($I5071&lt;=1,2,0))</f>
        <v>0</v>
      </c>
      <c r="K5071">
        <v>0</v>
      </c>
      <c r="L5071">
        <f>IF(AND($J5071=0,$K5071=0),0,1)</f>
        <v>0</v>
      </c>
      <c r="M5071" t="s">
        <v>1452</v>
      </c>
    </row>
    <row r="5072" spans="1:13" x14ac:dyDescent="0.2">
      <c r="A5072" t="s">
        <v>218</v>
      </c>
      <c r="B5072" t="s">
        <v>71</v>
      </c>
      <c r="C5072" t="s">
        <v>72</v>
      </c>
      <c r="D5072">
        <v>3304</v>
      </c>
      <c r="E5072">
        <v>2021</v>
      </c>
      <c r="F5072">
        <v>9</v>
      </c>
      <c r="G5072">
        <v>20261</v>
      </c>
      <c r="H5072" s="1" t="s">
        <v>1827</v>
      </c>
      <c r="I5072">
        <v>2</v>
      </c>
      <c r="J5072">
        <f>IF($H5072=0,1,IF($I5072&lt;=1,2,0))</f>
        <v>0</v>
      </c>
      <c r="K5072">
        <v>0</v>
      </c>
      <c r="L5072">
        <f>IF(AND($J5072=0,$K5072=0),0,1)</f>
        <v>0</v>
      </c>
      <c r="M5072" t="s">
        <v>1452</v>
      </c>
    </row>
    <row r="5073" spans="1:13" x14ac:dyDescent="0.2">
      <c r="A5073" t="s">
        <v>218</v>
      </c>
      <c r="B5073" t="s">
        <v>71</v>
      </c>
      <c r="C5073" t="s">
        <v>72</v>
      </c>
      <c r="D5073">
        <v>4129</v>
      </c>
      <c r="E5073">
        <v>2021</v>
      </c>
      <c r="F5073">
        <v>1</v>
      </c>
      <c r="G5073">
        <v>12853</v>
      </c>
      <c r="H5073" s="1">
        <v>3</v>
      </c>
      <c r="I5073">
        <v>40</v>
      </c>
      <c r="J5073">
        <f>IF($H5073=0,1,IF($I5073&lt;=1,2,0))</f>
        <v>0</v>
      </c>
      <c r="K5073">
        <v>0</v>
      </c>
      <c r="L5073">
        <f>IF(AND($J5073=0,$K5073=0),0,1)</f>
        <v>0</v>
      </c>
    </row>
    <row r="5074" spans="1:13" x14ac:dyDescent="0.2">
      <c r="A5074" t="s">
        <v>218</v>
      </c>
      <c r="B5074" t="s">
        <v>71</v>
      </c>
      <c r="C5074" t="s">
        <v>72</v>
      </c>
      <c r="D5074">
        <v>4129</v>
      </c>
      <c r="E5074">
        <v>2021</v>
      </c>
      <c r="F5074" t="s">
        <v>84</v>
      </c>
      <c r="G5074">
        <v>16110</v>
      </c>
      <c r="H5074" s="1">
        <v>3</v>
      </c>
      <c r="I5074">
        <v>11</v>
      </c>
      <c r="J5074">
        <f>IF($H5074=0,1,IF($I5074&lt;=1,2,0))</f>
        <v>0</v>
      </c>
      <c r="K5074">
        <v>0</v>
      </c>
      <c r="L5074">
        <f>IF(AND($J5074=0,$K5074=0),0,1)</f>
        <v>0</v>
      </c>
      <c r="M5074" t="s">
        <v>85</v>
      </c>
    </row>
    <row r="5075" spans="1:13" x14ac:dyDescent="0.2">
      <c r="A5075" t="s">
        <v>218</v>
      </c>
      <c r="B5075" t="s">
        <v>71</v>
      </c>
      <c r="C5075" t="s">
        <v>72</v>
      </c>
      <c r="D5075">
        <v>4131</v>
      </c>
      <c r="E5075">
        <v>2021</v>
      </c>
      <c r="F5075">
        <v>1</v>
      </c>
      <c r="G5075">
        <v>18102</v>
      </c>
      <c r="H5075" s="1">
        <v>3</v>
      </c>
      <c r="I5075">
        <v>57</v>
      </c>
      <c r="J5075">
        <f>IF($H5075=0,1,IF($I5075&lt;=1,2,0))</f>
        <v>0</v>
      </c>
      <c r="K5075">
        <v>0</v>
      </c>
      <c r="L5075">
        <f>IF(AND($J5075=0,$K5075=0),0,1)</f>
        <v>0</v>
      </c>
    </row>
    <row r="5076" spans="1:13" x14ac:dyDescent="0.2">
      <c r="A5076" t="s">
        <v>218</v>
      </c>
      <c r="B5076" t="s">
        <v>71</v>
      </c>
      <c r="C5076" t="s">
        <v>72</v>
      </c>
      <c r="D5076">
        <v>4132</v>
      </c>
      <c r="E5076">
        <v>2021</v>
      </c>
      <c r="F5076">
        <v>1</v>
      </c>
      <c r="G5076">
        <v>12855</v>
      </c>
      <c r="H5076" s="1">
        <v>3</v>
      </c>
      <c r="I5076">
        <v>30</v>
      </c>
      <c r="J5076">
        <f>IF($H5076=0,1,IF($I5076&lt;=1,2,0))</f>
        <v>0</v>
      </c>
      <c r="K5076">
        <v>0</v>
      </c>
      <c r="L5076">
        <f>IF(AND($J5076=0,$K5076=0),0,1)</f>
        <v>0</v>
      </c>
    </row>
    <row r="5077" spans="1:13" x14ac:dyDescent="0.2">
      <c r="A5077" t="s">
        <v>218</v>
      </c>
      <c r="B5077" t="s">
        <v>71</v>
      </c>
      <c r="C5077" t="s">
        <v>72</v>
      </c>
      <c r="D5077">
        <v>4132</v>
      </c>
      <c r="E5077">
        <v>2021</v>
      </c>
      <c r="F5077" t="s">
        <v>84</v>
      </c>
      <c r="G5077">
        <v>16111</v>
      </c>
      <c r="H5077" s="1">
        <v>3</v>
      </c>
      <c r="I5077">
        <v>2</v>
      </c>
      <c r="J5077">
        <f>IF($H5077=0,1,IF($I5077&lt;=1,2,0))</f>
        <v>0</v>
      </c>
      <c r="K5077">
        <v>0</v>
      </c>
      <c r="L5077">
        <f>IF(AND($J5077=0,$K5077=0),0,1)</f>
        <v>0</v>
      </c>
      <c r="M5077" t="s">
        <v>85</v>
      </c>
    </row>
    <row r="5078" spans="1:13" x14ac:dyDescent="0.2">
      <c r="A5078" t="s">
        <v>218</v>
      </c>
      <c r="B5078" t="s">
        <v>71</v>
      </c>
      <c r="C5078" t="s">
        <v>72</v>
      </c>
      <c r="D5078">
        <v>4133</v>
      </c>
      <c r="E5078">
        <v>2021</v>
      </c>
      <c r="F5078">
        <v>1</v>
      </c>
      <c r="G5078">
        <v>12872</v>
      </c>
      <c r="H5078" s="1">
        <v>3</v>
      </c>
      <c r="I5078">
        <v>48</v>
      </c>
      <c r="J5078">
        <f>IF($H5078=0,1,IF($I5078&lt;=1,2,0))</f>
        <v>0</v>
      </c>
      <c r="K5078">
        <v>0</v>
      </c>
      <c r="L5078">
        <f>IF(AND($J5078=0,$K5078=0),0,1)</f>
        <v>0</v>
      </c>
    </row>
    <row r="5079" spans="1:13" x14ac:dyDescent="0.2">
      <c r="A5079" t="s">
        <v>218</v>
      </c>
      <c r="B5079" t="s">
        <v>71</v>
      </c>
      <c r="C5079" t="s">
        <v>72</v>
      </c>
      <c r="D5079">
        <v>4133</v>
      </c>
      <c r="E5079">
        <v>2021</v>
      </c>
      <c r="F5079">
        <v>2</v>
      </c>
      <c r="G5079">
        <v>20520</v>
      </c>
      <c r="H5079" s="1">
        <v>3</v>
      </c>
      <c r="I5079">
        <v>16</v>
      </c>
      <c r="J5079">
        <f>IF($H5079=0,1,IF($I5079&lt;=1,2,0))</f>
        <v>0</v>
      </c>
      <c r="K5079">
        <v>0</v>
      </c>
      <c r="L5079">
        <f>IF(AND($J5079=0,$K5079=0),0,1)</f>
        <v>0</v>
      </c>
    </row>
    <row r="5080" spans="1:13" x14ac:dyDescent="0.2">
      <c r="A5080" t="s">
        <v>218</v>
      </c>
      <c r="B5080" t="s">
        <v>71</v>
      </c>
      <c r="C5080" t="s">
        <v>72</v>
      </c>
      <c r="D5080">
        <v>4139</v>
      </c>
      <c r="E5080">
        <v>2021</v>
      </c>
      <c r="F5080">
        <v>1</v>
      </c>
      <c r="G5080">
        <v>13601</v>
      </c>
      <c r="H5080" s="1">
        <v>3</v>
      </c>
      <c r="I5080">
        <v>32</v>
      </c>
      <c r="J5080">
        <f>IF($H5080=0,1,IF($I5080&lt;=1,2,0))</f>
        <v>0</v>
      </c>
      <c r="K5080">
        <v>0</v>
      </c>
      <c r="L5080">
        <f>IF(AND($J5080=0,$K5080=0),0,1)</f>
        <v>0</v>
      </c>
    </row>
    <row r="5081" spans="1:13" x14ac:dyDescent="0.2">
      <c r="A5081" t="s">
        <v>218</v>
      </c>
      <c r="B5081" t="s">
        <v>71</v>
      </c>
      <c r="C5081" t="s">
        <v>72</v>
      </c>
      <c r="D5081">
        <v>4142</v>
      </c>
      <c r="E5081">
        <v>2021</v>
      </c>
      <c r="F5081">
        <v>1</v>
      </c>
      <c r="G5081">
        <v>12856</v>
      </c>
      <c r="H5081" s="1">
        <v>3</v>
      </c>
      <c r="I5081">
        <v>35</v>
      </c>
      <c r="J5081">
        <f>IF($H5081=0,1,IF($I5081&lt;=1,2,0))</f>
        <v>0</v>
      </c>
      <c r="K5081">
        <v>0</v>
      </c>
      <c r="L5081">
        <f>IF(AND($J5081=0,$K5081=0),0,1)</f>
        <v>0</v>
      </c>
    </row>
    <row r="5082" spans="1:13" x14ac:dyDescent="0.2">
      <c r="A5082" t="s">
        <v>218</v>
      </c>
      <c r="B5082" t="s">
        <v>71</v>
      </c>
      <c r="C5082" t="s">
        <v>72</v>
      </c>
      <c r="D5082">
        <v>4144</v>
      </c>
      <c r="E5082">
        <v>2021</v>
      </c>
      <c r="F5082">
        <v>1</v>
      </c>
      <c r="G5082">
        <v>15693</v>
      </c>
      <c r="H5082" s="1">
        <v>3</v>
      </c>
      <c r="I5082">
        <v>53</v>
      </c>
      <c r="J5082">
        <f>IF($H5082=0,1,IF($I5082&lt;=1,2,0))</f>
        <v>0</v>
      </c>
      <c r="K5082">
        <v>0</v>
      </c>
      <c r="L5082">
        <f>IF(AND($J5082=0,$K5082=0),0,1)</f>
        <v>0</v>
      </c>
    </row>
    <row r="5083" spans="1:13" x14ac:dyDescent="0.2">
      <c r="A5083" t="s">
        <v>218</v>
      </c>
      <c r="B5083" t="s">
        <v>71</v>
      </c>
      <c r="C5083" t="s">
        <v>72</v>
      </c>
      <c r="D5083">
        <v>4144</v>
      </c>
      <c r="E5083">
        <v>2021</v>
      </c>
      <c r="F5083" t="s">
        <v>84</v>
      </c>
      <c r="G5083">
        <v>18364</v>
      </c>
      <c r="H5083" s="1">
        <v>3</v>
      </c>
      <c r="I5083">
        <v>6</v>
      </c>
      <c r="J5083">
        <f>IF($H5083=0,1,IF($I5083&lt;=1,2,0))</f>
        <v>0</v>
      </c>
      <c r="K5083">
        <v>0</v>
      </c>
      <c r="L5083">
        <f>IF(AND($J5083=0,$K5083=0),0,1)</f>
        <v>0</v>
      </c>
      <c r="M5083" t="s">
        <v>85</v>
      </c>
    </row>
    <row r="5084" spans="1:13" x14ac:dyDescent="0.2">
      <c r="A5084" t="s">
        <v>218</v>
      </c>
      <c r="B5084" t="s">
        <v>71</v>
      </c>
      <c r="C5084" t="s">
        <v>72</v>
      </c>
      <c r="D5084">
        <v>4145</v>
      </c>
      <c r="E5084">
        <v>2021</v>
      </c>
      <c r="F5084">
        <v>1</v>
      </c>
      <c r="G5084">
        <v>17703</v>
      </c>
      <c r="H5084" s="1">
        <v>3</v>
      </c>
      <c r="I5084">
        <v>29</v>
      </c>
      <c r="J5084">
        <f>IF($H5084=0,1,IF($I5084&lt;=1,2,0))</f>
        <v>0</v>
      </c>
      <c r="K5084">
        <v>0</v>
      </c>
      <c r="L5084">
        <f>IF(AND($J5084=0,$K5084=0),0,1)</f>
        <v>0</v>
      </c>
    </row>
    <row r="5085" spans="1:13" x14ac:dyDescent="0.2">
      <c r="A5085" t="s">
        <v>218</v>
      </c>
      <c r="B5085" t="s">
        <v>71</v>
      </c>
      <c r="C5085" t="s">
        <v>72</v>
      </c>
      <c r="D5085">
        <v>4232</v>
      </c>
      <c r="E5085">
        <v>2021</v>
      </c>
      <c r="F5085">
        <v>1</v>
      </c>
      <c r="G5085">
        <v>13933</v>
      </c>
      <c r="H5085" s="1">
        <v>3</v>
      </c>
      <c r="I5085">
        <v>46</v>
      </c>
      <c r="J5085">
        <f>IF($H5085=0,1,IF($I5085&lt;=1,2,0))</f>
        <v>0</v>
      </c>
      <c r="K5085">
        <v>0</v>
      </c>
      <c r="L5085">
        <f>IF(AND($J5085=0,$K5085=0),0,1)</f>
        <v>0</v>
      </c>
    </row>
    <row r="5086" spans="1:13" x14ac:dyDescent="0.2">
      <c r="A5086" t="s">
        <v>218</v>
      </c>
      <c r="B5086" t="s">
        <v>71</v>
      </c>
      <c r="C5086" t="s">
        <v>72</v>
      </c>
      <c r="D5086">
        <v>4233</v>
      </c>
      <c r="E5086">
        <v>2021</v>
      </c>
      <c r="F5086">
        <v>1</v>
      </c>
      <c r="G5086">
        <v>12858</v>
      </c>
      <c r="H5086" s="1">
        <v>3</v>
      </c>
      <c r="I5086">
        <v>26</v>
      </c>
      <c r="J5086">
        <f>IF($H5086=0,1,IF($I5086&lt;=1,2,0))</f>
        <v>0</v>
      </c>
      <c r="K5086">
        <v>0</v>
      </c>
      <c r="L5086">
        <f>IF(AND($J5086=0,$K5086=0),0,1)</f>
        <v>0</v>
      </c>
    </row>
    <row r="5087" spans="1:13" x14ac:dyDescent="0.2">
      <c r="A5087" t="s">
        <v>218</v>
      </c>
      <c r="B5087" t="s">
        <v>71</v>
      </c>
      <c r="C5087" t="s">
        <v>72</v>
      </c>
      <c r="D5087">
        <v>4235</v>
      </c>
      <c r="E5087">
        <v>2021</v>
      </c>
      <c r="F5087">
        <v>1</v>
      </c>
      <c r="G5087">
        <v>12859</v>
      </c>
      <c r="H5087" s="1">
        <v>3</v>
      </c>
      <c r="I5087">
        <v>28</v>
      </c>
      <c r="J5087">
        <f>IF($H5087=0,1,IF($I5087&lt;=1,2,0))</f>
        <v>0</v>
      </c>
      <c r="K5087">
        <v>0</v>
      </c>
      <c r="L5087">
        <f>IF(AND($J5087=0,$K5087=0),0,1)</f>
        <v>0</v>
      </c>
    </row>
    <row r="5088" spans="1:13" x14ac:dyDescent="0.2">
      <c r="A5088" t="s">
        <v>218</v>
      </c>
      <c r="B5088" t="s">
        <v>71</v>
      </c>
      <c r="C5088" t="s">
        <v>72</v>
      </c>
      <c r="D5088">
        <v>4241</v>
      </c>
      <c r="E5088">
        <v>2021</v>
      </c>
      <c r="F5088">
        <v>1</v>
      </c>
      <c r="G5088">
        <v>12860</v>
      </c>
      <c r="H5088" s="1">
        <v>3</v>
      </c>
      <c r="I5088">
        <v>33</v>
      </c>
      <c r="J5088">
        <f>IF($H5088=0,1,IF($I5088&lt;=1,2,0))</f>
        <v>0</v>
      </c>
      <c r="K5088">
        <v>0</v>
      </c>
      <c r="L5088">
        <f>IF(AND($J5088=0,$K5088=0),0,1)</f>
        <v>0</v>
      </c>
    </row>
    <row r="5089" spans="1:12" x14ac:dyDescent="0.2">
      <c r="A5089" t="s">
        <v>218</v>
      </c>
      <c r="B5089" t="s">
        <v>71</v>
      </c>
      <c r="C5089" t="s">
        <v>72</v>
      </c>
      <c r="D5089">
        <v>4253</v>
      </c>
      <c r="E5089">
        <v>2021</v>
      </c>
      <c r="F5089">
        <v>1</v>
      </c>
      <c r="G5089">
        <v>12861</v>
      </c>
      <c r="H5089" s="1">
        <v>3</v>
      </c>
      <c r="I5089">
        <v>9</v>
      </c>
      <c r="J5089">
        <f>IF($H5089=0,1,IF($I5089&lt;=1,2,0))</f>
        <v>0</v>
      </c>
      <c r="K5089">
        <v>0</v>
      </c>
      <c r="L5089">
        <f>IF(AND($J5089=0,$K5089=0),0,1)</f>
        <v>0</v>
      </c>
    </row>
    <row r="5090" spans="1:12" x14ac:dyDescent="0.2">
      <c r="A5090" t="s">
        <v>218</v>
      </c>
      <c r="B5090" t="s">
        <v>71</v>
      </c>
      <c r="C5090" t="s">
        <v>72</v>
      </c>
      <c r="D5090">
        <v>6248</v>
      </c>
      <c r="E5090">
        <v>2021</v>
      </c>
      <c r="F5090">
        <v>1</v>
      </c>
      <c r="G5090">
        <v>12862</v>
      </c>
      <c r="H5090" s="1">
        <v>3</v>
      </c>
      <c r="I5090">
        <v>6</v>
      </c>
      <c r="J5090">
        <f>IF($H5090=0,1,IF($I5090&lt;=1,2,0))</f>
        <v>0</v>
      </c>
      <c r="K5090">
        <v>0</v>
      </c>
      <c r="L5090">
        <f>IF(AND($J5090=0,$K5090=0),0,1)</f>
        <v>0</v>
      </c>
    </row>
    <row r="5091" spans="1:12" x14ac:dyDescent="0.2">
      <c r="A5091" t="s">
        <v>223</v>
      </c>
      <c r="B5091" t="s">
        <v>6</v>
      </c>
      <c r="C5091" t="s">
        <v>9</v>
      </c>
      <c r="D5091">
        <v>4160</v>
      </c>
      <c r="E5091">
        <v>2021</v>
      </c>
      <c r="F5091">
        <v>1</v>
      </c>
      <c r="G5091">
        <v>13169</v>
      </c>
      <c r="H5091" s="1">
        <v>3</v>
      </c>
      <c r="I5091">
        <v>9</v>
      </c>
      <c r="J5091">
        <f>IF($H5091=0,1,IF($I5091&lt;=1,2,0))</f>
        <v>0</v>
      </c>
      <c r="K5091">
        <v>0</v>
      </c>
      <c r="L5091">
        <f>IF(AND($J5091=0,$K5091=0),0,1)</f>
        <v>0</v>
      </c>
    </row>
    <row r="5092" spans="1:12" x14ac:dyDescent="0.2">
      <c r="A5092" t="s">
        <v>223</v>
      </c>
      <c r="B5092" t="s">
        <v>6</v>
      </c>
      <c r="C5092" t="s">
        <v>9</v>
      </c>
      <c r="D5092">
        <v>4180</v>
      </c>
      <c r="E5092">
        <v>2021</v>
      </c>
      <c r="F5092">
        <v>1</v>
      </c>
      <c r="G5092">
        <v>13168</v>
      </c>
      <c r="H5092" s="1">
        <v>3</v>
      </c>
      <c r="I5092">
        <v>11</v>
      </c>
      <c r="J5092">
        <f>IF($H5092=0,1,IF($I5092&lt;=1,2,0))</f>
        <v>0</v>
      </c>
      <c r="K5092">
        <v>0</v>
      </c>
      <c r="L5092">
        <f>IF(AND($J5092=0,$K5092=0),0,1)</f>
        <v>0</v>
      </c>
    </row>
    <row r="5093" spans="1:12" x14ac:dyDescent="0.2">
      <c r="A5093" t="s">
        <v>223</v>
      </c>
      <c r="B5093" t="s">
        <v>6</v>
      </c>
      <c r="C5093" t="s">
        <v>11</v>
      </c>
      <c r="D5093">
        <v>5010</v>
      </c>
      <c r="E5093">
        <v>2021</v>
      </c>
      <c r="F5093">
        <v>1</v>
      </c>
      <c r="G5093">
        <v>10678</v>
      </c>
      <c r="H5093" s="1">
        <v>2</v>
      </c>
      <c r="I5093">
        <v>3</v>
      </c>
      <c r="J5093">
        <f>IF($H5093=0,1,IF($I5093&lt;=1,2,0))</f>
        <v>0</v>
      </c>
      <c r="K5093">
        <v>0</v>
      </c>
      <c r="L5093">
        <f>IF(AND($J5093=0,$K5093=0),0,1)</f>
        <v>0</v>
      </c>
    </row>
    <row r="5094" spans="1:12" x14ac:dyDescent="0.2">
      <c r="A5094" t="s">
        <v>226</v>
      </c>
      <c r="B5094" t="s">
        <v>17</v>
      </c>
      <c r="C5094" t="s">
        <v>9</v>
      </c>
      <c r="D5094">
        <v>3243</v>
      </c>
      <c r="E5094">
        <v>2021</v>
      </c>
      <c r="F5094">
        <v>1</v>
      </c>
      <c r="G5094">
        <v>13709</v>
      </c>
      <c r="H5094" s="1">
        <v>3</v>
      </c>
      <c r="I5094">
        <v>25</v>
      </c>
      <c r="J5094">
        <f>IF($H5094=0,1,IF($I5094&lt;=1,2,0))</f>
        <v>0</v>
      </c>
      <c r="K5094">
        <v>0</v>
      </c>
      <c r="L5094">
        <f>IF(AND($J5094=0,$K5094=0),0,1)</f>
        <v>0</v>
      </c>
    </row>
    <row r="5095" spans="1:12" x14ac:dyDescent="0.2">
      <c r="A5095" t="s">
        <v>226</v>
      </c>
      <c r="B5095" t="s">
        <v>17</v>
      </c>
      <c r="C5095" t="s">
        <v>9</v>
      </c>
      <c r="D5095">
        <v>3933</v>
      </c>
      <c r="E5095">
        <v>2021</v>
      </c>
      <c r="F5095">
        <v>1</v>
      </c>
      <c r="G5095">
        <v>15729</v>
      </c>
      <c r="H5095" s="1">
        <v>4</v>
      </c>
      <c r="I5095">
        <v>14</v>
      </c>
      <c r="J5095">
        <f>IF($H5095=0,1,IF($I5095&lt;=1,2,0))</f>
        <v>0</v>
      </c>
      <c r="K5095">
        <v>0</v>
      </c>
      <c r="L5095">
        <f>IF(AND($J5095=0,$K5095=0),0,1)</f>
        <v>0</v>
      </c>
    </row>
    <row r="5096" spans="1:12" x14ac:dyDescent="0.2">
      <c r="A5096" t="s">
        <v>226</v>
      </c>
      <c r="B5096" t="s">
        <v>17</v>
      </c>
      <c r="C5096" t="s">
        <v>9</v>
      </c>
      <c r="D5096">
        <v>3983</v>
      </c>
      <c r="E5096">
        <v>2021</v>
      </c>
      <c r="F5096">
        <v>1</v>
      </c>
      <c r="G5096">
        <v>13713</v>
      </c>
      <c r="H5096" s="1">
        <v>4</v>
      </c>
      <c r="I5096">
        <v>17</v>
      </c>
      <c r="J5096">
        <f>IF($H5096=0,1,IF($I5096&lt;=1,2,0))</f>
        <v>0</v>
      </c>
      <c r="K5096">
        <v>0</v>
      </c>
      <c r="L5096">
        <f>IF(AND($J5096=0,$K5096=0),0,1)</f>
        <v>0</v>
      </c>
    </row>
    <row r="5097" spans="1:12" x14ac:dyDescent="0.2">
      <c r="A5097" t="s">
        <v>226</v>
      </c>
      <c r="B5097" t="s">
        <v>17</v>
      </c>
      <c r="C5097" t="s">
        <v>11</v>
      </c>
      <c r="D5097">
        <v>4093</v>
      </c>
      <c r="E5097">
        <v>2021</v>
      </c>
      <c r="F5097">
        <v>1</v>
      </c>
      <c r="G5097">
        <v>15067</v>
      </c>
      <c r="H5097" s="1">
        <v>4</v>
      </c>
      <c r="I5097">
        <v>8</v>
      </c>
      <c r="J5097">
        <f>IF($H5097=0,1,IF($I5097&lt;=1,2,0))</f>
        <v>0</v>
      </c>
      <c r="K5097">
        <v>0</v>
      </c>
      <c r="L5097">
        <f>IF(AND($J5097=0,$K5097=0),0,1)</f>
        <v>0</v>
      </c>
    </row>
    <row r="5098" spans="1:12" x14ac:dyDescent="0.2">
      <c r="A5098" t="s">
        <v>226</v>
      </c>
      <c r="B5098" t="s">
        <v>17</v>
      </c>
      <c r="C5098" t="s">
        <v>9</v>
      </c>
      <c r="D5098">
        <v>4231</v>
      </c>
      <c r="E5098">
        <v>2021</v>
      </c>
      <c r="F5098">
        <v>1</v>
      </c>
      <c r="G5098">
        <v>18371</v>
      </c>
      <c r="H5098" s="1">
        <v>4</v>
      </c>
      <c r="I5098">
        <v>11</v>
      </c>
      <c r="J5098">
        <f>IF($H5098=0,1,IF($I5098&lt;=1,2,0))</f>
        <v>0</v>
      </c>
      <c r="K5098">
        <v>0</v>
      </c>
      <c r="L5098">
        <f>IF(AND($J5098=0,$K5098=0),0,1)</f>
        <v>0</v>
      </c>
    </row>
    <row r="5099" spans="1:12" x14ac:dyDescent="0.2">
      <c r="A5099" t="s">
        <v>226</v>
      </c>
      <c r="B5099" t="s">
        <v>17</v>
      </c>
      <c r="C5099" t="s">
        <v>9</v>
      </c>
      <c r="D5099">
        <v>4406</v>
      </c>
      <c r="E5099">
        <v>2021</v>
      </c>
      <c r="F5099">
        <v>1</v>
      </c>
      <c r="G5099">
        <v>15016</v>
      </c>
      <c r="H5099" s="1">
        <v>4</v>
      </c>
      <c r="I5099">
        <v>19</v>
      </c>
      <c r="J5099">
        <f>IF($H5099=0,1,IF($I5099&lt;=1,2,0))</f>
        <v>0</v>
      </c>
      <c r="K5099">
        <v>0</v>
      </c>
      <c r="L5099">
        <f>IF(AND($J5099=0,$K5099=0),0,1)</f>
        <v>0</v>
      </c>
    </row>
    <row r="5100" spans="1:12" x14ac:dyDescent="0.2">
      <c r="A5100" t="s">
        <v>226</v>
      </c>
      <c r="B5100" t="s">
        <v>17</v>
      </c>
      <c r="C5100" t="s">
        <v>9</v>
      </c>
      <c r="D5100">
        <v>4414</v>
      </c>
      <c r="E5100">
        <v>2021</v>
      </c>
      <c r="F5100">
        <v>1</v>
      </c>
      <c r="G5100">
        <v>10232</v>
      </c>
      <c r="H5100" s="1">
        <v>3</v>
      </c>
      <c r="I5100">
        <v>22</v>
      </c>
      <c r="J5100">
        <f>IF($H5100=0,1,IF($I5100&lt;=1,2,0))</f>
        <v>0</v>
      </c>
      <c r="K5100">
        <v>0</v>
      </c>
      <c r="L5100">
        <f>IF(AND($J5100=0,$K5100=0),0,1)</f>
        <v>0</v>
      </c>
    </row>
    <row r="5101" spans="1:12" x14ac:dyDescent="0.2">
      <c r="A5101" t="s">
        <v>226</v>
      </c>
      <c r="B5101" t="s">
        <v>17</v>
      </c>
      <c r="C5101" t="s">
        <v>9</v>
      </c>
      <c r="D5101">
        <v>4625</v>
      </c>
      <c r="E5101">
        <v>2021</v>
      </c>
      <c r="F5101">
        <v>1</v>
      </c>
      <c r="G5101">
        <v>13369</v>
      </c>
      <c r="H5101" s="1">
        <v>3</v>
      </c>
      <c r="I5101">
        <v>46</v>
      </c>
      <c r="J5101">
        <f>IF($H5101=0,1,IF($I5101&lt;=1,2,0))</f>
        <v>0</v>
      </c>
      <c r="K5101">
        <v>0</v>
      </c>
      <c r="L5101">
        <f>IF(AND($J5101=0,$K5101=0),0,1)</f>
        <v>0</v>
      </c>
    </row>
    <row r="5102" spans="1:12" x14ac:dyDescent="0.2">
      <c r="A5102" t="s">
        <v>226</v>
      </c>
      <c r="B5102" t="s">
        <v>17</v>
      </c>
      <c r="C5102" t="s">
        <v>9</v>
      </c>
      <c r="D5102">
        <v>4771</v>
      </c>
      <c r="E5102">
        <v>2021</v>
      </c>
      <c r="F5102">
        <v>1</v>
      </c>
      <c r="G5102">
        <v>12681</v>
      </c>
      <c r="H5102" s="1">
        <v>3</v>
      </c>
      <c r="I5102">
        <v>47</v>
      </c>
      <c r="J5102">
        <f>IF($H5102=0,1,IF($I5102&lt;=1,2,0))</f>
        <v>0</v>
      </c>
      <c r="K5102">
        <v>0</v>
      </c>
      <c r="L5102">
        <f>IF(AND($J5102=0,$K5102=0),0,1)</f>
        <v>0</v>
      </c>
    </row>
    <row r="5103" spans="1:12" x14ac:dyDescent="0.2">
      <c r="A5103" t="s">
        <v>226</v>
      </c>
      <c r="B5103" t="s">
        <v>17</v>
      </c>
      <c r="C5103" t="s">
        <v>11</v>
      </c>
      <c r="D5103">
        <v>6564</v>
      </c>
      <c r="E5103">
        <v>2021</v>
      </c>
      <c r="F5103">
        <v>1</v>
      </c>
      <c r="G5103">
        <v>14071</v>
      </c>
      <c r="H5103" s="1">
        <v>4</v>
      </c>
      <c r="I5103">
        <v>17</v>
      </c>
      <c r="J5103">
        <f>IF($H5103=0,1,IF($I5103&lt;=1,2,0))</f>
        <v>0</v>
      </c>
      <c r="K5103">
        <v>0</v>
      </c>
      <c r="L5103">
        <f>IF(AND($J5103=0,$K5103=0),0,1)</f>
        <v>0</v>
      </c>
    </row>
    <row r="5104" spans="1:12" x14ac:dyDescent="0.2">
      <c r="A5104" t="s">
        <v>229</v>
      </c>
      <c r="B5104" t="s">
        <v>17</v>
      </c>
      <c r="C5104" t="s">
        <v>11</v>
      </c>
      <c r="D5104">
        <v>4422</v>
      </c>
      <c r="E5104">
        <v>2021</v>
      </c>
      <c r="F5104">
        <v>1</v>
      </c>
      <c r="G5104">
        <v>15003</v>
      </c>
      <c r="H5104" s="1">
        <v>3</v>
      </c>
      <c r="I5104">
        <v>10</v>
      </c>
      <c r="J5104">
        <f>IF($H5104=0,1,IF($I5104&lt;=1,2,0))</f>
        <v>0</v>
      </c>
      <c r="K5104">
        <v>0</v>
      </c>
      <c r="L5104">
        <f>IF(AND($J5104=0,$K5104=0),0,1)</f>
        <v>0</v>
      </c>
    </row>
    <row r="5105" spans="1:13" x14ac:dyDescent="0.2">
      <c r="A5105" t="s">
        <v>932</v>
      </c>
      <c r="B5105" t="s">
        <v>17</v>
      </c>
      <c r="C5105" t="s">
        <v>9</v>
      </c>
      <c r="D5105">
        <v>3800</v>
      </c>
      <c r="E5105">
        <v>2021</v>
      </c>
      <c r="F5105">
        <v>1</v>
      </c>
      <c r="G5105">
        <v>10680</v>
      </c>
      <c r="H5105" s="1">
        <v>3</v>
      </c>
      <c r="I5105">
        <v>14</v>
      </c>
      <c r="J5105">
        <f>IF($H5105=0,1,IF($I5105&lt;=1,2,0))</f>
        <v>0</v>
      </c>
      <c r="K5105">
        <v>0</v>
      </c>
      <c r="L5105">
        <f>IF(AND($J5105=0,$K5105=0),0,1)</f>
        <v>0</v>
      </c>
    </row>
    <row r="5106" spans="1:13" x14ac:dyDescent="0.2">
      <c r="A5106" t="s">
        <v>932</v>
      </c>
      <c r="B5106" t="s">
        <v>17</v>
      </c>
      <c r="C5106" t="s">
        <v>9</v>
      </c>
      <c r="D5106">
        <v>4600</v>
      </c>
      <c r="E5106">
        <v>2021</v>
      </c>
      <c r="F5106">
        <v>1</v>
      </c>
      <c r="G5106">
        <v>13954</v>
      </c>
      <c r="H5106" s="1">
        <v>4</v>
      </c>
      <c r="I5106">
        <v>3</v>
      </c>
      <c r="J5106">
        <f>IF($H5106=0,1,IF($I5106&lt;=1,2,0))</f>
        <v>0</v>
      </c>
      <c r="K5106">
        <v>0</v>
      </c>
      <c r="L5106">
        <f>IF(AND($J5106=0,$K5106=0),0,1)</f>
        <v>0</v>
      </c>
    </row>
    <row r="5107" spans="1:13" x14ac:dyDescent="0.2">
      <c r="A5107" t="s">
        <v>230</v>
      </c>
      <c r="B5107" t="s">
        <v>17</v>
      </c>
      <c r="C5107" t="s">
        <v>9</v>
      </c>
      <c r="D5107">
        <v>3252</v>
      </c>
      <c r="E5107">
        <v>2021</v>
      </c>
      <c r="F5107">
        <v>1</v>
      </c>
      <c r="G5107">
        <v>12750</v>
      </c>
      <c r="H5107" s="1">
        <v>3</v>
      </c>
      <c r="I5107">
        <v>21</v>
      </c>
      <c r="J5107">
        <f>IF($H5107=0,1,IF($I5107&lt;=1,2,0))</f>
        <v>0</v>
      </c>
      <c r="K5107">
        <v>0</v>
      </c>
      <c r="L5107">
        <f>IF(AND($J5107=0,$K5107=0),0,1)</f>
        <v>0</v>
      </c>
    </row>
    <row r="5108" spans="1:13" x14ac:dyDescent="0.2">
      <c r="A5108" t="s">
        <v>230</v>
      </c>
      <c r="B5108" t="s">
        <v>17</v>
      </c>
      <c r="C5108" t="s">
        <v>9</v>
      </c>
      <c r="D5108">
        <v>4170</v>
      </c>
      <c r="E5108">
        <v>2021</v>
      </c>
      <c r="F5108">
        <v>1</v>
      </c>
      <c r="G5108">
        <v>11762</v>
      </c>
      <c r="H5108" s="1">
        <v>3</v>
      </c>
      <c r="I5108">
        <v>6</v>
      </c>
      <c r="J5108">
        <f>IF($H5108=0,1,IF($I5108&lt;=1,2,0))</f>
        <v>0</v>
      </c>
      <c r="K5108">
        <v>0</v>
      </c>
      <c r="L5108">
        <f>IF(AND($J5108=0,$K5108=0),0,1)</f>
        <v>0</v>
      </c>
    </row>
    <row r="5109" spans="1:13" x14ac:dyDescent="0.2">
      <c r="A5109" t="s">
        <v>230</v>
      </c>
      <c r="B5109" t="s">
        <v>17</v>
      </c>
      <c r="C5109" t="s">
        <v>11</v>
      </c>
      <c r="D5109">
        <v>4250</v>
      </c>
      <c r="E5109">
        <v>2021</v>
      </c>
      <c r="F5109">
        <v>1</v>
      </c>
      <c r="G5109">
        <v>11760</v>
      </c>
      <c r="H5109" s="1">
        <v>3</v>
      </c>
      <c r="I5109">
        <v>18</v>
      </c>
      <c r="J5109">
        <f>IF($H5109=0,1,IF($I5109&lt;=1,2,0))</f>
        <v>0</v>
      </c>
      <c r="K5109">
        <v>0</v>
      </c>
      <c r="L5109">
        <f>IF(AND($J5109=0,$K5109=0),0,1)</f>
        <v>0</v>
      </c>
    </row>
    <row r="5110" spans="1:13" x14ac:dyDescent="0.2">
      <c r="A5110" t="s">
        <v>230</v>
      </c>
      <c r="B5110" t="s">
        <v>17</v>
      </c>
      <c r="C5110" t="s">
        <v>9</v>
      </c>
      <c r="D5110">
        <v>6000</v>
      </c>
      <c r="E5110">
        <v>2021</v>
      </c>
      <c r="F5110">
        <v>1</v>
      </c>
      <c r="G5110">
        <v>15344</v>
      </c>
      <c r="H5110" s="1">
        <v>4</v>
      </c>
      <c r="I5110">
        <v>6</v>
      </c>
      <c r="J5110">
        <f>IF($H5110=0,1,IF($I5110&lt;=1,2,0))</f>
        <v>0</v>
      </c>
      <c r="K5110">
        <v>0</v>
      </c>
      <c r="L5110">
        <f>IF(AND($J5110=0,$K5110=0),0,1)</f>
        <v>0</v>
      </c>
    </row>
    <row r="5111" spans="1:13" x14ac:dyDescent="0.2">
      <c r="A5111" t="s">
        <v>933</v>
      </c>
      <c r="B5111" t="s">
        <v>17</v>
      </c>
      <c r="C5111" t="s">
        <v>9</v>
      </c>
      <c r="D5111">
        <v>3680</v>
      </c>
      <c r="E5111">
        <v>2021</v>
      </c>
      <c r="F5111">
        <v>1</v>
      </c>
      <c r="G5111">
        <v>18382</v>
      </c>
      <c r="H5111" s="1">
        <v>3</v>
      </c>
      <c r="I5111">
        <v>19</v>
      </c>
      <c r="J5111">
        <f>IF($H5111=0,1,IF($I5111&lt;=1,2,0))</f>
        <v>0</v>
      </c>
      <c r="K5111">
        <v>0</v>
      </c>
      <c r="L5111">
        <f>IF(AND($J5111=0,$K5111=0),0,1)</f>
        <v>0</v>
      </c>
    </row>
    <row r="5112" spans="1:13" x14ac:dyDescent="0.2">
      <c r="A5112" t="s">
        <v>933</v>
      </c>
      <c r="B5112" t="s">
        <v>17</v>
      </c>
      <c r="C5112" t="s">
        <v>7</v>
      </c>
      <c r="D5112">
        <v>4500</v>
      </c>
      <c r="E5112">
        <v>2021</v>
      </c>
      <c r="F5112">
        <v>1</v>
      </c>
      <c r="G5112">
        <v>11886</v>
      </c>
      <c r="H5112" s="1">
        <v>3</v>
      </c>
      <c r="I5112">
        <v>20</v>
      </c>
      <c r="J5112">
        <f>IF($H5112=0,1,IF($I5112&lt;=1,2,0))</f>
        <v>0</v>
      </c>
      <c r="K5112">
        <v>0</v>
      </c>
      <c r="L5112">
        <f>IF(AND($J5112=0,$K5112=0),0,1)</f>
        <v>0</v>
      </c>
      <c r="M5112" t="s">
        <v>1453</v>
      </c>
    </row>
    <row r="5113" spans="1:13" x14ac:dyDescent="0.2">
      <c r="A5113" t="s">
        <v>933</v>
      </c>
      <c r="B5113" t="s">
        <v>17</v>
      </c>
      <c r="C5113" t="s">
        <v>7</v>
      </c>
      <c r="D5113">
        <v>4500</v>
      </c>
      <c r="E5113">
        <v>2021</v>
      </c>
      <c r="F5113">
        <v>2</v>
      </c>
      <c r="G5113">
        <v>14059</v>
      </c>
      <c r="H5113" s="1">
        <v>3</v>
      </c>
      <c r="I5113">
        <v>20</v>
      </c>
      <c r="J5113">
        <f>IF($H5113=0,1,IF($I5113&lt;=1,2,0))</f>
        <v>0</v>
      </c>
      <c r="K5113">
        <v>0</v>
      </c>
      <c r="L5113">
        <f>IF(AND($J5113=0,$K5113=0),0,1)</f>
        <v>0</v>
      </c>
      <c r="M5113" t="s">
        <v>1454</v>
      </c>
    </row>
    <row r="5114" spans="1:13" x14ac:dyDescent="0.2">
      <c r="A5114" t="s">
        <v>232</v>
      </c>
      <c r="B5114" t="s">
        <v>17</v>
      </c>
      <c r="C5114" t="s">
        <v>9</v>
      </c>
      <c r="D5114">
        <v>3126</v>
      </c>
      <c r="E5114">
        <v>2021</v>
      </c>
      <c r="F5114">
        <v>1</v>
      </c>
      <c r="G5114">
        <v>13952</v>
      </c>
      <c r="H5114" s="1">
        <v>3</v>
      </c>
      <c r="I5114">
        <v>18</v>
      </c>
      <c r="J5114">
        <f>IF($H5114=0,1,IF($I5114&lt;=1,2,0))</f>
        <v>0</v>
      </c>
      <c r="K5114">
        <v>0</v>
      </c>
      <c r="L5114">
        <f>IF(AND($J5114=0,$K5114=0),0,1)</f>
        <v>0</v>
      </c>
      <c r="M5114" t="s">
        <v>2051</v>
      </c>
    </row>
    <row r="5115" spans="1:13" x14ac:dyDescent="0.2">
      <c r="A5115" t="s">
        <v>232</v>
      </c>
      <c r="B5115" t="s">
        <v>17</v>
      </c>
      <c r="C5115" t="s">
        <v>21</v>
      </c>
      <c r="D5115">
        <v>3132</v>
      </c>
      <c r="E5115">
        <v>2021</v>
      </c>
      <c r="F5115">
        <v>1</v>
      </c>
      <c r="G5115">
        <v>611</v>
      </c>
      <c r="H5115" s="1">
        <v>3</v>
      </c>
      <c r="I5115">
        <v>43</v>
      </c>
      <c r="J5115">
        <f>IF($H5115=0,1,IF($I5115&lt;=1,2,0))</f>
        <v>0</v>
      </c>
      <c r="K5115">
        <v>0</v>
      </c>
      <c r="L5115">
        <f>IF(AND($J5115=0,$K5115=0),0,1)</f>
        <v>0</v>
      </c>
    </row>
    <row r="5116" spans="1:13" x14ac:dyDescent="0.2">
      <c r="A5116" t="s">
        <v>233</v>
      </c>
      <c r="B5116" t="s">
        <v>17</v>
      </c>
      <c r="C5116" t="s">
        <v>9</v>
      </c>
      <c r="D5116">
        <v>3928</v>
      </c>
      <c r="E5116">
        <v>2021</v>
      </c>
      <c r="F5116">
        <v>1</v>
      </c>
      <c r="G5116">
        <v>10620</v>
      </c>
      <c r="H5116" s="1">
        <v>3</v>
      </c>
      <c r="I5116">
        <v>25</v>
      </c>
      <c r="J5116">
        <f>IF($H5116=0,1,IF($I5116&lt;=1,2,0))</f>
        <v>0</v>
      </c>
      <c r="K5116">
        <v>0</v>
      </c>
      <c r="L5116">
        <f>IF(AND($J5116=0,$K5116=0),0,1)</f>
        <v>0</v>
      </c>
    </row>
    <row r="5117" spans="1:13" x14ac:dyDescent="0.2">
      <c r="A5117" t="s">
        <v>233</v>
      </c>
      <c r="B5117" t="s">
        <v>17</v>
      </c>
      <c r="C5117" t="s">
        <v>7</v>
      </c>
      <c r="D5117">
        <v>4221</v>
      </c>
      <c r="E5117">
        <v>2021</v>
      </c>
      <c r="F5117">
        <v>1</v>
      </c>
      <c r="G5117">
        <v>13705</v>
      </c>
      <c r="H5117" s="1">
        <v>4</v>
      </c>
      <c r="I5117">
        <v>2</v>
      </c>
      <c r="J5117">
        <f>IF($H5117=0,1,IF($I5117&lt;=1,2,0))</f>
        <v>0</v>
      </c>
      <c r="K5117">
        <v>0</v>
      </c>
      <c r="L5117">
        <f>IF(AND($J5117=0,$K5117=0),0,1)</f>
        <v>0</v>
      </c>
    </row>
    <row r="5118" spans="1:13" x14ac:dyDescent="0.2">
      <c r="A5118" t="s">
        <v>233</v>
      </c>
      <c r="B5118" t="s">
        <v>17</v>
      </c>
      <c r="C5118" t="s">
        <v>9</v>
      </c>
      <c r="D5118">
        <v>4262</v>
      </c>
      <c r="E5118">
        <v>2021</v>
      </c>
      <c r="F5118">
        <v>1</v>
      </c>
      <c r="G5118">
        <v>16360</v>
      </c>
      <c r="H5118" s="1">
        <v>4</v>
      </c>
      <c r="I5118">
        <v>11</v>
      </c>
      <c r="J5118">
        <f>IF($H5118=0,1,IF($I5118&lt;=1,2,0))</f>
        <v>0</v>
      </c>
      <c r="K5118">
        <v>0</v>
      </c>
      <c r="L5118">
        <f>IF(AND($J5118=0,$K5118=0),0,1)</f>
        <v>0</v>
      </c>
    </row>
    <row r="5119" spans="1:13" x14ac:dyDescent="0.2">
      <c r="A5119" t="s">
        <v>234</v>
      </c>
      <c r="B5119" t="s">
        <v>17</v>
      </c>
      <c r="C5119" t="s">
        <v>11</v>
      </c>
      <c r="D5119">
        <v>6010</v>
      </c>
      <c r="E5119">
        <v>2021</v>
      </c>
      <c r="F5119">
        <v>1</v>
      </c>
      <c r="G5119">
        <v>10692</v>
      </c>
      <c r="H5119" s="1">
        <v>3</v>
      </c>
      <c r="I5119">
        <v>10</v>
      </c>
      <c r="J5119">
        <f>IF($H5119=0,1,IF($I5119&lt;=1,2,0))</f>
        <v>0</v>
      </c>
      <c r="K5119">
        <v>0</v>
      </c>
      <c r="L5119">
        <f>IF(AND($J5119=0,$K5119=0),0,1)</f>
        <v>0</v>
      </c>
    </row>
    <row r="5120" spans="1:13" x14ac:dyDescent="0.2">
      <c r="A5120" t="s">
        <v>235</v>
      </c>
      <c r="B5120" t="s">
        <v>17</v>
      </c>
      <c r="C5120" t="s">
        <v>11</v>
      </c>
      <c r="D5120">
        <v>4200</v>
      </c>
      <c r="E5120">
        <v>2021</v>
      </c>
      <c r="F5120">
        <v>1</v>
      </c>
      <c r="G5120">
        <v>15338</v>
      </c>
      <c r="H5120" s="1">
        <v>3</v>
      </c>
      <c r="I5120">
        <v>16</v>
      </c>
      <c r="J5120">
        <f>IF($H5120=0,1,IF($I5120&lt;=1,2,0))</f>
        <v>0</v>
      </c>
      <c r="K5120">
        <v>0</v>
      </c>
      <c r="L5120">
        <f>IF(AND($J5120=0,$K5120=0),0,1)</f>
        <v>0</v>
      </c>
    </row>
    <row r="5121" spans="1:13" x14ac:dyDescent="0.2">
      <c r="A5121" t="s">
        <v>235</v>
      </c>
      <c r="B5121" t="s">
        <v>17</v>
      </c>
      <c r="C5121" t="s">
        <v>9</v>
      </c>
      <c r="D5121">
        <v>4260</v>
      </c>
      <c r="E5121">
        <v>2021</v>
      </c>
      <c r="F5121">
        <v>1</v>
      </c>
      <c r="G5121">
        <v>18408</v>
      </c>
      <c r="H5121" s="1">
        <v>3</v>
      </c>
      <c r="I5121">
        <v>3</v>
      </c>
      <c r="J5121">
        <f>IF($H5121=0,1,IF($I5121&lt;=1,2,0))</f>
        <v>0</v>
      </c>
      <c r="K5121">
        <v>0</v>
      </c>
      <c r="L5121">
        <f>IF(AND($J5121=0,$K5121=0),0,1)</f>
        <v>0</v>
      </c>
    </row>
    <row r="5122" spans="1:13" x14ac:dyDescent="0.2">
      <c r="A5122" t="s">
        <v>236</v>
      </c>
      <c r="B5122" t="s">
        <v>17</v>
      </c>
      <c r="C5122" t="s">
        <v>9</v>
      </c>
      <c r="D5122">
        <v>4011</v>
      </c>
      <c r="E5122">
        <v>2021</v>
      </c>
      <c r="F5122">
        <v>1</v>
      </c>
      <c r="G5122">
        <v>10127</v>
      </c>
      <c r="H5122" s="1">
        <v>3</v>
      </c>
      <c r="I5122">
        <v>29</v>
      </c>
      <c r="J5122">
        <f>IF($H5122=0,1,IF($I5122&lt;=1,2,0))</f>
        <v>0</v>
      </c>
      <c r="K5122">
        <v>0</v>
      </c>
      <c r="L5122">
        <f>IF(AND($J5122=0,$K5122=0),0,1)</f>
        <v>0</v>
      </c>
    </row>
    <row r="5123" spans="1:13" x14ac:dyDescent="0.2">
      <c r="A5123" t="s">
        <v>236</v>
      </c>
      <c r="B5123" t="s">
        <v>17</v>
      </c>
      <c r="C5123" t="s">
        <v>9</v>
      </c>
      <c r="D5123">
        <v>4013</v>
      </c>
      <c r="E5123">
        <v>2021</v>
      </c>
      <c r="F5123">
        <v>1</v>
      </c>
      <c r="G5123">
        <v>18216</v>
      </c>
      <c r="H5123" s="1">
        <v>3</v>
      </c>
      <c r="I5123">
        <v>13</v>
      </c>
      <c r="J5123">
        <f>IF($H5123=0,1,IF($I5123&lt;=1,2,0))</f>
        <v>0</v>
      </c>
      <c r="K5123">
        <v>0</v>
      </c>
      <c r="L5123">
        <f>IF(AND($J5123=0,$K5123=0),0,1)</f>
        <v>0</v>
      </c>
    </row>
    <row r="5124" spans="1:13" x14ac:dyDescent="0.2">
      <c r="A5124" t="s">
        <v>236</v>
      </c>
      <c r="B5124" t="s">
        <v>17</v>
      </c>
      <c r="C5124" t="s">
        <v>9</v>
      </c>
      <c r="D5124">
        <v>4037</v>
      </c>
      <c r="E5124">
        <v>2021</v>
      </c>
      <c r="F5124">
        <v>1</v>
      </c>
      <c r="G5124">
        <v>17631</v>
      </c>
      <c r="H5124" s="1">
        <v>3</v>
      </c>
      <c r="I5124">
        <v>4</v>
      </c>
      <c r="J5124">
        <f>IF($H5124=0,1,IF($I5124&lt;=1,2,0))</f>
        <v>0</v>
      </c>
      <c r="K5124">
        <v>0</v>
      </c>
      <c r="L5124">
        <f>IF(AND($J5124=0,$K5124=0),0,1)</f>
        <v>0</v>
      </c>
    </row>
    <row r="5125" spans="1:13" x14ac:dyDescent="0.2">
      <c r="A5125" t="s">
        <v>236</v>
      </c>
      <c r="B5125" t="s">
        <v>17</v>
      </c>
      <c r="C5125" t="s">
        <v>9</v>
      </c>
      <c r="D5125">
        <v>4214</v>
      </c>
      <c r="E5125">
        <v>2021</v>
      </c>
      <c r="F5125">
        <v>1</v>
      </c>
      <c r="G5125">
        <v>13925</v>
      </c>
      <c r="H5125" s="1">
        <v>3</v>
      </c>
      <c r="I5125">
        <v>7</v>
      </c>
      <c r="J5125">
        <f>IF($H5125=0,1,IF($I5125&lt;=1,2,0))</f>
        <v>0</v>
      </c>
      <c r="K5125">
        <v>0</v>
      </c>
      <c r="L5125">
        <f>IF(AND($J5125=0,$K5125=0),0,1)</f>
        <v>0</v>
      </c>
    </row>
    <row r="5126" spans="1:13" x14ac:dyDescent="0.2">
      <c r="A5126" t="s">
        <v>237</v>
      </c>
      <c r="B5126" t="s">
        <v>17</v>
      </c>
      <c r="C5126" t="s">
        <v>9</v>
      </c>
      <c r="D5126">
        <v>4075</v>
      </c>
      <c r="E5126">
        <v>2021</v>
      </c>
      <c r="F5126">
        <v>1</v>
      </c>
      <c r="G5126">
        <v>10175</v>
      </c>
      <c r="H5126" s="1">
        <v>3</v>
      </c>
      <c r="I5126">
        <v>6</v>
      </c>
      <c r="J5126">
        <f>IF($H5126=0,1,IF($I5126&lt;=1,2,0))</f>
        <v>0</v>
      </c>
      <c r="K5126">
        <v>0</v>
      </c>
      <c r="L5126">
        <f>IF(AND($J5126=0,$K5126=0),0,1)</f>
        <v>0</v>
      </c>
    </row>
    <row r="5127" spans="1:13" x14ac:dyDescent="0.2">
      <c r="A5127" t="s">
        <v>935</v>
      </c>
      <c r="B5127" t="s">
        <v>17</v>
      </c>
      <c r="C5127" t="s">
        <v>9</v>
      </c>
      <c r="D5127">
        <v>3041</v>
      </c>
      <c r="E5127">
        <v>2021</v>
      </c>
      <c r="F5127">
        <v>1</v>
      </c>
      <c r="G5127">
        <v>13707</v>
      </c>
      <c r="H5127" s="1">
        <v>4</v>
      </c>
      <c r="I5127">
        <v>10</v>
      </c>
      <c r="J5127">
        <f>IF($H5127=0,1,IF($I5127&lt;=1,2,0))</f>
        <v>0</v>
      </c>
      <c r="K5127">
        <v>0</v>
      </c>
      <c r="L5127">
        <f>IF(AND($J5127=0,$K5127=0),0,1)</f>
        <v>0</v>
      </c>
      <c r="M5127" t="s">
        <v>1455</v>
      </c>
    </row>
    <row r="5128" spans="1:13" x14ac:dyDescent="0.2">
      <c r="A5128" t="s">
        <v>238</v>
      </c>
      <c r="B5128" t="s">
        <v>17</v>
      </c>
      <c r="C5128" t="s">
        <v>9</v>
      </c>
      <c r="D5128">
        <v>3500</v>
      </c>
      <c r="E5128">
        <v>2021</v>
      </c>
      <c r="F5128">
        <v>3</v>
      </c>
      <c r="G5128">
        <v>13515</v>
      </c>
      <c r="H5128" s="1">
        <v>3</v>
      </c>
      <c r="I5128">
        <v>8</v>
      </c>
      <c r="J5128">
        <f>IF($H5128=0,1,IF($I5128&lt;=1,2,0))</f>
        <v>0</v>
      </c>
      <c r="K5128">
        <v>0</v>
      </c>
      <c r="L5128">
        <f>IF(AND($J5128=0,$K5128=0),0,1)</f>
        <v>0</v>
      </c>
      <c r="M5128" t="s">
        <v>1456</v>
      </c>
    </row>
    <row r="5129" spans="1:13" x14ac:dyDescent="0.2">
      <c r="A5129" t="s">
        <v>239</v>
      </c>
      <c r="B5129" t="s">
        <v>17</v>
      </c>
      <c r="C5129" t="s">
        <v>11</v>
      </c>
      <c r="D5129">
        <v>8483</v>
      </c>
      <c r="E5129">
        <v>2021</v>
      </c>
      <c r="F5129">
        <v>1</v>
      </c>
      <c r="G5129">
        <v>17672</v>
      </c>
      <c r="H5129" s="1">
        <v>4</v>
      </c>
      <c r="I5129">
        <v>20</v>
      </c>
      <c r="J5129">
        <f>IF($H5129=0,1,IF($I5129&lt;=1,2,0))</f>
        <v>0</v>
      </c>
      <c r="K5129">
        <v>0</v>
      </c>
      <c r="L5129">
        <f>IF(AND($J5129=0,$K5129=0),0,1)</f>
        <v>0</v>
      </c>
    </row>
    <row r="5130" spans="1:13" x14ac:dyDescent="0.2">
      <c r="A5130" t="s">
        <v>240</v>
      </c>
      <c r="B5130" t="s">
        <v>241</v>
      </c>
      <c r="C5130" t="s">
        <v>7</v>
      </c>
      <c r="D5130">
        <v>1101</v>
      </c>
      <c r="E5130">
        <v>2021</v>
      </c>
      <c r="F5130">
        <v>14</v>
      </c>
      <c r="G5130">
        <v>11474</v>
      </c>
      <c r="H5130" s="1">
        <v>4</v>
      </c>
      <c r="I5130">
        <v>23</v>
      </c>
      <c r="J5130">
        <f>IF($H5130=0,1,IF($I5130&lt;=1,2,0))</f>
        <v>0</v>
      </c>
      <c r="K5130">
        <v>0</v>
      </c>
      <c r="L5130">
        <f>IF(AND($J5130=0,$K5130=0),0,1)</f>
        <v>0</v>
      </c>
    </row>
    <row r="5131" spans="1:13" x14ac:dyDescent="0.2">
      <c r="A5131" t="s">
        <v>240</v>
      </c>
      <c r="B5131" t="s">
        <v>241</v>
      </c>
      <c r="C5131" t="s">
        <v>7</v>
      </c>
      <c r="D5131">
        <v>1101</v>
      </c>
      <c r="E5131">
        <v>2021</v>
      </c>
      <c r="F5131">
        <v>26</v>
      </c>
      <c r="G5131">
        <v>11486</v>
      </c>
      <c r="H5131" s="1">
        <v>4</v>
      </c>
      <c r="I5131">
        <v>23</v>
      </c>
      <c r="J5131">
        <f>IF($H5131=0,1,IF($I5131&lt;=1,2,0))</f>
        <v>0</v>
      </c>
      <c r="K5131">
        <v>0</v>
      </c>
      <c r="L5131">
        <f>IF(AND($J5131=0,$K5131=0),0,1)</f>
        <v>0</v>
      </c>
    </row>
    <row r="5132" spans="1:13" x14ac:dyDescent="0.2">
      <c r="A5132" t="s">
        <v>240</v>
      </c>
      <c r="B5132" t="s">
        <v>241</v>
      </c>
      <c r="C5132" t="s">
        <v>7</v>
      </c>
      <c r="D5132">
        <v>1101</v>
      </c>
      <c r="E5132">
        <v>2021</v>
      </c>
      <c r="F5132">
        <v>53</v>
      </c>
      <c r="G5132">
        <v>11513</v>
      </c>
      <c r="H5132" s="1">
        <v>4</v>
      </c>
      <c r="I5132">
        <v>23</v>
      </c>
      <c r="J5132">
        <f>IF($H5132=0,1,IF($I5132&lt;=1,2,0))</f>
        <v>0</v>
      </c>
      <c r="K5132">
        <v>0</v>
      </c>
      <c r="L5132">
        <f>IF(AND($J5132=0,$K5132=0),0,1)</f>
        <v>0</v>
      </c>
    </row>
    <row r="5133" spans="1:13" x14ac:dyDescent="0.2">
      <c r="A5133" t="s">
        <v>240</v>
      </c>
      <c r="B5133" t="s">
        <v>241</v>
      </c>
      <c r="C5133" t="s">
        <v>7</v>
      </c>
      <c r="D5133">
        <v>1101</v>
      </c>
      <c r="E5133">
        <v>2021</v>
      </c>
      <c r="F5133">
        <v>1</v>
      </c>
      <c r="G5133">
        <v>11235</v>
      </c>
      <c r="H5133" s="1">
        <v>4</v>
      </c>
      <c r="I5133">
        <v>22</v>
      </c>
      <c r="J5133">
        <f>IF($H5133=0,1,IF($I5133&lt;=1,2,0))</f>
        <v>0</v>
      </c>
      <c r="K5133">
        <v>0</v>
      </c>
      <c r="L5133">
        <f>IF(AND($J5133=0,$K5133=0),0,1)</f>
        <v>0</v>
      </c>
    </row>
    <row r="5134" spans="1:13" x14ac:dyDescent="0.2">
      <c r="A5134" t="s">
        <v>240</v>
      </c>
      <c r="B5134" t="s">
        <v>241</v>
      </c>
      <c r="C5134" t="s">
        <v>7</v>
      </c>
      <c r="D5134">
        <v>1101</v>
      </c>
      <c r="E5134">
        <v>2021</v>
      </c>
      <c r="F5134">
        <v>2</v>
      </c>
      <c r="G5134">
        <v>11236</v>
      </c>
      <c r="H5134" s="1">
        <v>4</v>
      </c>
      <c r="I5134">
        <v>22</v>
      </c>
      <c r="J5134">
        <f>IF($H5134=0,1,IF($I5134&lt;=1,2,0))</f>
        <v>0</v>
      </c>
      <c r="K5134">
        <v>0</v>
      </c>
      <c r="L5134">
        <f>IF(AND($J5134=0,$K5134=0),0,1)</f>
        <v>0</v>
      </c>
    </row>
    <row r="5135" spans="1:13" x14ac:dyDescent="0.2">
      <c r="A5135" t="s">
        <v>240</v>
      </c>
      <c r="B5135" t="s">
        <v>241</v>
      </c>
      <c r="C5135" t="s">
        <v>7</v>
      </c>
      <c r="D5135">
        <v>1101</v>
      </c>
      <c r="E5135">
        <v>2021</v>
      </c>
      <c r="F5135">
        <v>3</v>
      </c>
      <c r="G5135">
        <v>11237</v>
      </c>
      <c r="H5135" s="1">
        <v>4</v>
      </c>
      <c r="I5135">
        <v>22</v>
      </c>
      <c r="J5135">
        <f>IF($H5135=0,1,IF($I5135&lt;=1,2,0))</f>
        <v>0</v>
      </c>
      <c r="K5135">
        <v>0</v>
      </c>
      <c r="L5135">
        <f>IF(AND($J5135=0,$K5135=0),0,1)</f>
        <v>0</v>
      </c>
    </row>
    <row r="5136" spans="1:13" x14ac:dyDescent="0.2">
      <c r="A5136" t="s">
        <v>240</v>
      </c>
      <c r="B5136" t="s">
        <v>241</v>
      </c>
      <c r="C5136" t="s">
        <v>7</v>
      </c>
      <c r="D5136">
        <v>1101</v>
      </c>
      <c r="E5136">
        <v>2021</v>
      </c>
      <c r="F5136">
        <v>4</v>
      </c>
      <c r="G5136">
        <v>11467</v>
      </c>
      <c r="H5136" s="1">
        <v>4</v>
      </c>
      <c r="I5136">
        <v>22</v>
      </c>
      <c r="J5136">
        <f>IF($H5136=0,1,IF($I5136&lt;=1,2,0))</f>
        <v>0</v>
      </c>
      <c r="K5136">
        <v>0</v>
      </c>
      <c r="L5136">
        <f>IF(AND($J5136=0,$K5136=0),0,1)</f>
        <v>0</v>
      </c>
    </row>
    <row r="5137" spans="1:12" x14ac:dyDescent="0.2">
      <c r="A5137" t="s">
        <v>240</v>
      </c>
      <c r="B5137" t="s">
        <v>241</v>
      </c>
      <c r="C5137" t="s">
        <v>7</v>
      </c>
      <c r="D5137">
        <v>1101</v>
      </c>
      <c r="E5137">
        <v>2021</v>
      </c>
      <c r="F5137">
        <v>5</v>
      </c>
      <c r="G5137">
        <v>11466</v>
      </c>
      <c r="H5137" s="1">
        <v>4</v>
      </c>
      <c r="I5137">
        <v>22</v>
      </c>
      <c r="J5137">
        <f>IF($H5137=0,1,IF($I5137&lt;=1,2,0))</f>
        <v>0</v>
      </c>
      <c r="K5137">
        <v>0</v>
      </c>
      <c r="L5137">
        <f>IF(AND($J5137=0,$K5137=0),0,1)</f>
        <v>0</v>
      </c>
    </row>
    <row r="5138" spans="1:12" x14ac:dyDescent="0.2">
      <c r="A5138" t="s">
        <v>240</v>
      </c>
      <c r="B5138" t="s">
        <v>241</v>
      </c>
      <c r="C5138" t="s">
        <v>7</v>
      </c>
      <c r="D5138">
        <v>1101</v>
      </c>
      <c r="E5138">
        <v>2021</v>
      </c>
      <c r="F5138">
        <v>6</v>
      </c>
      <c r="G5138">
        <v>11465</v>
      </c>
      <c r="H5138" s="1">
        <v>4</v>
      </c>
      <c r="I5138">
        <v>22</v>
      </c>
      <c r="J5138">
        <f>IF($H5138=0,1,IF($I5138&lt;=1,2,0))</f>
        <v>0</v>
      </c>
      <c r="K5138">
        <v>0</v>
      </c>
      <c r="L5138">
        <f>IF(AND($J5138=0,$K5138=0),0,1)</f>
        <v>0</v>
      </c>
    </row>
    <row r="5139" spans="1:12" x14ac:dyDescent="0.2">
      <c r="A5139" t="s">
        <v>240</v>
      </c>
      <c r="B5139" t="s">
        <v>241</v>
      </c>
      <c r="C5139" t="s">
        <v>7</v>
      </c>
      <c r="D5139">
        <v>1101</v>
      </c>
      <c r="E5139">
        <v>2021</v>
      </c>
      <c r="F5139">
        <v>7</v>
      </c>
      <c r="G5139">
        <v>11464</v>
      </c>
      <c r="H5139" s="1">
        <v>4</v>
      </c>
      <c r="I5139">
        <v>22</v>
      </c>
      <c r="J5139">
        <f>IF($H5139=0,1,IF($I5139&lt;=1,2,0))</f>
        <v>0</v>
      </c>
      <c r="K5139">
        <v>0</v>
      </c>
      <c r="L5139">
        <f>IF(AND($J5139=0,$K5139=0),0,1)</f>
        <v>0</v>
      </c>
    </row>
    <row r="5140" spans="1:12" x14ac:dyDescent="0.2">
      <c r="A5140" t="s">
        <v>240</v>
      </c>
      <c r="B5140" t="s">
        <v>241</v>
      </c>
      <c r="C5140" t="s">
        <v>7</v>
      </c>
      <c r="D5140">
        <v>1101</v>
      </c>
      <c r="E5140">
        <v>2021</v>
      </c>
      <c r="F5140">
        <v>8</v>
      </c>
      <c r="G5140">
        <v>11468</v>
      </c>
      <c r="H5140" s="1">
        <v>4</v>
      </c>
      <c r="I5140">
        <v>22</v>
      </c>
      <c r="J5140">
        <f>IF($H5140=0,1,IF($I5140&lt;=1,2,0))</f>
        <v>0</v>
      </c>
      <c r="K5140">
        <v>0</v>
      </c>
      <c r="L5140">
        <f>IF(AND($J5140=0,$K5140=0),0,1)</f>
        <v>0</v>
      </c>
    </row>
    <row r="5141" spans="1:12" x14ac:dyDescent="0.2">
      <c r="A5141" t="s">
        <v>240</v>
      </c>
      <c r="B5141" t="s">
        <v>241</v>
      </c>
      <c r="C5141" t="s">
        <v>7</v>
      </c>
      <c r="D5141">
        <v>1101</v>
      </c>
      <c r="E5141">
        <v>2021</v>
      </c>
      <c r="F5141">
        <v>10</v>
      </c>
      <c r="G5141">
        <v>11470</v>
      </c>
      <c r="H5141" s="1">
        <v>4</v>
      </c>
      <c r="I5141">
        <v>22</v>
      </c>
      <c r="J5141">
        <f>IF($H5141=0,1,IF($I5141&lt;=1,2,0))</f>
        <v>0</v>
      </c>
      <c r="K5141">
        <v>0</v>
      </c>
      <c r="L5141">
        <f>IF(AND($J5141=0,$K5141=0),0,1)</f>
        <v>0</v>
      </c>
    </row>
    <row r="5142" spans="1:12" x14ac:dyDescent="0.2">
      <c r="A5142" t="s">
        <v>240</v>
      </c>
      <c r="B5142" t="s">
        <v>241</v>
      </c>
      <c r="C5142" t="s">
        <v>7</v>
      </c>
      <c r="D5142">
        <v>1101</v>
      </c>
      <c r="E5142">
        <v>2021</v>
      </c>
      <c r="F5142">
        <v>12</v>
      </c>
      <c r="G5142">
        <v>11472</v>
      </c>
      <c r="H5142" s="1">
        <v>4</v>
      </c>
      <c r="I5142">
        <v>22</v>
      </c>
      <c r="J5142">
        <f>IF($H5142=0,1,IF($I5142&lt;=1,2,0))</f>
        <v>0</v>
      </c>
      <c r="K5142">
        <v>0</v>
      </c>
      <c r="L5142">
        <f>IF(AND($J5142=0,$K5142=0),0,1)</f>
        <v>0</v>
      </c>
    </row>
    <row r="5143" spans="1:12" x14ac:dyDescent="0.2">
      <c r="A5143" t="s">
        <v>240</v>
      </c>
      <c r="B5143" t="s">
        <v>241</v>
      </c>
      <c r="C5143" t="s">
        <v>7</v>
      </c>
      <c r="D5143">
        <v>1101</v>
      </c>
      <c r="E5143">
        <v>2021</v>
      </c>
      <c r="F5143">
        <v>16</v>
      </c>
      <c r="G5143">
        <v>11476</v>
      </c>
      <c r="H5143" s="1">
        <v>4</v>
      </c>
      <c r="I5143">
        <v>22</v>
      </c>
      <c r="J5143">
        <f>IF($H5143=0,1,IF($I5143&lt;=1,2,0))</f>
        <v>0</v>
      </c>
      <c r="K5143">
        <v>0</v>
      </c>
      <c r="L5143">
        <f>IF(AND($J5143=0,$K5143=0),0,1)</f>
        <v>0</v>
      </c>
    </row>
    <row r="5144" spans="1:12" x14ac:dyDescent="0.2">
      <c r="A5144" t="s">
        <v>240</v>
      </c>
      <c r="B5144" t="s">
        <v>241</v>
      </c>
      <c r="C5144" t="s">
        <v>7</v>
      </c>
      <c r="D5144">
        <v>1101</v>
      </c>
      <c r="E5144">
        <v>2021</v>
      </c>
      <c r="F5144">
        <v>17</v>
      </c>
      <c r="G5144">
        <v>11477</v>
      </c>
      <c r="H5144" s="1">
        <v>4</v>
      </c>
      <c r="I5144">
        <v>22</v>
      </c>
      <c r="J5144">
        <f>IF($H5144=0,1,IF($I5144&lt;=1,2,0))</f>
        <v>0</v>
      </c>
      <c r="K5144">
        <v>0</v>
      </c>
      <c r="L5144">
        <f>IF(AND($J5144=0,$K5144=0),0,1)</f>
        <v>0</v>
      </c>
    </row>
    <row r="5145" spans="1:12" x14ac:dyDescent="0.2">
      <c r="A5145" t="s">
        <v>240</v>
      </c>
      <c r="B5145" t="s">
        <v>241</v>
      </c>
      <c r="C5145" t="s">
        <v>7</v>
      </c>
      <c r="D5145">
        <v>1101</v>
      </c>
      <c r="E5145">
        <v>2021</v>
      </c>
      <c r="F5145">
        <v>18</v>
      </c>
      <c r="G5145">
        <v>11478</v>
      </c>
      <c r="H5145" s="1">
        <v>4</v>
      </c>
      <c r="I5145">
        <v>22</v>
      </c>
      <c r="J5145">
        <f>IF($H5145=0,1,IF($I5145&lt;=1,2,0))</f>
        <v>0</v>
      </c>
      <c r="K5145">
        <v>0</v>
      </c>
      <c r="L5145">
        <f>IF(AND($J5145=0,$K5145=0),0,1)</f>
        <v>0</v>
      </c>
    </row>
    <row r="5146" spans="1:12" x14ac:dyDescent="0.2">
      <c r="A5146" t="s">
        <v>240</v>
      </c>
      <c r="B5146" t="s">
        <v>241</v>
      </c>
      <c r="C5146" t="s">
        <v>7</v>
      </c>
      <c r="D5146">
        <v>1101</v>
      </c>
      <c r="E5146">
        <v>2021</v>
      </c>
      <c r="F5146">
        <v>19</v>
      </c>
      <c r="G5146">
        <v>11479</v>
      </c>
      <c r="H5146" s="1">
        <v>4</v>
      </c>
      <c r="I5146">
        <v>22</v>
      </c>
      <c r="J5146">
        <f>IF($H5146=0,1,IF($I5146&lt;=1,2,0))</f>
        <v>0</v>
      </c>
      <c r="K5146">
        <v>0</v>
      </c>
      <c r="L5146">
        <f>IF(AND($J5146=0,$K5146=0),0,1)</f>
        <v>0</v>
      </c>
    </row>
    <row r="5147" spans="1:12" x14ac:dyDescent="0.2">
      <c r="A5147" t="s">
        <v>240</v>
      </c>
      <c r="B5147" t="s">
        <v>241</v>
      </c>
      <c r="C5147" t="s">
        <v>7</v>
      </c>
      <c r="D5147">
        <v>1101</v>
      </c>
      <c r="E5147">
        <v>2021</v>
      </c>
      <c r="F5147">
        <v>21</v>
      </c>
      <c r="G5147">
        <v>11481</v>
      </c>
      <c r="H5147" s="1">
        <v>4</v>
      </c>
      <c r="I5147">
        <v>22</v>
      </c>
      <c r="J5147">
        <f>IF($H5147=0,1,IF($I5147&lt;=1,2,0))</f>
        <v>0</v>
      </c>
      <c r="K5147">
        <v>0</v>
      </c>
      <c r="L5147">
        <f>IF(AND($J5147=0,$K5147=0),0,1)</f>
        <v>0</v>
      </c>
    </row>
    <row r="5148" spans="1:12" x14ac:dyDescent="0.2">
      <c r="A5148" t="s">
        <v>240</v>
      </c>
      <c r="B5148" t="s">
        <v>241</v>
      </c>
      <c r="C5148" t="s">
        <v>7</v>
      </c>
      <c r="D5148">
        <v>1101</v>
      </c>
      <c r="E5148">
        <v>2021</v>
      </c>
      <c r="F5148">
        <v>23</v>
      </c>
      <c r="G5148">
        <v>11483</v>
      </c>
      <c r="H5148" s="1">
        <v>4</v>
      </c>
      <c r="I5148">
        <v>22</v>
      </c>
      <c r="J5148">
        <f>IF($H5148=0,1,IF($I5148&lt;=1,2,0))</f>
        <v>0</v>
      </c>
      <c r="K5148">
        <v>0</v>
      </c>
      <c r="L5148">
        <f>IF(AND($J5148=0,$K5148=0),0,1)</f>
        <v>0</v>
      </c>
    </row>
    <row r="5149" spans="1:12" x14ac:dyDescent="0.2">
      <c r="A5149" t="s">
        <v>240</v>
      </c>
      <c r="B5149" t="s">
        <v>241</v>
      </c>
      <c r="C5149" t="s">
        <v>7</v>
      </c>
      <c r="D5149">
        <v>1101</v>
      </c>
      <c r="E5149">
        <v>2021</v>
      </c>
      <c r="F5149">
        <v>27</v>
      </c>
      <c r="G5149">
        <v>11487</v>
      </c>
      <c r="H5149" s="1">
        <v>4</v>
      </c>
      <c r="I5149">
        <v>22</v>
      </c>
      <c r="J5149">
        <f>IF($H5149=0,1,IF($I5149&lt;=1,2,0))</f>
        <v>0</v>
      </c>
      <c r="K5149">
        <v>0</v>
      </c>
      <c r="L5149">
        <f>IF(AND($J5149=0,$K5149=0),0,1)</f>
        <v>0</v>
      </c>
    </row>
    <row r="5150" spans="1:12" x14ac:dyDescent="0.2">
      <c r="A5150" t="s">
        <v>240</v>
      </c>
      <c r="B5150" t="s">
        <v>241</v>
      </c>
      <c r="C5150" t="s">
        <v>7</v>
      </c>
      <c r="D5150">
        <v>1101</v>
      </c>
      <c r="E5150">
        <v>2021</v>
      </c>
      <c r="F5150">
        <v>28</v>
      </c>
      <c r="G5150">
        <v>11488</v>
      </c>
      <c r="H5150" s="1">
        <v>4</v>
      </c>
      <c r="I5150">
        <v>22</v>
      </c>
      <c r="J5150">
        <f>IF($H5150=0,1,IF($I5150&lt;=1,2,0))</f>
        <v>0</v>
      </c>
      <c r="K5150">
        <v>0</v>
      </c>
      <c r="L5150">
        <f>IF(AND($J5150=0,$K5150=0),0,1)</f>
        <v>0</v>
      </c>
    </row>
    <row r="5151" spans="1:12" x14ac:dyDescent="0.2">
      <c r="A5151" t="s">
        <v>240</v>
      </c>
      <c r="B5151" t="s">
        <v>241</v>
      </c>
      <c r="C5151" t="s">
        <v>7</v>
      </c>
      <c r="D5151">
        <v>1101</v>
      </c>
      <c r="E5151">
        <v>2021</v>
      </c>
      <c r="F5151">
        <v>29</v>
      </c>
      <c r="G5151">
        <v>11489</v>
      </c>
      <c r="H5151" s="1">
        <v>4</v>
      </c>
      <c r="I5151">
        <v>22</v>
      </c>
      <c r="J5151">
        <f>IF($H5151=0,1,IF($I5151&lt;=1,2,0))</f>
        <v>0</v>
      </c>
      <c r="K5151">
        <v>0</v>
      </c>
      <c r="L5151">
        <f>IF(AND($J5151=0,$K5151=0),0,1)</f>
        <v>0</v>
      </c>
    </row>
    <row r="5152" spans="1:12" x14ac:dyDescent="0.2">
      <c r="A5152" t="s">
        <v>240</v>
      </c>
      <c r="B5152" t="s">
        <v>241</v>
      </c>
      <c r="C5152" t="s">
        <v>7</v>
      </c>
      <c r="D5152">
        <v>1101</v>
      </c>
      <c r="E5152">
        <v>2021</v>
      </c>
      <c r="F5152">
        <v>30</v>
      </c>
      <c r="G5152">
        <v>11490</v>
      </c>
      <c r="H5152" s="1">
        <v>4</v>
      </c>
      <c r="I5152">
        <v>22</v>
      </c>
      <c r="J5152">
        <f>IF($H5152=0,1,IF($I5152&lt;=1,2,0))</f>
        <v>0</v>
      </c>
      <c r="K5152">
        <v>0</v>
      </c>
      <c r="L5152">
        <f>IF(AND($J5152=0,$K5152=0),0,1)</f>
        <v>0</v>
      </c>
    </row>
    <row r="5153" spans="1:12" x14ac:dyDescent="0.2">
      <c r="A5153" t="s">
        <v>240</v>
      </c>
      <c r="B5153" t="s">
        <v>241</v>
      </c>
      <c r="C5153" t="s">
        <v>7</v>
      </c>
      <c r="D5153">
        <v>1101</v>
      </c>
      <c r="E5153">
        <v>2021</v>
      </c>
      <c r="F5153">
        <v>32</v>
      </c>
      <c r="G5153">
        <v>11492</v>
      </c>
      <c r="H5153" s="1">
        <v>4</v>
      </c>
      <c r="I5153">
        <v>22</v>
      </c>
      <c r="J5153">
        <f>IF($H5153=0,1,IF($I5153&lt;=1,2,0))</f>
        <v>0</v>
      </c>
      <c r="K5153">
        <v>0</v>
      </c>
      <c r="L5153">
        <f>IF(AND($J5153=0,$K5153=0),0,1)</f>
        <v>0</v>
      </c>
    </row>
    <row r="5154" spans="1:12" x14ac:dyDescent="0.2">
      <c r="A5154" t="s">
        <v>240</v>
      </c>
      <c r="B5154" t="s">
        <v>241</v>
      </c>
      <c r="C5154" t="s">
        <v>7</v>
      </c>
      <c r="D5154">
        <v>1101</v>
      </c>
      <c r="E5154">
        <v>2021</v>
      </c>
      <c r="F5154">
        <v>35</v>
      </c>
      <c r="G5154">
        <v>11495</v>
      </c>
      <c r="H5154" s="1">
        <v>4</v>
      </c>
      <c r="I5154">
        <v>22</v>
      </c>
      <c r="J5154">
        <f>IF($H5154=0,1,IF($I5154&lt;=1,2,0))</f>
        <v>0</v>
      </c>
      <c r="K5154">
        <v>0</v>
      </c>
      <c r="L5154">
        <f>IF(AND($J5154=0,$K5154=0),0,1)</f>
        <v>0</v>
      </c>
    </row>
    <row r="5155" spans="1:12" x14ac:dyDescent="0.2">
      <c r="A5155" t="s">
        <v>240</v>
      </c>
      <c r="B5155" t="s">
        <v>241</v>
      </c>
      <c r="C5155" t="s">
        <v>7</v>
      </c>
      <c r="D5155">
        <v>1101</v>
      </c>
      <c r="E5155">
        <v>2021</v>
      </c>
      <c r="F5155">
        <v>36</v>
      </c>
      <c r="G5155">
        <v>11496</v>
      </c>
      <c r="H5155" s="1">
        <v>4</v>
      </c>
      <c r="I5155">
        <v>22</v>
      </c>
      <c r="J5155">
        <f>IF($H5155=0,1,IF($I5155&lt;=1,2,0))</f>
        <v>0</v>
      </c>
      <c r="K5155">
        <v>0</v>
      </c>
      <c r="L5155">
        <f>IF(AND($J5155=0,$K5155=0),0,1)</f>
        <v>0</v>
      </c>
    </row>
    <row r="5156" spans="1:12" x14ac:dyDescent="0.2">
      <c r="A5156" t="s">
        <v>240</v>
      </c>
      <c r="B5156" t="s">
        <v>241</v>
      </c>
      <c r="C5156" t="s">
        <v>7</v>
      </c>
      <c r="D5156">
        <v>1101</v>
      </c>
      <c r="E5156">
        <v>2021</v>
      </c>
      <c r="F5156">
        <v>37</v>
      </c>
      <c r="G5156">
        <v>11497</v>
      </c>
      <c r="H5156" s="1">
        <v>4</v>
      </c>
      <c r="I5156">
        <v>22</v>
      </c>
      <c r="J5156">
        <f>IF($H5156=0,1,IF($I5156&lt;=1,2,0))</f>
        <v>0</v>
      </c>
      <c r="K5156">
        <v>0</v>
      </c>
      <c r="L5156">
        <f>IF(AND($J5156=0,$K5156=0),0,1)</f>
        <v>0</v>
      </c>
    </row>
    <row r="5157" spans="1:12" x14ac:dyDescent="0.2">
      <c r="A5157" t="s">
        <v>240</v>
      </c>
      <c r="B5157" t="s">
        <v>241</v>
      </c>
      <c r="C5157" t="s">
        <v>7</v>
      </c>
      <c r="D5157">
        <v>1101</v>
      </c>
      <c r="E5157">
        <v>2021</v>
      </c>
      <c r="F5157">
        <v>38</v>
      </c>
      <c r="G5157">
        <v>11498</v>
      </c>
      <c r="H5157" s="1">
        <v>4</v>
      </c>
      <c r="I5157">
        <v>22</v>
      </c>
      <c r="J5157">
        <f>IF($H5157=0,1,IF($I5157&lt;=1,2,0))</f>
        <v>0</v>
      </c>
      <c r="K5157">
        <v>0</v>
      </c>
      <c r="L5157">
        <f>IF(AND($J5157=0,$K5157=0),0,1)</f>
        <v>0</v>
      </c>
    </row>
    <row r="5158" spans="1:12" x14ac:dyDescent="0.2">
      <c r="A5158" t="s">
        <v>240</v>
      </c>
      <c r="B5158" t="s">
        <v>241</v>
      </c>
      <c r="C5158" t="s">
        <v>7</v>
      </c>
      <c r="D5158">
        <v>1101</v>
      </c>
      <c r="E5158">
        <v>2021</v>
      </c>
      <c r="F5158">
        <v>40</v>
      </c>
      <c r="G5158">
        <v>11500</v>
      </c>
      <c r="H5158" s="1">
        <v>4</v>
      </c>
      <c r="I5158">
        <v>22</v>
      </c>
      <c r="J5158">
        <f>IF($H5158=0,1,IF($I5158&lt;=1,2,0))</f>
        <v>0</v>
      </c>
      <c r="K5158">
        <v>0</v>
      </c>
      <c r="L5158">
        <f>IF(AND($J5158=0,$K5158=0),0,1)</f>
        <v>0</v>
      </c>
    </row>
    <row r="5159" spans="1:12" x14ac:dyDescent="0.2">
      <c r="A5159" t="s">
        <v>240</v>
      </c>
      <c r="B5159" t="s">
        <v>241</v>
      </c>
      <c r="C5159" t="s">
        <v>7</v>
      </c>
      <c r="D5159">
        <v>1101</v>
      </c>
      <c r="E5159">
        <v>2021</v>
      </c>
      <c r="F5159">
        <v>41</v>
      </c>
      <c r="G5159">
        <v>11501</v>
      </c>
      <c r="H5159" s="1">
        <v>4</v>
      </c>
      <c r="I5159">
        <v>22</v>
      </c>
      <c r="J5159">
        <f>IF($H5159=0,1,IF($I5159&lt;=1,2,0))</f>
        <v>0</v>
      </c>
      <c r="K5159">
        <v>0</v>
      </c>
      <c r="L5159">
        <f>IF(AND($J5159=0,$K5159=0),0,1)</f>
        <v>0</v>
      </c>
    </row>
    <row r="5160" spans="1:12" x14ac:dyDescent="0.2">
      <c r="A5160" t="s">
        <v>240</v>
      </c>
      <c r="B5160" t="s">
        <v>241</v>
      </c>
      <c r="C5160" t="s">
        <v>7</v>
      </c>
      <c r="D5160">
        <v>1101</v>
      </c>
      <c r="E5160">
        <v>2021</v>
      </c>
      <c r="F5160">
        <v>42</v>
      </c>
      <c r="G5160">
        <v>11508</v>
      </c>
      <c r="H5160" s="1">
        <v>4</v>
      </c>
      <c r="I5160">
        <v>22</v>
      </c>
      <c r="J5160">
        <f>IF($H5160=0,1,IF($I5160&lt;=1,2,0))</f>
        <v>0</v>
      </c>
      <c r="K5160">
        <v>0</v>
      </c>
      <c r="L5160">
        <f>IF(AND($J5160=0,$K5160=0),0,1)</f>
        <v>0</v>
      </c>
    </row>
    <row r="5161" spans="1:12" x14ac:dyDescent="0.2">
      <c r="A5161" t="s">
        <v>240</v>
      </c>
      <c r="B5161" t="s">
        <v>241</v>
      </c>
      <c r="C5161" t="s">
        <v>7</v>
      </c>
      <c r="D5161">
        <v>1101</v>
      </c>
      <c r="E5161">
        <v>2021</v>
      </c>
      <c r="F5161">
        <v>43</v>
      </c>
      <c r="G5161">
        <v>11502</v>
      </c>
      <c r="H5161" s="1">
        <v>4</v>
      </c>
      <c r="I5161">
        <v>22</v>
      </c>
      <c r="J5161">
        <f>IF($H5161=0,1,IF($I5161&lt;=1,2,0))</f>
        <v>0</v>
      </c>
      <c r="K5161">
        <v>0</v>
      </c>
      <c r="L5161">
        <f>IF(AND($J5161=0,$K5161=0),0,1)</f>
        <v>0</v>
      </c>
    </row>
    <row r="5162" spans="1:12" x14ac:dyDescent="0.2">
      <c r="A5162" t="s">
        <v>240</v>
      </c>
      <c r="B5162" t="s">
        <v>241</v>
      </c>
      <c r="C5162" t="s">
        <v>7</v>
      </c>
      <c r="D5162">
        <v>1101</v>
      </c>
      <c r="E5162">
        <v>2021</v>
      </c>
      <c r="F5162">
        <v>46</v>
      </c>
      <c r="G5162">
        <v>11505</v>
      </c>
      <c r="H5162" s="1">
        <v>4</v>
      </c>
      <c r="I5162">
        <v>22</v>
      </c>
      <c r="J5162">
        <f>IF($H5162=0,1,IF($I5162&lt;=1,2,0))</f>
        <v>0</v>
      </c>
      <c r="K5162">
        <v>0</v>
      </c>
      <c r="L5162">
        <f>IF(AND($J5162=0,$K5162=0),0,1)</f>
        <v>0</v>
      </c>
    </row>
    <row r="5163" spans="1:12" x14ac:dyDescent="0.2">
      <c r="A5163" t="s">
        <v>240</v>
      </c>
      <c r="B5163" t="s">
        <v>241</v>
      </c>
      <c r="C5163" t="s">
        <v>7</v>
      </c>
      <c r="D5163">
        <v>1101</v>
      </c>
      <c r="E5163">
        <v>2021</v>
      </c>
      <c r="F5163">
        <v>47</v>
      </c>
      <c r="G5163">
        <v>11506</v>
      </c>
      <c r="H5163" s="1">
        <v>4</v>
      </c>
      <c r="I5163">
        <v>22</v>
      </c>
      <c r="J5163">
        <f>IF($H5163=0,1,IF($I5163&lt;=1,2,0))</f>
        <v>0</v>
      </c>
      <c r="K5163">
        <v>0</v>
      </c>
      <c r="L5163">
        <f>IF(AND($J5163=0,$K5163=0),0,1)</f>
        <v>0</v>
      </c>
    </row>
    <row r="5164" spans="1:12" x14ac:dyDescent="0.2">
      <c r="A5164" t="s">
        <v>240</v>
      </c>
      <c r="B5164" t="s">
        <v>241</v>
      </c>
      <c r="C5164" t="s">
        <v>7</v>
      </c>
      <c r="D5164">
        <v>1101</v>
      </c>
      <c r="E5164">
        <v>2021</v>
      </c>
      <c r="F5164">
        <v>48</v>
      </c>
      <c r="G5164">
        <v>11507</v>
      </c>
      <c r="H5164" s="1">
        <v>4</v>
      </c>
      <c r="I5164">
        <v>22</v>
      </c>
      <c r="J5164">
        <f>IF($H5164=0,1,IF($I5164&lt;=1,2,0))</f>
        <v>0</v>
      </c>
      <c r="K5164">
        <v>0</v>
      </c>
      <c r="L5164">
        <f>IF(AND($J5164=0,$K5164=0),0,1)</f>
        <v>0</v>
      </c>
    </row>
    <row r="5165" spans="1:12" x14ac:dyDescent="0.2">
      <c r="A5165" t="s">
        <v>240</v>
      </c>
      <c r="B5165" t="s">
        <v>241</v>
      </c>
      <c r="C5165" t="s">
        <v>7</v>
      </c>
      <c r="D5165">
        <v>1101</v>
      </c>
      <c r="E5165">
        <v>2021</v>
      </c>
      <c r="F5165">
        <v>49</v>
      </c>
      <c r="G5165">
        <v>11509</v>
      </c>
      <c r="H5165" s="1">
        <v>4</v>
      </c>
      <c r="I5165">
        <v>22</v>
      </c>
      <c r="J5165">
        <f>IF($H5165=0,1,IF($I5165&lt;=1,2,0))</f>
        <v>0</v>
      </c>
      <c r="K5165">
        <v>0</v>
      </c>
      <c r="L5165">
        <f>IF(AND($J5165=0,$K5165=0),0,1)</f>
        <v>0</v>
      </c>
    </row>
    <row r="5166" spans="1:12" x14ac:dyDescent="0.2">
      <c r="A5166" t="s">
        <v>240</v>
      </c>
      <c r="B5166" t="s">
        <v>241</v>
      </c>
      <c r="C5166" t="s">
        <v>7</v>
      </c>
      <c r="D5166">
        <v>1101</v>
      </c>
      <c r="E5166">
        <v>2021</v>
      </c>
      <c r="F5166">
        <v>50</v>
      </c>
      <c r="G5166">
        <v>11510</v>
      </c>
      <c r="H5166" s="1">
        <v>4</v>
      </c>
      <c r="I5166">
        <v>22</v>
      </c>
      <c r="J5166">
        <f>IF($H5166=0,1,IF($I5166&lt;=1,2,0))</f>
        <v>0</v>
      </c>
      <c r="K5166">
        <v>0</v>
      </c>
      <c r="L5166">
        <f>IF(AND($J5166=0,$K5166=0),0,1)</f>
        <v>0</v>
      </c>
    </row>
    <row r="5167" spans="1:12" x14ac:dyDescent="0.2">
      <c r="A5167" t="s">
        <v>240</v>
      </c>
      <c r="B5167" t="s">
        <v>241</v>
      </c>
      <c r="C5167" t="s">
        <v>7</v>
      </c>
      <c r="D5167">
        <v>1101</v>
      </c>
      <c r="E5167">
        <v>2021</v>
      </c>
      <c r="F5167">
        <v>52</v>
      </c>
      <c r="G5167">
        <v>11512</v>
      </c>
      <c r="H5167" s="1">
        <v>4</v>
      </c>
      <c r="I5167">
        <v>22</v>
      </c>
      <c r="J5167">
        <f>IF($H5167=0,1,IF($I5167&lt;=1,2,0))</f>
        <v>0</v>
      </c>
      <c r="K5167">
        <v>0</v>
      </c>
      <c r="L5167">
        <f>IF(AND($J5167=0,$K5167=0),0,1)</f>
        <v>0</v>
      </c>
    </row>
    <row r="5168" spans="1:12" x14ac:dyDescent="0.2">
      <c r="A5168" t="s">
        <v>240</v>
      </c>
      <c r="B5168" t="s">
        <v>241</v>
      </c>
      <c r="C5168" t="s">
        <v>7</v>
      </c>
      <c r="D5168">
        <v>1101</v>
      </c>
      <c r="E5168">
        <v>2021</v>
      </c>
      <c r="F5168">
        <v>54</v>
      </c>
      <c r="G5168">
        <v>11514</v>
      </c>
      <c r="H5168" s="1">
        <v>4</v>
      </c>
      <c r="I5168">
        <v>22</v>
      </c>
      <c r="J5168">
        <f>IF($H5168=0,1,IF($I5168&lt;=1,2,0))</f>
        <v>0</v>
      </c>
      <c r="K5168">
        <v>0</v>
      </c>
      <c r="L5168">
        <f>IF(AND($J5168=0,$K5168=0),0,1)</f>
        <v>0</v>
      </c>
    </row>
    <row r="5169" spans="1:12" x14ac:dyDescent="0.2">
      <c r="A5169" t="s">
        <v>240</v>
      </c>
      <c r="B5169" t="s">
        <v>241</v>
      </c>
      <c r="C5169" t="s">
        <v>7</v>
      </c>
      <c r="D5169">
        <v>1101</v>
      </c>
      <c r="E5169">
        <v>2021</v>
      </c>
      <c r="F5169">
        <v>56</v>
      </c>
      <c r="G5169">
        <v>11516</v>
      </c>
      <c r="H5169" s="1">
        <v>4</v>
      </c>
      <c r="I5169">
        <v>22</v>
      </c>
      <c r="J5169">
        <f>IF($H5169=0,1,IF($I5169&lt;=1,2,0))</f>
        <v>0</v>
      </c>
      <c r="K5169">
        <v>0</v>
      </c>
      <c r="L5169">
        <f>IF(AND($J5169=0,$K5169=0),0,1)</f>
        <v>0</v>
      </c>
    </row>
    <row r="5170" spans="1:12" x14ac:dyDescent="0.2">
      <c r="A5170" t="s">
        <v>240</v>
      </c>
      <c r="B5170" t="s">
        <v>241</v>
      </c>
      <c r="C5170" t="s">
        <v>7</v>
      </c>
      <c r="D5170">
        <v>1101</v>
      </c>
      <c r="E5170">
        <v>2021</v>
      </c>
      <c r="F5170">
        <v>57</v>
      </c>
      <c r="G5170">
        <v>11517</v>
      </c>
      <c r="H5170" s="1">
        <v>4</v>
      </c>
      <c r="I5170">
        <v>22</v>
      </c>
      <c r="J5170">
        <f>IF($H5170=0,1,IF($I5170&lt;=1,2,0))</f>
        <v>0</v>
      </c>
      <c r="K5170">
        <v>0</v>
      </c>
      <c r="L5170">
        <f>IF(AND($J5170=0,$K5170=0),0,1)</f>
        <v>0</v>
      </c>
    </row>
    <row r="5171" spans="1:12" x14ac:dyDescent="0.2">
      <c r="A5171" t="s">
        <v>240</v>
      </c>
      <c r="B5171" t="s">
        <v>241</v>
      </c>
      <c r="C5171" t="s">
        <v>7</v>
      </c>
      <c r="D5171">
        <v>1101</v>
      </c>
      <c r="E5171">
        <v>2021</v>
      </c>
      <c r="F5171">
        <v>60</v>
      </c>
      <c r="G5171">
        <v>11518</v>
      </c>
      <c r="H5171" s="1">
        <v>4</v>
      </c>
      <c r="I5171">
        <v>22</v>
      </c>
      <c r="J5171">
        <f>IF($H5171=0,1,IF($I5171&lt;=1,2,0))</f>
        <v>0</v>
      </c>
      <c r="K5171">
        <v>0</v>
      </c>
      <c r="L5171">
        <f>IF(AND($J5171=0,$K5171=0),0,1)</f>
        <v>0</v>
      </c>
    </row>
    <row r="5172" spans="1:12" x14ac:dyDescent="0.2">
      <c r="A5172" t="s">
        <v>240</v>
      </c>
      <c r="B5172" t="s">
        <v>241</v>
      </c>
      <c r="C5172" t="s">
        <v>7</v>
      </c>
      <c r="D5172">
        <v>1101</v>
      </c>
      <c r="E5172">
        <v>2021</v>
      </c>
      <c r="F5172">
        <v>63</v>
      </c>
      <c r="G5172">
        <v>11520</v>
      </c>
      <c r="H5172" s="1">
        <v>4</v>
      </c>
      <c r="I5172">
        <v>22</v>
      </c>
      <c r="J5172">
        <f>IF($H5172=0,1,IF($I5172&lt;=1,2,0))</f>
        <v>0</v>
      </c>
      <c r="K5172">
        <v>0</v>
      </c>
      <c r="L5172">
        <f>IF(AND($J5172=0,$K5172=0),0,1)</f>
        <v>0</v>
      </c>
    </row>
    <row r="5173" spans="1:12" x14ac:dyDescent="0.2">
      <c r="A5173" t="s">
        <v>240</v>
      </c>
      <c r="B5173" t="s">
        <v>241</v>
      </c>
      <c r="C5173" t="s">
        <v>7</v>
      </c>
      <c r="D5173">
        <v>1101</v>
      </c>
      <c r="E5173">
        <v>2021</v>
      </c>
      <c r="F5173">
        <v>64</v>
      </c>
      <c r="G5173">
        <v>11521</v>
      </c>
      <c r="H5173" s="1">
        <v>4</v>
      </c>
      <c r="I5173">
        <v>22</v>
      </c>
      <c r="J5173">
        <f>IF($H5173=0,1,IF($I5173&lt;=1,2,0))</f>
        <v>0</v>
      </c>
      <c r="K5173">
        <v>0</v>
      </c>
      <c r="L5173">
        <f>IF(AND($J5173=0,$K5173=0),0,1)</f>
        <v>0</v>
      </c>
    </row>
    <row r="5174" spans="1:12" x14ac:dyDescent="0.2">
      <c r="A5174" t="s">
        <v>240</v>
      </c>
      <c r="B5174" t="s">
        <v>241</v>
      </c>
      <c r="C5174" t="s">
        <v>7</v>
      </c>
      <c r="D5174">
        <v>1101</v>
      </c>
      <c r="E5174">
        <v>2021</v>
      </c>
      <c r="F5174">
        <v>65</v>
      </c>
      <c r="G5174">
        <v>11522</v>
      </c>
      <c r="H5174" s="1">
        <v>4</v>
      </c>
      <c r="I5174">
        <v>22</v>
      </c>
      <c r="J5174">
        <f>IF($H5174=0,1,IF($I5174&lt;=1,2,0))</f>
        <v>0</v>
      </c>
      <c r="K5174">
        <v>0</v>
      </c>
      <c r="L5174">
        <f>IF(AND($J5174=0,$K5174=0),0,1)</f>
        <v>0</v>
      </c>
    </row>
    <row r="5175" spans="1:12" x14ac:dyDescent="0.2">
      <c r="A5175" t="s">
        <v>240</v>
      </c>
      <c r="B5175" t="s">
        <v>241</v>
      </c>
      <c r="C5175" t="s">
        <v>7</v>
      </c>
      <c r="D5175">
        <v>1101</v>
      </c>
      <c r="E5175">
        <v>2021</v>
      </c>
      <c r="F5175">
        <v>66</v>
      </c>
      <c r="G5175">
        <v>11825</v>
      </c>
      <c r="H5175" s="1">
        <v>4</v>
      </c>
      <c r="I5175">
        <v>22</v>
      </c>
      <c r="J5175">
        <f>IF($H5175=0,1,IF($I5175&lt;=1,2,0))</f>
        <v>0</v>
      </c>
      <c r="K5175">
        <v>0</v>
      </c>
      <c r="L5175">
        <f>IF(AND($J5175=0,$K5175=0),0,1)</f>
        <v>0</v>
      </c>
    </row>
    <row r="5176" spans="1:12" x14ac:dyDescent="0.2">
      <c r="A5176" t="s">
        <v>240</v>
      </c>
      <c r="B5176" t="s">
        <v>241</v>
      </c>
      <c r="C5176" t="s">
        <v>7</v>
      </c>
      <c r="D5176">
        <v>1101</v>
      </c>
      <c r="E5176">
        <v>2021</v>
      </c>
      <c r="F5176">
        <v>13</v>
      </c>
      <c r="G5176">
        <v>11473</v>
      </c>
      <c r="H5176" s="1">
        <v>4</v>
      </c>
      <c r="I5176">
        <v>21</v>
      </c>
      <c r="J5176">
        <f>IF($H5176=0,1,IF($I5176&lt;=1,2,0))</f>
        <v>0</v>
      </c>
      <c r="K5176">
        <v>0</v>
      </c>
      <c r="L5176">
        <f>IF(AND($J5176=0,$K5176=0),0,1)</f>
        <v>0</v>
      </c>
    </row>
    <row r="5177" spans="1:12" x14ac:dyDescent="0.2">
      <c r="A5177" t="s">
        <v>240</v>
      </c>
      <c r="B5177" t="s">
        <v>241</v>
      </c>
      <c r="C5177" t="s">
        <v>7</v>
      </c>
      <c r="D5177">
        <v>1101</v>
      </c>
      <c r="E5177">
        <v>2021</v>
      </c>
      <c r="F5177">
        <v>15</v>
      </c>
      <c r="G5177">
        <v>11475</v>
      </c>
      <c r="H5177" s="1">
        <v>4</v>
      </c>
      <c r="I5177">
        <v>21</v>
      </c>
      <c r="J5177">
        <f>IF($H5177=0,1,IF($I5177&lt;=1,2,0))</f>
        <v>0</v>
      </c>
      <c r="K5177">
        <v>0</v>
      </c>
      <c r="L5177">
        <f>IF(AND($J5177=0,$K5177=0),0,1)</f>
        <v>0</v>
      </c>
    </row>
    <row r="5178" spans="1:12" x14ac:dyDescent="0.2">
      <c r="A5178" t="s">
        <v>240</v>
      </c>
      <c r="B5178" t="s">
        <v>241</v>
      </c>
      <c r="C5178" t="s">
        <v>7</v>
      </c>
      <c r="D5178">
        <v>1101</v>
      </c>
      <c r="E5178">
        <v>2021</v>
      </c>
      <c r="F5178">
        <v>20</v>
      </c>
      <c r="G5178">
        <v>11480</v>
      </c>
      <c r="H5178" s="1">
        <v>4</v>
      </c>
      <c r="I5178">
        <v>21</v>
      </c>
      <c r="J5178">
        <f>IF($H5178=0,1,IF($I5178&lt;=1,2,0))</f>
        <v>0</v>
      </c>
      <c r="K5178">
        <v>0</v>
      </c>
      <c r="L5178">
        <f>IF(AND($J5178=0,$K5178=0),0,1)</f>
        <v>0</v>
      </c>
    </row>
    <row r="5179" spans="1:12" x14ac:dyDescent="0.2">
      <c r="A5179" t="s">
        <v>240</v>
      </c>
      <c r="B5179" t="s">
        <v>241</v>
      </c>
      <c r="C5179" t="s">
        <v>7</v>
      </c>
      <c r="D5179">
        <v>1101</v>
      </c>
      <c r="E5179">
        <v>2021</v>
      </c>
      <c r="F5179">
        <v>22</v>
      </c>
      <c r="G5179">
        <v>11482</v>
      </c>
      <c r="H5179" s="1">
        <v>4</v>
      </c>
      <c r="I5179">
        <v>21</v>
      </c>
      <c r="J5179">
        <f>IF($H5179=0,1,IF($I5179&lt;=1,2,0))</f>
        <v>0</v>
      </c>
      <c r="K5179">
        <v>0</v>
      </c>
      <c r="L5179">
        <f>IF(AND($J5179=0,$K5179=0),0,1)</f>
        <v>0</v>
      </c>
    </row>
    <row r="5180" spans="1:12" x14ac:dyDescent="0.2">
      <c r="A5180" t="s">
        <v>240</v>
      </c>
      <c r="B5180" t="s">
        <v>241</v>
      </c>
      <c r="C5180" t="s">
        <v>7</v>
      </c>
      <c r="D5180">
        <v>1101</v>
      </c>
      <c r="E5180">
        <v>2021</v>
      </c>
      <c r="F5180">
        <v>24</v>
      </c>
      <c r="G5180">
        <v>11484</v>
      </c>
      <c r="H5180" s="1">
        <v>4</v>
      </c>
      <c r="I5180">
        <v>21</v>
      </c>
      <c r="J5180">
        <f>IF($H5180=0,1,IF($I5180&lt;=1,2,0))</f>
        <v>0</v>
      </c>
      <c r="K5180">
        <v>0</v>
      </c>
      <c r="L5180">
        <f>IF(AND($J5180=0,$K5180=0),0,1)</f>
        <v>0</v>
      </c>
    </row>
    <row r="5181" spans="1:12" x14ac:dyDescent="0.2">
      <c r="A5181" t="s">
        <v>240</v>
      </c>
      <c r="B5181" t="s">
        <v>241</v>
      </c>
      <c r="C5181" t="s">
        <v>7</v>
      </c>
      <c r="D5181">
        <v>1101</v>
      </c>
      <c r="E5181">
        <v>2021</v>
      </c>
      <c r="F5181">
        <v>25</v>
      </c>
      <c r="G5181">
        <v>11485</v>
      </c>
      <c r="H5181" s="1">
        <v>4</v>
      </c>
      <c r="I5181">
        <v>21</v>
      </c>
      <c r="J5181">
        <f>IF($H5181=0,1,IF($I5181&lt;=1,2,0))</f>
        <v>0</v>
      </c>
      <c r="K5181">
        <v>0</v>
      </c>
      <c r="L5181">
        <f>IF(AND($J5181=0,$K5181=0),0,1)</f>
        <v>0</v>
      </c>
    </row>
    <row r="5182" spans="1:12" x14ac:dyDescent="0.2">
      <c r="A5182" t="s">
        <v>240</v>
      </c>
      <c r="B5182" t="s">
        <v>241</v>
      </c>
      <c r="C5182" t="s">
        <v>7</v>
      </c>
      <c r="D5182">
        <v>1101</v>
      </c>
      <c r="E5182">
        <v>2021</v>
      </c>
      <c r="F5182">
        <v>34</v>
      </c>
      <c r="G5182">
        <v>11494</v>
      </c>
      <c r="H5182" s="1">
        <v>4</v>
      </c>
      <c r="I5182">
        <v>21</v>
      </c>
      <c r="J5182">
        <f>IF($H5182=0,1,IF($I5182&lt;=1,2,0))</f>
        <v>0</v>
      </c>
      <c r="K5182">
        <v>0</v>
      </c>
      <c r="L5182">
        <f>IF(AND($J5182=0,$K5182=0),0,1)</f>
        <v>0</v>
      </c>
    </row>
    <row r="5183" spans="1:12" x14ac:dyDescent="0.2">
      <c r="A5183" t="s">
        <v>240</v>
      </c>
      <c r="B5183" t="s">
        <v>241</v>
      </c>
      <c r="C5183" t="s">
        <v>7</v>
      </c>
      <c r="D5183">
        <v>1101</v>
      </c>
      <c r="E5183">
        <v>2021</v>
      </c>
      <c r="F5183">
        <v>44</v>
      </c>
      <c r="G5183">
        <v>11503</v>
      </c>
      <c r="H5183" s="1">
        <v>4</v>
      </c>
      <c r="I5183">
        <v>21</v>
      </c>
      <c r="J5183">
        <f>IF($H5183=0,1,IF($I5183&lt;=1,2,0))</f>
        <v>0</v>
      </c>
      <c r="K5183">
        <v>0</v>
      </c>
      <c r="L5183">
        <f>IF(AND($J5183=0,$K5183=0),0,1)</f>
        <v>0</v>
      </c>
    </row>
    <row r="5184" spans="1:12" x14ac:dyDescent="0.2">
      <c r="A5184" t="s">
        <v>240</v>
      </c>
      <c r="B5184" t="s">
        <v>241</v>
      </c>
      <c r="C5184" t="s">
        <v>7</v>
      </c>
      <c r="D5184">
        <v>1101</v>
      </c>
      <c r="E5184">
        <v>2021</v>
      </c>
      <c r="F5184">
        <v>45</v>
      </c>
      <c r="G5184">
        <v>11504</v>
      </c>
      <c r="H5184" s="1">
        <v>4</v>
      </c>
      <c r="I5184">
        <v>21</v>
      </c>
      <c r="J5184">
        <f>IF($H5184=0,1,IF($I5184&lt;=1,2,0))</f>
        <v>0</v>
      </c>
      <c r="K5184">
        <v>0</v>
      </c>
      <c r="L5184">
        <f>IF(AND($J5184=0,$K5184=0),0,1)</f>
        <v>0</v>
      </c>
    </row>
    <row r="5185" spans="1:12" x14ac:dyDescent="0.2">
      <c r="A5185" t="s">
        <v>240</v>
      </c>
      <c r="B5185" t="s">
        <v>241</v>
      </c>
      <c r="C5185" t="s">
        <v>7</v>
      </c>
      <c r="D5185">
        <v>1101</v>
      </c>
      <c r="E5185">
        <v>2021</v>
      </c>
      <c r="F5185">
        <v>51</v>
      </c>
      <c r="G5185">
        <v>11511</v>
      </c>
      <c r="H5185" s="1">
        <v>4</v>
      </c>
      <c r="I5185">
        <v>21</v>
      </c>
      <c r="J5185">
        <f>IF($H5185=0,1,IF($I5185&lt;=1,2,0))</f>
        <v>0</v>
      </c>
      <c r="K5185">
        <v>0</v>
      </c>
      <c r="L5185">
        <f>IF(AND($J5185=0,$K5185=0),0,1)</f>
        <v>0</v>
      </c>
    </row>
    <row r="5186" spans="1:12" x14ac:dyDescent="0.2">
      <c r="A5186" t="s">
        <v>240</v>
      </c>
      <c r="B5186" t="s">
        <v>241</v>
      </c>
      <c r="C5186" t="s">
        <v>7</v>
      </c>
      <c r="D5186">
        <v>1101</v>
      </c>
      <c r="E5186">
        <v>2021</v>
      </c>
      <c r="F5186">
        <v>55</v>
      </c>
      <c r="G5186">
        <v>11515</v>
      </c>
      <c r="H5186" s="1">
        <v>4</v>
      </c>
      <c r="I5186">
        <v>21</v>
      </c>
      <c r="J5186">
        <f>IF($H5186=0,1,IF($I5186&lt;=1,2,0))</f>
        <v>0</v>
      </c>
      <c r="K5186">
        <v>0</v>
      </c>
      <c r="L5186">
        <f>IF(AND($J5186=0,$K5186=0),0,1)</f>
        <v>0</v>
      </c>
    </row>
    <row r="5187" spans="1:12" x14ac:dyDescent="0.2">
      <c r="A5187" t="s">
        <v>240</v>
      </c>
      <c r="B5187" t="s">
        <v>241</v>
      </c>
      <c r="C5187" t="s">
        <v>153</v>
      </c>
      <c r="D5187">
        <v>1101</v>
      </c>
      <c r="E5187">
        <v>2021</v>
      </c>
      <c r="F5187">
        <v>59</v>
      </c>
      <c r="G5187">
        <v>11524</v>
      </c>
      <c r="H5187" s="1">
        <v>4</v>
      </c>
      <c r="I5187">
        <v>19</v>
      </c>
      <c r="J5187">
        <f>IF($H5187=0,1,IF($I5187&lt;=1,2,0))</f>
        <v>0</v>
      </c>
      <c r="K5187">
        <v>0</v>
      </c>
      <c r="L5187">
        <f>IF(AND($J5187=0,$K5187=0),0,1)</f>
        <v>0</v>
      </c>
    </row>
    <row r="5188" spans="1:12" x14ac:dyDescent="0.2">
      <c r="A5188" t="s">
        <v>240</v>
      </c>
      <c r="B5188" t="s">
        <v>241</v>
      </c>
      <c r="C5188" t="s">
        <v>7</v>
      </c>
      <c r="D5188">
        <v>1101</v>
      </c>
      <c r="E5188">
        <v>2021</v>
      </c>
      <c r="F5188">
        <v>70</v>
      </c>
      <c r="G5188">
        <v>20131</v>
      </c>
      <c r="H5188" s="1">
        <v>4</v>
      </c>
      <c r="I5188">
        <v>19</v>
      </c>
      <c r="J5188">
        <f>IF($H5188=0,1,IF($I5188&lt;=1,2,0))</f>
        <v>0</v>
      </c>
      <c r="K5188">
        <v>0</v>
      </c>
      <c r="L5188">
        <f>IF(AND($J5188=0,$K5188=0),0,1)</f>
        <v>0</v>
      </c>
    </row>
    <row r="5189" spans="1:12" x14ac:dyDescent="0.2">
      <c r="A5189" t="s">
        <v>240</v>
      </c>
      <c r="B5189" t="s">
        <v>241</v>
      </c>
      <c r="C5189" t="s">
        <v>7</v>
      </c>
      <c r="D5189">
        <v>1101</v>
      </c>
      <c r="E5189">
        <v>2021</v>
      </c>
      <c r="F5189">
        <v>33</v>
      </c>
      <c r="G5189">
        <v>11493</v>
      </c>
      <c r="H5189" s="1">
        <v>4</v>
      </c>
      <c r="I5189">
        <v>18</v>
      </c>
      <c r="J5189">
        <f>IF($H5189=0,1,IF($I5189&lt;=1,2,0))</f>
        <v>0</v>
      </c>
      <c r="K5189">
        <v>0</v>
      </c>
      <c r="L5189">
        <f>IF(AND($J5189=0,$K5189=0),0,1)</f>
        <v>0</v>
      </c>
    </row>
    <row r="5190" spans="1:12" x14ac:dyDescent="0.2">
      <c r="A5190" t="s">
        <v>240</v>
      </c>
      <c r="B5190" t="s">
        <v>241</v>
      </c>
      <c r="C5190" t="s">
        <v>7</v>
      </c>
      <c r="D5190">
        <v>1101</v>
      </c>
      <c r="E5190">
        <v>2021</v>
      </c>
      <c r="F5190">
        <v>39</v>
      </c>
      <c r="G5190">
        <v>11499</v>
      </c>
      <c r="H5190" s="1">
        <v>4</v>
      </c>
      <c r="I5190">
        <v>18</v>
      </c>
      <c r="J5190">
        <f>IF($H5190=0,1,IF($I5190&lt;=1,2,0))</f>
        <v>0</v>
      </c>
      <c r="K5190">
        <v>0</v>
      </c>
      <c r="L5190">
        <f>IF(AND($J5190=0,$K5190=0),0,1)</f>
        <v>0</v>
      </c>
    </row>
    <row r="5191" spans="1:12" x14ac:dyDescent="0.2">
      <c r="A5191" t="s">
        <v>240</v>
      </c>
      <c r="B5191" t="s">
        <v>241</v>
      </c>
      <c r="C5191" t="s">
        <v>7</v>
      </c>
      <c r="D5191">
        <v>1101</v>
      </c>
      <c r="E5191">
        <v>2021</v>
      </c>
      <c r="F5191">
        <v>31</v>
      </c>
      <c r="G5191">
        <v>11491</v>
      </c>
      <c r="H5191" s="1">
        <v>4</v>
      </c>
      <c r="I5191">
        <v>17</v>
      </c>
      <c r="J5191">
        <f>IF($H5191=0,1,IF($I5191&lt;=1,2,0))</f>
        <v>0</v>
      </c>
      <c r="K5191">
        <v>0</v>
      </c>
      <c r="L5191">
        <f>IF(AND($J5191=0,$K5191=0),0,1)</f>
        <v>0</v>
      </c>
    </row>
    <row r="5192" spans="1:12" x14ac:dyDescent="0.2">
      <c r="A5192" t="s">
        <v>240</v>
      </c>
      <c r="B5192" t="s">
        <v>241</v>
      </c>
      <c r="C5192" t="s">
        <v>153</v>
      </c>
      <c r="D5192">
        <v>1101</v>
      </c>
      <c r="E5192">
        <v>2021</v>
      </c>
      <c r="F5192">
        <v>58</v>
      </c>
      <c r="G5192">
        <v>11523</v>
      </c>
      <c r="H5192" s="1">
        <v>4</v>
      </c>
      <c r="I5192">
        <v>17</v>
      </c>
      <c r="J5192">
        <f>IF($H5192=0,1,IF($I5192&lt;=1,2,0))</f>
        <v>0</v>
      </c>
      <c r="K5192">
        <v>0</v>
      </c>
      <c r="L5192">
        <f>IF(AND($J5192=0,$K5192=0),0,1)</f>
        <v>0</v>
      </c>
    </row>
    <row r="5193" spans="1:12" x14ac:dyDescent="0.2">
      <c r="A5193" t="s">
        <v>240</v>
      </c>
      <c r="B5193" t="s">
        <v>241</v>
      </c>
      <c r="C5193" t="s">
        <v>7</v>
      </c>
      <c r="D5193">
        <v>1101</v>
      </c>
      <c r="E5193">
        <v>2021</v>
      </c>
      <c r="F5193">
        <v>68</v>
      </c>
      <c r="G5193">
        <v>11827</v>
      </c>
      <c r="H5193" s="1">
        <v>4</v>
      </c>
      <c r="I5193">
        <v>17</v>
      </c>
      <c r="J5193">
        <f>IF($H5193=0,1,IF($I5193&lt;=1,2,0))</f>
        <v>0</v>
      </c>
      <c r="K5193">
        <v>0</v>
      </c>
      <c r="L5193">
        <f>IF(AND($J5193=0,$K5193=0),0,1)</f>
        <v>0</v>
      </c>
    </row>
    <row r="5194" spans="1:12" x14ac:dyDescent="0.2">
      <c r="A5194" t="s">
        <v>240</v>
      </c>
      <c r="B5194" t="s">
        <v>241</v>
      </c>
      <c r="C5194" t="s">
        <v>153</v>
      </c>
      <c r="D5194">
        <v>1101</v>
      </c>
      <c r="E5194">
        <v>2021</v>
      </c>
      <c r="F5194">
        <v>69</v>
      </c>
      <c r="G5194">
        <v>15381</v>
      </c>
      <c r="H5194" s="1">
        <v>4</v>
      </c>
      <c r="I5194">
        <v>17</v>
      </c>
      <c r="J5194">
        <f>IF($H5194=0,1,IF($I5194&lt;=1,2,0))</f>
        <v>0</v>
      </c>
      <c r="K5194">
        <v>0</v>
      </c>
      <c r="L5194">
        <f>IF(AND($J5194=0,$K5194=0),0,1)</f>
        <v>0</v>
      </c>
    </row>
    <row r="5195" spans="1:12" x14ac:dyDescent="0.2">
      <c r="A5195" t="s">
        <v>240</v>
      </c>
      <c r="B5195" t="s">
        <v>241</v>
      </c>
      <c r="C5195" t="s">
        <v>7</v>
      </c>
      <c r="D5195">
        <v>1101</v>
      </c>
      <c r="E5195">
        <v>2021</v>
      </c>
      <c r="F5195">
        <v>11</v>
      </c>
      <c r="G5195">
        <v>11471</v>
      </c>
      <c r="H5195" s="1">
        <v>4</v>
      </c>
      <c r="I5195">
        <v>14</v>
      </c>
      <c r="J5195">
        <f>IF($H5195=0,1,IF($I5195&lt;=1,2,0))</f>
        <v>0</v>
      </c>
      <c r="K5195">
        <v>0</v>
      </c>
      <c r="L5195">
        <f>IF(AND($J5195=0,$K5195=0),0,1)</f>
        <v>0</v>
      </c>
    </row>
    <row r="5196" spans="1:12" x14ac:dyDescent="0.2">
      <c r="A5196" t="s">
        <v>240</v>
      </c>
      <c r="B5196" t="s">
        <v>241</v>
      </c>
      <c r="C5196" t="s">
        <v>7</v>
      </c>
      <c r="D5196">
        <v>1101</v>
      </c>
      <c r="E5196">
        <v>2021</v>
      </c>
      <c r="F5196">
        <v>67</v>
      </c>
      <c r="G5196">
        <v>11826</v>
      </c>
      <c r="H5196" s="1">
        <v>4</v>
      </c>
      <c r="I5196">
        <v>13</v>
      </c>
      <c r="J5196">
        <f>IF($H5196=0,1,IF($I5196&lt;=1,2,0))</f>
        <v>0</v>
      </c>
      <c r="K5196">
        <v>0</v>
      </c>
      <c r="L5196">
        <f>IF(AND($J5196=0,$K5196=0),0,1)</f>
        <v>0</v>
      </c>
    </row>
    <row r="5197" spans="1:12" x14ac:dyDescent="0.2">
      <c r="A5197" t="s">
        <v>240</v>
      </c>
      <c r="B5197" t="s">
        <v>241</v>
      </c>
      <c r="C5197" t="s">
        <v>153</v>
      </c>
      <c r="D5197">
        <v>1101</v>
      </c>
      <c r="E5197">
        <v>2021</v>
      </c>
      <c r="F5197">
        <v>70</v>
      </c>
      <c r="G5197">
        <v>18757</v>
      </c>
      <c r="H5197" s="1">
        <v>4</v>
      </c>
      <c r="I5197">
        <v>8</v>
      </c>
      <c r="J5197">
        <f>IF($H5197=0,1,IF($I5197&lt;=1,2,0))</f>
        <v>0</v>
      </c>
      <c r="K5197">
        <v>0</v>
      </c>
      <c r="L5197">
        <f>IF(AND($J5197=0,$K5197=0),0,1)</f>
        <v>0</v>
      </c>
    </row>
    <row r="5198" spans="1:12" x14ac:dyDescent="0.2">
      <c r="A5198" t="s">
        <v>240</v>
      </c>
      <c r="B5198" t="s">
        <v>241</v>
      </c>
      <c r="C5198" t="s">
        <v>7</v>
      </c>
      <c r="D5198">
        <v>1101</v>
      </c>
      <c r="E5198">
        <v>2021</v>
      </c>
      <c r="F5198">
        <v>9</v>
      </c>
      <c r="G5198">
        <v>11469</v>
      </c>
      <c r="H5198" s="1">
        <v>4</v>
      </c>
      <c r="I5198">
        <v>7</v>
      </c>
      <c r="J5198">
        <f>IF($H5198=0,1,IF($I5198&lt;=1,2,0))</f>
        <v>0</v>
      </c>
      <c r="K5198">
        <v>0</v>
      </c>
      <c r="L5198">
        <f>IF(AND($J5198=0,$K5198=0),0,1)</f>
        <v>0</v>
      </c>
    </row>
    <row r="5199" spans="1:12" x14ac:dyDescent="0.2">
      <c r="A5199" t="s">
        <v>240</v>
      </c>
      <c r="B5199" t="s">
        <v>241</v>
      </c>
      <c r="C5199" t="s">
        <v>11</v>
      </c>
      <c r="D5199">
        <v>8604</v>
      </c>
      <c r="E5199">
        <v>2021</v>
      </c>
      <c r="F5199">
        <v>1</v>
      </c>
      <c r="G5199">
        <v>18562</v>
      </c>
      <c r="H5199" s="1">
        <v>3</v>
      </c>
      <c r="I5199">
        <v>10</v>
      </c>
      <c r="J5199">
        <f>IF($H5199=0,1,IF($I5199&lt;=1,2,0))</f>
        <v>0</v>
      </c>
      <c r="K5199">
        <v>0</v>
      </c>
      <c r="L5199">
        <f>IF(AND($J5199=0,$K5199=0),0,1)</f>
        <v>0</v>
      </c>
    </row>
    <row r="5200" spans="1:12" x14ac:dyDescent="0.2">
      <c r="A5200" t="s">
        <v>1457</v>
      </c>
      <c r="B5200" t="s">
        <v>133</v>
      </c>
      <c r="C5200" t="s">
        <v>9</v>
      </c>
      <c r="D5200">
        <v>1001</v>
      </c>
      <c r="E5200">
        <v>2021</v>
      </c>
      <c r="F5200">
        <v>1</v>
      </c>
      <c r="G5200">
        <v>196</v>
      </c>
      <c r="H5200" s="1">
        <v>3</v>
      </c>
      <c r="I5200">
        <v>47</v>
      </c>
      <c r="J5200">
        <f>IF($H5200=0,1,IF($I5200&lt;=1,2,0))</f>
        <v>0</v>
      </c>
      <c r="K5200">
        <v>0</v>
      </c>
      <c r="L5200">
        <f>IF(AND($J5200=0,$K5200=0),0,1)</f>
        <v>0</v>
      </c>
    </row>
    <row r="5201" spans="1:12" x14ac:dyDescent="0.2">
      <c r="A5201" t="s">
        <v>242</v>
      </c>
      <c r="B5201" t="s">
        <v>71</v>
      </c>
      <c r="C5201" t="s">
        <v>9</v>
      </c>
      <c r="D5201">
        <v>1001</v>
      </c>
      <c r="E5201">
        <v>2021</v>
      </c>
      <c r="F5201">
        <v>1</v>
      </c>
      <c r="G5201">
        <v>12390</v>
      </c>
      <c r="H5201" s="1">
        <v>3</v>
      </c>
      <c r="I5201">
        <v>54</v>
      </c>
      <c r="J5201">
        <f>IF($H5201=0,1,IF($I5201&lt;=1,2,0))</f>
        <v>0</v>
      </c>
      <c r="K5201">
        <v>0</v>
      </c>
      <c r="L5201">
        <f>IF(AND($J5201=0,$K5201=0),0,1)</f>
        <v>0</v>
      </c>
    </row>
    <row r="5202" spans="1:12" x14ac:dyDescent="0.2">
      <c r="A5202" t="s">
        <v>242</v>
      </c>
      <c r="B5202" t="s">
        <v>71</v>
      </c>
      <c r="C5202" t="s">
        <v>9</v>
      </c>
      <c r="D5202">
        <v>1002</v>
      </c>
      <c r="E5202">
        <v>2021</v>
      </c>
      <c r="F5202">
        <v>1</v>
      </c>
      <c r="G5202">
        <v>12391</v>
      </c>
      <c r="H5202" s="1">
        <v>4</v>
      </c>
      <c r="I5202">
        <v>214</v>
      </c>
      <c r="J5202">
        <f>IF($H5202=0,1,IF($I5202&lt;=1,2,0))</f>
        <v>0</v>
      </c>
      <c r="K5202">
        <v>0</v>
      </c>
      <c r="L5202">
        <f>IF(AND($J5202=0,$K5202=0),0,1)</f>
        <v>0</v>
      </c>
    </row>
    <row r="5203" spans="1:12" x14ac:dyDescent="0.2">
      <c r="A5203" t="s">
        <v>242</v>
      </c>
      <c r="B5203" t="s">
        <v>71</v>
      </c>
      <c r="C5203" t="s">
        <v>9</v>
      </c>
      <c r="D5203">
        <v>1004</v>
      </c>
      <c r="E5203">
        <v>2021</v>
      </c>
      <c r="F5203">
        <v>1</v>
      </c>
      <c r="G5203">
        <v>12392</v>
      </c>
      <c r="H5203" s="1">
        <v>3</v>
      </c>
      <c r="I5203">
        <v>321</v>
      </c>
      <c r="J5203">
        <f>IF($H5203=0,1,IF($I5203&lt;=1,2,0))</f>
        <v>0</v>
      </c>
      <c r="K5203">
        <v>0</v>
      </c>
      <c r="L5203">
        <f>IF(AND($J5203=0,$K5203=0),0,1)</f>
        <v>0</v>
      </c>
    </row>
    <row r="5204" spans="1:12" x14ac:dyDescent="0.2">
      <c r="A5204" t="s">
        <v>242</v>
      </c>
      <c r="B5204" t="s">
        <v>71</v>
      </c>
      <c r="C5204" t="s">
        <v>9</v>
      </c>
      <c r="D5204">
        <v>1004</v>
      </c>
      <c r="E5204">
        <v>2021</v>
      </c>
      <c r="F5204">
        <v>2</v>
      </c>
      <c r="G5204">
        <v>20199</v>
      </c>
      <c r="H5204" s="1">
        <v>3</v>
      </c>
      <c r="I5204">
        <v>147</v>
      </c>
      <c r="J5204">
        <f>IF($H5204=0,1,IF($I5204&lt;=1,2,0))</f>
        <v>0</v>
      </c>
      <c r="K5204">
        <v>0</v>
      </c>
      <c r="L5204">
        <f>IF(AND($J5204=0,$K5204=0),0,1)</f>
        <v>0</v>
      </c>
    </row>
    <row r="5205" spans="1:12" x14ac:dyDescent="0.2">
      <c r="A5205" t="s">
        <v>242</v>
      </c>
      <c r="B5205" t="s">
        <v>71</v>
      </c>
      <c r="C5205" t="s">
        <v>9</v>
      </c>
      <c r="D5205">
        <v>1404</v>
      </c>
      <c r="E5205">
        <v>2021</v>
      </c>
      <c r="F5205">
        <v>3</v>
      </c>
      <c r="G5205">
        <v>20354</v>
      </c>
      <c r="H5205" s="1">
        <v>1</v>
      </c>
      <c r="I5205">
        <v>13</v>
      </c>
      <c r="J5205">
        <f>IF($H5205=0,1,IF($I5205&lt;=1,2,0))</f>
        <v>0</v>
      </c>
      <c r="K5205">
        <v>0</v>
      </c>
      <c r="L5205">
        <f>IF(AND($J5205=0,$K5205=0),0,1)</f>
        <v>0</v>
      </c>
    </row>
    <row r="5206" spans="1:12" x14ac:dyDescent="0.2">
      <c r="A5206" t="s">
        <v>242</v>
      </c>
      <c r="B5206" t="s">
        <v>71</v>
      </c>
      <c r="C5206" t="s">
        <v>9</v>
      </c>
      <c r="D5206">
        <v>1404</v>
      </c>
      <c r="E5206">
        <v>2021</v>
      </c>
      <c r="F5206">
        <v>5</v>
      </c>
      <c r="G5206">
        <v>20356</v>
      </c>
      <c r="H5206" s="1">
        <v>1</v>
      </c>
      <c r="I5206">
        <v>12</v>
      </c>
      <c r="J5206">
        <f>IF($H5206=0,1,IF($I5206&lt;=1,2,0))</f>
        <v>0</v>
      </c>
      <c r="K5206">
        <v>0</v>
      </c>
      <c r="L5206">
        <f>IF(AND($J5206=0,$K5206=0),0,1)</f>
        <v>0</v>
      </c>
    </row>
    <row r="5207" spans="1:12" x14ac:dyDescent="0.2">
      <c r="A5207" t="s">
        <v>242</v>
      </c>
      <c r="B5207" t="s">
        <v>71</v>
      </c>
      <c r="C5207" t="s">
        <v>9</v>
      </c>
      <c r="D5207">
        <v>1404</v>
      </c>
      <c r="E5207">
        <v>2021</v>
      </c>
      <c r="F5207">
        <v>4</v>
      </c>
      <c r="G5207">
        <v>20355</v>
      </c>
      <c r="H5207" s="1">
        <v>1</v>
      </c>
      <c r="I5207">
        <v>11</v>
      </c>
      <c r="J5207">
        <f>IF($H5207=0,1,IF($I5207&lt;=1,2,0))</f>
        <v>0</v>
      </c>
      <c r="K5207">
        <v>0</v>
      </c>
      <c r="L5207">
        <f>IF(AND($J5207=0,$K5207=0),0,1)</f>
        <v>0</v>
      </c>
    </row>
    <row r="5208" spans="1:12" x14ac:dyDescent="0.2">
      <c r="A5208" t="s">
        <v>242</v>
      </c>
      <c r="B5208" t="s">
        <v>71</v>
      </c>
      <c r="C5208" t="s">
        <v>9</v>
      </c>
      <c r="D5208">
        <v>1404</v>
      </c>
      <c r="E5208">
        <v>2021</v>
      </c>
      <c r="F5208">
        <v>1</v>
      </c>
      <c r="G5208">
        <v>20352</v>
      </c>
      <c r="H5208" s="1">
        <v>1</v>
      </c>
      <c r="I5208">
        <v>8</v>
      </c>
      <c r="J5208">
        <f>IF($H5208=0,1,IF($I5208&lt;=1,2,0))</f>
        <v>0</v>
      </c>
      <c r="K5208">
        <v>0</v>
      </c>
      <c r="L5208">
        <f>IF(AND($J5208=0,$K5208=0),0,1)</f>
        <v>0</v>
      </c>
    </row>
    <row r="5209" spans="1:12" x14ac:dyDescent="0.2">
      <c r="A5209" t="s">
        <v>242</v>
      </c>
      <c r="B5209" t="s">
        <v>71</v>
      </c>
      <c r="C5209" t="s">
        <v>9</v>
      </c>
      <c r="D5209">
        <v>1404</v>
      </c>
      <c r="E5209">
        <v>2021</v>
      </c>
      <c r="F5209">
        <v>7</v>
      </c>
      <c r="G5209">
        <v>20358</v>
      </c>
      <c r="H5209" s="1">
        <v>1</v>
      </c>
      <c r="I5209">
        <v>7</v>
      </c>
      <c r="J5209">
        <f>IF($H5209=0,1,IF($I5209&lt;=1,2,0))</f>
        <v>0</v>
      </c>
      <c r="K5209">
        <v>0</v>
      </c>
      <c r="L5209">
        <f>IF(AND($J5209=0,$K5209=0),0,1)</f>
        <v>0</v>
      </c>
    </row>
    <row r="5210" spans="1:12" x14ac:dyDescent="0.2">
      <c r="A5210" t="s">
        <v>242</v>
      </c>
      <c r="B5210" t="s">
        <v>71</v>
      </c>
      <c r="C5210" t="s">
        <v>9</v>
      </c>
      <c r="D5210">
        <v>1404</v>
      </c>
      <c r="E5210">
        <v>2021</v>
      </c>
      <c r="F5210">
        <v>10</v>
      </c>
      <c r="G5210">
        <v>20361</v>
      </c>
      <c r="H5210" s="1">
        <v>1</v>
      </c>
      <c r="I5210">
        <v>7</v>
      </c>
      <c r="J5210">
        <f>IF($H5210=0,1,IF($I5210&lt;=1,2,0))</f>
        <v>0</v>
      </c>
      <c r="K5210">
        <v>0</v>
      </c>
      <c r="L5210">
        <f>IF(AND($J5210=0,$K5210=0),0,1)</f>
        <v>0</v>
      </c>
    </row>
    <row r="5211" spans="1:12" x14ac:dyDescent="0.2">
      <c r="A5211" t="s">
        <v>242</v>
      </c>
      <c r="B5211" t="s">
        <v>71</v>
      </c>
      <c r="C5211" t="s">
        <v>9</v>
      </c>
      <c r="D5211">
        <v>1404</v>
      </c>
      <c r="E5211">
        <v>2021</v>
      </c>
      <c r="F5211">
        <v>9</v>
      </c>
      <c r="G5211">
        <v>20360</v>
      </c>
      <c r="H5211" s="1">
        <v>1</v>
      </c>
      <c r="I5211">
        <v>6</v>
      </c>
      <c r="J5211">
        <f>IF($H5211=0,1,IF($I5211&lt;=1,2,0))</f>
        <v>0</v>
      </c>
      <c r="K5211">
        <v>0</v>
      </c>
      <c r="L5211">
        <f>IF(AND($J5211=0,$K5211=0),0,1)</f>
        <v>0</v>
      </c>
    </row>
    <row r="5212" spans="1:12" x14ac:dyDescent="0.2">
      <c r="A5212" t="s">
        <v>242</v>
      </c>
      <c r="B5212" t="s">
        <v>71</v>
      </c>
      <c r="C5212" t="s">
        <v>9</v>
      </c>
      <c r="D5212">
        <v>1404</v>
      </c>
      <c r="E5212">
        <v>2021</v>
      </c>
      <c r="F5212">
        <v>6</v>
      </c>
      <c r="G5212">
        <v>20357</v>
      </c>
      <c r="H5212" s="1">
        <v>1</v>
      </c>
      <c r="I5212">
        <v>5</v>
      </c>
      <c r="J5212">
        <f>IF($H5212=0,1,IF($I5212&lt;=1,2,0))</f>
        <v>0</v>
      </c>
      <c r="K5212">
        <v>0</v>
      </c>
      <c r="L5212">
        <f>IF(AND($J5212=0,$K5212=0),0,1)</f>
        <v>0</v>
      </c>
    </row>
    <row r="5213" spans="1:12" x14ac:dyDescent="0.2">
      <c r="A5213" t="s">
        <v>242</v>
      </c>
      <c r="B5213" t="s">
        <v>71</v>
      </c>
      <c r="C5213" t="s">
        <v>9</v>
      </c>
      <c r="D5213">
        <v>1404</v>
      </c>
      <c r="E5213">
        <v>2021</v>
      </c>
      <c r="F5213">
        <v>8</v>
      </c>
      <c r="G5213">
        <v>20359</v>
      </c>
      <c r="H5213" s="1">
        <v>1</v>
      </c>
      <c r="I5213">
        <v>5</v>
      </c>
      <c r="J5213">
        <f>IF($H5213=0,1,IF($I5213&lt;=1,2,0))</f>
        <v>0</v>
      </c>
      <c r="K5213">
        <v>0</v>
      </c>
      <c r="L5213">
        <f>IF(AND($J5213=0,$K5213=0),0,1)</f>
        <v>0</v>
      </c>
    </row>
    <row r="5214" spans="1:12" x14ac:dyDescent="0.2">
      <c r="A5214" t="s">
        <v>242</v>
      </c>
      <c r="B5214" t="s">
        <v>71</v>
      </c>
      <c r="C5214" t="s">
        <v>9</v>
      </c>
      <c r="D5214">
        <v>1404</v>
      </c>
      <c r="E5214">
        <v>2021</v>
      </c>
      <c r="F5214">
        <v>2</v>
      </c>
      <c r="G5214">
        <v>20353</v>
      </c>
      <c r="H5214" s="1">
        <v>1</v>
      </c>
      <c r="I5214">
        <v>4</v>
      </c>
      <c r="J5214">
        <f>IF($H5214=0,1,IF($I5214&lt;=1,2,0))</f>
        <v>0</v>
      </c>
      <c r="K5214">
        <v>0</v>
      </c>
      <c r="L5214">
        <f>IF(AND($J5214=0,$K5214=0),0,1)</f>
        <v>0</v>
      </c>
    </row>
    <row r="5215" spans="1:12" x14ac:dyDescent="0.2">
      <c r="A5215" t="s">
        <v>242</v>
      </c>
      <c r="B5215" t="s">
        <v>71</v>
      </c>
      <c r="C5215" t="s">
        <v>9</v>
      </c>
      <c r="D5215">
        <v>3107</v>
      </c>
      <c r="E5215">
        <v>2021</v>
      </c>
      <c r="F5215">
        <v>1</v>
      </c>
      <c r="G5215">
        <v>12480</v>
      </c>
      <c r="H5215" s="1">
        <v>3</v>
      </c>
      <c r="I5215">
        <v>41</v>
      </c>
      <c r="J5215">
        <f>IF($H5215=0,1,IF($I5215&lt;=1,2,0))</f>
        <v>0</v>
      </c>
      <c r="K5215">
        <v>0</v>
      </c>
      <c r="L5215">
        <f>IF(AND($J5215=0,$K5215=0),0,1)</f>
        <v>0</v>
      </c>
    </row>
    <row r="5216" spans="1:12" x14ac:dyDescent="0.2">
      <c r="A5216" t="s">
        <v>242</v>
      </c>
      <c r="B5216" t="s">
        <v>71</v>
      </c>
      <c r="C5216" t="s">
        <v>9</v>
      </c>
      <c r="D5216">
        <v>3134</v>
      </c>
      <c r="E5216">
        <v>2021</v>
      </c>
      <c r="F5216">
        <v>1</v>
      </c>
      <c r="G5216">
        <v>12481</v>
      </c>
      <c r="H5216" s="1">
        <v>3</v>
      </c>
      <c r="I5216">
        <v>311</v>
      </c>
      <c r="J5216">
        <f>IF($H5216=0,1,IF($I5216&lt;=1,2,0))</f>
        <v>0</v>
      </c>
      <c r="K5216">
        <v>0</v>
      </c>
      <c r="L5216">
        <f>IF(AND($J5216=0,$K5216=0),0,1)</f>
        <v>0</v>
      </c>
    </row>
    <row r="5217" spans="1:13" x14ac:dyDescent="0.2">
      <c r="A5217" t="s">
        <v>242</v>
      </c>
      <c r="B5217" t="s">
        <v>71</v>
      </c>
      <c r="C5217" t="s">
        <v>9</v>
      </c>
      <c r="D5217">
        <v>3136</v>
      </c>
      <c r="E5217">
        <v>2021</v>
      </c>
      <c r="F5217">
        <v>1</v>
      </c>
      <c r="G5217">
        <v>14947</v>
      </c>
      <c r="H5217" s="1">
        <v>4</v>
      </c>
      <c r="I5217">
        <v>21</v>
      </c>
      <c r="J5217">
        <f>IF($H5217=0,1,IF($I5217&lt;=1,2,0))</f>
        <v>0</v>
      </c>
      <c r="K5217">
        <v>0</v>
      </c>
      <c r="L5217">
        <f>IF(AND($J5217=0,$K5217=0),0,1)</f>
        <v>0</v>
      </c>
    </row>
    <row r="5218" spans="1:13" x14ac:dyDescent="0.2">
      <c r="A5218" t="s">
        <v>242</v>
      </c>
      <c r="B5218" t="s">
        <v>71</v>
      </c>
      <c r="C5218" t="s">
        <v>9</v>
      </c>
      <c r="D5218">
        <v>3157</v>
      </c>
      <c r="E5218">
        <v>2021</v>
      </c>
      <c r="F5218">
        <v>1</v>
      </c>
      <c r="G5218">
        <v>12482</v>
      </c>
      <c r="H5218" s="1">
        <v>4</v>
      </c>
      <c r="I5218">
        <v>391</v>
      </c>
      <c r="J5218">
        <f>IF($H5218=0,1,IF($I5218&lt;=1,2,0))</f>
        <v>0</v>
      </c>
      <c r="K5218">
        <v>0</v>
      </c>
      <c r="L5218">
        <f>IF(AND($J5218=0,$K5218=0),0,1)</f>
        <v>0</v>
      </c>
    </row>
    <row r="5219" spans="1:13" x14ac:dyDescent="0.2">
      <c r="A5219" t="s">
        <v>242</v>
      </c>
      <c r="B5219" t="s">
        <v>71</v>
      </c>
      <c r="C5219" t="s">
        <v>9</v>
      </c>
      <c r="D5219">
        <v>3157</v>
      </c>
      <c r="E5219">
        <v>2021</v>
      </c>
      <c r="F5219" t="s">
        <v>251</v>
      </c>
      <c r="G5219">
        <v>20376</v>
      </c>
      <c r="H5219" s="1">
        <v>4</v>
      </c>
      <c r="I5219">
        <v>28</v>
      </c>
      <c r="J5219">
        <f>IF($H5219=0,1,IF($I5219&lt;=1,2,0))</f>
        <v>0</v>
      </c>
      <c r="K5219">
        <v>0</v>
      </c>
      <c r="L5219">
        <f>IF(AND($J5219=0,$K5219=0),0,1)</f>
        <v>0</v>
      </c>
    </row>
    <row r="5220" spans="1:13" x14ac:dyDescent="0.2">
      <c r="A5220" t="s">
        <v>242</v>
      </c>
      <c r="B5220" t="s">
        <v>71</v>
      </c>
      <c r="C5220" t="s">
        <v>9</v>
      </c>
      <c r="D5220">
        <v>3203</v>
      </c>
      <c r="E5220">
        <v>2021</v>
      </c>
      <c r="F5220">
        <v>1</v>
      </c>
      <c r="G5220">
        <v>12483</v>
      </c>
      <c r="H5220" s="1">
        <v>4</v>
      </c>
      <c r="I5220">
        <v>116</v>
      </c>
      <c r="J5220">
        <f>IF($H5220=0,1,IF($I5220&lt;=1,2,0))</f>
        <v>0</v>
      </c>
      <c r="K5220">
        <v>0</v>
      </c>
      <c r="L5220">
        <f>IF(AND($J5220=0,$K5220=0),0,1)</f>
        <v>0</v>
      </c>
    </row>
    <row r="5221" spans="1:13" x14ac:dyDescent="0.2">
      <c r="A5221" t="s">
        <v>242</v>
      </c>
      <c r="B5221" t="s">
        <v>71</v>
      </c>
      <c r="C5221" t="s">
        <v>9</v>
      </c>
      <c r="D5221">
        <v>3203</v>
      </c>
      <c r="E5221">
        <v>2021</v>
      </c>
      <c r="F5221">
        <v>2</v>
      </c>
      <c r="G5221">
        <v>12484</v>
      </c>
      <c r="H5221" s="1">
        <v>4</v>
      </c>
      <c r="I5221">
        <v>107</v>
      </c>
      <c r="J5221">
        <f>IF($H5221=0,1,IF($I5221&lt;=1,2,0))</f>
        <v>0</v>
      </c>
      <c r="K5221">
        <v>0</v>
      </c>
      <c r="L5221">
        <f>IF(AND($J5221=0,$K5221=0),0,1)</f>
        <v>0</v>
      </c>
    </row>
    <row r="5222" spans="1:13" x14ac:dyDescent="0.2">
      <c r="A5222" t="s">
        <v>242</v>
      </c>
      <c r="B5222" t="s">
        <v>71</v>
      </c>
      <c r="C5222" t="s">
        <v>9</v>
      </c>
      <c r="D5222">
        <v>3203</v>
      </c>
      <c r="E5222">
        <v>2021</v>
      </c>
      <c r="F5222">
        <v>3</v>
      </c>
      <c r="G5222">
        <v>20412</v>
      </c>
      <c r="H5222" s="1">
        <v>4</v>
      </c>
      <c r="I5222">
        <v>52</v>
      </c>
      <c r="J5222">
        <f>IF($H5222=0,1,IF($I5222&lt;=1,2,0))</f>
        <v>0</v>
      </c>
      <c r="K5222">
        <v>0</v>
      </c>
      <c r="L5222">
        <f>IF(AND($J5222=0,$K5222=0),0,1)</f>
        <v>0</v>
      </c>
    </row>
    <row r="5223" spans="1:13" x14ac:dyDescent="0.2">
      <c r="A5223" t="s">
        <v>242</v>
      </c>
      <c r="B5223" t="s">
        <v>71</v>
      </c>
      <c r="C5223" t="s">
        <v>9</v>
      </c>
      <c r="D5223">
        <v>3251</v>
      </c>
      <c r="E5223">
        <v>2021</v>
      </c>
      <c r="F5223">
        <v>1</v>
      </c>
      <c r="G5223">
        <v>12485</v>
      </c>
      <c r="H5223" s="1">
        <v>4</v>
      </c>
      <c r="I5223">
        <v>152</v>
      </c>
      <c r="J5223">
        <f>IF($H5223=0,1,IF($I5223&lt;=1,2,0))</f>
        <v>0</v>
      </c>
      <c r="K5223">
        <v>0</v>
      </c>
      <c r="L5223">
        <f>IF(AND($J5223=0,$K5223=0),0,1)</f>
        <v>0</v>
      </c>
    </row>
    <row r="5224" spans="1:13" x14ac:dyDescent="0.2">
      <c r="A5224" t="s">
        <v>242</v>
      </c>
      <c r="B5224" t="s">
        <v>71</v>
      </c>
      <c r="C5224" t="s">
        <v>9</v>
      </c>
      <c r="D5224">
        <v>3261</v>
      </c>
      <c r="E5224">
        <v>2021</v>
      </c>
      <c r="F5224">
        <v>1</v>
      </c>
      <c r="G5224">
        <v>13344</v>
      </c>
      <c r="H5224" s="1">
        <v>3</v>
      </c>
      <c r="I5224">
        <v>152</v>
      </c>
      <c r="J5224">
        <f>IF($H5224=0,1,IF($I5224&lt;=1,2,0))</f>
        <v>0</v>
      </c>
      <c r="K5224">
        <v>0</v>
      </c>
      <c r="L5224">
        <f>IF(AND($J5224=0,$K5224=0),0,1)</f>
        <v>0</v>
      </c>
    </row>
    <row r="5225" spans="1:13" x14ac:dyDescent="0.2">
      <c r="A5225" t="s">
        <v>242</v>
      </c>
      <c r="B5225" t="s">
        <v>71</v>
      </c>
      <c r="C5225" t="s">
        <v>9</v>
      </c>
      <c r="D5225">
        <v>3261</v>
      </c>
      <c r="E5225">
        <v>2021</v>
      </c>
      <c r="F5225">
        <v>2</v>
      </c>
      <c r="G5225">
        <v>13345</v>
      </c>
      <c r="H5225" s="1">
        <v>3</v>
      </c>
      <c r="I5225">
        <v>137</v>
      </c>
      <c r="J5225">
        <f>IF($H5225=0,1,IF($I5225&lt;=1,2,0))</f>
        <v>0</v>
      </c>
      <c r="K5225">
        <v>0</v>
      </c>
      <c r="L5225">
        <f>IF(AND($J5225=0,$K5225=0),0,1)</f>
        <v>0</v>
      </c>
    </row>
    <row r="5226" spans="1:13" x14ac:dyDescent="0.2">
      <c r="A5226" t="s">
        <v>242</v>
      </c>
      <c r="B5226" t="s">
        <v>71</v>
      </c>
      <c r="C5226" t="s">
        <v>9</v>
      </c>
      <c r="D5226">
        <v>3261</v>
      </c>
      <c r="E5226">
        <v>2021</v>
      </c>
      <c r="F5226" t="s">
        <v>251</v>
      </c>
      <c r="G5226">
        <v>20498</v>
      </c>
      <c r="H5226" s="1">
        <v>3</v>
      </c>
      <c r="I5226">
        <v>9</v>
      </c>
      <c r="J5226">
        <f>IF($H5226=0,1,IF($I5226&lt;=1,2,0))</f>
        <v>0</v>
      </c>
      <c r="K5226">
        <v>0</v>
      </c>
      <c r="L5226">
        <f>IF(AND($J5226=0,$K5226=0),0,1)</f>
        <v>0</v>
      </c>
    </row>
    <row r="5227" spans="1:13" x14ac:dyDescent="0.2">
      <c r="A5227" t="s">
        <v>242</v>
      </c>
      <c r="B5227" t="s">
        <v>71</v>
      </c>
      <c r="C5227" t="s">
        <v>9</v>
      </c>
      <c r="D5227">
        <v>3410</v>
      </c>
      <c r="E5227">
        <v>2021</v>
      </c>
      <c r="F5227">
        <v>1</v>
      </c>
      <c r="G5227">
        <v>14957</v>
      </c>
      <c r="H5227" s="1">
        <v>3</v>
      </c>
      <c r="I5227">
        <v>73</v>
      </c>
      <c r="J5227">
        <f>IF($H5227=0,1,IF($I5227&lt;=1,2,0))</f>
        <v>0</v>
      </c>
      <c r="K5227">
        <v>0</v>
      </c>
      <c r="L5227">
        <f>IF(AND($J5227=0,$K5227=0),0,1)</f>
        <v>0</v>
      </c>
    </row>
    <row r="5228" spans="1:13" x14ac:dyDescent="0.2">
      <c r="A5228" t="s">
        <v>242</v>
      </c>
      <c r="B5228" t="s">
        <v>71</v>
      </c>
      <c r="C5228" t="s">
        <v>9</v>
      </c>
      <c r="D5228">
        <v>4111</v>
      </c>
      <c r="E5228">
        <v>2021</v>
      </c>
      <c r="F5228">
        <v>2</v>
      </c>
      <c r="G5228">
        <v>12423</v>
      </c>
      <c r="H5228" s="1">
        <v>3</v>
      </c>
      <c r="I5228">
        <v>306</v>
      </c>
      <c r="J5228">
        <f>IF($H5228=0,1,IF($I5228&lt;=1,2,0))</f>
        <v>0</v>
      </c>
      <c r="K5228">
        <v>0</v>
      </c>
      <c r="L5228">
        <f>IF(AND($J5228=0,$K5228=0),0,1)</f>
        <v>0</v>
      </c>
    </row>
    <row r="5229" spans="1:13" x14ac:dyDescent="0.2">
      <c r="A5229" t="s">
        <v>242</v>
      </c>
      <c r="B5229" t="s">
        <v>71</v>
      </c>
      <c r="C5229" t="s">
        <v>9</v>
      </c>
      <c r="D5229">
        <v>4111</v>
      </c>
      <c r="E5229">
        <v>2021</v>
      </c>
      <c r="F5229">
        <v>1</v>
      </c>
      <c r="G5229">
        <v>12406</v>
      </c>
      <c r="H5229" s="1">
        <v>3</v>
      </c>
      <c r="I5229">
        <v>201</v>
      </c>
      <c r="J5229">
        <f>IF($H5229=0,1,IF($I5229&lt;=1,2,0))</f>
        <v>0</v>
      </c>
      <c r="K5229">
        <v>0</v>
      </c>
      <c r="L5229">
        <f>IF(AND($J5229=0,$K5229=0),0,1)</f>
        <v>0</v>
      </c>
    </row>
    <row r="5230" spans="1:13" x14ac:dyDescent="0.2">
      <c r="A5230" t="s">
        <v>242</v>
      </c>
      <c r="B5230" t="s">
        <v>71</v>
      </c>
      <c r="C5230" t="s">
        <v>9</v>
      </c>
      <c r="D5230">
        <v>4111</v>
      </c>
      <c r="E5230">
        <v>2021</v>
      </c>
      <c r="F5230">
        <v>3</v>
      </c>
      <c r="G5230">
        <v>12452</v>
      </c>
      <c r="H5230" s="1">
        <v>3</v>
      </c>
      <c r="I5230">
        <v>92</v>
      </c>
      <c r="J5230">
        <f>IF($H5230=0,1,IF($I5230&lt;=1,2,0))</f>
        <v>0</v>
      </c>
      <c r="K5230">
        <v>0</v>
      </c>
      <c r="L5230">
        <f>IF(AND($J5230=0,$K5230=0),0,1)</f>
        <v>0</v>
      </c>
    </row>
    <row r="5231" spans="1:13" x14ac:dyDescent="0.2">
      <c r="A5231" t="s">
        <v>242</v>
      </c>
      <c r="B5231" t="s">
        <v>71</v>
      </c>
      <c r="C5231" t="s">
        <v>9</v>
      </c>
      <c r="D5231">
        <v>4111</v>
      </c>
      <c r="E5231">
        <v>2021</v>
      </c>
      <c r="F5231" t="s">
        <v>945</v>
      </c>
      <c r="G5231">
        <v>16116</v>
      </c>
      <c r="H5231" s="1">
        <v>3</v>
      </c>
      <c r="I5231">
        <v>29</v>
      </c>
      <c r="J5231">
        <f>IF($H5231=0,1,IF($I5231&lt;=1,2,0))</f>
        <v>0</v>
      </c>
      <c r="K5231">
        <v>0</v>
      </c>
      <c r="L5231">
        <f>IF(AND($J5231=0,$K5231=0),0,1)</f>
        <v>0</v>
      </c>
      <c r="M5231" t="s">
        <v>85</v>
      </c>
    </row>
    <row r="5232" spans="1:13" x14ac:dyDescent="0.2">
      <c r="A5232" t="s">
        <v>242</v>
      </c>
      <c r="B5232" t="s">
        <v>71</v>
      </c>
      <c r="C5232" t="s">
        <v>9</v>
      </c>
      <c r="D5232">
        <v>4115</v>
      </c>
      <c r="E5232">
        <v>2021</v>
      </c>
      <c r="F5232">
        <v>1</v>
      </c>
      <c r="G5232">
        <v>12547</v>
      </c>
      <c r="H5232" s="1">
        <v>3</v>
      </c>
      <c r="I5232">
        <v>90</v>
      </c>
      <c r="J5232">
        <f>IF($H5232=0,1,IF($I5232&lt;=1,2,0))</f>
        <v>0</v>
      </c>
      <c r="K5232">
        <v>0</v>
      </c>
      <c r="L5232">
        <f>IF(AND($J5232=0,$K5232=0),0,1)</f>
        <v>0</v>
      </c>
    </row>
    <row r="5233" spans="1:13" x14ac:dyDescent="0.2">
      <c r="A5233" t="s">
        <v>242</v>
      </c>
      <c r="B5233" t="s">
        <v>71</v>
      </c>
      <c r="C5233" t="s">
        <v>9</v>
      </c>
      <c r="D5233">
        <v>4115</v>
      </c>
      <c r="E5233">
        <v>2021</v>
      </c>
      <c r="F5233">
        <v>2</v>
      </c>
      <c r="G5233">
        <v>20531</v>
      </c>
      <c r="H5233" s="1">
        <v>3</v>
      </c>
      <c r="I5233">
        <v>57</v>
      </c>
      <c r="J5233">
        <f>IF($H5233=0,1,IF($I5233&lt;=1,2,0))</f>
        <v>0</v>
      </c>
      <c r="K5233">
        <v>0</v>
      </c>
      <c r="L5233">
        <f>IF(AND($J5233=0,$K5233=0),0,1)</f>
        <v>0</v>
      </c>
    </row>
    <row r="5234" spans="1:13" x14ac:dyDescent="0.2">
      <c r="A5234" t="s">
        <v>242</v>
      </c>
      <c r="B5234" t="s">
        <v>71</v>
      </c>
      <c r="C5234" t="s">
        <v>9</v>
      </c>
      <c r="D5234">
        <v>4115</v>
      </c>
      <c r="E5234">
        <v>2021</v>
      </c>
      <c r="F5234" t="s">
        <v>84</v>
      </c>
      <c r="G5234">
        <v>16117</v>
      </c>
      <c r="H5234" s="1">
        <v>3</v>
      </c>
      <c r="I5234">
        <v>2</v>
      </c>
      <c r="J5234">
        <f>IF($H5234=0,1,IF($I5234&lt;=1,2,0))</f>
        <v>0</v>
      </c>
      <c r="K5234">
        <v>0</v>
      </c>
      <c r="L5234">
        <f>IF(AND($J5234=0,$K5234=0),0,1)</f>
        <v>0</v>
      </c>
      <c r="M5234" t="s">
        <v>85</v>
      </c>
    </row>
    <row r="5235" spans="1:13" x14ac:dyDescent="0.2">
      <c r="A5235" t="s">
        <v>242</v>
      </c>
      <c r="B5235" t="s">
        <v>71</v>
      </c>
      <c r="C5235" t="s">
        <v>9</v>
      </c>
      <c r="D5235">
        <v>4118</v>
      </c>
      <c r="E5235">
        <v>2021</v>
      </c>
      <c r="F5235">
        <v>1</v>
      </c>
      <c r="G5235">
        <v>12539</v>
      </c>
      <c r="H5235" s="1">
        <v>3</v>
      </c>
      <c r="I5235">
        <v>107</v>
      </c>
      <c r="J5235">
        <f>IF($H5235=0,1,IF($I5235&lt;=1,2,0))</f>
        <v>0</v>
      </c>
      <c r="K5235">
        <v>0</v>
      </c>
      <c r="L5235">
        <f>IF(AND($J5235=0,$K5235=0),0,1)</f>
        <v>0</v>
      </c>
    </row>
    <row r="5236" spans="1:13" x14ac:dyDescent="0.2">
      <c r="A5236" t="s">
        <v>242</v>
      </c>
      <c r="B5236" t="s">
        <v>71</v>
      </c>
      <c r="C5236" t="s">
        <v>9</v>
      </c>
      <c r="D5236">
        <v>4118</v>
      </c>
      <c r="E5236">
        <v>2021</v>
      </c>
      <c r="F5236" t="s">
        <v>251</v>
      </c>
      <c r="G5236">
        <v>20351</v>
      </c>
      <c r="H5236" s="1">
        <v>3</v>
      </c>
      <c r="I5236">
        <v>15</v>
      </c>
      <c r="J5236">
        <f>IF($H5236=0,1,IF($I5236&lt;=1,2,0))</f>
        <v>0</v>
      </c>
      <c r="K5236">
        <v>0</v>
      </c>
      <c r="L5236">
        <f>IF(AND($J5236=0,$K5236=0),0,1)</f>
        <v>0</v>
      </c>
    </row>
    <row r="5237" spans="1:13" x14ac:dyDescent="0.2">
      <c r="A5237" t="s">
        <v>242</v>
      </c>
      <c r="B5237" t="s">
        <v>71</v>
      </c>
      <c r="C5237" t="s">
        <v>9</v>
      </c>
      <c r="D5237">
        <v>4118</v>
      </c>
      <c r="E5237">
        <v>2021</v>
      </c>
      <c r="F5237" t="s">
        <v>84</v>
      </c>
      <c r="G5237">
        <v>18363</v>
      </c>
      <c r="H5237" s="1">
        <v>3</v>
      </c>
      <c r="I5237">
        <v>9</v>
      </c>
      <c r="J5237">
        <f>IF($H5237=0,1,IF($I5237&lt;=1,2,0))</f>
        <v>0</v>
      </c>
      <c r="K5237">
        <v>0</v>
      </c>
      <c r="L5237">
        <f>IF(AND($J5237=0,$K5237=0),0,1)</f>
        <v>0</v>
      </c>
      <c r="M5237" t="s">
        <v>85</v>
      </c>
    </row>
    <row r="5238" spans="1:13" x14ac:dyDescent="0.2">
      <c r="A5238" t="s">
        <v>242</v>
      </c>
      <c r="B5238" t="s">
        <v>71</v>
      </c>
      <c r="C5238" t="s">
        <v>9</v>
      </c>
      <c r="D5238">
        <v>4156</v>
      </c>
      <c r="E5238">
        <v>2021</v>
      </c>
      <c r="F5238">
        <v>1</v>
      </c>
      <c r="G5238">
        <v>12531</v>
      </c>
      <c r="H5238" s="1">
        <v>3</v>
      </c>
      <c r="I5238">
        <v>99</v>
      </c>
      <c r="J5238">
        <f>IF($H5238=0,1,IF($I5238&lt;=1,2,0))</f>
        <v>0</v>
      </c>
      <c r="K5238">
        <v>0</v>
      </c>
      <c r="L5238">
        <f>IF(AND($J5238=0,$K5238=0),0,1)</f>
        <v>0</v>
      </c>
    </row>
    <row r="5239" spans="1:13" x14ac:dyDescent="0.2">
      <c r="A5239" t="s">
        <v>242</v>
      </c>
      <c r="B5239" t="s">
        <v>71</v>
      </c>
      <c r="C5239" t="s">
        <v>9</v>
      </c>
      <c r="D5239">
        <v>4156</v>
      </c>
      <c r="E5239">
        <v>2021</v>
      </c>
      <c r="F5239" t="s">
        <v>84</v>
      </c>
      <c r="G5239">
        <v>16118</v>
      </c>
      <c r="H5239" s="1">
        <v>3</v>
      </c>
      <c r="I5239">
        <v>23</v>
      </c>
      <c r="J5239">
        <f>IF($H5239=0,1,IF($I5239&lt;=1,2,0))</f>
        <v>0</v>
      </c>
      <c r="K5239">
        <v>0</v>
      </c>
      <c r="L5239">
        <f>IF(AND($J5239=0,$K5239=0),0,1)</f>
        <v>0</v>
      </c>
      <c r="M5239" t="s">
        <v>85</v>
      </c>
    </row>
    <row r="5240" spans="1:13" x14ac:dyDescent="0.2">
      <c r="A5240" t="s">
        <v>242</v>
      </c>
      <c r="B5240" t="s">
        <v>71</v>
      </c>
      <c r="C5240" t="s">
        <v>9</v>
      </c>
      <c r="D5240">
        <v>4167</v>
      </c>
      <c r="E5240">
        <v>2021</v>
      </c>
      <c r="F5240">
        <v>1</v>
      </c>
      <c r="G5240">
        <v>13531</v>
      </c>
      <c r="H5240" s="1">
        <v>3</v>
      </c>
      <c r="I5240">
        <v>45</v>
      </c>
      <c r="J5240">
        <f>IF($H5240=0,1,IF($I5240&lt;=1,2,0))</f>
        <v>0</v>
      </c>
      <c r="K5240">
        <v>0</v>
      </c>
      <c r="L5240">
        <f>IF(AND($J5240=0,$K5240=0),0,1)</f>
        <v>0</v>
      </c>
    </row>
    <row r="5241" spans="1:13" x14ac:dyDescent="0.2">
      <c r="A5241" t="s">
        <v>242</v>
      </c>
      <c r="B5241" t="s">
        <v>71</v>
      </c>
      <c r="C5241" t="s">
        <v>9</v>
      </c>
      <c r="D5241">
        <v>4167</v>
      </c>
      <c r="E5241">
        <v>2021</v>
      </c>
      <c r="F5241" t="s">
        <v>84</v>
      </c>
      <c r="G5241">
        <v>17508</v>
      </c>
      <c r="H5241" s="1">
        <v>3</v>
      </c>
      <c r="I5241">
        <v>3</v>
      </c>
      <c r="J5241">
        <f>IF($H5241=0,1,IF($I5241&lt;=1,2,0))</f>
        <v>0</v>
      </c>
      <c r="K5241">
        <v>0</v>
      </c>
      <c r="L5241">
        <f>IF(AND($J5241=0,$K5241=0),0,1)</f>
        <v>0</v>
      </c>
      <c r="M5241" t="s">
        <v>85</v>
      </c>
    </row>
    <row r="5242" spans="1:13" x14ac:dyDescent="0.2">
      <c r="A5242" t="s">
        <v>242</v>
      </c>
      <c r="B5242" t="s">
        <v>71</v>
      </c>
      <c r="C5242" t="s">
        <v>9</v>
      </c>
      <c r="D5242">
        <v>4170</v>
      </c>
      <c r="E5242">
        <v>2021</v>
      </c>
      <c r="F5242">
        <v>1</v>
      </c>
      <c r="G5242">
        <v>12528</v>
      </c>
      <c r="H5242" s="1">
        <v>3</v>
      </c>
      <c r="I5242">
        <v>128</v>
      </c>
      <c r="J5242">
        <f>IF($H5242=0,1,IF($I5242&lt;=1,2,0))</f>
        <v>0</v>
      </c>
      <c r="K5242">
        <v>0</v>
      </c>
      <c r="L5242">
        <f>IF(AND($J5242=0,$K5242=0),0,1)</f>
        <v>0</v>
      </c>
    </row>
    <row r="5243" spans="1:13" x14ac:dyDescent="0.2">
      <c r="A5243" t="s">
        <v>242</v>
      </c>
      <c r="B5243" t="s">
        <v>71</v>
      </c>
      <c r="C5243" t="s">
        <v>9</v>
      </c>
      <c r="D5243">
        <v>4170</v>
      </c>
      <c r="E5243">
        <v>2021</v>
      </c>
      <c r="F5243" t="s">
        <v>251</v>
      </c>
      <c r="G5243">
        <v>20362</v>
      </c>
      <c r="H5243" s="1">
        <v>3</v>
      </c>
      <c r="I5243">
        <v>16</v>
      </c>
      <c r="J5243">
        <f>IF($H5243=0,1,IF($I5243&lt;=1,2,0))</f>
        <v>0</v>
      </c>
      <c r="K5243">
        <v>0</v>
      </c>
      <c r="L5243">
        <f>IF(AND($J5243=0,$K5243=0),0,1)</f>
        <v>0</v>
      </c>
    </row>
    <row r="5244" spans="1:13" x14ac:dyDescent="0.2">
      <c r="A5244" t="s">
        <v>242</v>
      </c>
      <c r="B5244" t="s">
        <v>71</v>
      </c>
      <c r="C5244" t="s">
        <v>9</v>
      </c>
      <c r="D5244">
        <v>4170</v>
      </c>
      <c r="E5244">
        <v>2021</v>
      </c>
      <c r="F5244" t="s">
        <v>84</v>
      </c>
      <c r="G5244">
        <v>16119</v>
      </c>
      <c r="H5244" s="1">
        <v>3</v>
      </c>
      <c r="I5244">
        <v>8</v>
      </c>
      <c r="J5244">
        <f>IF($H5244=0,1,IF($I5244&lt;=1,2,0))</f>
        <v>0</v>
      </c>
      <c r="K5244">
        <v>0</v>
      </c>
      <c r="L5244">
        <f>IF(AND($J5244=0,$K5244=0),0,1)</f>
        <v>0</v>
      </c>
      <c r="M5244" t="s">
        <v>85</v>
      </c>
    </row>
    <row r="5245" spans="1:13" x14ac:dyDescent="0.2">
      <c r="A5245" t="s">
        <v>242</v>
      </c>
      <c r="B5245" t="s">
        <v>71</v>
      </c>
      <c r="C5245" t="s">
        <v>9</v>
      </c>
      <c r="D5245">
        <v>4181</v>
      </c>
      <c r="E5245">
        <v>2021</v>
      </c>
      <c r="F5245">
        <v>1</v>
      </c>
      <c r="G5245">
        <v>12523</v>
      </c>
      <c r="H5245" s="1">
        <v>3</v>
      </c>
      <c r="I5245">
        <v>93</v>
      </c>
      <c r="J5245">
        <f>IF($H5245=0,1,IF($I5245&lt;=1,2,0))</f>
        <v>0</v>
      </c>
      <c r="K5245">
        <v>0</v>
      </c>
      <c r="L5245">
        <f>IF(AND($J5245=0,$K5245=0),0,1)</f>
        <v>0</v>
      </c>
    </row>
    <row r="5246" spans="1:13" x14ac:dyDescent="0.2">
      <c r="A5246" t="s">
        <v>242</v>
      </c>
      <c r="B5246" t="s">
        <v>71</v>
      </c>
      <c r="C5246" t="s">
        <v>9</v>
      </c>
      <c r="D5246">
        <v>4181</v>
      </c>
      <c r="E5246">
        <v>2021</v>
      </c>
      <c r="F5246" t="s">
        <v>84</v>
      </c>
      <c r="G5246">
        <v>16120</v>
      </c>
      <c r="H5246" s="1">
        <v>3</v>
      </c>
      <c r="I5246">
        <v>10</v>
      </c>
      <c r="J5246">
        <f>IF($H5246=0,1,IF($I5246&lt;=1,2,0))</f>
        <v>0</v>
      </c>
      <c r="K5246">
        <v>0</v>
      </c>
      <c r="L5246">
        <f>IF(AND($J5246=0,$K5246=0),0,1)</f>
        <v>0</v>
      </c>
      <c r="M5246" t="s">
        <v>85</v>
      </c>
    </row>
    <row r="5247" spans="1:13" x14ac:dyDescent="0.2">
      <c r="A5247" t="s">
        <v>242</v>
      </c>
      <c r="B5247" t="s">
        <v>71</v>
      </c>
      <c r="C5247" t="s">
        <v>9</v>
      </c>
      <c r="D5247">
        <v>4186</v>
      </c>
      <c r="E5247">
        <v>2021</v>
      </c>
      <c r="F5247">
        <v>1</v>
      </c>
      <c r="G5247">
        <v>13799</v>
      </c>
      <c r="H5247" s="1">
        <v>3</v>
      </c>
      <c r="I5247">
        <v>38</v>
      </c>
      <c r="J5247">
        <f>IF($H5247=0,1,IF($I5247&lt;=1,2,0))</f>
        <v>0</v>
      </c>
      <c r="K5247">
        <v>0</v>
      </c>
      <c r="L5247">
        <f>IF(AND($J5247=0,$K5247=0),0,1)</f>
        <v>0</v>
      </c>
    </row>
    <row r="5248" spans="1:13" x14ac:dyDescent="0.2">
      <c r="A5248" t="s">
        <v>242</v>
      </c>
      <c r="B5248" t="s">
        <v>71</v>
      </c>
      <c r="C5248" t="s">
        <v>9</v>
      </c>
      <c r="D5248">
        <v>4252</v>
      </c>
      <c r="E5248">
        <v>2021</v>
      </c>
      <c r="F5248">
        <v>1</v>
      </c>
      <c r="G5248">
        <v>13518</v>
      </c>
      <c r="H5248" s="1">
        <v>3</v>
      </c>
      <c r="I5248">
        <v>99</v>
      </c>
      <c r="J5248">
        <f>IF($H5248=0,1,IF($I5248&lt;=1,2,0))</f>
        <v>0</v>
      </c>
      <c r="K5248">
        <v>0</v>
      </c>
      <c r="L5248">
        <f>IF(AND($J5248=0,$K5248=0),0,1)</f>
        <v>0</v>
      </c>
    </row>
    <row r="5249" spans="1:13" x14ac:dyDescent="0.2">
      <c r="A5249" t="s">
        <v>242</v>
      </c>
      <c r="B5249" t="s">
        <v>71</v>
      </c>
      <c r="C5249" t="s">
        <v>9</v>
      </c>
      <c r="D5249">
        <v>4252</v>
      </c>
      <c r="E5249">
        <v>2021</v>
      </c>
      <c r="F5249" t="s">
        <v>84</v>
      </c>
      <c r="G5249">
        <v>16121</v>
      </c>
      <c r="H5249" s="1">
        <v>3</v>
      </c>
      <c r="I5249">
        <v>12</v>
      </c>
      <c r="J5249">
        <f>IF($H5249=0,1,IF($I5249&lt;=1,2,0))</f>
        <v>0</v>
      </c>
      <c r="K5249">
        <v>0</v>
      </c>
      <c r="L5249">
        <f>IF(AND($J5249=0,$K5249=0),0,1)</f>
        <v>0</v>
      </c>
      <c r="M5249" t="s">
        <v>85</v>
      </c>
    </row>
    <row r="5250" spans="1:13" x14ac:dyDescent="0.2">
      <c r="A5250" t="s">
        <v>242</v>
      </c>
      <c r="B5250" t="s">
        <v>71</v>
      </c>
      <c r="C5250" t="s">
        <v>9</v>
      </c>
      <c r="D5250">
        <v>4419</v>
      </c>
      <c r="E5250">
        <v>2021</v>
      </c>
      <c r="F5250">
        <v>1</v>
      </c>
      <c r="G5250">
        <v>12512</v>
      </c>
      <c r="H5250" s="1">
        <v>3</v>
      </c>
      <c r="I5250">
        <v>38</v>
      </c>
      <c r="J5250">
        <f>IF($H5250=0,1,IF($I5250&lt;=1,2,0))</f>
        <v>0</v>
      </c>
      <c r="K5250">
        <v>0</v>
      </c>
      <c r="L5250">
        <f>IF(AND($J5250=0,$K5250=0),0,1)</f>
        <v>0</v>
      </c>
    </row>
    <row r="5251" spans="1:13" x14ac:dyDescent="0.2">
      <c r="A5251" t="s">
        <v>242</v>
      </c>
      <c r="B5251" t="s">
        <v>71</v>
      </c>
      <c r="C5251" t="s">
        <v>9</v>
      </c>
      <c r="D5251">
        <v>4419</v>
      </c>
      <c r="E5251">
        <v>2021</v>
      </c>
      <c r="F5251" t="s">
        <v>84</v>
      </c>
      <c r="G5251">
        <v>16122</v>
      </c>
      <c r="H5251" s="1">
        <v>3</v>
      </c>
      <c r="I5251">
        <v>5</v>
      </c>
      <c r="J5251">
        <f>IF($H5251=0,1,IF($I5251&lt;=1,2,0))</f>
        <v>0</v>
      </c>
      <c r="K5251">
        <v>0</v>
      </c>
      <c r="L5251">
        <f>IF(AND($J5251=0,$K5251=0),0,1)</f>
        <v>0</v>
      </c>
      <c r="M5251" t="s">
        <v>85</v>
      </c>
    </row>
    <row r="5252" spans="1:13" x14ac:dyDescent="0.2">
      <c r="A5252" t="s">
        <v>242</v>
      </c>
      <c r="B5252" t="s">
        <v>71</v>
      </c>
      <c r="C5252" t="s">
        <v>9</v>
      </c>
      <c r="D5252">
        <v>4444</v>
      </c>
      <c r="E5252">
        <v>2021</v>
      </c>
      <c r="F5252">
        <v>1</v>
      </c>
      <c r="G5252">
        <v>12504</v>
      </c>
      <c r="H5252" s="1">
        <v>3</v>
      </c>
      <c r="I5252">
        <v>31</v>
      </c>
      <c r="J5252">
        <f>IF($H5252=0,1,IF($I5252&lt;=1,2,0))</f>
        <v>0</v>
      </c>
      <c r="K5252">
        <v>0</v>
      </c>
      <c r="L5252">
        <f>IF(AND($J5252=0,$K5252=0),0,1)</f>
        <v>0</v>
      </c>
    </row>
    <row r="5253" spans="1:13" x14ac:dyDescent="0.2">
      <c r="A5253" t="s">
        <v>242</v>
      </c>
      <c r="B5253" t="s">
        <v>71</v>
      </c>
      <c r="C5253" t="s">
        <v>9</v>
      </c>
      <c r="D5253">
        <v>4460</v>
      </c>
      <c r="E5253">
        <v>2021</v>
      </c>
      <c r="F5253">
        <v>1</v>
      </c>
      <c r="G5253">
        <v>14948</v>
      </c>
      <c r="H5253" s="1">
        <v>3</v>
      </c>
      <c r="I5253">
        <v>42</v>
      </c>
      <c r="J5253">
        <f>IF($H5253=0,1,IF($I5253&lt;=1,2,0))</f>
        <v>0</v>
      </c>
      <c r="K5253">
        <v>0</v>
      </c>
      <c r="L5253">
        <f>IF(AND($J5253=0,$K5253=0),0,1)</f>
        <v>0</v>
      </c>
    </row>
    <row r="5254" spans="1:13" x14ac:dyDescent="0.2">
      <c r="A5254" t="s">
        <v>242</v>
      </c>
      <c r="B5254" t="s">
        <v>71</v>
      </c>
      <c r="C5254" t="s">
        <v>9</v>
      </c>
      <c r="D5254">
        <v>4701</v>
      </c>
      <c r="E5254">
        <v>2021</v>
      </c>
      <c r="F5254">
        <v>1</v>
      </c>
      <c r="G5254">
        <v>12503</v>
      </c>
      <c r="H5254" s="1">
        <v>3</v>
      </c>
      <c r="I5254">
        <v>154</v>
      </c>
      <c r="J5254">
        <f>IF($H5254=0,1,IF($I5254&lt;=1,2,0))</f>
        <v>0</v>
      </c>
      <c r="K5254">
        <v>0</v>
      </c>
      <c r="L5254">
        <f>IF(AND($J5254=0,$K5254=0),0,1)</f>
        <v>0</v>
      </c>
    </row>
    <row r="5255" spans="1:13" x14ac:dyDescent="0.2">
      <c r="A5255" t="s">
        <v>242</v>
      </c>
      <c r="B5255" t="s">
        <v>71</v>
      </c>
      <c r="C5255" t="s">
        <v>9</v>
      </c>
      <c r="D5255">
        <v>4701</v>
      </c>
      <c r="E5255">
        <v>2021</v>
      </c>
      <c r="F5255">
        <v>2</v>
      </c>
      <c r="G5255">
        <v>13267</v>
      </c>
      <c r="H5255" s="1">
        <v>3</v>
      </c>
      <c r="I5255">
        <v>152</v>
      </c>
      <c r="J5255">
        <f>IF($H5255=0,1,IF($I5255&lt;=1,2,0))</f>
        <v>0</v>
      </c>
      <c r="K5255">
        <v>0</v>
      </c>
      <c r="L5255">
        <f>IF(AND($J5255=0,$K5255=0),0,1)</f>
        <v>0</v>
      </c>
    </row>
    <row r="5256" spans="1:13" x14ac:dyDescent="0.2">
      <c r="A5256" t="s">
        <v>242</v>
      </c>
      <c r="B5256" t="s">
        <v>71</v>
      </c>
      <c r="C5256" t="s">
        <v>9</v>
      </c>
      <c r="D5256">
        <v>4701</v>
      </c>
      <c r="E5256">
        <v>2021</v>
      </c>
      <c r="F5256">
        <v>3</v>
      </c>
      <c r="G5256">
        <v>20410</v>
      </c>
      <c r="H5256" s="1">
        <v>3</v>
      </c>
      <c r="I5256">
        <v>113</v>
      </c>
      <c r="J5256">
        <f>IF($H5256=0,1,IF($I5256&lt;=1,2,0))</f>
        <v>0</v>
      </c>
      <c r="K5256">
        <v>0</v>
      </c>
      <c r="L5256">
        <f>IF(AND($J5256=0,$K5256=0),0,1)</f>
        <v>0</v>
      </c>
    </row>
    <row r="5257" spans="1:13" x14ac:dyDescent="0.2">
      <c r="A5257" t="s">
        <v>242</v>
      </c>
      <c r="B5257" t="s">
        <v>71</v>
      </c>
      <c r="C5257" t="s">
        <v>9</v>
      </c>
      <c r="D5257">
        <v>4701</v>
      </c>
      <c r="E5257">
        <v>2021</v>
      </c>
      <c r="F5257" t="s">
        <v>250</v>
      </c>
      <c r="G5257">
        <v>16123</v>
      </c>
      <c r="H5257" s="1">
        <v>3</v>
      </c>
      <c r="I5257">
        <v>33</v>
      </c>
      <c r="J5257">
        <f>IF($H5257=0,1,IF($I5257&lt;=1,2,0))</f>
        <v>0</v>
      </c>
      <c r="K5257">
        <v>0</v>
      </c>
      <c r="L5257">
        <f>IF(AND($J5257=0,$K5257=0),0,1)</f>
        <v>0</v>
      </c>
      <c r="M5257" t="s">
        <v>85</v>
      </c>
    </row>
    <row r="5258" spans="1:13" x14ac:dyDescent="0.2">
      <c r="A5258" t="s">
        <v>242</v>
      </c>
      <c r="B5258" t="s">
        <v>71</v>
      </c>
      <c r="C5258" t="s">
        <v>9</v>
      </c>
      <c r="D5258">
        <v>4705</v>
      </c>
      <c r="E5258">
        <v>2021</v>
      </c>
      <c r="F5258">
        <v>2</v>
      </c>
      <c r="G5258">
        <v>15018</v>
      </c>
      <c r="H5258" s="1">
        <v>3</v>
      </c>
      <c r="I5258">
        <v>132</v>
      </c>
      <c r="J5258">
        <f>IF($H5258=0,1,IF($I5258&lt;=1,2,0))</f>
        <v>0</v>
      </c>
      <c r="K5258">
        <v>0</v>
      </c>
      <c r="L5258">
        <f>IF(AND($J5258=0,$K5258=0),0,1)</f>
        <v>0</v>
      </c>
    </row>
    <row r="5259" spans="1:13" x14ac:dyDescent="0.2">
      <c r="A5259" t="s">
        <v>242</v>
      </c>
      <c r="B5259" t="s">
        <v>71</v>
      </c>
      <c r="C5259" t="s">
        <v>9</v>
      </c>
      <c r="D5259">
        <v>4705</v>
      </c>
      <c r="E5259">
        <v>2021</v>
      </c>
      <c r="F5259">
        <v>1</v>
      </c>
      <c r="G5259">
        <v>12502</v>
      </c>
      <c r="H5259" s="1">
        <v>3</v>
      </c>
      <c r="I5259">
        <v>127</v>
      </c>
      <c r="J5259">
        <f>IF($H5259=0,1,IF($I5259&lt;=1,2,0))</f>
        <v>0</v>
      </c>
      <c r="K5259">
        <v>0</v>
      </c>
      <c r="L5259">
        <f>IF(AND($J5259=0,$K5259=0),0,1)</f>
        <v>0</v>
      </c>
    </row>
    <row r="5260" spans="1:13" x14ac:dyDescent="0.2">
      <c r="A5260" t="s">
        <v>242</v>
      </c>
      <c r="B5260" t="s">
        <v>71</v>
      </c>
      <c r="C5260" t="s">
        <v>9</v>
      </c>
      <c r="D5260">
        <v>4705</v>
      </c>
      <c r="E5260">
        <v>2021</v>
      </c>
      <c r="F5260" t="s">
        <v>249</v>
      </c>
      <c r="G5260">
        <v>20547</v>
      </c>
      <c r="H5260" s="1">
        <v>3</v>
      </c>
      <c r="I5260">
        <v>21</v>
      </c>
      <c r="J5260">
        <f>IF($H5260=0,1,IF($I5260&lt;=1,2,0))</f>
        <v>0</v>
      </c>
      <c r="K5260">
        <v>0</v>
      </c>
      <c r="L5260">
        <f>IF(AND($J5260=0,$K5260=0),0,1)</f>
        <v>0</v>
      </c>
    </row>
    <row r="5261" spans="1:13" x14ac:dyDescent="0.2">
      <c r="A5261" t="s">
        <v>242</v>
      </c>
      <c r="B5261" t="s">
        <v>71</v>
      </c>
      <c r="C5261" t="s">
        <v>9</v>
      </c>
      <c r="D5261">
        <v>4705</v>
      </c>
      <c r="E5261">
        <v>2021</v>
      </c>
      <c r="F5261" t="s">
        <v>84</v>
      </c>
      <c r="G5261">
        <v>16124</v>
      </c>
      <c r="H5261" s="1">
        <v>3</v>
      </c>
      <c r="I5261">
        <v>8</v>
      </c>
      <c r="J5261">
        <f>IF($H5261=0,1,IF($I5261&lt;=1,2,0))</f>
        <v>0</v>
      </c>
      <c r="K5261">
        <v>0</v>
      </c>
      <c r="L5261">
        <f>IF(AND($J5261=0,$K5261=0),0,1)</f>
        <v>0</v>
      </c>
      <c r="M5261" t="s">
        <v>85</v>
      </c>
    </row>
    <row r="5262" spans="1:13" x14ac:dyDescent="0.2">
      <c r="A5262" t="s">
        <v>242</v>
      </c>
      <c r="B5262" t="s">
        <v>71</v>
      </c>
      <c r="C5262" t="s">
        <v>9</v>
      </c>
      <c r="D5262">
        <v>4731</v>
      </c>
      <c r="E5262">
        <v>2021</v>
      </c>
      <c r="F5262">
        <v>1</v>
      </c>
      <c r="G5262">
        <v>12749</v>
      </c>
      <c r="H5262" s="1">
        <v>3</v>
      </c>
      <c r="I5262">
        <v>91</v>
      </c>
      <c r="J5262">
        <f>IF($H5262=0,1,IF($I5262&lt;=1,2,0))</f>
        <v>0</v>
      </c>
      <c r="K5262">
        <v>0</v>
      </c>
      <c r="L5262">
        <f>IF(AND($J5262=0,$K5262=0),0,1)</f>
        <v>0</v>
      </c>
    </row>
    <row r="5263" spans="1:13" x14ac:dyDescent="0.2">
      <c r="A5263" t="s">
        <v>242</v>
      </c>
      <c r="B5263" t="s">
        <v>71</v>
      </c>
      <c r="C5263" t="s">
        <v>9</v>
      </c>
      <c r="D5263">
        <v>4733</v>
      </c>
      <c r="E5263">
        <v>2021</v>
      </c>
      <c r="F5263">
        <v>1</v>
      </c>
      <c r="G5263">
        <v>12501</v>
      </c>
      <c r="H5263" s="1">
        <v>3</v>
      </c>
      <c r="I5263">
        <v>121</v>
      </c>
      <c r="J5263">
        <f>IF($H5263=0,1,IF($I5263&lt;=1,2,0))</f>
        <v>0</v>
      </c>
      <c r="K5263">
        <v>0</v>
      </c>
      <c r="L5263">
        <f>IF(AND($J5263=0,$K5263=0),0,1)</f>
        <v>0</v>
      </c>
    </row>
    <row r="5264" spans="1:13" x14ac:dyDescent="0.2">
      <c r="A5264" t="s">
        <v>242</v>
      </c>
      <c r="B5264" t="s">
        <v>71</v>
      </c>
      <c r="C5264" t="s">
        <v>9</v>
      </c>
      <c r="D5264">
        <v>4733</v>
      </c>
      <c r="E5264">
        <v>2021</v>
      </c>
      <c r="F5264">
        <v>2</v>
      </c>
      <c r="G5264">
        <v>20413</v>
      </c>
      <c r="H5264" s="1">
        <v>3</v>
      </c>
      <c r="I5264">
        <v>92</v>
      </c>
      <c r="J5264">
        <f>IF($H5264=0,1,IF($I5264&lt;=1,2,0))</f>
        <v>0</v>
      </c>
      <c r="K5264">
        <v>0</v>
      </c>
      <c r="L5264">
        <f>IF(AND($J5264=0,$K5264=0),0,1)</f>
        <v>0</v>
      </c>
    </row>
    <row r="5265" spans="1:13" x14ac:dyDescent="0.2">
      <c r="A5265" t="s">
        <v>242</v>
      </c>
      <c r="B5265" t="s">
        <v>71</v>
      </c>
      <c r="C5265" t="s">
        <v>9</v>
      </c>
      <c r="D5265">
        <v>4733</v>
      </c>
      <c r="E5265">
        <v>2021</v>
      </c>
      <c r="F5265" t="s">
        <v>84</v>
      </c>
      <c r="G5265">
        <v>16125</v>
      </c>
      <c r="H5265" s="1">
        <v>3</v>
      </c>
      <c r="I5265">
        <v>14</v>
      </c>
      <c r="J5265">
        <f>IF($H5265=0,1,IF($I5265&lt;=1,2,0))</f>
        <v>0</v>
      </c>
      <c r="K5265">
        <v>0</v>
      </c>
      <c r="L5265">
        <f>IF(AND($J5265=0,$K5265=0),0,1)</f>
        <v>0</v>
      </c>
      <c r="M5265" t="s">
        <v>85</v>
      </c>
    </row>
    <row r="5266" spans="1:13" x14ac:dyDescent="0.2">
      <c r="A5266" t="s">
        <v>242</v>
      </c>
      <c r="B5266" t="s">
        <v>71</v>
      </c>
      <c r="C5266" t="s">
        <v>9</v>
      </c>
      <c r="D5266">
        <v>4771</v>
      </c>
      <c r="E5266">
        <v>2021</v>
      </c>
      <c r="F5266">
        <v>2</v>
      </c>
      <c r="G5266">
        <v>12499</v>
      </c>
      <c r="H5266" s="1">
        <v>3</v>
      </c>
      <c r="I5266">
        <v>107</v>
      </c>
      <c r="J5266">
        <f>IF($H5266=0,1,IF($I5266&lt;=1,2,0))</f>
        <v>0</v>
      </c>
      <c r="K5266">
        <v>0</v>
      </c>
      <c r="L5266">
        <f>IF(AND($J5266=0,$K5266=0),0,1)</f>
        <v>0</v>
      </c>
    </row>
    <row r="5267" spans="1:13" x14ac:dyDescent="0.2">
      <c r="A5267" t="s">
        <v>242</v>
      </c>
      <c r="B5267" t="s">
        <v>71</v>
      </c>
      <c r="C5267" t="s">
        <v>9</v>
      </c>
      <c r="D5267">
        <v>4771</v>
      </c>
      <c r="E5267">
        <v>2021</v>
      </c>
      <c r="F5267">
        <v>1</v>
      </c>
      <c r="G5267">
        <v>12498</v>
      </c>
      <c r="H5267" s="1">
        <v>3</v>
      </c>
      <c r="I5267">
        <v>92</v>
      </c>
      <c r="J5267">
        <f>IF($H5267=0,1,IF($I5267&lt;=1,2,0))</f>
        <v>0</v>
      </c>
      <c r="K5267">
        <v>0</v>
      </c>
      <c r="L5267">
        <f>IF(AND($J5267=0,$K5267=0),0,1)</f>
        <v>0</v>
      </c>
    </row>
    <row r="5268" spans="1:13" x14ac:dyDescent="0.2">
      <c r="A5268" t="s">
        <v>242</v>
      </c>
      <c r="B5268" t="s">
        <v>71</v>
      </c>
      <c r="C5268" t="s">
        <v>9</v>
      </c>
      <c r="D5268">
        <v>4771</v>
      </c>
      <c r="E5268">
        <v>2021</v>
      </c>
      <c r="F5268" t="s">
        <v>84</v>
      </c>
      <c r="G5268">
        <v>17070</v>
      </c>
      <c r="H5268" s="1">
        <v>3</v>
      </c>
      <c r="I5268">
        <v>9</v>
      </c>
      <c r="J5268">
        <f>IF($H5268=0,1,IF($I5268&lt;=1,2,0))</f>
        <v>0</v>
      </c>
      <c r="K5268">
        <v>0</v>
      </c>
      <c r="L5268">
        <f>IF(AND($J5268=0,$K5268=0),0,1)</f>
        <v>0</v>
      </c>
      <c r="M5268" t="s">
        <v>85</v>
      </c>
    </row>
    <row r="5269" spans="1:13" x14ac:dyDescent="0.2">
      <c r="A5269" t="s">
        <v>242</v>
      </c>
      <c r="B5269" t="s">
        <v>71</v>
      </c>
      <c r="C5269" t="s">
        <v>9</v>
      </c>
      <c r="D5269">
        <v>4774</v>
      </c>
      <c r="E5269">
        <v>2021</v>
      </c>
      <c r="F5269">
        <v>1</v>
      </c>
      <c r="G5269">
        <v>12500</v>
      </c>
      <c r="H5269" s="1">
        <v>3</v>
      </c>
      <c r="I5269">
        <v>30</v>
      </c>
      <c r="J5269">
        <f>IF($H5269=0,1,IF($I5269&lt;=1,2,0))</f>
        <v>0</v>
      </c>
      <c r="K5269">
        <v>0</v>
      </c>
      <c r="L5269">
        <f>IF(AND($J5269=0,$K5269=0),0,1)</f>
        <v>0</v>
      </c>
    </row>
    <row r="5270" spans="1:13" x14ac:dyDescent="0.2">
      <c r="A5270" t="s">
        <v>242</v>
      </c>
      <c r="B5270" t="s">
        <v>71</v>
      </c>
      <c r="C5270" t="s">
        <v>9</v>
      </c>
      <c r="D5270">
        <v>4775</v>
      </c>
      <c r="E5270">
        <v>2021</v>
      </c>
      <c r="F5270">
        <v>1</v>
      </c>
      <c r="G5270">
        <v>14070</v>
      </c>
      <c r="H5270" s="1">
        <v>3</v>
      </c>
      <c r="I5270">
        <v>72</v>
      </c>
      <c r="J5270">
        <f>IF($H5270=0,1,IF($I5270&lt;=1,2,0))</f>
        <v>0</v>
      </c>
      <c r="K5270">
        <v>0</v>
      </c>
      <c r="L5270">
        <f>IF(AND($J5270=0,$K5270=0),0,1)</f>
        <v>0</v>
      </c>
    </row>
    <row r="5271" spans="1:13" x14ac:dyDescent="0.2">
      <c r="A5271" t="s">
        <v>242</v>
      </c>
      <c r="B5271" t="s">
        <v>71</v>
      </c>
      <c r="C5271" t="s">
        <v>9</v>
      </c>
      <c r="D5271">
        <v>4995</v>
      </c>
      <c r="E5271">
        <v>2021</v>
      </c>
      <c r="F5271">
        <v>11</v>
      </c>
      <c r="G5271">
        <v>18116</v>
      </c>
      <c r="H5271" s="1">
        <v>3</v>
      </c>
      <c r="I5271">
        <v>161</v>
      </c>
      <c r="J5271">
        <f>IF($H5271=0,1,IF($I5271&lt;=1,2,0))</f>
        <v>0</v>
      </c>
      <c r="K5271">
        <v>0</v>
      </c>
      <c r="L5271">
        <f>IF(AND($J5271=0,$K5271=0),0,1)</f>
        <v>0</v>
      </c>
      <c r="M5271" t="s">
        <v>1460</v>
      </c>
    </row>
    <row r="5272" spans="1:13" x14ac:dyDescent="0.2">
      <c r="A5272" t="s">
        <v>242</v>
      </c>
      <c r="B5272" t="s">
        <v>71</v>
      </c>
      <c r="C5272" t="s">
        <v>9</v>
      </c>
      <c r="D5272">
        <v>4995</v>
      </c>
      <c r="E5272">
        <v>2021</v>
      </c>
      <c r="F5272">
        <v>10</v>
      </c>
      <c r="G5272">
        <v>13929</v>
      </c>
      <c r="H5272" s="1">
        <v>3</v>
      </c>
      <c r="I5272">
        <v>132</v>
      </c>
      <c r="J5272">
        <f>IF($H5272=0,1,IF($I5272&lt;=1,2,0))</f>
        <v>0</v>
      </c>
      <c r="K5272">
        <v>0</v>
      </c>
      <c r="L5272">
        <f>IF(AND($J5272=0,$K5272=0),0,1)</f>
        <v>0</v>
      </c>
      <c r="M5272" t="s">
        <v>1460</v>
      </c>
    </row>
    <row r="5273" spans="1:13" x14ac:dyDescent="0.2">
      <c r="A5273" t="s">
        <v>242</v>
      </c>
      <c r="B5273" t="s">
        <v>71</v>
      </c>
      <c r="C5273" t="s">
        <v>9</v>
      </c>
      <c r="D5273">
        <v>4995</v>
      </c>
      <c r="E5273">
        <v>2021</v>
      </c>
      <c r="F5273">
        <v>3</v>
      </c>
      <c r="G5273">
        <v>12497</v>
      </c>
      <c r="H5273" s="1">
        <v>3</v>
      </c>
      <c r="I5273">
        <v>114</v>
      </c>
      <c r="J5273">
        <f>IF($H5273=0,1,IF($I5273&lt;=1,2,0))</f>
        <v>0</v>
      </c>
      <c r="K5273">
        <v>0</v>
      </c>
      <c r="L5273">
        <f>IF(AND($J5273=0,$K5273=0),0,1)</f>
        <v>0</v>
      </c>
    </row>
    <row r="5274" spans="1:13" x14ac:dyDescent="0.2">
      <c r="A5274" t="s">
        <v>242</v>
      </c>
      <c r="B5274" t="s">
        <v>71</v>
      </c>
      <c r="C5274" t="s">
        <v>9</v>
      </c>
      <c r="D5274">
        <v>4995</v>
      </c>
      <c r="E5274">
        <v>2021</v>
      </c>
      <c r="F5274">
        <v>7</v>
      </c>
      <c r="G5274">
        <v>18040</v>
      </c>
      <c r="H5274" s="1">
        <v>3</v>
      </c>
      <c r="I5274">
        <v>78</v>
      </c>
      <c r="J5274">
        <f>IF($H5274=0,1,IF($I5274&lt;=1,2,0))</f>
        <v>0</v>
      </c>
      <c r="K5274">
        <v>0</v>
      </c>
      <c r="L5274">
        <f>IF(AND($J5274=0,$K5274=0),0,1)</f>
        <v>0</v>
      </c>
    </row>
    <row r="5275" spans="1:13" x14ac:dyDescent="0.2">
      <c r="A5275" t="s">
        <v>242</v>
      </c>
      <c r="B5275" t="s">
        <v>71</v>
      </c>
      <c r="C5275" t="s">
        <v>9</v>
      </c>
      <c r="D5275">
        <v>4995</v>
      </c>
      <c r="E5275">
        <v>2021</v>
      </c>
      <c r="F5275">
        <v>2</v>
      </c>
      <c r="G5275">
        <v>12496</v>
      </c>
      <c r="H5275" s="1">
        <v>3</v>
      </c>
      <c r="I5275">
        <v>66</v>
      </c>
      <c r="J5275">
        <f>IF($H5275=0,1,IF($I5275&lt;=1,2,0))</f>
        <v>0</v>
      </c>
      <c r="K5275">
        <v>0</v>
      </c>
      <c r="L5275">
        <f>IF(AND($J5275=0,$K5275=0),0,1)</f>
        <v>0</v>
      </c>
    </row>
    <row r="5276" spans="1:13" x14ac:dyDescent="0.2">
      <c r="A5276" t="s">
        <v>242</v>
      </c>
      <c r="B5276" t="s">
        <v>71</v>
      </c>
      <c r="C5276" t="s">
        <v>9</v>
      </c>
      <c r="D5276">
        <v>4995</v>
      </c>
      <c r="E5276">
        <v>2021</v>
      </c>
      <c r="F5276">
        <v>6</v>
      </c>
      <c r="G5276">
        <v>13800</v>
      </c>
      <c r="H5276" s="1">
        <v>3</v>
      </c>
      <c r="I5276">
        <v>63</v>
      </c>
      <c r="J5276">
        <f>IF($H5276=0,1,IF($I5276&lt;=1,2,0))</f>
        <v>0</v>
      </c>
      <c r="K5276">
        <v>0</v>
      </c>
      <c r="L5276">
        <f>IF(AND($J5276=0,$K5276=0),0,1)</f>
        <v>0</v>
      </c>
    </row>
    <row r="5277" spans="1:13" x14ac:dyDescent="0.2">
      <c r="A5277" t="s">
        <v>242</v>
      </c>
      <c r="B5277" t="s">
        <v>71</v>
      </c>
      <c r="C5277" t="s">
        <v>9</v>
      </c>
      <c r="D5277">
        <v>4995</v>
      </c>
      <c r="E5277">
        <v>2021</v>
      </c>
      <c r="F5277" t="s">
        <v>1461</v>
      </c>
      <c r="G5277">
        <v>20497</v>
      </c>
      <c r="H5277" s="1">
        <v>3</v>
      </c>
      <c r="I5277">
        <v>41</v>
      </c>
      <c r="J5277">
        <f>IF($H5277=0,1,IF($I5277&lt;=1,2,0))</f>
        <v>0</v>
      </c>
      <c r="K5277">
        <v>0</v>
      </c>
      <c r="L5277">
        <f>IF(AND($J5277=0,$K5277=0),0,1)</f>
        <v>0</v>
      </c>
    </row>
    <row r="5278" spans="1:13" x14ac:dyDescent="0.2">
      <c r="A5278" t="s">
        <v>242</v>
      </c>
      <c r="B5278" t="s">
        <v>71</v>
      </c>
      <c r="C5278" t="s">
        <v>9</v>
      </c>
      <c r="D5278">
        <v>4995</v>
      </c>
      <c r="E5278">
        <v>2021</v>
      </c>
      <c r="F5278">
        <v>4</v>
      </c>
      <c r="G5278">
        <v>13363</v>
      </c>
      <c r="H5278" s="1">
        <v>3</v>
      </c>
      <c r="I5278">
        <v>38</v>
      </c>
      <c r="J5278">
        <f>IF($H5278=0,1,IF($I5278&lt;=1,2,0))</f>
        <v>0</v>
      </c>
      <c r="K5278">
        <v>0</v>
      </c>
      <c r="L5278">
        <f>IF(AND($J5278=0,$K5278=0),0,1)</f>
        <v>0</v>
      </c>
    </row>
    <row r="5279" spans="1:13" x14ac:dyDescent="0.2">
      <c r="A5279" t="s">
        <v>242</v>
      </c>
      <c r="B5279" t="s">
        <v>71</v>
      </c>
      <c r="C5279" t="s">
        <v>9</v>
      </c>
      <c r="D5279">
        <v>4995</v>
      </c>
      <c r="E5279">
        <v>2021</v>
      </c>
      <c r="F5279">
        <v>1</v>
      </c>
      <c r="G5279">
        <v>12495</v>
      </c>
      <c r="H5279" s="1">
        <v>3</v>
      </c>
      <c r="I5279">
        <v>34</v>
      </c>
      <c r="J5279">
        <f>IF($H5279=0,1,IF($I5279&lt;=1,2,0))</f>
        <v>0</v>
      </c>
      <c r="K5279">
        <v>0</v>
      </c>
      <c r="L5279">
        <f>IF(AND($J5279=0,$K5279=0),0,1)</f>
        <v>0</v>
      </c>
    </row>
    <row r="5280" spans="1:13" x14ac:dyDescent="0.2">
      <c r="A5280" t="s">
        <v>242</v>
      </c>
      <c r="B5280" t="s">
        <v>71</v>
      </c>
      <c r="C5280" t="s">
        <v>9</v>
      </c>
      <c r="D5280">
        <v>4995</v>
      </c>
      <c r="E5280">
        <v>2021</v>
      </c>
      <c r="F5280" t="s">
        <v>249</v>
      </c>
      <c r="G5280">
        <v>20432</v>
      </c>
      <c r="H5280" s="1">
        <v>3</v>
      </c>
      <c r="I5280">
        <v>26</v>
      </c>
      <c r="J5280">
        <f>IF($H5280=0,1,IF($I5280&lt;=1,2,0))</f>
        <v>0</v>
      </c>
      <c r="K5280">
        <v>0</v>
      </c>
      <c r="L5280">
        <f>IF(AND($J5280=0,$K5280=0),0,1)</f>
        <v>0</v>
      </c>
    </row>
    <row r="5281" spans="1:13" x14ac:dyDescent="0.2">
      <c r="A5281" t="s">
        <v>242</v>
      </c>
      <c r="B5281" t="s">
        <v>71</v>
      </c>
      <c r="C5281" t="s">
        <v>9</v>
      </c>
      <c r="D5281">
        <v>4995</v>
      </c>
      <c r="E5281">
        <v>2021</v>
      </c>
      <c r="F5281">
        <v>5</v>
      </c>
      <c r="G5281">
        <v>14028</v>
      </c>
      <c r="H5281" s="1">
        <v>3</v>
      </c>
      <c r="I5281">
        <v>24</v>
      </c>
      <c r="J5281">
        <f>IF($H5281=0,1,IF($I5281&lt;=1,2,0))</f>
        <v>0</v>
      </c>
      <c r="K5281">
        <v>0</v>
      </c>
      <c r="L5281">
        <f>IF(AND($J5281=0,$K5281=0),0,1)</f>
        <v>0</v>
      </c>
    </row>
    <row r="5282" spans="1:13" x14ac:dyDescent="0.2">
      <c r="A5282" t="s">
        <v>242</v>
      </c>
      <c r="B5282" t="s">
        <v>71</v>
      </c>
      <c r="C5282" t="s">
        <v>9</v>
      </c>
      <c r="D5282">
        <v>4995</v>
      </c>
      <c r="E5282">
        <v>2021</v>
      </c>
      <c r="F5282" t="s">
        <v>250</v>
      </c>
      <c r="G5282">
        <v>16126</v>
      </c>
      <c r="H5282" s="1">
        <v>3</v>
      </c>
      <c r="I5282">
        <v>4</v>
      </c>
      <c r="J5282">
        <f>IF($H5282=0,1,IF($I5282&lt;=1,2,0))</f>
        <v>0</v>
      </c>
      <c r="K5282">
        <v>0</v>
      </c>
      <c r="L5282">
        <f>IF(AND($J5282=0,$K5282=0),0,1)</f>
        <v>0</v>
      </c>
      <c r="M5282" t="s">
        <v>85</v>
      </c>
    </row>
    <row r="5283" spans="1:13" x14ac:dyDescent="0.2">
      <c r="A5283" t="s">
        <v>242</v>
      </c>
      <c r="B5283" t="s">
        <v>71</v>
      </c>
      <c r="C5283" t="s">
        <v>9</v>
      </c>
      <c r="D5283">
        <v>4995</v>
      </c>
      <c r="E5283">
        <v>2021</v>
      </c>
      <c r="F5283" t="s">
        <v>945</v>
      </c>
      <c r="G5283">
        <v>18991</v>
      </c>
      <c r="H5283" s="1">
        <v>3</v>
      </c>
      <c r="I5283">
        <v>4</v>
      </c>
      <c r="J5283">
        <f>IF($H5283=0,1,IF($I5283&lt;=1,2,0))</f>
        <v>0</v>
      </c>
      <c r="K5283">
        <v>0</v>
      </c>
      <c r="L5283">
        <f>IF(AND($J5283=0,$K5283=0),0,1)</f>
        <v>0</v>
      </c>
      <c r="M5283" t="s">
        <v>85</v>
      </c>
    </row>
    <row r="5284" spans="1:13" x14ac:dyDescent="0.2">
      <c r="A5284" t="s">
        <v>242</v>
      </c>
      <c r="B5284" t="s">
        <v>71</v>
      </c>
      <c r="C5284" t="s">
        <v>9</v>
      </c>
      <c r="D5284">
        <v>4995</v>
      </c>
      <c r="E5284">
        <v>2021</v>
      </c>
      <c r="F5284" t="s">
        <v>253</v>
      </c>
      <c r="G5284">
        <v>20230</v>
      </c>
      <c r="H5284" s="1">
        <v>3</v>
      </c>
      <c r="I5284">
        <v>4</v>
      </c>
      <c r="J5284">
        <f>IF($H5284=0,1,IF($I5284&lt;=1,2,0))</f>
        <v>0</v>
      </c>
      <c r="K5284">
        <v>0</v>
      </c>
      <c r="L5284">
        <f>IF(AND($J5284=0,$K5284=0),0,1)</f>
        <v>0</v>
      </c>
    </row>
    <row r="5285" spans="1:13" x14ac:dyDescent="0.2">
      <c r="A5285" t="s">
        <v>242</v>
      </c>
      <c r="B5285" t="s">
        <v>71</v>
      </c>
      <c r="C5285" t="s">
        <v>9</v>
      </c>
      <c r="D5285">
        <v>4995</v>
      </c>
      <c r="E5285">
        <v>2021</v>
      </c>
      <c r="F5285" t="s">
        <v>254</v>
      </c>
      <c r="G5285">
        <v>20229</v>
      </c>
      <c r="H5285" s="1">
        <v>3</v>
      </c>
      <c r="I5285">
        <v>3</v>
      </c>
      <c r="J5285">
        <f>IF($H5285=0,1,IF($I5285&lt;=1,2,0))</f>
        <v>0</v>
      </c>
      <c r="K5285">
        <v>0</v>
      </c>
      <c r="L5285">
        <f>IF(AND($J5285=0,$K5285=0),0,1)</f>
        <v>0</v>
      </c>
      <c r="M5285" t="s">
        <v>85</v>
      </c>
    </row>
    <row r="5286" spans="1:13" x14ac:dyDescent="0.2">
      <c r="A5286" t="s">
        <v>242</v>
      </c>
      <c r="B5286" t="s">
        <v>71</v>
      </c>
      <c r="C5286" t="s">
        <v>9</v>
      </c>
      <c r="D5286">
        <v>4995</v>
      </c>
      <c r="E5286">
        <v>2021</v>
      </c>
      <c r="F5286" t="s">
        <v>1462</v>
      </c>
      <c r="G5286">
        <v>20231</v>
      </c>
      <c r="H5286" s="1">
        <v>3</v>
      </c>
      <c r="I5286">
        <v>2</v>
      </c>
      <c r="J5286">
        <f>IF($H5286=0,1,IF($I5286&lt;=1,2,0))</f>
        <v>0</v>
      </c>
      <c r="K5286">
        <v>0</v>
      </c>
      <c r="L5286">
        <f>IF(AND($J5286=0,$K5286=0),0,1)</f>
        <v>0</v>
      </c>
      <c r="M5286" t="s">
        <v>85</v>
      </c>
    </row>
    <row r="5287" spans="1:13" x14ac:dyDescent="0.2">
      <c r="A5287" t="s">
        <v>242</v>
      </c>
      <c r="B5287" t="s">
        <v>71</v>
      </c>
      <c r="C5287" t="s">
        <v>72</v>
      </c>
      <c r="D5287">
        <v>6156</v>
      </c>
      <c r="E5287">
        <v>2021</v>
      </c>
      <c r="F5287">
        <v>1</v>
      </c>
      <c r="G5287">
        <v>13390</v>
      </c>
      <c r="H5287" s="1">
        <v>3</v>
      </c>
      <c r="I5287">
        <v>172</v>
      </c>
      <c r="J5287">
        <f>IF($H5287=0,1,IF($I5287&lt;=1,2,0))</f>
        <v>0</v>
      </c>
      <c r="K5287">
        <v>0</v>
      </c>
      <c r="L5287">
        <f>IF(AND($J5287=0,$K5287=0),0,1)</f>
        <v>0</v>
      </c>
    </row>
    <row r="5288" spans="1:13" x14ac:dyDescent="0.2">
      <c r="A5288" t="s">
        <v>242</v>
      </c>
      <c r="B5288" t="s">
        <v>71</v>
      </c>
      <c r="C5288" t="s">
        <v>72</v>
      </c>
      <c r="D5288">
        <v>6156</v>
      </c>
      <c r="E5288">
        <v>2021</v>
      </c>
      <c r="F5288" t="s">
        <v>84</v>
      </c>
      <c r="G5288">
        <v>16112</v>
      </c>
      <c r="H5288" s="1">
        <v>3</v>
      </c>
      <c r="I5288">
        <v>13</v>
      </c>
      <c r="J5288">
        <f>IF($H5288=0,1,IF($I5288&lt;=1,2,0))</f>
        <v>0</v>
      </c>
      <c r="K5288">
        <v>0</v>
      </c>
      <c r="L5288">
        <f>IF(AND($J5288=0,$K5288=0),0,1)</f>
        <v>0</v>
      </c>
      <c r="M5288" t="s">
        <v>85</v>
      </c>
    </row>
    <row r="5289" spans="1:13" x14ac:dyDescent="0.2">
      <c r="A5289" t="s">
        <v>242</v>
      </c>
      <c r="B5289" t="s">
        <v>71</v>
      </c>
      <c r="C5289" t="s">
        <v>72</v>
      </c>
      <c r="D5289">
        <v>6998</v>
      </c>
      <c r="E5289">
        <v>2021</v>
      </c>
      <c r="F5289">
        <v>13</v>
      </c>
      <c r="G5289">
        <v>14949</v>
      </c>
      <c r="H5289" s="1">
        <v>3</v>
      </c>
      <c r="I5289">
        <v>104</v>
      </c>
      <c r="J5289">
        <f>IF($H5289=0,1,IF($I5289&lt;=1,2,0))</f>
        <v>0</v>
      </c>
      <c r="K5289">
        <v>0</v>
      </c>
      <c r="L5289">
        <f>IF(AND($J5289=0,$K5289=0),0,1)</f>
        <v>0</v>
      </c>
    </row>
    <row r="5290" spans="1:13" x14ac:dyDescent="0.2">
      <c r="A5290" t="s">
        <v>242</v>
      </c>
      <c r="B5290" t="s">
        <v>71</v>
      </c>
      <c r="C5290" t="s">
        <v>72</v>
      </c>
      <c r="D5290">
        <v>6998</v>
      </c>
      <c r="E5290">
        <v>2021</v>
      </c>
      <c r="F5290">
        <v>12</v>
      </c>
      <c r="G5290">
        <v>14942</v>
      </c>
      <c r="H5290" s="1">
        <v>3</v>
      </c>
      <c r="I5290">
        <v>65</v>
      </c>
      <c r="J5290">
        <f>IF($H5290=0,1,IF($I5290&lt;=1,2,0))</f>
        <v>0</v>
      </c>
      <c r="K5290">
        <v>0</v>
      </c>
      <c r="L5290">
        <f>IF(AND($J5290=0,$K5290=0),0,1)</f>
        <v>0</v>
      </c>
    </row>
    <row r="5291" spans="1:13" x14ac:dyDescent="0.2">
      <c r="A5291" t="s">
        <v>242</v>
      </c>
      <c r="B5291" t="s">
        <v>71</v>
      </c>
      <c r="C5291" t="s">
        <v>72</v>
      </c>
      <c r="D5291">
        <v>6998</v>
      </c>
      <c r="E5291">
        <v>2021</v>
      </c>
      <c r="F5291">
        <v>11</v>
      </c>
      <c r="G5291">
        <v>14029</v>
      </c>
      <c r="H5291" s="1">
        <v>3</v>
      </c>
      <c r="I5291">
        <v>42</v>
      </c>
      <c r="J5291">
        <f>IF($H5291=0,1,IF($I5291&lt;=1,2,0))</f>
        <v>0</v>
      </c>
      <c r="K5291">
        <v>0</v>
      </c>
      <c r="L5291">
        <f>IF(AND($J5291=0,$K5291=0),0,1)</f>
        <v>0</v>
      </c>
    </row>
    <row r="5292" spans="1:13" x14ac:dyDescent="0.2">
      <c r="A5292" t="s">
        <v>242</v>
      </c>
      <c r="B5292" t="s">
        <v>71</v>
      </c>
      <c r="C5292" t="s">
        <v>72</v>
      </c>
      <c r="D5292">
        <v>6998</v>
      </c>
      <c r="E5292">
        <v>2021</v>
      </c>
      <c r="F5292">
        <v>9</v>
      </c>
      <c r="G5292">
        <v>13525</v>
      </c>
      <c r="H5292" s="1">
        <v>3</v>
      </c>
      <c r="I5292">
        <v>37</v>
      </c>
      <c r="J5292">
        <f>IF($H5292=0,1,IF($I5292&lt;=1,2,0))</f>
        <v>0</v>
      </c>
      <c r="K5292">
        <v>0</v>
      </c>
      <c r="L5292">
        <f>IF(AND($J5292=0,$K5292=0),0,1)</f>
        <v>0</v>
      </c>
    </row>
    <row r="5293" spans="1:13" x14ac:dyDescent="0.2">
      <c r="A5293" t="s">
        <v>242</v>
      </c>
      <c r="B5293" t="s">
        <v>71</v>
      </c>
      <c r="C5293" t="s">
        <v>72</v>
      </c>
      <c r="D5293">
        <v>6998</v>
      </c>
      <c r="E5293">
        <v>2021</v>
      </c>
      <c r="F5293">
        <v>6</v>
      </c>
      <c r="G5293">
        <v>13268</v>
      </c>
      <c r="H5293" s="1">
        <v>3</v>
      </c>
      <c r="I5293">
        <v>36</v>
      </c>
      <c r="J5293">
        <f>IF($H5293=0,1,IF($I5293&lt;=1,2,0))</f>
        <v>0</v>
      </c>
      <c r="K5293">
        <v>0</v>
      </c>
      <c r="L5293">
        <f>IF(AND($J5293=0,$K5293=0),0,1)</f>
        <v>0</v>
      </c>
    </row>
    <row r="5294" spans="1:13" x14ac:dyDescent="0.2">
      <c r="A5294" t="s">
        <v>242</v>
      </c>
      <c r="B5294" t="s">
        <v>71</v>
      </c>
      <c r="C5294" t="s">
        <v>72</v>
      </c>
      <c r="D5294">
        <v>6998</v>
      </c>
      <c r="E5294">
        <v>2021</v>
      </c>
      <c r="F5294">
        <v>2</v>
      </c>
      <c r="G5294">
        <v>12491</v>
      </c>
      <c r="H5294" s="1">
        <v>3</v>
      </c>
      <c r="I5294">
        <v>35</v>
      </c>
      <c r="J5294">
        <f>IF($H5294=0,1,IF($I5294&lt;=1,2,0))</f>
        <v>0</v>
      </c>
      <c r="K5294">
        <v>0</v>
      </c>
      <c r="L5294">
        <f>IF(AND($J5294=0,$K5294=0),0,1)</f>
        <v>0</v>
      </c>
    </row>
    <row r="5295" spans="1:13" x14ac:dyDescent="0.2">
      <c r="A5295" t="s">
        <v>242</v>
      </c>
      <c r="B5295" t="s">
        <v>71</v>
      </c>
      <c r="C5295" t="s">
        <v>72</v>
      </c>
      <c r="D5295">
        <v>6998</v>
      </c>
      <c r="E5295">
        <v>2021</v>
      </c>
      <c r="F5295">
        <v>5</v>
      </c>
      <c r="G5295">
        <v>12951</v>
      </c>
      <c r="H5295" s="1">
        <v>3</v>
      </c>
      <c r="I5295">
        <v>35</v>
      </c>
      <c r="J5295">
        <f>IF($H5295=0,1,IF($I5295&lt;=1,2,0))</f>
        <v>0</v>
      </c>
      <c r="K5295">
        <v>0</v>
      </c>
      <c r="L5295">
        <f>IF(AND($J5295=0,$K5295=0),0,1)</f>
        <v>0</v>
      </c>
    </row>
    <row r="5296" spans="1:13" x14ac:dyDescent="0.2">
      <c r="A5296" t="s">
        <v>242</v>
      </c>
      <c r="B5296" t="s">
        <v>71</v>
      </c>
      <c r="C5296" t="s">
        <v>72</v>
      </c>
      <c r="D5296">
        <v>6998</v>
      </c>
      <c r="E5296">
        <v>2021</v>
      </c>
      <c r="F5296">
        <v>1</v>
      </c>
      <c r="G5296">
        <v>12490</v>
      </c>
      <c r="H5296" s="1">
        <v>3</v>
      </c>
      <c r="I5296">
        <v>33</v>
      </c>
      <c r="J5296">
        <f>IF($H5296=0,1,IF($I5296&lt;=1,2,0))</f>
        <v>0</v>
      </c>
      <c r="K5296">
        <v>0</v>
      </c>
      <c r="L5296">
        <f>IF(AND($J5296=0,$K5296=0),0,1)</f>
        <v>0</v>
      </c>
    </row>
    <row r="5297" spans="1:13" x14ac:dyDescent="0.2">
      <c r="A5297" t="s">
        <v>242</v>
      </c>
      <c r="B5297" t="s">
        <v>71</v>
      </c>
      <c r="C5297" t="s">
        <v>72</v>
      </c>
      <c r="D5297">
        <v>6998</v>
      </c>
      <c r="E5297">
        <v>2021</v>
      </c>
      <c r="F5297">
        <v>7</v>
      </c>
      <c r="G5297">
        <v>13269</v>
      </c>
      <c r="H5297" s="1">
        <v>3</v>
      </c>
      <c r="I5297">
        <v>31</v>
      </c>
      <c r="J5297">
        <f>IF($H5297=0,1,IF($I5297&lt;=1,2,0))</f>
        <v>0</v>
      </c>
      <c r="K5297">
        <v>0</v>
      </c>
      <c r="L5297">
        <f>IF(AND($J5297=0,$K5297=0),0,1)</f>
        <v>0</v>
      </c>
    </row>
    <row r="5298" spans="1:13" x14ac:dyDescent="0.2">
      <c r="A5298" t="s">
        <v>242</v>
      </c>
      <c r="B5298" t="s">
        <v>71</v>
      </c>
      <c r="C5298" t="s">
        <v>72</v>
      </c>
      <c r="D5298">
        <v>6998</v>
      </c>
      <c r="E5298">
        <v>2021</v>
      </c>
      <c r="F5298">
        <v>3</v>
      </c>
      <c r="G5298">
        <v>12492</v>
      </c>
      <c r="H5298" s="1">
        <v>3</v>
      </c>
      <c r="I5298">
        <v>27</v>
      </c>
      <c r="J5298">
        <f>IF($H5298=0,1,IF($I5298&lt;=1,2,0))</f>
        <v>0</v>
      </c>
      <c r="K5298">
        <v>0</v>
      </c>
      <c r="L5298">
        <f>IF(AND($J5298=0,$K5298=0),0,1)</f>
        <v>0</v>
      </c>
    </row>
    <row r="5299" spans="1:13" x14ac:dyDescent="0.2">
      <c r="A5299" t="s">
        <v>242</v>
      </c>
      <c r="B5299" t="s">
        <v>71</v>
      </c>
      <c r="C5299" t="s">
        <v>72</v>
      </c>
      <c r="D5299">
        <v>6998</v>
      </c>
      <c r="E5299">
        <v>2021</v>
      </c>
      <c r="F5299">
        <v>4</v>
      </c>
      <c r="G5299">
        <v>12494</v>
      </c>
      <c r="H5299" s="1">
        <v>3</v>
      </c>
      <c r="I5299">
        <v>22</v>
      </c>
      <c r="J5299">
        <f>IF($H5299=0,1,IF($I5299&lt;=1,2,0))</f>
        <v>0</v>
      </c>
      <c r="K5299">
        <v>0</v>
      </c>
      <c r="L5299">
        <f>IF(AND($J5299=0,$K5299=0),0,1)</f>
        <v>0</v>
      </c>
    </row>
    <row r="5300" spans="1:13" x14ac:dyDescent="0.2">
      <c r="A5300" t="s">
        <v>242</v>
      </c>
      <c r="B5300" t="s">
        <v>71</v>
      </c>
      <c r="C5300" t="s">
        <v>72</v>
      </c>
      <c r="D5300">
        <v>6998</v>
      </c>
      <c r="E5300">
        <v>2021</v>
      </c>
      <c r="F5300">
        <v>14</v>
      </c>
      <c r="G5300">
        <v>14950</v>
      </c>
      <c r="H5300" s="1">
        <v>3</v>
      </c>
      <c r="I5300">
        <v>21</v>
      </c>
      <c r="J5300">
        <f>IF($H5300=0,1,IF($I5300&lt;=1,2,0))</f>
        <v>0</v>
      </c>
      <c r="K5300">
        <v>0</v>
      </c>
      <c r="L5300">
        <f>IF(AND($J5300=0,$K5300=0),0,1)</f>
        <v>0</v>
      </c>
    </row>
    <row r="5301" spans="1:13" x14ac:dyDescent="0.2">
      <c r="A5301" t="s">
        <v>242</v>
      </c>
      <c r="B5301" t="s">
        <v>71</v>
      </c>
      <c r="C5301" t="s">
        <v>72</v>
      </c>
      <c r="D5301">
        <v>6998</v>
      </c>
      <c r="E5301">
        <v>2021</v>
      </c>
      <c r="F5301">
        <v>15</v>
      </c>
      <c r="G5301">
        <v>18172</v>
      </c>
      <c r="H5301" s="1">
        <v>3</v>
      </c>
      <c r="I5301">
        <v>21</v>
      </c>
      <c r="J5301">
        <f>IF($H5301=0,1,IF($I5301&lt;=1,2,0))</f>
        <v>0</v>
      </c>
      <c r="K5301">
        <v>0</v>
      </c>
      <c r="L5301">
        <f>IF(AND($J5301=0,$K5301=0),0,1)</f>
        <v>0</v>
      </c>
    </row>
    <row r="5302" spans="1:13" x14ac:dyDescent="0.2">
      <c r="A5302" t="s">
        <v>242</v>
      </c>
      <c r="B5302" t="s">
        <v>71</v>
      </c>
      <c r="C5302" t="s">
        <v>72</v>
      </c>
      <c r="D5302">
        <v>6998</v>
      </c>
      <c r="E5302">
        <v>2021</v>
      </c>
      <c r="F5302" t="s">
        <v>948</v>
      </c>
      <c r="G5302">
        <v>16113</v>
      </c>
      <c r="H5302" s="1">
        <v>3</v>
      </c>
      <c r="I5302">
        <v>17</v>
      </c>
      <c r="J5302">
        <f>IF($H5302=0,1,IF($I5302&lt;=1,2,0))</f>
        <v>0</v>
      </c>
      <c r="K5302">
        <v>0</v>
      </c>
      <c r="L5302">
        <f>IF(AND($J5302=0,$K5302=0),0,1)</f>
        <v>0</v>
      </c>
      <c r="M5302" t="s">
        <v>85</v>
      </c>
    </row>
    <row r="5303" spans="1:13" x14ac:dyDescent="0.2">
      <c r="A5303" t="s">
        <v>242</v>
      </c>
      <c r="B5303" t="s">
        <v>71</v>
      </c>
      <c r="C5303" t="s">
        <v>72</v>
      </c>
      <c r="D5303">
        <v>6998</v>
      </c>
      <c r="E5303">
        <v>2021</v>
      </c>
      <c r="F5303">
        <v>10</v>
      </c>
      <c r="G5303">
        <v>13802</v>
      </c>
      <c r="H5303" s="1">
        <v>3</v>
      </c>
      <c r="I5303">
        <v>14</v>
      </c>
      <c r="J5303">
        <f>IF($H5303=0,1,IF($I5303&lt;=1,2,0))</f>
        <v>0</v>
      </c>
      <c r="K5303">
        <v>0</v>
      </c>
      <c r="L5303">
        <f>IF(AND($J5303=0,$K5303=0),0,1)</f>
        <v>0</v>
      </c>
    </row>
    <row r="5304" spans="1:13" x14ac:dyDescent="0.2">
      <c r="A5304" t="s">
        <v>242</v>
      </c>
      <c r="B5304" t="s">
        <v>71</v>
      </c>
      <c r="C5304" t="s">
        <v>72</v>
      </c>
      <c r="D5304">
        <v>6998</v>
      </c>
      <c r="E5304">
        <v>2021</v>
      </c>
      <c r="F5304">
        <v>16</v>
      </c>
      <c r="G5304">
        <v>20217</v>
      </c>
      <c r="H5304" s="1">
        <v>3</v>
      </c>
      <c r="I5304">
        <v>11</v>
      </c>
      <c r="J5304">
        <f>IF($H5304=0,1,IF($I5304&lt;=1,2,0))</f>
        <v>0</v>
      </c>
      <c r="K5304">
        <v>0</v>
      </c>
      <c r="L5304">
        <f>IF(AND($J5304=0,$K5304=0),0,1)</f>
        <v>0</v>
      </c>
    </row>
    <row r="5305" spans="1:13" x14ac:dyDescent="0.2">
      <c r="A5305" t="s">
        <v>242</v>
      </c>
      <c r="B5305" t="s">
        <v>71</v>
      </c>
      <c r="C5305" t="s">
        <v>72</v>
      </c>
      <c r="D5305">
        <v>6998</v>
      </c>
      <c r="E5305">
        <v>2021</v>
      </c>
      <c r="F5305" t="s">
        <v>1462</v>
      </c>
      <c r="G5305">
        <v>16114</v>
      </c>
      <c r="H5305" s="1">
        <v>3</v>
      </c>
      <c r="I5305">
        <v>11</v>
      </c>
      <c r="J5305">
        <f>IF($H5305=0,1,IF($I5305&lt;=1,2,0))</f>
        <v>0</v>
      </c>
      <c r="K5305">
        <v>0</v>
      </c>
      <c r="L5305">
        <f>IF(AND($J5305=0,$K5305=0),0,1)</f>
        <v>0</v>
      </c>
      <c r="M5305" t="s">
        <v>85</v>
      </c>
    </row>
    <row r="5306" spans="1:13" x14ac:dyDescent="0.2">
      <c r="A5306" t="s">
        <v>242</v>
      </c>
      <c r="B5306" t="s">
        <v>71</v>
      </c>
      <c r="C5306" t="s">
        <v>72</v>
      </c>
      <c r="D5306">
        <v>6998</v>
      </c>
      <c r="E5306">
        <v>2021</v>
      </c>
      <c r="F5306" t="s">
        <v>1463</v>
      </c>
      <c r="G5306">
        <v>20515</v>
      </c>
      <c r="H5306" s="1">
        <v>3</v>
      </c>
      <c r="I5306">
        <v>10</v>
      </c>
      <c r="J5306">
        <f>IF($H5306=0,1,IF($I5306&lt;=1,2,0))</f>
        <v>0</v>
      </c>
      <c r="K5306">
        <v>0</v>
      </c>
      <c r="L5306">
        <f>IF(AND($J5306=0,$K5306=0),0,1)</f>
        <v>0</v>
      </c>
    </row>
    <row r="5307" spans="1:13" x14ac:dyDescent="0.2">
      <c r="A5307" t="s">
        <v>242</v>
      </c>
      <c r="B5307" t="s">
        <v>71</v>
      </c>
      <c r="C5307" t="s">
        <v>72</v>
      </c>
      <c r="D5307">
        <v>6998</v>
      </c>
      <c r="E5307">
        <v>2021</v>
      </c>
      <c r="F5307" t="s">
        <v>953</v>
      </c>
      <c r="G5307">
        <v>18751</v>
      </c>
      <c r="H5307" s="1">
        <v>3</v>
      </c>
      <c r="I5307">
        <v>9</v>
      </c>
      <c r="J5307">
        <f>IF($H5307=0,1,IF($I5307&lt;=1,2,0))</f>
        <v>0</v>
      </c>
      <c r="K5307">
        <v>0</v>
      </c>
      <c r="L5307">
        <f>IF(AND($J5307=0,$K5307=0),0,1)</f>
        <v>0</v>
      </c>
      <c r="M5307" t="s">
        <v>85</v>
      </c>
    </row>
    <row r="5308" spans="1:13" x14ac:dyDescent="0.2">
      <c r="A5308" t="s">
        <v>242</v>
      </c>
      <c r="B5308" t="s">
        <v>71</v>
      </c>
      <c r="C5308" t="s">
        <v>72</v>
      </c>
      <c r="D5308">
        <v>6998</v>
      </c>
      <c r="E5308">
        <v>2021</v>
      </c>
      <c r="F5308" t="s">
        <v>954</v>
      </c>
      <c r="G5308">
        <v>16115</v>
      </c>
      <c r="H5308" s="1">
        <v>3</v>
      </c>
      <c r="I5308">
        <v>8</v>
      </c>
      <c r="J5308">
        <f>IF($H5308=0,1,IF($I5308&lt;=1,2,0))</f>
        <v>0</v>
      </c>
      <c r="K5308">
        <v>0</v>
      </c>
      <c r="L5308">
        <f>IF(AND($J5308=0,$K5308=0),0,1)</f>
        <v>0</v>
      </c>
      <c r="M5308" t="s">
        <v>85</v>
      </c>
    </row>
    <row r="5309" spans="1:13" x14ac:dyDescent="0.2">
      <c r="A5309" t="s">
        <v>255</v>
      </c>
      <c r="B5309" t="s">
        <v>17</v>
      </c>
      <c r="C5309" t="s">
        <v>9</v>
      </c>
      <c r="D5309">
        <v>3333</v>
      </c>
      <c r="E5309">
        <v>2021</v>
      </c>
      <c r="F5309">
        <v>1</v>
      </c>
      <c r="G5309">
        <v>12131</v>
      </c>
      <c r="H5309" s="1">
        <v>4</v>
      </c>
      <c r="I5309">
        <v>19</v>
      </c>
      <c r="J5309">
        <f>IF($H5309=0,1,IF($I5309&lt;=1,2,0))</f>
        <v>0</v>
      </c>
      <c r="K5309">
        <v>0</v>
      </c>
      <c r="L5309">
        <f>IF(AND($J5309=0,$K5309=0),0,1)</f>
        <v>0</v>
      </c>
      <c r="M5309" t="s">
        <v>1464</v>
      </c>
    </row>
    <row r="5310" spans="1:13" x14ac:dyDescent="0.2">
      <c r="A5310" t="s">
        <v>255</v>
      </c>
      <c r="B5310" t="s">
        <v>17</v>
      </c>
      <c r="C5310" t="s">
        <v>9</v>
      </c>
      <c r="D5310">
        <v>3980</v>
      </c>
      <c r="E5310">
        <v>2021</v>
      </c>
      <c r="F5310">
        <v>1</v>
      </c>
      <c r="G5310">
        <v>17600</v>
      </c>
      <c r="H5310" s="1">
        <v>3</v>
      </c>
      <c r="I5310">
        <v>4</v>
      </c>
      <c r="J5310">
        <f>IF($H5310=0,1,IF($I5310&lt;=1,2,0))</f>
        <v>0</v>
      </c>
      <c r="K5310">
        <v>0</v>
      </c>
      <c r="L5310">
        <f>IF(AND($J5310=0,$K5310=0),0,1)</f>
        <v>0</v>
      </c>
      <c r="M5310" t="s">
        <v>1465</v>
      </c>
    </row>
    <row r="5311" spans="1:13" x14ac:dyDescent="0.2">
      <c r="A5311" t="s">
        <v>255</v>
      </c>
      <c r="B5311" t="s">
        <v>17</v>
      </c>
      <c r="C5311" t="s">
        <v>21</v>
      </c>
      <c r="D5311">
        <v>3991</v>
      </c>
      <c r="E5311">
        <v>2021</v>
      </c>
      <c r="F5311">
        <v>1</v>
      </c>
      <c r="G5311">
        <v>10639</v>
      </c>
      <c r="H5311" s="1">
        <v>3</v>
      </c>
      <c r="I5311">
        <v>23</v>
      </c>
      <c r="J5311">
        <f>IF($H5311=0,1,IF($I5311&lt;=1,2,0))</f>
        <v>0</v>
      </c>
      <c r="K5311">
        <v>0</v>
      </c>
      <c r="L5311">
        <f>IF(AND($J5311=0,$K5311=0),0,1)</f>
        <v>0</v>
      </c>
      <c r="M5311" t="s">
        <v>1466</v>
      </c>
    </row>
    <row r="5312" spans="1:13" x14ac:dyDescent="0.2">
      <c r="A5312" t="s">
        <v>255</v>
      </c>
      <c r="B5312" t="s">
        <v>17</v>
      </c>
      <c r="C5312" t="s">
        <v>21</v>
      </c>
      <c r="D5312">
        <v>3995</v>
      </c>
      <c r="E5312">
        <v>2021</v>
      </c>
      <c r="F5312">
        <v>1</v>
      </c>
      <c r="G5312">
        <v>13908</v>
      </c>
      <c r="H5312" s="1">
        <v>1</v>
      </c>
      <c r="I5312">
        <v>17</v>
      </c>
      <c r="J5312">
        <f>IF($H5312=0,1,IF($I5312&lt;=1,2,0))</f>
        <v>0</v>
      </c>
      <c r="K5312">
        <v>0</v>
      </c>
      <c r="L5312">
        <f>IF(AND($J5312=0,$K5312=0),0,1)</f>
        <v>0</v>
      </c>
      <c r="M5312" t="s">
        <v>1467</v>
      </c>
    </row>
    <row r="5313" spans="1:13" x14ac:dyDescent="0.2">
      <c r="A5313" t="s">
        <v>255</v>
      </c>
      <c r="B5313" t="s">
        <v>17</v>
      </c>
      <c r="C5313" t="s">
        <v>9</v>
      </c>
      <c r="D5313">
        <v>4095</v>
      </c>
      <c r="E5313">
        <v>2021</v>
      </c>
      <c r="F5313">
        <v>1</v>
      </c>
      <c r="G5313">
        <v>16174</v>
      </c>
      <c r="H5313" s="1">
        <v>4</v>
      </c>
      <c r="I5313">
        <v>8</v>
      </c>
      <c r="J5313">
        <f>IF($H5313=0,1,IF($I5313&lt;=1,2,0))</f>
        <v>0</v>
      </c>
      <c r="K5313">
        <v>0</v>
      </c>
      <c r="L5313">
        <f>IF(AND($J5313=0,$K5313=0),0,1)</f>
        <v>0</v>
      </c>
      <c r="M5313" t="s">
        <v>2052</v>
      </c>
    </row>
    <row r="5314" spans="1:13" x14ac:dyDescent="0.2">
      <c r="A5314" t="s">
        <v>255</v>
      </c>
      <c r="B5314" t="s">
        <v>17</v>
      </c>
      <c r="C5314" t="s">
        <v>11</v>
      </c>
      <c r="D5314">
        <v>4152</v>
      </c>
      <c r="E5314">
        <v>2021</v>
      </c>
      <c r="F5314">
        <v>1</v>
      </c>
      <c r="G5314">
        <v>10097</v>
      </c>
      <c r="H5314" s="1">
        <v>4</v>
      </c>
      <c r="I5314">
        <v>7</v>
      </c>
      <c r="J5314">
        <f>IF($H5314=0,1,IF($I5314&lt;=1,2,0))</f>
        <v>0</v>
      </c>
      <c r="K5314">
        <v>0</v>
      </c>
      <c r="L5314">
        <f>IF(AND($J5314=0,$K5314=0),0,1)</f>
        <v>0</v>
      </c>
    </row>
    <row r="5315" spans="1:13" x14ac:dyDescent="0.2">
      <c r="A5315" t="s">
        <v>255</v>
      </c>
      <c r="B5315" t="s">
        <v>17</v>
      </c>
      <c r="C5315" t="s">
        <v>11</v>
      </c>
      <c r="D5315">
        <v>6333</v>
      </c>
      <c r="E5315">
        <v>2021</v>
      </c>
      <c r="F5315">
        <v>1</v>
      </c>
      <c r="G5315">
        <v>14052</v>
      </c>
      <c r="H5315" s="1">
        <v>3</v>
      </c>
      <c r="I5315">
        <v>4</v>
      </c>
      <c r="J5315">
        <f>IF($H5315=0,1,IF($I5315&lt;=1,2,0))</f>
        <v>0</v>
      </c>
      <c r="K5315">
        <v>0</v>
      </c>
      <c r="L5315">
        <f>IF(AND($J5315=0,$K5315=0),0,1)</f>
        <v>0</v>
      </c>
      <c r="M5315" t="s">
        <v>1468</v>
      </c>
    </row>
    <row r="5316" spans="1:13" x14ac:dyDescent="0.2">
      <c r="A5316" t="s">
        <v>261</v>
      </c>
      <c r="B5316" t="s">
        <v>71</v>
      </c>
      <c r="C5316" t="s">
        <v>9</v>
      </c>
      <c r="D5316">
        <v>3827</v>
      </c>
      <c r="E5316">
        <v>2021</v>
      </c>
      <c r="F5316">
        <v>2</v>
      </c>
      <c r="G5316">
        <v>12487</v>
      </c>
      <c r="H5316" s="1">
        <v>3</v>
      </c>
      <c r="I5316">
        <v>145</v>
      </c>
      <c r="J5316">
        <f>IF($H5316=0,1,IF($I5316&lt;=1,2,0))</f>
        <v>0</v>
      </c>
      <c r="K5316">
        <v>0</v>
      </c>
      <c r="L5316">
        <f>IF(AND($J5316=0,$K5316=0),0,1)</f>
        <v>0</v>
      </c>
    </row>
    <row r="5317" spans="1:13" x14ac:dyDescent="0.2">
      <c r="A5317" t="s">
        <v>261</v>
      </c>
      <c r="B5317" t="s">
        <v>71</v>
      </c>
      <c r="C5317" t="s">
        <v>9</v>
      </c>
      <c r="D5317">
        <v>3827</v>
      </c>
      <c r="E5317">
        <v>2021</v>
      </c>
      <c r="F5317">
        <v>1</v>
      </c>
      <c r="G5317">
        <v>12486</v>
      </c>
      <c r="H5317" s="1">
        <v>3</v>
      </c>
      <c r="I5317">
        <v>134</v>
      </c>
      <c r="J5317">
        <f>IF($H5317=0,1,IF($I5317&lt;=1,2,0))</f>
        <v>0</v>
      </c>
      <c r="K5317">
        <v>0</v>
      </c>
      <c r="L5317">
        <f>IF(AND($J5317=0,$K5317=0),0,1)</f>
        <v>0</v>
      </c>
    </row>
    <row r="5318" spans="1:13" x14ac:dyDescent="0.2">
      <c r="A5318" t="s">
        <v>261</v>
      </c>
      <c r="B5318" t="s">
        <v>71</v>
      </c>
      <c r="C5318" t="s">
        <v>9</v>
      </c>
      <c r="D5318">
        <v>4119</v>
      </c>
      <c r="E5318">
        <v>2021</v>
      </c>
      <c r="F5318">
        <v>3</v>
      </c>
      <c r="G5318">
        <v>15019</v>
      </c>
      <c r="H5318" s="1">
        <v>3</v>
      </c>
      <c r="I5318">
        <v>161</v>
      </c>
      <c r="J5318">
        <f>IF($H5318=0,1,IF($I5318&lt;=1,2,0))</f>
        <v>0</v>
      </c>
      <c r="K5318">
        <v>0</v>
      </c>
      <c r="L5318">
        <f>IF(AND($J5318=0,$K5318=0),0,1)</f>
        <v>0</v>
      </c>
    </row>
    <row r="5319" spans="1:13" x14ac:dyDescent="0.2">
      <c r="A5319" t="s">
        <v>261</v>
      </c>
      <c r="B5319" t="s">
        <v>71</v>
      </c>
      <c r="C5319" t="s">
        <v>9</v>
      </c>
      <c r="D5319">
        <v>4823</v>
      </c>
      <c r="E5319">
        <v>2021</v>
      </c>
      <c r="F5319">
        <v>1</v>
      </c>
      <c r="G5319">
        <v>12057</v>
      </c>
      <c r="H5319" s="1">
        <v>3</v>
      </c>
      <c r="I5319">
        <v>82</v>
      </c>
      <c r="J5319">
        <f>IF($H5319=0,1,IF($I5319&lt;=1,2,0))</f>
        <v>0</v>
      </c>
      <c r="K5319">
        <v>0</v>
      </c>
      <c r="L5319">
        <f>IF(AND($J5319=0,$K5319=0),0,1)</f>
        <v>0</v>
      </c>
    </row>
    <row r="5320" spans="1:13" x14ac:dyDescent="0.2">
      <c r="A5320" t="s">
        <v>261</v>
      </c>
      <c r="B5320" t="s">
        <v>71</v>
      </c>
      <c r="C5320" t="s">
        <v>9</v>
      </c>
      <c r="D5320">
        <v>4823</v>
      </c>
      <c r="E5320">
        <v>2021</v>
      </c>
      <c r="F5320" t="s">
        <v>84</v>
      </c>
      <c r="G5320">
        <v>16423</v>
      </c>
      <c r="H5320" s="1">
        <v>3</v>
      </c>
      <c r="I5320">
        <v>4</v>
      </c>
      <c r="J5320">
        <f>IF($H5320=0,1,IF($I5320&lt;=1,2,0))</f>
        <v>0</v>
      </c>
      <c r="K5320">
        <v>0</v>
      </c>
      <c r="L5320">
        <f>IF(AND($J5320=0,$K5320=0),0,1)</f>
        <v>0</v>
      </c>
      <c r="M5320" t="s">
        <v>85</v>
      </c>
    </row>
    <row r="5321" spans="1:13" x14ac:dyDescent="0.2">
      <c r="A5321" t="s">
        <v>261</v>
      </c>
      <c r="B5321" t="s">
        <v>71</v>
      </c>
      <c r="C5321" t="s">
        <v>9</v>
      </c>
      <c r="D5321">
        <v>4824</v>
      </c>
      <c r="E5321">
        <v>2021</v>
      </c>
      <c r="F5321">
        <v>1</v>
      </c>
      <c r="G5321">
        <v>12488</v>
      </c>
      <c r="H5321" s="1">
        <v>3</v>
      </c>
      <c r="I5321">
        <v>45</v>
      </c>
      <c r="J5321">
        <f>IF($H5321=0,1,IF($I5321&lt;=1,2,0))</f>
        <v>0</v>
      </c>
      <c r="K5321">
        <v>0</v>
      </c>
      <c r="L5321">
        <f>IF(AND($J5321=0,$K5321=0),0,1)</f>
        <v>0</v>
      </c>
    </row>
    <row r="5322" spans="1:13" x14ac:dyDescent="0.2">
      <c r="A5322" t="s">
        <v>261</v>
      </c>
      <c r="B5322" t="s">
        <v>71</v>
      </c>
      <c r="C5322" t="s">
        <v>9</v>
      </c>
      <c r="D5322">
        <v>4824</v>
      </c>
      <c r="E5322">
        <v>2021</v>
      </c>
      <c r="F5322" t="s">
        <v>251</v>
      </c>
      <c r="G5322">
        <v>20431</v>
      </c>
      <c r="H5322" s="1">
        <v>3</v>
      </c>
      <c r="I5322">
        <v>5</v>
      </c>
      <c r="J5322">
        <f>IF($H5322=0,1,IF($I5322&lt;=1,2,0))</f>
        <v>0</v>
      </c>
      <c r="K5322">
        <v>0</v>
      </c>
      <c r="L5322">
        <f>IF(AND($J5322=0,$K5322=0),0,1)</f>
        <v>0</v>
      </c>
    </row>
    <row r="5323" spans="1:13" x14ac:dyDescent="0.2">
      <c r="A5323" t="s">
        <v>261</v>
      </c>
      <c r="B5323" t="s">
        <v>71</v>
      </c>
      <c r="C5323" t="s">
        <v>9</v>
      </c>
      <c r="D5323">
        <v>4868</v>
      </c>
      <c r="E5323">
        <v>2021</v>
      </c>
      <c r="F5323">
        <v>1</v>
      </c>
      <c r="G5323">
        <v>12489</v>
      </c>
      <c r="H5323" s="1">
        <v>3</v>
      </c>
      <c r="I5323">
        <v>62</v>
      </c>
      <c r="J5323">
        <f>IF($H5323=0,1,IF($I5323&lt;=1,2,0))</f>
        <v>0</v>
      </c>
      <c r="K5323">
        <v>0</v>
      </c>
      <c r="L5323">
        <f>IF(AND($J5323=0,$K5323=0),0,1)</f>
        <v>0</v>
      </c>
    </row>
    <row r="5324" spans="1:13" x14ac:dyDescent="0.2">
      <c r="A5324" t="s">
        <v>261</v>
      </c>
      <c r="B5324" t="s">
        <v>71</v>
      </c>
      <c r="C5324" t="s">
        <v>72</v>
      </c>
      <c r="D5324">
        <v>6863</v>
      </c>
      <c r="E5324">
        <v>2021</v>
      </c>
      <c r="F5324">
        <v>1</v>
      </c>
      <c r="G5324">
        <v>14030</v>
      </c>
      <c r="H5324" s="1">
        <v>3</v>
      </c>
      <c r="I5324">
        <v>49</v>
      </c>
      <c r="J5324">
        <f>IF($H5324=0,1,IF($I5324&lt;=1,2,0))</f>
        <v>0</v>
      </c>
      <c r="K5324">
        <v>0</v>
      </c>
      <c r="L5324">
        <f>IF(AND($J5324=0,$K5324=0),0,1)</f>
        <v>0</v>
      </c>
    </row>
    <row r="5325" spans="1:13" x14ac:dyDescent="0.2">
      <c r="A5325" t="s">
        <v>262</v>
      </c>
      <c r="B5325" t="s">
        <v>6</v>
      </c>
      <c r="C5325" t="s">
        <v>9</v>
      </c>
      <c r="D5325">
        <v>1010</v>
      </c>
      <c r="E5325">
        <v>2021</v>
      </c>
      <c r="F5325">
        <v>1</v>
      </c>
      <c r="G5325">
        <v>18048</v>
      </c>
      <c r="H5325" s="1">
        <v>4</v>
      </c>
      <c r="I5325">
        <v>86</v>
      </c>
      <c r="J5325">
        <f>IF($H5325=0,1,IF($I5325&lt;=1,2,0))</f>
        <v>0</v>
      </c>
      <c r="K5325">
        <v>0</v>
      </c>
      <c r="L5325">
        <f>IF(AND($J5325=0,$K5325=0),0,1)</f>
        <v>0</v>
      </c>
      <c r="M5325" t="s">
        <v>963</v>
      </c>
    </row>
    <row r="5326" spans="1:13" x14ac:dyDescent="0.2">
      <c r="A5326" t="s">
        <v>262</v>
      </c>
      <c r="B5326" t="s">
        <v>6</v>
      </c>
      <c r="C5326" t="s">
        <v>9</v>
      </c>
      <c r="D5326">
        <v>1040</v>
      </c>
      <c r="E5326">
        <v>2021</v>
      </c>
      <c r="F5326">
        <v>1</v>
      </c>
      <c r="G5326">
        <v>16087</v>
      </c>
      <c r="H5326" s="1">
        <v>3</v>
      </c>
      <c r="I5326">
        <v>20</v>
      </c>
      <c r="J5326">
        <f>IF($H5326=0,1,IF($I5326&lt;=1,2,0))</f>
        <v>0</v>
      </c>
      <c r="K5326">
        <v>0</v>
      </c>
      <c r="L5326">
        <f>IF(AND($J5326=0,$K5326=0),0,1)</f>
        <v>0</v>
      </c>
    </row>
    <row r="5327" spans="1:13" x14ac:dyDescent="0.2">
      <c r="A5327" t="s">
        <v>262</v>
      </c>
      <c r="B5327" t="s">
        <v>6</v>
      </c>
      <c r="C5327" t="s">
        <v>9</v>
      </c>
      <c r="D5327">
        <v>3490</v>
      </c>
      <c r="E5327">
        <v>2021</v>
      </c>
      <c r="F5327">
        <v>1</v>
      </c>
      <c r="G5327">
        <v>10224</v>
      </c>
      <c r="H5327" s="1">
        <v>4</v>
      </c>
      <c r="I5327">
        <v>19</v>
      </c>
      <c r="J5327">
        <f>IF($H5327=0,1,IF($I5327&lt;=1,2,0))</f>
        <v>0</v>
      </c>
      <c r="K5327">
        <v>0</v>
      </c>
      <c r="L5327">
        <f>IF(AND($J5327=0,$K5327=0),0,1)</f>
        <v>0</v>
      </c>
    </row>
    <row r="5328" spans="1:13" x14ac:dyDescent="0.2">
      <c r="A5328" t="s">
        <v>262</v>
      </c>
      <c r="B5328" t="s">
        <v>6</v>
      </c>
      <c r="C5328" t="s">
        <v>9</v>
      </c>
      <c r="D5328">
        <v>3919</v>
      </c>
      <c r="E5328">
        <v>2021</v>
      </c>
      <c r="F5328">
        <v>1</v>
      </c>
      <c r="G5328">
        <v>10226</v>
      </c>
      <c r="H5328" s="1">
        <v>4</v>
      </c>
      <c r="I5328">
        <v>13</v>
      </c>
      <c r="J5328">
        <f>IF($H5328=0,1,IF($I5328&lt;=1,2,0))</f>
        <v>0</v>
      </c>
      <c r="K5328">
        <v>0</v>
      </c>
      <c r="L5328">
        <f>IF(AND($J5328=0,$K5328=0),0,1)</f>
        <v>0</v>
      </c>
      <c r="M5328" t="s">
        <v>1470</v>
      </c>
    </row>
    <row r="5329" spans="1:13" x14ac:dyDescent="0.2">
      <c r="A5329" t="s">
        <v>262</v>
      </c>
      <c r="B5329" t="s">
        <v>6</v>
      </c>
      <c r="C5329" t="s">
        <v>9</v>
      </c>
      <c r="D5329">
        <v>3922</v>
      </c>
      <c r="E5329">
        <v>2021</v>
      </c>
      <c r="F5329">
        <v>1</v>
      </c>
      <c r="G5329">
        <v>10225</v>
      </c>
      <c r="H5329" s="1">
        <v>4</v>
      </c>
      <c r="I5329">
        <v>22</v>
      </c>
      <c r="J5329">
        <f>IF($H5329=0,1,IF($I5329&lt;=1,2,0))</f>
        <v>0</v>
      </c>
      <c r="K5329">
        <v>0</v>
      </c>
      <c r="L5329">
        <f>IF(AND($J5329=0,$K5329=0),0,1)</f>
        <v>0</v>
      </c>
    </row>
    <row r="5330" spans="1:13" x14ac:dyDescent="0.2">
      <c r="A5330" t="s">
        <v>262</v>
      </c>
      <c r="B5330" t="s">
        <v>6</v>
      </c>
      <c r="C5330" t="s">
        <v>9</v>
      </c>
      <c r="D5330">
        <v>3926</v>
      </c>
      <c r="E5330">
        <v>2021</v>
      </c>
      <c r="F5330">
        <v>1</v>
      </c>
      <c r="G5330">
        <v>10223</v>
      </c>
      <c r="H5330" s="1">
        <v>4</v>
      </c>
      <c r="I5330">
        <v>18</v>
      </c>
      <c r="J5330">
        <f>IF($H5330=0,1,IF($I5330&lt;=1,2,0))</f>
        <v>0</v>
      </c>
      <c r="K5330">
        <v>0</v>
      </c>
      <c r="L5330">
        <f>IF(AND($J5330=0,$K5330=0),0,1)</f>
        <v>0</v>
      </c>
    </row>
    <row r="5331" spans="1:13" x14ac:dyDescent="0.2">
      <c r="A5331" t="s">
        <v>262</v>
      </c>
      <c r="B5331" t="s">
        <v>6</v>
      </c>
      <c r="C5331" t="s">
        <v>9</v>
      </c>
      <c r="D5331">
        <v>3928</v>
      </c>
      <c r="E5331">
        <v>2021</v>
      </c>
      <c r="F5331">
        <v>1</v>
      </c>
      <c r="G5331">
        <v>10222</v>
      </c>
      <c r="H5331" s="1">
        <v>4</v>
      </c>
      <c r="I5331">
        <v>22</v>
      </c>
      <c r="J5331">
        <f>IF($H5331=0,1,IF($I5331&lt;=1,2,0))</f>
        <v>0</v>
      </c>
      <c r="K5331">
        <v>0</v>
      </c>
      <c r="L5331">
        <f>IF(AND($J5331=0,$K5331=0),0,1)</f>
        <v>0</v>
      </c>
    </row>
    <row r="5332" spans="1:13" x14ac:dyDescent="0.2">
      <c r="A5332" t="s">
        <v>262</v>
      </c>
      <c r="B5332" t="s">
        <v>6</v>
      </c>
      <c r="C5332" t="s">
        <v>9</v>
      </c>
      <c r="D5332">
        <v>3928</v>
      </c>
      <c r="E5332">
        <v>2021</v>
      </c>
      <c r="F5332">
        <v>2</v>
      </c>
      <c r="G5332">
        <v>10228</v>
      </c>
      <c r="H5332" s="1">
        <v>4</v>
      </c>
      <c r="I5332">
        <v>19</v>
      </c>
      <c r="J5332">
        <f>IF($H5332=0,1,IF($I5332&lt;=1,2,0))</f>
        <v>0</v>
      </c>
      <c r="K5332">
        <v>0</v>
      </c>
      <c r="L5332">
        <f>IF(AND($J5332=0,$K5332=0),0,1)</f>
        <v>0</v>
      </c>
      <c r="M5332" t="s">
        <v>1471</v>
      </c>
    </row>
    <row r="5333" spans="1:13" x14ac:dyDescent="0.2">
      <c r="A5333" t="s">
        <v>262</v>
      </c>
      <c r="B5333" t="s">
        <v>6</v>
      </c>
      <c r="C5333" t="s">
        <v>9</v>
      </c>
      <c r="D5333">
        <v>3942</v>
      </c>
      <c r="E5333">
        <v>2021</v>
      </c>
      <c r="F5333">
        <v>1</v>
      </c>
      <c r="G5333">
        <v>15691</v>
      </c>
      <c r="H5333" s="1">
        <v>4</v>
      </c>
      <c r="I5333">
        <v>10</v>
      </c>
      <c r="J5333">
        <f>IF($H5333=0,1,IF($I5333&lt;=1,2,0))</f>
        <v>0</v>
      </c>
      <c r="K5333">
        <v>0</v>
      </c>
      <c r="L5333">
        <f>IF(AND($J5333=0,$K5333=0),0,1)</f>
        <v>0</v>
      </c>
      <c r="M5333" t="s">
        <v>2053</v>
      </c>
    </row>
    <row r="5334" spans="1:13" x14ac:dyDescent="0.2">
      <c r="A5334" t="s">
        <v>262</v>
      </c>
      <c r="B5334" t="s">
        <v>6</v>
      </c>
      <c r="C5334" t="s">
        <v>9</v>
      </c>
      <c r="D5334">
        <v>3947</v>
      </c>
      <c r="E5334">
        <v>2021</v>
      </c>
      <c r="F5334">
        <v>1</v>
      </c>
      <c r="G5334">
        <v>18417</v>
      </c>
      <c r="H5334" s="1">
        <v>4</v>
      </c>
      <c r="I5334">
        <v>13</v>
      </c>
      <c r="J5334">
        <f>IF($H5334=0,1,IF($I5334&lt;=1,2,0))</f>
        <v>0</v>
      </c>
      <c r="K5334">
        <v>0</v>
      </c>
      <c r="L5334">
        <f>IF(AND($J5334=0,$K5334=0),0,1)</f>
        <v>0</v>
      </c>
    </row>
    <row r="5335" spans="1:13" x14ac:dyDescent="0.2">
      <c r="A5335" t="s">
        <v>262</v>
      </c>
      <c r="B5335" t="s">
        <v>6</v>
      </c>
      <c r="C5335" t="s">
        <v>9</v>
      </c>
      <c r="D5335">
        <v>3964</v>
      </c>
      <c r="E5335">
        <v>2021</v>
      </c>
      <c r="F5335">
        <v>1</v>
      </c>
      <c r="G5335">
        <v>10430</v>
      </c>
      <c r="H5335" s="1">
        <v>4</v>
      </c>
      <c r="I5335">
        <v>16</v>
      </c>
      <c r="J5335">
        <f>IF($H5335=0,1,IF($I5335&lt;=1,2,0))</f>
        <v>0</v>
      </c>
      <c r="K5335">
        <v>0</v>
      </c>
      <c r="L5335">
        <f>IF(AND($J5335=0,$K5335=0),0,1)</f>
        <v>0</v>
      </c>
      <c r="M5335" t="s">
        <v>962</v>
      </c>
    </row>
    <row r="5336" spans="1:13" x14ac:dyDescent="0.2">
      <c r="A5336" t="s">
        <v>262</v>
      </c>
      <c r="B5336" t="s">
        <v>6</v>
      </c>
      <c r="C5336" t="s">
        <v>9</v>
      </c>
      <c r="D5336">
        <v>3965</v>
      </c>
      <c r="E5336">
        <v>2021</v>
      </c>
      <c r="F5336">
        <v>1</v>
      </c>
      <c r="G5336">
        <v>18418</v>
      </c>
      <c r="H5336" s="1">
        <v>4</v>
      </c>
      <c r="I5336">
        <v>13</v>
      </c>
      <c r="J5336">
        <f>IF($H5336=0,1,IF($I5336&lt;=1,2,0))</f>
        <v>0</v>
      </c>
      <c r="K5336">
        <v>0</v>
      </c>
      <c r="L5336">
        <f>IF(AND($J5336=0,$K5336=0),0,1)</f>
        <v>0</v>
      </c>
    </row>
    <row r="5337" spans="1:13" x14ac:dyDescent="0.2">
      <c r="A5337" t="s">
        <v>262</v>
      </c>
      <c r="B5337" t="s">
        <v>6</v>
      </c>
      <c r="C5337" t="s">
        <v>9</v>
      </c>
      <c r="D5337">
        <v>3999</v>
      </c>
      <c r="E5337">
        <v>2021</v>
      </c>
      <c r="F5337">
        <v>1</v>
      </c>
      <c r="G5337">
        <v>18419</v>
      </c>
      <c r="H5337" s="1">
        <v>4</v>
      </c>
      <c r="I5337">
        <v>14</v>
      </c>
      <c r="J5337">
        <f>IF($H5337=0,1,IF($I5337&lt;=1,2,0))</f>
        <v>0</v>
      </c>
      <c r="K5337">
        <v>0</v>
      </c>
      <c r="L5337">
        <f>IF(AND($J5337=0,$K5337=0),0,1)</f>
        <v>0</v>
      </c>
    </row>
    <row r="5338" spans="1:13" x14ac:dyDescent="0.2">
      <c r="A5338" t="s">
        <v>262</v>
      </c>
      <c r="B5338" t="s">
        <v>6</v>
      </c>
      <c r="C5338" t="s">
        <v>9</v>
      </c>
      <c r="D5338">
        <v>4002</v>
      </c>
      <c r="E5338">
        <v>2021</v>
      </c>
      <c r="F5338">
        <v>1</v>
      </c>
      <c r="G5338">
        <v>18545</v>
      </c>
      <c r="H5338" s="1">
        <v>4</v>
      </c>
      <c r="I5338">
        <v>12</v>
      </c>
      <c r="J5338">
        <f>IF($H5338=0,1,IF($I5338&lt;=1,2,0))</f>
        <v>0</v>
      </c>
      <c r="K5338">
        <v>0</v>
      </c>
      <c r="L5338">
        <f>IF(AND($J5338=0,$K5338=0),0,1)</f>
        <v>0</v>
      </c>
      <c r="M5338" t="s">
        <v>962</v>
      </c>
    </row>
    <row r="5339" spans="1:13" x14ac:dyDescent="0.2">
      <c r="A5339" t="s">
        <v>262</v>
      </c>
      <c r="B5339" t="s">
        <v>6</v>
      </c>
      <c r="C5339" t="s">
        <v>9</v>
      </c>
      <c r="D5339">
        <v>4360</v>
      </c>
      <c r="E5339">
        <v>2021</v>
      </c>
      <c r="F5339">
        <v>1</v>
      </c>
      <c r="G5339">
        <v>10227</v>
      </c>
      <c r="H5339" s="1">
        <v>4</v>
      </c>
      <c r="I5339">
        <v>14</v>
      </c>
      <c r="J5339">
        <f>IF($H5339=0,1,IF($I5339&lt;=1,2,0))</f>
        <v>0</v>
      </c>
      <c r="K5339">
        <v>0</v>
      </c>
      <c r="L5339">
        <f>IF(AND($J5339=0,$K5339=0),0,1)</f>
        <v>0</v>
      </c>
      <c r="M5339" t="s">
        <v>1471</v>
      </c>
    </row>
    <row r="5340" spans="1:13" x14ac:dyDescent="0.2">
      <c r="A5340" t="s">
        <v>1473</v>
      </c>
      <c r="B5340" t="s">
        <v>17</v>
      </c>
      <c r="C5340" t="s">
        <v>21</v>
      </c>
      <c r="D5340">
        <v>3567</v>
      </c>
      <c r="E5340">
        <v>2021</v>
      </c>
      <c r="F5340">
        <v>1</v>
      </c>
      <c r="G5340">
        <v>10694</v>
      </c>
      <c r="H5340" s="1">
        <v>3</v>
      </c>
      <c r="I5340">
        <v>14</v>
      </c>
      <c r="J5340">
        <f>IF($H5340=0,1,IF($I5340&lt;=1,2,0))</f>
        <v>0</v>
      </c>
      <c r="K5340">
        <v>0</v>
      </c>
      <c r="L5340">
        <f>IF(AND($J5340=0,$K5340=0),0,1)</f>
        <v>0</v>
      </c>
    </row>
    <row r="5341" spans="1:13" x14ac:dyDescent="0.2">
      <c r="A5341" t="s">
        <v>265</v>
      </c>
      <c r="B5341" t="s">
        <v>71</v>
      </c>
      <c r="C5341" t="s">
        <v>9</v>
      </c>
      <c r="D5341">
        <v>4231</v>
      </c>
      <c r="E5341">
        <v>2021</v>
      </c>
      <c r="F5341">
        <v>2</v>
      </c>
      <c r="G5341">
        <v>13394</v>
      </c>
      <c r="H5341" s="1">
        <v>3</v>
      </c>
      <c r="I5341">
        <v>111</v>
      </c>
      <c r="J5341">
        <f>IF($H5341=0,1,IF($I5341&lt;=1,2,0))</f>
        <v>0</v>
      </c>
      <c r="K5341">
        <v>0</v>
      </c>
      <c r="L5341">
        <f>IF(AND($J5341=0,$K5341=0),0,1)</f>
        <v>0</v>
      </c>
    </row>
    <row r="5342" spans="1:13" x14ac:dyDescent="0.2">
      <c r="A5342" t="s">
        <v>265</v>
      </c>
      <c r="B5342" t="s">
        <v>71</v>
      </c>
      <c r="C5342" t="s">
        <v>9</v>
      </c>
      <c r="D5342">
        <v>4231</v>
      </c>
      <c r="E5342">
        <v>2021</v>
      </c>
      <c r="F5342">
        <v>1</v>
      </c>
      <c r="G5342">
        <v>13346</v>
      </c>
      <c r="H5342" s="1">
        <v>3</v>
      </c>
      <c r="I5342">
        <v>108</v>
      </c>
      <c r="J5342">
        <f>IF($H5342=0,1,IF($I5342&lt;=1,2,0))</f>
        <v>0</v>
      </c>
      <c r="K5342">
        <v>0</v>
      </c>
      <c r="L5342">
        <f>IF(AND($J5342=0,$K5342=0),0,1)</f>
        <v>0</v>
      </c>
    </row>
    <row r="5343" spans="1:13" x14ac:dyDescent="0.2">
      <c r="A5343" t="s">
        <v>265</v>
      </c>
      <c r="B5343" t="s">
        <v>71</v>
      </c>
      <c r="C5343" t="s">
        <v>9</v>
      </c>
      <c r="D5343">
        <v>4231</v>
      </c>
      <c r="E5343">
        <v>2021</v>
      </c>
      <c r="F5343" t="s">
        <v>251</v>
      </c>
      <c r="G5343">
        <v>20216</v>
      </c>
      <c r="H5343" s="1">
        <v>3</v>
      </c>
      <c r="I5343">
        <v>48</v>
      </c>
      <c r="J5343">
        <f>IF($H5343=0,1,IF($I5343&lt;=1,2,0))</f>
        <v>0</v>
      </c>
      <c r="K5343">
        <v>0</v>
      </c>
      <c r="L5343">
        <f>IF(AND($J5343=0,$K5343=0),0,1)</f>
        <v>0</v>
      </c>
    </row>
    <row r="5344" spans="1:13" x14ac:dyDescent="0.2">
      <c r="A5344" t="s">
        <v>265</v>
      </c>
      <c r="B5344" t="s">
        <v>71</v>
      </c>
      <c r="C5344" t="s">
        <v>9</v>
      </c>
      <c r="D5344">
        <v>4231</v>
      </c>
      <c r="E5344">
        <v>2021</v>
      </c>
      <c r="F5344" t="s">
        <v>84</v>
      </c>
      <c r="G5344">
        <v>16127</v>
      </c>
      <c r="H5344" s="1">
        <v>3</v>
      </c>
      <c r="I5344">
        <v>15</v>
      </c>
      <c r="J5344">
        <f>IF($H5344=0,1,IF($I5344&lt;=1,2,0))</f>
        <v>0</v>
      </c>
      <c r="K5344">
        <v>0</v>
      </c>
      <c r="L5344">
        <f>IF(AND($J5344=0,$K5344=0),0,1)</f>
        <v>0</v>
      </c>
      <c r="M5344" t="s">
        <v>85</v>
      </c>
    </row>
    <row r="5345" spans="1:13" x14ac:dyDescent="0.2">
      <c r="A5345" t="s">
        <v>265</v>
      </c>
      <c r="B5345" t="s">
        <v>71</v>
      </c>
      <c r="C5345" t="s">
        <v>9</v>
      </c>
      <c r="D5345">
        <v>4246</v>
      </c>
      <c r="E5345">
        <v>2021</v>
      </c>
      <c r="F5345">
        <v>2</v>
      </c>
      <c r="G5345">
        <v>13928</v>
      </c>
      <c r="H5345" s="1">
        <v>3</v>
      </c>
      <c r="I5345">
        <v>156</v>
      </c>
      <c r="J5345">
        <f>IF($H5345=0,1,IF($I5345&lt;=1,2,0))</f>
        <v>0</v>
      </c>
      <c r="K5345">
        <v>0</v>
      </c>
      <c r="L5345">
        <f>IF(AND($J5345=0,$K5345=0),0,1)</f>
        <v>0</v>
      </c>
      <c r="M5345" t="s">
        <v>1474</v>
      </c>
    </row>
    <row r="5346" spans="1:13" x14ac:dyDescent="0.2">
      <c r="A5346" t="s">
        <v>265</v>
      </c>
      <c r="B5346" t="s">
        <v>71</v>
      </c>
      <c r="C5346" t="s">
        <v>9</v>
      </c>
      <c r="D5346">
        <v>4246</v>
      </c>
      <c r="E5346">
        <v>2021</v>
      </c>
      <c r="F5346">
        <v>1</v>
      </c>
      <c r="G5346">
        <v>13927</v>
      </c>
      <c r="H5346" s="1">
        <v>3</v>
      </c>
      <c r="I5346">
        <v>132</v>
      </c>
      <c r="J5346">
        <f>IF($H5346=0,1,IF($I5346&lt;=1,2,0))</f>
        <v>0</v>
      </c>
      <c r="K5346">
        <v>0</v>
      </c>
      <c r="L5346">
        <f>IF(AND($J5346=0,$K5346=0),0,1)</f>
        <v>0</v>
      </c>
      <c r="M5346" t="s">
        <v>1474</v>
      </c>
    </row>
    <row r="5347" spans="1:13" x14ac:dyDescent="0.2">
      <c r="A5347" t="s">
        <v>265</v>
      </c>
      <c r="B5347" t="s">
        <v>71</v>
      </c>
      <c r="C5347" t="s">
        <v>9</v>
      </c>
      <c r="D5347">
        <v>4246</v>
      </c>
      <c r="E5347">
        <v>2021</v>
      </c>
      <c r="F5347" t="s">
        <v>251</v>
      </c>
      <c r="G5347">
        <v>20469</v>
      </c>
      <c r="H5347" s="1">
        <v>3</v>
      </c>
      <c r="I5347">
        <v>59</v>
      </c>
      <c r="J5347">
        <f>IF($H5347=0,1,IF($I5347&lt;=1,2,0))</f>
        <v>0</v>
      </c>
      <c r="K5347">
        <v>0</v>
      </c>
      <c r="L5347">
        <f>IF(AND($J5347=0,$K5347=0),0,1)</f>
        <v>0</v>
      </c>
    </row>
    <row r="5348" spans="1:13" x14ac:dyDescent="0.2">
      <c r="A5348" t="s">
        <v>265</v>
      </c>
      <c r="B5348" t="s">
        <v>71</v>
      </c>
      <c r="C5348" t="s">
        <v>9</v>
      </c>
      <c r="D5348">
        <v>4246</v>
      </c>
      <c r="E5348">
        <v>2021</v>
      </c>
      <c r="F5348" t="s">
        <v>84</v>
      </c>
      <c r="G5348">
        <v>18686</v>
      </c>
      <c r="H5348" s="1">
        <v>3</v>
      </c>
      <c r="I5348">
        <v>14</v>
      </c>
      <c r="J5348">
        <f>IF($H5348=0,1,IF($I5348&lt;=1,2,0))</f>
        <v>0</v>
      </c>
      <c r="K5348">
        <v>0</v>
      </c>
      <c r="L5348">
        <f>IF(AND($J5348=0,$K5348=0),0,1)</f>
        <v>0</v>
      </c>
    </row>
    <row r="5349" spans="1:13" x14ac:dyDescent="0.2">
      <c r="A5349" t="s">
        <v>267</v>
      </c>
      <c r="B5349" t="s">
        <v>17</v>
      </c>
      <c r="C5349" t="s">
        <v>9</v>
      </c>
      <c r="D5349">
        <v>1101</v>
      </c>
      <c r="E5349">
        <v>2021</v>
      </c>
      <c r="F5349">
        <v>1</v>
      </c>
      <c r="G5349">
        <v>10145</v>
      </c>
      <c r="H5349" s="1">
        <v>4</v>
      </c>
      <c r="I5349">
        <v>3</v>
      </c>
      <c r="J5349">
        <f>IF($H5349=0,1,IF($I5349&lt;=1,2,0))</f>
        <v>0</v>
      </c>
      <c r="K5349">
        <v>0</v>
      </c>
      <c r="L5349">
        <f>IF(AND($J5349=0,$K5349=0),0,1)</f>
        <v>0</v>
      </c>
    </row>
    <row r="5350" spans="1:13" x14ac:dyDescent="0.2">
      <c r="A5350" t="s">
        <v>267</v>
      </c>
      <c r="B5350" t="s">
        <v>17</v>
      </c>
      <c r="C5350" t="s">
        <v>9</v>
      </c>
      <c r="D5350">
        <v>2101</v>
      </c>
      <c r="E5350">
        <v>2021</v>
      </c>
      <c r="F5350">
        <v>1</v>
      </c>
      <c r="G5350">
        <v>10146</v>
      </c>
      <c r="H5350" s="1">
        <v>4</v>
      </c>
      <c r="I5350">
        <v>2</v>
      </c>
      <c r="J5350">
        <f>IF($H5350=0,1,IF($I5350&lt;=1,2,0))</f>
        <v>0</v>
      </c>
      <c r="K5350">
        <v>0</v>
      </c>
      <c r="L5350">
        <f>IF(AND($J5350=0,$K5350=0),0,1)</f>
        <v>0</v>
      </c>
    </row>
    <row r="5351" spans="1:13" x14ac:dyDescent="0.2">
      <c r="A5351" t="s">
        <v>272</v>
      </c>
      <c r="B5351" t="s">
        <v>17</v>
      </c>
      <c r="C5351" t="s">
        <v>9</v>
      </c>
      <c r="D5351">
        <v>1101</v>
      </c>
      <c r="E5351">
        <v>2021</v>
      </c>
      <c r="F5351">
        <v>1</v>
      </c>
      <c r="G5351">
        <v>12751</v>
      </c>
      <c r="H5351" s="1">
        <v>4</v>
      </c>
      <c r="I5351">
        <v>21</v>
      </c>
      <c r="J5351">
        <f>IF($H5351=0,1,IF($I5351&lt;=1,2,0))</f>
        <v>0</v>
      </c>
      <c r="K5351">
        <v>0</v>
      </c>
      <c r="L5351">
        <f>IF(AND($J5351=0,$K5351=0),0,1)</f>
        <v>0</v>
      </c>
    </row>
    <row r="5352" spans="1:13" x14ac:dyDescent="0.2">
      <c r="A5352" t="s">
        <v>272</v>
      </c>
      <c r="B5352" t="s">
        <v>17</v>
      </c>
      <c r="C5352" t="s">
        <v>9</v>
      </c>
      <c r="D5352">
        <v>2101</v>
      </c>
      <c r="E5352">
        <v>2021</v>
      </c>
      <c r="F5352">
        <v>1</v>
      </c>
      <c r="G5352">
        <v>12752</v>
      </c>
      <c r="H5352" s="1">
        <v>4</v>
      </c>
      <c r="I5352">
        <v>18</v>
      </c>
      <c r="J5352">
        <f>IF($H5352=0,1,IF($I5352&lt;=1,2,0))</f>
        <v>0</v>
      </c>
      <c r="K5352">
        <v>0</v>
      </c>
      <c r="L5352">
        <f>IF(AND($J5352=0,$K5352=0),0,1)</f>
        <v>0</v>
      </c>
    </row>
    <row r="5353" spans="1:13" x14ac:dyDescent="0.2">
      <c r="A5353" t="s">
        <v>272</v>
      </c>
      <c r="B5353" t="s">
        <v>17</v>
      </c>
      <c r="C5353" t="s">
        <v>9</v>
      </c>
      <c r="D5353">
        <v>3101</v>
      </c>
      <c r="E5353">
        <v>2021</v>
      </c>
      <c r="F5353">
        <v>1</v>
      </c>
      <c r="G5353">
        <v>12753</v>
      </c>
      <c r="H5353" s="1">
        <v>3</v>
      </c>
      <c r="I5353">
        <v>6</v>
      </c>
      <c r="J5353">
        <f>IF($H5353=0,1,IF($I5353&lt;=1,2,0))</f>
        <v>0</v>
      </c>
      <c r="K5353">
        <v>0</v>
      </c>
      <c r="L5353">
        <f>IF(AND($J5353=0,$K5353=0),0,1)</f>
        <v>0</v>
      </c>
    </row>
    <row r="5354" spans="1:13" x14ac:dyDescent="0.2">
      <c r="A5354" t="s">
        <v>273</v>
      </c>
      <c r="B5354" t="s">
        <v>17</v>
      </c>
      <c r="C5354" t="s">
        <v>9</v>
      </c>
      <c r="D5354">
        <v>2342</v>
      </c>
      <c r="E5354">
        <v>2021</v>
      </c>
      <c r="F5354">
        <v>1</v>
      </c>
      <c r="G5354">
        <v>10910</v>
      </c>
      <c r="H5354" s="1">
        <v>4</v>
      </c>
      <c r="I5354">
        <v>22</v>
      </c>
      <c r="J5354">
        <f>IF($H5354=0,1,IF($I5354&lt;=1,2,0))</f>
        <v>0</v>
      </c>
      <c r="K5354">
        <v>0</v>
      </c>
      <c r="L5354">
        <f>IF(AND($J5354=0,$K5354=0),0,1)</f>
        <v>0</v>
      </c>
    </row>
    <row r="5355" spans="1:13" x14ac:dyDescent="0.2">
      <c r="A5355" t="s">
        <v>273</v>
      </c>
      <c r="B5355" t="s">
        <v>17</v>
      </c>
      <c r="C5355" t="s">
        <v>21</v>
      </c>
      <c r="D5355">
        <v>3215</v>
      </c>
      <c r="E5355">
        <v>2021</v>
      </c>
      <c r="F5355">
        <v>1</v>
      </c>
      <c r="G5355">
        <v>10911</v>
      </c>
      <c r="H5355" s="1">
        <v>3</v>
      </c>
      <c r="I5355">
        <v>20</v>
      </c>
      <c r="J5355">
        <f>IF($H5355=0,1,IF($I5355&lt;=1,2,0))</f>
        <v>0</v>
      </c>
      <c r="K5355">
        <v>0</v>
      </c>
      <c r="L5355">
        <f>IF(AND($J5355=0,$K5355=0),0,1)</f>
        <v>0</v>
      </c>
    </row>
    <row r="5356" spans="1:13" x14ac:dyDescent="0.2">
      <c r="A5356" t="s">
        <v>273</v>
      </c>
      <c r="B5356" t="s">
        <v>17</v>
      </c>
      <c r="C5356" t="s">
        <v>9</v>
      </c>
      <c r="D5356">
        <v>3435</v>
      </c>
      <c r="E5356">
        <v>2021</v>
      </c>
      <c r="F5356">
        <v>1</v>
      </c>
      <c r="G5356">
        <v>18520</v>
      </c>
      <c r="H5356" s="1">
        <v>4</v>
      </c>
      <c r="I5356">
        <v>7</v>
      </c>
      <c r="J5356">
        <f>IF($H5356=0,1,IF($I5356&lt;=1,2,0))</f>
        <v>0</v>
      </c>
      <c r="K5356">
        <v>0</v>
      </c>
      <c r="L5356">
        <f>IF(AND($J5356=0,$K5356=0),0,1)</f>
        <v>0</v>
      </c>
    </row>
    <row r="5357" spans="1:13" x14ac:dyDescent="0.2">
      <c r="A5357" t="s">
        <v>273</v>
      </c>
      <c r="B5357" t="s">
        <v>17</v>
      </c>
      <c r="C5357" t="s">
        <v>9</v>
      </c>
      <c r="D5357">
        <v>3710</v>
      </c>
      <c r="E5357">
        <v>2021</v>
      </c>
      <c r="F5357">
        <v>1</v>
      </c>
      <c r="G5357">
        <v>18521</v>
      </c>
      <c r="H5357" s="1">
        <v>4</v>
      </c>
      <c r="I5357">
        <v>14</v>
      </c>
      <c r="J5357">
        <f>IF($H5357=0,1,IF($I5357&lt;=1,2,0))</f>
        <v>0</v>
      </c>
      <c r="K5357">
        <v>0</v>
      </c>
      <c r="L5357">
        <f>IF(AND($J5357=0,$K5357=0),0,1)</f>
        <v>0</v>
      </c>
    </row>
    <row r="5358" spans="1:13" x14ac:dyDescent="0.2">
      <c r="A5358" t="s">
        <v>273</v>
      </c>
      <c r="B5358" t="s">
        <v>17</v>
      </c>
      <c r="C5358" t="s">
        <v>21</v>
      </c>
      <c r="D5358">
        <v>3844</v>
      </c>
      <c r="E5358">
        <v>2021</v>
      </c>
      <c r="F5358">
        <v>1</v>
      </c>
      <c r="G5358">
        <v>460</v>
      </c>
      <c r="H5358" s="1">
        <v>4</v>
      </c>
      <c r="I5358">
        <v>24</v>
      </c>
      <c r="J5358">
        <f>IF($H5358=0,1,IF($I5358&lt;=1,2,0))</f>
        <v>0</v>
      </c>
      <c r="K5358">
        <v>0</v>
      </c>
      <c r="L5358">
        <f>IF(AND($J5358=0,$K5358=0),0,1)</f>
        <v>0</v>
      </c>
    </row>
    <row r="5359" spans="1:13" x14ac:dyDescent="0.2">
      <c r="A5359" t="s">
        <v>273</v>
      </c>
      <c r="B5359" t="s">
        <v>17</v>
      </c>
      <c r="C5359" t="s">
        <v>9</v>
      </c>
      <c r="D5359">
        <v>3990</v>
      </c>
      <c r="E5359">
        <v>2021</v>
      </c>
      <c r="F5359">
        <v>1</v>
      </c>
      <c r="G5359">
        <v>10912</v>
      </c>
      <c r="H5359" s="1">
        <v>4</v>
      </c>
      <c r="I5359">
        <v>26</v>
      </c>
      <c r="J5359">
        <f>IF($H5359=0,1,IF($I5359&lt;=1,2,0))</f>
        <v>0</v>
      </c>
      <c r="K5359">
        <v>0</v>
      </c>
      <c r="L5359">
        <f>IF(AND($J5359=0,$K5359=0),0,1)</f>
        <v>0</v>
      </c>
    </row>
    <row r="5360" spans="1:13" x14ac:dyDescent="0.2">
      <c r="A5360" t="s">
        <v>273</v>
      </c>
      <c r="B5360" t="s">
        <v>17</v>
      </c>
      <c r="C5360" t="s">
        <v>9</v>
      </c>
      <c r="D5360">
        <v>4122</v>
      </c>
      <c r="E5360">
        <v>2021</v>
      </c>
      <c r="F5360">
        <v>1</v>
      </c>
      <c r="G5360">
        <v>10916</v>
      </c>
      <c r="H5360" s="1">
        <v>4</v>
      </c>
      <c r="I5360">
        <v>23</v>
      </c>
      <c r="J5360">
        <f>IF($H5360=0,1,IF($I5360&lt;=1,2,0))</f>
        <v>0</v>
      </c>
      <c r="K5360">
        <v>0</v>
      </c>
      <c r="L5360">
        <f>IF(AND($J5360=0,$K5360=0),0,1)</f>
        <v>0</v>
      </c>
    </row>
    <row r="5361" spans="1:13" x14ac:dyDescent="0.2">
      <c r="A5361" t="s">
        <v>273</v>
      </c>
      <c r="B5361" t="s">
        <v>17</v>
      </c>
      <c r="C5361" t="s">
        <v>9</v>
      </c>
      <c r="D5361">
        <v>4226</v>
      </c>
      <c r="E5361">
        <v>2021</v>
      </c>
      <c r="F5361">
        <v>1</v>
      </c>
      <c r="G5361">
        <v>10918</v>
      </c>
      <c r="H5361" s="1">
        <v>4</v>
      </c>
      <c r="I5361">
        <v>21</v>
      </c>
      <c r="J5361">
        <f>IF($H5361=0,1,IF($I5361&lt;=1,2,0))</f>
        <v>0</v>
      </c>
      <c r="K5361">
        <v>0</v>
      </c>
      <c r="L5361">
        <f>IF(AND($J5361=0,$K5361=0),0,1)</f>
        <v>0</v>
      </c>
    </row>
    <row r="5362" spans="1:13" x14ac:dyDescent="0.2">
      <c r="A5362" t="s">
        <v>273</v>
      </c>
      <c r="B5362" t="s">
        <v>17</v>
      </c>
      <c r="C5362" t="s">
        <v>9</v>
      </c>
      <c r="D5362">
        <v>4553</v>
      </c>
      <c r="E5362">
        <v>2021</v>
      </c>
      <c r="F5362">
        <v>1</v>
      </c>
      <c r="G5362">
        <v>15343</v>
      </c>
      <c r="H5362" s="1">
        <v>4</v>
      </c>
      <c r="I5362">
        <v>13</v>
      </c>
      <c r="J5362">
        <f>IF($H5362=0,1,IF($I5362&lt;=1,2,0))</f>
        <v>0</v>
      </c>
      <c r="K5362">
        <v>0</v>
      </c>
      <c r="L5362">
        <f>IF(AND($J5362=0,$K5362=0),0,1)</f>
        <v>0</v>
      </c>
      <c r="M5362" t="s">
        <v>1480</v>
      </c>
    </row>
    <row r="5363" spans="1:13" x14ac:dyDescent="0.2">
      <c r="A5363" t="s">
        <v>273</v>
      </c>
      <c r="B5363" t="s">
        <v>17</v>
      </c>
      <c r="C5363" t="s">
        <v>9</v>
      </c>
      <c r="D5363">
        <v>4572</v>
      </c>
      <c r="E5363">
        <v>2021</v>
      </c>
      <c r="F5363">
        <v>1</v>
      </c>
      <c r="G5363">
        <v>13533</v>
      </c>
      <c r="H5363" s="1">
        <v>4</v>
      </c>
      <c r="I5363">
        <v>16</v>
      </c>
      <c r="J5363">
        <f>IF($H5363=0,1,IF($I5363&lt;=1,2,0))</f>
        <v>0</v>
      </c>
      <c r="K5363">
        <v>0</v>
      </c>
      <c r="L5363">
        <f>IF(AND($J5363=0,$K5363=0),0,1)</f>
        <v>0</v>
      </c>
    </row>
    <row r="5364" spans="1:13" x14ac:dyDescent="0.2">
      <c r="A5364" t="s">
        <v>273</v>
      </c>
      <c r="B5364" t="s">
        <v>17</v>
      </c>
      <c r="C5364" t="s">
        <v>9</v>
      </c>
      <c r="D5364">
        <v>4810</v>
      </c>
      <c r="E5364">
        <v>2021</v>
      </c>
      <c r="F5364">
        <v>1</v>
      </c>
      <c r="G5364">
        <v>10919</v>
      </c>
      <c r="H5364" s="1">
        <v>4</v>
      </c>
      <c r="I5364">
        <v>15</v>
      </c>
      <c r="J5364">
        <f>IF($H5364=0,1,IF($I5364&lt;=1,2,0))</f>
        <v>0</v>
      </c>
      <c r="K5364">
        <v>0</v>
      </c>
      <c r="L5364">
        <f>IF(AND($J5364=0,$K5364=0),0,1)</f>
        <v>0</v>
      </c>
    </row>
    <row r="5365" spans="1:13" x14ac:dyDescent="0.2">
      <c r="A5365" t="s">
        <v>273</v>
      </c>
      <c r="B5365" t="s">
        <v>17</v>
      </c>
      <c r="C5365" t="s">
        <v>9</v>
      </c>
      <c r="D5365">
        <v>4888</v>
      </c>
      <c r="E5365">
        <v>2021</v>
      </c>
      <c r="F5365">
        <v>1</v>
      </c>
      <c r="G5365">
        <v>10920</v>
      </c>
      <c r="H5365" s="1">
        <v>4</v>
      </c>
      <c r="I5365">
        <v>16</v>
      </c>
      <c r="J5365">
        <f>IF($H5365=0,1,IF($I5365&lt;=1,2,0))</f>
        <v>0</v>
      </c>
      <c r="K5365">
        <v>0</v>
      </c>
      <c r="L5365">
        <f>IF(AND($J5365=0,$K5365=0),0,1)</f>
        <v>0</v>
      </c>
    </row>
    <row r="5366" spans="1:13" x14ac:dyDescent="0.2">
      <c r="A5366" t="s">
        <v>273</v>
      </c>
      <c r="B5366" t="s">
        <v>17</v>
      </c>
      <c r="C5366" t="s">
        <v>11</v>
      </c>
      <c r="D5366">
        <v>8460</v>
      </c>
      <c r="E5366">
        <v>2021</v>
      </c>
      <c r="F5366">
        <v>1</v>
      </c>
      <c r="G5366">
        <v>10924</v>
      </c>
      <c r="H5366" s="1">
        <v>4</v>
      </c>
      <c r="I5366">
        <v>2</v>
      </c>
      <c r="J5366">
        <f>IF($H5366=0,1,IF($I5366&lt;=1,2,0))</f>
        <v>0</v>
      </c>
      <c r="K5366">
        <v>0</v>
      </c>
      <c r="L5366">
        <f>IF(AND($J5366=0,$K5366=0),0,1)</f>
        <v>0</v>
      </c>
      <c r="M5366" t="s">
        <v>294</v>
      </c>
    </row>
    <row r="5367" spans="1:13" x14ac:dyDescent="0.2">
      <c r="A5367" t="s">
        <v>273</v>
      </c>
      <c r="B5367" t="s">
        <v>17</v>
      </c>
      <c r="C5367" t="s">
        <v>11</v>
      </c>
      <c r="D5367">
        <v>8992</v>
      </c>
      <c r="E5367">
        <v>2021</v>
      </c>
      <c r="F5367">
        <v>1</v>
      </c>
      <c r="G5367">
        <v>13534</v>
      </c>
      <c r="H5367" s="1">
        <v>4</v>
      </c>
      <c r="I5367">
        <v>21</v>
      </c>
      <c r="J5367">
        <f>IF($H5367=0,1,IF($I5367&lt;=1,2,0))</f>
        <v>0</v>
      </c>
      <c r="K5367">
        <v>0</v>
      </c>
      <c r="L5367">
        <f>IF(AND($J5367=0,$K5367=0),0,1)</f>
        <v>0</v>
      </c>
    </row>
    <row r="5368" spans="1:13" x14ac:dyDescent="0.2">
      <c r="A5368" t="s">
        <v>276</v>
      </c>
      <c r="B5368" t="s">
        <v>71</v>
      </c>
      <c r="C5368" t="s">
        <v>72</v>
      </c>
      <c r="D5368">
        <v>2100</v>
      </c>
      <c r="E5368">
        <v>2021</v>
      </c>
      <c r="F5368">
        <v>1</v>
      </c>
      <c r="G5368">
        <v>13350</v>
      </c>
      <c r="H5368" s="1">
        <v>3</v>
      </c>
      <c r="I5368">
        <v>38</v>
      </c>
      <c r="J5368">
        <f>IF($H5368=0,1,IF($I5368&lt;=1,2,0))</f>
        <v>0</v>
      </c>
      <c r="K5368">
        <v>0</v>
      </c>
      <c r="L5368">
        <f>IF(AND($J5368=0,$K5368=0),0,1)</f>
        <v>0</v>
      </c>
    </row>
    <row r="5369" spans="1:13" x14ac:dyDescent="0.2">
      <c r="A5369" t="s">
        <v>276</v>
      </c>
      <c r="B5369" t="s">
        <v>71</v>
      </c>
      <c r="C5369" t="s">
        <v>72</v>
      </c>
      <c r="D5369">
        <v>3103</v>
      </c>
      <c r="E5369">
        <v>2021</v>
      </c>
      <c r="F5369">
        <v>1</v>
      </c>
      <c r="G5369">
        <v>13351</v>
      </c>
      <c r="H5369" s="1">
        <v>3</v>
      </c>
      <c r="I5369">
        <v>18</v>
      </c>
      <c r="J5369">
        <f>IF($H5369=0,1,IF($I5369&lt;=1,2,0))</f>
        <v>0</v>
      </c>
      <c r="K5369">
        <v>0</v>
      </c>
      <c r="L5369">
        <f>IF(AND($J5369=0,$K5369=0),0,1)</f>
        <v>0</v>
      </c>
    </row>
    <row r="5370" spans="1:13" x14ac:dyDescent="0.2">
      <c r="A5370" t="s">
        <v>276</v>
      </c>
      <c r="B5370" t="s">
        <v>71</v>
      </c>
      <c r="C5370" t="s">
        <v>72</v>
      </c>
      <c r="D5370">
        <v>3801</v>
      </c>
      <c r="E5370">
        <v>2021</v>
      </c>
      <c r="F5370">
        <v>1</v>
      </c>
      <c r="G5370">
        <v>13353</v>
      </c>
      <c r="H5370" s="1">
        <v>2</v>
      </c>
      <c r="I5370">
        <v>20</v>
      </c>
      <c r="J5370">
        <f>IF($H5370=0,1,IF($I5370&lt;=1,2,0))</f>
        <v>0</v>
      </c>
      <c r="K5370">
        <v>0</v>
      </c>
      <c r="L5370">
        <f>IF(AND($J5370=0,$K5370=0),0,1)</f>
        <v>0</v>
      </c>
    </row>
    <row r="5371" spans="1:13" x14ac:dyDescent="0.2">
      <c r="A5371" t="s">
        <v>276</v>
      </c>
      <c r="B5371" t="s">
        <v>71</v>
      </c>
      <c r="C5371" t="s">
        <v>72</v>
      </c>
      <c r="D5371">
        <v>4000</v>
      </c>
      <c r="E5371">
        <v>2021</v>
      </c>
      <c r="F5371">
        <v>1</v>
      </c>
      <c r="G5371">
        <v>13354</v>
      </c>
      <c r="H5371" s="1">
        <v>3</v>
      </c>
      <c r="I5371">
        <v>25</v>
      </c>
      <c r="J5371">
        <f>IF($H5371=0,1,IF($I5371&lt;=1,2,0))</f>
        <v>0</v>
      </c>
      <c r="K5371">
        <v>0</v>
      </c>
      <c r="L5371">
        <f>IF(AND($J5371=0,$K5371=0),0,1)</f>
        <v>0</v>
      </c>
    </row>
    <row r="5372" spans="1:13" x14ac:dyDescent="0.2">
      <c r="A5372" t="s">
        <v>276</v>
      </c>
      <c r="B5372" t="s">
        <v>71</v>
      </c>
      <c r="C5372" t="s">
        <v>72</v>
      </c>
      <c r="D5372">
        <v>4003</v>
      </c>
      <c r="E5372">
        <v>2021</v>
      </c>
      <c r="F5372">
        <v>1</v>
      </c>
      <c r="G5372">
        <v>13347</v>
      </c>
      <c r="H5372" s="1">
        <v>3</v>
      </c>
      <c r="I5372">
        <v>39</v>
      </c>
      <c r="J5372">
        <f>IF($H5372=0,1,IF($I5372&lt;=1,2,0))</f>
        <v>0</v>
      </c>
      <c r="K5372">
        <v>0</v>
      </c>
      <c r="L5372">
        <f>IF(AND($J5372=0,$K5372=0),0,1)</f>
        <v>0</v>
      </c>
    </row>
    <row r="5373" spans="1:13" x14ac:dyDescent="0.2">
      <c r="A5373" t="s">
        <v>276</v>
      </c>
      <c r="B5373" t="s">
        <v>71</v>
      </c>
      <c r="C5373" t="s">
        <v>72</v>
      </c>
      <c r="D5373">
        <v>4200</v>
      </c>
      <c r="E5373">
        <v>2021</v>
      </c>
      <c r="F5373">
        <v>1</v>
      </c>
      <c r="G5373">
        <v>13356</v>
      </c>
      <c r="H5373" s="1">
        <v>3</v>
      </c>
      <c r="I5373">
        <v>25</v>
      </c>
      <c r="J5373">
        <f>IF($H5373=0,1,IF($I5373&lt;=1,2,0))</f>
        <v>0</v>
      </c>
      <c r="K5373">
        <v>0</v>
      </c>
      <c r="L5373">
        <f>IF(AND($J5373=0,$K5373=0),0,1)</f>
        <v>0</v>
      </c>
    </row>
    <row r="5374" spans="1:13" x14ac:dyDescent="0.2">
      <c r="A5374" t="s">
        <v>276</v>
      </c>
      <c r="B5374" t="s">
        <v>71</v>
      </c>
      <c r="C5374" t="s">
        <v>72</v>
      </c>
      <c r="D5374">
        <v>4220</v>
      </c>
      <c r="E5374">
        <v>2021</v>
      </c>
      <c r="F5374">
        <v>1</v>
      </c>
      <c r="G5374">
        <v>13357</v>
      </c>
      <c r="H5374" s="1">
        <v>3</v>
      </c>
      <c r="I5374">
        <v>64</v>
      </c>
      <c r="J5374">
        <f>IF($H5374=0,1,IF($I5374&lt;=1,2,0))</f>
        <v>0</v>
      </c>
      <c r="K5374">
        <v>0</v>
      </c>
      <c r="L5374">
        <f>IF(AND($J5374=0,$K5374=0),0,1)</f>
        <v>0</v>
      </c>
    </row>
    <row r="5375" spans="1:13" x14ac:dyDescent="0.2">
      <c r="A5375" t="s">
        <v>276</v>
      </c>
      <c r="B5375" t="s">
        <v>71</v>
      </c>
      <c r="C5375" t="s">
        <v>72</v>
      </c>
      <c r="D5375">
        <v>4220</v>
      </c>
      <c r="E5375">
        <v>2021</v>
      </c>
      <c r="F5375" t="s">
        <v>84</v>
      </c>
      <c r="G5375">
        <v>18993</v>
      </c>
      <c r="H5375" s="1">
        <v>3</v>
      </c>
      <c r="I5375">
        <v>2</v>
      </c>
      <c r="J5375">
        <f>IF($H5375=0,1,IF($I5375&lt;=1,2,0))</f>
        <v>0</v>
      </c>
      <c r="K5375">
        <v>0</v>
      </c>
      <c r="L5375">
        <f>IF(AND($J5375=0,$K5375=0),0,1)</f>
        <v>0</v>
      </c>
      <c r="M5375" t="s">
        <v>85</v>
      </c>
    </row>
    <row r="5376" spans="1:13" x14ac:dyDescent="0.2">
      <c r="A5376" t="s">
        <v>276</v>
      </c>
      <c r="B5376" t="s">
        <v>71</v>
      </c>
      <c r="C5376" t="s">
        <v>72</v>
      </c>
      <c r="D5376">
        <v>4300</v>
      </c>
      <c r="E5376">
        <v>2021</v>
      </c>
      <c r="F5376">
        <v>1</v>
      </c>
      <c r="G5376">
        <v>13982</v>
      </c>
      <c r="H5376" s="1">
        <v>3</v>
      </c>
      <c r="I5376">
        <v>50</v>
      </c>
      <c r="J5376">
        <f>IF($H5376=0,1,IF($I5376&lt;=1,2,0))</f>
        <v>0</v>
      </c>
      <c r="K5376">
        <v>0</v>
      </c>
      <c r="L5376">
        <f>IF(AND($J5376=0,$K5376=0),0,1)</f>
        <v>0</v>
      </c>
    </row>
    <row r="5377" spans="1:13" x14ac:dyDescent="0.2">
      <c r="A5377" t="s">
        <v>276</v>
      </c>
      <c r="B5377" t="s">
        <v>71</v>
      </c>
      <c r="C5377" t="s">
        <v>72</v>
      </c>
      <c r="D5377">
        <v>4302</v>
      </c>
      <c r="E5377">
        <v>2021</v>
      </c>
      <c r="F5377">
        <v>1</v>
      </c>
      <c r="G5377">
        <v>14941</v>
      </c>
      <c r="H5377" s="1">
        <v>3</v>
      </c>
      <c r="I5377">
        <v>47</v>
      </c>
      <c r="J5377">
        <f>IF($H5377=0,1,IF($I5377&lt;=1,2,0))</f>
        <v>0</v>
      </c>
      <c r="K5377">
        <v>0</v>
      </c>
      <c r="L5377">
        <f>IF(AND($J5377=0,$K5377=0),0,1)</f>
        <v>0</v>
      </c>
    </row>
    <row r="5378" spans="1:13" x14ac:dyDescent="0.2">
      <c r="A5378" t="s">
        <v>276</v>
      </c>
      <c r="B5378" t="s">
        <v>71</v>
      </c>
      <c r="C5378" t="s">
        <v>72</v>
      </c>
      <c r="D5378">
        <v>4302</v>
      </c>
      <c r="E5378">
        <v>2021</v>
      </c>
      <c r="F5378" t="s">
        <v>84</v>
      </c>
      <c r="G5378">
        <v>18992</v>
      </c>
      <c r="H5378" s="1">
        <v>3</v>
      </c>
      <c r="I5378">
        <v>2</v>
      </c>
      <c r="J5378">
        <f>IF($H5378=0,1,IF($I5378&lt;=1,2,0))</f>
        <v>0</v>
      </c>
      <c r="K5378">
        <v>0</v>
      </c>
      <c r="L5378">
        <f>IF(AND($J5378=0,$K5378=0),0,1)</f>
        <v>0</v>
      </c>
      <c r="M5378" t="s">
        <v>85</v>
      </c>
    </row>
    <row r="5379" spans="1:13" x14ac:dyDescent="0.2">
      <c r="A5379" t="s">
        <v>276</v>
      </c>
      <c r="B5379" t="s">
        <v>71</v>
      </c>
      <c r="C5379" t="s">
        <v>72</v>
      </c>
      <c r="D5379">
        <v>4350</v>
      </c>
      <c r="E5379">
        <v>2021</v>
      </c>
      <c r="F5379">
        <v>1</v>
      </c>
      <c r="G5379">
        <v>16266</v>
      </c>
      <c r="H5379" s="1">
        <v>3</v>
      </c>
      <c r="I5379">
        <v>15</v>
      </c>
      <c r="J5379">
        <f>IF($H5379=0,1,IF($I5379&lt;=1,2,0))</f>
        <v>0</v>
      </c>
      <c r="K5379">
        <v>0</v>
      </c>
      <c r="L5379">
        <f>IF(AND($J5379=0,$K5379=0),0,1)</f>
        <v>0</v>
      </c>
    </row>
    <row r="5380" spans="1:13" x14ac:dyDescent="0.2">
      <c r="A5380" t="s">
        <v>276</v>
      </c>
      <c r="B5380" t="s">
        <v>71</v>
      </c>
      <c r="C5380" t="s">
        <v>72</v>
      </c>
      <c r="D5380">
        <v>4550</v>
      </c>
      <c r="E5380">
        <v>2021</v>
      </c>
      <c r="F5380">
        <v>1</v>
      </c>
      <c r="G5380">
        <v>13358</v>
      </c>
      <c r="H5380" s="1">
        <v>3</v>
      </c>
      <c r="I5380">
        <v>33</v>
      </c>
      <c r="J5380">
        <f>IF($H5380=0,1,IF($I5380&lt;=1,2,0))</f>
        <v>0</v>
      </c>
      <c r="K5380">
        <v>0</v>
      </c>
      <c r="L5380">
        <f>IF(AND($J5380=0,$K5380=0),0,1)</f>
        <v>0</v>
      </c>
    </row>
    <row r="5381" spans="1:13" x14ac:dyDescent="0.2">
      <c r="A5381" t="s">
        <v>276</v>
      </c>
      <c r="B5381" t="s">
        <v>71</v>
      </c>
      <c r="C5381" t="s">
        <v>72</v>
      </c>
      <c r="D5381">
        <v>4550</v>
      </c>
      <c r="E5381">
        <v>2021</v>
      </c>
      <c r="F5381" t="s">
        <v>84</v>
      </c>
      <c r="G5381">
        <v>20235</v>
      </c>
      <c r="H5381" s="1">
        <v>3</v>
      </c>
      <c r="I5381">
        <v>3</v>
      </c>
      <c r="J5381">
        <f>IF($H5381=0,1,IF($I5381&lt;=1,2,0))</f>
        <v>0</v>
      </c>
      <c r="K5381">
        <v>0</v>
      </c>
      <c r="L5381">
        <f>IF(AND($J5381=0,$K5381=0),0,1)</f>
        <v>0</v>
      </c>
      <c r="M5381" t="s">
        <v>85</v>
      </c>
    </row>
    <row r="5382" spans="1:13" x14ac:dyDescent="0.2">
      <c r="A5382" t="s">
        <v>276</v>
      </c>
      <c r="B5382" t="s">
        <v>71</v>
      </c>
      <c r="C5382" t="s">
        <v>72</v>
      </c>
      <c r="D5382">
        <v>6212</v>
      </c>
      <c r="E5382">
        <v>2021</v>
      </c>
      <c r="F5382">
        <v>1</v>
      </c>
      <c r="G5382">
        <v>13983</v>
      </c>
      <c r="H5382" s="1">
        <v>3</v>
      </c>
      <c r="I5382">
        <v>10</v>
      </c>
      <c r="J5382">
        <f>IF($H5382=0,1,IF($I5382&lt;=1,2,0))</f>
        <v>0</v>
      </c>
      <c r="K5382">
        <v>0</v>
      </c>
      <c r="L5382">
        <f>IF(AND($J5382=0,$K5382=0),0,1)</f>
        <v>0</v>
      </c>
    </row>
    <row r="5383" spans="1:13" x14ac:dyDescent="0.2">
      <c r="A5383" t="s">
        <v>277</v>
      </c>
      <c r="B5383" t="s">
        <v>17</v>
      </c>
      <c r="C5383" t="s">
        <v>9</v>
      </c>
      <c r="D5383">
        <v>4011</v>
      </c>
      <c r="E5383">
        <v>2021</v>
      </c>
      <c r="F5383">
        <v>1</v>
      </c>
      <c r="G5383">
        <v>379</v>
      </c>
      <c r="H5383" s="1">
        <v>4</v>
      </c>
      <c r="I5383">
        <v>16</v>
      </c>
      <c r="J5383">
        <f>IF($H5383=0,1,IF($I5383&lt;=1,2,0))</f>
        <v>0</v>
      </c>
      <c r="K5383">
        <v>0</v>
      </c>
      <c r="L5383">
        <f>IF(AND($J5383=0,$K5383=0),0,1)</f>
        <v>0</v>
      </c>
    </row>
    <row r="5384" spans="1:13" x14ac:dyDescent="0.2">
      <c r="A5384" t="s">
        <v>277</v>
      </c>
      <c r="B5384" t="s">
        <v>17</v>
      </c>
      <c r="C5384" t="s">
        <v>9</v>
      </c>
      <c r="D5384">
        <v>4120</v>
      </c>
      <c r="E5384">
        <v>2021</v>
      </c>
      <c r="F5384">
        <v>1</v>
      </c>
      <c r="G5384">
        <v>10925</v>
      </c>
      <c r="H5384" s="1">
        <v>4</v>
      </c>
      <c r="I5384">
        <v>12</v>
      </c>
      <c r="J5384">
        <f>IF($H5384=0,1,IF($I5384&lt;=1,2,0))</f>
        <v>0</v>
      </c>
      <c r="K5384">
        <v>0</v>
      </c>
      <c r="L5384">
        <f>IF(AND($J5384=0,$K5384=0),0,1)</f>
        <v>0</v>
      </c>
    </row>
    <row r="5385" spans="1:13" x14ac:dyDescent="0.2">
      <c r="A5385" t="s">
        <v>277</v>
      </c>
      <c r="B5385" t="s">
        <v>17</v>
      </c>
      <c r="C5385" t="s">
        <v>9</v>
      </c>
      <c r="D5385">
        <v>4328</v>
      </c>
      <c r="E5385">
        <v>2021</v>
      </c>
      <c r="F5385">
        <v>1</v>
      </c>
      <c r="G5385">
        <v>11574</v>
      </c>
      <c r="H5385" s="1">
        <v>3</v>
      </c>
      <c r="I5385">
        <v>11</v>
      </c>
      <c r="J5385">
        <f>IF($H5385=0,1,IF($I5385&lt;=1,2,0))</f>
        <v>0</v>
      </c>
      <c r="K5385">
        <v>0</v>
      </c>
      <c r="L5385">
        <f>IF(AND($J5385=0,$K5385=0),0,1)</f>
        <v>0</v>
      </c>
    </row>
    <row r="5386" spans="1:13" x14ac:dyDescent="0.2">
      <c r="A5386" t="s">
        <v>278</v>
      </c>
      <c r="B5386" t="s">
        <v>6</v>
      </c>
      <c r="C5386" t="s">
        <v>11</v>
      </c>
      <c r="D5386">
        <v>6220</v>
      </c>
      <c r="E5386">
        <v>2021</v>
      </c>
      <c r="F5386">
        <v>1</v>
      </c>
      <c r="G5386">
        <v>18270</v>
      </c>
      <c r="H5386" s="1">
        <v>4</v>
      </c>
      <c r="I5386">
        <v>12</v>
      </c>
      <c r="J5386">
        <f>IF($H5386=0,1,IF($I5386&lt;=1,2,0))</f>
        <v>0</v>
      </c>
      <c r="K5386">
        <v>0</v>
      </c>
      <c r="L5386">
        <f>IF(AND($J5386=0,$K5386=0),0,1)</f>
        <v>0</v>
      </c>
    </row>
    <row r="5387" spans="1:13" x14ac:dyDescent="0.2">
      <c r="A5387" t="s">
        <v>279</v>
      </c>
      <c r="B5387" t="s">
        <v>71</v>
      </c>
      <c r="C5387" t="s">
        <v>72</v>
      </c>
      <c r="D5387">
        <v>4040</v>
      </c>
      <c r="E5387">
        <v>2021</v>
      </c>
      <c r="F5387">
        <v>1</v>
      </c>
      <c r="G5387">
        <v>12051</v>
      </c>
      <c r="H5387" s="1">
        <v>3</v>
      </c>
      <c r="I5387">
        <v>134</v>
      </c>
      <c r="J5387">
        <f>IF($H5387=0,1,IF($I5387&lt;=1,2,0))</f>
        <v>0</v>
      </c>
      <c r="K5387">
        <v>0</v>
      </c>
      <c r="L5387">
        <f>IF(AND($J5387=0,$K5387=0),0,1)</f>
        <v>0</v>
      </c>
    </row>
    <row r="5388" spans="1:13" x14ac:dyDescent="0.2">
      <c r="A5388" t="s">
        <v>279</v>
      </c>
      <c r="B5388" t="s">
        <v>71</v>
      </c>
      <c r="C5388" t="s">
        <v>72</v>
      </c>
      <c r="D5388">
        <v>4040</v>
      </c>
      <c r="E5388">
        <v>2021</v>
      </c>
      <c r="F5388" t="s">
        <v>84</v>
      </c>
      <c r="G5388">
        <v>17609</v>
      </c>
      <c r="H5388" s="1">
        <v>3</v>
      </c>
      <c r="I5388">
        <v>6</v>
      </c>
      <c r="J5388">
        <f>IF($H5388=0,1,IF($I5388&lt;=1,2,0))</f>
        <v>0</v>
      </c>
      <c r="K5388">
        <v>0</v>
      </c>
      <c r="L5388">
        <f>IF(AND($J5388=0,$K5388=0),0,1)</f>
        <v>0</v>
      </c>
      <c r="M5388" t="s">
        <v>85</v>
      </c>
    </row>
    <row r="5389" spans="1:13" x14ac:dyDescent="0.2">
      <c r="A5389" t="s">
        <v>279</v>
      </c>
      <c r="B5389" t="s">
        <v>71</v>
      </c>
      <c r="C5389" t="s">
        <v>72</v>
      </c>
      <c r="D5389">
        <v>4060</v>
      </c>
      <c r="E5389">
        <v>2021</v>
      </c>
      <c r="F5389">
        <v>1</v>
      </c>
      <c r="G5389">
        <v>12052</v>
      </c>
      <c r="H5389" s="1">
        <v>3</v>
      </c>
      <c r="I5389">
        <v>52</v>
      </c>
      <c r="J5389">
        <f>IF($H5389=0,1,IF($I5389&lt;=1,2,0))</f>
        <v>0</v>
      </c>
      <c r="K5389">
        <v>0</v>
      </c>
      <c r="L5389">
        <f>IF(AND($J5389=0,$K5389=0),0,1)</f>
        <v>0</v>
      </c>
    </row>
    <row r="5390" spans="1:13" x14ac:dyDescent="0.2">
      <c r="A5390" t="s">
        <v>279</v>
      </c>
      <c r="B5390" t="s">
        <v>71</v>
      </c>
      <c r="C5390" t="s">
        <v>72</v>
      </c>
      <c r="D5390">
        <v>4090</v>
      </c>
      <c r="E5390">
        <v>2021</v>
      </c>
      <c r="F5390">
        <v>1</v>
      </c>
      <c r="G5390">
        <v>12053</v>
      </c>
      <c r="H5390" s="1">
        <v>3</v>
      </c>
      <c r="I5390">
        <v>21</v>
      </c>
      <c r="J5390">
        <f>IF($H5390=0,1,IF($I5390&lt;=1,2,0))</f>
        <v>0</v>
      </c>
      <c r="K5390">
        <v>0</v>
      </c>
      <c r="L5390">
        <f>IF(AND($J5390=0,$K5390=0),0,1)</f>
        <v>0</v>
      </c>
    </row>
    <row r="5391" spans="1:13" x14ac:dyDescent="0.2">
      <c r="A5391" t="s">
        <v>1481</v>
      </c>
      <c r="B5391" t="s">
        <v>71</v>
      </c>
      <c r="C5391" t="s">
        <v>9</v>
      </c>
      <c r="D5391">
        <v>4100</v>
      </c>
      <c r="E5391">
        <v>2021</v>
      </c>
      <c r="F5391">
        <v>1</v>
      </c>
      <c r="G5391">
        <v>14943</v>
      </c>
      <c r="H5391" s="1">
        <v>3</v>
      </c>
      <c r="I5391">
        <v>36</v>
      </c>
      <c r="J5391">
        <f>IF($H5391=0,1,IF($I5391&lt;=1,2,0))</f>
        <v>0</v>
      </c>
      <c r="K5391">
        <v>0</v>
      </c>
      <c r="L5391">
        <f>IF(AND($J5391=0,$K5391=0),0,1)</f>
        <v>0</v>
      </c>
    </row>
    <row r="5392" spans="1:13" x14ac:dyDescent="0.2">
      <c r="A5392" t="s">
        <v>282</v>
      </c>
      <c r="B5392" t="s">
        <v>6</v>
      </c>
      <c r="C5392" t="s">
        <v>9</v>
      </c>
      <c r="D5392">
        <v>1105</v>
      </c>
      <c r="E5392">
        <v>2021</v>
      </c>
      <c r="F5392">
        <v>1</v>
      </c>
      <c r="G5392">
        <v>10432</v>
      </c>
      <c r="H5392" s="1">
        <v>4</v>
      </c>
      <c r="I5392">
        <v>205</v>
      </c>
      <c r="J5392">
        <f>IF($H5392=0,1,IF($I5392&lt;=1,2,0))</f>
        <v>0</v>
      </c>
      <c r="K5392">
        <v>0</v>
      </c>
      <c r="L5392">
        <f>IF(AND($J5392=0,$K5392=0),0,1)</f>
        <v>0</v>
      </c>
      <c r="M5392" t="s">
        <v>283</v>
      </c>
    </row>
    <row r="5393" spans="1:13" x14ac:dyDescent="0.2">
      <c r="A5393" t="s">
        <v>282</v>
      </c>
      <c r="B5393" t="s">
        <v>6</v>
      </c>
      <c r="C5393" t="s">
        <v>9</v>
      </c>
      <c r="D5393">
        <v>1105</v>
      </c>
      <c r="E5393">
        <v>2021</v>
      </c>
      <c r="F5393">
        <v>2</v>
      </c>
      <c r="G5393">
        <v>10433</v>
      </c>
      <c r="H5393" s="1">
        <v>4</v>
      </c>
      <c r="I5393">
        <v>177</v>
      </c>
      <c r="J5393">
        <f>IF($H5393=0,1,IF($I5393&lt;=1,2,0))</f>
        <v>0</v>
      </c>
      <c r="K5393">
        <v>0</v>
      </c>
      <c r="L5393">
        <f>IF(AND($J5393=0,$K5393=0),0,1)</f>
        <v>0</v>
      </c>
      <c r="M5393" t="s">
        <v>283</v>
      </c>
    </row>
    <row r="5394" spans="1:13" x14ac:dyDescent="0.2">
      <c r="A5394" t="s">
        <v>282</v>
      </c>
      <c r="B5394" t="s">
        <v>6</v>
      </c>
      <c r="C5394" t="s">
        <v>9</v>
      </c>
      <c r="D5394">
        <v>1105</v>
      </c>
      <c r="E5394">
        <v>2021</v>
      </c>
      <c r="F5394">
        <v>3</v>
      </c>
      <c r="G5394">
        <v>10434</v>
      </c>
      <c r="H5394" s="1">
        <v>4</v>
      </c>
      <c r="I5394">
        <v>176</v>
      </c>
      <c r="J5394">
        <f>IF($H5394=0,1,IF($I5394&lt;=1,2,0))</f>
        <v>0</v>
      </c>
      <c r="K5394">
        <v>0</v>
      </c>
      <c r="L5394">
        <f>IF(AND($J5394=0,$K5394=0),0,1)</f>
        <v>0</v>
      </c>
      <c r="M5394" t="s">
        <v>283</v>
      </c>
    </row>
    <row r="5395" spans="1:13" x14ac:dyDescent="0.2">
      <c r="A5395" t="s">
        <v>282</v>
      </c>
      <c r="B5395" t="s">
        <v>6</v>
      </c>
      <c r="C5395" t="s">
        <v>21</v>
      </c>
      <c r="D5395">
        <v>2029</v>
      </c>
      <c r="E5395">
        <v>2021</v>
      </c>
      <c r="F5395">
        <v>1</v>
      </c>
      <c r="G5395">
        <v>10436</v>
      </c>
      <c r="H5395" s="1">
        <v>1</v>
      </c>
      <c r="I5395">
        <v>14</v>
      </c>
      <c r="J5395">
        <f>IF($H5395=0,1,IF($I5395&lt;=1,2,0))</f>
        <v>0</v>
      </c>
      <c r="K5395">
        <v>0</v>
      </c>
      <c r="L5395">
        <f>IF(AND($J5395=0,$K5395=0),0,1)</f>
        <v>0</v>
      </c>
    </row>
    <row r="5396" spans="1:13" x14ac:dyDescent="0.2">
      <c r="A5396" t="s">
        <v>282</v>
      </c>
      <c r="B5396" t="s">
        <v>6</v>
      </c>
      <c r="C5396" t="s">
        <v>9</v>
      </c>
      <c r="D5396">
        <v>2105</v>
      </c>
      <c r="E5396">
        <v>2021</v>
      </c>
      <c r="F5396">
        <v>1</v>
      </c>
      <c r="G5396">
        <v>10437</v>
      </c>
      <c r="H5396" s="1">
        <v>3</v>
      </c>
      <c r="I5396">
        <v>76</v>
      </c>
      <c r="J5396">
        <f>IF($H5396=0,1,IF($I5396&lt;=1,2,0))</f>
        <v>0</v>
      </c>
      <c r="K5396">
        <v>0</v>
      </c>
      <c r="L5396">
        <f>IF(AND($J5396=0,$K5396=0),0,1)</f>
        <v>0</v>
      </c>
    </row>
    <row r="5397" spans="1:13" x14ac:dyDescent="0.2">
      <c r="A5397" t="s">
        <v>282</v>
      </c>
      <c r="B5397" t="s">
        <v>6</v>
      </c>
      <c r="C5397" t="s">
        <v>21</v>
      </c>
      <c r="D5397">
        <v>3025</v>
      </c>
      <c r="E5397">
        <v>2021</v>
      </c>
      <c r="F5397">
        <v>1</v>
      </c>
      <c r="G5397">
        <v>10439</v>
      </c>
      <c r="H5397" s="1">
        <v>3</v>
      </c>
      <c r="I5397">
        <v>77</v>
      </c>
      <c r="J5397">
        <f>IF($H5397=0,1,IF($I5397&lt;=1,2,0))</f>
        <v>0</v>
      </c>
      <c r="K5397">
        <v>0</v>
      </c>
      <c r="L5397">
        <f>IF(AND($J5397=0,$K5397=0),0,1)</f>
        <v>0</v>
      </c>
    </row>
    <row r="5398" spans="1:13" x14ac:dyDescent="0.2">
      <c r="A5398" t="s">
        <v>282</v>
      </c>
      <c r="B5398" t="s">
        <v>6</v>
      </c>
      <c r="C5398" t="s">
        <v>9</v>
      </c>
      <c r="D5398">
        <v>3211</v>
      </c>
      <c r="E5398">
        <v>2021</v>
      </c>
      <c r="F5398">
        <v>2</v>
      </c>
      <c r="G5398">
        <v>10443</v>
      </c>
      <c r="H5398" s="1">
        <v>4</v>
      </c>
      <c r="I5398">
        <v>97</v>
      </c>
      <c r="J5398">
        <f>IF($H5398=0,1,IF($I5398&lt;=1,2,0))</f>
        <v>0</v>
      </c>
      <c r="K5398">
        <v>0</v>
      </c>
      <c r="L5398">
        <f>IF(AND($J5398=0,$K5398=0),0,1)</f>
        <v>0</v>
      </c>
      <c r="M5398" t="s">
        <v>295</v>
      </c>
    </row>
    <row r="5399" spans="1:13" x14ac:dyDescent="0.2">
      <c r="A5399" t="s">
        <v>282</v>
      </c>
      <c r="B5399" t="s">
        <v>6</v>
      </c>
      <c r="C5399" t="s">
        <v>9</v>
      </c>
      <c r="D5399">
        <v>3211</v>
      </c>
      <c r="E5399">
        <v>2021</v>
      </c>
      <c r="F5399">
        <v>3</v>
      </c>
      <c r="G5399">
        <v>10445</v>
      </c>
      <c r="H5399" s="1">
        <v>4</v>
      </c>
      <c r="I5399">
        <v>94</v>
      </c>
      <c r="J5399">
        <f>IF($H5399=0,1,IF($I5399&lt;=1,2,0))</f>
        <v>0</v>
      </c>
      <c r="K5399">
        <v>0</v>
      </c>
      <c r="L5399">
        <f>IF(AND($J5399=0,$K5399=0),0,1)</f>
        <v>0</v>
      </c>
      <c r="M5399" t="s">
        <v>295</v>
      </c>
    </row>
    <row r="5400" spans="1:13" x14ac:dyDescent="0.2">
      <c r="A5400" t="s">
        <v>282</v>
      </c>
      <c r="B5400" t="s">
        <v>6</v>
      </c>
      <c r="C5400" t="s">
        <v>9</v>
      </c>
      <c r="D5400">
        <v>3211</v>
      </c>
      <c r="E5400">
        <v>2021</v>
      </c>
      <c r="F5400">
        <v>1</v>
      </c>
      <c r="G5400">
        <v>10441</v>
      </c>
      <c r="H5400" s="1">
        <v>4</v>
      </c>
      <c r="I5400">
        <v>72</v>
      </c>
      <c r="J5400">
        <f>IF($H5400=0,1,IF($I5400&lt;=1,2,0))</f>
        <v>0</v>
      </c>
      <c r="K5400">
        <v>0</v>
      </c>
      <c r="L5400">
        <f>IF(AND($J5400=0,$K5400=0),0,1)</f>
        <v>0</v>
      </c>
      <c r="M5400" t="s">
        <v>295</v>
      </c>
    </row>
    <row r="5401" spans="1:13" x14ac:dyDescent="0.2">
      <c r="A5401" t="s">
        <v>282</v>
      </c>
      <c r="B5401" t="s">
        <v>6</v>
      </c>
      <c r="C5401" t="s">
        <v>9</v>
      </c>
      <c r="D5401">
        <v>3213</v>
      </c>
      <c r="E5401">
        <v>2021</v>
      </c>
      <c r="F5401">
        <v>1</v>
      </c>
      <c r="G5401">
        <v>10447</v>
      </c>
      <c r="H5401" s="1">
        <v>4</v>
      </c>
      <c r="I5401">
        <v>265</v>
      </c>
      <c r="J5401">
        <f>IF($H5401=0,1,IF($I5401&lt;=1,2,0))</f>
        <v>0</v>
      </c>
      <c r="K5401">
        <v>0</v>
      </c>
      <c r="L5401">
        <f>IF(AND($J5401=0,$K5401=0),0,1)</f>
        <v>0</v>
      </c>
      <c r="M5401" t="s">
        <v>296</v>
      </c>
    </row>
    <row r="5402" spans="1:13" x14ac:dyDescent="0.2">
      <c r="A5402" t="s">
        <v>282</v>
      </c>
      <c r="B5402" t="s">
        <v>6</v>
      </c>
      <c r="C5402" t="s">
        <v>9</v>
      </c>
      <c r="D5402">
        <v>3213</v>
      </c>
      <c r="E5402">
        <v>2021</v>
      </c>
      <c r="F5402">
        <v>2</v>
      </c>
      <c r="G5402">
        <v>10553</v>
      </c>
      <c r="H5402" s="1">
        <v>4</v>
      </c>
      <c r="I5402">
        <v>45</v>
      </c>
      <c r="J5402">
        <f>IF($H5402=0,1,IF($I5402&lt;=1,2,0))</f>
        <v>0</v>
      </c>
      <c r="K5402">
        <v>0</v>
      </c>
      <c r="L5402">
        <f>IF(AND($J5402=0,$K5402=0),0,1)</f>
        <v>0</v>
      </c>
      <c r="M5402" t="s">
        <v>296</v>
      </c>
    </row>
    <row r="5403" spans="1:13" x14ac:dyDescent="0.2">
      <c r="A5403" t="s">
        <v>282</v>
      </c>
      <c r="B5403" t="s">
        <v>6</v>
      </c>
      <c r="C5403" t="s">
        <v>21</v>
      </c>
      <c r="D5403">
        <v>3265</v>
      </c>
      <c r="E5403">
        <v>2021</v>
      </c>
      <c r="F5403">
        <v>1</v>
      </c>
      <c r="G5403">
        <v>261</v>
      </c>
      <c r="H5403" s="1">
        <v>3</v>
      </c>
      <c r="I5403">
        <v>78</v>
      </c>
      <c r="J5403">
        <f>IF($H5403=0,1,IF($I5403&lt;=1,2,0))</f>
        <v>0</v>
      </c>
      <c r="K5403">
        <v>0</v>
      </c>
      <c r="L5403">
        <f>IF(AND($J5403=0,$K5403=0),0,1)</f>
        <v>0</v>
      </c>
      <c r="M5403" t="s">
        <v>2056</v>
      </c>
    </row>
    <row r="5404" spans="1:13" x14ac:dyDescent="0.2">
      <c r="A5404" t="s">
        <v>282</v>
      </c>
      <c r="B5404" t="s">
        <v>6</v>
      </c>
      <c r="C5404" t="s">
        <v>9</v>
      </c>
      <c r="D5404">
        <v>3412</v>
      </c>
      <c r="E5404">
        <v>2021</v>
      </c>
      <c r="F5404">
        <v>1</v>
      </c>
      <c r="G5404">
        <v>10449</v>
      </c>
      <c r="H5404" s="1">
        <v>4</v>
      </c>
      <c r="I5404">
        <v>105</v>
      </c>
      <c r="J5404">
        <f>IF($H5404=0,1,IF($I5404&lt;=1,2,0))</f>
        <v>0</v>
      </c>
      <c r="K5404">
        <v>0</v>
      </c>
      <c r="L5404">
        <f>IF(AND($J5404=0,$K5404=0),0,1)</f>
        <v>0</v>
      </c>
      <c r="M5404" t="s">
        <v>297</v>
      </c>
    </row>
    <row r="5405" spans="1:13" x14ac:dyDescent="0.2">
      <c r="A5405" t="s">
        <v>282</v>
      </c>
      <c r="B5405" t="s">
        <v>6</v>
      </c>
      <c r="C5405" t="s">
        <v>9</v>
      </c>
      <c r="D5405">
        <v>3412</v>
      </c>
      <c r="E5405">
        <v>2021</v>
      </c>
      <c r="F5405">
        <v>2</v>
      </c>
      <c r="G5405">
        <v>10450</v>
      </c>
      <c r="H5405" s="1">
        <v>4</v>
      </c>
      <c r="I5405">
        <v>75</v>
      </c>
      <c r="J5405">
        <f>IF($H5405=0,1,IF($I5405&lt;=1,2,0))</f>
        <v>0</v>
      </c>
      <c r="K5405">
        <v>0</v>
      </c>
      <c r="L5405">
        <f>IF(AND($J5405=0,$K5405=0),0,1)</f>
        <v>0</v>
      </c>
      <c r="M5405" t="s">
        <v>297</v>
      </c>
    </row>
    <row r="5406" spans="1:13" x14ac:dyDescent="0.2">
      <c r="A5406" t="s">
        <v>282</v>
      </c>
      <c r="B5406" t="s">
        <v>6</v>
      </c>
      <c r="C5406" t="s">
        <v>9</v>
      </c>
      <c r="D5406">
        <v>3412</v>
      </c>
      <c r="E5406">
        <v>2021</v>
      </c>
      <c r="F5406">
        <v>3</v>
      </c>
      <c r="G5406">
        <v>10451</v>
      </c>
      <c r="H5406" s="1">
        <v>4</v>
      </c>
      <c r="I5406">
        <v>30</v>
      </c>
      <c r="J5406">
        <f>IF($H5406=0,1,IF($I5406&lt;=1,2,0))</f>
        <v>0</v>
      </c>
      <c r="K5406">
        <v>0</v>
      </c>
      <c r="L5406">
        <f>IF(AND($J5406=0,$K5406=0),0,1)</f>
        <v>0</v>
      </c>
      <c r="M5406" t="s">
        <v>297</v>
      </c>
    </row>
    <row r="5407" spans="1:13" x14ac:dyDescent="0.2">
      <c r="A5407" t="s">
        <v>282</v>
      </c>
      <c r="B5407" t="s">
        <v>6</v>
      </c>
      <c r="C5407" t="s">
        <v>9</v>
      </c>
      <c r="D5407">
        <v>4020</v>
      </c>
      <c r="E5407">
        <v>2021</v>
      </c>
      <c r="F5407">
        <v>1</v>
      </c>
      <c r="G5407">
        <v>10453</v>
      </c>
      <c r="H5407" s="1">
        <v>3</v>
      </c>
      <c r="I5407">
        <v>17</v>
      </c>
      <c r="J5407">
        <f>IF($H5407=0,1,IF($I5407&lt;=1,2,0))</f>
        <v>0</v>
      </c>
      <c r="K5407">
        <v>0</v>
      </c>
      <c r="L5407">
        <f>IF(AND($J5407=0,$K5407=0),0,1)</f>
        <v>0</v>
      </c>
    </row>
    <row r="5408" spans="1:13" x14ac:dyDescent="0.2">
      <c r="A5408" t="s">
        <v>282</v>
      </c>
      <c r="B5408" t="s">
        <v>6</v>
      </c>
      <c r="C5408" t="s">
        <v>9</v>
      </c>
      <c r="D5408">
        <v>4213</v>
      </c>
      <c r="E5408">
        <v>2021</v>
      </c>
      <c r="F5408">
        <v>1</v>
      </c>
      <c r="G5408">
        <v>10454</v>
      </c>
      <c r="H5408" s="1">
        <v>4</v>
      </c>
      <c r="I5408">
        <v>13</v>
      </c>
      <c r="J5408">
        <f>IF($H5408=0,1,IF($I5408&lt;=1,2,0))</f>
        <v>0</v>
      </c>
      <c r="K5408">
        <v>0</v>
      </c>
      <c r="L5408">
        <f>IF(AND($J5408=0,$K5408=0),0,1)</f>
        <v>0</v>
      </c>
      <c r="M5408" t="s">
        <v>298</v>
      </c>
    </row>
    <row r="5409" spans="1:12" x14ac:dyDescent="0.2">
      <c r="A5409" t="s">
        <v>282</v>
      </c>
      <c r="B5409" t="s">
        <v>6</v>
      </c>
      <c r="C5409" t="s">
        <v>9</v>
      </c>
      <c r="D5409">
        <v>4251</v>
      </c>
      <c r="E5409">
        <v>2021</v>
      </c>
      <c r="F5409">
        <v>1</v>
      </c>
      <c r="G5409">
        <v>10854</v>
      </c>
      <c r="H5409" s="1">
        <v>3</v>
      </c>
      <c r="I5409">
        <v>37</v>
      </c>
      <c r="J5409">
        <f>IF($H5409=0,1,IF($I5409&lt;=1,2,0))</f>
        <v>0</v>
      </c>
      <c r="K5409">
        <v>0</v>
      </c>
      <c r="L5409">
        <f>IF(AND($J5409=0,$K5409=0),0,1)</f>
        <v>0</v>
      </c>
    </row>
    <row r="5410" spans="1:12" x14ac:dyDescent="0.2">
      <c r="A5410" t="s">
        <v>282</v>
      </c>
      <c r="B5410" t="s">
        <v>6</v>
      </c>
      <c r="C5410" t="s">
        <v>9</v>
      </c>
      <c r="D5410">
        <v>4260</v>
      </c>
      <c r="E5410">
        <v>2021</v>
      </c>
      <c r="F5410">
        <v>1</v>
      </c>
      <c r="G5410">
        <v>10456</v>
      </c>
      <c r="H5410" s="1">
        <v>3</v>
      </c>
      <c r="I5410">
        <v>38</v>
      </c>
      <c r="J5410">
        <f>IF($H5410=0,1,IF($I5410&lt;=1,2,0))</f>
        <v>0</v>
      </c>
      <c r="K5410">
        <v>0</v>
      </c>
      <c r="L5410">
        <f>IF(AND($J5410=0,$K5410=0),0,1)</f>
        <v>0</v>
      </c>
    </row>
    <row r="5411" spans="1:12" x14ac:dyDescent="0.2">
      <c r="A5411" t="s">
        <v>282</v>
      </c>
      <c r="B5411" t="s">
        <v>6</v>
      </c>
      <c r="C5411" t="s">
        <v>9</v>
      </c>
      <c r="D5411">
        <v>4280</v>
      </c>
      <c r="E5411">
        <v>2021</v>
      </c>
      <c r="F5411">
        <v>2</v>
      </c>
      <c r="G5411">
        <v>10458</v>
      </c>
      <c r="H5411" s="1">
        <v>3</v>
      </c>
      <c r="I5411">
        <v>78</v>
      </c>
      <c r="J5411">
        <f>IF($H5411=0,1,IF($I5411&lt;=1,2,0))</f>
        <v>0</v>
      </c>
      <c r="K5411">
        <v>0</v>
      </c>
      <c r="L5411">
        <f>IF(AND($J5411=0,$K5411=0),0,1)</f>
        <v>0</v>
      </c>
    </row>
    <row r="5412" spans="1:12" x14ac:dyDescent="0.2">
      <c r="A5412" t="s">
        <v>282</v>
      </c>
      <c r="B5412" t="s">
        <v>6</v>
      </c>
      <c r="C5412" t="s">
        <v>9</v>
      </c>
      <c r="D5412">
        <v>4280</v>
      </c>
      <c r="E5412">
        <v>2021</v>
      </c>
      <c r="F5412">
        <v>1</v>
      </c>
      <c r="G5412">
        <v>10457</v>
      </c>
      <c r="H5412" s="1">
        <v>3</v>
      </c>
      <c r="I5412">
        <v>71</v>
      </c>
      <c r="J5412">
        <f>IF($H5412=0,1,IF($I5412&lt;=1,2,0))</f>
        <v>0</v>
      </c>
      <c r="K5412">
        <v>0</v>
      </c>
      <c r="L5412">
        <f>IF(AND($J5412=0,$K5412=0),0,1)</f>
        <v>0</v>
      </c>
    </row>
    <row r="5413" spans="1:12" x14ac:dyDescent="0.2">
      <c r="A5413" t="s">
        <v>282</v>
      </c>
      <c r="B5413" t="s">
        <v>6</v>
      </c>
      <c r="C5413" t="s">
        <v>9</v>
      </c>
      <c r="D5413">
        <v>4301</v>
      </c>
      <c r="E5413">
        <v>2021</v>
      </c>
      <c r="F5413">
        <v>1</v>
      </c>
      <c r="G5413">
        <v>10459</v>
      </c>
      <c r="H5413" s="1">
        <v>3</v>
      </c>
      <c r="I5413">
        <v>81</v>
      </c>
      <c r="J5413">
        <f>IF($H5413=0,1,IF($I5413&lt;=1,2,0))</f>
        <v>0</v>
      </c>
      <c r="K5413">
        <v>0</v>
      </c>
      <c r="L5413">
        <f>IF(AND($J5413=0,$K5413=0),0,1)</f>
        <v>0</v>
      </c>
    </row>
    <row r="5414" spans="1:12" x14ac:dyDescent="0.2">
      <c r="A5414" t="s">
        <v>282</v>
      </c>
      <c r="B5414" t="s">
        <v>6</v>
      </c>
      <c r="C5414" t="s">
        <v>9</v>
      </c>
      <c r="D5414">
        <v>4321</v>
      </c>
      <c r="E5414">
        <v>2021</v>
      </c>
      <c r="F5414">
        <v>1</v>
      </c>
      <c r="G5414">
        <v>10460</v>
      </c>
      <c r="H5414" s="1">
        <v>3</v>
      </c>
      <c r="I5414">
        <v>17</v>
      </c>
      <c r="J5414">
        <f>IF($H5414=0,1,IF($I5414&lt;=1,2,0))</f>
        <v>0</v>
      </c>
      <c r="K5414">
        <v>0</v>
      </c>
      <c r="L5414">
        <f>IF(AND($J5414=0,$K5414=0),0,1)</f>
        <v>0</v>
      </c>
    </row>
    <row r="5415" spans="1:12" x14ac:dyDescent="0.2">
      <c r="A5415" t="s">
        <v>282</v>
      </c>
      <c r="B5415" t="s">
        <v>6</v>
      </c>
      <c r="C5415" t="s">
        <v>9</v>
      </c>
      <c r="D5415">
        <v>4370</v>
      </c>
      <c r="E5415">
        <v>2021</v>
      </c>
      <c r="F5415">
        <v>1</v>
      </c>
      <c r="G5415">
        <v>10461</v>
      </c>
      <c r="H5415" s="1">
        <v>3</v>
      </c>
      <c r="I5415">
        <v>49</v>
      </c>
      <c r="J5415">
        <f>IF($H5415=0,1,IF($I5415&lt;=1,2,0))</f>
        <v>0</v>
      </c>
      <c r="K5415">
        <v>0</v>
      </c>
      <c r="L5415">
        <f>IF(AND($J5415=0,$K5415=0),0,1)</f>
        <v>0</v>
      </c>
    </row>
    <row r="5416" spans="1:12" x14ac:dyDescent="0.2">
      <c r="A5416" t="s">
        <v>282</v>
      </c>
      <c r="B5416" t="s">
        <v>6</v>
      </c>
      <c r="C5416" t="s">
        <v>9</v>
      </c>
      <c r="D5416">
        <v>4412</v>
      </c>
      <c r="E5416">
        <v>2021</v>
      </c>
      <c r="F5416">
        <v>1</v>
      </c>
      <c r="G5416">
        <v>10463</v>
      </c>
      <c r="H5416" s="1">
        <v>4</v>
      </c>
      <c r="I5416">
        <v>24</v>
      </c>
      <c r="J5416">
        <f>IF($H5416=0,1,IF($I5416&lt;=1,2,0))</f>
        <v>0</v>
      </c>
      <c r="K5416">
        <v>0</v>
      </c>
      <c r="L5416">
        <f>IF(AND($J5416=0,$K5416=0),0,1)</f>
        <v>0</v>
      </c>
    </row>
    <row r="5417" spans="1:12" x14ac:dyDescent="0.2">
      <c r="A5417" t="s">
        <v>282</v>
      </c>
      <c r="B5417" t="s">
        <v>6</v>
      </c>
      <c r="C5417" t="s">
        <v>9</v>
      </c>
      <c r="D5417">
        <v>4415</v>
      </c>
      <c r="E5417">
        <v>2021</v>
      </c>
      <c r="F5417">
        <v>1</v>
      </c>
      <c r="G5417">
        <v>10464</v>
      </c>
      <c r="H5417" s="1">
        <v>3</v>
      </c>
      <c r="I5417">
        <v>80</v>
      </c>
      <c r="J5417">
        <f>IF($H5417=0,1,IF($I5417&lt;=1,2,0))</f>
        <v>0</v>
      </c>
      <c r="K5417">
        <v>0</v>
      </c>
      <c r="L5417">
        <f>IF(AND($J5417=0,$K5417=0),0,1)</f>
        <v>0</v>
      </c>
    </row>
    <row r="5418" spans="1:12" x14ac:dyDescent="0.2">
      <c r="A5418" t="s">
        <v>282</v>
      </c>
      <c r="B5418" t="s">
        <v>6</v>
      </c>
      <c r="C5418" t="s">
        <v>9</v>
      </c>
      <c r="D5418">
        <v>4465</v>
      </c>
      <c r="E5418">
        <v>2021</v>
      </c>
      <c r="F5418">
        <v>1</v>
      </c>
      <c r="G5418">
        <v>10465</v>
      </c>
      <c r="H5418" s="1">
        <v>3</v>
      </c>
      <c r="I5418">
        <v>27</v>
      </c>
      <c r="J5418">
        <f>IF($H5418=0,1,IF($I5418&lt;=1,2,0))</f>
        <v>0</v>
      </c>
      <c r="K5418">
        <v>0</v>
      </c>
      <c r="L5418">
        <f>IF(AND($J5418=0,$K5418=0),0,1)</f>
        <v>0</v>
      </c>
    </row>
    <row r="5419" spans="1:12" x14ac:dyDescent="0.2">
      <c r="A5419" t="s">
        <v>282</v>
      </c>
      <c r="B5419" t="s">
        <v>6</v>
      </c>
      <c r="C5419" t="s">
        <v>9</v>
      </c>
      <c r="D5419">
        <v>4480</v>
      </c>
      <c r="E5419">
        <v>2021</v>
      </c>
      <c r="F5419">
        <v>1</v>
      </c>
      <c r="G5419">
        <v>10466</v>
      </c>
      <c r="H5419" s="1">
        <v>3</v>
      </c>
      <c r="I5419">
        <v>28</v>
      </c>
      <c r="J5419">
        <f>IF($H5419=0,1,IF($I5419&lt;=1,2,0))</f>
        <v>0</v>
      </c>
      <c r="K5419">
        <v>0</v>
      </c>
      <c r="L5419">
        <f>IF(AND($J5419=0,$K5419=0),0,1)</f>
        <v>0</v>
      </c>
    </row>
    <row r="5420" spans="1:12" x14ac:dyDescent="0.2">
      <c r="A5420" t="s">
        <v>282</v>
      </c>
      <c r="B5420" t="s">
        <v>6</v>
      </c>
      <c r="C5420" t="s">
        <v>9</v>
      </c>
      <c r="D5420">
        <v>4500</v>
      </c>
      <c r="E5420">
        <v>2021</v>
      </c>
      <c r="F5420">
        <v>1</v>
      </c>
      <c r="G5420">
        <v>10467</v>
      </c>
      <c r="H5420" s="1">
        <v>3</v>
      </c>
      <c r="I5420">
        <v>50</v>
      </c>
      <c r="J5420">
        <f>IF($H5420=0,1,IF($I5420&lt;=1,2,0))</f>
        <v>0</v>
      </c>
      <c r="K5420">
        <v>0</v>
      </c>
      <c r="L5420">
        <f>IF(AND($J5420=0,$K5420=0),0,1)</f>
        <v>0</v>
      </c>
    </row>
    <row r="5421" spans="1:12" x14ac:dyDescent="0.2">
      <c r="A5421" t="s">
        <v>282</v>
      </c>
      <c r="B5421" t="s">
        <v>6</v>
      </c>
      <c r="C5421" t="s">
        <v>9</v>
      </c>
      <c r="D5421">
        <v>4700</v>
      </c>
      <c r="E5421">
        <v>2021</v>
      </c>
      <c r="F5421">
        <v>1</v>
      </c>
      <c r="G5421">
        <v>10468</v>
      </c>
      <c r="H5421" s="1">
        <v>3</v>
      </c>
      <c r="I5421">
        <v>38</v>
      </c>
      <c r="J5421">
        <f>IF($H5421=0,1,IF($I5421&lt;=1,2,0))</f>
        <v>0</v>
      </c>
      <c r="K5421">
        <v>0</v>
      </c>
      <c r="L5421">
        <f>IF(AND($J5421=0,$K5421=0),0,1)</f>
        <v>0</v>
      </c>
    </row>
    <row r="5422" spans="1:12" x14ac:dyDescent="0.2">
      <c r="A5422" t="s">
        <v>282</v>
      </c>
      <c r="B5422" t="s">
        <v>6</v>
      </c>
      <c r="C5422" t="s">
        <v>9</v>
      </c>
      <c r="D5422">
        <v>4710</v>
      </c>
      <c r="E5422">
        <v>2021</v>
      </c>
      <c r="F5422">
        <v>1</v>
      </c>
      <c r="G5422">
        <v>10607</v>
      </c>
      <c r="H5422" s="1">
        <v>3</v>
      </c>
      <c r="I5422">
        <v>45</v>
      </c>
      <c r="J5422">
        <f>IF($H5422=0,1,IF($I5422&lt;=1,2,0))</f>
        <v>0</v>
      </c>
      <c r="K5422">
        <v>0</v>
      </c>
      <c r="L5422">
        <f>IF(AND($J5422=0,$K5422=0),0,1)</f>
        <v>0</v>
      </c>
    </row>
    <row r="5423" spans="1:12" x14ac:dyDescent="0.2">
      <c r="A5423" t="s">
        <v>282</v>
      </c>
      <c r="B5423" t="s">
        <v>6</v>
      </c>
      <c r="C5423" t="s">
        <v>9</v>
      </c>
      <c r="D5423">
        <v>4911</v>
      </c>
      <c r="E5423">
        <v>2021</v>
      </c>
      <c r="F5423">
        <v>1</v>
      </c>
      <c r="G5423">
        <v>10471</v>
      </c>
      <c r="H5423" s="1">
        <v>4</v>
      </c>
      <c r="I5423">
        <v>16</v>
      </c>
      <c r="J5423">
        <f>IF($H5423=0,1,IF($I5423&lt;=1,2,0))</f>
        <v>0</v>
      </c>
      <c r="K5423">
        <v>0</v>
      </c>
      <c r="L5423">
        <f>IF(AND($J5423=0,$K5423=0),0,1)</f>
        <v>0</v>
      </c>
    </row>
    <row r="5424" spans="1:12" x14ac:dyDescent="0.2">
      <c r="A5424" t="s">
        <v>282</v>
      </c>
      <c r="B5424" t="s">
        <v>6</v>
      </c>
      <c r="C5424" t="s">
        <v>9</v>
      </c>
      <c r="D5424">
        <v>4911</v>
      </c>
      <c r="E5424">
        <v>2021</v>
      </c>
      <c r="F5424">
        <v>4</v>
      </c>
      <c r="G5424">
        <v>10474</v>
      </c>
      <c r="H5424" s="1">
        <v>4</v>
      </c>
      <c r="I5424">
        <v>16</v>
      </c>
      <c r="J5424">
        <f>IF($H5424=0,1,IF($I5424&lt;=1,2,0))</f>
        <v>0</v>
      </c>
      <c r="K5424">
        <v>0</v>
      </c>
      <c r="L5424">
        <f>IF(AND($J5424=0,$K5424=0),0,1)</f>
        <v>0</v>
      </c>
    </row>
    <row r="5425" spans="1:13" x14ac:dyDescent="0.2">
      <c r="A5425" t="s">
        <v>282</v>
      </c>
      <c r="B5425" t="s">
        <v>6</v>
      </c>
      <c r="C5425" t="s">
        <v>9</v>
      </c>
      <c r="D5425">
        <v>4911</v>
      </c>
      <c r="E5425">
        <v>2021</v>
      </c>
      <c r="F5425">
        <v>5</v>
      </c>
      <c r="G5425">
        <v>10475</v>
      </c>
      <c r="H5425" s="1">
        <v>4</v>
      </c>
      <c r="I5425">
        <v>16</v>
      </c>
      <c r="J5425">
        <f>IF($H5425=0,1,IF($I5425&lt;=1,2,0))</f>
        <v>0</v>
      </c>
      <c r="K5425">
        <v>0</v>
      </c>
      <c r="L5425">
        <f>IF(AND($J5425=0,$K5425=0),0,1)</f>
        <v>0</v>
      </c>
    </row>
    <row r="5426" spans="1:13" x14ac:dyDescent="0.2">
      <c r="A5426" t="s">
        <v>282</v>
      </c>
      <c r="B5426" t="s">
        <v>6</v>
      </c>
      <c r="C5426" t="s">
        <v>9</v>
      </c>
      <c r="D5426">
        <v>4911</v>
      </c>
      <c r="E5426">
        <v>2021</v>
      </c>
      <c r="F5426">
        <v>6</v>
      </c>
      <c r="G5426">
        <v>10476</v>
      </c>
      <c r="H5426" s="1">
        <v>4</v>
      </c>
      <c r="I5426">
        <v>15</v>
      </c>
      <c r="J5426">
        <f>IF($H5426=0,1,IF($I5426&lt;=1,2,0))</f>
        <v>0</v>
      </c>
      <c r="K5426">
        <v>0</v>
      </c>
      <c r="L5426">
        <f>IF(AND($J5426=0,$K5426=0),0,1)</f>
        <v>0</v>
      </c>
    </row>
    <row r="5427" spans="1:13" x14ac:dyDescent="0.2">
      <c r="A5427" t="s">
        <v>282</v>
      </c>
      <c r="B5427" t="s">
        <v>6</v>
      </c>
      <c r="C5427" t="s">
        <v>9</v>
      </c>
      <c r="D5427">
        <v>4911</v>
      </c>
      <c r="E5427">
        <v>2021</v>
      </c>
      <c r="F5427">
        <v>7</v>
      </c>
      <c r="G5427">
        <v>17498</v>
      </c>
      <c r="H5427" s="1">
        <v>4</v>
      </c>
      <c r="I5427">
        <v>15</v>
      </c>
      <c r="J5427">
        <f>IF($H5427=0,1,IF($I5427&lt;=1,2,0))</f>
        <v>0</v>
      </c>
      <c r="K5427">
        <v>0</v>
      </c>
      <c r="L5427">
        <f>IF(AND($J5427=0,$K5427=0),0,1)</f>
        <v>0</v>
      </c>
    </row>
    <row r="5428" spans="1:13" x14ac:dyDescent="0.2">
      <c r="A5428" t="s">
        <v>282</v>
      </c>
      <c r="B5428" t="s">
        <v>6</v>
      </c>
      <c r="C5428" t="s">
        <v>9</v>
      </c>
      <c r="D5428">
        <v>4911</v>
      </c>
      <c r="E5428">
        <v>2021</v>
      </c>
      <c r="F5428">
        <v>3</v>
      </c>
      <c r="G5428">
        <v>10473</v>
      </c>
      <c r="H5428" s="1">
        <v>4</v>
      </c>
      <c r="I5428">
        <v>13</v>
      </c>
      <c r="J5428">
        <f>IF($H5428=0,1,IF($I5428&lt;=1,2,0))</f>
        <v>0</v>
      </c>
      <c r="K5428">
        <v>0</v>
      </c>
      <c r="L5428">
        <f>IF(AND($J5428=0,$K5428=0),0,1)</f>
        <v>0</v>
      </c>
    </row>
    <row r="5429" spans="1:13" x14ac:dyDescent="0.2">
      <c r="A5429" t="s">
        <v>282</v>
      </c>
      <c r="B5429" t="s">
        <v>6</v>
      </c>
      <c r="C5429" t="s">
        <v>9</v>
      </c>
      <c r="D5429">
        <v>4911</v>
      </c>
      <c r="E5429">
        <v>2021</v>
      </c>
      <c r="F5429">
        <v>2</v>
      </c>
      <c r="G5429">
        <v>10472</v>
      </c>
      <c r="H5429" s="1">
        <v>4</v>
      </c>
      <c r="I5429">
        <v>11</v>
      </c>
      <c r="J5429">
        <f>IF($H5429=0,1,IF($I5429&lt;=1,2,0))</f>
        <v>0</v>
      </c>
      <c r="K5429">
        <v>0</v>
      </c>
      <c r="L5429">
        <f>IF(AND($J5429=0,$K5429=0),0,1)</f>
        <v>0</v>
      </c>
    </row>
    <row r="5430" spans="1:13" x14ac:dyDescent="0.2">
      <c r="A5430" t="s">
        <v>282</v>
      </c>
      <c r="B5430" t="s">
        <v>6</v>
      </c>
      <c r="C5430" t="s">
        <v>9</v>
      </c>
      <c r="D5430">
        <v>4913</v>
      </c>
      <c r="E5430">
        <v>2021</v>
      </c>
      <c r="F5430">
        <v>1</v>
      </c>
      <c r="G5430">
        <v>10477</v>
      </c>
      <c r="H5430" s="1">
        <v>4</v>
      </c>
      <c r="I5430">
        <v>15</v>
      </c>
      <c r="J5430">
        <f>IF($H5430=0,1,IF($I5430&lt;=1,2,0))</f>
        <v>0</v>
      </c>
      <c r="K5430">
        <v>0</v>
      </c>
      <c r="L5430">
        <f>IF(AND($J5430=0,$K5430=0),0,1)</f>
        <v>0</v>
      </c>
    </row>
    <row r="5431" spans="1:13" x14ac:dyDescent="0.2">
      <c r="A5431" t="s">
        <v>282</v>
      </c>
      <c r="B5431" t="s">
        <v>6</v>
      </c>
      <c r="C5431" t="s">
        <v>9</v>
      </c>
      <c r="D5431">
        <v>4913</v>
      </c>
      <c r="E5431">
        <v>2021</v>
      </c>
      <c r="F5431">
        <v>2</v>
      </c>
      <c r="G5431">
        <v>10478</v>
      </c>
      <c r="H5431" s="1">
        <v>4</v>
      </c>
      <c r="I5431">
        <v>13</v>
      </c>
      <c r="J5431">
        <f>IF($H5431=0,1,IF($I5431&lt;=1,2,0))</f>
        <v>0</v>
      </c>
      <c r="K5431">
        <v>0</v>
      </c>
      <c r="L5431">
        <f>IF(AND($J5431=0,$K5431=0),0,1)</f>
        <v>0</v>
      </c>
    </row>
    <row r="5432" spans="1:13" x14ac:dyDescent="0.2">
      <c r="A5432" t="s">
        <v>282</v>
      </c>
      <c r="B5432" t="s">
        <v>6</v>
      </c>
      <c r="C5432" t="s">
        <v>9</v>
      </c>
      <c r="D5432">
        <v>4995</v>
      </c>
      <c r="E5432">
        <v>2021</v>
      </c>
      <c r="F5432">
        <v>1</v>
      </c>
      <c r="G5432">
        <v>10481</v>
      </c>
      <c r="H5432" s="1">
        <v>1</v>
      </c>
      <c r="I5432">
        <v>4</v>
      </c>
      <c r="J5432">
        <f>IF($H5432=0,1,IF($I5432&lt;=1,2,0))</f>
        <v>0</v>
      </c>
      <c r="K5432">
        <v>0</v>
      </c>
      <c r="L5432">
        <f>IF(AND($J5432=0,$K5432=0),0,1)</f>
        <v>0</v>
      </c>
    </row>
    <row r="5433" spans="1:13" x14ac:dyDescent="0.2">
      <c r="A5433" t="s">
        <v>282</v>
      </c>
      <c r="B5433" t="s">
        <v>6</v>
      </c>
      <c r="C5433" t="s">
        <v>9</v>
      </c>
      <c r="D5433">
        <v>4996</v>
      </c>
      <c r="E5433">
        <v>2021</v>
      </c>
      <c r="F5433">
        <v>1</v>
      </c>
      <c r="G5433">
        <v>10482</v>
      </c>
      <c r="H5433" s="1" t="s">
        <v>1837</v>
      </c>
      <c r="I5433">
        <v>34</v>
      </c>
      <c r="J5433">
        <f>IF($H5433=0,1,IF($I5433&lt;=1,2,0))</f>
        <v>0</v>
      </c>
      <c r="K5433">
        <v>0</v>
      </c>
      <c r="L5433">
        <f>IF(AND($J5433=0,$K5433=0),0,1)</f>
        <v>0</v>
      </c>
    </row>
    <row r="5434" spans="1:13" x14ac:dyDescent="0.2">
      <c r="A5434" t="s">
        <v>282</v>
      </c>
      <c r="B5434" t="s">
        <v>6</v>
      </c>
      <c r="C5434" t="s">
        <v>11</v>
      </c>
      <c r="D5434">
        <v>6211</v>
      </c>
      <c r="E5434">
        <v>2021</v>
      </c>
      <c r="F5434">
        <v>1</v>
      </c>
      <c r="G5434">
        <v>10900</v>
      </c>
      <c r="H5434" s="1">
        <v>4</v>
      </c>
      <c r="I5434">
        <v>24</v>
      </c>
      <c r="J5434">
        <f>IF($H5434=0,1,IF($I5434&lt;=1,2,0))</f>
        <v>0</v>
      </c>
      <c r="K5434">
        <v>0</v>
      </c>
      <c r="L5434">
        <f>IF(AND($J5434=0,$K5434=0),0,1)</f>
        <v>0</v>
      </c>
      <c r="M5434" t="s">
        <v>977</v>
      </c>
    </row>
    <row r="5435" spans="1:13" x14ac:dyDescent="0.2">
      <c r="A5435" t="s">
        <v>282</v>
      </c>
      <c r="B5435" t="s">
        <v>6</v>
      </c>
      <c r="C5435" t="s">
        <v>11</v>
      </c>
      <c r="D5435">
        <v>6215</v>
      </c>
      <c r="E5435">
        <v>2021</v>
      </c>
      <c r="F5435">
        <v>1</v>
      </c>
      <c r="G5435">
        <v>10902</v>
      </c>
      <c r="H5435" s="1">
        <v>4</v>
      </c>
      <c r="I5435">
        <v>18</v>
      </c>
      <c r="J5435">
        <f>IF($H5435=0,1,IF($I5435&lt;=1,2,0))</f>
        <v>0</v>
      </c>
      <c r="K5435">
        <v>0</v>
      </c>
      <c r="L5435">
        <f>IF(AND($J5435=0,$K5435=0),0,1)</f>
        <v>0</v>
      </c>
      <c r="M5435" t="s">
        <v>977</v>
      </c>
    </row>
    <row r="5436" spans="1:13" x14ac:dyDescent="0.2">
      <c r="A5436" t="s">
        <v>282</v>
      </c>
      <c r="B5436" t="s">
        <v>6</v>
      </c>
      <c r="C5436" t="s">
        <v>11</v>
      </c>
      <c r="D5436">
        <v>6218</v>
      </c>
      <c r="E5436">
        <v>2021</v>
      </c>
      <c r="F5436">
        <v>1</v>
      </c>
      <c r="G5436">
        <v>10903</v>
      </c>
      <c r="H5436" s="1">
        <v>3</v>
      </c>
      <c r="I5436">
        <v>8</v>
      </c>
      <c r="J5436">
        <f>IF($H5436=0,1,IF($I5436&lt;=1,2,0))</f>
        <v>0</v>
      </c>
      <c r="K5436">
        <v>0</v>
      </c>
      <c r="L5436">
        <f>IF(AND($J5436=0,$K5436=0),0,1)</f>
        <v>0</v>
      </c>
    </row>
    <row r="5437" spans="1:13" x14ac:dyDescent="0.2">
      <c r="A5437" t="s">
        <v>282</v>
      </c>
      <c r="B5437" t="s">
        <v>6</v>
      </c>
      <c r="C5437" t="s">
        <v>11</v>
      </c>
      <c r="D5437">
        <v>6251</v>
      </c>
      <c r="E5437">
        <v>2021</v>
      </c>
      <c r="F5437">
        <v>1</v>
      </c>
      <c r="G5437">
        <v>10914</v>
      </c>
      <c r="H5437" s="1">
        <v>3</v>
      </c>
      <c r="I5437">
        <v>12</v>
      </c>
      <c r="J5437">
        <f>IF($H5437=0,1,IF($I5437&lt;=1,2,0))</f>
        <v>0</v>
      </c>
      <c r="K5437">
        <v>0</v>
      </c>
      <c r="L5437">
        <f>IF(AND($J5437=0,$K5437=0),0,1)</f>
        <v>0</v>
      </c>
    </row>
    <row r="5438" spans="1:13" x14ac:dyDescent="0.2">
      <c r="A5438" t="s">
        <v>282</v>
      </c>
      <c r="B5438" t="s">
        <v>6</v>
      </c>
      <c r="C5438" t="s">
        <v>11</v>
      </c>
      <c r="D5438">
        <v>6253</v>
      </c>
      <c r="E5438">
        <v>2021</v>
      </c>
      <c r="F5438">
        <v>1</v>
      </c>
      <c r="G5438">
        <v>10915</v>
      </c>
      <c r="H5438" s="1">
        <v>3</v>
      </c>
      <c r="I5438">
        <v>9</v>
      </c>
      <c r="J5438">
        <f>IF($H5438=0,1,IF($I5438&lt;=1,2,0))</f>
        <v>0</v>
      </c>
      <c r="K5438">
        <v>0</v>
      </c>
      <c r="L5438">
        <f>IF(AND($J5438=0,$K5438=0),0,1)</f>
        <v>0</v>
      </c>
      <c r="M5438" t="s">
        <v>978</v>
      </c>
    </row>
    <row r="5439" spans="1:13" x14ac:dyDescent="0.2">
      <c r="A5439" t="s">
        <v>282</v>
      </c>
      <c r="B5439" t="s">
        <v>6</v>
      </c>
      <c r="C5439" t="s">
        <v>11</v>
      </c>
      <c r="D5439">
        <v>6290</v>
      </c>
      <c r="E5439">
        <v>2021</v>
      </c>
      <c r="F5439">
        <v>1</v>
      </c>
      <c r="G5439">
        <v>10917</v>
      </c>
      <c r="H5439" s="1">
        <v>3</v>
      </c>
      <c r="I5439">
        <v>5</v>
      </c>
      <c r="J5439">
        <f>IF($H5439=0,1,IF($I5439&lt;=1,2,0))</f>
        <v>0</v>
      </c>
      <c r="K5439">
        <v>0</v>
      </c>
      <c r="L5439">
        <f>IF(AND($J5439=0,$K5439=0),0,1)</f>
        <v>0</v>
      </c>
    </row>
    <row r="5440" spans="1:13" x14ac:dyDescent="0.2">
      <c r="A5440" t="s">
        <v>282</v>
      </c>
      <c r="B5440" t="s">
        <v>6</v>
      </c>
      <c r="C5440" t="s">
        <v>11</v>
      </c>
      <c r="D5440">
        <v>6308</v>
      </c>
      <c r="E5440">
        <v>2021</v>
      </c>
      <c r="F5440">
        <v>1</v>
      </c>
      <c r="G5440">
        <v>15148</v>
      </c>
      <c r="H5440" s="1">
        <v>3</v>
      </c>
      <c r="I5440">
        <v>13</v>
      </c>
      <c r="J5440">
        <f>IF($H5440=0,1,IF($I5440&lt;=1,2,0))</f>
        <v>0</v>
      </c>
      <c r="K5440">
        <v>0</v>
      </c>
      <c r="L5440">
        <f>IF(AND($J5440=0,$K5440=0),0,1)</f>
        <v>0</v>
      </c>
      <c r="M5440" t="s">
        <v>978</v>
      </c>
    </row>
    <row r="5441" spans="1:13" x14ac:dyDescent="0.2">
      <c r="A5441" t="s">
        <v>282</v>
      </c>
      <c r="B5441" t="s">
        <v>6</v>
      </c>
      <c r="C5441" t="s">
        <v>11</v>
      </c>
      <c r="D5441">
        <v>6410</v>
      </c>
      <c r="E5441">
        <v>2021</v>
      </c>
      <c r="F5441">
        <v>1</v>
      </c>
      <c r="G5441">
        <v>10926</v>
      </c>
      <c r="H5441" s="1">
        <v>4</v>
      </c>
      <c r="I5441">
        <v>17</v>
      </c>
      <c r="J5441">
        <f>IF($H5441=0,1,IF($I5441&lt;=1,2,0))</f>
        <v>0</v>
      </c>
      <c r="K5441">
        <v>0</v>
      </c>
      <c r="L5441">
        <f>IF(AND($J5441=0,$K5441=0),0,1)</f>
        <v>0</v>
      </c>
      <c r="M5441" t="s">
        <v>977</v>
      </c>
    </row>
    <row r="5442" spans="1:13" x14ac:dyDescent="0.2">
      <c r="A5442" t="s">
        <v>282</v>
      </c>
      <c r="B5442" t="s">
        <v>6</v>
      </c>
      <c r="C5442" t="s">
        <v>11</v>
      </c>
      <c r="D5442">
        <v>6411</v>
      </c>
      <c r="E5442">
        <v>2021</v>
      </c>
      <c r="F5442">
        <v>1</v>
      </c>
      <c r="G5442">
        <v>10928</v>
      </c>
      <c r="H5442" s="1">
        <v>4</v>
      </c>
      <c r="I5442">
        <v>23</v>
      </c>
      <c r="J5442">
        <f>IF($H5442=0,1,IF($I5442&lt;=1,2,0))</f>
        <v>0</v>
      </c>
      <c r="K5442">
        <v>0</v>
      </c>
      <c r="L5442">
        <f>IF(AND($J5442=0,$K5442=0),0,1)</f>
        <v>0</v>
      </c>
      <c r="M5442" t="s">
        <v>977</v>
      </c>
    </row>
    <row r="5443" spans="1:13" x14ac:dyDescent="0.2">
      <c r="A5443" t="s">
        <v>282</v>
      </c>
      <c r="B5443" t="s">
        <v>6</v>
      </c>
      <c r="C5443" t="s">
        <v>11</v>
      </c>
      <c r="D5443">
        <v>6413</v>
      </c>
      <c r="E5443">
        <v>2021</v>
      </c>
      <c r="F5443">
        <v>1</v>
      </c>
      <c r="G5443">
        <v>10931</v>
      </c>
      <c r="H5443" s="1">
        <v>3</v>
      </c>
      <c r="I5443">
        <v>9</v>
      </c>
      <c r="J5443">
        <f>IF($H5443=0,1,IF($I5443&lt;=1,2,0))</f>
        <v>0</v>
      </c>
      <c r="K5443">
        <v>0</v>
      </c>
      <c r="L5443">
        <f>IF(AND($J5443=0,$K5443=0),0,1)</f>
        <v>0</v>
      </c>
      <c r="M5443" t="s">
        <v>978</v>
      </c>
    </row>
    <row r="5444" spans="1:13" x14ac:dyDescent="0.2">
      <c r="A5444" t="s">
        <v>282</v>
      </c>
      <c r="B5444" t="s">
        <v>6</v>
      </c>
      <c r="C5444" t="s">
        <v>11</v>
      </c>
      <c r="D5444">
        <v>6451</v>
      </c>
      <c r="E5444">
        <v>2021</v>
      </c>
      <c r="F5444">
        <v>1</v>
      </c>
      <c r="G5444">
        <v>10933</v>
      </c>
      <c r="H5444" s="1">
        <v>3</v>
      </c>
      <c r="I5444">
        <v>21</v>
      </c>
      <c r="J5444">
        <f>IF($H5444=0,1,IF($I5444&lt;=1,2,0))</f>
        <v>0</v>
      </c>
      <c r="K5444">
        <v>0</v>
      </c>
      <c r="L5444">
        <f>IF(AND($J5444=0,$K5444=0),0,1)</f>
        <v>0</v>
      </c>
    </row>
    <row r="5445" spans="1:13" x14ac:dyDescent="0.2">
      <c r="A5445" t="s">
        <v>282</v>
      </c>
      <c r="B5445" t="s">
        <v>6</v>
      </c>
      <c r="C5445" t="s">
        <v>11</v>
      </c>
      <c r="D5445">
        <v>6805</v>
      </c>
      <c r="E5445">
        <v>2021</v>
      </c>
      <c r="F5445">
        <v>1</v>
      </c>
      <c r="G5445">
        <v>10935</v>
      </c>
      <c r="H5445" s="1">
        <v>3</v>
      </c>
      <c r="I5445">
        <v>9</v>
      </c>
      <c r="J5445">
        <f>IF($H5445=0,1,IF($I5445&lt;=1,2,0))</f>
        <v>0</v>
      </c>
      <c r="K5445">
        <v>0</v>
      </c>
      <c r="L5445">
        <f>IF(AND($J5445=0,$K5445=0),0,1)</f>
        <v>0</v>
      </c>
      <c r="M5445" t="s">
        <v>978</v>
      </c>
    </row>
    <row r="5446" spans="1:13" x14ac:dyDescent="0.2">
      <c r="A5446" t="s">
        <v>282</v>
      </c>
      <c r="B5446" t="s">
        <v>6</v>
      </c>
      <c r="C5446" t="s">
        <v>11</v>
      </c>
      <c r="D5446">
        <v>6808</v>
      </c>
      <c r="E5446">
        <v>2021</v>
      </c>
      <c r="F5446">
        <v>1</v>
      </c>
      <c r="G5446">
        <v>10937</v>
      </c>
      <c r="H5446" s="1">
        <v>4</v>
      </c>
      <c r="I5446">
        <v>10</v>
      </c>
      <c r="J5446">
        <f>IF($H5446=0,1,IF($I5446&lt;=1,2,0))</f>
        <v>0</v>
      </c>
      <c r="K5446">
        <v>0</v>
      </c>
      <c r="L5446">
        <f>IF(AND($J5446=0,$K5446=0),0,1)</f>
        <v>0</v>
      </c>
    </row>
    <row r="5447" spans="1:13" x14ac:dyDescent="0.2">
      <c r="A5447" t="s">
        <v>282</v>
      </c>
      <c r="B5447" t="s">
        <v>6</v>
      </c>
      <c r="C5447" t="s">
        <v>11</v>
      </c>
      <c r="D5447">
        <v>6903</v>
      </c>
      <c r="E5447">
        <v>2021</v>
      </c>
      <c r="F5447">
        <v>1</v>
      </c>
      <c r="G5447">
        <v>10938</v>
      </c>
      <c r="H5447" s="1">
        <v>3</v>
      </c>
      <c r="I5447">
        <v>7</v>
      </c>
      <c r="J5447">
        <f>IF($H5447=0,1,IF($I5447&lt;=1,2,0))</f>
        <v>0</v>
      </c>
      <c r="K5447">
        <v>0</v>
      </c>
      <c r="L5447">
        <f>IF(AND($J5447=0,$K5447=0),0,1)</f>
        <v>0</v>
      </c>
      <c r="M5447" t="s">
        <v>978</v>
      </c>
    </row>
    <row r="5448" spans="1:13" x14ac:dyDescent="0.2">
      <c r="A5448" t="s">
        <v>282</v>
      </c>
      <c r="B5448" t="s">
        <v>6</v>
      </c>
      <c r="C5448" t="s">
        <v>11</v>
      </c>
      <c r="D5448">
        <v>8310</v>
      </c>
      <c r="E5448">
        <v>2021</v>
      </c>
      <c r="F5448">
        <v>1</v>
      </c>
      <c r="G5448">
        <v>10941</v>
      </c>
      <c r="H5448" s="1">
        <v>2</v>
      </c>
      <c r="I5448">
        <v>3</v>
      </c>
      <c r="J5448">
        <f>IF($H5448=0,1,IF($I5448&lt;=1,2,0))</f>
        <v>0</v>
      </c>
      <c r="K5448">
        <v>0</v>
      </c>
      <c r="L5448">
        <f>IF(AND($J5448=0,$K5448=0),0,1)</f>
        <v>0</v>
      </c>
    </row>
    <row r="5449" spans="1:13" x14ac:dyDescent="0.2">
      <c r="A5449" t="s">
        <v>282</v>
      </c>
      <c r="B5449" t="s">
        <v>6</v>
      </c>
      <c r="C5449" t="s">
        <v>11</v>
      </c>
      <c r="D5449">
        <v>8315</v>
      </c>
      <c r="E5449">
        <v>2021</v>
      </c>
      <c r="F5449">
        <v>1</v>
      </c>
      <c r="G5449">
        <v>10943</v>
      </c>
      <c r="H5449" s="1">
        <v>2</v>
      </c>
      <c r="I5449">
        <v>19</v>
      </c>
      <c r="J5449">
        <f>IF($H5449=0,1,IF($I5449&lt;=1,2,0))</f>
        <v>0</v>
      </c>
      <c r="K5449">
        <v>0</v>
      </c>
      <c r="L5449">
        <f>IF(AND($J5449=0,$K5449=0),0,1)</f>
        <v>0</v>
      </c>
    </row>
    <row r="5450" spans="1:13" x14ac:dyDescent="0.2">
      <c r="A5450" t="s">
        <v>282</v>
      </c>
      <c r="B5450" t="s">
        <v>6</v>
      </c>
      <c r="C5450" t="s">
        <v>11</v>
      </c>
      <c r="D5450">
        <v>8420</v>
      </c>
      <c r="E5450">
        <v>2021</v>
      </c>
      <c r="F5450">
        <v>1</v>
      </c>
      <c r="G5450">
        <v>10944</v>
      </c>
      <c r="H5450" s="1">
        <v>2</v>
      </c>
      <c r="I5450">
        <v>20</v>
      </c>
      <c r="J5450">
        <f>IF($H5450=0,1,IF($I5450&lt;=1,2,0))</f>
        <v>0</v>
      </c>
      <c r="K5450">
        <v>0</v>
      </c>
      <c r="L5450">
        <f>IF(AND($J5450=0,$K5450=0),0,1)</f>
        <v>0</v>
      </c>
    </row>
    <row r="5451" spans="1:13" x14ac:dyDescent="0.2">
      <c r="A5451" t="s">
        <v>282</v>
      </c>
      <c r="B5451" t="s">
        <v>6</v>
      </c>
      <c r="C5451" t="s">
        <v>11</v>
      </c>
      <c r="D5451">
        <v>8440</v>
      </c>
      <c r="E5451">
        <v>2021</v>
      </c>
      <c r="F5451">
        <v>1</v>
      </c>
      <c r="G5451">
        <v>10947</v>
      </c>
      <c r="H5451" s="1">
        <v>2</v>
      </c>
      <c r="I5451">
        <v>7</v>
      </c>
      <c r="J5451">
        <f>IF($H5451=0,1,IF($I5451&lt;=1,2,0))</f>
        <v>0</v>
      </c>
      <c r="K5451">
        <v>0</v>
      </c>
      <c r="L5451">
        <f>IF(AND($J5451=0,$K5451=0),0,1)</f>
        <v>0</v>
      </c>
    </row>
    <row r="5452" spans="1:13" x14ac:dyDescent="0.2">
      <c r="A5452" t="s">
        <v>282</v>
      </c>
      <c r="B5452" t="s">
        <v>6</v>
      </c>
      <c r="C5452" t="s">
        <v>11</v>
      </c>
      <c r="D5452">
        <v>8708</v>
      </c>
      <c r="E5452">
        <v>2021</v>
      </c>
      <c r="F5452">
        <v>1</v>
      </c>
      <c r="G5452">
        <v>10951</v>
      </c>
      <c r="H5452" s="1">
        <v>2</v>
      </c>
      <c r="I5452">
        <v>10</v>
      </c>
      <c r="J5452">
        <f>IF($H5452=0,1,IF($I5452&lt;=1,2,0))</f>
        <v>0</v>
      </c>
      <c r="K5452">
        <v>0</v>
      </c>
      <c r="L5452">
        <f>IF(AND($J5452=0,$K5452=0),0,1)</f>
        <v>0</v>
      </c>
    </row>
    <row r="5453" spans="1:13" x14ac:dyDescent="0.2">
      <c r="A5453" t="s">
        <v>282</v>
      </c>
      <c r="B5453" t="s">
        <v>6</v>
      </c>
      <c r="C5453" t="s">
        <v>11</v>
      </c>
      <c r="D5453">
        <v>8712</v>
      </c>
      <c r="E5453">
        <v>2021</v>
      </c>
      <c r="F5453">
        <v>1</v>
      </c>
      <c r="G5453">
        <v>10957</v>
      </c>
      <c r="H5453" s="1">
        <v>2</v>
      </c>
      <c r="I5453">
        <v>9</v>
      </c>
      <c r="J5453">
        <f>IF($H5453=0,1,IF($I5453&lt;=1,2,0))</f>
        <v>0</v>
      </c>
      <c r="K5453">
        <v>0</v>
      </c>
      <c r="L5453">
        <f>IF(AND($J5453=0,$K5453=0),0,1)</f>
        <v>0</v>
      </c>
    </row>
    <row r="5454" spans="1:13" x14ac:dyDescent="0.2">
      <c r="A5454" t="s">
        <v>282</v>
      </c>
      <c r="B5454" t="s">
        <v>6</v>
      </c>
      <c r="C5454" t="s">
        <v>11</v>
      </c>
      <c r="D5454">
        <v>8713</v>
      </c>
      <c r="E5454">
        <v>2021</v>
      </c>
      <c r="F5454">
        <v>1</v>
      </c>
      <c r="G5454">
        <v>10962</v>
      </c>
      <c r="H5454" s="1">
        <v>2</v>
      </c>
      <c r="I5454">
        <v>11</v>
      </c>
      <c r="J5454">
        <f>IF($H5454=0,1,IF($I5454&lt;=1,2,0))</f>
        <v>0</v>
      </c>
      <c r="K5454">
        <v>0</v>
      </c>
      <c r="L5454">
        <f>IF(AND($J5454=0,$K5454=0),0,1)</f>
        <v>0</v>
      </c>
    </row>
    <row r="5455" spans="1:13" x14ac:dyDescent="0.2">
      <c r="A5455" t="s">
        <v>282</v>
      </c>
      <c r="B5455" t="s">
        <v>6</v>
      </c>
      <c r="C5455" t="s">
        <v>11</v>
      </c>
      <c r="D5455">
        <v>8714</v>
      </c>
      <c r="E5455">
        <v>2021</v>
      </c>
      <c r="F5455">
        <v>1</v>
      </c>
      <c r="G5455">
        <v>10964</v>
      </c>
      <c r="H5455" s="1">
        <v>2</v>
      </c>
      <c r="I5455">
        <v>28</v>
      </c>
      <c r="J5455">
        <f>IF($H5455=0,1,IF($I5455&lt;=1,2,0))</f>
        <v>0</v>
      </c>
      <c r="K5455">
        <v>0</v>
      </c>
      <c r="L5455">
        <f>IF(AND($J5455=0,$K5455=0),0,1)</f>
        <v>0</v>
      </c>
    </row>
    <row r="5456" spans="1:13" x14ac:dyDescent="0.2">
      <c r="A5456" t="s">
        <v>282</v>
      </c>
      <c r="B5456" t="s">
        <v>6</v>
      </c>
      <c r="C5456" t="s">
        <v>11</v>
      </c>
      <c r="D5456">
        <v>8730</v>
      </c>
      <c r="E5456">
        <v>2021</v>
      </c>
      <c r="F5456">
        <v>1</v>
      </c>
      <c r="G5456">
        <v>10967</v>
      </c>
      <c r="H5456" s="1">
        <v>2</v>
      </c>
      <c r="I5456">
        <v>6</v>
      </c>
      <c r="J5456">
        <f>IF($H5456=0,1,IF($I5456&lt;=1,2,0))</f>
        <v>0</v>
      </c>
      <c r="K5456">
        <v>0</v>
      </c>
      <c r="L5456">
        <f>IF(AND($J5456=0,$K5456=0),0,1)</f>
        <v>0</v>
      </c>
    </row>
    <row r="5457" spans="1:13" x14ac:dyDescent="0.2">
      <c r="A5457" t="s">
        <v>309</v>
      </c>
      <c r="B5457" t="s">
        <v>71</v>
      </c>
      <c r="C5457" t="s">
        <v>72</v>
      </c>
      <c r="D5457">
        <v>6091</v>
      </c>
      <c r="E5457">
        <v>2021</v>
      </c>
      <c r="F5457">
        <v>1</v>
      </c>
      <c r="G5457">
        <v>12058</v>
      </c>
      <c r="H5457" s="1">
        <v>3</v>
      </c>
      <c r="I5457">
        <v>21</v>
      </c>
      <c r="J5457">
        <f>IF($H5457=0,1,IF($I5457&lt;=1,2,0))</f>
        <v>0</v>
      </c>
      <c r="K5457">
        <v>0</v>
      </c>
      <c r="L5457">
        <f>IF(AND($J5457=0,$K5457=0),0,1)</f>
        <v>0</v>
      </c>
    </row>
    <row r="5458" spans="1:13" x14ac:dyDescent="0.2">
      <c r="A5458" t="s">
        <v>310</v>
      </c>
      <c r="B5458" t="s">
        <v>71</v>
      </c>
      <c r="C5458" t="s">
        <v>72</v>
      </c>
      <c r="D5458">
        <v>4321</v>
      </c>
      <c r="E5458">
        <v>2021</v>
      </c>
      <c r="F5458">
        <v>1</v>
      </c>
      <c r="G5458">
        <v>12054</v>
      </c>
      <c r="H5458" s="1">
        <v>3</v>
      </c>
      <c r="I5458">
        <v>67</v>
      </c>
      <c r="J5458">
        <f>IF($H5458=0,1,IF($I5458&lt;=1,2,0))</f>
        <v>0</v>
      </c>
      <c r="K5458">
        <v>0</v>
      </c>
      <c r="L5458">
        <f>IF(AND($J5458=0,$K5458=0),0,1)</f>
        <v>0</v>
      </c>
    </row>
    <row r="5459" spans="1:13" x14ac:dyDescent="0.2">
      <c r="A5459" t="s">
        <v>310</v>
      </c>
      <c r="B5459" t="s">
        <v>71</v>
      </c>
      <c r="C5459" t="s">
        <v>72</v>
      </c>
      <c r="D5459">
        <v>4750</v>
      </c>
      <c r="E5459">
        <v>2021</v>
      </c>
      <c r="F5459">
        <v>1</v>
      </c>
      <c r="G5459">
        <v>12055</v>
      </c>
      <c r="H5459" s="1">
        <v>3</v>
      </c>
      <c r="I5459">
        <v>27</v>
      </c>
      <c r="J5459">
        <f>IF($H5459=0,1,IF($I5459&lt;=1,2,0))</f>
        <v>0</v>
      </c>
      <c r="K5459">
        <v>0</v>
      </c>
      <c r="L5459">
        <f>IF(AND($J5459=0,$K5459=0),0,1)</f>
        <v>0</v>
      </c>
    </row>
    <row r="5460" spans="1:13" x14ac:dyDescent="0.2">
      <c r="A5460" t="s">
        <v>310</v>
      </c>
      <c r="B5460" t="s">
        <v>71</v>
      </c>
      <c r="C5460" t="s">
        <v>72</v>
      </c>
      <c r="D5460">
        <v>4764</v>
      </c>
      <c r="E5460">
        <v>2021</v>
      </c>
      <c r="F5460">
        <v>1</v>
      </c>
      <c r="G5460">
        <v>12056</v>
      </c>
      <c r="H5460" s="1">
        <v>3</v>
      </c>
      <c r="I5460">
        <v>63</v>
      </c>
      <c r="J5460">
        <f>IF($H5460=0,1,IF($I5460&lt;=1,2,0))</f>
        <v>0</v>
      </c>
      <c r="K5460">
        <v>0</v>
      </c>
      <c r="L5460">
        <f>IF(AND($J5460=0,$K5460=0),0,1)</f>
        <v>0</v>
      </c>
    </row>
    <row r="5461" spans="1:13" x14ac:dyDescent="0.2">
      <c r="A5461" t="s">
        <v>310</v>
      </c>
      <c r="B5461" t="s">
        <v>71</v>
      </c>
      <c r="C5461" t="s">
        <v>72</v>
      </c>
      <c r="D5461">
        <v>6690</v>
      </c>
      <c r="E5461">
        <v>2021</v>
      </c>
      <c r="F5461">
        <v>1</v>
      </c>
      <c r="G5461">
        <v>12059</v>
      </c>
      <c r="H5461" s="1">
        <v>3</v>
      </c>
      <c r="I5461">
        <v>79</v>
      </c>
      <c r="J5461">
        <f>IF($H5461=0,1,IF($I5461&lt;=1,2,0))</f>
        <v>0</v>
      </c>
      <c r="K5461">
        <v>0</v>
      </c>
      <c r="L5461">
        <f>IF(AND($J5461=0,$K5461=0),0,1)</f>
        <v>0</v>
      </c>
    </row>
    <row r="5462" spans="1:13" x14ac:dyDescent="0.2">
      <c r="A5462" t="s">
        <v>310</v>
      </c>
      <c r="B5462" t="s">
        <v>71</v>
      </c>
      <c r="C5462" t="s">
        <v>72</v>
      </c>
      <c r="D5462">
        <v>6690</v>
      </c>
      <c r="E5462">
        <v>2021</v>
      </c>
      <c r="F5462" t="s">
        <v>251</v>
      </c>
      <c r="G5462">
        <v>20384</v>
      </c>
      <c r="H5462" s="1">
        <v>3</v>
      </c>
      <c r="I5462">
        <v>20</v>
      </c>
      <c r="J5462">
        <f>IF($H5462=0,1,IF($I5462&lt;=1,2,0))</f>
        <v>0</v>
      </c>
      <c r="K5462">
        <v>0</v>
      </c>
      <c r="L5462">
        <f>IF(AND($J5462=0,$K5462=0),0,1)</f>
        <v>0</v>
      </c>
      <c r="M5462" t="s">
        <v>311</v>
      </c>
    </row>
    <row r="5463" spans="1:13" x14ac:dyDescent="0.2">
      <c r="A5463" t="s">
        <v>310</v>
      </c>
      <c r="B5463" t="s">
        <v>71</v>
      </c>
      <c r="C5463" t="s">
        <v>72</v>
      </c>
      <c r="D5463">
        <v>6890</v>
      </c>
      <c r="E5463">
        <v>2021</v>
      </c>
      <c r="F5463">
        <v>1</v>
      </c>
      <c r="G5463">
        <v>18366</v>
      </c>
      <c r="H5463" s="1">
        <v>3</v>
      </c>
      <c r="I5463">
        <v>31</v>
      </c>
      <c r="J5463">
        <f>IF($H5463=0,1,IF($I5463&lt;=1,2,0))</f>
        <v>0</v>
      </c>
      <c r="K5463">
        <v>0</v>
      </c>
      <c r="L5463">
        <f>IF(AND($J5463=0,$K5463=0),0,1)</f>
        <v>0</v>
      </c>
    </row>
    <row r="5464" spans="1:13" x14ac:dyDescent="0.2">
      <c r="A5464" t="s">
        <v>310</v>
      </c>
      <c r="B5464" t="s">
        <v>71</v>
      </c>
      <c r="C5464" t="s">
        <v>72</v>
      </c>
      <c r="D5464">
        <v>6890</v>
      </c>
      <c r="E5464">
        <v>2021</v>
      </c>
      <c r="F5464" t="s">
        <v>84</v>
      </c>
      <c r="G5464">
        <v>18373</v>
      </c>
      <c r="H5464" s="1">
        <v>3</v>
      </c>
      <c r="I5464">
        <v>3</v>
      </c>
      <c r="J5464">
        <f>IF($H5464=0,1,IF($I5464&lt;=1,2,0))</f>
        <v>0</v>
      </c>
      <c r="K5464">
        <v>0</v>
      </c>
      <c r="L5464">
        <f>IF(AND($J5464=0,$K5464=0),0,1)</f>
        <v>0</v>
      </c>
      <c r="M5464" t="s">
        <v>85</v>
      </c>
    </row>
    <row r="5465" spans="1:13" x14ac:dyDescent="0.2">
      <c r="A5465" t="s">
        <v>310</v>
      </c>
      <c r="B5465" t="s">
        <v>71</v>
      </c>
      <c r="C5465" t="s">
        <v>72</v>
      </c>
      <c r="D5465">
        <v>6893</v>
      </c>
      <c r="E5465">
        <v>2021</v>
      </c>
      <c r="F5465">
        <v>1</v>
      </c>
      <c r="G5465">
        <v>12060</v>
      </c>
      <c r="H5465" s="1">
        <v>3</v>
      </c>
      <c r="I5465">
        <v>155</v>
      </c>
      <c r="J5465">
        <f>IF($H5465=0,1,IF($I5465&lt;=1,2,0))</f>
        <v>0</v>
      </c>
      <c r="K5465">
        <v>0</v>
      </c>
      <c r="L5465">
        <f>IF(AND($J5465=0,$K5465=0),0,1)</f>
        <v>0</v>
      </c>
    </row>
    <row r="5466" spans="1:13" x14ac:dyDescent="0.2">
      <c r="A5466" t="s">
        <v>310</v>
      </c>
      <c r="B5466" t="s">
        <v>71</v>
      </c>
      <c r="C5466" t="s">
        <v>72</v>
      </c>
      <c r="D5466">
        <v>6893</v>
      </c>
      <c r="E5466">
        <v>2021</v>
      </c>
      <c r="F5466" t="s">
        <v>84</v>
      </c>
      <c r="G5466">
        <v>16348</v>
      </c>
      <c r="H5466" s="1">
        <v>3</v>
      </c>
      <c r="I5466">
        <v>9</v>
      </c>
      <c r="J5466">
        <f>IF($H5466=0,1,IF($I5466&lt;=1,2,0))</f>
        <v>0</v>
      </c>
      <c r="K5466">
        <v>0</v>
      </c>
      <c r="L5466">
        <f>IF(AND($J5466=0,$K5466=0),0,1)</f>
        <v>0</v>
      </c>
      <c r="M5466" t="s">
        <v>85</v>
      </c>
    </row>
    <row r="5467" spans="1:13" x14ac:dyDescent="0.2">
      <c r="A5467" t="s">
        <v>310</v>
      </c>
      <c r="B5467" t="s">
        <v>71</v>
      </c>
      <c r="C5467" t="s">
        <v>72</v>
      </c>
      <c r="D5467">
        <v>6896</v>
      </c>
      <c r="E5467">
        <v>2021</v>
      </c>
      <c r="F5467">
        <v>1</v>
      </c>
      <c r="G5467">
        <v>12061</v>
      </c>
      <c r="H5467" s="1">
        <v>3</v>
      </c>
      <c r="I5467">
        <v>35</v>
      </c>
      <c r="J5467">
        <f>IF($H5467=0,1,IF($I5467&lt;=1,2,0))</f>
        <v>0</v>
      </c>
      <c r="K5467">
        <v>0</v>
      </c>
      <c r="L5467">
        <f>IF(AND($J5467=0,$K5467=0),0,1)</f>
        <v>0</v>
      </c>
    </row>
    <row r="5468" spans="1:13" x14ac:dyDescent="0.2">
      <c r="A5468" t="s">
        <v>310</v>
      </c>
      <c r="B5468" t="s">
        <v>71</v>
      </c>
      <c r="C5468" t="s">
        <v>72</v>
      </c>
      <c r="D5468">
        <v>6897</v>
      </c>
      <c r="E5468">
        <v>2021</v>
      </c>
      <c r="F5468">
        <v>1</v>
      </c>
      <c r="G5468">
        <v>12062</v>
      </c>
      <c r="H5468" s="1">
        <v>3</v>
      </c>
      <c r="I5468">
        <v>16</v>
      </c>
      <c r="J5468">
        <f>IF($H5468=0,1,IF($I5468&lt;=1,2,0))</f>
        <v>0</v>
      </c>
      <c r="K5468">
        <v>0</v>
      </c>
      <c r="L5468">
        <f>IF(AND($J5468=0,$K5468=0),0,1)</f>
        <v>0</v>
      </c>
    </row>
    <row r="5469" spans="1:13" x14ac:dyDescent="0.2">
      <c r="A5469" t="s">
        <v>313</v>
      </c>
      <c r="B5469" t="s">
        <v>133</v>
      </c>
      <c r="C5469" t="s">
        <v>9</v>
      </c>
      <c r="D5469">
        <v>1010</v>
      </c>
      <c r="E5469">
        <v>2021</v>
      </c>
      <c r="F5469">
        <v>1</v>
      </c>
      <c r="G5469">
        <v>12593</v>
      </c>
      <c r="H5469" s="1">
        <v>3</v>
      </c>
      <c r="I5469">
        <v>74</v>
      </c>
      <c r="J5469">
        <f>IF($H5469=0,1,IF($I5469&lt;=1,2,0))</f>
        <v>0</v>
      </c>
      <c r="K5469">
        <v>0</v>
      </c>
      <c r="L5469">
        <f>IF(AND($J5469=0,$K5469=0),0,1)</f>
        <v>0</v>
      </c>
      <c r="M5469" t="s">
        <v>1498</v>
      </c>
    </row>
    <row r="5470" spans="1:13" x14ac:dyDescent="0.2">
      <c r="A5470" t="s">
        <v>313</v>
      </c>
      <c r="B5470" t="s">
        <v>133</v>
      </c>
      <c r="C5470" t="s">
        <v>9</v>
      </c>
      <c r="D5470">
        <v>2001</v>
      </c>
      <c r="E5470">
        <v>2021</v>
      </c>
      <c r="F5470">
        <v>1</v>
      </c>
      <c r="G5470">
        <v>12597</v>
      </c>
      <c r="H5470" s="1">
        <v>3</v>
      </c>
      <c r="I5470">
        <v>38</v>
      </c>
      <c r="J5470">
        <f>IF($H5470=0,1,IF($I5470&lt;=1,2,0))</f>
        <v>0</v>
      </c>
      <c r="K5470">
        <v>0</v>
      </c>
      <c r="L5470">
        <f>IF(AND($J5470=0,$K5470=0),0,1)</f>
        <v>0</v>
      </c>
    </row>
    <row r="5471" spans="1:13" x14ac:dyDescent="0.2">
      <c r="A5471" t="s">
        <v>313</v>
      </c>
      <c r="B5471" t="s">
        <v>133</v>
      </c>
      <c r="C5471" t="s">
        <v>9</v>
      </c>
      <c r="D5471">
        <v>3005</v>
      </c>
      <c r="E5471">
        <v>2021</v>
      </c>
      <c r="F5471">
        <v>1</v>
      </c>
      <c r="G5471">
        <v>12802</v>
      </c>
      <c r="H5471" s="1">
        <v>3</v>
      </c>
      <c r="I5471">
        <v>27</v>
      </c>
      <c r="J5471">
        <f>IF($H5471=0,1,IF($I5471&lt;=1,2,0))</f>
        <v>0</v>
      </c>
      <c r="K5471">
        <v>0</v>
      </c>
      <c r="L5471">
        <f>IF(AND($J5471=0,$K5471=0),0,1)</f>
        <v>0</v>
      </c>
    </row>
    <row r="5472" spans="1:13" x14ac:dyDescent="0.2">
      <c r="A5472" t="s">
        <v>313</v>
      </c>
      <c r="B5472" t="s">
        <v>133</v>
      </c>
      <c r="C5472" t="s">
        <v>9</v>
      </c>
      <c r="D5472">
        <v>3240</v>
      </c>
      <c r="E5472">
        <v>2021</v>
      </c>
      <c r="F5472">
        <v>1</v>
      </c>
      <c r="G5472">
        <v>12598</v>
      </c>
      <c r="H5472" s="1">
        <v>3</v>
      </c>
      <c r="I5472">
        <v>10</v>
      </c>
      <c r="J5472">
        <f>IF($H5472=0,1,IF($I5472&lt;=1,2,0))</f>
        <v>0</v>
      </c>
      <c r="K5472">
        <v>0</v>
      </c>
      <c r="L5472">
        <f>IF(AND($J5472=0,$K5472=0),0,1)</f>
        <v>0</v>
      </c>
    </row>
    <row r="5473" spans="1:13" x14ac:dyDescent="0.2">
      <c r="A5473" t="s">
        <v>313</v>
      </c>
      <c r="B5473" t="s">
        <v>133</v>
      </c>
      <c r="C5473" t="s">
        <v>9</v>
      </c>
      <c r="D5473">
        <v>3940</v>
      </c>
      <c r="E5473">
        <v>2021</v>
      </c>
      <c r="F5473">
        <v>1</v>
      </c>
      <c r="G5473">
        <v>12599</v>
      </c>
      <c r="H5473" s="1">
        <v>4</v>
      </c>
      <c r="I5473">
        <v>9</v>
      </c>
      <c r="J5473">
        <f>IF($H5473=0,1,IF($I5473&lt;=1,2,0))</f>
        <v>0</v>
      </c>
      <c r="K5473">
        <v>0</v>
      </c>
      <c r="L5473">
        <f>IF(AND($J5473=0,$K5473=0),0,1)</f>
        <v>0</v>
      </c>
    </row>
    <row r="5474" spans="1:13" x14ac:dyDescent="0.2">
      <c r="A5474" t="s">
        <v>313</v>
      </c>
      <c r="B5474" t="s">
        <v>133</v>
      </c>
      <c r="C5474" t="s">
        <v>9</v>
      </c>
      <c r="D5474">
        <v>3991</v>
      </c>
      <c r="E5474">
        <v>2021</v>
      </c>
      <c r="F5474">
        <v>1</v>
      </c>
      <c r="G5474">
        <v>12600</v>
      </c>
      <c r="H5474" s="1">
        <v>3</v>
      </c>
      <c r="I5474">
        <v>9</v>
      </c>
      <c r="J5474">
        <f>IF($H5474=0,1,IF($I5474&lt;=1,2,0))</f>
        <v>0</v>
      </c>
      <c r="K5474">
        <v>0</v>
      </c>
      <c r="L5474">
        <f>IF(AND($J5474=0,$K5474=0),0,1)</f>
        <v>0</v>
      </c>
    </row>
    <row r="5475" spans="1:13" x14ac:dyDescent="0.2">
      <c r="A5475" t="s">
        <v>313</v>
      </c>
      <c r="B5475" t="s">
        <v>133</v>
      </c>
      <c r="C5475" t="s">
        <v>9</v>
      </c>
      <c r="D5475">
        <v>4005</v>
      </c>
      <c r="E5475">
        <v>2021</v>
      </c>
      <c r="F5475">
        <v>1</v>
      </c>
      <c r="G5475">
        <v>12814</v>
      </c>
      <c r="H5475" s="1">
        <v>3</v>
      </c>
      <c r="I5475">
        <v>18</v>
      </c>
      <c r="J5475">
        <f>IF($H5475=0,1,IF($I5475&lt;=1,2,0))</f>
        <v>0</v>
      </c>
      <c r="K5475">
        <v>0</v>
      </c>
      <c r="L5475">
        <f>IF(AND($J5475=0,$K5475=0),0,1)</f>
        <v>0</v>
      </c>
    </row>
    <row r="5476" spans="1:13" x14ac:dyDescent="0.2">
      <c r="A5476" t="s">
        <v>313</v>
      </c>
      <c r="B5476" t="s">
        <v>133</v>
      </c>
      <c r="C5476" t="s">
        <v>9</v>
      </c>
      <c r="D5476">
        <v>4111</v>
      </c>
      <c r="E5476">
        <v>2021</v>
      </c>
      <c r="F5476">
        <v>1</v>
      </c>
      <c r="G5476">
        <v>12815</v>
      </c>
      <c r="H5476" s="1">
        <v>3</v>
      </c>
      <c r="I5476">
        <v>17</v>
      </c>
      <c r="J5476">
        <f>IF($H5476=0,1,IF($I5476&lt;=1,2,0))</f>
        <v>0</v>
      </c>
      <c r="K5476">
        <v>0</v>
      </c>
      <c r="L5476">
        <f>IF(AND($J5476=0,$K5476=0),0,1)</f>
        <v>0</v>
      </c>
    </row>
    <row r="5477" spans="1:13" x14ac:dyDescent="0.2">
      <c r="A5477" t="s">
        <v>313</v>
      </c>
      <c r="B5477" t="s">
        <v>133</v>
      </c>
      <c r="C5477" t="s">
        <v>9</v>
      </c>
      <c r="D5477">
        <v>4129</v>
      </c>
      <c r="E5477">
        <v>2021</v>
      </c>
      <c r="F5477">
        <v>1</v>
      </c>
      <c r="G5477">
        <v>12816</v>
      </c>
      <c r="H5477" s="1">
        <v>3</v>
      </c>
      <c r="I5477">
        <v>12</v>
      </c>
      <c r="J5477">
        <f>IF($H5477=0,1,IF($I5477&lt;=1,2,0))</f>
        <v>0</v>
      </c>
      <c r="K5477">
        <v>0</v>
      </c>
      <c r="L5477">
        <f>IF(AND($J5477=0,$K5477=0),0,1)</f>
        <v>0</v>
      </c>
    </row>
    <row r="5478" spans="1:13" x14ac:dyDescent="0.2">
      <c r="A5478" t="s">
        <v>313</v>
      </c>
      <c r="B5478" t="s">
        <v>133</v>
      </c>
      <c r="C5478" t="s">
        <v>11</v>
      </c>
      <c r="D5478">
        <v>4134</v>
      </c>
      <c r="E5478">
        <v>2021</v>
      </c>
      <c r="F5478">
        <v>1</v>
      </c>
      <c r="G5478">
        <v>12818</v>
      </c>
      <c r="H5478" s="1">
        <v>3</v>
      </c>
      <c r="I5478">
        <v>10</v>
      </c>
      <c r="J5478">
        <f>IF($H5478=0,1,IF($I5478&lt;=1,2,0))</f>
        <v>0</v>
      </c>
      <c r="K5478">
        <v>0</v>
      </c>
      <c r="L5478">
        <f>IF(AND($J5478=0,$K5478=0),0,1)</f>
        <v>0</v>
      </c>
    </row>
    <row r="5479" spans="1:13" x14ac:dyDescent="0.2">
      <c r="A5479" t="s">
        <v>313</v>
      </c>
      <c r="B5479" t="s">
        <v>133</v>
      </c>
      <c r="C5479" t="s">
        <v>9</v>
      </c>
      <c r="D5479">
        <v>4160</v>
      </c>
      <c r="E5479">
        <v>2021</v>
      </c>
      <c r="F5479">
        <v>1</v>
      </c>
      <c r="G5479">
        <v>12821</v>
      </c>
      <c r="H5479" s="1">
        <v>5</v>
      </c>
      <c r="I5479">
        <v>5</v>
      </c>
      <c r="J5479">
        <f>IF($H5479=0,1,IF($I5479&lt;=1,2,0))</f>
        <v>0</v>
      </c>
      <c r="K5479">
        <v>0</v>
      </c>
      <c r="L5479">
        <f>IF(AND($J5479=0,$K5479=0),0,1)</f>
        <v>0</v>
      </c>
      <c r="M5479" t="s">
        <v>1499</v>
      </c>
    </row>
    <row r="5480" spans="1:13" x14ac:dyDescent="0.2">
      <c r="A5480" t="s">
        <v>313</v>
      </c>
      <c r="B5480" t="s">
        <v>133</v>
      </c>
      <c r="C5480" t="s">
        <v>9</v>
      </c>
      <c r="D5480">
        <v>4321</v>
      </c>
      <c r="E5480">
        <v>2021</v>
      </c>
      <c r="F5480">
        <v>1</v>
      </c>
      <c r="G5480">
        <v>12622</v>
      </c>
      <c r="H5480" s="1">
        <v>4</v>
      </c>
      <c r="I5480">
        <v>12</v>
      </c>
      <c r="J5480">
        <f>IF($H5480=0,1,IF($I5480&lt;=1,2,0))</f>
        <v>0</v>
      </c>
      <c r="K5480">
        <v>0</v>
      </c>
      <c r="L5480">
        <f>IF(AND($J5480=0,$K5480=0),0,1)</f>
        <v>0</v>
      </c>
    </row>
    <row r="5481" spans="1:13" x14ac:dyDescent="0.2">
      <c r="A5481" t="s">
        <v>313</v>
      </c>
      <c r="B5481" t="s">
        <v>133</v>
      </c>
      <c r="C5481" t="s">
        <v>11</v>
      </c>
      <c r="D5481">
        <v>4666</v>
      </c>
      <c r="E5481">
        <v>2021</v>
      </c>
      <c r="F5481">
        <v>1</v>
      </c>
      <c r="G5481">
        <v>12822</v>
      </c>
      <c r="H5481" s="1">
        <v>4</v>
      </c>
      <c r="I5481">
        <v>18</v>
      </c>
      <c r="J5481">
        <f>IF($H5481=0,1,IF($I5481&lt;=1,2,0))</f>
        <v>0</v>
      </c>
      <c r="K5481">
        <v>0</v>
      </c>
      <c r="L5481">
        <f>IF(AND($J5481=0,$K5481=0),0,1)</f>
        <v>0</v>
      </c>
      <c r="M5481" t="s">
        <v>2059</v>
      </c>
    </row>
    <row r="5482" spans="1:13" x14ac:dyDescent="0.2">
      <c r="A5482" t="s">
        <v>313</v>
      </c>
      <c r="B5482" t="s">
        <v>133</v>
      </c>
      <c r="C5482" t="s">
        <v>9</v>
      </c>
      <c r="D5482">
        <v>4910</v>
      </c>
      <c r="E5482">
        <v>2021</v>
      </c>
      <c r="F5482">
        <v>1</v>
      </c>
      <c r="G5482">
        <v>12823</v>
      </c>
      <c r="H5482" s="1">
        <v>4</v>
      </c>
      <c r="I5482">
        <v>15</v>
      </c>
      <c r="J5482">
        <f>IF($H5482=0,1,IF($I5482&lt;=1,2,0))</f>
        <v>0</v>
      </c>
      <c r="K5482">
        <v>0</v>
      </c>
      <c r="L5482">
        <f>IF(AND($J5482=0,$K5482=0),0,1)</f>
        <v>0</v>
      </c>
      <c r="M5482" t="s">
        <v>1500</v>
      </c>
    </row>
    <row r="5483" spans="1:13" x14ac:dyDescent="0.2">
      <c r="A5483" t="s">
        <v>313</v>
      </c>
      <c r="B5483" t="s">
        <v>133</v>
      </c>
      <c r="C5483" t="s">
        <v>11</v>
      </c>
      <c r="D5483">
        <v>5005</v>
      </c>
      <c r="E5483">
        <v>2021</v>
      </c>
      <c r="F5483">
        <v>1</v>
      </c>
      <c r="G5483">
        <v>12824</v>
      </c>
      <c r="H5483" s="1">
        <v>3</v>
      </c>
      <c r="I5483">
        <v>29</v>
      </c>
      <c r="J5483">
        <f>IF($H5483=0,1,IF($I5483&lt;=1,2,0))</f>
        <v>0</v>
      </c>
      <c r="K5483">
        <v>0</v>
      </c>
      <c r="L5483">
        <f>IF(AND($J5483=0,$K5483=0),0,1)</f>
        <v>0</v>
      </c>
    </row>
    <row r="5484" spans="1:13" x14ac:dyDescent="0.2">
      <c r="A5484" t="s">
        <v>313</v>
      </c>
      <c r="B5484" t="s">
        <v>133</v>
      </c>
      <c r="C5484" t="s">
        <v>11</v>
      </c>
      <c r="D5484">
        <v>6110</v>
      </c>
      <c r="E5484">
        <v>2021</v>
      </c>
      <c r="F5484">
        <v>1</v>
      </c>
      <c r="G5484">
        <v>12877</v>
      </c>
      <c r="H5484" s="1">
        <v>3</v>
      </c>
      <c r="I5484">
        <v>27</v>
      </c>
      <c r="J5484">
        <f>IF($H5484=0,1,IF($I5484&lt;=1,2,0))</f>
        <v>0</v>
      </c>
      <c r="K5484">
        <v>0</v>
      </c>
      <c r="L5484">
        <f>IF(AND($J5484=0,$K5484=0),0,1)</f>
        <v>0</v>
      </c>
      <c r="M5484" t="s">
        <v>1501</v>
      </c>
    </row>
    <row r="5485" spans="1:13" x14ac:dyDescent="0.2">
      <c r="A5485" t="s">
        <v>313</v>
      </c>
      <c r="B5485" t="s">
        <v>133</v>
      </c>
      <c r="C5485" t="s">
        <v>11</v>
      </c>
      <c r="D5485">
        <v>6150</v>
      </c>
      <c r="E5485">
        <v>2021</v>
      </c>
      <c r="F5485">
        <v>1</v>
      </c>
      <c r="G5485">
        <v>15371</v>
      </c>
      <c r="H5485" s="1" t="s">
        <v>1827</v>
      </c>
      <c r="I5485">
        <v>8</v>
      </c>
      <c r="J5485">
        <f>IF($H5485=0,1,IF($I5485&lt;=1,2,0))</f>
        <v>0</v>
      </c>
      <c r="K5485">
        <v>0</v>
      </c>
      <c r="L5485">
        <f>IF(AND($J5485=0,$K5485=0),0,1)</f>
        <v>0</v>
      </c>
    </row>
    <row r="5486" spans="1:13" x14ac:dyDescent="0.2">
      <c r="A5486" t="s">
        <v>313</v>
      </c>
      <c r="B5486" t="s">
        <v>133</v>
      </c>
      <c r="C5486" t="s">
        <v>11</v>
      </c>
      <c r="D5486">
        <v>6250</v>
      </c>
      <c r="E5486">
        <v>2021</v>
      </c>
      <c r="F5486">
        <v>1</v>
      </c>
      <c r="G5486">
        <v>12621</v>
      </c>
      <c r="H5486" s="1">
        <v>3</v>
      </c>
      <c r="I5486">
        <v>7</v>
      </c>
      <c r="J5486">
        <f>IF($H5486=0,1,IF($I5486&lt;=1,2,0))</f>
        <v>0</v>
      </c>
      <c r="K5486">
        <v>0</v>
      </c>
      <c r="L5486">
        <f>IF(AND($J5486=0,$K5486=0),0,1)</f>
        <v>0</v>
      </c>
      <c r="M5486" t="s">
        <v>2060</v>
      </c>
    </row>
    <row r="5487" spans="1:13" x14ac:dyDescent="0.2">
      <c r="A5487" t="s">
        <v>313</v>
      </c>
      <c r="B5487" t="s">
        <v>133</v>
      </c>
      <c r="C5487" t="s">
        <v>11</v>
      </c>
      <c r="D5487">
        <v>6300</v>
      </c>
      <c r="E5487">
        <v>2021</v>
      </c>
      <c r="F5487">
        <v>1</v>
      </c>
      <c r="G5487">
        <v>12828</v>
      </c>
      <c r="H5487" s="1">
        <v>1</v>
      </c>
      <c r="I5487">
        <v>41</v>
      </c>
      <c r="J5487">
        <f>IF($H5487=0,1,IF($I5487&lt;=1,2,0))</f>
        <v>0</v>
      </c>
      <c r="K5487">
        <v>0</v>
      </c>
      <c r="L5487">
        <f>IF(AND($J5487=0,$K5487=0),0,1)</f>
        <v>0</v>
      </c>
    </row>
    <row r="5488" spans="1:13" x14ac:dyDescent="0.2">
      <c r="A5488" t="s">
        <v>313</v>
      </c>
      <c r="B5488" t="s">
        <v>133</v>
      </c>
      <c r="C5488" t="s">
        <v>11</v>
      </c>
      <c r="D5488">
        <v>6400</v>
      </c>
      <c r="E5488">
        <v>2021</v>
      </c>
      <c r="F5488">
        <v>1</v>
      </c>
      <c r="G5488">
        <v>12829</v>
      </c>
      <c r="H5488" s="1">
        <v>3</v>
      </c>
      <c r="I5488">
        <v>8</v>
      </c>
      <c r="J5488">
        <f>IF($H5488=0,1,IF($I5488&lt;=1,2,0))</f>
        <v>0</v>
      </c>
      <c r="K5488">
        <v>0</v>
      </c>
      <c r="L5488">
        <f>IF(AND($J5488=0,$K5488=0),0,1)</f>
        <v>0</v>
      </c>
    </row>
    <row r="5489" spans="1:13" x14ac:dyDescent="0.2">
      <c r="A5489" t="s">
        <v>317</v>
      </c>
      <c r="B5489" t="s">
        <v>71</v>
      </c>
      <c r="C5489" t="s">
        <v>72</v>
      </c>
      <c r="D5489">
        <v>3601</v>
      </c>
      <c r="E5489">
        <v>2021</v>
      </c>
      <c r="F5489">
        <v>1</v>
      </c>
      <c r="G5489">
        <v>12177</v>
      </c>
      <c r="H5489" s="1">
        <v>3</v>
      </c>
      <c r="I5489">
        <v>65</v>
      </c>
      <c r="J5489">
        <f>IF($H5489=0,1,IF($I5489&lt;=1,2,0))</f>
        <v>0</v>
      </c>
      <c r="K5489">
        <v>0</v>
      </c>
      <c r="L5489">
        <f>IF(AND($J5489=0,$K5489=0),0,1)</f>
        <v>0</v>
      </c>
    </row>
    <row r="5490" spans="1:13" x14ac:dyDescent="0.2">
      <c r="A5490" t="s">
        <v>317</v>
      </c>
      <c r="B5490" t="s">
        <v>71</v>
      </c>
      <c r="C5490" t="s">
        <v>72</v>
      </c>
      <c r="D5490">
        <v>6601</v>
      </c>
      <c r="E5490">
        <v>2021</v>
      </c>
      <c r="F5490">
        <v>1</v>
      </c>
      <c r="G5490">
        <v>12158</v>
      </c>
      <c r="H5490" s="1">
        <v>3</v>
      </c>
      <c r="I5490">
        <v>106</v>
      </c>
      <c r="J5490">
        <f>IF($H5490=0,1,IF($I5490&lt;=1,2,0))</f>
        <v>0</v>
      </c>
      <c r="K5490">
        <v>0</v>
      </c>
      <c r="L5490">
        <f>IF(AND($J5490=0,$K5490=0),0,1)</f>
        <v>0</v>
      </c>
    </row>
    <row r="5491" spans="1:13" x14ac:dyDescent="0.2">
      <c r="A5491" t="s">
        <v>317</v>
      </c>
      <c r="B5491" t="s">
        <v>71</v>
      </c>
      <c r="C5491" t="s">
        <v>72</v>
      </c>
      <c r="D5491">
        <v>6601</v>
      </c>
      <c r="E5491">
        <v>2021</v>
      </c>
      <c r="F5491" t="s">
        <v>84</v>
      </c>
      <c r="G5491">
        <v>20660</v>
      </c>
      <c r="H5491" s="1">
        <v>3</v>
      </c>
      <c r="I5491">
        <v>3</v>
      </c>
      <c r="J5491">
        <f>IF($H5491=0,1,IF($I5491&lt;=1,2,0))</f>
        <v>0</v>
      </c>
      <c r="K5491">
        <v>0</v>
      </c>
      <c r="L5491">
        <f>IF(AND($J5491=0,$K5491=0),0,1)</f>
        <v>0</v>
      </c>
    </row>
    <row r="5492" spans="1:13" x14ac:dyDescent="0.2">
      <c r="A5492" t="s">
        <v>318</v>
      </c>
      <c r="B5492" t="s">
        <v>133</v>
      </c>
      <c r="C5492" t="s">
        <v>9</v>
      </c>
      <c r="D5492">
        <v>1001</v>
      </c>
      <c r="E5492">
        <v>2021</v>
      </c>
      <c r="F5492">
        <v>1</v>
      </c>
      <c r="G5492">
        <v>14067</v>
      </c>
      <c r="H5492" s="1">
        <v>4</v>
      </c>
      <c r="I5492">
        <v>19</v>
      </c>
      <c r="J5492">
        <f>IF($H5492=0,1,IF($I5492&lt;=1,2,0))</f>
        <v>0</v>
      </c>
      <c r="K5492">
        <v>0</v>
      </c>
      <c r="L5492">
        <f>IF(AND($J5492=0,$K5492=0),0,1)</f>
        <v>0</v>
      </c>
    </row>
    <row r="5493" spans="1:13" x14ac:dyDescent="0.2">
      <c r="A5493" t="s">
        <v>318</v>
      </c>
      <c r="B5493" t="s">
        <v>133</v>
      </c>
      <c r="C5493" t="s">
        <v>9</v>
      </c>
      <c r="D5493">
        <v>1201</v>
      </c>
      <c r="E5493">
        <v>2021</v>
      </c>
      <c r="F5493">
        <v>1</v>
      </c>
      <c r="G5493">
        <v>12770</v>
      </c>
      <c r="H5493" s="1">
        <v>3</v>
      </c>
      <c r="I5493">
        <v>59</v>
      </c>
      <c r="J5493">
        <f>IF($H5493=0,1,IF($I5493&lt;=1,2,0))</f>
        <v>0</v>
      </c>
      <c r="K5493">
        <v>0</v>
      </c>
      <c r="L5493">
        <f>IF(AND($J5493=0,$K5493=0),0,1)</f>
        <v>0</v>
      </c>
    </row>
    <row r="5494" spans="1:13" x14ac:dyDescent="0.2">
      <c r="A5494" t="s">
        <v>318</v>
      </c>
      <c r="B5494" t="s">
        <v>133</v>
      </c>
      <c r="C5494" t="s">
        <v>9</v>
      </c>
      <c r="D5494">
        <v>1401</v>
      </c>
      <c r="E5494">
        <v>2021</v>
      </c>
      <c r="F5494">
        <v>1</v>
      </c>
      <c r="G5494">
        <v>14068</v>
      </c>
      <c r="H5494" s="1">
        <v>3</v>
      </c>
      <c r="I5494">
        <v>80</v>
      </c>
      <c r="J5494">
        <f>IF($H5494=0,1,IF($I5494&lt;=1,2,0))</f>
        <v>0</v>
      </c>
      <c r="K5494">
        <v>0</v>
      </c>
      <c r="L5494">
        <f>IF(AND($J5494=0,$K5494=0),0,1)</f>
        <v>0</v>
      </c>
    </row>
    <row r="5495" spans="1:13" x14ac:dyDescent="0.2">
      <c r="A5495" t="s">
        <v>318</v>
      </c>
      <c r="B5495" t="s">
        <v>133</v>
      </c>
      <c r="C5495" t="s">
        <v>9</v>
      </c>
      <c r="D5495">
        <v>1600</v>
      </c>
      <c r="E5495">
        <v>2021</v>
      </c>
      <c r="F5495">
        <v>1</v>
      </c>
      <c r="G5495">
        <v>12771</v>
      </c>
      <c r="H5495" s="1">
        <v>3</v>
      </c>
      <c r="I5495">
        <v>112</v>
      </c>
      <c r="J5495">
        <f>IF($H5495=0,1,IF($I5495&lt;=1,2,0))</f>
        <v>0</v>
      </c>
      <c r="K5495">
        <v>0</v>
      </c>
      <c r="L5495">
        <f>IF(AND($J5495=0,$K5495=0),0,1)</f>
        <v>0</v>
      </c>
    </row>
    <row r="5496" spans="1:13" x14ac:dyDescent="0.2">
      <c r="A5496" t="s">
        <v>318</v>
      </c>
      <c r="B5496" t="s">
        <v>133</v>
      </c>
      <c r="C5496" t="s">
        <v>9</v>
      </c>
      <c r="D5496">
        <v>2100</v>
      </c>
      <c r="E5496">
        <v>2021</v>
      </c>
      <c r="F5496">
        <v>1</v>
      </c>
      <c r="G5496">
        <v>12773</v>
      </c>
      <c r="H5496" s="1">
        <v>4.5</v>
      </c>
      <c r="I5496">
        <v>50</v>
      </c>
      <c r="J5496">
        <f>IF($H5496=0,1,IF($I5496&lt;=1,2,0))</f>
        <v>0</v>
      </c>
      <c r="K5496">
        <v>0</v>
      </c>
      <c r="L5496">
        <f>IF(AND($J5496=0,$K5496=0),0,1)</f>
        <v>0</v>
      </c>
    </row>
    <row r="5497" spans="1:13" x14ac:dyDescent="0.2">
      <c r="A5497" t="s">
        <v>318</v>
      </c>
      <c r="B5497" t="s">
        <v>133</v>
      </c>
      <c r="C5497" t="s">
        <v>9</v>
      </c>
      <c r="D5497">
        <v>2200</v>
      </c>
      <c r="E5497">
        <v>2021</v>
      </c>
      <c r="F5497">
        <v>1</v>
      </c>
      <c r="G5497">
        <v>12993</v>
      </c>
      <c r="H5497" s="1">
        <v>4.5</v>
      </c>
      <c r="I5497">
        <v>49</v>
      </c>
      <c r="J5497">
        <f>IF($H5497=0,1,IF($I5497&lt;=1,2,0))</f>
        <v>0</v>
      </c>
      <c r="K5497">
        <v>0</v>
      </c>
      <c r="L5497">
        <f>IF(AND($J5497=0,$K5497=0),0,1)</f>
        <v>0</v>
      </c>
    </row>
    <row r="5498" spans="1:13" x14ac:dyDescent="0.2">
      <c r="A5498" t="s">
        <v>318</v>
      </c>
      <c r="B5498" t="s">
        <v>133</v>
      </c>
      <c r="C5498" t="s">
        <v>9</v>
      </c>
      <c r="D5498">
        <v>2330</v>
      </c>
      <c r="E5498">
        <v>2021</v>
      </c>
      <c r="F5498">
        <v>1</v>
      </c>
      <c r="G5498">
        <v>12772</v>
      </c>
      <c r="H5498" s="1">
        <v>3</v>
      </c>
      <c r="I5498">
        <v>116</v>
      </c>
      <c r="J5498">
        <f>IF($H5498=0,1,IF($I5498&lt;=1,2,0))</f>
        <v>0</v>
      </c>
      <c r="K5498">
        <v>0</v>
      </c>
      <c r="L5498">
        <f>IF(AND($J5498=0,$K5498=0),0,1)</f>
        <v>0</v>
      </c>
    </row>
    <row r="5499" spans="1:13" x14ac:dyDescent="0.2">
      <c r="A5499" t="s">
        <v>318</v>
      </c>
      <c r="B5499" t="s">
        <v>133</v>
      </c>
      <c r="C5499" t="s">
        <v>9</v>
      </c>
      <c r="D5499">
        <v>3101</v>
      </c>
      <c r="E5499">
        <v>2021</v>
      </c>
      <c r="F5499">
        <v>1</v>
      </c>
      <c r="G5499">
        <v>12774</v>
      </c>
      <c r="H5499" s="1">
        <v>3</v>
      </c>
      <c r="I5499">
        <v>25</v>
      </c>
      <c r="J5499">
        <f>IF($H5499=0,1,IF($I5499&lt;=1,2,0))</f>
        <v>0</v>
      </c>
      <c r="K5499">
        <v>0</v>
      </c>
      <c r="L5499">
        <f>IF(AND($J5499=0,$K5499=0),0,1)</f>
        <v>0</v>
      </c>
    </row>
    <row r="5500" spans="1:13" x14ac:dyDescent="0.2">
      <c r="A5500" t="s">
        <v>318</v>
      </c>
      <c r="B5500" t="s">
        <v>133</v>
      </c>
      <c r="C5500" t="s">
        <v>9</v>
      </c>
      <c r="D5500">
        <v>3109</v>
      </c>
      <c r="E5500">
        <v>2021</v>
      </c>
      <c r="F5500">
        <v>1</v>
      </c>
      <c r="G5500">
        <v>15071</v>
      </c>
      <c r="H5500" s="1">
        <v>3</v>
      </c>
      <c r="I5500">
        <v>6</v>
      </c>
      <c r="J5500">
        <f>IF($H5500=0,1,IF($I5500&lt;=1,2,0))</f>
        <v>0</v>
      </c>
      <c r="K5500">
        <v>0</v>
      </c>
      <c r="L5500">
        <f>IF(AND($J5500=0,$K5500=0),0,1)</f>
        <v>0</v>
      </c>
    </row>
    <row r="5501" spans="1:13" x14ac:dyDescent="0.2">
      <c r="A5501" t="s">
        <v>318</v>
      </c>
      <c r="B5501" t="s">
        <v>133</v>
      </c>
      <c r="C5501" t="s">
        <v>9</v>
      </c>
      <c r="D5501">
        <v>3400</v>
      </c>
      <c r="E5501">
        <v>2021</v>
      </c>
      <c r="F5501">
        <v>1</v>
      </c>
      <c r="G5501">
        <v>12776</v>
      </c>
      <c r="H5501" s="1">
        <v>3</v>
      </c>
      <c r="I5501">
        <v>13</v>
      </c>
      <c r="J5501">
        <f>IF($H5501=0,1,IF($I5501&lt;=1,2,0))</f>
        <v>0</v>
      </c>
      <c r="K5501">
        <v>0</v>
      </c>
      <c r="L5501">
        <f>IF(AND($J5501=0,$K5501=0),0,1)</f>
        <v>0</v>
      </c>
    </row>
    <row r="5502" spans="1:13" x14ac:dyDescent="0.2">
      <c r="A5502" t="s">
        <v>318</v>
      </c>
      <c r="B5502" t="s">
        <v>133</v>
      </c>
      <c r="C5502" t="s">
        <v>9</v>
      </c>
      <c r="D5502">
        <v>3901</v>
      </c>
      <c r="E5502">
        <v>2021</v>
      </c>
      <c r="F5502">
        <v>1</v>
      </c>
      <c r="G5502">
        <v>12777</v>
      </c>
      <c r="H5502" s="1">
        <v>3</v>
      </c>
      <c r="I5502">
        <v>5</v>
      </c>
      <c r="J5502">
        <f>IF($H5502=0,1,IF($I5502&lt;=1,2,0))</f>
        <v>0</v>
      </c>
      <c r="K5502">
        <v>0</v>
      </c>
      <c r="L5502">
        <f>IF(AND($J5502=0,$K5502=0),0,1)</f>
        <v>0</v>
      </c>
      <c r="M5502" t="s">
        <v>1503</v>
      </c>
    </row>
    <row r="5503" spans="1:13" x14ac:dyDescent="0.2">
      <c r="A5503" t="s">
        <v>318</v>
      </c>
      <c r="B5503" t="s">
        <v>133</v>
      </c>
      <c r="C5503" t="s">
        <v>9</v>
      </c>
      <c r="D5503">
        <v>4008</v>
      </c>
      <c r="E5503">
        <v>2021</v>
      </c>
      <c r="F5503">
        <v>1</v>
      </c>
      <c r="G5503">
        <v>12778</v>
      </c>
      <c r="H5503" s="1">
        <v>3</v>
      </c>
      <c r="I5503">
        <v>24</v>
      </c>
      <c r="J5503">
        <f>IF($H5503=0,1,IF($I5503&lt;=1,2,0))</f>
        <v>0</v>
      </c>
      <c r="K5503">
        <v>0</v>
      </c>
      <c r="L5503">
        <f>IF(AND($J5503=0,$K5503=0),0,1)</f>
        <v>0</v>
      </c>
    </row>
    <row r="5504" spans="1:13" x14ac:dyDescent="0.2">
      <c r="A5504" t="s">
        <v>318</v>
      </c>
      <c r="B5504" t="s">
        <v>133</v>
      </c>
      <c r="C5504" t="s">
        <v>9</v>
      </c>
      <c r="D5504">
        <v>4020</v>
      </c>
      <c r="E5504">
        <v>2021</v>
      </c>
      <c r="F5504">
        <v>1</v>
      </c>
      <c r="G5504">
        <v>12779</v>
      </c>
      <c r="H5504" s="1">
        <v>3</v>
      </c>
      <c r="I5504">
        <v>12</v>
      </c>
      <c r="J5504">
        <f>IF($H5504=0,1,IF($I5504&lt;=1,2,0))</f>
        <v>0</v>
      </c>
      <c r="K5504">
        <v>0</v>
      </c>
      <c r="L5504">
        <f>IF(AND($J5504=0,$K5504=0),0,1)</f>
        <v>0</v>
      </c>
    </row>
    <row r="5505" spans="1:13" x14ac:dyDescent="0.2">
      <c r="A5505" t="s">
        <v>318</v>
      </c>
      <c r="B5505" t="s">
        <v>133</v>
      </c>
      <c r="C5505" t="s">
        <v>9</v>
      </c>
      <c r="D5505">
        <v>4050</v>
      </c>
      <c r="E5505">
        <v>2021</v>
      </c>
      <c r="F5505">
        <v>1</v>
      </c>
      <c r="G5505">
        <v>12780</v>
      </c>
      <c r="H5505" s="1">
        <v>3</v>
      </c>
      <c r="I5505">
        <v>9</v>
      </c>
      <c r="J5505">
        <f>IF($H5505=0,1,IF($I5505&lt;=1,2,0))</f>
        <v>0</v>
      </c>
      <c r="K5505">
        <v>0</v>
      </c>
      <c r="L5505">
        <f>IF(AND($J5505=0,$K5505=0),0,1)</f>
        <v>0</v>
      </c>
    </row>
    <row r="5506" spans="1:13" x14ac:dyDescent="0.2">
      <c r="A5506" t="s">
        <v>318</v>
      </c>
      <c r="B5506" t="s">
        <v>133</v>
      </c>
      <c r="C5506" t="s">
        <v>9</v>
      </c>
      <c r="D5506">
        <v>4550</v>
      </c>
      <c r="E5506">
        <v>2021</v>
      </c>
      <c r="F5506">
        <v>1</v>
      </c>
      <c r="G5506">
        <v>12857</v>
      </c>
      <c r="H5506" s="1">
        <v>3</v>
      </c>
      <c r="I5506">
        <v>21</v>
      </c>
      <c r="J5506">
        <f>IF($H5506=0,1,IF($I5506&lt;=1,2,0))</f>
        <v>0</v>
      </c>
      <c r="K5506">
        <v>0</v>
      </c>
      <c r="L5506">
        <f>IF(AND($J5506=0,$K5506=0),0,1)</f>
        <v>0</v>
      </c>
    </row>
    <row r="5507" spans="1:13" x14ac:dyDescent="0.2">
      <c r="A5507" t="s">
        <v>318</v>
      </c>
      <c r="B5507" t="s">
        <v>133</v>
      </c>
      <c r="C5507" t="s">
        <v>9</v>
      </c>
      <c r="D5507">
        <v>4600</v>
      </c>
      <c r="E5507">
        <v>2021</v>
      </c>
      <c r="F5507">
        <v>1</v>
      </c>
      <c r="G5507">
        <v>12781</v>
      </c>
      <c r="H5507" s="1">
        <v>3</v>
      </c>
      <c r="I5507">
        <v>14</v>
      </c>
      <c r="J5507">
        <f>IF($H5507=0,1,IF($I5507&lt;=1,2,0))</f>
        <v>0</v>
      </c>
      <c r="K5507">
        <v>0</v>
      </c>
      <c r="L5507">
        <f>IF(AND($J5507=0,$K5507=0),0,1)</f>
        <v>0</v>
      </c>
    </row>
    <row r="5508" spans="1:13" x14ac:dyDescent="0.2">
      <c r="A5508" t="s">
        <v>318</v>
      </c>
      <c r="B5508" t="s">
        <v>133</v>
      </c>
      <c r="C5508" t="s">
        <v>9</v>
      </c>
      <c r="D5508">
        <v>4835</v>
      </c>
      <c r="E5508">
        <v>2021</v>
      </c>
      <c r="F5508">
        <v>1</v>
      </c>
      <c r="G5508">
        <v>12994</v>
      </c>
      <c r="H5508" s="1">
        <v>3</v>
      </c>
      <c r="I5508">
        <v>19</v>
      </c>
      <c r="J5508">
        <f>IF($H5508=0,1,IF($I5508&lt;=1,2,0))</f>
        <v>0</v>
      </c>
      <c r="K5508">
        <v>0</v>
      </c>
      <c r="L5508">
        <f>IF(AND($J5508=0,$K5508=0),0,1)</f>
        <v>0</v>
      </c>
    </row>
    <row r="5509" spans="1:13" x14ac:dyDescent="0.2">
      <c r="A5509" t="s">
        <v>318</v>
      </c>
      <c r="B5509" t="s">
        <v>133</v>
      </c>
      <c r="C5509" t="s">
        <v>9</v>
      </c>
      <c r="D5509">
        <v>4925</v>
      </c>
      <c r="E5509">
        <v>2021</v>
      </c>
      <c r="F5509">
        <v>1</v>
      </c>
      <c r="G5509">
        <v>12782</v>
      </c>
      <c r="H5509" s="1">
        <v>3</v>
      </c>
      <c r="I5509">
        <v>9</v>
      </c>
      <c r="J5509">
        <f>IF($H5509=0,1,IF($I5509&lt;=1,2,0))</f>
        <v>0</v>
      </c>
      <c r="K5509">
        <v>0</v>
      </c>
      <c r="L5509">
        <f>IF(AND($J5509=0,$K5509=0),0,1)</f>
        <v>0</v>
      </c>
    </row>
    <row r="5510" spans="1:13" x14ac:dyDescent="0.2">
      <c r="A5510" t="s">
        <v>318</v>
      </c>
      <c r="B5510" t="s">
        <v>133</v>
      </c>
      <c r="C5510" t="s">
        <v>11</v>
      </c>
      <c r="D5510">
        <v>5400</v>
      </c>
      <c r="E5510">
        <v>2021</v>
      </c>
      <c r="F5510">
        <v>1</v>
      </c>
      <c r="G5510">
        <v>17490</v>
      </c>
      <c r="H5510" s="1">
        <v>3</v>
      </c>
      <c r="I5510">
        <v>48</v>
      </c>
      <c r="J5510">
        <f>IF($H5510=0,1,IF($I5510&lt;=1,2,0))</f>
        <v>0</v>
      </c>
      <c r="K5510">
        <v>0</v>
      </c>
      <c r="L5510">
        <f>IF(AND($J5510=0,$K5510=0),0,1)</f>
        <v>0</v>
      </c>
      <c r="M5510" t="s">
        <v>1504</v>
      </c>
    </row>
    <row r="5511" spans="1:13" x14ac:dyDescent="0.2">
      <c r="A5511" t="s">
        <v>318</v>
      </c>
      <c r="B5511" t="s">
        <v>133</v>
      </c>
      <c r="C5511" t="s">
        <v>11</v>
      </c>
      <c r="D5511">
        <v>5400</v>
      </c>
      <c r="E5511">
        <v>2021</v>
      </c>
      <c r="F5511">
        <v>2</v>
      </c>
      <c r="G5511">
        <v>17491</v>
      </c>
      <c r="H5511" s="1">
        <v>3</v>
      </c>
      <c r="I5511">
        <v>42</v>
      </c>
      <c r="J5511">
        <f>IF($H5511=0,1,IF($I5511&lt;=1,2,0))</f>
        <v>0</v>
      </c>
      <c r="K5511">
        <v>0</v>
      </c>
      <c r="L5511">
        <f>IF(AND($J5511=0,$K5511=0),0,1)</f>
        <v>0</v>
      </c>
      <c r="M5511" t="s">
        <v>1504</v>
      </c>
    </row>
    <row r="5512" spans="1:13" x14ac:dyDescent="0.2">
      <c r="A5512" t="s">
        <v>318</v>
      </c>
      <c r="B5512" t="s">
        <v>133</v>
      </c>
      <c r="C5512" t="s">
        <v>11</v>
      </c>
      <c r="D5512">
        <v>5401</v>
      </c>
      <c r="E5512">
        <v>2021</v>
      </c>
      <c r="F5512">
        <v>1</v>
      </c>
      <c r="G5512">
        <v>17492</v>
      </c>
      <c r="H5512" s="1">
        <v>4</v>
      </c>
      <c r="I5512">
        <v>47</v>
      </c>
      <c r="J5512">
        <f>IF($H5512=0,1,IF($I5512&lt;=1,2,0))</f>
        <v>0</v>
      </c>
      <c r="K5512">
        <v>0</v>
      </c>
      <c r="L5512">
        <f>IF(AND($J5512=0,$K5512=0),0,1)</f>
        <v>0</v>
      </c>
      <c r="M5512" t="s">
        <v>1505</v>
      </c>
    </row>
    <row r="5513" spans="1:13" x14ac:dyDescent="0.2">
      <c r="A5513" t="s">
        <v>318</v>
      </c>
      <c r="B5513" t="s">
        <v>133</v>
      </c>
      <c r="C5513" t="s">
        <v>11</v>
      </c>
      <c r="D5513">
        <v>5401</v>
      </c>
      <c r="E5513">
        <v>2021</v>
      </c>
      <c r="F5513">
        <v>2</v>
      </c>
      <c r="G5513">
        <v>17493</v>
      </c>
      <c r="H5513" s="1">
        <v>4</v>
      </c>
      <c r="I5513">
        <v>44</v>
      </c>
      <c r="J5513">
        <f>IF($H5513=0,1,IF($I5513&lt;=1,2,0))</f>
        <v>0</v>
      </c>
      <c r="K5513">
        <v>0</v>
      </c>
      <c r="L5513">
        <f>IF(AND($J5513=0,$K5513=0),0,1)</f>
        <v>0</v>
      </c>
      <c r="M5513" t="s">
        <v>1505</v>
      </c>
    </row>
    <row r="5514" spans="1:13" x14ac:dyDescent="0.2">
      <c r="A5514" t="s">
        <v>318</v>
      </c>
      <c r="B5514" t="s">
        <v>133</v>
      </c>
      <c r="C5514" t="s">
        <v>11</v>
      </c>
      <c r="D5514">
        <v>5403</v>
      </c>
      <c r="E5514">
        <v>2021</v>
      </c>
      <c r="F5514">
        <v>1</v>
      </c>
      <c r="G5514">
        <v>17494</v>
      </c>
      <c r="H5514" s="1">
        <v>3</v>
      </c>
      <c r="I5514">
        <v>47</v>
      </c>
      <c r="J5514">
        <f>IF($H5514=0,1,IF($I5514&lt;=1,2,0))</f>
        <v>0</v>
      </c>
      <c r="K5514">
        <v>0</v>
      </c>
      <c r="L5514">
        <f>IF(AND($J5514=0,$K5514=0),0,1)</f>
        <v>0</v>
      </c>
      <c r="M5514" t="s">
        <v>1504</v>
      </c>
    </row>
    <row r="5515" spans="1:13" x14ac:dyDescent="0.2">
      <c r="A5515" t="s">
        <v>318</v>
      </c>
      <c r="B5515" t="s">
        <v>133</v>
      </c>
      <c r="C5515" t="s">
        <v>11</v>
      </c>
      <c r="D5515">
        <v>5403</v>
      </c>
      <c r="E5515">
        <v>2021</v>
      </c>
      <c r="F5515">
        <v>2</v>
      </c>
      <c r="G5515">
        <v>17495</v>
      </c>
      <c r="H5515" s="1">
        <v>3</v>
      </c>
      <c r="I5515">
        <v>44</v>
      </c>
      <c r="J5515">
        <f>IF($H5515=0,1,IF($I5515&lt;=1,2,0))</f>
        <v>0</v>
      </c>
      <c r="K5515">
        <v>0</v>
      </c>
      <c r="L5515">
        <f>IF(AND($J5515=0,$K5515=0),0,1)</f>
        <v>0</v>
      </c>
      <c r="M5515" t="s">
        <v>1504</v>
      </c>
    </row>
    <row r="5516" spans="1:13" x14ac:dyDescent="0.2">
      <c r="A5516" t="s">
        <v>318</v>
      </c>
      <c r="B5516" t="s">
        <v>133</v>
      </c>
      <c r="C5516" t="s">
        <v>11</v>
      </c>
      <c r="D5516">
        <v>6001</v>
      </c>
      <c r="E5516">
        <v>2021</v>
      </c>
      <c r="F5516">
        <v>1</v>
      </c>
      <c r="G5516">
        <v>12788</v>
      </c>
      <c r="H5516" s="1">
        <v>1</v>
      </c>
      <c r="I5516">
        <v>44</v>
      </c>
      <c r="J5516">
        <f>IF($H5516=0,1,IF($I5516&lt;=1,2,0))</f>
        <v>0</v>
      </c>
      <c r="K5516">
        <v>0</v>
      </c>
      <c r="L5516">
        <f>IF(AND($J5516=0,$K5516=0),0,1)</f>
        <v>0</v>
      </c>
      <c r="M5516" t="s">
        <v>1506</v>
      </c>
    </row>
    <row r="5517" spans="1:13" x14ac:dyDescent="0.2">
      <c r="A5517" t="s">
        <v>318</v>
      </c>
      <c r="B5517" t="s">
        <v>133</v>
      </c>
      <c r="C5517" t="s">
        <v>11</v>
      </c>
      <c r="D5517">
        <v>6823</v>
      </c>
      <c r="E5517">
        <v>2021</v>
      </c>
      <c r="F5517">
        <v>1</v>
      </c>
      <c r="G5517">
        <v>13018</v>
      </c>
      <c r="H5517" s="1">
        <v>3</v>
      </c>
      <c r="I5517">
        <v>3</v>
      </c>
      <c r="J5517">
        <f>IF($H5517=0,1,IF($I5517&lt;=1,2,0))</f>
        <v>0</v>
      </c>
      <c r="K5517">
        <v>0</v>
      </c>
      <c r="L5517">
        <f>IF(AND($J5517=0,$K5517=0),0,1)</f>
        <v>0</v>
      </c>
      <c r="M5517" t="s">
        <v>334</v>
      </c>
    </row>
    <row r="5518" spans="1:13" x14ac:dyDescent="0.2">
      <c r="A5518" t="s">
        <v>318</v>
      </c>
      <c r="B5518" t="s">
        <v>133</v>
      </c>
      <c r="C5518" t="s">
        <v>11</v>
      </c>
      <c r="D5518">
        <v>6901</v>
      </c>
      <c r="E5518">
        <v>2021</v>
      </c>
      <c r="F5518">
        <v>1</v>
      </c>
      <c r="G5518">
        <v>12783</v>
      </c>
      <c r="H5518" s="1">
        <v>3</v>
      </c>
      <c r="I5518">
        <v>18</v>
      </c>
      <c r="J5518">
        <f>IF($H5518=0,1,IF($I5518&lt;=1,2,0))</f>
        <v>0</v>
      </c>
      <c r="K5518">
        <v>0</v>
      </c>
      <c r="L5518">
        <f>IF(AND($J5518=0,$K5518=0),0,1)</f>
        <v>0</v>
      </c>
    </row>
    <row r="5519" spans="1:13" x14ac:dyDescent="0.2">
      <c r="A5519" t="s">
        <v>318</v>
      </c>
      <c r="B5519" t="s">
        <v>133</v>
      </c>
      <c r="C5519" t="s">
        <v>11</v>
      </c>
      <c r="D5519">
        <v>6908</v>
      </c>
      <c r="E5519">
        <v>2021</v>
      </c>
      <c r="F5519">
        <v>1</v>
      </c>
      <c r="G5519">
        <v>12785</v>
      </c>
      <c r="H5519" s="1">
        <v>4</v>
      </c>
      <c r="I5519">
        <v>15</v>
      </c>
      <c r="J5519">
        <f>IF($H5519=0,1,IF($I5519&lt;=1,2,0))</f>
        <v>0</v>
      </c>
      <c r="K5519">
        <v>0</v>
      </c>
      <c r="L5519">
        <f>IF(AND($J5519=0,$K5519=0),0,1)</f>
        <v>0</v>
      </c>
      <c r="M5519" t="s">
        <v>335</v>
      </c>
    </row>
    <row r="5520" spans="1:13" x14ac:dyDescent="0.2">
      <c r="A5520" t="s">
        <v>318</v>
      </c>
      <c r="B5520" t="s">
        <v>133</v>
      </c>
      <c r="C5520" t="s">
        <v>11</v>
      </c>
      <c r="D5520">
        <v>6921</v>
      </c>
      <c r="E5520">
        <v>2021</v>
      </c>
      <c r="F5520">
        <v>1</v>
      </c>
      <c r="G5520">
        <v>12786</v>
      </c>
      <c r="H5520" s="1">
        <v>3</v>
      </c>
      <c r="I5520">
        <v>14</v>
      </c>
      <c r="J5520">
        <f>IF($H5520=0,1,IF($I5520&lt;=1,2,0))</f>
        <v>0</v>
      </c>
      <c r="K5520">
        <v>0</v>
      </c>
      <c r="L5520">
        <f>IF(AND($J5520=0,$K5520=0),0,1)</f>
        <v>0</v>
      </c>
    </row>
    <row r="5521" spans="1:13" x14ac:dyDescent="0.2">
      <c r="A5521" t="s">
        <v>318</v>
      </c>
      <c r="B5521" t="s">
        <v>133</v>
      </c>
      <c r="C5521" t="s">
        <v>11</v>
      </c>
      <c r="D5521">
        <v>6935</v>
      </c>
      <c r="E5521">
        <v>2021</v>
      </c>
      <c r="F5521">
        <v>1</v>
      </c>
      <c r="G5521">
        <v>15056</v>
      </c>
      <c r="H5521" s="1">
        <v>3</v>
      </c>
      <c r="I5521">
        <v>4</v>
      </c>
      <c r="J5521">
        <f>IF($H5521=0,1,IF($I5521&lt;=1,2,0))</f>
        <v>0</v>
      </c>
      <c r="K5521">
        <v>0</v>
      </c>
      <c r="L5521">
        <f>IF(AND($J5521=0,$K5521=0),0,1)</f>
        <v>0</v>
      </c>
      <c r="M5521" t="s">
        <v>1507</v>
      </c>
    </row>
    <row r="5522" spans="1:13" x14ac:dyDescent="0.2">
      <c r="A5522" t="s">
        <v>343</v>
      </c>
      <c r="B5522" t="s">
        <v>6</v>
      </c>
      <c r="C5522" t="s">
        <v>11</v>
      </c>
      <c r="D5522">
        <v>6100</v>
      </c>
      <c r="E5522">
        <v>2021</v>
      </c>
      <c r="F5522">
        <v>1</v>
      </c>
      <c r="G5522">
        <v>10117</v>
      </c>
      <c r="H5522" s="1">
        <v>4</v>
      </c>
      <c r="I5522">
        <v>21</v>
      </c>
      <c r="J5522">
        <f>IF($H5522=0,1,IF($I5522&lt;=1,2,0))</f>
        <v>0</v>
      </c>
      <c r="K5522">
        <v>0</v>
      </c>
      <c r="L5522">
        <f>IF(AND($J5522=0,$K5522=0),0,1)</f>
        <v>0</v>
      </c>
    </row>
    <row r="5523" spans="1:13" x14ac:dyDescent="0.2">
      <c r="A5523" t="s">
        <v>344</v>
      </c>
      <c r="B5523" t="s">
        <v>71</v>
      </c>
      <c r="C5523" t="s">
        <v>72</v>
      </c>
      <c r="D5523">
        <v>1101</v>
      </c>
      <c r="E5523">
        <v>2021</v>
      </c>
      <c r="F5523">
        <v>1</v>
      </c>
      <c r="G5523">
        <v>11038</v>
      </c>
      <c r="H5523" s="1">
        <v>3</v>
      </c>
      <c r="I5523">
        <v>42</v>
      </c>
      <c r="J5523">
        <f>IF($H5523=0,1,IF($I5523&lt;=1,2,0))</f>
        <v>0</v>
      </c>
      <c r="K5523">
        <v>0</v>
      </c>
      <c r="L5523">
        <f>IF(AND($J5523=0,$K5523=0),0,1)</f>
        <v>0</v>
      </c>
    </row>
    <row r="5524" spans="1:13" x14ac:dyDescent="0.2">
      <c r="A5524" t="s">
        <v>344</v>
      </c>
      <c r="B5524" t="s">
        <v>71</v>
      </c>
      <c r="C5524" t="s">
        <v>72</v>
      </c>
      <c r="D5524">
        <v>1201</v>
      </c>
      <c r="E5524">
        <v>2021</v>
      </c>
      <c r="F5524">
        <v>1</v>
      </c>
      <c r="G5524">
        <v>12027</v>
      </c>
      <c r="H5524" s="1">
        <v>3.5</v>
      </c>
      <c r="I5524">
        <v>70</v>
      </c>
      <c r="J5524">
        <f>IF($H5524=0,1,IF($I5524&lt;=1,2,0))</f>
        <v>0</v>
      </c>
      <c r="K5524">
        <v>0</v>
      </c>
      <c r="L5524">
        <f>IF(AND($J5524=0,$K5524=0),0,1)</f>
        <v>0</v>
      </c>
    </row>
    <row r="5525" spans="1:13" x14ac:dyDescent="0.2">
      <c r="A5525" t="s">
        <v>344</v>
      </c>
      <c r="B5525" t="s">
        <v>71</v>
      </c>
      <c r="C5525" t="s">
        <v>72</v>
      </c>
      <c r="D5525">
        <v>3043</v>
      </c>
      <c r="E5525">
        <v>2021</v>
      </c>
      <c r="F5525">
        <v>1</v>
      </c>
      <c r="G5525">
        <v>12028</v>
      </c>
      <c r="H5525" s="1">
        <v>3</v>
      </c>
      <c r="I5525">
        <v>26</v>
      </c>
      <c r="J5525">
        <f>IF($H5525=0,1,IF($I5525&lt;=1,2,0))</f>
        <v>0</v>
      </c>
      <c r="K5525">
        <v>0</v>
      </c>
      <c r="L5525">
        <f>IF(AND($J5525=0,$K5525=0),0,1)</f>
        <v>0</v>
      </c>
    </row>
    <row r="5526" spans="1:13" x14ac:dyDescent="0.2">
      <c r="A5526" t="s">
        <v>344</v>
      </c>
      <c r="B5526" t="s">
        <v>71</v>
      </c>
      <c r="C5526" t="s">
        <v>72</v>
      </c>
      <c r="D5526">
        <v>3106</v>
      </c>
      <c r="E5526">
        <v>2021</v>
      </c>
      <c r="F5526">
        <v>1</v>
      </c>
      <c r="G5526">
        <v>13591</v>
      </c>
      <c r="H5526" s="1">
        <v>3.5</v>
      </c>
      <c r="I5526">
        <v>38</v>
      </c>
      <c r="J5526">
        <f>IF($H5526=0,1,IF($I5526&lt;=1,2,0))</f>
        <v>0</v>
      </c>
      <c r="K5526">
        <v>0</v>
      </c>
      <c r="L5526">
        <f>IF(AND($J5526=0,$K5526=0),0,1)</f>
        <v>0</v>
      </c>
    </row>
    <row r="5527" spans="1:13" x14ac:dyDescent="0.2">
      <c r="A5527" t="s">
        <v>344</v>
      </c>
      <c r="B5527" t="s">
        <v>71</v>
      </c>
      <c r="C5527" t="s">
        <v>72</v>
      </c>
      <c r="D5527">
        <v>3201</v>
      </c>
      <c r="E5527">
        <v>2021</v>
      </c>
      <c r="F5527">
        <v>1</v>
      </c>
      <c r="G5527">
        <v>12035</v>
      </c>
      <c r="H5527" s="1">
        <v>3.5</v>
      </c>
      <c r="I5527">
        <v>75</v>
      </c>
      <c r="J5527">
        <f>IF($H5527=0,1,IF($I5527&lt;=1,2,0))</f>
        <v>0</v>
      </c>
      <c r="K5527">
        <v>0</v>
      </c>
      <c r="L5527">
        <f>IF(AND($J5527=0,$K5527=0),0,1)</f>
        <v>0</v>
      </c>
    </row>
    <row r="5528" spans="1:13" x14ac:dyDescent="0.2">
      <c r="A5528" t="s">
        <v>344</v>
      </c>
      <c r="B5528" t="s">
        <v>71</v>
      </c>
      <c r="C5528" t="s">
        <v>72</v>
      </c>
      <c r="D5528">
        <v>3399</v>
      </c>
      <c r="E5528">
        <v>2021</v>
      </c>
      <c r="F5528">
        <v>1</v>
      </c>
      <c r="G5528">
        <v>12036</v>
      </c>
      <c r="H5528" s="1">
        <v>1</v>
      </c>
      <c r="I5528">
        <v>21</v>
      </c>
      <c r="J5528">
        <f>IF($H5528=0,1,IF($I5528&lt;=1,2,0))</f>
        <v>0</v>
      </c>
      <c r="K5528">
        <v>0</v>
      </c>
      <c r="L5528">
        <f>IF(AND($J5528=0,$K5528=0),0,1)</f>
        <v>0</v>
      </c>
    </row>
    <row r="5529" spans="1:13" x14ac:dyDescent="0.2">
      <c r="A5529" t="s">
        <v>344</v>
      </c>
      <c r="B5529" t="s">
        <v>71</v>
      </c>
      <c r="C5529" t="s">
        <v>72</v>
      </c>
      <c r="D5529">
        <v>3399</v>
      </c>
      <c r="E5529">
        <v>2021</v>
      </c>
      <c r="F5529">
        <v>2</v>
      </c>
      <c r="G5529">
        <v>13994</v>
      </c>
      <c r="H5529" s="1">
        <v>1</v>
      </c>
      <c r="I5529">
        <v>6</v>
      </c>
      <c r="J5529">
        <f>IF($H5529=0,1,IF($I5529&lt;=1,2,0))</f>
        <v>0</v>
      </c>
      <c r="K5529">
        <v>0</v>
      </c>
      <c r="L5529">
        <f>IF(AND($J5529=0,$K5529=0),0,1)</f>
        <v>0</v>
      </c>
    </row>
    <row r="5530" spans="1:13" x14ac:dyDescent="0.2">
      <c r="A5530" t="s">
        <v>344</v>
      </c>
      <c r="B5530" t="s">
        <v>71</v>
      </c>
      <c r="C5530" t="s">
        <v>72</v>
      </c>
      <c r="D5530">
        <v>3801</v>
      </c>
      <c r="E5530">
        <v>2021</v>
      </c>
      <c r="F5530">
        <v>1</v>
      </c>
      <c r="G5530">
        <v>12037</v>
      </c>
      <c r="H5530" s="1">
        <v>3.5</v>
      </c>
      <c r="I5530">
        <v>72</v>
      </c>
      <c r="J5530">
        <f>IF($H5530=0,1,IF($I5530&lt;=1,2,0))</f>
        <v>0</v>
      </c>
      <c r="K5530">
        <v>0</v>
      </c>
      <c r="L5530">
        <f>IF(AND($J5530=0,$K5530=0),0,1)</f>
        <v>0</v>
      </c>
    </row>
    <row r="5531" spans="1:13" x14ac:dyDescent="0.2">
      <c r="A5531" t="s">
        <v>344</v>
      </c>
      <c r="B5531" t="s">
        <v>71</v>
      </c>
      <c r="C5531" t="s">
        <v>72</v>
      </c>
      <c r="D5531">
        <v>3990</v>
      </c>
      <c r="E5531">
        <v>2021</v>
      </c>
      <c r="F5531">
        <v>1</v>
      </c>
      <c r="G5531">
        <v>20270</v>
      </c>
      <c r="H5531" s="1" t="s">
        <v>1837</v>
      </c>
      <c r="I5531">
        <v>3</v>
      </c>
      <c r="J5531">
        <f>IF($H5531=0,1,IF($I5531&lt;=1,2,0))</f>
        <v>0</v>
      </c>
      <c r="K5531">
        <v>0</v>
      </c>
      <c r="L5531">
        <f>IF(AND($J5531=0,$K5531=0),0,1)</f>
        <v>0</v>
      </c>
    </row>
    <row r="5532" spans="1:13" x14ac:dyDescent="0.2">
      <c r="A5532" t="s">
        <v>344</v>
      </c>
      <c r="B5532" t="s">
        <v>71</v>
      </c>
      <c r="C5532" t="s">
        <v>72</v>
      </c>
      <c r="D5532">
        <v>4106</v>
      </c>
      <c r="E5532">
        <v>2021</v>
      </c>
      <c r="F5532">
        <v>1</v>
      </c>
      <c r="G5532">
        <v>17662</v>
      </c>
      <c r="H5532" s="1">
        <v>3</v>
      </c>
      <c r="I5532">
        <v>10</v>
      </c>
      <c r="J5532">
        <f>IF($H5532=0,1,IF($I5532&lt;=1,2,0))</f>
        <v>0</v>
      </c>
      <c r="K5532">
        <v>0</v>
      </c>
      <c r="L5532">
        <f>IF(AND($J5532=0,$K5532=0),0,1)</f>
        <v>0</v>
      </c>
    </row>
    <row r="5533" spans="1:13" x14ac:dyDescent="0.2">
      <c r="A5533" t="s">
        <v>344</v>
      </c>
      <c r="B5533" t="s">
        <v>71</v>
      </c>
      <c r="C5533" t="s">
        <v>72</v>
      </c>
      <c r="D5533">
        <v>4106</v>
      </c>
      <c r="E5533">
        <v>2021</v>
      </c>
      <c r="F5533" t="s">
        <v>84</v>
      </c>
      <c r="G5533">
        <v>18052</v>
      </c>
      <c r="H5533" s="1">
        <v>3</v>
      </c>
      <c r="I5533">
        <v>3</v>
      </c>
      <c r="J5533">
        <f>IF($H5533=0,1,IF($I5533&lt;=1,2,0))</f>
        <v>0</v>
      </c>
      <c r="K5533">
        <v>0</v>
      </c>
      <c r="L5533">
        <f>IF(AND($J5533=0,$K5533=0),0,1)</f>
        <v>0</v>
      </c>
      <c r="M5533" t="s">
        <v>85</v>
      </c>
    </row>
    <row r="5534" spans="1:13" x14ac:dyDescent="0.2">
      <c r="A5534" t="s">
        <v>344</v>
      </c>
      <c r="B5534" t="s">
        <v>71</v>
      </c>
      <c r="C5534" t="s">
        <v>72</v>
      </c>
      <c r="D5534">
        <v>4215</v>
      </c>
      <c r="E5534">
        <v>2021</v>
      </c>
      <c r="F5534">
        <v>1</v>
      </c>
      <c r="G5534">
        <v>12038</v>
      </c>
      <c r="H5534" s="1">
        <v>3</v>
      </c>
      <c r="I5534">
        <v>24</v>
      </c>
      <c r="J5534">
        <f>IF($H5534=0,1,IF($I5534&lt;=1,2,0))</f>
        <v>0</v>
      </c>
      <c r="K5534">
        <v>0</v>
      </c>
      <c r="L5534">
        <f>IF(AND($J5534=0,$K5534=0),0,1)</f>
        <v>0</v>
      </c>
    </row>
    <row r="5535" spans="1:13" x14ac:dyDescent="0.2">
      <c r="A5535" t="s">
        <v>344</v>
      </c>
      <c r="B5535" t="s">
        <v>71</v>
      </c>
      <c r="C5535" t="s">
        <v>72</v>
      </c>
      <c r="D5535">
        <v>4312</v>
      </c>
      <c r="E5535">
        <v>2021</v>
      </c>
      <c r="F5535">
        <v>1</v>
      </c>
      <c r="G5535">
        <v>12039</v>
      </c>
      <c r="H5535" s="1">
        <v>3</v>
      </c>
      <c r="I5535">
        <v>69</v>
      </c>
      <c r="J5535">
        <f>IF($H5535=0,1,IF($I5535&lt;=1,2,0))</f>
        <v>0</v>
      </c>
      <c r="K5535">
        <v>0</v>
      </c>
      <c r="L5535">
        <f>IF(AND($J5535=0,$K5535=0),0,1)</f>
        <v>0</v>
      </c>
    </row>
    <row r="5536" spans="1:13" x14ac:dyDescent="0.2">
      <c r="A5536" t="s">
        <v>344</v>
      </c>
      <c r="B5536" t="s">
        <v>71</v>
      </c>
      <c r="C5536" t="s">
        <v>72</v>
      </c>
      <c r="D5536">
        <v>4312</v>
      </c>
      <c r="E5536">
        <v>2021</v>
      </c>
      <c r="F5536" t="s">
        <v>84</v>
      </c>
      <c r="G5536">
        <v>17651</v>
      </c>
      <c r="H5536" s="1">
        <v>3</v>
      </c>
      <c r="I5536">
        <v>2</v>
      </c>
      <c r="J5536">
        <f>IF($H5536=0,1,IF($I5536&lt;=1,2,0))</f>
        <v>0</v>
      </c>
      <c r="K5536">
        <v>0</v>
      </c>
      <c r="L5536">
        <f>IF(AND($J5536=0,$K5536=0),0,1)</f>
        <v>0</v>
      </c>
      <c r="M5536" t="s">
        <v>85</v>
      </c>
    </row>
    <row r="5537" spans="1:13" x14ac:dyDescent="0.2">
      <c r="A5537" t="s">
        <v>344</v>
      </c>
      <c r="B5537" t="s">
        <v>71</v>
      </c>
      <c r="C5537" t="s">
        <v>72</v>
      </c>
      <c r="D5537">
        <v>4361</v>
      </c>
      <c r="E5537">
        <v>2021</v>
      </c>
      <c r="F5537">
        <v>1</v>
      </c>
      <c r="G5537">
        <v>12040</v>
      </c>
      <c r="H5537" s="1">
        <v>3</v>
      </c>
      <c r="I5537">
        <v>41</v>
      </c>
      <c r="J5537">
        <f>IF($H5537=0,1,IF($I5537&lt;=1,2,0))</f>
        <v>0</v>
      </c>
      <c r="K5537">
        <v>0</v>
      </c>
      <c r="L5537">
        <f>IF(AND($J5537=0,$K5537=0),0,1)</f>
        <v>0</v>
      </c>
    </row>
    <row r="5538" spans="1:13" x14ac:dyDescent="0.2">
      <c r="A5538" t="s">
        <v>344</v>
      </c>
      <c r="B5538" t="s">
        <v>71</v>
      </c>
      <c r="C5538" t="s">
        <v>72</v>
      </c>
      <c r="D5538">
        <v>4411</v>
      </c>
      <c r="E5538">
        <v>2021</v>
      </c>
      <c r="F5538">
        <v>1</v>
      </c>
      <c r="G5538">
        <v>13509</v>
      </c>
      <c r="H5538" s="1">
        <v>3</v>
      </c>
      <c r="I5538">
        <v>29</v>
      </c>
      <c r="J5538">
        <f>IF($H5538=0,1,IF($I5538&lt;=1,2,0))</f>
        <v>0</v>
      </c>
      <c r="K5538">
        <v>0</v>
      </c>
      <c r="L5538">
        <f>IF(AND($J5538=0,$K5538=0),0,1)</f>
        <v>0</v>
      </c>
    </row>
    <row r="5539" spans="1:13" x14ac:dyDescent="0.2">
      <c r="A5539" t="s">
        <v>344</v>
      </c>
      <c r="B5539" t="s">
        <v>71</v>
      </c>
      <c r="C5539" t="s">
        <v>72</v>
      </c>
      <c r="D5539">
        <v>4488</v>
      </c>
      <c r="E5539">
        <v>2021</v>
      </c>
      <c r="F5539">
        <v>1</v>
      </c>
      <c r="G5539">
        <v>12041</v>
      </c>
      <c r="H5539" s="1">
        <v>3</v>
      </c>
      <c r="I5539">
        <v>15</v>
      </c>
      <c r="J5539">
        <f>IF($H5539=0,1,IF($I5539&lt;=1,2,0))</f>
        <v>0</v>
      </c>
      <c r="K5539">
        <v>0</v>
      </c>
      <c r="L5539">
        <f>IF(AND($J5539=0,$K5539=0),0,1)</f>
        <v>0</v>
      </c>
    </row>
    <row r="5540" spans="1:13" x14ac:dyDescent="0.2">
      <c r="A5540" t="s">
        <v>344</v>
      </c>
      <c r="B5540" t="s">
        <v>71</v>
      </c>
      <c r="C5540" t="s">
        <v>72</v>
      </c>
      <c r="D5540">
        <v>4488</v>
      </c>
      <c r="E5540">
        <v>2021</v>
      </c>
      <c r="F5540" t="s">
        <v>84</v>
      </c>
      <c r="G5540">
        <v>17612</v>
      </c>
      <c r="H5540" s="1">
        <v>3</v>
      </c>
      <c r="I5540">
        <v>3</v>
      </c>
      <c r="J5540">
        <f>IF($H5540=0,1,IF($I5540&lt;=1,2,0))</f>
        <v>0</v>
      </c>
      <c r="K5540">
        <v>0</v>
      </c>
      <c r="L5540">
        <f>IF(AND($J5540=0,$K5540=0),0,1)</f>
        <v>0</v>
      </c>
      <c r="M5540" t="s">
        <v>85</v>
      </c>
    </row>
    <row r="5541" spans="1:13" x14ac:dyDescent="0.2">
      <c r="A5541" t="s">
        <v>344</v>
      </c>
      <c r="B5541" t="s">
        <v>71</v>
      </c>
      <c r="C5541" t="s">
        <v>72</v>
      </c>
      <c r="D5541">
        <v>4511</v>
      </c>
      <c r="E5541">
        <v>2021</v>
      </c>
      <c r="F5541">
        <v>1</v>
      </c>
      <c r="G5541">
        <v>12064</v>
      </c>
      <c r="H5541" s="1">
        <v>3</v>
      </c>
      <c r="I5541">
        <v>30</v>
      </c>
      <c r="J5541">
        <f>IF($H5541=0,1,IF($I5541&lt;=1,2,0))</f>
        <v>0</v>
      </c>
      <c r="K5541">
        <v>0</v>
      </c>
      <c r="L5541">
        <f>IF(AND($J5541=0,$K5541=0),0,1)</f>
        <v>0</v>
      </c>
    </row>
    <row r="5542" spans="1:13" x14ac:dyDescent="0.2">
      <c r="A5542" t="s">
        <v>344</v>
      </c>
      <c r="B5542" t="s">
        <v>71</v>
      </c>
      <c r="C5542" t="s">
        <v>72</v>
      </c>
      <c r="D5542">
        <v>4720</v>
      </c>
      <c r="E5542">
        <v>2021</v>
      </c>
      <c r="F5542">
        <v>1</v>
      </c>
      <c r="G5542">
        <v>18223</v>
      </c>
      <c r="H5542" s="1">
        <v>3</v>
      </c>
      <c r="I5542">
        <v>55</v>
      </c>
      <c r="J5542">
        <f>IF($H5542=0,1,IF($I5542&lt;=1,2,0))</f>
        <v>0</v>
      </c>
      <c r="K5542">
        <v>0</v>
      </c>
      <c r="L5542">
        <f>IF(AND($J5542=0,$K5542=0),0,1)</f>
        <v>0</v>
      </c>
    </row>
    <row r="5543" spans="1:13" x14ac:dyDescent="0.2">
      <c r="A5543" t="s">
        <v>344</v>
      </c>
      <c r="B5543" t="s">
        <v>71</v>
      </c>
      <c r="C5543" t="s">
        <v>72</v>
      </c>
      <c r="D5543">
        <v>4720</v>
      </c>
      <c r="E5543">
        <v>2021</v>
      </c>
      <c r="F5543" t="s">
        <v>251</v>
      </c>
      <c r="G5543">
        <v>20151</v>
      </c>
      <c r="H5543" s="1">
        <v>3</v>
      </c>
      <c r="I5543">
        <v>52</v>
      </c>
      <c r="J5543">
        <f>IF($H5543=0,1,IF($I5543&lt;=1,2,0))</f>
        <v>0</v>
      </c>
      <c r="K5543">
        <v>0</v>
      </c>
      <c r="L5543">
        <f>IF(AND($J5543=0,$K5543=0),0,1)</f>
        <v>0</v>
      </c>
    </row>
    <row r="5544" spans="1:13" x14ac:dyDescent="0.2">
      <c r="A5544" t="s">
        <v>344</v>
      </c>
      <c r="B5544" t="s">
        <v>71</v>
      </c>
      <c r="C5544" t="s">
        <v>72</v>
      </c>
      <c r="D5544">
        <v>4810</v>
      </c>
      <c r="E5544">
        <v>2021</v>
      </c>
      <c r="F5544">
        <v>1</v>
      </c>
      <c r="G5544">
        <v>12042</v>
      </c>
      <c r="H5544" s="1">
        <v>3</v>
      </c>
      <c r="I5544">
        <v>103</v>
      </c>
      <c r="J5544">
        <f>IF($H5544=0,1,IF($I5544&lt;=1,2,0))</f>
        <v>0</v>
      </c>
      <c r="K5544">
        <v>0</v>
      </c>
      <c r="L5544">
        <f>IF(AND($J5544=0,$K5544=0),0,1)</f>
        <v>0</v>
      </c>
    </row>
    <row r="5545" spans="1:13" x14ac:dyDescent="0.2">
      <c r="A5545" t="s">
        <v>344</v>
      </c>
      <c r="B5545" t="s">
        <v>71</v>
      </c>
      <c r="C5545" t="s">
        <v>72</v>
      </c>
      <c r="D5545">
        <v>4810</v>
      </c>
      <c r="E5545">
        <v>2021</v>
      </c>
      <c r="F5545" t="s">
        <v>84</v>
      </c>
      <c r="G5545">
        <v>17613</v>
      </c>
      <c r="H5545" s="1">
        <v>3</v>
      </c>
      <c r="I5545">
        <v>2</v>
      </c>
      <c r="J5545">
        <f>IF($H5545=0,1,IF($I5545&lt;=1,2,0))</f>
        <v>0</v>
      </c>
      <c r="K5545">
        <v>0</v>
      </c>
      <c r="L5545">
        <f>IF(AND($J5545=0,$K5545=0),0,1)</f>
        <v>0</v>
      </c>
      <c r="M5545" t="s">
        <v>85</v>
      </c>
    </row>
    <row r="5546" spans="1:13" x14ac:dyDescent="0.2">
      <c r="A5546" t="s">
        <v>344</v>
      </c>
      <c r="B5546" t="s">
        <v>71</v>
      </c>
      <c r="C5546" t="s">
        <v>72</v>
      </c>
      <c r="D5546">
        <v>4901</v>
      </c>
      <c r="E5546">
        <v>2021</v>
      </c>
      <c r="F5546">
        <v>1</v>
      </c>
      <c r="G5546">
        <v>15787</v>
      </c>
      <c r="H5546" s="1">
        <v>3</v>
      </c>
      <c r="I5546">
        <v>18</v>
      </c>
      <c r="J5546">
        <f>IF($H5546=0,1,IF($I5546&lt;=1,2,0))</f>
        <v>0</v>
      </c>
      <c r="K5546">
        <v>0</v>
      </c>
      <c r="L5546">
        <f>IF(AND($J5546=0,$K5546=0),0,1)</f>
        <v>0</v>
      </c>
    </row>
    <row r="5547" spans="1:13" x14ac:dyDescent="0.2">
      <c r="A5547" t="s">
        <v>344</v>
      </c>
      <c r="B5547" t="s">
        <v>71</v>
      </c>
      <c r="C5547" t="s">
        <v>72</v>
      </c>
      <c r="D5547">
        <v>4901</v>
      </c>
      <c r="E5547">
        <v>2021</v>
      </c>
      <c r="F5547" t="s">
        <v>84</v>
      </c>
      <c r="G5547">
        <v>16424</v>
      </c>
      <c r="H5547" s="1">
        <v>3</v>
      </c>
      <c r="I5547">
        <v>2</v>
      </c>
      <c r="J5547">
        <f>IF($H5547=0,1,IF($I5547&lt;=1,2,0))</f>
        <v>0</v>
      </c>
      <c r="K5547">
        <v>0</v>
      </c>
      <c r="L5547">
        <f>IF(AND($J5547=0,$K5547=0),0,1)</f>
        <v>0</v>
      </c>
      <c r="M5547" t="s">
        <v>85</v>
      </c>
    </row>
    <row r="5548" spans="1:13" x14ac:dyDescent="0.2">
      <c r="A5548" t="s">
        <v>344</v>
      </c>
      <c r="B5548" t="s">
        <v>71</v>
      </c>
      <c r="C5548" t="s">
        <v>72</v>
      </c>
      <c r="D5548">
        <v>4944</v>
      </c>
      <c r="E5548">
        <v>2021</v>
      </c>
      <c r="F5548">
        <v>1</v>
      </c>
      <c r="G5548">
        <v>14984</v>
      </c>
      <c r="H5548" s="1">
        <v>3</v>
      </c>
      <c r="I5548">
        <v>29</v>
      </c>
      <c r="J5548">
        <f>IF($H5548=0,1,IF($I5548&lt;=1,2,0))</f>
        <v>0</v>
      </c>
      <c r="K5548">
        <v>0</v>
      </c>
      <c r="L5548">
        <f>IF(AND($J5548=0,$K5548=0),0,1)</f>
        <v>0</v>
      </c>
    </row>
    <row r="5549" spans="1:13" x14ac:dyDescent="0.2">
      <c r="A5549" t="s">
        <v>344</v>
      </c>
      <c r="B5549" t="s">
        <v>71</v>
      </c>
      <c r="C5549" t="s">
        <v>72</v>
      </c>
      <c r="D5549">
        <v>6001</v>
      </c>
      <c r="E5549">
        <v>2021</v>
      </c>
      <c r="F5549">
        <v>3</v>
      </c>
      <c r="G5549">
        <v>13806</v>
      </c>
      <c r="H5549" s="1" t="s">
        <v>1823</v>
      </c>
      <c r="I5549">
        <v>8</v>
      </c>
      <c r="J5549">
        <f>IF($H5549=0,1,IF($I5549&lt;=1,2,0))</f>
        <v>0</v>
      </c>
      <c r="K5549">
        <v>0</v>
      </c>
      <c r="L5549">
        <f>IF(AND($J5549=0,$K5549=0),0,1)</f>
        <v>0</v>
      </c>
    </row>
    <row r="5550" spans="1:13" x14ac:dyDescent="0.2">
      <c r="A5550" t="s">
        <v>344</v>
      </c>
      <c r="B5550" t="s">
        <v>71</v>
      </c>
      <c r="C5550" t="s">
        <v>72</v>
      </c>
      <c r="D5550">
        <v>6001</v>
      </c>
      <c r="E5550">
        <v>2021</v>
      </c>
      <c r="F5550">
        <v>11</v>
      </c>
      <c r="G5550">
        <v>13814</v>
      </c>
      <c r="H5550" s="1" t="s">
        <v>1823</v>
      </c>
      <c r="I5550">
        <v>7</v>
      </c>
      <c r="J5550">
        <f>IF($H5550=0,1,IF($I5550&lt;=1,2,0))</f>
        <v>0</v>
      </c>
      <c r="K5550">
        <v>0</v>
      </c>
      <c r="L5550">
        <f>IF(AND($J5550=0,$K5550=0),0,1)</f>
        <v>0</v>
      </c>
    </row>
    <row r="5551" spans="1:13" x14ac:dyDescent="0.2">
      <c r="A5551" t="s">
        <v>344</v>
      </c>
      <c r="B5551" t="s">
        <v>71</v>
      </c>
      <c r="C5551" t="s">
        <v>72</v>
      </c>
      <c r="D5551">
        <v>6001</v>
      </c>
      <c r="E5551">
        <v>2021</v>
      </c>
      <c r="F5551">
        <v>21</v>
      </c>
      <c r="G5551">
        <v>13823</v>
      </c>
      <c r="H5551" s="1" t="s">
        <v>1823</v>
      </c>
      <c r="I5551">
        <v>6</v>
      </c>
      <c r="J5551">
        <f>IF($H5551=0,1,IF($I5551&lt;=1,2,0))</f>
        <v>0</v>
      </c>
      <c r="K5551">
        <v>0</v>
      </c>
      <c r="L5551">
        <f>IF(AND($J5551=0,$K5551=0),0,1)</f>
        <v>0</v>
      </c>
    </row>
    <row r="5552" spans="1:13" x14ac:dyDescent="0.2">
      <c r="A5552" t="s">
        <v>344</v>
      </c>
      <c r="B5552" t="s">
        <v>71</v>
      </c>
      <c r="C5552" t="s">
        <v>72</v>
      </c>
      <c r="D5552">
        <v>6001</v>
      </c>
      <c r="E5552">
        <v>2021</v>
      </c>
      <c r="F5552">
        <v>20</v>
      </c>
      <c r="G5552">
        <v>13822</v>
      </c>
      <c r="H5552" s="1" t="s">
        <v>1823</v>
      </c>
      <c r="I5552">
        <v>5</v>
      </c>
      <c r="J5552">
        <f>IF($H5552=0,1,IF($I5552&lt;=1,2,0))</f>
        <v>0</v>
      </c>
      <c r="K5552">
        <v>0</v>
      </c>
      <c r="L5552">
        <f>IF(AND($J5552=0,$K5552=0),0,1)</f>
        <v>0</v>
      </c>
    </row>
    <row r="5553" spans="1:13" x14ac:dyDescent="0.2">
      <c r="A5553" t="s">
        <v>344</v>
      </c>
      <c r="B5553" t="s">
        <v>71</v>
      </c>
      <c r="C5553" t="s">
        <v>72</v>
      </c>
      <c r="D5553">
        <v>6001</v>
      </c>
      <c r="E5553">
        <v>2021</v>
      </c>
      <c r="F5553">
        <v>7</v>
      </c>
      <c r="G5553">
        <v>13810</v>
      </c>
      <c r="H5553" s="1" t="s">
        <v>1823</v>
      </c>
      <c r="I5553">
        <v>4</v>
      </c>
      <c r="J5553">
        <f>IF($H5553=0,1,IF($I5553&lt;=1,2,0))</f>
        <v>0</v>
      </c>
      <c r="K5553">
        <v>0</v>
      </c>
      <c r="L5553">
        <f>IF(AND($J5553=0,$K5553=0),0,1)</f>
        <v>0</v>
      </c>
    </row>
    <row r="5554" spans="1:13" x14ac:dyDescent="0.2">
      <c r="A5554" t="s">
        <v>344</v>
      </c>
      <c r="B5554" t="s">
        <v>71</v>
      </c>
      <c r="C5554" t="s">
        <v>72</v>
      </c>
      <c r="D5554">
        <v>6001</v>
      </c>
      <c r="E5554">
        <v>2021</v>
      </c>
      <c r="F5554">
        <v>13</v>
      </c>
      <c r="G5554">
        <v>13816</v>
      </c>
      <c r="H5554" s="1" t="s">
        <v>1823</v>
      </c>
      <c r="I5554">
        <v>4</v>
      </c>
      <c r="J5554">
        <f>IF($H5554=0,1,IF($I5554&lt;=1,2,0))</f>
        <v>0</v>
      </c>
      <c r="K5554">
        <v>0</v>
      </c>
      <c r="L5554">
        <f>IF(AND($J5554=0,$K5554=0),0,1)</f>
        <v>0</v>
      </c>
    </row>
    <row r="5555" spans="1:13" x14ac:dyDescent="0.2">
      <c r="A5555" t="s">
        <v>344</v>
      </c>
      <c r="B5555" t="s">
        <v>71</v>
      </c>
      <c r="C5555" t="s">
        <v>72</v>
      </c>
      <c r="D5555">
        <v>6001</v>
      </c>
      <c r="E5555">
        <v>2021</v>
      </c>
      <c r="F5555">
        <v>16</v>
      </c>
      <c r="G5555">
        <v>13819</v>
      </c>
      <c r="H5555" s="1" t="s">
        <v>1823</v>
      </c>
      <c r="I5555">
        <v>3</v>
      </c>
      <c r="J5555">
        <f>IF($H5555=0,1,IF($I5555&lt;=1,2,0))</f>
        <v>0</v>
      </c>
      <c r="K5555">
        <v>0</v>
      </c>
      <c r="L5555">
        <f>IF(AND($J5555=0,$K5555=0),0,1)</f>
        <v>0</v>
      </c>
    </row>
    <row r="5556" spans="1:13" x14ac:dyDescent="0.2">
      <c r="A5556" t="s">
        <v>344</v>
      </c>
      <c r="B5556" t="s">
        <v>71</v>
      </c>
      <c r="C5556" t="s">
        <v>72</v>
      </c>
      <c r="D5556">
        <v>6001</v>
      </c>
      <c r="E5556">
        <v>2021</v>
      </c>
      <c r="F5556">
        <v>29</v>
      </c>
      <c r="G5556">
        <v>13831</v>
      </c>
      <c r="H5556" s="1" t="s">
        <v>1823</v>
      </c>
      <c r="I5556">
        <v>3</v>
      </c>
      <c r="J5556">
        <f>IF($H5556=0,1,IF($I5556&lt;=1,2,0))</f>
        <v>0</v>
      </c>
      <c r="K5556">
        <v>0</v>
      </c>
      <c r="L5556">
        <f>IF(AND($J5556=0,$K5556=0),0,1)</f>
        <v>0</v>
      </c>
    </row>
    <row r="5557" spans="1:13" x14ac:dyDescent="0.2">
      <c r="A5557" t="s">
        <v>344</v>
      </c>
      <c r="B5557" t="s">
        <v>71</v>
      </c>
      <c r="C5557" t="s">
        <v>72</v>
      </c>
      <c r="D5557">
        <v>6001</v>
      </c>
      <c r="E5557">
        <v>2021</v>
      </c>
      <c r="F5557">
        <v>2</v>
      </c>
      <c r="G5557">
        <v>13805</v>
      </c>
      <c r="H5557" s="1" t="s">
        <v>1823</v>
      </c>
      <c r="I5557">
        <v>2</v>
      </c>
      <c r="J5557">
        <f>IF($H5557=0,1,IF($I5557&lt;=1,2,0))</f>
        <v>0</v>
      </c>
      <c r="K5557">
        <v>0</v>
      </c>
      <c r="L5557">
        <f>IF(AND($J5557=0,$K5557=0),0,1)</f>
        <v>0</v>
      </c>
    </row>
    <row r="5558" spans="1:13" x14ac:dyDescent="0.2">
      <c r="A5558" t="s">
        <v>344</v>
      </c>
      <c r="B5558" t="s">
        <v>71</v>
      </c>
      <c r="C5558" t="s">
        <v>72</v>
      </c>
      <c r="D5558">
        <v>6001</v>
      </c>
      <c r="E5558">
        <v>2021</v>
      </c>
      <c r="F5558">
        <v>5</v>
      </c>
      <c r="G5558">
        <v>13808</v>
      </c>
      <c r="H5558" s="1" t="s">
        <v>1823</v>
      </c>
      <c r="I5558">
        <v>2</v>
      </c>
      <c r="J5558">
        <f>IF($H5558=0,1,IF($I5558&lt;=1,2,0))</f>
        <v>0</v>
      </c>
      <c r="K5558">
        <v>0</v>
      </c>
      <c r="L5558">
        <f>IF(AND($J5558=0,$K5558=0),0,1)</f>
        <v>0</v>
      </c>
    </row>
    <row r="5559" spans="1:13" x14ac:dyDescent="0.2">
      <c r="A5559" t="s">
        <v>344</v>
      </c>
      <c r="B5559" t="s">
        <v>71</v>
      </c>
      <c r="C5559" t="s">
        <v>72</v>
      </c>
      <c r="D5559">
        <v>6001</v>
      </c>
      <c r="E5559">
        <v>2021</v>
      </c>
      <c r="F5559">
        <v>9</v>
      </c>
      <c r="G5559">
        <v>13812</v>
      </c>
      <c r="H5559" s="1" t="s">
        <v>1823</v>
      </c>
      <c r="I5559">
        <v>2</v>
      </c>
      <c r="J5559">
        <f>IF($H5559=0,1,IF($I5559&lt;=1,2,0))</f>
        <v>0</v>
      </c>
      <c r="K5559">
        <v>0</v>
      </c>
      <c r="L5559">
        <f>IF(AND($J5559=0,$K5559=0),0,1)</f>
        <v>0</v>
      </c>
    </row>
    <row r="5560" spans="1:13" x14ac:dyDescent="0.2">
      <c r="A5560" t="s">
        <v>344</v>
      </c>
      <c r="B5560" t="s">
        <v>71</v>
      </c>
      <c r="C5560" t="s">
        <v>72</v>
      </c>
      <c r="D5560">
        <v>6001</v>
      </c>
      <c r="E5560">
        <v>2021</v>
      </c>
      <c r="F5560">
        <v>10</v>
      </c>
      <c r="G5560">
        <v>13813</v>
      </c>
      <c r="H5560" s="1" t="s">
        <v>1823</v>
      </c>
      <c r="I5560">
        <v>2</v>
      </c>
      <c r="J5560">
        <f>IF($H5560=0,1,IF($I5560&lt;=1,2,0))</f>
        <v>0</v>
      </c>
      <c r="K5560">
        <v>0</v>
      </c>
      <c r="L5560">
        <f>IF(AND($J5560=0,$K5560=0),0,1)</f>
        <v>0</v>
      </c>
    </row>
    <row r="5561" spans="1:13" x14ac:dyDescent="0.2">
      <c r="A5561" t="s">
        <v>344</v>
      </c>
      <c r="B5561" t="s">
        <v>71</v>
      </c>
      <c r="C5561" t="s">
        <v>72</v>
      </c>
      <c r="D5561">
        <v>6001</v>
      </c>
      <c r="E5561">
        <v>2021</v>
      </c>
      <c r="F5561">
        <v>26</v>
      </c>
      <c r="G5561">
        <v>13828</v>
      </c>
      <c r="H5561" s="1" t="s">
        <v>1823</v>
      </c>
      <c r="I5561">
        <v>2</v>
      </c>
      <c r="J5561">
        <f>IF($H5561=0,1,IF($I5561&lt;=1,2,0))</f>
        <v>0</v>
      </c>
      <c r="K5561">
        <v>0</v>
      </c>
      <c r="L5561">
        <f>IF(AND($J5561=0,$K5561=0),0,1)</f>
        <v>0</v>
      </c>
    </row>
    <row r="5562" spans="1:13" x14ac:dyDescent="0.2">
      <c r="A5562" t="s">
        <v>344</v>
      </c>
      <c r="B5562" t="s">
        <v>71</v>
      </c>
      <c r="C5562" t="s">
        <v>72</v>
      </c>
      <c r="D5562">
        <v>6320</v>
      </c>
      <c r="E5562">
        <v>2021</v>
      </c>
      <c r="F5562">
        <v>1</v>
      </c>
      <c r="G5562">
        <v>12043</v>
      </c>
      <c r="H5562" s="1">
        <v>3</v>
      </c>
      <c r="I5562">
        <v>17</v>
      </c>
      <c r="J5562">
        <f>IF($H5562=0,1,IF($I5562&lt;=1,2,0))</f>
        <v>0</v>
      </c>
      <c r="K5562">
        <v>0</v>
      </c>
      <c r="L5562">
        <f>IF(AND($J5562=0,$K5562=0),0,1)</f>
        <v>0</v>
      </c>
    </row>
    <row r="5563" spans="1:13" x14ac:dyDescent="0.2">
      <c r="A5563" t="s">
        <v>344</v>
      </c>
      <c r="B5563" t="s">
        <v>71</v>
      </c>
      <c r="C5563" t="s">
        <v>11</v>
      </c>
      <c r="D5563">
        <v>6324</v>
      </c>
      <c r="E5563">
        <v>2021</v>
      </c>
      <c r="F5563">
        <v>1</v>
      </c>
      <c r="G5563">
        <v>12044</v>
      </c>
      <c r="H5563" s="1">
        <v>3</v>
      </c>
      <c r="I5563">
        <v>20</v>
      </c>
      <c r="J5563">
        <f>IF($H5563=0,1,IF($I5563&lt;=1,2,0))</f>
        <v>0</v>
      </c>
      <c r="K5563">
        <v>0</v>
      </c>
      <c r="L5563">
        <f>IF(AND($J5563=0,$K5563=0),0,1)</f>
        <v>0</v>
      </c>
    </row>
    <row r="5564" spans="1:13" x14ac:dyDescent="0.2">
      <c r="A5564" t="s">
        <v>344</v>
      </c>
      <c r="B5564" t="s">
        <v>71</v>
      </c>
      <c r="C5564" t="s">
        <v>72</v>
      </c>
      <c r="D5564">
        <v>6333</v>
      </c>
      <c r="E5564">
        <v>2021</v>
      </c>
      <c r="F5564">
        <v>1</v>
      </c>
      <c r="G5564">
        <v>18243</v>
      </c>
      <c r="H5564" s="1">
        <v>3</v>
      </c>
      <c r="I5564">
        <v>48</v>
      </c>
      <c r="J5564">
        <f>IF($H5564=0,1,IF($I5564&lt;=1,2,0))</f>
        <v>0</v>
      </c>
      <c r="K5564">
        <v>0</v>
      </c>
      <c r="L5564">
        <f>IF(AND($J5564=0,$K5564=0),0,1)</f>
        <v>0</v>
      </c>
    </row>
    <row r="5565" spans="1:13" x14ac:dyDescent="0.2">
      <c r="A5565" t="s">
        <v>344</v>
      </c>
      <c r="B5565" t="s">
        <v>71</v>
      </c>
      <c r="C5565" t="s">
        <v>72</v>
      </c>
      <c r="D5565">
        <v>6488</v>
      </c>
      <c r="E5565">
        <v>2021</v>
      </c>
      <c r="F5565">
        <v>1</v>
      </c>
      <c r="G5565">
        <v>12063</v>
      </c>
      <c r="H5565" s="1">
        <v>3</v>
      </c>
      <c r="I5565">
        <v>10</v>
      </c>
      <c r="J5565">
        <f>IF($H5565=0,1,IF($I5565&lt;=1,2,0))</f>
        <v>0</v>
      </c>
      <c r="K5565">
        <v>0</v>
      </c>
      <c r="L5565">
        <f>IF(AND($J5565=0,$K5565=0),0,1)</f>
        <v>0</v>
      </c>
    </row>
    <row r="5566" spans="1:13" x14ac:dyDescent="0.2">
      <c r="A5566" t="s">
        <v>344</v>
      </c>
      <c r="B5566" t="s">
        <v>71</v>
      </c>
      <c r="C5566" t="s">
        <v>72</v>
      </c>
      <c r="D5566">
        <v>6713</v>
      </c>
      <c r="E5566">
        <v>2021</v>
      </c>
      <c r="F5566">
        <v>1</v>
      </c>
      <c r="G5566">
        <v>13508</v>
      </c>
      <c r="H5566" s="1">
        <v>3</v>
      </c>
      <c r="I5566">
        <v>18</v>
      </c>
      <c r="J5566">
        <f>IF($H5566=0,1,IF($I5566&lt;=1,2,0))</f>
        <v>0</v>
      </c>
      <c r="K5566">
        <v>0</v>
      </c>
      <c r="L5566">
        <f>IF(AND($J5566=0,$K5566=0),0,1)</f>
        <v>0</v>
      </c>
    </row>
    <row r="5567" spans="1:13" x14ac:dyDescent="0.2">
      <c r="A5567" t="s">
        <v>344</v>
      </c>
      <c r="B5567" t="s">
        <v>71</v>
      </c>
      <c r="C5567" t="s">
        <v>72</v>
      </c>
      <c r="D5567">
        <v>6713</v>
      </c>
      <c r="E5567">
        <v>2021</v>
      </c>
      <c r="F5567" t="s">
        <v>84</v>
      </c>
      <c r="G5567">
        <v>17161</v>
      </c>
      <c r="H5567" s="1">
        <v>3</v>
      </c>
      <c r="I5567">
        <v>8</v>
      </c>
      <c r="J5567">
        <f>IF($H5567=0,1,IF($I5567&lt;=1,2,0))</f>
        <v>0</v>
      </c>
      <c r="K5567">
        <v>0</v>
      </c>
      <c r="L5567">
        <f>IF(AND($J5567=0,$K5567=0),0,1)</f>
        <v>0</v>
      </c>
      <c r="M5567" t="s">
        <v>85</v>
      </c>
    </row>
    <row r="5568" spans="1:13" x14ac:dyDescent="0.2">
      <c r="A5568" t="s">
        <v>344</v>
      </c>
      <c r="B5568" t="s">
        <v>71</v>
      </c>
      <c r="C5568" t="s">
        <v>72</v>
      </c>
      <c r="D5568">
        <v>6761</v>
      </c>
      <c r="E5568">
        <v>2021</v>
      </c>
      <c r="F5568">
        <v>1</v>
      </c>
      <c r="G5568">
        <v>12045</v>
      </c>
      <c r="H5568" s="1">
        <v>3</v>
      </c>
      <c r="I5568">
        <v>41</v>
      </c>
      <c r="J5568">
        <f>IF($H5568=0,1,IF($I5568&lt;=1,2,0))</f>
        <v>0</v>
      </c>
      <c r="K5568">
        <v>0</v>
      </c>
      <c r="L5568">
        <f>IF(AND($J5568=0,$K5568=0),0,1)</f>
        <v>0</v>
      </c>
    </row>
    <row r="5569" spans="1:13" x14ac:dyDescent="0.2">
      <c r="A5569" t="s">
        <v>344</v>
      </c>
      <c r="B5569" t="s">
        <v>71</v>
      </c>
      <c r="C5569" t="s">
        <v>72</v>
      </c>
      <c r="D5569">
        <v>6761</v>
      </c>
      <c r="E5569">
        <v>2021</v>
      </c>
      <c r="F5569" t="s">
        <v>84</v>
      </c>
      <c r="G5569">
        <v>18053</v>
      </c>
      <c r="H5569" s="1">
        <v>3</v>
      </c>
      <c r="I5569">
        <v>2</v>
      </c>
      <c r="J5569">
        <f>IF($H5569=0,1,IF($I5569&lt;=1,2,0))</f>
        <v>0</v>
      </c>
      <c r="K5569">
        <v>0</v>
      </c>
      <c r="L5569">
        <f>IF(AND($J5569=0,$K5569=0),0,1)</f>
        <v>0</v>
      </c>
      <c r="M5569" t="s">
        <v>85</v>
      </c>
    </row>
    <row r="5570" spans="1:13" x14ac:dyDescent="0.2">
      <c r="A5570" t="s">
        <v>344</v>
      </c>
      <c r="B5570" t="s">
        <v>71</v>
      </c>
      <c r="C5570" t="s">
        <v>72</v>
      </c>
      <c r="D5570">
        <v>6767</v>
      </c>
      <c r="E5570">
        <v>2021</v>
      </c>
      <c r="F5570">
        <v>1</v>
      </c>
      <c r="G5570">
        <v>12046</v>
      </c>
      <c r="H5570" s="1">
        <v>3</v>
      </c>
      <c r="I5570">
        <v>43</v>
      </c>
      <c r="J5570">
        <f>IF($H5570=0,1,IF($I5570&lt;=1,2,0))</f>
        <v>0</v>
      </c>
      <c r="K5570">
        <v>0</v>
      </c>
      <c r="L5570">
        <f>IF(AND($J5570=0,$K5570=0),0,1)</f>
        <v>0</v>
      </c>
    </row>
    <row r="5571" spans="1:13" x14ac:dyDescent="0.2">
      <c r="A5571" t="s">
        <v>344</v>
      </c>
      <c r="B5571" t="s">
        <v>71</v>
      </c>
      <c r="C5571" t="s">
        <v>72</v>
      </c>
      <c r="D5571">
        <v>6770</v>
      </c>
      <c r="E5571">
        <v>2021</v>
      </c>
      <c r="F5571">
        <v>1</v>
      </c>
      <c r="G5571">
        <v>12047</v>
      </c>
      <c r="H5571" s="1">
        <v>3</v>
      </c>
      <c r="I5571">
        <v>41</v>
      </c>
      <c r="J5571">
        <f>IF($H5571=0,1,IF($I5571&lt;=1,2,0))</f>
        <v>0</v>
      </c>
      <c r="K5571">
        <v>0</v>
      </c>
      <c r="L5571">
        <f>IF(AND($J5571=0,$K5571=0),0,1)</f>
        <v>0</v>
      </c>
    </row>
    <row r="5572" spans="1:13" x14ac:dyDescent="0.2">
      <c r="A5572" t="s">
        <v>344</v>
      </c>
      <c r="B5572" t="s">
        <v>71</v>
      </c>
      <c r="C5572" t="s">
        <v>72</v>
      </c>
      <c r="D5572">
        <v>6885</v>
      </c>
      <c r="E5572">
        <v>2021</v>
      </c>
      <c r="F5572">
        <v>1</v>
      </c>
      <c r="G5572">
        <v>12049</v>
      </c>
      <c r="H5572" s="1">
        <v>3</v>
      </c>
      <c r="I5572">
        <v>156</v>
      </c>
      <c r="J5572">
        <f>IF($H5572=0,1,IF($I5572&lt;=1,2,0))</f>
        <v>0</v>
      </c>
      <c r="K5572">
        <v>0</v>
      </c>
      <c r="L5572">
        <f>IF(AND($J5572=0,$K5572=0),0,1)</f>
        <v>0</v>
      </c>
    </row>
    <row r="5573" spans="1:13" x14ac:dyDescent="0.2">
      <c r="A5573" t="s">
        <v>344</v>
      </c>
      <c r="B5573" t="s">
        <v>71</v>
      </c>
      <c r="C5573" t="s">
        <v>72</v>
      </c>
      <c r="D5573">
        <v>6885</v>
      </c>
      <c r="E5573">
        <v>2021</v>
      </c>
      <c r="F5573" t="s">
        <v>84</v>
      </c>
      <c r="G5573">
        <v>17392</v>
      </c>
      <c r="H5573" s="1">
        <v>3</v>
      </c>
      <c r="I5573">
        <v>2</v>
      </c>
      <c r="J5573">
        <f>IF($H5573=0,1,IF($I5573&lt;=1,2,0))</f>
        <v>0</v>
      </c>
      <c r="K5573">
        <v>0</v>
      </c>
      <c r="L5573">
        <f>IF(AND($J5573=0,$K5573=0),0,1)</f>
        <v>0</v>
      </c>
      <c r="M5573" t="s">
        <v>85</v>
      </c>
    </row>
    <row r="5574" spans="1:13" x14ac:dyDescent="0.2">
      <c r="A5574" t="s">
        <v>344</v>
      </c>
      <c r="B5574" t="s">
        <v>71</v>
      </c>
      <c r="C5574" t="s">
        <v>72</v>
      </c>
      <c r="D5574">
        <v>6920</v>
      </c>
      <c r="E5574">
        <v>2021</v>
      </c>
      <c r="F5574">
        <v>1</v>
      </c>
      <c r="G5574">
        <v>15144</v>
      </c>
      <c r="H5574" s="1">
        <v>3</v>
      </c>
      <c r="I5574">
        <v>19</v>
      </c>
      <c r="J5574">
        <f>IF($H5574=0,1,IF($I5574&lt;=1,2,0))</f>
        <v>0</v>
      </c>
      <c r="K5574">
        <v>0</v>
      </c>
      <c r="L5574">
        <f>IF(AND($J5574=0,$K5574=0),0,1)</f>
        <v>0</v>
      </c>
    </row>
    <row r="5575" spans="1:13" x14ac:dyDescent="0.2">
      <c r="A5575" t="s">
        <v>345</v>
      </c>
      <c r="B5575" t="s">
        <v>71</v>
      </c>
      <c r="C5575" t="s">
        <v>72</v>
      </c>
      <c r="D5575">
        <v>1002</v>
      </c>
      <c r="E5575">
        <v>2021</v>
      </c>
      <c r="F5575">
        <v>1</v>
      </c>
      <c r="G5575">
        <v>18115</v>
      </c>
      <c r="H5575" s="1">
        <v>1</v>
      </c>
      <c r="I5575">
        <v>12</v>
      </c>
      <c r="J5575">
        <f>IF($H5575=0,1,IF($I5575&lt;=1,2,0))</f>
        <v>0</v>
      </c>
      <c r="K5575">
        <v>0</v>
      </c>
      <c r="L5575">
        <f>IF(AND($J5575=0,$K5575=0),0,1)</f>
        <v>0</v>
      </c>
    </row>
    <row r="5576" spans="1:13" x14ac:dyDescent="0.2">
      <c r="A5576" t="s">
        <v>345</v>
      </c>
      <c r="B5576" t="s">
        <v>71</v>
      </c>
      <c r="C5576" t="s">
        <v>72</v>
      </c>
      <c r="D5576">
        <v>1006</v>
      </c>
      <c r="E5576">
        <v>2021</v>
      </c>
      <c r="F5576">
        <v>1</v>
      </c>
      <c r="G5576">
        <v>12393</v>
      </c>
      <c r="H5576" s="1">
        <v>3</v>
      </c>
      <c r="I5576">
        <v>241</v>
      </c>
      <c r="J5576">
        <f>IF($H5576=0,1,IF($I5576&lt;=1,2,0))</f>
        <v>0</v>
      </c>
      <c r="K5576">
        <v>0</v>
      </c>
      <c r="L5576">
        <f>IF(AND($J5576=0,$K5576=0),0,1)</f>
        <v>0</v>
      </c>
    </row>
    <row r="5577" spans="1:13" x14ac:dyDescent="0.2">
      <c r="A5577" t="s">
        <v>345</v>
      </c>
      <c r="B5577" t="s">
        <v>71</v>
      </c>
      <c r="C5577" t="s">
        <v>72</v>
      </c>
      <c r="D5577">
        <v>1102</v>
      </c>
      <c r="E5577">
        <v>2021</v>
      </c>
      <c r="F5577">
        <v>1</v>
      </c>
      <c r="G5577">
        <v>18162</v>
      </c>
      <c r="H5577" s="1">
        <v>4</v>
      </c>
      <c r="I5577">
        <v>216</v>
      </c>
      <c r="J5577">
        <f>IF($H5577=0,1,IF($I5577&lt;=1,2,0))</f>
        <v>0</v>
      </c>
      <c r="K5577">
        <v>0</v>
      </c>
      <c r="L5577">
        <f>IF(AND($J5577=0,$K5577=0),0,1)</f>
        <v>0</v>
      </c>
    </row>
    <row r="5578" spans="1:13" x14ac:dyDescent="0.2">
      <c r="A5578" t="s">
        <v>345</v>
      </c>
      <c r="B5578" t="s">
        <v>71</v>
      </c>
      <c r="C5578" t="s">
        <v>72</v>
      </c>
      <c r="D5578">
        <v>4200</v>
      </c>
      <c r="E5578">
        <v>2021</v>
      </c>
      <c r="F5578">
        <v>1</v>
      </c>
      <c r="G5578">
        <v>18113</v>
      </c>
      <c r="H5578" s="1">
        <v>3</v>
      </c>
      <c r="I5578">
        <v>209</v>
      </c>
      <c r="J5578">
        <f>IF($H5578=0,1,IF($I5578&lt;=1,2,0))</f>
        <v>0</v>
      </c>
      <c r="K5578">
        <v>0</v>
      </c>
      <c r="L5578">
        <f>IF(AND($J5578=0,$K5578=0),0,1)</f>
        <v>0</v>
      </c>
      <c r="M5578" t="s">
        <v>1509</v>
      </c>
    </row>
    <row r="5579" spans="1:13" x14ac:dyDescent="0.2">
      <c r="A5579" t="s">
        <v>345</v>
      </c>
      <c r="B5579" t="s">
        <v>71</v>
      </c>
      <c r="C5579" t="s">
        <v>72</v>
      </c>
      <c r="D5579">
        <v>4300</v>
      </c>
      <c r="E5579">
        <v>2021</v>
      </c>
      <c r="F5579">
        <v>1</v>
      </c>
      <c r="G5579">
        <v>18907</v>
      </c>
      <c r="H5579" s="1">
        <v>3</v>
      </c>
      <c r="I5579">
        <v>19</v>
      </c>
      <c r="J5579">
        <f>IF($H5579=0,1,IF($I5579&lt;=1,2,0))</f>
        <v>0</v>
      </c>
      <c r="K5579">
        <v>0</v>
      </c>
      <c r="L5579">
        <f>IF(AND($J5579=0,$K5579=0),0,1)</f>
        <v>0</v>
      </c>
    </row>
    <row r="5580" spans="1:13" x14ac:dyDescent="0.2">
      <c r="A5580" t="s">
        <v>345</v>
      </c>
      <c r="B5580" t="s">
        <v>71</v>
      </c>
      <c r="C5580" t="s">
        <v>72</v>
      </c>
      <c r="D5580">
        <v>4800</v>
      </c>
      <c r="E5580">
        <v>2021</v>
      </c>
      <c r="F5580">
        <v>1</v>
      </c>
      <c r="G5580">
        <v>13602</v>
      </c>
      <c r="H5580" s="1">
        <v>3</v>
      </c>
      <c r="I5580">
        <v>93</v>
      </c>
      <c r="J5580">
        <f>IF($H5580=0,1,IF($I5580&lt;=1,2,0))</f>
        <v>0</v>
      </c>
      <c r="K5580">
        <v>0</v>
      </c>
      <c r="L5580">
        <f>IF(AND($J5580=0,$K5580=0),0,1)</f>
        <v>0</v>
      </c>
      <c r="M5580" t="s">
        <v>1011</v>
      </c>
    </row>
    <row r="5581" spans="1:13" x14ac:dyDescent="0.2">
      <c r="A5581" t="s">
        <v>349</v>
      </c>
      <c r="B5581" t="s">
        <v>241</v>
      </c>
      <c r="C5581" t="s">
        <v>7</v>
      </c>
      <c r="D5581">
        <v>1010</v>
      </c>
      <c r="E5581">
        <v>2021</v>
      </c>
      <c r="F5581">
        <v>2</v>
      </c>
      <c r="G5581">
        <v>16030</v>
      </c>
      <c r="H5581" s="1">
        <v>3</v>
      </c>
      <c r="I5581">
        <v>14</v>
      </c>
      <c r="J5581">
        <f>IF($H5581=0,1,IF($I5581&lt;=1,2,0))</f>
        <v>0</v>
      </c>
      <c r="K5581">
        <v>0</v>
      </c>
      <c r="L5581">
        <f>IF(AND($J5581=0,$K5581=0),0,1)</f>
        <v>0</v>
      </c>
    </row>
    <row r="5582" spans="1:13" x14ac:dyDescent="0.2">
      <c r="A5582" t="s">
        <v>349</v>
      </c>
      <c r="B5582" t="s">
        <v>241</v>
      </c>
      <c r="C5582" t="s">
        <v>7</v>
      </c>
      <c r="D5582">
        <v>1010</v>
      </c>
      <c r="E5582">
        <v>2021</v>
      </c>
      <c r="F5582">
        <v>4</v>
      </c>
      <c r="G5582">
        <v>16031</v>
      </c>
      <c r="H5582" s="1">
        <v>3</v>
      </c>
      <c r="I5582">
        <v>14</v>
      </c>
      <c r="J5582">
        <f>IF($H5582=0,1,IF($I5582&lt;=1,2,0))</f>
        <v>0</v>
      </c>
      <c r="K5582">
        <v>0</v>
      </c>
      <c r="L5582">
        <f>IF(AND($J5582=0,$K5582=0),0,1)</f>
        <v>0</v>
      </c>
    </row>
    <row r="5583" spans="1:13" x14ac:dyDescent="0.2">
      <c r="A5583" t="s">
        <v>349</v>
      </c>
      <c r="B5583" t="s">
        <v>241</v>
      </c>
      <c r="C5583" t="s">
        <v>7</v>
      </c>
      <c r="D5583">
        <v>1010</v>
      </c>
      <c r="E5583">
        <v>2021</v>
      </c>
      <c r="F5583">
        <v>5</v>
      </c>
      <c r="G5583">
        <v>16032</v>
      </c>
      <c r="H5583" s="1">
        <v>3</v>
      </c>
      <c r="I5583">
        <v>14</v>
      </c>
      <c r="J5583">
        <f>IF($H5583=0,1,IF($I5583&lt;=1,2,0))</f>
        <v>0</v>
      </c>
      <c r="K5583">
        <v>0</v>
      </c>
      <c r="L5583">
        <f>IF(AND($J5583=0,$K5583=0),0,1)</f>
        <v>0</v>
      </c>
    </row>
    <row r="5584" spans="1:13" x14ac:dyDescent="0.2">
      <c r="A5584" t="s">
        <v>349</v>
      </c>
      <c r="B5584" t="s">
        <v>241</v>
      </c>
      <c r="C5584" t="s">
        <v>7</v>
      </c>
      <c r="D5584">
        <v>1010</v>
      </c>
      <c r="E5584">
        <v>2021</v>
      </c>
      <c r="F5584">
        <v>9</v>
      </c>
      <c r="G5584">
        <v>16033</v>
      </c>
      <c r="H5584" s="1">
        <v>3</v>
      </c>
      <c r="I5584">
        <v>14</v>
      </c>
      <c r="J5584">
        <f>IF($H5584=0,1,IF($I5584&lt;=1,2,0))</f>
        <v>0</v>
      </c>
      <c r="K5584">
        <v>0</v>
      </c>
      <c r="L5584">
        <f>IF(AND($J5584=0,$K5584=0),0,1)</f>
        <v>0</v>
      </c>
    </row>
    <row r="5585" spans="1:12" x14ac:dyDescent="0.2">
      <c r="A5585" t="s">
        <v>349</v>
      </c>
      <c r="B5585" t="s">
        <v>241</v>
      </c>
      <c r="C5585" t="s">
        <v>7</v>
      </c>
      <c r="D5585">
        <v>1010</v>
      </c>
      <c r="E5585">
        <v>2021</v>
      </c>
      <c r="F5585">
        <v>11</v>
      </c>
      <c r="G5585">
        <v>18880</v>
      </c>
      <c r="H5585" s="1">
        <v>3</v>
      </c>
      <c r="I5585">
        <v>14</v>
      </c>
      <c r="J5585">
        <f>IF($H5585=0,1,IF($I5585&lt;=1,2,0))</f>
        <v>0</v>
      </c>
      <c r="K5585">
        <v>0</v>
      </c>
      <c r="L5585">
        <f>IF(AND($J5585=0,$K5585=0),0,1)</f>
        <v>0</v>
      </c>
    </row>
    <row r="5586" spans="1:12" x14ac:dyDescent="0.2">
      <c r="A5586" t="s">
        <v>349</v>
      </c>
      <c r="B5586" t="s">
        <v>241</v>
      </c>
      <c r="C5586" t="s">
        <v>153</v>
      </c>
      <c r="D5586">
        <v>1010</v>
      </c>
      <c r="E5586">
        <v>2021</v>
      </c>
      <c r="F5586">
        <v>20</v>
      </c>
      <c r="G5586">
        <v>15706</v>
      </c>
      <c r="H5586" s="1">
        <v>3</v>
      </c>
      <c r="I5586">
        <v>14</v>
      </c>
      <c r="J5586">
        <f>IF($H5586=0,1,IF($I5586&lt;=1,2,0))</f>
        <v>0</v>
      </c>
      <c r="K5586">
        <v>0</v>
      </c>
      <c r="L5586">
        <f>IF(AND($J5586=0,$K5586=0),0,1)</f>
        <v>0</v>
      </c>
    </row>
    <row r="5587" spans="1:12" x14ac:dyDescent="0.2">
      <c r="A5587" t="s">
        <v>349</v>
      </c>
      <c r="B5587" t="s">
        <v>241</v>
      </c>
      <c r="C5587" t="s">
        <v>7</v>
      </c>
      <c r="D5587">
        <v>1010</v>
      </c>
      <c r="E5587">
        <v>2021</v>
      </c>
      <c r="F5587">
        <v>25</v>
      </c>
      <c r="G5587">
        <v>16034</v>
      </c>
      <c r="H5587" s="1">
        <v>3</v>
      </c>
      <c r="I5587">
        <v>14</v>
      </c>
      <c r="J5587">
        <f>IF($H5587=0,1,IF($I5587&lt;=1,2,0))</f>
        <v>0</v>
      </c>
      <c r="K5587">
        <v>0</v>
      </c>
      <c r="L5587">
        <f>IF(AND($J5587=0,$K5587=0),0,1)</f>
        <v>0</v>
      </c>
    </row>
    <row r="5588" spans="1:12" x14ac:dyDescent="0.2">
      <c r="A5588" t="s">
        <v>349</v>
      </c>
      <c r="B5588" t="s">
        <v>241</v>
      </c>
      <c r="C5588" t="s">
        <v>7</v>
      </c>
      <c r="D5588">
        <v>1010</v>
      </c>
      <c r="E5588">
        <v>2021</v>
      </c>
      <c r="F5588">
        <v>26</v>
      </c>
      <c r="G5588">
        <v>16035</v>
      </c>
      <c r="H5588" s="1">
        <v>3</v>
      </c>
      <c r="I5588">
        <v>14</v>
      </c>
      <c r="J5588">
        <f>IF($H5588=0,1,IF($I5588&lt;=1,2,0))</f>
        <v>0</v>
      </c>
      <c r="K5588">
        <v>0</v>
      </c>
      <c r="L5588">
        <f>IF(AND($J5588=0,$K5588=0),0,1)</f>
        <v>0</v>
      </c>
    </row>
    <row r="5589" spans="1:12" x14ac:dyDescent="0.2">
      <c r="A5589" t="s">
        <v>349</v>
      </c>
      <c r="B5589" t="s">
        <v>241</v>
      </c>
      <c r="C5589" t="s">
        <v>153</v>
      </c>
      <c r="D5589">
        <v>1010</v>
      </c>
      <c r="E5589">
        <v>2021</v>
      </c>
      <c r="F5589">
        <v>26</v>
      </c>
      <c r="G5589">
        <v>15709</v>
      </c>
      <c r="H5589" s="1">
        <v>3</v>
      </c>
      <c r="I5589">
        <v>14</v>
      </c>
      <c r="J5589">
        <f>IF($H5589=0,1,IF($I5589&lt;=1,2,0))</f>
        <v>0</v>
      </c>
      <c r="K5589">
        <v>0</v>
      </c>
      <c r="L5589">
        <f>IF(AND($J5589=0,$K5589=0),0,1)</f>
        <v>0</v>
      </c>
    </row>
    <row r="5590" spans="1:12" x14ac:dyDescent="0.2">
      <c r="A5590" t="s">
        <v>349</v>
      </c>
      <c r="B5590" t="s">
        <v>241</v>
      </c>
      <c r="C5590" t="s">
        <v>7</v>
      </c>
      <c r="D5590">
        <v>1010</v>
      </c>
      <c r="E5590">
        <v>2021</v>
      </c>
      <c r="F5590">
        <v>30</v>
      </c>
      <c r="G5590">
        <v>16037</v>
      </c>
      <c r="H5590" s="1">
        <v>3</v>
      </c>
      <c r="I5590">
        <v>14</v>
      </c>
      <c r="J5590">
        <f>IF($H5590=0,1,IF($I5590&lt;=1,2,0))</f>
        <v>0</v>
      </c>
      <c r="K5590">
        <v>0</v>
      </c>
      <c r="L5590">
        <f>IF(AND($J5590=0,$K5590=0),0,1)</f>
        <v>0</v>
      </c>
    </row>
    <row r="5591" spans="1:12" x14ac:dyDescent="0.2">
      <c r="A5591" t="s">
        <v>349</v>
      </c>
      <c r="B5591" t="s">
        <v>241</v>
      </c>
      <c r="C5591" t="s">
        <v>7</v>
      </c>
      <c r="D5591">
        <v>1010</v>
      </c>
      <c r="E5591">
        <v>2021</v>
      </c>
      <c r="F5591">
        <v>41</v>
      </c>
      <c r="G5591">
        <v>16040</v>
      </c>
      <c r="H5591" s="1">
        <v>3</v>
      </c>
      <c r="I5591">
        <v>14</v>
      </c>
      <c r="J5591">
        <f>IF($H5591=0,1,IF($I5591&lt;=1,2,0))</f>
        <v>0</v>
      </c>
      <c r="K5591">
        <v>0</v>
      </c>
      <c r="L5591">
        <f>IF(AND($J5591=0,$K5591=0),0,1)</f>
        <v>0</v>
      </c>
    </row>
    <row r="5592" spans="1:12" x14ac:dyDescent="0.2">
      <c r="A5592" t="s">
        <v>349</v>
      </c>
      <c r="B5592" t="s">
        <v>241</v>
      </c>
      <c r="C5592" t="s">
        <v>7</v>
      </c>
      <c r="D5592">
        <v>1010</v>
      </c>
      <c r="E5592">
        <v>2021</v>
      </c>
      <c r="F5592">
        <v>45</v>
      </c>
      <c r="G5592">
        <v>16041</v>
      </c>
      <c r="H5592" s="1">
        <v>3</v>
      </c>
      <c r="I5592">
        <v>14</v>
      </c>
      <c r="J5592">
        <f>IF($H5592=0,1,IF($I5592&lt;=1,2,0))</f>
        <v>0</v>
      </c>
      <c r="K5592">
        <v>0</v>
      </c>
      <c r="L5592">
        <f>IF(AND($J5592=0,$K5592=0),0,1)</f>
        <v>0</v>
      </c>
    </row>
    <row r="5593" spans="1:12" x14ac:dyDescent="0.2">
      <c r="A5593" t="s">
        <v>349</v>
      </c>
      <c r="B5593" t="s">
        <v>241</v>
      </c>
      <c r="C5593" t="s">
        <v>7</v>
      </c>
      <c r="D5593">
        <v>1010</v>
      </c>
      <c r="E5593">
        <v>2021</v>
      </c>
      <c r="F5593">
        <v>53</v>
      </c>
      <c r="G5593">
        <v>16043</v>
      </c>
      <c r="H5593" s="1">
        <v>3</v>
      </c>
      <c r="I5593">
        <v>14</v>
      </c>
      <c r="J5593">
        <f>IF($H5593=0,1,IF($I5593&lt;=1,2,0))</f>
        <v>0</v>
      </c>
      <c r="K5593">
        <v>0</v>
      </c>
      <c r="L5593">
        <f>IF(AND($J5593=0,$K5593=0),0,1)</f>
        <v>0</v>
      </c>
    </row>
    <row r="5594" spans="1:12" x14ac:dyDescent="0.2">
      <c r="A5594" t="s">
        <v>349</v>
      </c>
      <c r="B5594" t="s">
        <v>241</v>
      </c>
      <c r="C5594" t="s">
        <v>153</v>
      </c>
      <c r="D5594">
        <v>1010</v>
      </c>
      <c r="E5594">
        <v>2021</v>
      </c>
      <c r="F5594">
        <v>103</v>
      </c>
      <c r="G5594">
        <v>15710</v>
      </c>
      <c r="H5594" s="1">
        <v>3</v>
      </c>
      <c r="I5594">
        <v>14</v>
      </c>
      <c r="J5594">
        <f>IF($H5594=0,1,IF($I5594&lt;=1,2,0))</f>
        <v>0</v>
      </c>
      <c r="K5594">
        <v>0</v>
      </c>
      <c r="L5594">
        <f>IF(AND($J5594=0,$K5594=0),0,1)</f>
        <v>0</v>
      </c>
    </row>
    <row r="5595" spans="1:12" x14ac:dyDescent="0.2">
      <c r="A5595" t="s">
        <v>349</v>
      </c>
      <c r="B5595" t="s">
        <v>241</v>
      </c>
      <c r="C5595" t="s">
        <v>153</v>
      </c>
      <c r="D5595">
        <v>1010</v>
      </c>
      <c r="E5595">
        <v>2021</v>
      </c>
      <c r="F5595">
        <v>105</v>
      </c>
      <c r="G5595">
        <v>15711</v>
      </c>
      <c r="H5595" s="1">
        <v>3</v>
      </c>
      <c r="I5595">
        <v>14</v>
      </c>
      <c r="J5595">
        <f>IF($H5595=0,1,IF($I5595&lt;=1,2,0))</f>
        <v>0</v>
      </c>
      <c r="K5595">
        <v>0</v>
      </c>
      <c r="L5595">
        <f>IF(AND($J5595=0,$K5595=0),0,1)</f>
        <v>0</v>
      </c>
    </row>
    <row r="5596" spans="1:12" x14ac:dyDescent="0.2">
      <c r="A5596" t="s">
        <v>349</v>
      </c>
      <c r="B5596" t="s">
        <v>241</v>
      </c>
      <c r="C5596" t="s">
        <v>7</v>
      </c>
      <c r="D5596">
        <v>1010</v>
      </c>
      <c r="E5596">
        <v>2021</v>
      </c>
      <c r="F5596">
        <v>117</v>
      </c>
      <c r="G5596">
        <v>16046</v>
      </c>
      <c r="H5596" s="1">
        <v>3</v>
      </c>
      <c r="I5596">
        <v>14</v>
      </c>
      <c r="J5596">
        <f>IF($H5596=0,1,IF($I5596&lt;=1,2,0))</f>
        <v>0</v>
      </c>
      <c r="K5596">
        <v>0</v>
      </c>
      <c r="L5596">
        <f>IF(AND($J5596=0,$K5596=0),0,1)</f>
        <v>0</v>
      </c>
    </row>
    <row r="5597" spans="1:12" x14ac:dyDescent="0.2">
      <c r="A5597" t="s">
        <v>349</v>
      </c>
      <c r="B5597" t="s">
        <v>241</v>
      </c>
      <c r="C5597" t="s">
        <v>7</v>
      </c>
      <c r="D5597">
        <v>1010</v>
      </c>
      <c r="E5597">
        <v>2021</v>
      </c>
      <c r="F5597">
        <v>132</v>
      </c>
      <c r="G5597">
        <v>16048</v>
      </c>
      <c r="H5597" s="1">
        <v>3</v>
      </c>
      <c r="I5597">
        <v>14</v>
      </c>
      <c r="J5597">
        <f>IF($H5597=0,1,IF($I5597&lt;=1,2,0))</f>
        <v>0</v>
      </c>
      <c r="K5597">
        <v>0</v>
      </c>
      <c r="L5597">
        <f>IF(AND($J5597=0,$K5597=0),0,1)</f>
        <v>0</v>
      </c>
    </row>
    <row r="5598" spans="1:12" x14ac:dyDescent="0.2">
      <c r="A5598" t="s">
        <v>349</v>
      </c>
      <c r="B5598" t="s">
        <v>241</v>
      </c>
      <c r="C5598" t="s">
        <v>7</v>
      </c>
      <c r="D5598">
        <v>1010</v>
      </c>
      <c r="E5598">
        <v>2021</v>
      </c>
      <c r="F5598">
        <v>156</v>
      </c>
      <c r="G5598">
        <v>18301</v>
      </c>
      <c r="H5598" s="1">
        <v>3</v>
      </c>
      <c r="I5598">
        <v>14</v>
      </c>
      <c r="J5598">
        <f>IF($H5598=0,1,IF($I5598&lt;=1,2,0))</f>
        <v>0</v>
      </c>
      <c r="K5598">
        <v>0</v>
      </c>
      <c r="L5598">
        <f>IF(AND($J5598=0,$K5598=0),0,1)</f>
        <v>0</v>
      </c>
    </row>
    <row r="5599" spans="1:12" x14ac:dyDescent="0.2">
      <c r="A5599" t="s">
        <v>349</v>
      </c>
      <c r="B5599" t="s">
        <v>241</v>
      </c>
      <c r="C5599" t="s">
        <v>7</v>
      </c>
      <c r="D5599">
        <v>1010</v>
      </c>
      <c r="E5599">
        <v>2021</v>
      </c>
      <c r="F5599">
        <v>218</v>
      </c>
      <c r="G5599">
        <v>16050</v>
      </c>
      <c r="H5599" s="1">
        <v>3</v>
      </c>
      <c r="I5599">
        <v>14</v>
      </c>
      <c r="J5599">
        <f>IF($H5599=0,1,IF($I5599&lt;=1,2,0))</f>
        <v>0</v>
      </c>
      <c r="K5599">
        <v>0</v>
      </c>
      <c r="L5599">
        <f>IF(AND($J5599=0,$K5599=0),0,1)</f>
        <v>0</v>
      </c>
    </row>
    <row r="5600" spans="1:12" x14ac:dyDescent="0.2">
      <c r="A5600" t="s">
        <v>349</v>
      </c>
      <c r="B5600" t="s">
        <v>241</v>
      </c>
      <c r="C5600" t="s">
        <v>7</v>
      </c>
      <c r="D5600">
        <v>1010</v>
      </c>
      <c r="E5600">
        <v>2021</v>
      </c>
      <c r="F5600">
        <v>248</v>
      </c>
      <c r="G5600">
        <v>16052</v>
      </c>
      <c r="H5600" s="1">
        <v>3</v>
      </c>
      <c r="I5600">
        <v>14</v>
      </c>
      <c r="J5600">
        <f>IF($H5600=0,1,IF($I5600&lt;=1,2,0))</f>
        <v>0</v>
      </c>
      <c r="K5600">
        <v>0</v>
      </c>
      <c r="L5600">
        <f>IF(AND($J5600=0,$K5600=0),0,1)</f>
        <v>0</v>
      </c>
    </row>
    <row r="5601" spans="1:13" x14ac:dyDescent="0.2">
      <c r="A5601" t="s">
        <v>349</v>
      </c>
      <c r="B5601" t="s">
        <v>241</v>
      </c>
      <c r="C5601" t="s">
        <v>7</v>
      </c>
      <c r="D5601">
        <v>1010</v>
      </c>
      <c r="E5601">
        <v>2021</v>
      </c>
      <c r="F5601">
        <v>249</v>
      </c>
      <c r="G5601">
        <v>18227</v>
      </c>
      <c r="H5601" s="1">
        <v>3</v>
      </c>
      <c r="I5601">
        <v>14</v>
      </c>
      <c r="J5601">
        <f>IF($H5601=0,1,IF($I5601&lt;=1,2,0))</f>
        <v>0</v>
      </c>
      <c r="K5601">
        <v>0</v>
      </c>
      <c r="L5601">
        <f>IF(AND($J5601=0,$K5601=0),0,1)</f>
        <v>0</v>
      </c>
      <c r="M5601" t="s">
        <v>2063</v>
      </c>
    </row>
    <row r="5602" spans="1:13" x14ac:dyDescent="0.2">
      <c r="A5602" t="s">
        <v>349</v>
      </c>
      <c r="B5602" t="s">
        <v>241</v>
      </c>
      <c r="C5602" t="s">
        <v>7</v>
      </c>
      <c r="D5602">
        <v>1010</v>
      </c>
      <c r="E5602">
        <v>2021</v>
      </c>
      <c r="F5602">
        <v>319</v>
      </c>
      <c r="G5602">
        <v>16055</v>
      </c>
      <c r="H5602" s="1">
        <v>3</v>
      </c>
      <c r="I5602">
        <v>14</v>
      </c>
      <c r="J5602">
        <f>IF($H5602=0,1,IF($I5602&lt;=1,2,0))</f>
        <v>0</v>
      </c>
      <c r="K5602">
        <v>0</v>
      </c>
      <c r="L5602">
        <f>IF(AND($J5602=0,$K5602=0),0,1)</f>
        <v>0</v>
      </c>
    </row>
    <row r="5603" spans="1:13" x14ac:dyDescent="0.2">
      <c r="A5603" t="s">
        <v>349</v>
      </c>
      <c r="B5603" t="s">
        <v>241</v>
      </c>
      <c r="C5603" t="s">
        <v>7</v>
      </c>
      <c r="D5603">
        <v>1010</v>
      </c>
      <c r="E5603">
        <v>2021</v>
      </c>
      <c r="F5603">
        <v>321</v>
      </c>
      <c r="G5603">
        <v>16056</v>
      </c>
      <c r="H5603" s="1">
        <v>3</v>
      </c>
      <c r="I5603">
        <v>14</v>
      </c>
      <c r="J5603">
        <f>IF($H5603=0,1,IF($I5603&lt;=1,2,0))</f>
        <v>0</v>
      </c>
      <c r="K5603">
        <v>0</v>
      </c>
      <c r="L5603">
        <f>IF(AND($J5603=0,$K5603=0),0,1)</f>
        <v>0</v>
      </c>
    </row>
    <row r="5604" spans="1:13" x14ac:dyDescent="0.2">
      <c r="A5604" t="s">
        <v>349</v>
      </c>
      <c r="B5604" t="s">
        <v>241</v>
      </c>
      <c r="C5604" t="s">
        <v>7</v>
      </c>
      <c r="D5604">
        <v>1010</v>
      </c>
      <c r="E5604">
        <v>2021</v>
      </c>
      <c r="F5604">
        <v>337</v>
      </c>
      <c r="G5604">
        <v>16057</v>
      </c>
      <c r="H5604" s="1">
        <v>3</v>
      </c>
      <c r="I5604">
        <v>14</v>
      </c>
      <c r="J5604">
        <f>IF($H5604=0,1,IF($I5604&lt;=1,2,0))</f>
        <v>0</v>
      </c>
      <c r="K5604">
        <v>0</v>
      </c>
      <c r="L5604">
        <f>IF(AND($J5604=0,$K5604=0),0,1)</f>
        <v>0</v>
      </c>
    </row>
    <row r="5605" spans="1:13" x14ac:dyDescent="0.2">
      <c r="A5605" t="s">
        <v>349</v>
      </c>
      <c r="B5605" t="s">
        <v>241</v>
      </c>
      <c r="C5605" t="s">
        <v>7</v>
      </c>
      <c r="D5605">
        <v>1010</v>
      </c>
      <c r="E5605">
        <v>2021</v>
      </c>
      <c r="F5605">
        <v>354</v>
      </c>
      <c r="G5605">
        <v>18391</v>
      </c>
      <c r="H5605" s="1">
        <v>3</v>
      </c>
      <c r="I5605">
        <v>14</v>
      </c>
      <c r="J5605">
        <f>IF($H5605=0,1,IF($I5605&lt;=1,2,0))</f>
        <v>0</v>
      </c>
      <c r="K5605">
        <v>0</v>
      </c>
      <c r="L5605">
        <f>IF(AND($J5605=0,$K5605=0),0,1)</f>
        <v>0</v>
      </c>
    </row>
    <row r="5606" spans="1:13" x14ac:dyDescent="0.2">
      <c r="A5606" t="s">
        <v>349</v>
      </c>
      <c r="B5606" t="s">
        <v>241</v>
      </c>
      <c r="C5606" t="s">
        <v>7</v>
      </c>
      <c r="D5606">
        <v>1010</v>
      </c>
      <c r="E5606">
        <v>2021</v>
      </c>
      <c r="F5606">
        <v>410</v>
      </c>
      <c r="G5606">
        <v>18859</v>
      </c>
      <c r="H5606" s="1">
        <v>3</v>
      </c>
      <c r="I5606">
        <v>14</v>
      </c>
      <c r="J5606">
        <f>IF($H5606=0,1,IF($I5606&lt;=1,2,0))</f>
        <v>0</v>
      </c>
      <c r="K5606">
        <v>0</v>
      </c>
      <c r="L5606">
        <f>IF(AND($J5606=0,$K5606=0),0,1)</f>
        <v>0</v>
      </c>
    </row>
    <row r="5607" spans="1:13" x14ac:dyDescent="0.2">
      <c r="A5607" t="s">
        <v>349</v>
      </c>
      <c r="B5607" t="s">
        <v>241</v>
      </c>
      <c r="C5607" t="s">
        <v>153</v>
      </c>
      <c r="D5607">
        <v>1010</v>
      </c>
      <c r="E5607">
        <v>2021</v>
      </c>
      <c r="F5607">
        <v>411</v>
      </c>
      <c r="G5607">
        <v>15718</v>
      </c>
      <c r="H5607" s="1">
        <v>3</v>
      </c>
      <c r="I5607">
        <v>14</v>
      </c>
      <c r="J5607">
        <f>IF($H5607=0,1,IF($I5607&lt;=1,2,0))</f>
        <v>0</v>
      </c>
      <c r="K5607">
        <v>0</v>
      </c>
      <c r="L5607">
        <f>IF(AND($J5607=0,$K5607=0),0,1)</f>
        <v>0</v>
      </c>
    </row>
    <row r="5608" spans="1:13" x14ac:dyDescent="0.2">
      <c r="A5608" t="s">
        <v>349</v>
      </c>
      <c r="B5608" t="s">
        <v>241</v>
      </c>
      <c r="C5608" t="s">
        <v>7</v>
      </c>
      <c r="D5608">
        <v>1010</v>
      </c>
      <c r="E5608">
        <v>2021</v>
      </c>
      <c r="F5608">
        <v>413</v>
      </c>
      <c r="G5608">
        <v>16058</v>
      </c>
      <c r="H5608" s="1">
        <v>3</v>
      </c>
      <c r="I5608">
        <v>14</v>
      </c>
      <c r="J5608">
        <f>IF($H5608=0,1,IF($I5608&lt;=1,2,0))</f>
        <v>0</v>
      </c>
      <c r="K5608">
        <v>0</v>
      </c>
      <c r="L5608">
        <f>IF(AND($J5608=0,$K5608=0),0,1)</f>
        <v>0</v>
      </c>
    </row>
    <row r="5609" spans="1:13" x14ac:dyDescent="0.2">
      <c r="A5609" t="s">
        <v>349</v>
      </c>
      <c r="B5609" t="s">
        <v>241</v>
      </c>
      <c r="C5609" t="s">
        <v>7</v>
      </c>
      <c r="D5609">
        <v>1010</v>
      </c>
      <c r="E5609">
        <v>2021</v>
      </c>
      <c r="F5609">
        <v>416</v>
      </c>
      <c r="G5609">
        <v>16059</v>
      </c>
      <c r="H5609" s="1">
        <v>3</v>
      </c>
      <c r="I5609">
        <v>14</v>
      </c>
      <c r="J5609">
        <f>IF($H5609=0,1,IF($I5609&lt;=1,2,0))</f>
        <v>0</v>
      </c>
      <c r="K5609">
        <v>0</v>
      </c>
      <c r="L5609">
        <f>IF(AND($J5609=0,$K5609=0),0,1)</f>
        <v>0</v>
      </c>
    </row>
    <row r="5610" spans="1:13" x14ac:dyDescent="0.2">
      <c r="A5610" t="s">
        <v>349</v>
      </c>
      <c r="B5610" t="s">
        <v>241</v>
      </c>
      <c r="C5610" t="s">
        <v>153</v>
      </c>
      <c r="D5610">
        <v>1010</v>
      </c>
      <c r="E5610">
        <v>2021</v>
      </c>
      <c r="F5610">
        <v>422</v>
      </c>
      <c r="G5610">
        <v>18531</v>
      </c>
      <c r="H5610" s="1">
        <v>3</v>
      </c>
      <c r="I5610">
        <v>14</v>
      </c>
      <c r="J5610">
        <f>IF($H5610=0,1,IF($I5610&lt;=1,2,0))</f>
        <v>0</v>
      </c>
      <c r="K5610">
        <v>0</v>
      </c>
      <c r="L5610">
        <f>IF(AND($J5610=0,$K5610=0),0,1)</f>
        <v>0</v>
      </c>
    </row>
    <row r="5611" spans="1:13" x14ac:dyDescent="0.2">
      <c r="A5611" t="s">
        <v>349</v>
      </c>
      <c r="B5611" t="s">
        <v>241</v>
      </c>
      <c r="C5611" t="s">
        <v>7</v>
      </c>
      <c r="D5611">
        <v>1010</v>
      </c>
      <c r="E5611">
        <v>2021</v>
      </c>
      <c r="F5611">
        <v>452</v>
      </c>
      <c r="G5611">
        <v>16063</v>
      </c>
      <c r="H5611" s="1">
        <v>3</v>
      </c>
      <c r="I5611">
        <v>14</v>
      </c>
      <c r="J5611">
        <f>IF($H5611=0,1,IF($I5611&lt;=1,2,0))</f>
        <v>0</v>
      </c>
      <c r="K5611">
        <v>0</v>
      </c>
      <c r="L5611">
        <f>IF(AND($J5611=0,$K5611=0),0,1)</f>
        <v>0</v>
      </c>
    </row>
    <row r="5612" spans="1:13" x14ac:dyDescent="0.2">
      <c r="A5612" t="s">
        <v>349</v>
      </c>
      <c r="B5612" t="s">
        <v>241</v>
      </c>
      <c r="C5612" t="s">
        <v>7</v>
      </c>
      <c r="D5612">
        <v>1010</v>
      </c>
      <c r="E5612">
        <v>2021</v>
      </c>
      <c r="F5612">
        <v>457</v>
      </c>
      <c r="G5612">
        <v>18530</v>
      </c>
      <c r="H5612" s="1">
        <v>3</v>
      </c>
      <c r="I5612">
        <v>14</v>
      </c>
      <c r="J5612">
        <f>IF($H5612=0,1,IF($I5612&lt;=1,2,0))</f>
        <v>0</v>
      </c>
      <c r="K5612">
        <v>0</v>
      </c>
      <c r="L5612">
        <f>IF(AND($J5612=0,$K5612=0),0,1)</f>
        <v>0</v>
      </c>
    </row>
    <row r="5613" spans="1:13" x14ac:dyDescent="0.2">
      <c r="A5613" t="s">
        <v>349</v>
      </c>
      <c r="B5613" t="s">
        <v>241</v>
      </c>
      <c r="C5613" t="s">
        <v>153</v>
      </c>
      <c r="D5613">
        <v>1010</v>
      </c>
      <c r="E5613">
        <v>2021</v>
      </c>
      <c r="F5613">
        <v>502</v>
      </c>
      <c r="G5613">
        <v>15719</v>
      </c>
      <c r="H5613" s="1">
        <v>3</v>
      </c>
      <c r="I5613">
        <v>14</v>
      </c>
      <c r="J5613">
        <f>IF($H5613=0,1,IF($I5613&lt;=1,2,0))</f>
        <v>0</v>
      </c>
      <c r="K5613">
        <v>0</v>
      </c>
      <c r="L5613">
        <f>IF(AND($J5613=0,$K5613=0),0,1)</f>
        <v>0</v>
      </c>
    </row>
    <row r="5614" spans="1:13" x14ac:dyDescent="0.2">
      <c r="A5614" t="s">
        <v>349</v>
      </c>
      <c r="B5614" t="s">
        <v>241</v>
      </c>
      <c r="C5614" t="s">
        <v>7</v>
      </c>
      <c r="D5614">
        <v>1010</v>
      </c>
      <c r="E5614">
        <v>2021</v>
      </c>
      <c r="F5614">
        <v>515</v>
      </c>
      <c r="G5614">
        <v>16065</v>
      </c>
      <c r="H5614" s="1">
        <v>3</v>
      </c>
      <c r="I5614">
        <v>14</v>
      </c>
      <c r="J5614">
        <f>IF($H5614=0,1,IF($I5614&lt;=1,2,0))</f>
        <v>0</v>
      </c>
      <c r="K5614">
        <v>0</v>
      </c>
      <c r="L5614">
        <f>IF(AND($J5614=0,$K5614=0),0,1)</f>
        <v>0</v>
      </c>
    </row>
    <row r="5615" spans="1:13" x14ac:dyDescent="0.2">
      <c r="A5615" t="s">
        <v>349</v>
      </c>
      <c r="B5615" t="s">
        <v>241</v>
      </c>
      <c r="C5615" t="s">
        <v>153</v>
      </c>
      <c r="D5615">
        <v>1010</v>
      </c>
      <c r="E5615">
        <v>2021</v>
      </c>
      <c r="F5615">
        <v>516</v>
      </c>
      <c r="G5615">
        <v>18241</v>
      </c>
      <c r="H5615" s="1">
        <v>3</v>
      </c>
      <c r="I5615">
        <v>14</v>
      </c>
      <c r="J5615">
        <f>IF($H5615=0,1,IF($I5615&lt;=1,2,0))</f>
        <v>0</v>
      </c>
      <c r="K5615">
        <v>0</v>
      </c>
      <c r="L5615">
        <f>IF(AND($J5615=0,$K5615=0),0,1)</f>
        <v>0</v>
      </c>
      <c r="M5615" t="s">
        <v>2064</v>
      </c>
    </row>
    <row r="5616" spans="1:13" x14ac:dyDescent="0.2">
      <c r="A5616" t="s">
        <v>349</v>
      </c>
      <c r="B5616" t="s">
        <v>241</v>
      </c>
      <c r="C5616" t="s">
        <v>153</v>
      </c>
      <c r="D5616">
        <v>1010</v>
      </c>
      <c r="E5616">
        <v>2021</v>
      </c>
      <c r="F5616">
        <v>518</v>
      </c>
      <c r="G5616">
        <v>15720</v>
      </c>
      <c r="H5616" s="1">
        <v>3</v>
      </c>
      <c r="I5616">
        <v>14</v>
      </c>
      <c r="J5616">
        <f>IF($H5616=0,1,IF($I5616&lt;=1,2,0))</f>
        <v>0</v>
      </c>
      <c r="K5616">
        <v>0</v>
      </c>
      <c r="L5616">
        <f>IF(AND($J5616=0,$K5616=0),0,1)</f>
        <v>0</v>
      </c>
    </row>
    <row r="5617" spans="1:12" x14ac:dyDescent="0.2">
      <c r="A5617" t="s">
        <v>349</v>
      </c>
      <c r="B5617" t="s">
        <v>241</v>
      </c>
      <c r="C5617" t="s">
        <v>7</v>
      </c>
      <c r="D5617">
        <v>1010</v>
      </c>
      <c r="E5617">
        <v>2021</v>
      </c>
      <c r="F5617">
        <v>528</v>
      </c>
      <c r="G5617">
        <v>16066</v>
      </c>
      <c r="H5617" s="1">
        <v>3</v>
      </c>
      <c r="I5617">
        <v>14</v>
      </c>
      <c r="J5617">
        <f>IF($H5617=0,1,IF($I5617&lt;=1,2,0))</f>
        <v>0</v>
      </c>
      <c r="K5617">
        <v>0</v>
      </c>
      <c r="L5617">
        <f>IF(AND($J5617=0,$K5617=0),0,1)</f>
        <v>0</v>
      </c>
    </row>
    <row r="5618" spans="1:12" x14ac:dyDescent="0.2">
      <c r="A5618" t="s">
        <v>349</v>
      </c>
      <c r="B5618" t="s">
        <v>241</v>
      </c>
      <c r="C5618" t="s">
        <v>7</v>
      </c>
      <c r="D5618">
        <v>1010</v>
      </c>
      <c r="E5618">
        <v>2021</v>
      </c>
      <c r="F5618">
        <v>542</v>
      </c>
      <c r="G5618">
        <v>16067</v>
      </c>
      <c r="H5618" s="1">
        <v>3</v>
      </c>
      <c r="I5618">
        <v>14</v>
      </c>
      <c r="J5618">
        <f>IF($H5618=0,1,IF($I5618&lt;=1,2,0))</f>
        <v>0</v>
      </c>
      <c r="K5618">
        <v>0</v>
      </c>
      <c r="L5618">
        <f>IF(AND($J5618=0,$K5618=0),0,1)</f>
        <v>0</v>
      </c>
    </row>
    <row r="5619" spans="1:12" x14ac:dyDescent="0.2">
      <c r="A5619" t="s">
        <v>349</v>
      </c>
      <c r="B5619" t="s">
        <v>241</v>
      </c>
      <c r="C5619" t="s">
        <v>153</v>
      </c>
      <c r="D5619">
        <v>1010</v>
      </c>
      <c r="E5619">
        <v>2021</v>
      </c>
      <c r="F5619">
        <v>608</v>
      </c>
      <c r="G5619">
        <v>15721</v>
      </c>
      <c r="H5619" s="1">
        <v>3</v>
      </c>
      <c r="I5619">
        <v>14</v>
      </c>
      <c r="J5619">
        <f>IF($H5619=0,1,IF($I5619&lt;=1,2,0))</f>
        <v>0</v>
      </c>
      <c r="K5619">
        <v>0</v>
      </c>
      <c r="L5619">
        <f>IF(AND($J5619=0,$K5619=0),0,1)</f>
        <v>0</v>
      </c>
    </row>
    <row r="5620" spans="1:12" x14ac:dyDescent="0.2">
      <c r="A5620" t="s">
        <v>349</v>
      </c>
      <c r="B5620" t="s">
        <v>241</v>
      </c>
      <c r="C5620" t="s">
        <v>7</v>
      </c>
      <c r="D5620">
        <v>1010</v>
      </c>
      <c r="E5620">
        <v>2021</v>
      </c>
      <c r="F5620">
        <v>624</v>
      </c>
      <c r="G5620">
        <v>16068</v>
      </c>
      <c r="H5620" s="1">
        <v>3</v>
      </c>
      <c r="I5620">
        <v>14</v>
      </c>
      <c r="J5620">
        <f>IF($H5620=0,1,IF($I5620&lt;=1,2,0))</f>
        <v>0</v>
      </c>
      <c r="K5620">
        <v>0</v>
      </c>
      <c r="L5620">
        <f>IF(AND($J5620=0,$K5620=0),0,1)</f>
        <v>0</v>
      </c>
    </row>
    <row r="5621" spans="1:12" x14ac:dyDescent="0.2">
      <c r="A5621" t="s">
        <v>349</v>
      </c>
      <c r="B5621" t="s">
        <v>241</v>
      </c>
      <c r="C5621" t="s">
        <v>7</v>
      </c>
      <c r="D5621">
        <v>1010</v>
      </c>
      <c r="E5621">
        <v>2021</v>
      </c>
      <c r="F5621">
        <v>635</v>
      </c>
      <c r="G5621">
        <v>16071</v>
      </c>
      <c r="H5621" s="1">
        <v>3</v>
      </c>
      <c r="I5621">
        <v>14</v>
      </c>
      <c r="J5621">
        <f>IF($H5621=0,1,IF($I5621&lt;=1,2,0))</f>
        <v>0</v>
      </c>
      <c r="K5621">
        <v>0</v>
      </c>
      <c r="L5621">
        <f>IF(AND($J5621=0,$K5621=0),0,1)</f>
        <v>0</v>
      </c>
    </row>
    <row r="5622" spans="1:12" x14ac:dyDescent="0.2">
      <c r="A5622" t="s">
        <v>349</v>
      </c>
      <c r="B5622" t="s">
        <v>241</v>
      </c>
      <c r="C5622" t="s">
        <v>7</v>
      </c>
      <c r="D5622">
        <v>1010</v>
      </c>
      <c r="E5622">
        <v>2021</v>
      </c>
      <c r="F5622">
        <v>638</v>
      </c>
      <c r="G5622">
        <v>16072</v>
      </c>
      <c r="H5622" s="1">
        <v>3</v>
      </c>
      <c r="I5622">
        <v>14</v>
      </c>
      <c r="J5622">
        <f>IF($H5622=0,1,IF($I5622&lt;=1,2,0))</f>
        <v>0</v>
      </c>
      <c r="K5622">
        <v>0</v>
      </c>
      <c r="L5622">
        <f>IF(AND($J5622=0,$K5622=0),0,1)</f>
        <v>0</v>
      </c>
    </row>
    <row r="5623" spans="1:12" x14ac:dyDescent="0.2">
      <c r="A5623" t="s">
        <v>349</v>
      </c>
      <c r="B5623" t="s">
        <v>241</v>
      </c>
      <c r="C5623" t="s">
        <v>7</v>
      </c>
      <c r="D5623">
        <v>1010</v>
      </c>
      <c r="E5623">
        <v>2021</v>
      </c>
      <c r="F5623">
        <v>639</v>
      </c>
      <c r="G5623">
        <v>16073</v>
      </c>
      <c r="H5623" s="1">
        <v>3</v>
      </c>
      <c r="I5623">
        <v>14</v>
      </c>
      <c r="J5623">
        <f>IF($H5623=0,1,IF($I5623&lt;=1,2,0))</f>
        <v>0</v>
      </c>
      <c r="K5623">
        <v>0</v>
      </c>
      <c r="L5623">
        <f>IF(AND($J5623=0,$K5623=0),0,1)</f>
        <v>0</v>
      </c>
    </row>
    <row r="5624" spans="1:12" x14ac:dyDescent="0.2">
      <c r="A5624" t="s">
        <v>349</v>
      </c>
      <c r="B5624" t="s">
        <v>241</v>
      </c>
      <c r="C5624" t="s">
        <v>7</v>
      </c>
      <c r="D5624">
        <v>1010</v>
      </c>
      <c r="E5624">
        <v>2021</v>
      </c>
      <c r="F5624">
        <v>701</v>
      </c>
      <c r="G5624">
        <v>16074</v>
      </c>
      <c r="H5624" s="1">
        <v>3</v>
      </c>
      <c r="I5624">
        <v>14</v>
      </c>
      <c r="J5624">
        <f>IF($H5624=0,1,IF($I5624&lt;=1,2,0))</f>
        <v>0</v>
      </c>
      <c r="K5624">
        <v>0</v>
      </c>
      <c r="L5624">
        <f>IF(AND($J5624=0,$K5624=0),0,1)</f>
        <v>0</v>
      </c>
    </row>
    <row r="5625" spans="1:12" x14ac:dyDescent="0.2">
      <c r="A5625" t="s">
        <v>349</v>
      </c>
      <c r="B5625" t="s">
        <v>241</v>
      </c>
      <c r="C5625" t="s">
        <v>153</v>
      </c>
      <c r="D5625">
        <v>1010</v>
      </c>
      <c r="E5625">
        <v>2021</v>
      </c>
      <c r="F5625">
        <v>710</v>
      </c>
      <c r="G5625">
        <v>15703</v>
      </c>
      <c r="H5625" s="1">
        <v>3</v>
      </c>
      <c r="I5625">
        <v>14</v>
      </c>
      <c r="J5625">
        <f>IF($H5625=0,1,IF($I5625&lt;=1,2,0))</f>
        <v>0</v>
      </c>
      <c r="K5625">
        <v>0</v>
      </c>
      <c r="L5625">
        <f>IF(AND($J5625=0,$K5625=0),0,1)</f>
        <v>0</v>
      </c>
    </row>
    <row r="5626" spans="1:12" x14ac:dyDescent="0.2">
      <c r="A5626" t="s">
        <v>349</v>
      </c>
      <c r="B5626" t="s">
        <v>241</v>
      </c>
      <c r="C5626" t="s">
        <v>153</v>
      </c>
      <c r="D5626">
        <v>1010</v>
      </c>
      <c r="E5626">
        <v>2021</v>
      </c>
      <c r="F5626">
        <v>719</v>
      </c>
      <c r="G5626">
        <v>15723</v>
      </c>
      <c r="H5626" s="1">
        <v>3</v>
      </c>
      <c r="I5626">
        <v>14</v>
      </c>
      <c r="J5626">
        <f>IF($H5626=0,1,IF($I5626&lt;=1,2,0))</f>
        <v>0</v>
      </c>
      <c r="K5626">
        <v>0</v>
      </c>
      <c r="L5626">
        <f>IF(AND($J5626=0,$K5626=0),0,1)</f>
        <v>0</v>
      </c>
    </row>
    <row r="5627" spans="1:12" x14ac:dyDescent="0.2">
      <c r="A5627" t="s">
        <v>349</v>
      </c>
      <c r="B5627" t="s">
        <v>241</v>
      </c>
      <c r="C5627" t="s">
        <v>7</v>
      </c>
      <c r="D5627">
        <v>1010</v>
      </c>
      <c r="E5627">
        <v>2021</v>
      </c>
      <c r="F5627">
        <v>720</v>
      </c>
      <c r="G5627">
        <v>16076</v>
      </c>
      <c r="H5627" s="1">
        <v>3</v>
      </c>
      <c r="I5627">
        <v>14</v>
      </c>
      <c r="J5627">
        <f>IF($H5627=0,1,IF($I5627&lt;=1,2,0))</f>
        <v>0</v>
      </c>
      <c r="K5627">
        <v>0</v>
      </c>
      <c r="L5627">
        <f>IF(AND($J5627=0,$K5627=0),0,1)</f>
        <v>0</v>
      </c>
    </row>
    <row r="5628" spans="1:12" x14ac:dyDescent="0.2">
      <c r="A5628" t="s">
        <v>349</v>
      </c>
      <c r="B5628" t="s">
        <v>241</v>
      </c>
      <c r="C5628" t="s">
        <v>7</v>
      </c>
      <c r="D5628">
        <v>1010</v>
      </c>
      <c r="E5628">
        <v>2021</v>
      </c>
      <c r="F5628">
        <v>733</v>
      </c>
      <c r="G5628">
        <v>16077</v>
      </c>
      <c r="H5628" s="1">
        <v>3</v>
      </c>
      <c r="I5628">
        <v>14</v>
      </c>
      <c r="J5628">
        <f>IF($H5628=0,1,IF($I5628&lt;=1,2,0))</f>
        <v>0</v>
      </c>
      <c r="K5628">
        <v>0</v>
      </c>
      <c r="L5628">
        <f>IF(AND($J5628=0,$K5628=0),0,1)</f>
        <v>0</v>
      </c>
    </row>
    <row r="5629" spans="1:12" x14ac:dyDescent="0.2">
      <c r="A5629" t="s">
        <v>349</v>
      </c>
      <c r="B5629" t="s">
        <v>241</v>
      </c>
      <c r="C5629" t="s">
        <v>7</v>
      </c>
      <c r="D5629">
        <v>1010</v>
      </c>
      <c r="E5629">
        <v>2021</v>
      </c>
      <c r="F5629">
        <v>744</v>
      </c>
      <c r="G5629">
        <v>16078</v>
      </c>
      <c r="H5629" s="1">
        <v>3</v>
      </c>
      <c r="I5629">
        <v>14</v>
      </c>
      <c r="J5629">
        <f>IF($H5629=0,1,IF($I5629&lt;=1,2,0))</f>
        <v>0</v>
      </c>
      <c r="K5629">
        <v>0</v>
      </c>
      <c r="L5629">
        <f>IF(AND($J5629=0,$K5629=0),0,1)</f>
        <v>0</v>
      </c>
    </row>
    <row r="5630" spans="1:12" x14ac:dyDescent="0.2">
      <c r="A5630" t="s">
        <v>349</v>
      </c>
      <c r="B5630" t="s">
        <v>241</v>
      </c>
      <c r="C5630" t="s">
        <v>7</v>
      </c>
      <c r="D5630">
        <v>1010</v>
      </c>
      <c r="E5630">
        <v>2021</v>
      </c>
      <c r="F5630">
        <v>803</v>
      </c>
      <c r="G5630">
        <v>18761</v>
      </c>
      <c r="H5630" s="1">
        <v>3</v>
      </c>
      <c r="I5630">
        <v>14</v>
      </c>
      <c r="J5630">
        <f>IF($H5630=0,1,IF($I5630&lt;=1,2,0))</f>
        <v>0</v>
      </c>
      <c r="K5630">
        <v>0</v>
      </c>
      <c r="L5630">
        <f>IF(AND($J5630=0,$K5630=0),0,1)</f>
        <v>0</v>
      </c>
    </row>
    <row r="5631" spans="1:12" x14ac:dyDescent="0.2">
      <c r="A5631" t="s">
        <v>349</v>
      </c>
      <c r="B5631" t="s">
        <v>241</v>
      </c>
      <c r="C5631" t="s">
        <v>7</v>
      </c>
      <c r="D5631">
        <v>1010</v>
      </c>
      <c r="E5631">
        <v>2021</v>
      </c>
      <c r="F5631">
        <v>823</v>
      </c>
      <c r="G5631">
        <v>18762</v>
      </c>
      <c r="H5631" s="1">
        <v>3</v>
      </c>
      <c r="I5631">
        <v>14</v>
      </c>
      <c r="J5631">
        <f>IF($H5631=0,1,IF($I5631&lt;=1,2,0))</f>
        <v>0</v>
      </c>
      <c r="K5631">
        <v>0</v>
      </c>
      <c r="L5631">
        <f>IF(AND($J5631=0,$K5631=0),0,1)</f>
        <v>0</v>
      </c>
    </row>
    <row r="5632" spans="1:12" x14ac:dyDescent="0.2">
      <c r="A5632" t="s">
        <v>349</v>
      </c>
      <c r="B5632" t="s">
        <v>241</v>
      </c>
      <c r="C5632" t="s">
        <v>7</v>
      </c>
      <c r="D5632">
        <v>1010</v>
      </c>
      <c r="E5632">
        <v>2021</v>
      </c>
      <c r="F5632">
        <v>850</v>
      </c>
      <c r="G5632">
        <v>18763</v>
      </c>
      <c r="H5632" s="1">
        <v>3</v>
      </c>
      <c r="I5632">
        <v>14</v>
      </c>
      <c r="J5632">
        <f>IF($H5632=0,1,IF($I5632&lt;=1,2,0))</f>
        <v>0</v>
      </c>
      <c r="K5632">
        <v>0</v>
      </c>
      <c r="L5632">
        <f>IF(AND($J5632=0,$K5632=0),0,1)</f>
        <v>0</v>
      </c>
    </row>
    <row r="5633" spans="1:13" x14ac:dyDescent="0.2">
      <c r="A5633" t="s">
        <v>349</v>
      </c>
      <c r="B5633" t="s">
        <v>241</v>
      </c>
      <c r="C5633" t="s">
        <v>7</v>
      </c>
      <c r="D5633">
        <v>1010</v>
      </c>
      <c r="E5633">
        <v>2021</v>
      </c>
      <c r="F5633">
        <v>855</v>
      </c>
      <c r="G5633">
        <v>18409</v>
      </c>
      <c r="H5633" s="1">
        <v>3</v>
      </c>
      <c r="I5633">
        <v>14</v>
      </c>
      <c r="J5633">
        <f>IF($H5633=0,1,IF($I5633&lt;=1,2,0))</f>
        <v>0</v>
      </c>
      <c r="K5633">
        <v>0</v>
      </c>
      <c r="L5633">
        <f>IF(AND($J5633=0,$K5633=0),0,1)</f>
        <v>0</v>
      </c>
    </row>
    <row r="5634" spans="1:13" x14ac:dyDescent="0.2">
      <c r="A5634" t="s">
        <v>349</v>
      </c>
      <c r="B5634" t="s">
        <v>241</v>
      </c>
      <c r="C5634" t="s">
        <v>7</v>
      </c>
      <c r="D5634">
        <v>1010</v>
      </c>
      <c r="E5634">
        <v>2021</v>
      </c>
      <c r="F5634">
        <v>907</v>
      </c>
      <c r="G5634">
        <v>16079</v>
      </c>
      <c r="H5634" s="1">
        <v>3</v>
      </c>
      <c r="I5634">
        <v>14</v>
      </c>
      <c r="J5634">
        <f>IF($H5634=0,1,IF($I5634&lt;=1,2,0))</f>
        <v>0</v>
      </c>
      <c r="K5634">
        <v>0</v>
      </c>
      <c r="L5634">
        <f>IF(AND($J5634=0,$K5634=0),0,1)</f>
        <v>0</v>
      </c>
    </row>
    <row r="5635" spans="1:13" x14ac:dyDescent="0.2">
      <c r="A5635" t="s">
        <v>349</v>
      </c>
      <c r="B5635" t="s">
        <v>241</v>
      </c>
      <c r="C5635" t="s">
        <v>153</v>
      </c>
      <c r="D5635">
        <v>1010</v>
      </c>
      <c r="E5635">
        <v>2021</v>
      </c>
      <c r="F5635">
        <v>927</v>
      </c>
      <c r="G5635">
        <v>17885</v>
      </c>
      <c r="H5635" s="1">
        <v>3</v>
      </c>
      <c r="I5635">
        <v>14</v>
      </c>
      <c r="J5635">
        <f>IF($H5635=0,1,IF($I5635&lt;=1,2,0))</f>
        <v>0</v>
      </c>
      <c r="K5635">
        <v>0</v>
      </c>
      <c r="L5635">
        <f>IF(AND($J5635=0,$K5635=0),0,1)</f>
        <v>0</v>
      </c>
      <c r="M5635" t="s">
        <v>1021</v>
      </c>
    </row>
    <row r="5636" spans="1:13" x14ac:dyDescent="0.2">
      <c r="A5636" t="s">
        <v>349</v>
      </c>
      <c r="B5636" t="s">
        <v>241</v>
      </c>
      <c r="C5636" t="s">
        <v>7</v>
      </c>
      <c r="D5636">
        <v>1010</v>
      </c>
      <c r="E5636">
        <v>2021</v>
      </c>
      <c r="F5636">
        <v>936</v>
      </c>
      <c r="G5636">
        <v>16080</v>
      </c>
      <c r="H5636" s="1">
        <v>3</v>
      </c>
      <c r="I5636">
        <v>14</v>
      </c>
      <c r="J5636">
        <f>IF($H5636=0,1,IF($I5636&lt;=1,2,0))</f>
        <v>0</v>
      </c>
      <c r="K5636">
        <v>0</v>
      </c>
      <c r="L5636">
        <f>IF(AND($J5636=0,$K5636=0),0,1)</f>
        <v>0</v>
      </c>
    </row>
    <row r="5637" spans="1:13" x14ac:dyDescent="0.2">
      <c r="A5637" t="s">
        <v>349</v>
      </c>
      <c r="B5637" t="s">
        <v>241</v>
      </c>
      <c r="C5637" t="s">
        <v>7</v>
      </c>
      <c r="D5637">
        <v>1010</v>
      </c>
      <c r="E5637">
        <v>2021</v>
      </c>
      <c r="F5637">
        <v>947</v>
      </c>
      <c r="G5637">
        <v>16081</v>
      </c>
      <c r="H5637" s="1">
        <v>3</v>
      </c>
      <c r="I5637">
        <v>14</v>
      </c>
      <c r="J5637">
        <f>IF($H5637=0,1,IF($I5637&lt;=1,2,0))</f>
        <v>0</v>
      </c>
      <c r="K5637">
        <v>0</v>
      </c>
      <c r="L5637">
        <f>IF(AND($J5637=0,$K5637=0),0,1)</f>
        <v>0</v>
      </c>
    </row>
    <row r="5638" spans="1:13" x14ac:dyDescent="0.2">
      <c r="A5638" t="s">
        <v>349</v>
      </c>
      <c r="B5638" t="s">
        <v>241</v>
      </c>
      <c r="C5638" t="s">
        <v>153</v>
      </c>
      <c r="D5638">
        <v>1010</v>
      </c>
      <c r="E5638">
        <v>2021</v>
      </c>
      <c r="F5638">
        <v>1</v>
      </c>
      <c r="G5638">
        <v>15704</v>
      </c>
      <c r="H5638" s="1">
        <v>3</v>
      </c>
      <c r="I5638">
        <v>13</v>
      </c>
      <c r="J5638">
        <f>IF($H5638=0,1,IF($I5638&lt;=1,2,0))</f>
        <v>0</v>
      </c>
      <c r="K5638">
        <v>0</v>
      </c>
      <c r="L5638">
        <f>IF(AND($J5638=0,$K5638=0),0,1)</f>
        <v>0</v>
      </c>
    </row>
    <row r="5639" spans="1:13" x14ac:dyDescent="0.2">
      <c r="A5639" t="s">
        <v>349</v>
      </c>
      <c r="B5639" t="s">
        <v>241</v>
      </c>
      <c r="C5639" t="s">
        <v>153</v>
      </c>
      <c r="D5639">
        <v>1010</v>
      </c>
      <c r="E5639">
        <v>2021</v>
      </c>
      <c r="F5639">
        <v>17</v>
      </c>
      <c r="G5639">
        <v>15705</v>
      </c>
      <c r="H5639" s="1">
        <v>3</v>
      </c>
      <c r="I5639">
        <v>13</v>
      </c>
      <c r="J5639">
        <f>IF($H5639=0,1,IF($I5639&lt;=1,2,0))</f>
        <v>0</v>
      </c>
      <c r="K5639">
        <v>0</v>
      </c>
      <c r="L5639">
        <f>IF(AND($J5639=0,$K5639=0),0,1)</f>
        <v>0</v>
      </c>
    </row>
    <row r="5640" spans="1:13" x14ac:dyDescent="0.2">
      <c r="A5640" t="s">
        <v>349</v>
      </c>
      <c r="B5640" t="s">
        <v>241</v>
      </c>
      <c r="C5640" t="s">
        <v>7</v>
      </c>
      <c r="D5640">
        <v>1010</v>
      </c>
      <c r="E5640">
        <v>2021</v>
      </c>
      <c r="F5640">
        <v>27</v>
      </c>
      <c r="G5640">
        <v>16036</v>
      </c>
      <c r="H5640" s="1">
        <v>3</v>
      </c>
      <c r="I5640">
        <v>13</v>
      </c>
      <c r="J5640">
        <f>IF($H5640=0,1,IF($I5640&lt;=1,2,0))</f>
        <v>0</v>
      </c>
      <c r="K5640">
        <v>0</v>
      </c>
      <c r="L5640">
        <f>IF(AND($J5640=0,$K5640=0),0,1)</f>
        <v>0</v>
      </c>
    </row>
    <row r="5641" spans="1:13" x14ac:dyDescent="0.2">
      <c r="A5641" t="s">
        <v>349</v>
      </c>
      <c r="B5641" t="s">
        <v>241</v>
      </c>
      <c r="C5641" t="s">
        <v>7</v>
      </c>
      <c r="D5641">
        <v>1010</v>
      </c>
      <c r="E5641">
        <v>2021</v>
      </c>
      <c r="F5641">
        <v>40</v>
      </c>
      <c r="G5641">
        <v>16039</v>
      </c>
      <c r="H5641" s="1">
        <v>3</v>
      </c>
      <c r="I5641">
        <v>13</v>
      </c>
      <c r="J5641">
        <f>IF($H5641=0,1,IF($I5641&lt;=1,2,0))</f>
        <v>0</v>
      </c>
      <c r="K5641">
        <v>0</v>
      </c>
      <c r="L5641">
        <f>IF(AND($J5641=0,$K5641=0),0,1)</f>
        <v>0</v>
      </c>
    </row>
    <row r="5642" spans="1:13" x14ac:dyDescent="0.2">
      <c r="A5642" t="s">
        <v>349</v>
      </c>
      <c r="B5642" t="s">
        <v>241</v>
      </c>
      <c r="C5642" t="s">
        <v>7</v>
      </c>
      <c r="D5642">
        <v>1010</v>
      </c>
      <c r="E5642">
        <v>2021</v>
      </c>
      <c r="F5642">
        <v>51</v>
      </c>
      <c r="G5642">
        <v>16042</v>
      </c>
      <c r="H5642" s="1">
        <v>3</v>
      </c>
      <c r="I5642">
        <v>13</v>
      </c>
      <c r="J5642">
        <f>IF($H5642=0,1,IF($I5642&lt;=1,2,0))</f>
        <v>0</v>
      </c>
      <c r="K5642">
        <v>0</v>
      </c>
      <c r="L5642">
        <f>IF(AND($J5642=0,$K5642=0),0,1)</f>
        <v>0</v>
      </c>
    </row>
    <row r="5643" spans="1:13" x14ac:dyDescent="0.2">
      <c r="A5643" t="s">
        <v>349</v>
      </c>
      <c r="B5643" t="s">
        <v>241</v>
      </c>
      <c r="C5643" t="s">
        <v>153</v>
      </c>
      <c r="D5643">
        <v>1010</v>
      </c>
      <c r="E5643">
        <v>2021</v>
      </c>
      <c r="F5643">
        <v>123</v>
      </c>
      <c r="G5643">
        <v>15712</v>
      </c>
      <c r="H5643" s="1">
        <v>3</v>
      </c>
      <c r="I5643">
        <v>13</v>
      </c>
      <c r="J5643">
        <f>IF($H5643=0,1,IF($I5643&lt;=1,2,0))</f>
        <v>0</v>
      </c>
      <c r="K5643">
        <v>0</v>
      </c>
      <c r="L5643">
        <f>IF(AND($J5643=0,$K5643=0),0,1)</f>
        <v>0</v>
      </c>
    </row>
    <row r="5644" spans="1:13" x14ac:dyDescent="0.2">
      <c r="A5644" t="s">
        <v>349</v>
      </c>
      <c r="B5644" t="s">
        <v>241</v>
      </c>
      <c r="C5644" t="s">
        <v>153</v>
      </c>
      <c r="D5644">
        <v>1010</v>
      </c>
      <c r="E5644">
        <v>2021</v>
      </c>
      <c r="F5644">
        <v>206</v>
      </c>
      <c r="G5644">
        <v>15713</v>
      </c>
      <c r="H5644" s="1">
        <v>3</v>
      </c>
      <c r="I5644">
        <v>13</v>
      </c>
      <c r="J5644">
        <f>IF($H5644=0,1,IF($I5644&lt;=1,2,0))</f>
        <v>0</v>
      </c>
      <c r="K5644">
        <v>0</v>
      </c>
      <c r="L5644">
        <f>IF(AND($J5644=0,$K5644=0),0,1)</f>
        <v>0</v>
      </c>
    </row>
    <row r="5645" spans="1:13" x14ac:dyDescent="0.2">
      <c r="A5645" t="s">
        <v>349</v>
      </c>
      <c r="B5645" t="s">
        <v>241</v>
      </c>
      <c r="C5645" t="s">
        <v>153</v>
      </c>
      <c r="D5645">
        <v>1010</v>
      </c>
      <c r="E5645">
        <v>2021</v>
      </c>
      <c r="F5645">
        <v>221</v>
      </c>
      <c r="G5645">
        <v>15714</v>
      </c>
      <c r="H5645" s="1">
        <v>3</v>
      </c>
      <c r="I5645">
        <v>13</v>
      </c>
      <c r="J5645">
        <f>IF($H5645=0,1,IF($I5645&lt;=1,2,0))</f>
        <v>0</v>
      </c>
      <c r="K5645">
        <v>0</v>
      </c>
      <c r="L5645">
        <f>IF(AND($J5645=0,$K5645=0),0,1)</f>
        <v>0</v>
      </c>
    </row>
    <row r="5646" spans="1:13" x14ac:dyDescent="0.2">
      <c r="A5646" t="s">
        <v>349</v>
      </c>
      <c r="B5646" t="s">
        <v>241</v>
      </c>
      <c r="C5646" t="s">
        <v>153</v>
      </c>
      <c r="D5646">
        <v>1010</v>
      </c>
      <c r="E5646">
        <v>2021</v>
      </c>
      <c r="F5646">
        <v>224</v>
      </c>
      <c r="G5646">
        <v>18228</v>
      </c>
      <c r="H5646" s="1">
        <v>3</v>
      </c>
      <c r="I5646">
        <v>13</v>
      </c>
      <c r="J5646">
        <f>IF($H5646=0,1,IF($I5646&lt;=1,2,0))</f>
        <v>0</v>
      </c>
      <c r="K5646">
        <v>0</v>
      </c>
      <c r="L5646">
        <f>IF(AND($J5646=0,$K5646=0),0,1)</f>
        <v>0</v>
      </c>
      <c r="M5646" t="s">
        <v>1514</v>
      </c>
    </row>
    <row r="5647" spans="1:13" x14ac:dyDescent="0.2">
      <c r="A5647" t="s">
        <v>349</v>
      </c>
      <c r="B5647" t="s">
        <v>241</v>
      </c>
      <c r="C5647" t="s">
        <v>7</v>
      </c>
      <c r="D5647">
        <v>1010</v>
      </c>
      <c r="E5647">
        <v>2021</v>
      </c>
      <c r="F5647">
        <v>246</v>
      </c>
      <c r="G5647">
        <v>16051</v>
      </c>
      <c r="H5647" s="1">
        <v>3</v>
      </c>
      <c r="I5647">
        <v>13</v>
      </c>
      <c r="J5647">
        <f>IF($H5647=0,1,IF($I5647&lt;=1,2,0))</f>
        <v>0</v>
      </c>
      <c r="K5647">
        <v>0</v>
      </c>
      <c r="L5647">
        <f>IF(AND($J5647=0,$K5647=0),0,1)</f>
        <v>0</v>
      </c>
    </row>
    <row r="5648" spans="1:13" x14ac:dyDescent="0.2">
      <c r="A5648" t="s">
        <v>349</v>
      </c>
      <c r="B5648" t="s">
        <v>241</v>
      </c>
      <c r="C5648" t="s">
        <v>153</v>
      </c>
      <c r="D5648">
        <v>1010</v>
      </c>
      <c r="E5648">
        <v>2021</v>
      </c>
      <c r="F5648">
        <v>307</v>
      </c>
      <c r="G5648">
        <v>15716</v>
      </c>
      <c r="H5648" s="1">
        <v>3</v>
      </c>
      <c r="I5648">
        <v>13</v>
      </c>
      <c r="J5648">
        <f>IF($H5648=0,1,IF($I5648&lt;=1,2,0))</f>
        <v>0</v>
      </c>
      <c r="K5648">
        <v>0</v>
      </c>
      <c r="L5648">
        <f>IF(AND($J5648=0,$K5648=0),0,1)</f>
        <v>0</v>
      </c>
    </row>
    <row r="5649" spans="1:13" x14ac:dyDescent="0.2">
      <c r="A5649" t="s">
        <v>349</v>
      </c>
      <c r="B5649" t="s">
        <v>241</v>
      </c>
      <c r="C5649" t="s">
        <v>7</v>
      </c>
      <c r="D5649">
        <v>1010</v>
      </c>
      <c r="E5649">
        <v>2021</v>
      </c>
      <c r="F5649">
        <v>422</v>
      </c>
      <c r="G5649">
        <v>16060</v>
      </c>
      <c r="H5649" s="1">
        <v>3</v>
      </c>
      <c r="I5649">
        <v>13</v>
      </c>
      <c r="J5649">
        <f>IF($H5649=0,1,IF($I5649&lt;=1,2,0))</f>
        <v>0</v>
      </c>
      <c r="K5649">
        <v>0</v>
      </c>
      <c r="L5649">
        <f>IF(AND($J5649=0,$K5649=0),0,1)</f>
        <v>0</v>
      </c>
    </row>
    <row r="5650" spans="1:13" x14ac:dyDescent="0.2">
      <c r="A5650" t="s">
        <v>349</v>
      </c>
      <c r="B5650" t="s">
        <v>241</v>
      </c>
      <c r="C5650" t="s">
        <v>7</v>
      </c>
      <c r="D5650">
        <v>1010</v>
      </c>
      <c r="E5650">
        <v>2021</v>
      </c>
      <c r="F5650">
        <v>443</v>
      </c>
      <c r="G5650">
        <v>16061</v>
      </c>
      <c r="H5650" s="1">
        <v>3</v>
      </c>
      <c r="I5650">
        <v>13</v>
      </c>
      <c r="J5650">
        <f>IF($H5650=0,1,IF($I5650&lt;=1,2,0))</f>
        <v>0</v>
      </c>
      <c r="K5650">
        <v>0</v>
      </c>
      <c r="L5650">
        <f>IF(AND($J5650=0,$K5650=0),0,1)</f>
        <v>0</v>
      </c>
    </row>
    <row r="5651" spans="1:13" x14ac:dyDescent="0.2">
      <c r="A5651" t="s">
        <v>349</v>
      </c>
      <c r="B5651" t="s">
        <v>241</v>
      </c>
      <c r="C5651" t="s">
        <v>7</v>
      </c>
      <c r="D5651">
        <v>1010</v>
      </c>
      <c r="E5651">
        <v>2021</v>
      </c>
      <c r="F5651">
        <v>506</v>
      </c>
      <c r="G5651">
        <v>16064</v>
      </c>
      <c r="H5651" s="1">
        <v>3</v>
      </c>
      <c r="I5651">
        <v>13</v>
      </c>
      <c r="J5651">
        <f>IF($H5651=0,1,IF($I5651&lt;=1,2,0))</f>
        <v>0</v>
      </c>
      <c r="K5651">
        <v>0</v>
      </c>
      <c r="L5651">
        <f>IF(AND($J5651=0,$K5651=0),0,1)</f>
        <v>0</v>
      </c>
    </row>
    <row r="5652" spans="1:13" x14ac:dyDescent="0.2">
      <c r="A5652" t="s">
        <v>349</v>
      </c>
      <c r="B5652" t="s">
        <v>241</v>
      </c>
      <c r="C5652" t="s">
        <v>7</v>
      </c>
      <c r="D5652">
        <v>1010</v>
      </c>
      <c r="E5652">
        <v>2021</v>
      </c>
      <c r="F5652">
        <v>512</v>
      </c>
      <c r="G5652">
        <v>18240</v>
      </c>
      <c r="H5652" s="1">
        <v>3</v>
      </c>
      <c r="I5652">
        <v>13</v>
      </c>
      <c r="J5652">
        <f>IF($H5652=0,1,IF($I5652&lt;=1,2,0))</f>
        <v>0</v>
      </c>
      <c r="K5652">
        <v>0</v>
      </c>
      <c r="L5652">
        <f>IF(AND($J5652=0,$K5652=0),0,1)</f>
        <v>0</v>
      </c>
      <c r="M5652" t="s">
        <v>1513</v>
      </c>
    </row>
    <row r="5653" spans="1:13" x14ac:dyDescent="0.2">
      <c r="A5653" t="s">
        <v>349</v>
      </c>
      <c r="B5653" t="s">
        <v>241</v>
      </c>
      <c r="C5653" t="s">
        <v>7</v>
      </c>
      <c r="D5653">
        <v>1010</v>
      </c>
      <c r="E5653">
        <v>2021</v>
      </c>
      <c r="F5653">
        <v>629</v>
      </c>
      <c r="G5653">
        <v>16069</v>
      </c>
      <c r="H5653" s="1">
        <v>3</v>
      </c>
      <c r="I5653">
        <v>13</v>
      </c>
      <c r="J5653">
        <f>IF($H5653=0,1,IF($I5653&lt;=1,2,0))</f>
        <v>0</v>
      </c>
      <c r="K5653">
        <v>0</v>
      </c>
      <c r="L5653">
        <f>IF(AND($J5653=0,$K5653=0),0,1)</f>
        <v>0</v>
      </c>
    </row>
    <row r="5654" spans="1:13" x14ac:dyDescent="0.2">
      <c r="A5654" t="s">
        <v>349</v>
      </c>
      <c r="B5654" t="s">
        <v>241</v>
      </c>
      <c r="C5654" t="s">
        <v>7</v>
      </c>
      <c r="D5654">
        <v>1010</v>
      </c>
      <c r="E5654">
        <v>2021</v>
      </c>
      <c r="F5654">
        <v>631</v>
      </c>
      <c r="G5654">
        <v>16070</v>
      </c>
      <c r="H5654" s="1">
        <v>3</v>
      </c>
      <c r="I5654">
        <v>13</v>
      </c>
      <c r="J5654">
        <f>IF($H5654=0,1,IF($I5654&lt;=1,2,0))</f>
        <v>0</v>
      </c>
      <c r="K5654">
        <v>0</v>
      </c>
      <c r="L5654">
        <f>IF(AND($J5654=0,$K5654=0),0,1)</f>
        <v>0</v>
      </c>
    </row>
    <row r="5655" spans="1:13" x14ac:dyDescent="0.2">
      <c r="A5655" t="s">
        <v>349</v>
      </c>
      <c r="B5655" t="s">
        <v>241</v>
      </c>
      <c r="C5655" t="s">
        <v>7</v>
      </c>
      <c r="D5655">
        <v>1010</v>
      </c>
      <c r="E5655">
        <v>2021</v>
      </c>
      <c r="F5655">
        <v>708</v>
      </c>
      <c r="G5655">
        <v>16075</v>
      </c>
      <c r="H5655" s="1">
        <v>3</v>
      </c>
      <c r="I5655">
        <v>13</v>
      </c>
      <c r="J5655">
        <f>IF($H5655=0,1,IF($I5655&lt;=1,2,0))</f>
        <v>0</v>
      </c>
      <c r="K5655">
        <v>0</v>
      </c>
      <c r="L5655">
        <f>IF(AND($J5655=0,$K5655=0),0,1)</f>
        <v>0</v>
      </c>
    </row>
    <row r="5656" spans="1:13" x14ac:dyDescent="0.2">
      <c r="A5656" t="s">
        <v>349</v>
      </c>
      <c r="B5656" t="s">
        <v>241</v>
      </c>
      <c r="C5656" t="s">
        <v>153</v>
      </c>
      <c r="D5656">
        <v>1010</v>
      </c>
      <c r="E5656">
        <v>2021</v>
      </c>
      <c r="F5656">
        <v>909</v>
      </c>
      <c r="G5656">
        <v>15724</v>
      </c>
      <c r="H5656" s="1">
        <v>3</v>
      </c>
      <c r="I5656">
        <v>13</v>
      </c>
      <c r="J5656">
        <f>IF($H5656=0,1,IF($I5656&lt;=1,2,0))</f>
        <v>0</v>
      </c>
      <c r="K5656">
        <v>0</v>
      </c>
      <c r="L5656">
        <f>IF(AND($J5656=0,$K5656=0),0,1)</f>
        <v>0</v>
      </c>
      <c r="M5656" t="s">
        <v>1021</v>
      </c>
    </row>
    <row r="5657" spans="1:13" x14ac:dyDescent="0.2">
      <c r="A5657" t="s">
        <v>349</v>
      </c>
      <c r="B5657" t="s">
        <v>241</v>
      </c>
      <c r="C5657" t="s">
        <v>153</v>
      </c>
      <c r="D5657">
        <v>1010</v>
      </c>
      <c r="E5657">
        <v>2021</v>
      </c>
      <c r="F5657">
        <v>913</v>
      </c>
      <c r="G5657">
        <v>15725</v>
      </c>
      <c r="H5657" s="1">
        <v>3</v>
      </c>
      <c r="I5657">
        <v>13</v>
      </c>
      <c r="J5657">
        <f>IF($H5657=0,1,IF($I5657&lt;=1,2,0))</f>
        <v>0</v>
      </c>
      <c r="K5657">
        <v>0</v>
      </c>
      <c r="L5657">
        <f>IF(AND($J5657=0,$K5657=0),0,1)</f>
        <v>0</v>
      </c>
      <c r="M5657" t="s">
        <v>1021</v>
      </c>
    </row>
    <row r="5658" spans="1:13" x14ac:dyDescent="0.2">
      <c r="A5658" t="s">
        <v>349</v>
      </c>
      <c r="B5658" t="s">
        <v>241</v>
      </c>
      <c r="C5658" t="s">
        <v>153</v>
      </c>
      <c r="D5658">
        <v>1010</v>
      </c>
      <c r="E5658">
        <v>2021</v>
      </c>
      <c r="F5658">
        <v>3</v>
      </c>
      <c r="G5658">
        <v>18436</v>
      </c>
      <c r="H5658" s="1">
        <v>3</v>
      </c>
      <c r="I5658">
        <v>12</v>
      </c>
      <c r="J5658">
        <f>IF($H5658=0,1,IF($I5658&lt;=1,2,0))</f>
        <v>0</v>
      </c>
      <c r="K5658">
        <v>0</v>
      </c>
      <c r="L5658">
        <f>IF(AND($J5658=0,$K5658=0),0,1)</f>
        <v>0</v>
      </c>
    </row>
    <row r="5659" spans="1:13" x14ac:dyDescent="0.2">
      <c r="A5659" t="s">
        <v>349</v>
      </c>
      <c r="B5659" t="s">
        <v>241</v>
      </c>
      <c r="C5659" t="s">
        <v>153</v>
      </c>
      <c r="D5659">
        <v>1010</v>
      </c>
      <c r="E5659">
        <v>2021</v>
      </c>
      <c r="F5659">
        <v>304</v>
      </c>
      <c r="G5659">
        <v>15715</v>
      </c>
      <c r="H5659" s="1">
        <v>3</v>
      </c>
      <c r="I5659">
        <v>12</v>
      </c>
      <c r="J5659">
        <f>IF($H5659=0,1,IF($I5659&lt;=1,2,0))</f>
        <v>0</v>
      </c>
      <c r="K5659">
        <v>0</v>
      </c>
      <c r="L5659">
        <f>IF(AND($J5659=0,$K5659=0),0,1)</f>
        <v>0</v>
      </c>
    </row>
    <row r="5660" spans="1:13" x14ac:dyDescent="0.2">
      <c r="A5660" t="s">
        <v>349</v>
      </c>
      <c r="B5660" t="s">
        <v>241</v>
      </c>
      <c r="C5660" t="s">
        <v>7</v>
      </c>
      <c r="D5660">
        <v>1010</v>
      </c>
      <c r="E5660">
        <v>2021</v>
      </c>
      <c r="F5660">
        <v>314</v>
      </c>
      <c r="G5660">
        <v>16054</v>
      </c>
      <c r="H5660" s="1">
        <v>3</v>
      </c>
      <c r="I5660">
        <v>12</v>
      </c>
      <c r="J5660">
        <f>IF($H5660=0,1,IF($I5660&lt;=1,2,0))</f>
        <v>0</v>
      </c>
      <c r="K5660">
        <v>0</v>
      </c>
      <c r="L5660">
        <f>IF(AND($J5660=0,$K5660=0),0,1)</f>
        <v>0</v>
      </c>
    </row>
    <row r="5661" spans="1:13" x14ac:dyDescent="0.2">
      <c r="A5661" t="s">
        <v>349</v>
      </c>
      <c r="B5661" t="s">
        <v>241</v>
      </c>
      <c r="C5661" t="s">
        <v>153</v>
      </c>
      <c r="D5661">
        <v>1010</v>
      </c>
      <c r="E5661">
        <v>2021</v>
      </c>
      <c r="F5661">
        <v>314</v>
      </c>
      <c r="G5661">
        <v>15717</v>
      </c>
      <c r="H5661" s="1">
        <v>3</v>
      </c>
      <c r="I5661">
        <v>12</v>
      </c>
      <c r="J5661">
        <f>IF($H5661=0,1,IF($I5661&lt;=1,2,0))</f>
        <v>0</v>
      </c>
      <c r="K5661">
        <v>0</v>
      </c>
      <c r="L5661">
        <f>IF(AND($J5661=0,$K5661=0),0,1)</f>
        <v>0</v>
      </c>
    </row>
    <row r="5662" spans="1:13" x14ac:dyDescent="0.2">
      <c r="A5662" t="s">
        <v>349</v>
      </c>
      <c r="B5662" t="s">
        <v>241</v>
      </c>
      <c r="C5662" t="s">
        <v>153</v>
      </c>
      <c r="D5662">
        <v>1010</v>
      </c>
      <c r="E5662">
        <v>2021</v>
      </c>
      <c r="F5662">
        <v>715</v>
      </c>
      <c r="G5662">
        <v>15722</v>
      </c>
      <c r="H5662" s="1">
        <v>3</v>
      </c>
      <c r="I5662">
        <v>12</v>
      </c>
      <c r="J5662">
        <f>IF($H5662=0,1,IF($I5662&lt;=1,2,0))</f>
        <v>0</v>
      </c>
      <c r="K5662">
        <v>0</v>
      </c>
      <c r="L5662">
        <f>IF(AND($J5662=0,$K5662=0),0,1)</f>
        <v>0</v>
      </c>
    </row>
    <row r="5663" spans="1:13" x14ac:dyDescent="0.2">
      <c r="A5663" t="s">
        <v>349</v>
      </c>
      <c r="B5663" t="s">
        <v>241</v>
      </c>
      <c r="C5663" t="s">
        <v>153</v>
      </c>
      <c r="D5663">
        <v>1010</v>
      </c>
      <c r="E5663">
        <v>2021</v>
      </c>
      <c r="F5663">
        <v>25</v>
      </c>
      <c r="G5663">
        <v>15708</v>
      </c>
      <c r="H5663" s="1">
        <v>3</v>
      </c>
      <c r="I5663">
        <v>11</v>
      </c>
      <c r="J5663">
        <f>IF($H5663=0,1,IF($I5663&lt;=1,2,0))</f>
        <v>0</v>
      </c>
      <c r="K5663">
        <v>0</v>
      </c>
      <c r="L5663">
        <f>IF(AND($J5663=0,$K5663=0),0,1)</f>
        <v>0</v>
      </c>
    </row>
    <row r="5664" spans="1:13" x14ac:dyDescent="0.2">
      <c r="A5664" t="s">
        <v>349</v>
      </c>
      <c r="B5664" t="s">
        <v>241</v>
      </c>
      <c r="C5664" t="s">
        <v>7</v>
      </c>
      <c r="D5664">
        <v>1010</v>
      </c>
      <c r="E5664">
        <v>2021</v>
      </c>
      <c r="F5664">
        <v>34</v>
      </c>
      <c r="G5664">
        <v>16038</v>
      </c>
      <c r="H5664" s="1">
        <v>3</v>
      </c>
      <c r="I5664">
        <v>11</v>
      </c>
      <c r="J5664">
        <f>IF($H5664=0,1,IF($I5664&lt;=1,2,0))</f>
        <v>0</v>
      </c>
      <c r="K5664">
        <v>0</v>
      </c>
      <c r="L5664">
        <f>IF(AND($J5664=0,$K5664=0),0,1)</f>
        <v>0</v>
      </c>
    </row>
    <row r="5665" spans="1:13" x14ac:dyDescent="0.2">
      <c r="A5665" t="s">
        <v>349</v>
      </c>
      <c r="B5665" t="s">
        <v>241</v>
      </c>
      <c r="C5665" t="s">
        <v>153</v>
      </c>
      <c r="D5665">
        <v>1010</v>
      </c>
      <c r="E5665">
        <v>2021</v>
      </c>
      <c r="F5665">
        <v>812</v>
      </c>
      <c r="G5665">
        <v>18410</v>
      </c>
      <c r="H5665" s="1">
        <v>3</v>
      </c>
      <c r="I5665">
        <v>11</v>
      </c>
      <c r="J5665">
        <f>IF($H5665=0,1,IF($I5665&lt;=1,2,0))</f>
        <v>0</v>
      </c>
      <c r="K5665">
        <v>0</v>
      </c>
      <c r="L5665">
        <f>IF(AND($J5665=0,$K5665=0),0,1)</f>
        <v>0</v>
      </c>
    </row>
    <row r="5666" spans="1:13" x14ac:dyDescent="0.2">
      <c r="A5666" t="s">
        <v>349</v>
      </c>
      <c r="B5666" t="s">
        <v>241</v>
      </c>
      <c r="C5666" t="s">
        <v>153</v>
      </c>
      <c r="D5666">
        <v>1010</v>
      </c>
      <c r="E5666">
        <v>2021</v>
      </c>
      <c r="F5666">
        <v>128</v>
      </c>
      <c r="G5666">
        <v>20375</v>
      </c>
      <c r="H5666" s="1">
        <v>3</v>
      </c>
      <c r="I5666">
        <v>10</v>
      </c>
      <c r="J5666">
        <f>IF($H5666=0,1,IF($I5666&lt;=1,2,0))</f>
        <v>0</v>
      </c>
      <c r="K5666">
        <v>0</v>
      </c>
      <c r="L5666">
        <f>IF(AND($J5666=0,$K5666=0),0,1)</f>
        <v>0</v>
      </c>
    </row>
    <row r="5667" spans="1:13" x14ac:dyDescent="0.2">
      <c r="A5667" t="s">
        <v>349</v>
      </c>
      <c r="B5667" t="s">
        <v>17</v>
      </c>
      <c r="C5667" t="s">
        <v>9</v>
      </c>
      <c r="D5667">
        <v>3001</v>
      </c>
      <c r="E5667">
        <v>2021</v>
      </c>
      <c r="F5667">
        <v>1</v>
      </c>
      <c r="G5667">
        <v>10231</v>
      </c>
      <c r="H5667" s="1">
        <v>4</v>
      </c>
      <c r="I5667">
        <v>72</v>
      </c>
      <c r="J5667">
        <f>IF($H5667=0,1,IF($I5667&lt;=1,2,0))</f>
        <v>0</v>
      </c>
      <c r="K5667">
        <v>0</v>
      </c>
      <c r="L5667">
        <f>IF(AND($J5667=0,$K5667=0),0,1)</f>
        <v>0</v>
      </c>
    </row>
    <row r="5668" spans="1:13" x14ac:dyDescent="0.2">
      <c r="A5668" t="s">
        <v>349</v>
      </c>
      <c r="B5668" t="s">
        <v>17</v>
      </c>
      <c r="C5668" t="s">
        <v>9</v>
      </c>
      <c r="D5668">
        <v>3023</v>
      </c>
      <c r="E5668">
        <v>2021</v>
      </c>
      <c r="F5668">
        <v>1</v>
      </c>
      <c r="G5668">
        <v>18278</v>
      </c>
      <c r="H5668" s="1">
        <v>3</v>
      </c>
      <c r="I5668">
        <v>29</v>
      </c>
      <c r="J5668">
        <f>IF($H5668=0,1,IF($I5668&lt;=1,2,0))</f>
        <v>0</v>
      </c>
      <c r="K5668">
        <v>0</v>
      </c>
      <c r="L5668">
        <f>IF(AND($J5668=0,$K5668=0),0,1)</f>
        <v>0</v>
      </c>
    </row>
    <row r="5669" spans="1:13" x14ac:dyDescent="0.2">
      <c r="A5669" t="s">
        <v>349</v>
      </c>
      <c r="B5669" t="s">
        <v>17</v>
      </c>
      <c r="C5669" t="s">
        <v>9</v>
      </c>
      <c r="D5669">
        <v>3228</v>
      </c>
      <c r="E5669">
        <v>2021</v>
      </c>
      <c r="F5669">
        <v>1</v>
      </c>
      <c r="G5669">
        <v>12680</v>
      </c>
      <c r="H5669" s="1">
        <v>4</v>
      </c>
      <c r="I5669">
        <v>15</v>
      </c>
      <c r="J5669">
        <f>IF($H5669=0,1,IF($I5669&lt;=1,2,0))</f>
        <v>0</v>
      </c>
      <c r="K5669">
        <v>0</v>
      </c>
      <c r="L5669">
        <f>IF(AND($J5669=0,$K5669=0),0,1)</f>
        <v>0</v>
      </c>
    </row>
    <row r="5670" spans="1:13" x14ac:dyDescent="0.2">
      <c r="A5670" t="s">
        <v>349</v>
      </c>
      <c r="B5670" t="s">
        <v>17</v>
      </c>
      <c r="C5670" t="s">
        <v>9</v>
      </c>
      <c r="D5670">
        <v>3335</v>
      </c>
      <c r="E5670">
        <v>2021</v>
      </c>
      <c r="F5670">
        <v>1</v>
      </c>
      <c r="G5670">
        <v>10233</v>
      </c>
      <c r="H5670" s="1">
        <v>3</v>
      </c>
      <c r="I5670">
        <v>46</v>
      </c>
      <c r="J5670">
        <f>IF($H5670=0,1,IF($I5670&lt;=1,2,0))</f>
        <v>0</v>
      </c>
      <c r="K5670">
        <v>0</v>
      </c>
      <c r="L5670">
        <f>IF(AND($J5670=0,$K5670=0),0,1)</f>
        <v>0</v>
      </c>
      <c r="M5670" t="s">
        <v>1521</v>
      </c>
    </row>
    <row r="5671" spans="1:13" x14ac:dyDescent="0.2">
      <c r="A5671" t="s">
        <v>349</v>
      </c>
      <c r="B5671" t="s">
        <v>17</v>
      </c>
      <c r="C5671" t="s">
        <v>9</v>
      </c>
      <c r="D5671">
        <v>3387</v>
      </c>
      <c r="E5671">
        <v>2021</v>
      </c>
      <c r="F5671">
        <v>1</v>
      </c>
      <c r="G5671">
        <v>13289</v>
      </c>
      <c r="H5671" s="1">
        <v>4</v>
      </c>
      <c r="I5671">
        <v>17</v>
      </c>
      <c r="J5671">
        <f>IF($H5671=0,1,IF($I5671&lt;=1,2,0))</f>
        <v>0</v>
      </c>
      <c r="K5671">
        <v>0</v>
      </c>
      <c r="L5671">
        <f>IF(AND($J5671=0,$K5671=0),0,1)</f>
        <v>0</v>
      </c>
    </row>
    <row r="5672" spans="1:13" x14ac:dyDescent="0.2">
      <c r="A5672" t="s">
        <v>349</v>
      </c>
      <c r="B5672" t="s">
        <v>17</v>
      </c>
      <c r="C5672" t="s">
        <v>9</v>
      </c>
      <c r="D5672">
        <v>3398</v>
      </c>
      <c r="E5672">
        <v>2021</v>
      </c>
      <c r="F5672">
        <v>1</v>
      </c>
      <c r="G5672">
        <v>11149</v>
      </c>
      <c r="H5672" s="1">
        <v>4</v>
      </c>
      <c r="I5672">
        <v>14</v>
      </c>
      <c r="J5672">
        <f>IF($H5672=0,1,IF($I5672&lt;=1,2,0))</f>
        <v>0</v>
      </c>
      <c r="K5672">
        <v>0</v>
      </c>
      <c r="L5672">
        <f>IF(AND($J5672=0,$K5672=0),0,1)</f>
        <v>0</v>
      </c>
    </row>
    <row r="5673" spans="1:13" x14ac:dyDescent="0.2">
      <c r="A5673" t="s">
        <v>349</v>
      </c>
      <c r="B5673" t="s">
        <v>17</v>
      </c>
      <c r="C5673" t="s">
        <v>9</v>
      </c>
      <c r="D5673">
        <v>3451</v>
      </c>
      <c r="E5673">
        <v>2021</v>
      </c>
      <c r="F5673">
        <v>1</v>
      </c>
      <c r="G5673">
        <v>10234</v>
      </c>
      <c r="H5673" s="1">
        <v>4</v>
      </c>
      <c r="I5673">
        <v>7</v>
      </c>
      <c r="J5673">
        <f>IF($H5673=0,1,IF($I5673&lt;=1,2,0))</f>
        <v>0</v>
      </c>
      <c r="K5673">
        <v>0</v>
      </c>
      <c r="L5673">
        <f>IF(AND($J5673=0,$K5673=0),0,1)</f>
        <v>0</v>
      </c>
    </row>
    <row r="5674" spans="1:13" x14ac:dyDescent="0.2">
      <c r="A5674" t="s">
        <v>349</v>
      </c>
      <c r="B5674" t="s">
        <v>17</v>
      </c>
      <c r="C5674" t="s">
        <v>9</v>
      </c>
      <c r="D5674">
        <v>3496</v>
      </c>
      <c r="E5674">
        <v>2021</v>
      </c>
      <c r="F5674">
        <v>1</v>
      </c>
      <c r="G5674">
        <v>13286</v>
      </c>
      <c r="H5674" s="1">
        <v>4</v>
      </c>
      <c r="I5674">
        <v>10</v>
      </c>
      <c r="J5674">
        <f>IF($H5674=0,1,IF($I5674&lt;=1,2,0))</f>
        <v>0</v>
      </c>
      <c r="K5674">
        <v>0</v>
      </c>
      <c r="L5674">
        <f>IF(AND($J5674=0,$K5674=0),0,1)</f>
        <v>0</v>
      </c>
    </row>
    <row r="5675" spans="1:13" x14ac:dyDescent="0.2">
      <c r="A5675" t="s">
        <v>349</v>
      </c>
      <c r="B5675" t="s">
        <v>17</v>
      </c>
      <c r="C5675" t="s">
        <v>9</v>
      </c>
      <c r="D5675">
        <v>3520</v>
      </c>
      <c r="E5675">
        <v>2021</v>
      </c>
      <c r="F5675">
        <v>1</v>
      </c>
      <c r="G5675">
        <v>10235</v>
      </c>
      <c r="H5675" s="1">
        <v>3</v>
      </c>
      <c r="I5675">
        <v>108</v>
      </c>
      <c r="J5675">
        <f>IF($H5675=0,1,IF($I5675&lt;=1,2,0))</f>
        <v>0</v>
      </c>
      <c r="K5675">
        <v>0</v>
      </c>
      <c r="L5675">
        <f>IF(AND($J5675=0,$K5675=0),0,1)</f>
        <v>0</v>
      </c>
      <c r="M5675" t="s">
        <v>1522</v>
      </c>
    </row>
    <row r="5676" spans="1:13" x14ac:dyDescent="0.2">
      <c r="A5676" t="s">
        <v>349</v>
      </c>
      <c r="B5676" t="s">
        <v>17</v>
      </c>
      <c r="C5676" t="s">
        <v>9</v>
      </c>
      <c r="D5676">
        <v>3628</v>
      </c>
      <c r="E5676">
        <v>2021</v>
      </c>
      <c r="F5676">
        <v>1</v>
      </c>
      <c r="G5676">
        <v>13595</v>
      </c>
      <c r="H5676" s="1">
        <v>4</v>
      </c>
      <c r="I5676">
        <v>13</v>
      </c>
      <c r="J5676">
        <f>IF($H5676=0,1,IF($I5676&lt;=1,2,0))</f>
        <v>0</v>
      </c>
      <c r="K5676">
        <v>0</v>
      </c>
      <c r="L5676">
        <f>IF(AND($J5676=0,$K5676=0),0,1)</f>
        <v>0</v>
      </c>
    </row>
    <row r="5677" spans="1:13" x14ac:dyDescent="0.2">
      <c r="A5677" t="s">
        <v>349</v>
      </c>
      <c r="B5677" t="s">
        <v>17</v>
      </c>
      <c r="C5677" t="s">
        <v>9</v>
      </c>
      <c r="D5677">
        <v>3642</v>
      </c>
      <c r="E5677">
        <v>2021</v>
      </c>
      <c r="F5677">
        <v>1</v>
      </c>
      <c r="G5677">
        <v>13285</v>
      </c>
      <c r="H5677" s="1">
        <v>4</v>
      </c>
      <c r="I5677">
        <v>9</v>
      </c>
      <c r="J5677">
        <f>IF($H5677=0,1,IF($I5677&lt;=1,2,0))</f>
        <v>0</v>
      </c>
      <c r="K5677">
        <v>0</v>
      </c>
      <c r="L5677">
        <f>IF(AND($J5677=0,$K5677=0),0,1)</f>
        <v>0</v>
      </c>
    </row>
    <row r="5678" spans="1:13" x14ac:dyDescent="0.2">
      <c r="A5678" t="s">
        <v>349</v>
      </c>
      <c r="B5678" t="s">
        <v>17</v>
      </c>
      <c r="C5678" t="s">
        <v>9</v>
      </c>
      <c r="D5678">
        <v>3713</v>
      </c>
      <c r="E5678">
        <v>2021</v>
      </c>
      <c r="F5678">
        <v>1</v>
      </c>
      <c r="G5678">
        <v>12702</v>
      </c>
      <c r="H5678" s="1">
        <v>4</v>
      </c>
      <c r="I5678">
        <v>14</v>
      </c>
      <c r="J5678">
        <f>IF($H5678=0,1,IF($I5678&lt;=1,2,0))</f>
        <v>0</v>
      </c>
      <c r="K5678">
        <v>0</v>
      </c>
      <c r="L5678">
        <f>IF(AND($J5678=0,$K5678=0),0,1)</f>
        <v>0</v>
      </c>
    </row>
    <row r="5679" spans="1:13" x14ac:dyDescent="0.2">
      <c r="A5679" t="s">
        <v>349</v>
      </c>
      <c r="B5679" t="s">
        <v>17</v>
      </c>
      <c r="C5679" t="s">
        <v>9</v>
      </c>
      <c r="D5679">
        <v>3724</v>
      </c>
      <c r="E5679">
        <v>2021</v>
      </c>
      <c r="F5679">
        <v>1</v>
      </c>
      <c r="G5679">
        <v>16088</v>
      </c>
      <c r="H5679" s="1">
        <v>4</v>
      </c>
      <c r="I5679">
        <v>14</v>
      </c>
      <c r="J5679">
        <f>IF($H5679=0,1,IF($I5679&lt;=1,2,0))</f>
        <v>0</v>
      </c>
      <c r="K5679">
        <v>0</v>
      </c>
      <c r="L5679">
        <f>IF(AND($J5679=0,$K5679=0),0,1)</f>
        <v>0</v>
      </c>
    </row>
    <row r="5680" spans="1:13" x14ac:dyDescent="0.2">
      <c r="A5680" t="s">
        <v>349</v>
      </c>
      <c r="B5680" t="s">
        <v>17</v>
      </c>
      <c r="C5680" t="s">
        <v>9</v>
      </c>
      <c r="D5680">
        <v>3805</v>
      </c>
      <c r="E5680">
        <v>2021</v>
      </c>
      <c r="F5680">
        <v>1</v>
      </c>
      <c r="G5680">
        <v>12719</v>
      </c>
      <c r="H5680" s="1">
        <v>4</v>
      </c>
      <c r="I5680">
        <v>15</v>
      </c>
      <c r="J5680">
        <f>IF($H5680=0,1,IF($I5680&lt;=1,2,0))</f>
        <v>0</v>
      </c>
      <c r="K5680">
        <v>0</v>
      </c>
      <c r="L5680">
        <f>IF(AND($J5680=0,$K5680=0),0,1)</f>
        <v>0</v>
      </c>
    </row>
    <row r="5681" spans="1:12" x14ac:dyDescent="0.2">
      <c r="A5681" t="s">
        <v>349</v>
      </c>
      <c r="B5681" t="s">
        <v>17</v>
      </c>
      <c r="C5681" t="s">
        <v>9</v>
      </c>
      <c r="D5681">
        <v>3850</v>
      </c>
      <c r="E5681">
        <v>2021</v>
      </c>
      <c r="F5681">
        <v>1</v>
      </c>
      <c r="G5681">
        <v>12685</v>
      </c>
      <c r="H5681" s="1">
        <v>4</v>
      </c>
      <c r="I5681">
        <v>8</v>
      </c>
      <c r="J5681">
        <f>IF($H5681=0,1,IF($I5681&lt;=1,2,0))</f>
        <v>0</v>
      </c>
      <c r="K5681">
        <v>0</v>
      </c>
      <c r="L5681">
        <f>IF(AND($J5681=0,$K5681=0),0,1)</f>
        <v>0</v>
      </c>
    </row>
    <row r="5682" spans="1:12" x14ac:dyDescent="0.2">
      <c r="A5682" t="s">
        <v>349</v>
      </c>
      <c r="B5682" t="s">
        <v>17</v>
      </c>
      <c r="C5682" t="s">
        <v>9</v>
      </c>
      <c r="D5682">
        <v>3994</v>
      </c>
      <c r="E5682">
        <v>2021</v>
      </c>
      <c r="F5682">
        <v>1</v>
      </c>
      <c r="G5682">
        <v>12688</v>
      </c>
      <c r="H5682" s="1">
        <v>4</v>
      </c>
      <c r="I5682">
        <v>9</v>
      </c>
      <c r="J5682">
        <f>IF($H5682=0,1,IF($I5682&lt;=1,2,0))</f>
        <v>0</v>
      </c>
      <c r="K5682">
        <v>0</v>
      </c>
      <c r="L5682">
        <f>IF(AND($J5682=0,$K5682=0),0,1)</f>
        <v>0</v>
      </c>
    </row>
    <row r="5683" spans="1:12" x14ac:dyDescent="0.2">
      <c r="A5683" t="s">
        <v>349</v>
      </c>
      <c r="B5683" t="s">
        <v>17</v>
      </c>
      <c r="C5683" t="s">
        <v>9</v>
      </c>
      <c r="D5683">
        <v>4209</v>
      </c>
      <c r="E5683">
        <v>2021</v>
      </c>
      <c r="F5683">
        <v>1</v>
      </c>
      <c r="G5683">
        <v>12678</v>
      </c>
      <c r="H5683" s="1">
        <v>3</v>
      </c>
      <c r="I5683">
        <v>42</v>
      </c>
      <c r="J5683">
        <f>IF($H5683=0,1,IF($I5683&lt;=1,2,0))</f>
        <v>0</v>
      </c>
      <c r="K5683">
        <v>0</v>
      </c>
      <c r="L5683">
        <f>IF(AND($J5683=0,$K5683=0),0,1)</f>
        <v>0</v>
      </c>
    </row>
    <row r="5684" spans="1:12" x14ac:dyDescent="0.2">
      <c r="A5684" t="s">
        <v>349</v>
      </c>
      <c r="B5684" t="s">
        <v>17</v>
      </c>
      <c r="C5684" t="s">
        <v>9</v>
      </c>
      <c r="D5684">
        <v>4402</v>
      </c>
      <c r="E5684">
        <v>2021</v>
      </c>
      <c r="F5684">
        <v>1</v>
      </c>
      <c r="G5684">
        <v>12690</v>
      </c>
      <c r="H5684" s="1">
        <v>3</v>
      </c>
      <c r="I5684">
        <v>30</v>
      </c>
      <c r="J5684">
        <f>IF($H5684=0,1,IF($I5684&lt;=1,2,0))</f>
        <v>0</v>
      </c>
      <c r="K5684">
        <v>0</v>
      </c>
      <c r="L5684">
        <f>IF(AND($J5684=0,$K5684=0),0,1)</f>
        <v>0</v>
      </c>
    </row>
    <row r="5685" spans="1:12" x14ac:dyDescent="0.2">
      <c r="A5685" t="s">
        <v>349</v>
      </c>
      <c r="B5685" t="s">
        <v>17</v>
      </c>
      <c r="C5685" t="s">
        <v>9</v>
      </c>
      <c r="D5685">
        <v>4612</v>
      </c>
      <c r="E5685">
        <v>2021</v>
      </c>
      <c r="F5685">
        <v>1</v>
      </c>
      <c r="G5685">
        <v>13527</v>
      </c>
      <c r="H5685" s="1">
        <v>3</v>
      </c>
      <c r="I5685">
        <v>35</v>
      </c>
      <c r="J5685">
        <f>IF($H5685=0,1,IF($I5685&lt;=1,2,0))</f>
        <v>0</v>
      </c>
      <c r="K5685">
        <v>0</v>
      </c>
      <c r="L5685">
        <f>IF(AND($J5685=0,$K5685=0),0,1)</f>
        <v>0</v>
      </c>
    </row>
    <row r="5686" spans="1:12" x14ac:dyDescent="0.2">
      <c r="A5686" t="s">
        <v>349</v>
      </c>
      <c r="B5686" t="s">
        <v>17</v>
      </c>
      <c r="C5686" t="s">
        <v>9</v>
      </c>
      <c r="D5686">
        <v>4702</v>
      </c>
      <c r="E5686">
        <v>2021</v>
      </c>
      <c r="F5686">
        <v>1</v>
      </c>
      <c r="G5686">
        <v>12683</v>
      </c>
      <c r="H5686" s="1">
        <v>3</v>
      </c>
      <c r="I5686">
        <v>10</v>
      </c>
      <c r="J5686">
        <f>IF($H5686=0,1,IF($I5686&lt;=1,2,0))</f>
        <v>0</v>
      </c>
      <c r="K5686">
        <v>0</v>
      </c>
      <c r="L5686">
        <f>IF(AND($J5686=0,$K5686=0),0,1)</f>
        <v>0</v>
      </c>
    </row>
    <row r="5687" spans="1:12" x14ac:dyDescent="0.2">
      <c r="A5687" t="s">
        <v>349</v>
      </c>
      <c r="B5687" t="s">
        <v>17</v>
      </c>
      <c r="C5687" t="s">
        <v>9</v>
      </c>
      <c r="D5687">
        <v>4901</v>
      </c>
      <c r="E5687">
        <v>2021</v>
      </c>
      <c r="F5687">
        <v>1</v>
      </c>
      <c r="G5687">
        <v>13529</v>
      </c>
      <c r="H5687" s="1">
        <v>3</v>
      </c>
      <c r="I5687">
        <v>20</v>
      </c>
      <c r="J5687">
        <f>IF($H5687=0,1,IF($I5687&lt;=1,2,0))</f>
        <v>0</v>
      </c>
      <c r="K5687">
        <v>0</v>
      </c>
      <c r="L5687">
        <f>IF(AND($J5687=0,$K5687=0),0,1)</f>
        <v>0</v>
      </c>
    </row>
    <row r="5688" spans="1:12" x14ac:dyDescent="0.2">
      <c r="A5688" t="s">
        <v>349</v>
      </c>
      <c r="B5688" t="s">
        <v>17</v>
      </c>
      <c r="C5688" t="s">
        <v>9</v>
      </c>
      <c r="D5688">
        <v>4934</v>
      </c>
      <c r="E5688">
        <v>2021</v>
      </c>
      <c r="F5688">
        <v>1</v>
      </c>
      <c r="G5688">
        <v>18222</v>
      </c>
      <c r="H5688" s="1">
        <v>4</v>
      </c>
      <c r="I5688">
        <v>16</v>
      </c>
      <c r="J5688">
        <f>IF($H5688=0,1,IF($I5688&lt;=1,2,0))</f>
        <v>0</v>
      </c>
      <c r="K5688">
        <v>0</v>
      </c>
      <c r="L5688">
        <f>IF(AND($J5688=0,$K5688=0),0,1)</f>
        <v>0</v>
      </c>
    </row>
    <row r="5689" spans="1:12" x14ac:dyDescent="0.2">
      <c r="A5689" t="s">
        <v>349</v>
      </c>
      <c r="B5689" t="s">
        <v>17</v>
      </c>
      <c r="C5689" t="s">
        <v>9</v>
      </c>
      <c r="D5689">
        <v>6296</v>
      </c>
      <c r="E5689">
        <v>2021</v>
      </c>
      <c r="F5689">
        <v>1</v>
      </c>
      <c r="G5689">
        <v>12682</v>
      </c>
      <c r="H5689" s="1">
        <v>4</v>
      </c>
      <c r="I5689">
        <v>14</v>
      </c>
      <c r="J5689">
        <f>IF($H5689=0,1,IF($I5689&lt;=1,2,0))</f>
        <v>0</v>
      </c>
      <c r="K5689">
        <v>0</v>
      </c>
      <c r="L5689">
        <f>IF(AND($J5689=0,$K5689=0),0,1)</f>
        <v>0</v>
      </c>
    </row>
    <row r="5690" spans="1:12" x14ac:dyDescent="0.2">
      <c r="A5690" t="s">
        <v>349</v>
      </c>
      <c r="B5690" t="s">
        <v>17</v>
      </c>
      <c r="C5690" t="s">
        <v>9</v>
      </c>
      <c r="D5690">
        <v>6394</v>
      </c>
      <c r="E5690">
        <v>2021</v>
      </c>
      <c r="F5690">
        <v>1</v>
      </c>
      <c r="G5690">
        <v>14945</v>
      </c>
      <c r="H5690" s="1">
        <v>4</v>
      </c>
      <c r="I5690">
        <v>6</v>
      </c>
      <c r="J5690">
        <f>IF($H5690=0,1,IF($I5690&lt;=1,2,0))</f>
        <v>0</v>
      </c>
      <c r="K5690">
        <v>0</v>
      </c>
      <c r="L5690">
        <f>IF(AND($J5690=0,$K5690=0),0,1)</f>
        <v>0</v>
      </c>
    </row>
    <row r="5691" spans="1:12" x14ac:dyDescent="0.2">
      <c r="A5691" t="s">
        <v>349</v>
      </c>
      <c r="B5691" t="s">
        <v>17</v>
      </c>
      <c r="C5691" t="s">
        <v>11</v>
      </c>
      <c r="D5691">
        <v>6746</v>
      </c>
      <c r="E5691">
        <v>2021</v>
      </c>
      <c r="F5691">
        <v>1</v>
      </c>
      <c r="G5691">
        <v>18293</v>
      </c>
      <c r="H5691" s="1">
        <v>4</v>
      </c>
      <c r="I5691">
        <v>11</v>
      </c>
      <c r="J5691">
        <f>IF($H5691=0,1,IF($I5691&lt;=1,2,0))</f>
        <v>0</v>
      </c>
      <c r="K5691">
        <v>0</v>
      </c>
      <c r="L5691">
        <f>IF(AND($J5691=0,$K5691=0),0,1)</f>
        <v>0</v>
      </c>
    </row>
    <row r="5692" spans="1:12" x14ac:dyDescent="0.2">
      <c r="A5692" t="s">
        <v>349</v>
      </c>
      <c r="B5692" t="s">
        <v>17</v>
      </c>
      <c r="C5692" t="s">
        <v>11</v>
      </c>
      <c r="D5692">
        <v>6802</v>
      </c>
      <c r="E5692">
        <v>2021</v>
      </c>
      <c r="F5692">
        <v>1</v>
      </c>
      <c r="G5692">
        <v>12692</v>
      </c>
      <c r="H5692" s="1">
        <v>4</v>
      </c>
      <c r="I5692">
        <v>30</v>
      </c>
      <c r="J5692">
        <f>IF($H5692=0,1,IF($I5692&lt;=1,2,0))</f>
        <v>0</v>
      </c>
      <c r="K5692">
        <v>0</v>
      </c>
      <c r="L5692">
        <f>IF(AND($J5692=0,$K5692=0),0,1)</f>
        <v>0</v>
      </c>
    </row>
    <row r="5693" spans="1:12" x14ac:dyDescent="0.2">
      <c r="A5693" t="s">
        <v>349</v>
      </c>
      <c r="B5693" t="s">
        <v>17</v>
      </c>
      <c r="C5693" t="s">
        <v>11</v>
      </c>
      <c r="D5693">
        <v>6909</v>
      </c>
      <c r="E5693">
        <v>2021</v>
      </c>
      <c r="F5693">
        <v>1</v>
      </c>
      <c r="G5693">
        <v>14102</v>
      </c>
      <c r="H5693" s="1">
        <v>4</v>
      </c>
      <c r="I5693">
        <v>5</v>
      </c>
      <c r="J5693">
        <f>IF($H5693=0,1,IF($I5693&lt;=1,2,0))</f>
        <v>0</v>
      </c>
      <c r="K5693">
        <v>0</v>
      </c>
      <c r="L5693">
        <f>IF(AND($J5693=0,$K5693=0),0,1)</f>
        <v>0</v>
      </c>
    </row>
    <row r="5694" spans="1:12" x14ac:dyDescent="0.2">
      <c r="A5694" t="s">
        <v>349</v>
      </c>
      <c r="B5694" t="s">
        <v>17</v>
      </c>
      <c r="C5694" t="s">
        <v>11</v>
      </c>
      <c r="D5694">
        <v>6932</v>
      </c>
      <c r="E5694">
        <v>2021</v>
      </c>
      <c r="F5694">
        <v>1</v>
      </c>
      <c r="G5694">
        <v>17499</v>
      </c>
      <c r="H5694" s="1">
        <v>4</v>
      </c>
      <c r="I5694">
        <v>9</v>
      </c>
      <c r="J5694">
        <f>IF($H5694=0,1,IF($I5694&lt;=1,2,0))</f>
        <v>0</v>
      </c>
      <c r="K5694">
        <v>0</v>
      </c>
      <c r="L5694">
        <f>IF(AND($J5694=0,$K5694=0),0,1)</f>
        <v>0</v>
      </c>
    </row>
    <row r="5695" spans="1:12" x14ac:dyDescent="0.2">
      <c r="A5695" t="s">
        <v>375</v>
      </c>
      <c r="B5695" t="s">
        <v>71</v>
      </c>
      <c r="C5695" t="s">
        <v>72</v>
      </c>
      <c r="D5695">
        <v>3105</v>
      </c>
      <c r="E5695">
        <v>2021</v>
      </c>
      <c r="F5695">
        <v>1</v>
      </c>
      <c r="G5695">
        <v>12863</v>
      </c>
      <c r="H5695" s="1">
        <v>4</v>
      </c>
      <c r="I5695">
        <v>30</v>
      </c>
      <c r="J5695">
        <f>IF($H5695=0,1,IF($I5695&lt;=1,2,0))</f>
        <v>0</v>
      </c>
      <c r="K5695">
        <v>0</v>
      </c>
      <c r="L5695">
        <f>IF(AND($J5695=0,$K5695=0),0,1)</f>
        <v>0</v>
      </c>
    </row>
    <row r="5696" spans="1:12" x14ac:dyDescent="0.2">
      <c r="A5696" t="s">
        <v>375</v>
      </c>
      <c r="B5696" t="s">
        <v>71</v>
      </c>
      <c r="C5696" t="s">
        <v>72</v>
      </c>
      <c r="D5696">
        <v>3113</v>
      </c>
      <c r="E5696">
        <v>2021</v>
      </c>
      <c r="F5696">
        <v>1</v>
      </c>
      <c r="G5696">
        <v>12864</v>
      </c>
      <c r="H5696" s="1">
        <v>3</v>
      </c>
      <c r="I5696">
        <v>110</v>
      </c>
      <c r="J5696">
        <f>IF($H5696=0,1,IF($I5696&lt;=1,2,0))</f>
        <v>0</v>
      </c>
      <c r="K5696">
        <v>0</v>
      </c>
      <c r="L5696">
        <f>IF(AND($J5696=0,$K5696=0),0,1)</f>
        <v>0</v>
      </c>
    </row>
    <row r="5697" spans="1:13" x14ac:dyDescent="0.2">
      <c r="A5697" t="s">
        <v>375</v>
      </c>
      <c r="B5697" t="s">
        <v>71</v>
      </c>
      <c r="C5697" t="s">
        <v>72</v>
      </c>
      <c r="D5697">
        <v>3161</v>
      </c>
      <c r="E5697">
        <v>2021</v>
      </c>
      <c r="F5697">
        <v>1</v>
      </c>
      <c r="G5697">
        <v>12865</v>
      </c>
      <c r="H5697" s="1">
        <v>4</v>
      </c>
      <c r="I5697">
        <v>33</v>
      </c>
      <c r="J5697">
        <f>IF($H5697=0,1,IF($I5697&lt;=1,2,0))</f>
        <v>0</v>
      </c>
      <c r="K5697">
        <v>0</v>
      </c>
      <c r="L5697">
        <f>IF(AND($J5697=0,$K5697=0),0,1)</f>
        <v>0</v>
      </c>
      <c r="M5697" t="s">
        <v>1534</v>
      </c>
    </row>
    <row r="5698" spans="1:13" x14ac:dyDescent="0.2">
      <c r="A5698" t="s">
        <v>375</v>
      </c>
      <c r="B5698" t="s">
        <v>71</v>
      </c>
      <c r="C5698" t="s">
        <v>72</v>
      </c>
      <c r="D5698">
        <v>3332</v>
      </c>
      <c r="E5698">
        <v>2021</v>
      </c>
      <c r="F5698">
        <v>1</v>
      </c>
      <c r="G5698">
        <v>12866</v>
      </c>
      <c r="H5698" s="1">
        <v>3</v>
      </c>
      <c r="I5698">
        <v>10</v>
      </c>
      <c r="J5698">
        <f>IF($H5698=0,1,IF($I5698&lt;=1,2,0))</f>
        <v>0</v>
      </c>
      <c r="K5698">
        <v>0</v>
      </c>
      <c r="L5698">
        <f>IF(AND($J5698=0,$K5698=0),0,1)</f>
        <v>0</v>
      </c>
    </row>
    <row r="5699" spans="1:13" x14ac:dyDescent="0.2">
      <c r="A5699" t="s">
        <v>375</v>
      </c>
      <c r="B5699" t="s">
        <v>71</v>
      </c>
      <c r="C5699" t="s">
        <v>72</v>
      </c>
      <c r="D5699">
        <v>4114</v>
      </c>
      <c r="E5699">
        <v>2021</v>
      </c>
      <c r="F5699">
        <v>1</v>
      </c>
      <c r="G5699">
        <v>12867</v>
      </c>
      <c r="H5699" s="1">
        <v>3</v>
      </c>
      <c r="I5699">
        <v>8</v>
      </c>
      <c r="J5699">
        <f>IF($H5699=0,1,IF($I5699&lt;=1,2,0))</f>
        <v>0</v>
      </c>
      <c r="K5699">
        <v>0</v>
      </c>
      <c r="L5699">
        <f>IF(AND($J5699=0,$K5699=0),0,1)</f>
        <v>0</v>
      </c>
    </row>
    <row r="5700" spans="1:13" x14ac:dyDescent="0.2">
      <c r="A5700" t="s">
        <v>375</v>
      </c>
      <c r="B5700" t="s">
        <v>71</v>
      </c>
      <c r="C5700" t="s">
        <v>72</v>
      </c>
      <c r="D5700">
        <v>4215</v>
      </c>
      <c r="E5700">
        <v>2021</v>
      </c>
      <c r="F5700">
        <v>1</v>
      </c>
      <c r="G5700">
        <v>12868</v>
      </c>
      <c r="H5700" s="1">
        <v>3</v>
      </c>
      <c r="I5700">
        <v>15</v>
      </c>
      <c r="J5700">
        <f>IF($H5700=0,1,IF($I5700&lt;=1,2,0))</f>
        <v>0</v>
      </c>
      <c r="K5700">
        <v>0</v>
      </c>
      <c r="L5700">
        <f>IF(AND($J5700=0,$K5700=0),0,1)</f>
        <v>0</v>
      </c>
    </row>
    <row r="5701" spans="1:13" x14ac:dyDescent="0.2">
      <c r="A5701" t="s">
        <v>375</v>
      </c>
      <c r="B5701" t="s">
        <v>71</v>
      </c>
      <c r="C5701" t="s">
        <v>72</v>
      </c>
      <c r="D5701">
        <v>4332</v>
      </c>
      <c r="E5701">
        <v>2021</v>
      </c>
      <c r="F5701">
        <v>1</v>
      </c>
      <c r="G5701">
        <v>12869</v>
      </c>
      <c r="H5701" s="1">
        <v>3</v>
      </c>
      <c r="I5701">
        <v>50</v>
      </c>
      <c r="J5701">
        <f>IF($H5701=0,1,IF($I5701&lt;=1,2,0))</f>
        <v>0</v>
      </c>
      <c r="K5701">
        <v>0</v>
      </c>
      <c r="L5701">
        <f>IF(AND($J5701=0,$K5701=0),0,1)</f>
        <v>0</v>
      </c>
    </row>
    <row r="5702" spans="1:13" x14ac:dyDescent="0.2">
      <c r="A5702" t="s">
        <v>375</v>
      </c>
      <c r="B5702" t="s">
        <v>71</v>
      </c>
      <c r="C5702" t="s">
        <v>72</v>
      </c>
      <c r="D5702">
        <v>6215</v>
      </c>
      <c r="E5702">
        <v>2021</v>
      </c>
      <c r="F5702">
        <v>1</v>
      </c>
      <c r="G5702">
        <v>12870</v>
      </c>
      <c r="H5702" s="1">
        <v>3</v>
      </c>
      <c r="I5702">
        <v>3</v>
      </c>
      <c r="J5702">
        <f>IF($H5702=0,1,IF($I5702&lt;=1,2,0))</f>
        <v>0</v>
      </c>
      <c r="K5702">
        <v>0</v>
      </c>
      <c r="L5702">
        <f>IF(AND($J5702=0,$K5702=0),0,1)</f>
        <v>0</v>
      </c>
    </row>
    <row r="5703" spans="1:13" x14ac:dyDescent="0.2">
      <c r="A5703" t="s">
        <v>375</v>
      </c>
      <c r="B5703" t="s">
        <v>71</v>
      </c>
      <c r="C5703" t="s">
        <v>72</v>
      </c>
      <c r="D5703">
        <v>8320</v>
      </c>
      <c r="E5703">
        <v>2021</v>
      </c>
      <c r="F5703">
        <v>1</v>
      </c>
      <c r="G5703">
        <v>13538</v>
      </c>
      <c r="H5703" s="1">
        <v>4</v>
      </c>
      <c r="I5703">
        <v>2</v>
      </c>
      <c r="J5703">
        <f>IF($H5703=0,1,IF($I5703&lt;=1,2,0))</f>
        <v>0</v>
      </c>
      <c r="K5703">
        <v>0</v>
      </c>
      <c r="L5703">
        <f>IF(AND($J5703=0,$K5703=0),0,1)</f>
        <v>0</v>
      </c>
    </row>
    <row r="5704" spans="1:13" x14ac:dyDescent="0.2">
      <c r="A5704" t="s">
        <v>377</v>
      </c>
      <c r="B5704" t="s">
        <v>17</v>
      </c>
      <c r="C5704" t="s">
        <v>9</v>
      </c>
      <c r="D5704">
        <v>3340</v>
      </c>
      <c r="E5704">
        <v>2021</v>
      </c>
      <c r="F5704">
        <v>1</v>
      </c>
      <c r="G5704">
        <v>12711</v>
      </c>
      <c r="H5704" s="1">
        <v>4</v>
      </c>
      <c r="I5704">
        <v>13</v>
      </c>
      <c r="J5704">
        <f>IF($H5704=0,1,IF($I5704&lt;=1,2,0))</f>
        <v>0</v>
      </c>
      <c r="K5704">
        <v>0</v>
      </c>
      <c r="L5704">
        <f>IF(AND($J5704=0,$K5704=0),0,1)</f>
        <v>0</v>
      </c>
    </row>
    <row r="5705" spans="1:13" x14ac:dyDescent="0.2">
      <c r="A5705" t="s">
        <v>377</v>
      </c>
      <c r="B5705" t="s">
        <v>17</v>
      </c>
      <c r="C5705" t="s">
        <v>9</v>
      </c>
      <c r="D5705">
        <v>3701</v>
      </c>
      <c r="E5705">
        <v>2021</v>
      </c>
      <c r="F5705">
        <v>1</v>
      </c>
      <c r="G5705">
        <v>12723</v>
      </c>
      <c r="H5705" s="1">
        <v>4</v>
      </c>
      <c r="I5705">
        <v>13</v>
      </c>
      <c r="J5705">
        <f>IF($H5705=0,1,IF($I5705&lt;=1,2,0))</f>
        <v>0</v>
      </c>
      <c r="K5705">
        <v>0</v>
      </c>
      <c r="L5705">
        <f>IF(AND($J5705=0,$K5705=0),0,1)</f>
        <v>0</v>
      </c>
    </row>
    <row r="5706" spans="1:13" x14ac:dyDescent="0.2">
      <c r="A5706" t="s">
        <v>377</v>
      </c>
      <c r="B5706" t="s">
        <v>17</v>
      </c>
      <c r="C5706" t="s">
        <v>9</v>
      </c>
      <c r="D5706">
        <v>4672</v>
      </c>
      <c r="E5706">
        <v>2021</v>
      </c>
      <c r="F5706">
        <v>1</v>
      </c>
      <c r="G5706">
        <v>13290</v>
      </c>
      <c r="H5706" s="1">
        <v>3</v>
      </c>
      <c r="I5706">
        <v>8</v>
      </c>
      <c r="J5706">
        <f>IF($H5706=0,1,IF($I5706&lt;=1,2,0))</f>
        <v>0</v>
      </c>
      <c r="K5706">
        <v>0</v>
      </c>
      <c r="L5706">
        <f>IF(AND($J5706=0,$K5706=0),0,1)</f>
        <v>0</v>
      </c>
    </row>
    <row r="5707" spans="1:13" x14ac:dyDescent="0.2">
      <c r="A5707" t="s">
        <v>385</v>
      </c>
      <c r="B5707" t="s">
        <v>386</v>
      </c>
      <c r="C5707" t="s">
        <v>9</v>
      </c>
      <c r="D5707">
        <v>1000</v>
      </c>
      <c r="E5707">
        <v>2021</v>
      </c>
      <c r="F5707">
        <v>1</v>
      </c>
      <c r="G5707">
        <v>11785</v>
      </c>
      <c r="H5707" s="1">
        <v>3</v>
      </c>
      <c r="I5707">
        <v>97</v>
      </c>
      <c r="J5707">
        <f>IF($H5707=0,1,IF($I5707&lt;=1,2,0))</f>
        <v>0</v>
      </c>
      <c r="K5707">
        <v>0</v>
      </c>
      <c r="L5707">
        <f>IF(AND($J5707=0,$K5707=0),0,1)</f>
        <v>0</v>
      </c>
      <c r="M5707" t="s">
        <v>387</v>
      </c>
    </row>
    <row r="5708" spans="1:13" x14ac:dyDescent="0.2">
      <c r="A5708" t="s">
        <v>385</v>
      </c>
      <c r="B5708" t="s">
        <v>386</v>
      </c>
      <c r="C5708" t="s">
        <v>9</v>
      </c>
      <c r="D5708">
        <v>2020</v>
      </c>
      <c r="E5708">
        <v>2021</v>
      </c>
      <c r="F5708">
        <v>1</v>
      </c>
      <c r="G5708">
        <v>11796</v>
      </c>
      <c r="H5708" s="1">
        <v>3</v>
      </c>
      <c r="I5708">
        <v>54</v>
      </c>
      <c r="J5708">
        <f>IF($H5708=0,1,IF($I5708&lt;=1,2,0))</f>
        <v>0</v>
      </c>
      <c r="K5708">
        <v>0</v>
      </c>
      <c r="L5708">
        <f>IF(AND($J5708=0,$K5708=0),0,1)</f>
        <v>0</v>
      </c>
      <c r="M5708" t="s">
        <v>394</v>
      </c>
    </row>
    <row r="5709" spans="1:13" x14ac:dyDescent="0.2">
      <c r="A5709" t="s">
        <v>385</v>
      </c>
      <c r="B5709" t="s">
        <v>386</v>
      </c>
      <c r="C5709" t="s">
        <v>9</v>
      </c>
      <c r="D5709">
        <v>2030</v>
      </c>
      <c r="E5709">
        <v>2021</v>
      </c>
      <c r="F5709">
        <v>1</v>
      </c>
      <c r="G5709">
        <v>11809</v>
      </c>
      <c r="H5709" s="1">
        <v>3</v>
      </c>
      <c r="I5709">
        <v>46</v>
      </c>
      <c r="J5709">
        <f>IF($H5709=0,1,IF($I5709&lt;=1,2,0))</f>
        <v>0</v>
      </c>
      <c r="K5709">
        <v>0</v>
      </c>
      <c r="L5709">
        <f>IF(AND($J5709=0,$K5709=0),0,1)</f>
        <v>0</v>
      </c>
      <c r="M5709" t="s">
        <v>395</v>
      </c>
    </row>
    <row r="5710" spans="1:13" x14ac:dyDescent="0.2">
      <c r="A5710" t="s">
        <v>385</v>
      </c>
      <c r="B5710" t="s">
        <v>386</v>
      </c>
      <c r="C5710" t="s">
        <v>9</v>
      </c>
      <c r="D5710">
        <v>2190</v>
      </c>
      <c r="E5710">
        <v>2021</v>
      </c>
      <c r="F5710">
        <v>1</v>
      </c>
      <c r="G5710">
        <v>11814</v>
      </c>
      <c r="H5710" s="1">
        <v>3</v>
      </c>
      <c r="I5710">
        <v>37</v>
      </c>
      <c r="J5710">
        <f>IF($H5710=0,1,IF($I5710&lt;=1,2,0))</f>
        <v>0</v>
      </c>
      <c r="K5710">
        <v>0</v>
      </c>
      <c r="L5710">
        <f>IF(AND($J5710=0,$K5710=0),0,1)</f>
        <v>0</v>
      </c>
      <c r="M5710" t="s">
        <v>1538</v>
      </c>
    </row>
    <row r="5711" spans="1:13" x14ac:dyDescent="0.2">
      <c r="A5711" t="s">
        <v>385</v>
      </c>
      <c r="B5711" t="s">
        <v>386</v>
      </c>
      <c r="C5711" t="s">
        <v>9</v>
      </c>
      <c r="D5711">
        <v>2410</v>
      </c>
      <c r="E5711">
        <v>2021</v>
      </c>
      <c r="F5711">
        <v>1</v>
      </c>
      <c r="G5711">
        <v>11821</v>
      </c>
      <c r="H5711" s="1">
        <v>3</v>
      </c>
      <c r="I5711">
        <v>12</v>
      </c>
      <c r="J5711">
        <f>IF($H5711=0,1,IF($I5711&lt;=1,2,0))</f>
        <v>0</v>
      </c>
      <c r="K5711">
        <v>0</v>
      </c>
      <c r="L5711">
        <f>IF(AND($J5711=0,$K5711=0),0,1)</f>
        <v>0</v>
      </c>
    </row>
    <row r="5712" spans="1:13" x14ac:dyDescent="0.2">
      <c r="A5712" t="s">
        <v>385</v>
      </c>
      <c r="B5712" t="s">
        <v>386</v>
      </c>
      <c r="C5712" t="s">
        <v>9</v>
      </c>
      <c r="D5712">
        <v>2420</v>
      </c>
      <c r="E5712">
        <v>2021</v>
      </c>
      <c r="F5712">
        <v>1</v>
      </c>
      <c r="G5712">
        <v>13944</v>
      </c>
      <c r="H5712" s="1">
        <v>3</v>
      </c>
      <c r="I5712">
        <v>7</v>
      </c>
      <c r="J5712">
        <f>IF($H5712=0,1,IF($I5712&lt;=1,2,0))</f>
        <v>0</v>
      </c>
      <c r="K5712">
        <v>0</v>
      </c>
      <c r="L5712">
        <f>IF(AND($J5712=0,$K5712=0),0,1)</f>
        <v>0</v>
      </c>
      <c r="M5712" t="s">
        <v>399</v>
      </c>
    </row>
    <row r="5713" spans="1:13" x14ac:dyDescent="0.2">
      <c r="A5713" t="s">
        <v>385</v>
      </c>
      <c r="B5713" t="s">
        <v>386</v>
      </c>
      <c r="C5713" t="s">
        <v>9</v>
      </c>
      <c r="D5713">
        <v>2420</v>
      </c>
      <c r="E5713">
        <v>2021</v>
      </c>
      <c r="F5713">
        <v>2</v>
      </c>
      <c r="G5713">
        <v>13945</v>
      </c>
      <c r="H5713" s="1">
        <v>3</v>
      </c>
      <c r="I5713">
        <v>5</v>
      </c>
      <c r="J5713">
        <f>IF($H5713=0,1,IF($I5713&lt;=1,2,0))</f>
        <v>0</v>
      </c>
      <c r="K5713">
        <v>0</v>
      </c>
      <c r="L5713">
        <f>IF(AND($J5713=0,$K5713=0),0,1)</f>
        <v>0</v>
      </c>
      <c r="M5713" t="s">
        <v>399</v>
      </c>
    </row>
    <row r="5714" spans="1:13" x14ac:dyDescent="0.2">
      <c r="A5714" t="s">
        <v>385</v>
      </c>
      <c r="B5714" t="s">
        <v>386</v>
      </c>
      <c r="C5714" t="s">
        <v>9</v>
      </c>
      <c r="D5714">
        <v>2510</v>
      </c>
      <c r="E5714">
        <v>2021</v>
      </c>
      <c r="F5714">
        <v>1</v>
      </c>
      <c r="G5714">
        <v>20125</v>
      </c>
      <c r="H5714" s="1">
        <v>3</v>
      </c>
      <c r="I5714">
        <v>12</v>
      </c>
      <c r="J5714">
        <f>IF($H5714=0,1,IF($I5714&lt;=1,2,0))</f>
        <v>0</v>
      </c>
      <c r="K5714">
        <v>0</v>
      </c>
      <c r="L5714">
        <f>IF(AND($J5714=0,$K5714=0),0,1)</f>
        <v>0</v>
      </c>
      <c r="M5714" t="s">
        <v>1541</v>
      </c>
    </row>
    <row r="5715" spans="1:13" x14ac:dyDescent="0.2">
      <c r="A5715" t="s">
        <v>385</v>
      </c>
      <c r="B5715" t="s">
        <v>386</v>
      </c>
      <c r="C5715" t="s">
        <v>9</v>
      </c>
      <c r="D5715">
        <v>3900</v>
      </c>
      <c r="E5715">
        <v>2021</v>
      </c>
      <c r="F5715">
        <v>1</v>
      </c>
      <c r="G5715">
        <v>11822</v>
      </c>
      <c r="H5715" s="1">
        <v>3</v>
      </c>
      <c r="I5715">
        <v>9</v>
      </c>
      <c r="J5715">
        <f>IF($H5715=0,1,IF($I5715&lt;=1,2,0))</f>
        <v>0</v>
      </c>
      <c r="K5715">
        <v>0</v>
      </c>
      <c r="L5715">
        <f>IF(AND($J5715=0,$K5715=0),0,1)</f>
        <v>0</v>
      </c>
      <c r="M5715" t="s">
        <v>1036</v>
      </c>
    </row>
    <row r="5716" spans="1:13" x14ac:dyDescent="0.2">
      <c r="A5716" t="s">
        <v>385</v>
      </c>
      <c r="B5716" t="s">
        <v>386</v>
      </c>
      <c r="C5716" t="s">
        <v>9</v>
      </c>
      <c r="D5716">
        <v>3920</v>
      </c>
      <c r="E5716">
        <v>2021</v>
      </c>
      <c r="F5716">
        <v>1</v>
      </c>
      <c r="G5716">
        <v>13947</v>
      </c>
      <c r="H5716" s="1">
        <v>3</v>
      </c>
      <c r="I5716">
        <v>15</v>
      </c>
      <c r="J5716">
        <f>IF($H5716=0,1,IF($I5716&lt;=1,2,0))</f>
        <v>0</v>
      </c>
      <c r="K5716">
        <v>0</v>
      </c>
      <c r="L5716">
        <f>IF(AND($J5716=0,$K5716=0),0,1)</f>
        <v>0</v>
      </c>
      <c r="M5716" t="s">
        <v>1036</v>
      </c>
    </row>
    <row r="5717" spans="1:13" x14ac:dyDescent="0.2">
      <c r="A5717" t="s">
        <v>385</v>
      </c>
      <c r="B5717" t="s">
        <v>386</v>
      </c>
      <c r="C5717" t="s">
        <v>34</v>
      </c>
      <c r="D5717">
        <v>4000</v>
      </c>
      <c r="E5717">
        <v>2021</v>
      </c>
      <c r="F5717">
        <v>1</v>
      </c>
      <c r="G5717">
        <v>12108</v>
      </c>
      <c r="H5717" s="1">
        <v>3</v>
      </c>
      <c r="I5717">
        <v>69</v>
      </c>
      <c r="J5717">
        <f>IF($H5717=0,1,IF($I5717&lt;=1,2,0))</f>
        <v>0</v>
      </c>
      <c r="K5717">
        <v>0</v>
      </c>
      <c r="L5717">
        <f>IF(AND($J5717=0,$K5717=0),0,1)</f>
        <v>0</v>
      </c>
      <c r="M5717" t="s">
        <v>404</v>
      </c>
    </row>
    <row r="5718" spans="1:13" x14ac:dyDescent="0.2">
      <c r="A5718" t="s">
        <v>385</v>
      </c>
      <c r="B5718" t="s">
        <v>386</v>
      </c>
      <c r="C5718" t="s">
        <v>9</v>
      </c>
      <c r="D5718">
        <v>4020</v>
      </c>
      <c r="E5718">
        <v>2021</v>
      </c>
      <c r="F5718">
        <v>1</v>
      </c>
      <c r="G5718">
        <v>16408</v>
      </c>
      <c r="H5718" s="1">
        <v>3</v>
      </c>
      <c r="I5718">
        <v>23</v>
      </c>
      <c r="J5718">
        <f>IF($H5718=0,1,IF($I5718&lt;=1,2,0))</f>
        <v>0</v>
      </c>
      <c r="K5718">
        <v>0</v>
      </c>
      <c r="L5718">
        <f>IF(AND($J5718=0,$K5718=0),0,1)</f>
        <v>0</v>
      </c>
      <c r="M5718" t="s">
        <v>1544</v>
      </c>
    </row>
    <row r="5719" spans="1:13" x14ac:dyDescent="0.2">
      <c r="A5719" t="s">
        <v>385</v>
      </c>
      <c r="B5719" t="s">
        <v>386</v>
      </c>
      <c r="C5719" t="s">
        <v>9</v>
      </c>
      <c r="D5719">
        <v>4920</v>
      </c>
      <c r="E5719">
        <v>2021</v>
      </c>
      <c r="F5719">
        <v>1</v>
      </c>
      <c r="G5719">
        <v>11823</v>
      </c>
      <c r="H5719" s="1">
        <v>3</v>
      </c>
      <c r="I5719">
        <v>11</v>
      </c>
      <c r="J5719">
        <f>IF($H5719=0,1,IF($I5719&lt;=1,2,0))</f>
        <v>0</v>
      </c>
      <c r="K5719">
        <v>0</v>
      </c>
      <c r="L5719">
        <f>IF(AND($J5719=0,$K5719=0),0,1)</f>
        <v>0</v>
      </c>
      <c r="M5719" t="s">
        <v>1546</v>
      </c>
    </row>
    <row r="5720" spans="1:13" x14ac:dyDescent="0.2">
      <c r="A5720" t="s">
        <v>385</v>
      </c>
      <c r="B5720" t="s">
        <v>386</v>
      </c>
      <c r="C5720" t="s">
        <v>9</v>
      </c>
      <c r="D5720">
        <v>4951</v>
      </c>
      <c r="E5720">
        <v>2021</v>
      </c>
      <c r="F5720">
        <v>1</v>
      </c>
      <c r="G5720">
        <v>11824</v>
      </c>
      <c r="H5720" s="1">
        <v>3</v>
      </c>
      <c r="I5720">
        <v>20</v>
      </c>
      <c r="J5720">
        <f>IF($H5720=0,1,IF($I5720&lt;=1,2,0))</f>
        <v>0</v>
      </c>
      <c r="K5720">
        <v>0</v>
      </c>
      <c r="L5720">
        <f>IF(AND($J5720=0,$K5720=0),0,1)</f>
        <v>0</v>
      </c>
    </row>
    <row r="5721" spans="1:13" x14ac:dyDescent="0.2">
      <c r="A5721" t="s">
        <v>385</v>
      </c>
      <c r="B5721" t="s">
        <v>386</v>
      </c>
      <c r="C5721" t="s">
        <v>9</v>
      </c>
      <c r="D5721">
        <v>5015</v>
      </c>
      <c r="E5721">
        <v>2021</v>
      </c>
      <c r="F5721">
        <v>1</v>
      </c>
      <c r="G5721">
        <v>11805</v>
      </c>
      <c r="H5721" s="1">
        <v>3</v>
      </c>
      <c r="I5721">
        <v>3</v>
      </c>
      <c r="J5721">
        <f>IF($H5721=0,1,IF($I5721&lt;=1,2,0))</f>
        <v>0</v>
      </c>
      <c r="K5721">
        <v>0</v>
      </c>
      <c r="L5721">
        <f>IF(AND($J5721=0,$K5721=0),0,1)</f>
        <v>0</v>
      </c>
    </row>
    <row r="5722" spans="1:13" x14ac:dyDescent="0.2">
      <c r="A5722" t="s">
        <v>385</v>
      </c>
      <c r="B5722" t="s">
        <v>386</v>
      </c>
      <c r="C5722" t="s">
        <v>9</v>
      </c>
      <c r="D5722">
        <v>5020</v>
      </c>
      <c r="E5722">
        <v>2021</v>
      </c>
      <c r="F5722">
        <v>1</v>
      </c>
      <c r="G5722">
        <v>11808</v>
      </c>
      <c r="H5722" s="1">
        <v>3</v>
      </c>
      <c r="I5722">
        <v>5</v>
      </c>
      <c r="J5722">
        <f>IF($H5722=0,1,IF($I5722&lt;=1,2,0))</f>
        <v>0</v>
      </c>
      <c r="K5722">
        <v>0</v>
      </c>
      <c r="L5722">
        <f>IF(AND($J5722=0,$K5722=0),0,1)</f>
        <v>0</v>
      </c>
    </row>
    <row r="5723" spans="1:13" x14ac:dyDescent="0.2">
      <c r="A5723" t="s">
        <v>385</v>
      </c>
      <c r="B5723" t="s">
        <v>386</v>
      </c>
      <c r="C5723" t="s">
        <v>407</v>
      </c>
      <c r="D5723">
        <v>5040</v>
      </c>
      <c r="E5723">
        <v>2021</v>
      </c>
      <c r="F5723">
        <v>1</v>
      </c>
      <c r="G5723">
        <v>11820</v>
      </c>
      <c r="H5723" s="1">
        <v>3</v>
      </c>
      <c r="I5723">
        <v>11</v>
      </c>
      <c r="J5723">
        <f>IF($H5723=0,1,IF($I5723&lt;=1,2,0))</f>
        <v>0</v>
      </c>
      <c r="K5723">
        <v>0</v>
      </c>
      <c r="L5723">
        <f>IF(AND($J5723=0,$K5723=0),0,1)</f>
        <v>0</v>
      </c>
    </row>
    <row r="5724" spans="1:13" x14ac:dyDescent="0.2">
      <c r="A5724" t="s">
        <v>385</v>
      </c>
      <c r="B5724" t="s">
        <v>386</v>
      </c>
      <c r="C5724" t="s">
        <v>407</v>
      </c>
      <c r="D5724">
        <v>5110</v>
      </c>
      <c r="E5724">
        <v>2021</v>
      </c>
      <c r="F5724">
        <v>3</v>
      </c>
      <c r="G5724">
        <v>13953</v>
      </c>
      <c r="H5724" s="1">
        <v>3</v>
      </c>
      <c r="I5724">
        <v>11</v>
      </c>
      <c r="J5724">
        <f>IF($H5724=0,1,IF($I5724&lt;=1,2,0))</f>
        <v>0</v>
      </c>
      <c r="K5724">
        <v>0</v>
      </c>
      <c r="L5724">
        <f>IF(AND($J5724=0,$K5724=0),0,1)</f>
        <v>0</v>
      </c>
    </row>
    <row r="5725" spans="1:13" x14ac:dyDescent="0.2">
      <c r="A5725" t="s">
        <v>385</v>
      </c>
      <c r="B5725" t="s">
        <v>386</v>
      </c>
      <c r="C5725" t="s">
        <v>407</v>
      </c>
      <c r="D5725">
        <v>5110</v>
      </c>
      <c r="E5725">
        <v>2021</v>
      </c>
      <c r="F5725">
        <v>4</v>
      </c>
      <c r="G5725">
        <v>13955</v>
      </c>
      <c r="H5725" s="1">
        <v>3</v>
      </c>
      <c r="I5725">
        <v>11</v>
      </c>
      <c r="J5725">
        <f>IF($H5725=0,1,IF($I5725&lt;=1,2,0))</f>
        <v>0</v>
      </c>
      <c r="K5725">
        <v>0</v>
      </c>
      <c r="L5725">
        <f>IF(AND($J5725=0,$K5725=0),0,1)</f>
        <v>0</v>
      </c>
    </row>
    <row r="5726" spans="1:13" x14ac:dyDescent="0.2">
      <c r="A5726" t="s">
        <v>385</v>
      </c>
      <c r="B5726" t="s">
        <v>386</v>
      </c>
      <c r="C5726" t="s">
        <v>407</v>
      </c>
      <c r="D5726">
        <v>5110</v>
      </c>
      <c r="E5726">
        <v>2021</v>
      </c>
      <c r="F5726">
        <v>5</v>
      </c>
      <c r="G5726">
        <v>13956</v>
      </c>
      <c r="H5726" s="1">
        <v>3</v>
      </c>
      <c r="I5726">
        <v>11</v>
      </c>
      <c r="J5726">
        <f>IF($H5726=0,1,IF($I5726&lt;=1,2,0))</f>
        <v>0</v>
      </c>
      <c r="K5726">
        <v>0</v>
      </c>
      <c r="L5726">
        <f>IF(AND($J5726=0,$K5726=0),0,1)</f>
        <v>0</v>
      </c>
    </row>
    <row r="5727" spans="1:13" x14ac:dyDescent="0.2">
      <c r="A5727" t="s">
        <v>385</v>
      </c>
      <c r="B5727" t="s">
        <v>386</v>
      </c>
      <c r="C5727" t="s">
        <v>407</v>
      </c>
      <c r="D5727">
        <v>5110</v>
      </c>
      <c r="E5727">
        <v>2021</v>
      </c>
      <c r="F5727">
        <v>7</v>
      </c>
      <c r="G5727">
        <v>20201</v>
      </c>
      <c r="H5727" s="1">
        <v>3</v>
      </c>
      <c r="I5727">
        <v>10</v>
      </c>
      <c r="J5727">
        <f>IF($H5727=0,1,IF($I5727&lt;=1,2,0))</f>
        <v>0</v>
      </c>
      <c r="K5727">
        <v>0</v>
      </c>
      <c r="L5727">
        <f>IF(AND($J5727=0,$K5727=0),0,1)</f>
        <v>0</v>
      </c>
    </row>
    <row r="5728" spans="1:13" x14ac:dyDescent="0.2">
      <c r="A5728" t="s">
        <v>385</v>
      </c>
      <c r="B5728" t="s">
        <v>386</v>
      </c>
      <c r="C5728" t="s">
        <v>407</v>
      </c>
      <c r="D5728">
        <v>5110</v>
      </c>
      <c r="E5728">
        <v>2021</v>
      </c>
      <c r="F5728">
        <v>1</v>
      </c>
      <c r="G5728">
        <v>13950</v>
      </c>
      <c r="H5728" s="1">
        <v>3</v>
      </c>
      <c r="I5728">
        <v>9</v>
      </c>
      <c r="J5728">
        <f>IF($H5728=0,1,IF($I5728&lt;=1,2,0))</f>
        <v>0</v>
      </c>
      <c r="K5728">
        <v>0</v>
      </c>
      <c r="L5728">
        <f>IF(AND($J5728=0,$K5728=0),0,1)</f>
        <v>0</v>
      </c>
    </row>
    <row r="5729" spans="1:13" x14ac:dyDescent="0.2">
      <c r="A5729" t="s">
        <v>385</v>
      </c>
      <c r="B5729" t="s">
        <v>386</v>
      </c>
      <c r="C5729" t="s">
        <v>407</v>
      </c>
      <c r="D5729">
        <v>5110</v>
      </c>
      <c r="E5729">
        <v>2021</v>
      </c>
      <c r="F5729">
        <v>2</v>
      </c>
      <c r="G5729">
        <v>13958</v>
      </c>
      <c r="H5729" s="1">
        <v>3</v>
      </c>
      <c r="I5729">
        <v>9</v>
      </c>
      <c r="J5729">
        <f>IF($H5729=0,1,IF($I5729&lt;=1,2,0))</f>
        <v>0</v>
      </c>
      <c r="K5729">
        <v>0</v>
      </c>
      <c r="L5729">
        <f>IF(AND($J5729=0,$K5729=0),0,1)</f>
        <v>0</v>
      </c>
    </row>
    <row r="5730" spans="1:13" x14ac:dyDescent="0.2">
      <c r="A5730" t="s">
        <v>385</v>
      </c>
      <c r="B5730" t="s">
        <v>386</v>
      </c>
      <c r="C5730" t="s">
        <v>407</v>
      </c>
      <c r="D5730">
        <v>5110</v>
      </c>
      <c r="E5730">
        <v>2021</v>
      </c>
      <c r="F5730">
        <v>6</v>
      </c>
      <c r="G5730">
        <v>13957</v>
      </c>
      <c r="H5730" s="1">
        <v>3</v>
      </c>
      <c r="I5730">
        <v>9</v>
      </c>
      <c r="J5730">
        <f>IF($H5730=0,1,IF($I5730&lt;=1,2,0))</f>
        <v>0</v>
      </c>
      <c r="K5730">
        <v>0</v>
      </c>
      <c r="L5730">
        <f>IF(AND($J5730=0,$K5730=0),0,1)</f>
        <v>0</v>
      </c>
      <c r="M5730" t="s">
        <v>1547</v>
      </c>
    </row>
    <row r="5731" spans="1:13" x14ac:dyDescent="0.2">
      <c r="A5731" t="s">
        <v>385</v>
      </c>
      <c r="B5731" t="s">
        <v>386</v>
      </c>
      <c r="C5731" t="s">
        <v>407</v>
      </c>
      <c r="D5731">
        <v>5210</v>
      </c>
      <c r="E5731">
        <v>2021</v>
      </c>
      <c r="F5731">
        <v>1</v>
      </c>
      <c r="G5731">
        <v>13960</v>
      </c>
      <c r="H5731" s="1">
        <v>3</v>
      </c>
      <c r="I5731">
        <v>11</v>
      </c>
      <c r="J5731">
        <f>IF($H5731=0,1,IF($I5731&lt;=1,2,0))</f>
        <v>0</v>
      </c>
      <c r="K5731">
        <v>0</v>
      </c>
      <c r="L5731">
        <f>IF(AND($J5731=0,$K5731=0),0,1)</f>
        <v>0</v>
      </c>
    </row>
    <row r="5732" spans="1:13" x14ac:dyDescent="0.2">
      <c r="A5732" t="s">
        <v>385</v>
      </c>
      <c r="B5732" t="s">
        <v>386</v>
      </c>
      <c r="C5732" t="s">
        <v>407</v>
      </c>
      <c r="D5732">
        <v>5210</v>
      </c>
      <c r="E5732">
        <v>2021</v>
      </c>
      <c r="F5732">
        <v>6</v>
      </c>
      <c r="G5732">
        <v>13965</v>
      </c>
      <c r="H5732" s="1">
        <v>3</v>
      </c>
      <c r="I5732">
        <v>11</v>
      </c>
      <c r="J5732">
        <f>IF($H5732=0,1,IF($I5732&lt;=1,2,0))</f>
        <v>0</v>
      </c>
      <c r="K5732">
        <v>0</v>
      </c>
      <c r="L5732">
        <f>IF(AND($J5732=0,$K5732=0),0,1)</f>
        <v>0</v>
      </c>
      <c r="M5732" t="s">
        <v>2067</v>
      </c>
    </row>
    <row r="5733" spans="1:13" x14ac:dyDescent="0.2">
      <c r="A5733" t="s">
        <v>385</v>
      </c>
      <c r="B5733" t="s">
        <v>386</v>
      </c>
      <c r="C5733" t="s">
        <v>407</v>
      </c>
      <c r="D5733">
        <v>5210</v>
      </c>
      <c r="E5733">
        <v>2021</v>
      </c>
      <c r="F5733">
        <v>2</v>
      </c>
      <c r="G5733">
        <v>13961</v>
      </c>
      <c r="H5733" s="1">
        <v>3</v>
      </c>
      <c r="I5733">
        <v>10</v>
      </c>
      <c r="J5733">
        <f>IF($H5733=0,1,IF($I5733&lt;=1,2,0))</f>
        <v>0</v>
      </c>
      <c r="K5733">
        <v>0</v>
      </c>
      <c r="L5733">
        <f>IF(AND($J5733=0,$K5733=0),0,1)</f>
        <v>0</v>
      </c>
    </row>
    <row r="5734" spans="1:13" x14ac:dyDescent="0.2">
      <c r="A5734" t="s">
        <v>385</v>
      </c>
      <c r="B5734" t="s">
        <v>386</v>
      </c>
      <c r="C5734" t="s">
        <v>407</v>
      </c>
      <c r="D5734">
        <v>5210</v>
      </c>
      <c r="E5734">
        <v>2021</v>
      </c>
      <c r="F5734">
        <v>5</v>
      </c>
      <c r="G5734">
        <v>13964</v>
      </c>
      <c r="H5734" s="1">
        <v>3</v>
      </c>
      <c r="I5734">
        <v>10</v>
      </c>
      <c r="J5734">
        <f>IF($H5734=0,1,IF($I5734&lt;=1,2,0))</f>
        <v>0</v>
      </c>
      <c r="K5734">
        <v>0</v>
      </c>
      <c r="L5734">
        <f>IF(AND($J5734=0,$K5734=0),0,1)</f>
        <v>0</v>
      </c>
    </row>
    <row r="5735" spans="1:13" x14ac:dyDescent="0.2">
      <c r="A5735" t="s">
        <v>385</v>
      </c>
      <c r="B5735" t="s">
        <v>386</v>
      </c>
      <c r="C5735" t="s">
        <v>407</v>
      </c>
      <c r="D5735">
        <v>5210</v>
      </c>
      <c r="E5735">
        <v>2021</v>
      </c>
      <c r="F5735">
        <v>7</v>
      </c>
      <c r="G5735">
        <v>20200</v>
      </c>
      <c r="H5735" s="1">
        <v>3</v>
      </c>
      <c r="I5735">
        <v>10</v>
      </c>
      <c r="J5735">
        <f>IF($H5735=0,1,IF($I5735&lt;=1,2,0))</f>
        <v>0</v>
      </c>
      <c r="K5735">
        <v>0</v>
      </c>
      <c r="L5735">
        <f>IF(AND($J5735=0,$K5735=0),0,1)</f>
        <v>0</v>
      </c>
    </row>
    <row r="5736" spans="1:13" x14ac:dyDescent="0.2">
      <c r="A5736" t="s">
        <v>385</v>
      </c>
      <c r="B5736" t="s">
        <v>386</v>
      </c>
      <c r="C5736" t="s">
        <v>407</v>
      </c>
      <c r="D5736">
        <v>5210</v>
      </c>
      <c r="E5736">
        <v>2021</v>
      </c>
      <c r="F5736">
        <v>3</v>
      </c>
      <c r="G5736">
        <v>13962</v>
      </c>
      <c r="H5736" s="1">
        <v>3</v>
      </c>
      <c r="I5736">
        <v>9</v>
      </c>
      <c r="J5736">
        <f>IF($H5736=0,1,IF($I5736&lt;=1,2,0))</f>
        <v>0</v>
      </c>
      <c r="K5736">
        <v>0</v>
      </c>
      <c r="L5736">
        <f>IF(AND($J5736=0,$K5736=0),0,1)</f>
        <v>0</v>
      </c>
    </row>
    <row r="5737" spans="1:13" x14ac:dyDescent="0.2">
      <c r="A5737" t="s">
        <v>385</v>
      </c>
      <c r="B5737" t="s">
        <v>386</v>
      </c>
      <c r="C5737" t="s">
        <v>407</v>
      </c>
      <c r="D5737">
        <v>5210</v>
      </c>
      <c r="E5737">
        <v>2021</v>
      </c>
      <c r="F5737">
        <v>4</v>
      </c>
      <c r="G5737">
        <v>13963</v>
      </c>
      <c r="H5737" s="1">
        <v>3</v>
      </c>
      <c r="I5737">
        <v>9</v>
      </c>
      <c r="J5737">
        <f>IF($H5737=0,1,IF($I5737&lt;=1,2,0))</f>
        <v>0</v>
      </c>
      <c r="K5737">
        <v>0</v>
      </c>
      <c r="L5737">
        <f>IF(AND($J5737=0,$K5737=0),0,1)</f>
        <v>0</v>
      </c>
    </row>
    <row r="5738" spans="1:13" x14ac:dyDescent="0.2">
      <c r="A5738" t="s">
        <v>385</v>
      </c>
      <c r="B5738" t="s">
        <v>386</v>
      </c>
      <c r="C5738" t="s">
        <v>407</v>
      </c>
      <c r="D5738">
        <v>5230</v>
      </c>
      <c r="E5738">
        <v>2021</v>
      </c>
      <c r="F5738">
        <v>2</v>
      </c>
      <c r="G5738">
        <v>13967</v>
      </c>
      <c r="H5738" s="1">
        <v>3</v>
      </c>
      <c r="I5738">
        <v>11</v>
      </c>
      <c r="J5738">
        <f>IF($H5738=0,1,IF($I5738&lt;=1,2,0))</f>
        <v>0</v>
      </c>
      <c r="K5738">
        <v>0</v>
      </c>
      <c r="L5738">
        <f>IF(AND($J5738=0,$K5738=0),0,1)</f>
        <v>0</v>
      </c>
    </row>
    <row r="5739" spans="1:13" x14ac:dyDescent="0.2">
      <c r="A5739" t="s">
        <v>385</v>
      </c>
      <c r="B5739" t="s">
        <v>386</v>
      </c>
      <c r="C5739" t="s">
        <v>407</v>
      </c>
      <c r="D5739">
        <v>5230</v>
      </c>
      <c r="E5739">
        <v>2021</v>
      </c>
      <c r="F5739">
        <v>4</v>
      </c>
      <c r="G5739">
        <v>13969</v>
      </c>
      <c r="H5739" s="1">
        <v>3</v>
      </c>
      <c r="I5739">
        <v>11</v>
      </c>
      <c r="J5739">
        <f>IF($H5739=0,1,IF($I5739&lt;=1,2,0))</f>
        <v>0</v>
      </c>
      <c r="K5739">
        <v>0</v>
      </c>
      <c r="L5739">
        <f>IF(AND($J5739=0,$K5739=0),0,1)</f>
        <v>0</v>
      </c>
    </row>
    <row r="5740" spans="1:13" x14ac:dyDescent="0.2">
      <c r="A5740" t="s">
        <v>385</v>
      </c>
      <c r="B5740" t="s">
        <v>386</v>
      </c>
      <c r="C5740" t="s">
        <v>407</v>
      </c>
      <c r="D5740">
        <v>5230</v>
      </c>
      <c r="E5740">
        <v>2021</v>
      </c>
      <c r="F5740">
        <v>1</v>
      </c>
      <c r="G5740">
        <v>13966</v>
      </c>
      <c r="H5740" s="1">
        <v>3</v>
      </c>
      <c r="I5740">
        <v>10</v>
      </c>
      <c r="J5740">
        <f>IF($H5740=0,1,IF($I5740&lt;=1,2,0))</f>
        <v>0</v>
      </c>
      <c r="K5740">
        <v>0</v>
      </c>
      <c r="L5740">
        <f>IF(AND($J5740=0,$K5740=0),0,1)</f>
        <v>0</v>
      </c>
    </row>
    <row r="5741" spans="1:13" x14ac:dyDescent="0.2">
      <c r="A5741" t="s">
        <v>385</v>
      </c>
      <c r="B5741" t="s">
        <v>386</v>
      </c>
      <c r="C5741" t="s">
        <v>407</v>
      </c>
      <c r="D5741">
        <v>5230</v>
      </c>
      <c r="E5741">
        <v>2021</v>
      </c>
      <c r="F5741">
        <v>5</v>
      </c>
      <c r="G5741">
        <v>13970</v>
      </c>
      <c r="H5741" s="1">
        <v>3</v>
      </c>
      <c r="I5741">
        <v>10</v>
      </c>
      <c r="J5741">
        <f>IF($H5741=0,1,IF($I5741&lt;=1,2,0))</f>
        <v>0</v>
      </c>
      <c r="K5741">
        <v>0</v>
      </c>
      <c r="L5741">
        <f>IF(AND($J5741=0,$K5741=0),0,1)</f>
        <v>0</v>
      </c>
    </row>
    <row r="5742" spans="1:13" x14ac:dyDescent="0.2">
      <c r="A5742" t="s">
        <v>385</v>
      </c>
      <c r="B5742" t="s">
        <v>386</v>
      </c>
      <c r="C5742" t="s">
        <v>407</v>
      </c>
      <c r="D5742">
        <v>5230</v>
      </c>
      <c r="E5742">
        <v>2021</v>
      </c>
      <c r="F5742">
        <v>7</v>
      </c>
      <c r="G5742">
        <v>20202</v>
      </c>
      <c r="H5742" s="1">
        <v>3</v>
      </c>
      <c r="I5742">
        <v>10</v>
      </c>
      <c r="J5742">
        <f>IF($H5742=0,1,IF($I5742&lt;=1,2,0))</f>
        <v>0</v>
      </c>
      <c r="K5742">
        <v>0</v>
      </c>
      <c r="L5742">
        <f>IF(AND($J5742=0,$K5742=0),0,1)</f>
        <v>0</v>
      </c>
    </row>
    <row r="5743" spans="1:13" x14ac:dyDescent="0.2">
      <c r="A5743" t="s">
        <v>385</v>
      </c>
      <c r="B5743" t="s">
        <v>386</v>
      </c>
      <c r="C5743" t="s">
        <v>407</v>
      </c>
      <c r="D5743">
        <v>5230</v>
      </c>
      <c r="E5743">
        <v>2021</v>
      </c>
      <c r="F5743">
        <v>3</v>
      </c>
      <c r="G5743">
        <v>13968</v>
      </c>
      <c r="H5743" s="1">
        <v>3</v>
      </c>
      <c r="I5743">
        <v>9</v>
      </c>
      <c r="J5743">
        <f>IF($H5743=0,1,IF($I5743&lt;=1,2,0))</f>
        <v>0</v>
      </c>
      <c r="K5743">
        <v>0</v>
      </c>
      <c r="L5743">
        <f>IF(AND($J5743=0,$K5743=0),0,1)</f>
        <v>0</v>
      </c>
    </row>
    <row r="5744" spans="1:13" x14ac:dyDescent="0.2">
      <c r="A5744" t="s">
        <v>385</v>
      </c>
      <c r="B5744" t="s">
        <v>386</v>
      </c>
      <c r="C5744" t="s">
        <v>407</v>
      </c>
      <c r="D5744">
        <v>5230</v>
      </c>
      <c r="E5744">
        <v>2021</v>
      </c>
      <c r="F5744">
        <v>6</v>
      </c>
      <c r="G5744">
        <v>13971</v>
      </c>
      <c r="H5744" s="1">
        <v>3</v>
      </c>
      <c r="I5744">
        <v>9</v>
      </c>
      <c r="J5744">
        <f>IF($H5744=0,1,IF($I5744&lt;=1,2,0))</f>
        <v>0</v>
      </c>
      <c r="K5744">
        <v>0</v>
      </c>
      <c r="L5744">
        <f>IF(AND($J5744=0,$K5744=0),0,1)</f>
        <v>0</v>
      </c>
    </row>
    <row r="5745" spans="1:13" x14ac:dyDescent="0.2">
      <c r="A5745" t="s">
        <v>385</v>
      </c>
      <c r="B5745" t="s">
        <v>386</v>
      </c>
      <c r="C5745" t="s">
        <v>407</v>
      </c>
      <c r="D5745">
        <v>5250</v>
      </c>
      <c r="E5745">
        <v>2021</v>
      </c>
      <c r="F5745">
        <v>2</v>
      </c>
      <c r="G5745">
        <v>13973</v>
      </c>
      <c r="H5745" s="1">
        <v>1.5</v>
      </c>
      <c r="I5745">
        <v>9</v>
      </c>
      <c r="J5745">
        <f>IF($H5745=0,1,IF($I5745&lt;=1,2,0))</f>
        <v>0</v>
      </c>
      <c r="K5745">
        <v>0</v>
      </c>
      <c r="L5745">
        <f>IF(AND($J5745=0,$K5745=0),0,1)</f>
        <v>0</v>
      </c>
    </row>
    <row r="5746" spans="1:13" x14ac:dyDescent="0.2">
      <c r="A5746" t="s">
        <v>385</v>
      </c>
      <c r="B5746" t="s">
        <v>386</v>
      </c>
      <c r="C5746" t="s">
        <v>407</v>
      </c>
      <c r="D5746">
        <v>5250</v>
      </c>
      <c r="E5746">
        <v>2021</v>
      </c>
      <c r="F5746">
        <v>5</v>
      </c>
      <c r="G5746">
        <v>13976</v>
      </c>
      <c r="H5746" s="1">
        <v>1.5</v>
      </c>
      <c r="I5746">
        <v>7</v>
      </c>
      <c r="J5746">
        <f>IF($H5746=0,1,IF($I5746&lt;=1,2,0))</f>
        <v>0</v>
      </c>
      <c r="K5746">
        <v>0</v>
      </c>
      <c r="L5746">
        <f>IF(AND($J5746=0,$K5746=0),0,1)</f>
        <v>0</v>
      </c>
    </row>
    <row r="5747" spans="1:13" x14ac:dyDescent="0.2">
      <c r="A5747" t="s">
        <v>385</v>
      </c>
      <c r="B5747" t="s">
        <v>386</v>
      </c>
      <c r="C5747" t="s">
        <v>407</v>
      </c>
      <c r="D5747">
        <v>5430</v>
      </c>
      <c r="E5747">
        <v>2021</v>
      </c>
      <c r="F5747">
        <v>1</v>
      </c>
      <c r="G5747">
        <v>13979</v>
      </c>
      <c r="H5747" s="1">
        <v>1.5</v>
      </c>
      <c r="I5747">
        <v>13</v>
      </c>
      <c r="J5747">
        <f>IF($H5747=0,1,IF($I5747&lt;=1,2,0))</f>
        <v>0</v>
      </c>
      <c r="K5747">
        <v>0</v>
      </c>
      <c r="L5747">
        <f>IF(AND($J5747=0,$K5747=0),0,1)</f>
        <v>0</v>
      </c>
      <c r="M5747" t="s">
        <v>1553</v>
      </c>
    </row>
    <row r="5748" spans="1:13" x14ac:dyDescent="0.2">
      <c r="A5748" t="s">
        <v>385</v>
      </c>
      <c r="B5748" t="s">
        <v>386</v>
      </c>
      <c r="C5748" t="s">
        <v>407</v>
      </c>
      <c r="D5748">
        <v>5430</v>
      </c>
      <c r="E5748">
        <v>2021</v>
      </c>
      <c r="F5748">
        <v>2</v>
      </c>
      <c r="G5748">
        <v>13980</v>
      </c>
      <c r="H5748" s="1">
        <v>1.5</v>
      </c>
      <c r="I5748">
        <v>12</v>
      </c>
      <c r="J5748">
        <f>IF($H5748=0,1,IF($I5748&lt;=1,2,0))</f>
        <v>0</v>
      </c>
      <c r="K5748">
        <v>0</v>
      </c>
      <c r="L5748">
        <f>IF(AND($J5748=0,$K5748=0),0,1)</f>
        <v>0</v>
      </c>
      <c r="M5748" t="s">
        <v>1554</v>
      </c>
    </row>
    <row r="5749" spans="1:13" x14ac:dyDescent="0.2">
      <c r="A5749" t="s">
        <v>385</v>
      </c>
      <c r="B5749" t="s">
        <v>386</v>
      </c>
      <c r="C5749" t="s">
        <v>407</v>
      </c>
      <c r="D5749">
        <v>5430</v>
      </c>
      <c r="E5749">
        <v>2021</v>
      </c>
      <c r="F5749">
        <v>3</v>
      </c>
      <c r="G5749">
        <v>13981</v>
      </c>
      <c r="H5749" s="1">
        <v>1.5</v>
      </c>
      <c r="I5749">
        <v>6</v>
      </c>
      <c r="J5749">
        <f>IF($H5749=0,1,IF($I5749&lt;=1,2,0))</f>
        <v>0</v>
      </c>
      <c r="K5749">
        <v>0</v>
      </c>
      <c r="L5749">
        <f>IF(AND($J5749=0,$K5749=0),0,1)</f>
        <v>0</v>
      </c>
      <c r="M5749" t="s">
        <v>1551</v>
      </c>
    </row>
    <row r="5750" spans="1:13" x14ac:dyDescent="0.2">
      <c r="A5750" t="s">
        <v>385</v>
      </c>
      <c r="B5750" t="s">
        <v>386</v>
      </c>
      <c r="C5750" t="s">
        <v>11</v>
      </c>
      <c r="D5750">
        <v>5700</v>
      </c>
      <c r="E5750">
        <v>2021</v>
      </c>
      <c r="F5750">
        <v>1</v>
      </c>
      <c r="G5750">
        <v>12207</v>
      </c>
      <c r="H5750" s="1">
        <v>3</v>
      </c>
      <c r="I5750">
        <v>30</v>
      </c>
      <c r="J5750">
        <f>IF($H5750=0,1,IF($I5750&lt;=1,2,0))</f>
        <v>0</v>
      </c>
      <c r="K5750">
        <v>0</v>
      </c>
      <c r="L5750">
        <f>IF(AND($J5750=0,$K5750=0),0,1)</f>
        <v>0</v>
      </c>
    </row>
    <row r="5751" spans="1:13" x14ac:dyDescent="0.2">
      <c r="A5751" t="s">
        <v>385</v>
      </c>
      <c r="B5751" t="s">
        <v>386</v>
      </c>
      <c r="C5751" t="s">
        <v>34</v>
      </c>
      <c r="D5751">
        <v>6110</v>
      </c>
      <c r="E5751">
        <v>2021</v>
      </c>
      <c r="F5751">
        <v>1</v>
      </c>
      <c r="G5751">
        <v>11615</v>
      </c>
      <c r="H5751" s="1">
        <v>3</v>
      </c>
      <c r="I5751">
        <v>11</v>
      </c>
      <c r="J5751">
        <f>IF($H5751=0,1,IF($I5751&lt;=1,2,0))</f>
        <v>0</v>
      </c>
      <c r="K5751">
        <v>0</v>
      </c>
      <c r="L5751">
        <f>IF(AND($J5751=0,$K5751=0),0,1)</f>
        <v>0</v>
      </c>
    </row>
    <row r="5752" spans="1:13" x14ac:dyDescent="0.2">
      <c r="A5752" t="s">
        <v>385</v>
      </c>
      <c r="B5752" t="s">
        <v>386</v>
      </c>
      <c r="C5752" t="s">
        <v>34</v>
      </c>
      <c r="D5752">
        <v>6110</v>
      </c>
      <c r="E5752">
        <v>2021</v>
      </c>
      <c r="F5752">
        <v>2</v>
      </c>
      <c r="G5752">
        <v>11616</v>
      </c>
      <c r="H5752" s="1">
        <v>3</v>
      </c>
      <c r="I5752">
        <v>11</v>
      </c>
      <c r="J5752">
        <f>IF($H5752=0,1,IF($I5752&lt;=1,2,0))</f>
        <v>0</v>
      </c>
      <c r="K5752">
        <v>0</v>
      </c>
      <c r="L5752">
        <f>IF(AND($J5752=0,$K5752=0),0,1)</f>
        <v>0</v>
      </c>
    </row>
    <row r="5753" spans="1:13" x14ac:dyDescent="0.2">
      <c r="A5753" t="s">
        <v>385</v>
      </c>
      <c r="B5753" t="s">
        <v>386</v>
      </c>
      <c r="C5753" t="s">
        <v>34</v>
      </c>
      <c r="D5753">
        <v>6110</v>
      </c>
      <c r="E5753">
        <v>2021</v>
      </c>
      <c r="F5753">
        <v>3</v>
      </c>
      <c r="G5753">
        <v>11620</v>
      </c>
      <c r="H5753" s="1">
        <v>3</v>
      </c>
      <c r="I5753">
        <v>11</v>
      </c>
      <c r="J5753">
        <f>IF($H5753=0,1,IF($I5753&lt;=1,2,0))</f>
        <v>0</v>
      </c>
      <c r="K5753">
        <v>0</v>
      </c>
      <c r="L5753">
        <f>IF(AND($J5753=0,$K5753=0),0,1)</f>
        <v>0</v>
      </c>
    </row>
    <row r="5754" spans="1:13" x14ac:dyDescent="0.2">
      <c r="A5754" t="s">
        <v>385</v>
      </c>
      <c r="B5754" t="s">
        <v>386</v>
      </c>
      <c r="C5754" t="s">
        <v>34</v>
      </c>
      <c r="D5754">
        <v>6110</v>
      </c>
      <c r="E5754">
        <v>2021</v>
      </c>
      <c r="F5754">
        <v>4</v>
      </c>
      <c r="G5754">
        <v>11622</v>
      </c>
      <c r="H5754" s="1">
        <v>3</v>
      </c>
      <c r="I5754">
        <v>8</v>
      </c>
      <c r="J5754">
        <f>IF($H5754=0,1,IF($I5754&lt;=1,2,0))</f>
        <v>0</v>
      </c>
      <c r="K5754">
        <v>0</v>
      </c>
      <c r="L5754">
        <f>IF(AND($J5754=0,$K5754=0),0,1)</f>
        <v>0</v>
      </c>
    </row>
    <row r="5755" spans="1:13" x14ac:dyDescent="0.2">
      <c r="A5755" t="s">
        <v>385</v>
      </c>
      <c r="B5755" t="s">
        <v>386</v>
      </c>
      <c r="C5755" t="s">
        <v>34</v>
      </c>
      <c r="D5755">
        <v>6210</v>
      </c>
      <c r="E5755">
        <v>2021</v>
      </c>
      <c r="F5755">
        <v>3</v>
      </c>
      <c r="G5755">
        <v>11627</v>
      </c>
      <c r="H5755" s="1">
        <v>3</v>
      </c>
      <c r="I5755">
        <v>12</v>
      </c>
      <c r="J5755">
        <f>IF($H5755=0,1,IF($I5755&lt;=1,2,0))</f>
        <v>0</v>
      </c>
      <c r="K5755">
        <v>0</v>
      </c>
      <c r="L5755">
        <f>IF(AND($J5755=0,$K5755=0),0,1)</f>
        <v>0</v>
      </c>
    </row>
    <row r="5756" spans="1:13" x14ac:dyDescent="0.2">
      <c r="A5756" t="s">
        <v>385</v>
      </c>
      <c r="B5756" t="s">
        <v>386</v>
      </c>
      <c r="C5756" t="s">
        <v>34</v>
      </c>
      <c r="D5756">
        <v>6210</v>
      </c>
      <c r="E5756">
        <v>2021</v>
      </c>
      <c r="F5756">
        <v>2</v>
      </c>
      <c r="G5756">
        <v>11626</v>
      </c>
      <c r="H5756" s="1">
        <v>3</v>
      </c>
      <c r="I5756">
        <v>11</v>
      </c>
      <c r="J5756">
        <f>IF($H5756=0,1,IF($I5756&lt;=1,2,0))</f>
        <v>0</v>
      </c>
      <c r="K5756">
        <v>0</v>
      </c>
      <c r="L5756">
        <f>IF(AND($J5756=0,$K5756=0),0,1)</f>
        <v>0</v>
      </c>
    </row>
    <row r="5757" spans="1:13" x14ac:dyDescent="0.2">
      <c r="A5757" t="s">
        <v>385</v>
      </c>
      <c r="B5757" t="s">
        <v>386</v>
      </c>
      <c r="C5757" t="s">
        <v>34</v>
      </c>
      <c r="D5757">
        <v>6210</v>
      </c>
      <c r="E5757">
        <v>2021</v>
      </c>
      <c r="F5757">
        <v>4</v>
      </c>
      <c r="G5757">
        <v>11629</v>
      </c>
      <c r="H5757" s="1">
        <v>3</v>
      </c>
      <c r="I5757">
        <v>11</v>
      </c>
      <c r="J5757">
        <f>IF($H5757=0,1,IF($I5757&lt;=1,2,0))</f>
        <v>0</v>
      </c>
      <c r="K5757">
        <v>0</v>
      </c>
      <c r="L5757">
        <f>IF(AND($J5757=0,$K5757=0),0,1)</f>
        <v>0</v>
      </c>
    </row>
    <row r="5758" spans="1:13" x14ac:dyDescent="0.2">
      <c r="A5758" t="s">
        <v>385</v>
      </c>
      <c r="B5758" t="s">
        <v>386</v>
      </c>
      <c r="C5758" t="s">
        <v>34</v>
      </c>
      <c r="D5758">
        <v>6210</v>
      </c>
      <c r="E5758">
        <v>2021</v>
      </c>
      <c r="F5758">
        <v>1</v>
      </c>
      <c r="G5758">
        <v>11625</v>
      </c>
      <c r="H5758" s="1">
        <v>3</v>
      </c>
      <c r="I5758">
        <v>10</v>
      </c>
      <c r="J5758">
        <f>IF($H5758=0,1,IF($I5758&lt;=1,2,0))</f>
        <v>0</v>
      </c>
      <c r="K5758">
        <v>0</v>
      </c>
      <c r="L5758">
        <f>IF(AND($J5758=0,$K5758=0),0,1)</f>
        <v>0</v>
      </c>
    </row>
    <row r="5759" spans="1:13" x14ac:dyDescent="0.2">
      <c r="A5759" t="s">
        <v>385</v>
      </c>
      <c r="B5759" t="s">
        <v>386</v>
      </c>
      <c r="C5759" t="s">
        <v>407</v>
      </c>
      <c r="D5759">
        <v>6240</v>
      </c>
      <c r="E5759">
        <v>2021</v>
      </c>
      <c r="F5759">
        <v>2</v>
      </c>
      <c r="G5759">
        <v>11642</v>
      </c>
      <c r="H5759" s="1">
        <v>3</v>
      </c>
      <c r="I5759">
        <v>12</v>
      </c>
      <c r="J5759">
        <f>IF($H5759=0,1,IF($I5759&lt;=1,2,0))</f>
        <v>0</v>
      </c>
      <c r="K5759">
        <v>0</v>
      </c>
      <c r="L5759">
        <f>IF(AND($J5759=0,$K5759=0),0,1)</f>
        <v>0</v>
      </c>
    </row>
    <row r="5760" spans="1:13" x14ac:dyDescent="0.2">
      <c r="A5760" t="s">
        <v>385</v>
      </c>
      <c r="B5760" t="s">
        <v>386</v>
      </c>
      <c r="C5760" t="s">
        <v>407</v>
      </c>
      <c r="D5760">
        <v>6240</v>
      </c>
      <c r="E5760">
        <v>2021</v>
      </c>
      <c r="F5760">
        <v>3</v>
      </c>
      <c r="G5760">
        <v>11635</v>
      </c>
      <c r="H5760" s="1">
        <v>3</v>
      </c>
      <c r="I5760">
        <v>12</v>
      </c>
      <c r="J5760">
        <f>IF($H5760=0,1,IF($I5760&lt;=1,2,0))</f>
        <v>0</v>
      </c>
      <c r="K5760">
        <v>0</v>
      </c>
      <c r="L5760">
        <f>IF(AND($J5760=0,$K5760=0),0,1)</f>
        <v>0</v>
      </c>
    </row>
    <row r="5761" spans="1:13" x14ac:dyDescent="0.2">
      <c r="A5761" t="s">
        <v>385</v>
      </c>
      <c r="B5761" t="s">
        <v>386</v>
      </c>
      <c r="C5761" t="s">
        <v>407</v>
      </c>
      <c r="D5761">
        <v>6240</v>
      </c>
      <c r="E5761">
        <v>2021</v>
      </c>
      <c r="F5761">
        <v>1</v>
      </c>
      <c r="G5761">
        <v>11632</v>
      </c>
      <c r="H5761" s="1">
        <v>3</v>
      </c>
      <c r="I5761">
        <v>11</v>
      </c>
      <c r="J5761">
        <f>IF($H5761=0,1,IF($I5761&lt;=1,2,0))</f>
        <v>0</v>
      </c>
      <c r="K5761">
        <v>0</v>
      </c>
      <c r="L5761">
        <f>IF(AND($J5761=0,$K5761=0),0,1)</f>
        <v>0</v>
      </c>
    </row>
    <row r="5762" spans="1:13" x14ac:dyDescent="0.2">
      <c r="A5762" t="s">
        <v>385</v>
      </c>
      <c r="B5762" t="s">
        <v>386</v>
      </c>
      <c r="C5762" t="s">
        <v>407</v>
      </c>
      <c r="D5762">
        <v>6240</v>
      </c>
      <c r="E5762">
        <v>2021</v>
      </c>
      <c r="F5762">
        <v>4</v>
      </c>
      <c r="G5762">
        <v>11637</v>
      </c>
      <c r="H5762" s="1">
        <v>3</v>
      </c>
      <c r="I5762">
        <v>9</v>
      </c>
      <c r="J5762">
        <f>IF($H5762=0,1,IF($I5762&lt;=1,2,0))</f>
        <v>0</v>
      </c>
      <c r="K5762">
        <v>0</v>
      </c>
      <c r="L5762">
        <f>IF(AND($J5762=0,$K5762=0),0,1)</f>
        <v>0</v>
      </c>
      <c r="M5762" t="s">
        <v>204</v>
      </c>
    </row>
    <row r="5763" spans="1:13" x14ac:dyDescent="0.2">
      <c r="A5763" t="s">
        <v>385</v>
      </c>
      <c r="B5763" t="s">
        <v>386</v>
      </c>
      <c r="C5763" t="s">
        <v>407</v>
      </c>
      <c r="D5763">
        <v>6300</v>
      </c>
      <c r="E5763">
        <v>2021</v>
      </c>
      <c r="F5763">
        <v>1</v>
      </c>
      <c r="G5763">
        <v>11036</v>
      </c>
      <c r="H5763" s="1">
        <v>3</v>
      </c>
      <c r="I5763">
        <v>45</v>
      </c>
      <c r="J5763">
        <f>IF($H5763=0,1,IF($I5763&lt;=1,2,0))</f>
        <v>0</v>
      </c>
      <c r="K5763">
        <v>0</v>
      </c>
      <c r="L5763">
        <f>IF(AND($J5763=0,$K5763=0),0,1)</f>
        <v>0</v>
      </c>
      <c r="M5763" t="s">
        <v>1041</v>
      </c>
    </row>
    <row r="5764" spans="1:13" x14ac:dyDescent="0.2">
      <c r="A5764" t="s">
        <v>385</v>
      </c>
      <c r="B5764" t="s">
        <v>386</v>
      </c>
      <c r="C5764" t="s">
        <v>11</v>
      </c>
      <c r="D5764">
        <v>6915</v>
      </c>
      <c r="E5764">
        <v>2021</v>
      </c>
      <c r="F5764">
        <v>1</v>
      </c>
      <c r="G5764">
        <v>17791</v>
      </c>
      <c r="H5764" s="1">
        <v>3</v>
      </c>
      <c r="I5764">
        <v>17</v>
      </c>
      <c r="J5764">
        <f>IF($H5764=0,1,IF($I5764&lt;=1,2,0))</f>
        <v>0</v>
      </c>
      <c r="K5764">
        <v>0</v>
      </c>
      <c r="L5764">
        <f>IF(AND($J5764=0,$K5764=0),0,1)</f>
        <v>0</v>
      </c>
    </row>
    <row r="5765" spans="1:13" x14ac:dyDescent="0.2">
      <c r="A5765" t="s">
        <v>385</v>
      </c>
      <c r="B5765" t="s">
        <v>386</v>
      </c>
      <c r="C5765" t="s">
        <v>407</v>
      </c>
      <c r="D5765">
        <v>6970</v>
      </c>
      <c r="E5765">
        <v>2021</v>
      </c>
      <c r="F5765">
        <v>1</v>
      </c>
      <c r="G5765">
        <v>12201</v>
      </c>
      <c r="H5765" s="1">
        <v>3</v>
      </c>
      <c r="I5765">
        <v>11</v>
      </c>
      <c r="J5765">
        <f>IF($H5765=0,1,IF($I5765&lt;=1,2,0))</f>
        <v>0</v>
      </c>
      <c r="K5765">
        <v>0</v>
      </c>
      <c r="L5765">
        <f>IF(AND($J5765=0,$K5765=0),0,1)</f>
        <v>0</v>
      </c>
      <c r="M5765" t="s">
        <v>1557</v>
      </c>
    </row>
    <row r="5766" spans="1:13" x14ac:dyDescent="0.2">
      <c r="A5766" t="s">
        <v>385</v>
      </c>
      <c r="B5766" t="s">
        <v>386</v>
      </c>
      <c r="C5766" t="s">
        <v>407</v>
      </c>
      <c r="D5766">
        <v>8110</v>
      </c>
      <c r="E5766">
        <v>2021</v>
      </c>
      <c r="F5766">
        <v>2</v>
      </c>
      <c r="G5766">
        <v>15059</v>
      </c>
      <c r="H5766" s="1">
        <v>3</v>
      </c>
      <c r="I5766">
        <v>13</v>
      </c>
      <c r="J5766">
        <f>IF($H5766=0,1,IF($I5766&lt;=1,2,0))</f>
        <v>0</v>
      </c>
      <c r="K5766">
        <v>0</v>
      </c>
      <c r="L5766">
        <f>IF(AND($J5766=0,$K5766=0),0,1)</f>
        <v>0</v>
      </c>
    </row>
    <row r="5767" spans="1:13" x14ac:dyDescent="0.2">
      <c r="A5767" t="s">
        <v>385</v>
      </c>
      <c r="B5767" t="s">
        <v>386</v>
      </c>
      <c r="C5767" t="s">
        <v>407</v>
      </c>
      <c r="D5767">
        <v>8110</v>
      </c>
      <c r="E5767">
        <v>2021</v>
      </c>
      <c r="F5767">
        <v>3</v>
      </c>
      <c r="G5767">
        <v>15058</v>
      </c>
      <c r="H5767" s="1">
        <v>3</v>
      </c>
      <c r="I5767">
        <v>12</v>
      </c>
      <c r="J5767">
        <f>IF($H5767=0,1,IF($I5767&lt;=1,2,0))</f>
        <v>0</v>
      </c>
      <c r="K5767">
        <v>0</v>
      </c>
      <c r="L5767">
        <f>IF(AND($J5767=0,$K5767=0),0,1)</f>
        <v>0</v>
      </c>
    </row>
    <row r="5768" spans="1:13" x14ac:dyDescent="0.2">
      <c r="A5768" t="s">
        <v>385</v>
      </c>
      <c r="B5768" t="s">
        <v>386</v>
      </c>
      <c r="C5768" t="s">
        <v>407</v>
      </c>
      <c r="D5768">
        <v>8110</v>
      </c>
      <c r="E5768">
        <v>2021</v>
      </c>
      <c r="F5768">
        <v>4</v>
      </c>
      <c r="G5768">
        <v>20127</v>
      </c>
      <c r="H5768" s="1">
        <v>3</v>
      </c>
      <c r="I5768">
        <v>9</v>
      </c>
      <c r="J5768">
        <f>IF($H5768=0,1,IF($I5768&lt;=1,2,0))</f>
        <v>0</v>
      </c>
      <c r="K5768">
        <v>0</v>
      </c>
      <c r="L5768">
        <f>IF(AND($J5768=0,$K5768=0),0,1)</f>
        <v>0</v>
      </c>
    </row>
    <row r="5769" spans="1:13" x14ac:dyDescent="0.2">
      <c r="A5769" t="s">
        <v>385</v>
      </c>
      <c r="B5769" t="s">
        <v>386</v>
      </c>
      <c r="C5769" t="s">
        <v>407</v>
      </c>
      <c r="D5769">
        <v>8131</v>
      </c>
      <c r="E5769">
        <v>2021</v>
      </c>
      <c r="F5769">
        <v>1</v>
      </c>
      <c r="G5769">
        <v>15060</v>
      </c>
      <c r="H5769" s="1">
        <v>3</v>
      </c>
      <c r="I5769">
        <v>7</v>
      </c>
      <c r="J5769">
        <f>IF($H5769=0,1,IF($I5769&lt;=1,2,0))</f>
        <v>0</v>
      </c>
      <c r="K5769">
        <v>0</v>
      </c>
      <c r="L5769">
        <f>IF(AND($J5769=0,$K5769=0),0,1)</f>
        <v>0</v>
      </c>
    </row>
    <row r="5770" spans="1:13" x14ac:dyDescent="0.2">
      <c r="A5770" t="s">
        <v>385</v>
      </c>
      <c r="B5770" t="s">
        <v>386</v>
      </c>
      <c r="C5770" t="s">
        <v>407</v>
      </c>
      <c r="D5770">
        <v>8305</v>
      </c>
      <c r="E5770">
        <v>2021</v>
      </c>
      <c r="F5770">
        <v>1</v>
      </c>
      <c r="G5770">
        <v>17683</v>
      </c>
      <c r="H5770" s="1">
        <v>3</v>
      </c>
      <c r="I5770">
        <v>12</v>
      </c>
      <c r="J5770">
        <f>IF($H5770=0,1,IF($I5770&lt;=1,2,0))</f>
        <v>0</v>
      </c>
      <c r="K5770">
        <v>0</v>
      </c>
      <c r="L5770">
        <f>IF(AND($J5770=0,$K5770=0),0,1)</f>
        <v>0</v>
      </c>
    </row>
    <row r="5771" spans="1:13" x14ac:dyDescent="0.2">
      <c r="A5771" t="s">
        <v>385</v>
      </c>
      <c r="B5771" t="s">
        <v>386</v>
      </c>
      <c r="C5771" t="s">
        <v>407</v>
      </c>
      <c r="D5771">
        <v>8320</v>
      </c>
      <c r="E5771">
        <v>2021</v>
      </c>
      <c r="F5771">
        <v>1</v>
      </c>
      <c r="G5771">
        <v>17682</v>
      </c>
      <c r="H5771" s="1">
        <v>3</v>
      </c>
      <c r="I5771">
        <v>11</v>
      </c>
      <c r="J5771">
        <f>IF($H5771=0,1,IF($I5771&lt;=1,2,0))</f>
        <v>0</v>
      </c>
      <c r="K5771">
        <v>0</v>
      </c>
      <c r="L5771">
        <f>IF(AND($J5771=0,$K5771=0),0,1)</f>
        <v>0</v>
      </c>
    </row>
    <row r="5772" spans="1:13" x14ac:dyDescent="0.2">
      <c r="A5772" t="s">
        <v>385</v>
      </c>
      <c r="B5772" t="s">
        <v>386</v>
      </c>
      <c r="C5772" t="s">
        <v>407</v>
      </c>
      <c r="D5772">
        <v>8360</v>
      </c>
      <c r="E5772">
        <v>2021</v>
      </c>
      <c r="F5772">
        <v>1</v>
      </c>
      <c r="G5772">
        <v>11685</v>
      </c>
      <c r="H5772" s="1">
        <v>3</v>
      </c>
      <c r="I5772">
        <v>12</v>
      </c>
      <c r="J5772">
        <f>IF($H5772=0,1,IF($I5772&lt;=1,2,0))</f>
        <v>0</v>
      </c>
      <c r="K5772">
        <v>0</v>
      </c>
      <c r="L5772">
        <f>IF(AND($J5772=0,$K5772=0),0,1)</f>
        <v>0</v>
      </c>
      <c r="M5772" t="s">
        <v>1558</v>
      </c>
    </row>
    <row r="5773" spans="1:13" x14ac:dyDescent="0.2">
      <c r="A5773" t="s">
        <v>385</v>
      </c>
      <c r="B5773" t="s">
        <v>386</v>
      </c>
      <c r="C5773" t="s">
        <v>407</v>
      </c>
      <c r="D5773">
        <v>8420</v>
      </c>
      <c r="E5773">
        <v>2021</v>
      </c>
      <c r="F5773">
        <v>1</v>
      </c>
      <c r="G5773">
        <v>12204</v>
      </c>
      <c r="H5773" s="1">
        <v>1.5</v>
      </c>
      <c r="I5773">
        <v>4</v>
      </c>
      <c r="J5773">
        <f>IF($H5773=0,1,IF($I5773&lt;=1,2,0))</f>
        <v>0</v>
      </c>
      <c r="K5773">
        <v>0</v>
      </c>
      <c r="L5773">
        <f>IF(AND($J5773=0,$K5773=0),0,1)</f>
        <v>0</v>
      </c>
      <c r="M5773" t="s">
        <v>1559</v>
      </c>
    </row>
    <row r="5774" spans="1:13" x14ac:dyDescent="0.2">
      <c r="A5774" t="s">
        <v>416</v>
      </c>
      <c r="B5774" t="s">
        <v>17</v>
      </c>
      <c r="C5774" t="s">
        <v>9</v>
      </c>
      <c r="D5774">
        <v>2101</v>
      </c>
      <c r="E5774">
        <v>2021</v>
      </c>
      <c r="F5774">
        <v>1</v>
      </c>
      <c r="G5774">
        <v>12754</v>
      </c>
      <c r="H5774" s="1">
        <v>4</v>
      </c>
      <c r="I5774">
        <v>7</v>
      </c>
      <c r="J5774">
        <f>IF($H5774=0,1,IF($I5774&lt;=1,2,0))</f>
        <v>0</v>
      </c>
      <c r="K5774">
        <v>0</v>
      </c>
      <c r="L5774">
        <f>IF(AND($J5774=0,$K5774=0),0,1)</f>
        <v>0</v>
      </c>
    </row>
    <row r="5775" spans="1:13" x14ac:dyDescent="0.2">
      <c r="A5775" t="s">
        <v>417</v>
      </c>
      <c r="B5775" t="s">
        <v>17</v>
      </c>
      <c r="C5775" t="s">
        <v>9</v>
      </c>
      <c r="D5775">
        <v>1101</v>
      </c>
      <c r="E5775">
        <v>2021</v>
      </c>
      <c r="F5775">
        <v>3</v>
      </c>
      <c r="G5775">
        <v>12886</v>
      </c>
      <c r="H5775" s="1">
        <v>4</v>
      </c>
      <c r="I5775">
        <v>18</v>
      </c>
      <c r="J5775">
        <f>IF($H5775=0,1,IF($I5775&lt;=1,2,0))</f>
        <v>0</v>
      </c>
      <c r="K5775">
        <v>0</v>
      </c>
      <c r="L5775">
        <f>IF(AND($J5775=0,$K5775=0),0,1)</f>
        <v>0</v>
      </c>
    </row>
    <row r="5776" spans="1:13" x14ac:dyDescent="0.2">
      <c r="A5776" t="s">
        <v>417</v>
      </c>
      <c r="B5776" t="s">
        <v>17</v>
      </c>
      <c r="C5776" t="s">
        <v>9</v>
      </c>
      <c r="D5776">
        <v>1101</v>
      </c>
      <c r="E5776">
        <v>2021</v>
      </c>
      <c r="F5776">
        <v>5</v>
      </c>
      <c r="G5776">
        <v>12888</v>
      </c>
      <c r="H5776" s="1">
        <v>4</v>
      </c>
      <c r="I5776">
        <v>17</v>
      </c>
      <c r="J5776">
        <f>IF($H5776=0,1,IF($I5776&lt;=1,2,0))</f>
        <v>0</v>
      </c>
      <c r="K5776">
        <v>0</v>
      </c>
      <c r="L5776">
        <f>IF(AND($J5776=0,$K5776=0),0,1)</f>
        <v>0</v>
      </c>
    </row>
    <row r="5777" spans="1:12" x14ac:dyDescent="0.2">
      <c r="A5777" t="s">
        <v>417</v>
      </c>
      <c r="B5777" t="s">
        <v>17</v>
      </c>
      <c r="C5777" t="s">
        <v>9</v>
      </c>
      <c r="D5777">
        <v>1101</v>
      </c>
      <c r="E5777">
        <v>2021</v>
      </c>
      <c r="F5777">
        <v>6</v>
      </c>
      <c r="G5777">
        <v>12889</v>
      </c>
      <c r="H5777" s="1">
        <v>4</v>
      </c>
      <c r="I5777">
        <v>17</v>
      </c>
      <c r="J5777">
        <f>IF($H5777=0,1,IF($I5777&lt;=1,2,0))</f>
        <v>0</v>
      </c>
      <c r="K5777">
        <v>0</v>
      </c>
      <c r="L5777">
        <f>IF(AND($J5777=0,$K5777=0),0,1)</f>
        <v>0</v>
      </c>
    </row>
    <row r="5778" spans="1:12" x14ac:dyDescent="0.2">
      <c r="A5778" t="s">
        <v>417</v>
      </c>
      <c r="B5778" t="s">
        <v>17</v>
      </c>
      <c r="C5778" t="s">
        <v>9</v>
      </c>
      <c r="D5778">
        <v>1101</v>
      </c>
      <c r="E5778">
        <v>2021</v>
      </c>
      <c r="F5778">
        <v>1</v>
      </c>
      <c r="G5778">
        <v>12883</v>
      </c>
      <c r="H5778" s="1">
        <v>4</v>
      </c>
      <c r="I5778">
        <v>16</v>
      </c>
      <c r="J5778">
        <f>IF($H5778=0,1,IF($I5778&lt;=1,2,0))</f>
        <v>0</v>
      </c>
      <c r="K5778">
        <v>0</v>
      </c>
      <c r="L5778">
        <f>IF(AND($J5778=0,$K5778=0),0,1)</f>
        <v>0</v>
      </c>
    </row>
    <row r="5779" spans="1:12" x14ac:dyDescent="0.2">
      <c r="A5779" t="s">
        <v>417</v>
      </c>
      <c r="B5779" t="s">
        <v>17</v>
      </c>
      <c r="C5779" t="s">
        <v>9</v>
      </c>
      <c r="D5779">
        <v>1101</v>
      </c>
      <c r="E5779">
        <v>2021</v>
      </c>
      <c r="F5779">
        <v>2</v>
      </c>
      <c r="G5779">
        <v>12884</v>
      </c>
      <c r="H5779" s="1">
        <v>4</v>
      </c>
      <c r="I5779">
        <v>15</v>
      </c>
      <c r="J5779">
        <f>IF($H5779=0,1,IF($I5779&lt;=1,2,0))</f>
        <v>0</v>
      </c>
      <c r="K5779">
        <v>0</v>
      </c>
      <c r="L5779">
        <f>IF(AND($J5779=0,$K5779=0),0,1)</f>
        <v>0</v>
      </c>
    </row>
    <row r="5780" spans="1:12" x14ac:dyDescent="0.2">
      <c r="A5780" t="s">
        <v>417</v>
      </c>
      <c r="B5780" t="s">
        <v>17</v>
      </c>
      <c r="C5780" t="s">
        <v>9</v>
      </c>
      <c r="D5780">
        <v>1101</v>
      </c>
      <c r="E5780">
        <v>2021</v>
      </c>
      <c r="F5780">
        <v>8</v>
      </c>
      <c r="G5780">
        <v>12893</v>
      </c>
      <c r="H5780" s="1">
        <v>4</v>
      </c>
      <c r="I5780">
        <v>15</v>
      </c>
      <c r="J5780">
        <f>IF($H5780=0,1,IF($I5780&lt;=1,2,0))</f>
        <v>0</v>
      </c>
      <c r="K5780">
        <v>0</v>
      </c>
      <c r="L5780">
        <f>IF(AND($J5780=0,$K5780=0),0,1)</f>
        <v>0</v>
      </c>
    </row>
    <row r="5781" spans="1:12" x14ac:dyDescent="0.2">
      <c r="A5781" t="s">
        <v>417</v>
      </c>
      <c r="B5781" t="s">
        <v>17</v>
      </c>
      <c r="C5781" t="s">
        <v>9</v>
      </c>
      <c r="D5781">
        <v>1101</v>
      </c>
      <c r="E5781">
        <v>2021</v>
      </c>
      <c r="F5781">
        <v>7</v>
      </c>
      <c r="G5781">
        <v>12894</v>
      </c>
      <c r="H5781" s="1">
        <v>4</v>
      </c>
      <c r="I5781">
        <v>14</v>
      </c>
      <c r="J5781">
        <f>IF($H5781=0,1,IF($I5781&lt;=1,2,0))</f>
        <v>0</v>
      </c>
      <c r="K5781">
        <v>0</v>
      </c>
      <c r="L5781">
        <f>IF(AND($J5781=0,$K5781=0),0,1)</f>
        <v>0</v>
      </c>
    </row>
    <row r="5782" spans="1:12" x14ac:dyDescent="0.2">
      <c r="A5782" t="s">
        <v>417</v>
      </c>
      <c r="B5782" t="s">
        <v>17</v>
      </c>
      <c r="C5782" t="s">
        <v>9</v>
      </c>
      <c r="D5782">
        <v>1101</v>
      </c>
      <c r="E5782">
        <v>2021</v>
      </c>
      <c r="F5782">
        <v>4</v>
      </c>
      <c r="G5782">
        <v>12887</v>
      </c>
      <c r="H5782" s="1">
        <v>4</v>
      </c>
      <c r="I5782">
        <v>13</v>
      </c>
      <c r="J5782">
        <f>IF($H5782=0,1,IF($I5782&lt;=1,2,0))</f>
        <v>0</v>
      </c>
      <c r="K5782">
        <v>0</v>
      </c>
      <c r="L5782">
        <f>IF(AND($J5782=0,$K5782=0),0,1)</f>
        <v>0</v>
      </c>
    </row>
    <row r="5783" spans="1:12" x14ac:dyDescent="0.2">
      <c r="A5783" t="s">
        <v>417</v>
      </c>
      <c r="B5783" t="s">
        <v>17</v>
      </c>
      <c r="C5783" t="s">
        <v>9</v>
      </c>
      <c r="D5783">
        <v>1102</v>
      </c>
      <c r="E5783">
        <v>2021</v>
      </c>
      <c r="F5783">
        <v>4</v>
      </c>
      <c r="G5783">
        <v>12917</v>
      </c>
      <c r="H5783" s="1">
        <v>4</v>
      </c>
      <c r="I5783">
        <v>16</v>
      </c>
      <c r="J5783">
        <f>IF($H5783=0,1,IF($I5783&lt;=1,2,0))</f>
        <v>0</v>
      </c>
      <c r="K5783">
        <v>0</v>
      </c>
      <c r="L5783">
        <f>IF(AND($J5783=0,$K5783=0),0,1)</f>
        <v>0</v>
      </c>
    </row>
    <row r="5784" spans="1:12" x14ac:dyDescent="0.2">
      <c r="A5784" t="s">
        <v>417</v>
      </c>
      <c r="B5784" t="s">
        <v>17</v>
      </c>
      <c r="C5784" t="s">
        <v>9</v>
      </c>
      <c r="D5784">
        <v>1102</v>
      </c>
      <c r="E5784">
        <v>2021</v>
      </c>
      <c r="F5784">
        <v>2</v>
      </c>
      <c r="G5784">
        <v>12910</v>
      </c>
      <c r="H5784" s="1">
        <v>4</v>
      </c>
      <c r="I5784">
        <v>15</v>
      </c>
      <c r="J5784">
        <f>IF($H5784=0,1,IF($I5784&lt;=1,2,0))</f>
        <v>0</v>
      </c>
      <c r="K5784">
        <v>0</v>
      </c>
      <c r="L5784">
        <f>IF(AND($J5784=0,$K5784=0),0,1)</f>
        <v>0</v>
      </c>
    </row>
    <row r="5785" spans="1:12" x14ac:dyDescent="0.2">
      <c r="A5785" t="s">
        <v>417</v>
      </c>
      <c r="B5785" t="s">
        <v>17</v>
      </c>
      <c r="C5785" t="s">
        <v>9</v>
      </c>
      <c r="D5785">
        <v>1102</v>
      </c>
      <c r="E5785">
        <v>2021</v>
      </c>
      <c r="F5785">
        <v>5</v>
      </c>
      <c r="G5785">
        <v>12937</v>
      </c>
      <c r="H5785" s="1">
        <v>4</v>
      </c>
      <c r="I5785">
        <v>15</v>
      </c>
      <c r="J5785">
        <f>IF($H5785=0,1,IF($I5785&lt;=1,2,0))</f>
        <v>0</v>
      </c>
      <c r="K5785">
        <v>0</v>
      </c>
      <c r="L5785">
        <f>IF(AND($J5785=0,$K5785=0),0,1)</f>
        <v>0</v>
      </c>
    </row>
    <row r="5786" spans="1:12" x14ac:dyDescent="0.2">
      <c r="A5786" t="s">
        <v>417</v>
      </c>
      <c r="B5786" t="s">
        <v>17</v>
      </c>
      <c r="C5786" t="s">
        <v>9</v>
      </c>
      <c r="D5786">
        <v>1102</v>
      </c>
      <c r="E5786">
        <v>2021</v>
      </c>
      <c r="F5786">
        <v>3</v>
      </c>
      <c r="G5786">
        <v>12915</v>
      </c>
      <c r="H5786" s="1">
        <v>4</v>
      </c>
      <c r="I5786">
        <v>11</v>
      </c>
      <c r="J5786">
        <f>IF($H5786=0,1,IF($I5786&lt;=1,2,0))</f>
        <v>0</v>
      </c>
      <c r="K5786">
        <v>0</v>
      </c>
      <c r="L5786">
        <f>IF(AND($J5786=0,$K5786=0),0,1)</f>
        <v>0</v>
      </c>
    </row>
    <row r="5787" spans="1:12" x14ac:dyDescent="0.2">
      <c r="A5787" t="s">
        <v>417</v>
      </c>
      <c r="B5787" t="s">
        <v>17</v>
      </c>
      <c r="C5787" t="s">
        <v>9</v>
      </c>
      <c r="D5787">
        <v>1102</v>
      </c>
      <c r="E5787">
        <v>2021</v>
      </c>
      <c r="F5787">
        <v>1</v>
      </c>
      <c r="G5787">
        <v>12902</v>
      </c>
      <c r="H5787" s="1">
        <v>4</v>
      </c>
      <c r="I5787">
        <v>10</v>
      </c>
      <c r="J5787">
        <f>IF($H5787=0,1,IF($I5787&lt;=1,2,0))</f>
        <v>0</v>
      </c>
      <c r="K5787">
        <v>0</v>
      </c>
      <c r="L5787">
        <f>IF(AND($J5787=0,$K5787=0),0,1)</f>
        <v>0</v>
      </c>
    </row>
    <row r="5788" spans="1:12" x14ac:dyDescent="0.2">
      <c r="A5788" t="s">
        <v>417</v>
      </c>
      <c r="B5788" t="s">
        <v>17</v>
      </c>
      <c r="C5788" t="s">
        <v>9</v>
      </c>
      <c r="D5788">
        <v>1105</v>
      </c>
      <c r="E5788">
        <v>2021</v>
      </c>
      <c r="F5788">
        <v>1</v>
      </c>
      <c r="G5788">
        <v>12939</v>
      </c>
      <c r="H5788" s="1">
        <v>8</v>
      </c>
      <c r="I5788">
        <v>6</v>
      </c>
      <c r="J5788">
        <f>IF($H5788=0,1,IF($I5788&lt;=1,2,0))</f>
        <v>0</v>
      </c>
      <c r="K5788">
        <v>0</v>
      </c>
      <c r="L5788">
        <f>IF(AND($J5788=0,$K5788=0),0,1)</f>
        <v>0</v>
      </c>
    </row>
    <row r="5789" spans="1:12" x14ac:dyDescent="0.2">
      <c r="A5789" t="s">
        <v>417</v>
      </c>
      <c r="B5789" t="s">
        <v>17</v>
      </c>
      <c r="C5789" t="s">
        <v>9</v>
      </c>
      <c r="D5789">
        <v>2101</v>
      </c>
      <c r="E5789">
        <v>2021</v>
      </c>
      <c r="F5789">
        <v>5</v>
      </c>
      <c r="G5789">
        <v>12981</v>
      </c>
      <c r="H5789" s="1">
        <v>4</v>
      </c>
      <c r="I5789">
        <v>20</v>
      </c>
      <c r="J5789">
        <f>IF($H5789=0,1,IF($I5789&lt;=1,2,0))</f>
        <v>0</v>
      </c>
      <c r="K5789">
        <v>0</v>
      </c>
      <c r="L5789">
        <f>IF(AND($J5789=0,$K5789=0),0,1)</f>
        <v>0</v>
      </c>
    </row>
    <row r="5790" spans="1:12" x14ac:dyDescent="0.2">
      <c r="A5790" t="s">
        <v>417</v>
      </c>
      <c r="B5790" t="s">
        <v>17</v>
      </c>
      <c r="C5790" t="s">
        <v>9</v>
      </c>
      <c r="D5790">
        <v>2101</v>
      </c>
      <c r="E5790">
        <v>2021</v>
      </c>
      <c r="F5790">
        <v>7</v>
      </c>
      <c r="G5790">
        <v>12984</v>
      </c>
      <c r="H5790" s="1">
        <v>4</v>
      </c>
      <c r="I5790">
        <v>16</v>
      </c>
      <c r="J5790">
        <f>IF($H5790=0,1,IF($I5790&lt;=1,2,0))</f>
        <v>0</v>
      </c>
      <c r="K5790">
        <v>0</v>
      </c>
      <c r="L5790">
        <f>IF(AND($J5790=0,$K5790=0),0,1)</f>
        <v>0</v>
      </c>
    </row>
    <row r="5791" spans="1:12" x14ac:dyDescent="0.2">
      <c r="A5791" t="s">
        <v>417</v>
      </c>
      <c r="B5791" t="s">
        <v>17</v>
      </c>
      <c r="C5791" t="s">
        <v>9</v>
      </c>
      <c r="D5791">
        <v>2101</v>
      </c>
      <c r="E5791">
        <v>2021</v>
      </c>
      <c r="F5791">
        <v>6</v>
      </c>
      <c r="G5791">
        <v>12982</v>
      </c>
      <c r="H5791" s="1">
        <v>4</v>
      </c>
      <c r="I5791">
        <v>15</v>
      </c>
      <c r="J5791">
        <f>IF($H5791=0,1,IF($I5791&lt;=1,2,0))</f>
        <v>0</v>
      </c>
      <c r="K5791">
        <v>0</v>
      </c>
      <c r="L5791">
        <f>IF(AND($J5791=0,$K5791=0),0,1)</f>
        <v>0</v>
      </c>
    </row>
    <row r="5792" spans="1:12" x14ac:dyDescent="0.2">
      <c r="A5792" t="s">
        <v>417</v>
      </c>
      <c r="B5792" t="s">
        <v>17</v>
      </c>
      <c r="C5792" t="s">
        <v>9</v>
      </c>
      <c r="D5792">
        <v>2101</v>
      </c>
      <c r="E5792">
        <v>2021</v>
      </c>
      <c r="F5792">
        <v>1</v>
      </c>
      <c r="G5792">
        <v>12957</v>
      </c>
      <c r="H5792" s="1">
        <v>4</v>
      </c>
      <c r="I5792">
        <v>11</v>
      </c>
      <c r="J5792">
        <f>IF($H5792=0,1,IF($I5792&lt;=1,2,0))</f>
        <v>0</v>
      </c>
      <c r="K5792">
        <v>0</v>
      </c>
      <c r="L5792">
        <f>IF(AND($J5792=0,$K5792=0),0,1)</f>
        <v>0</v>
      </c>
    </row>
    <row r="5793" spans="1:12" x14ac:dyDescent="0.2">
      <c r="A5793" t="s">
        <v>417</v>
      </c>
      <c r="B5793" t="s">
        <v>17</v>
      </c>
      <c r="C5793" t="s">
        <v>9</v>
      </c>
      <c r="D5793">
        <v>2101</v>
      </c>
      <c r="E5793">
        <v>2021</v>
      </c>
      <c r="F5793">
        <v>2</v>
      </c>
      <c r="G5793">
        <v>12960</v>
      </c>
      <c r="H5793" s="1">
        <v>4</v>
      </c>
      <c r="I5793">
        <v>11</v>
      </c>
      <c r="J5793">
        <f>IF($H5793=0,1,IF($I5793&lt;=1,2,0))</f>
        <v>0</v>
      </c>
      <c r="K5793">
        <v>0</v>
      </c>
      <c r="L5793">
        <f>IF(AND($J5793=0,$K5793=0),0,1)</f>
        <v>0</v>
      </c>
    </row>
    <row r="5794" spans="1:12" x14ac:dyDescent="0.2">
      <c r="A5794" t="s">
        <v>417</v>
      </c>
      <c r="B5794" t="s">
        <v>17</v>
      </c>
      <c r="C5794" t="s">
        <v>9</v>
      </c>
      <c r="D5794">
        <v>2101</v>
      </c>
      <c r="E5794">
        <v>2021</v>
      </c>
      <c r="F5794">
        <v>3</v>
      </c>
      <c r="G5794">
        <v>12962</v>
      </c>
      <c r="H5794" s="1">
        <v>4</v>
      </c>
      <c r="I5794">
        <v>10</v>
      </c>
      <c r="J5794">
        <f>IF($H5794=0,1,IF($I5794&lt;=1,2,0))</f>
        <v>0</v>
      </c>
      <c r="K5794">
        <v>0</v>
      </c>
      <c r="L5794">
        <f>IF(AND($J5794=0,$K5794=0),0,1)</f>
        <v>0</v>
      </c>
    </row>
    <row r="5795" spans="1:12" x14ac:dyDescent="0.2">
      <c r="A5795" t="s">
        <v>417</v>
      </c>
      <c r="B5795" t="s">
        <v>17</v>
      </c>
      <c r="C5795" t="s">
        <v>9</v>
      </c>
      <c r="D5795">
        <v>2101</v>
      </c>
      <c r="E5795">
        <v>2021</v>
      </c>
      <c r="F5795">
        <v>4</v>
      </c>
      <c r="G5795">
        <v>12966</v>
      </c>
      <c r="H5795" s="1">
        <v>4</v>
      </c>
      <c r="I5795">
        <v>4</v>
      </c>
      <c r="J5795">
        <f>IF($H5795=0,1,IF($I5795&lt;=1,2,0))</f>
        <v>0</v>
      </c>
      <c r="K5795">
        <v>0</v>
      </c>
      <c r="L5795">
        <f>IF(AND($J5795=0,$K5795=0),0,1)</f>
        <v>0</v>
      </c>
    </row>
    <row r="5796" spans="1:12" x14ac:dyDescent="0.2">
      <c r="A5796" t="s">
        <v>417</v>
      </c>
      <c r="B5796" t="s">
        <v>17</v>
      </c>
      <c r="C5796" t="s">
        <v>9</v>
      </c>
      <c r="D5796">
        <v>2102</v>
      </c>
      <c r="E5796">
        <v>2021</v>
      </c>
      <c r="F5796">
        <v>2</v>
      </c>
      <c r="G5796">
        <v>12986</v>
      </c>
      <c r="H5796" s="1">
        <v>4</v>
      </c>
      <c r="I5796">
        <v>18</v>
      </c>
      <c r="J5796">
        <f>IF($H5796=0,1,IF($I5796&lt;=1,2,0))</f>
        <v>0</v>
      </c>
      <c r="K5796">
        <v>0</v>
      </c>
      <c r="L5796">
        <f>IF(AND($J5796=0,$K5796=0),0,1)</f>
        <v>0</v>
      </c>
    </row>
    <row r="5797" spans="1:12" x14ac:dyDescent="0.2">
      <c r="A5797" t="s">
        <v>417</v>
      </c>
      <c r="B5797" t="s">
        <v>17</v>
      </c>
      <c r="C5797" t="s">
        <v>9</v>
      </c>
      <c r="D5797">
        <v>2102</v>
      </c>
      <c r="E5797">
        <v>2021</v>
      </c>
      <c r="F5797">
        <v>3</v>
      </c>
      <c r="G5797">
        <v>12989</v>
      </c>
      <c r="H5797" s="1">
        <v>4</v>
      </c>
      <c r="I5797">
        <v>17</v>
      </c>
      <c r="J5797">
        <f>IF($H5797=0,1,IF($I5797&lt;=1,2,0))</f>
        <v>0</v>
      </c>
      <c r="K5797">
        <v>0</v>
      </c>
      <c r="L5797">
        <f>IF(AND($J5797=0,$K5797=0),0,1)</f>
        <v>0</v>
      </c>
    </row>
    <row r="5798" spans="1:12" x14ac:dyDescent="0.2">
      <c r="A5798" t="s">
        <v>417</v>
      </c>
      <c r="B5798" t="s">
        <v>17</v>
      </c>
      <c r="C5798" t="s">
        <v>9</v>
      </c>
      <c r="D5798">
        <v>2102</v>
      </c>
      <c r="E5798">
        <v>2021</v>
      </c>
      <c r="F5798">
        <v>4</v>
      </c>
      <c r="G5798">
        <v>12991</v>
      </c>
      <c r="H5798" s="1">
        <v>4</v>
      </c>
      <c r="I5798">
        <v>17</v>
      </c>
      <c r="J5798">
        <f>IF($H5798=0,1,IF($I5798&lt;=1,2,0))</f>
        <v>0</v>
      </c>
      <c r="K5798">
        <v>0</v>
      </c>
      <c r="L5798">
        <f>IF(AND($J5798=0,$K5798=0),0,1)</f>
        <v>0</v>
      </c>
    </row>
    <row r="5799" spans="1:12" x14ac:dyDescent="0.2">
      <c r="A5799" t="s">
        <v>417</v>
      </c>
      <c r="B5799" t="s">
        <v>17</v>
      </c>
      <c r="C5799" t="s">
        <v>9</v>
      </c>
      <c r="D5799">
        <v>2102</v>
      </c>
      <c r="E5799">
        <v>2021</v>
      </c>
      <c r="F5799">
        <v>1</v>
      </c>
      <c r="G5799">
        <v>12985</v>
      </c>
      <c r="H5799" s="1">
        <v>4</v>
      </c>
      <c r="I5799">
        <v>13</v>
      </c>
      <c r="J5799">
        <f>IF($H5799=0,1,IF($I5799&lt;=1,2,0))</f>
        <v>0</v>
      </c>
      <c r="K5799">
        <v>0</v>
      </c>
      <c r="L5799">
        <f>IF(AND($J5799=0,$K5799=0),0,1)</f>
        <v>0</v>
      </c>
    </row>
    <row r="5800" spans="1:12" x14ac:dyDescent="0.2">
      <c r="A5800" t="s">
        <v>417</v>
      </c>
      <c r="B5800" t="s">
        <v>17</v>
      </c>
      <c r="C5800" t="s">
        <v>9</v>
      </c>
      <c r="D5800">
        <v>2102</v>
      </c>
      <c r="E5800">
        <v>2021</v>
      </c>
      <c r="F5800">
        <v>5</v>
      </c>
      <c r="G5800">
        <v>12995</v>
      </c>
      <c r="H5800" s="1">
        <v>4</v>
      </c>
      <c r="I5800">
        <v>4</v>
      </c>
      <c r="J5800">
        <f>IF($H5800=0,1,IF($I5800&lt;=1,2,0))</f>
        <v>0</v>
      </c>
      <c r="K5800">
        <v>0</v>
      </c>
      <c r="L5800">
        <f>IF(AND($J5800=0,$K5800=0),0,1)</f>
        <v>0</v>
      </c>
    </row>
    <row r="5801" spans="1:12" x14ac:dyDescent="0.2">
      <c r="A5801" t="s">
        <v>417</v>
      </c>
      <c r="B5801" t="s">
        <v>17</v>
      </c>
      <c r="C5801" t="s">
        <v>9</v>
      </c>
      <c r="D5801">
        <v>2105</v>
      </c>
      <c r="E5801">
        <v>2021</v>
      </c>
      <c r="F5801">
        <v>1</v>
      </c>
      <c r="G5801">
        <v>12996</v>
      </c>
      <c r="H5801" s="1">
        <v>6</v>
      </c>
      <c r="I5801">
        <v>3</v>
      </c>
      <c r="J5801">
        <f>IF($H5801=0,1,IF($I5801&lt;=1,2,0))</f>
        <v>0</v>
      </c>
      <c r="K5801">
        <v>0</v>
      </c>
      <c r="L5801">
        <f>IF(AND($J5801=0,$K5801=0),0,1)</f>
        <v>0</v>
      </c>
    </row>
    <row r="5802" spans="1:12" x14ac:dyDescent="0.2">
      <c r="A5802" t="s">
        <v>417</v>
      </c>
      <c r="B5802" t="s">
        <v>17</v>
      </c>
      <c r="C5802" t="s">
        <v>9</v>
      </c>
      <c r="D5802">
        <v>2106</v>
      </c>
      <c r="E5802">
        <v>2021</v>
      </c>
      <c r="F5802">
        <v>1</v>
      </c>
      <c r="G5802">
        <v>12997</v>
      </c>
      <c r="H5802" s="1">
        <v>3</v>
      </c>
      <c r="I5802">
        <v>5</v>
      </c>
      <c r="J5802">
        <f>IF($H5802=0,1,IF($I5802&lt;=1,2,0))</f>
        <v>0</v>
      </c>
      <c r="K5802">
        <v>0</v>
      </c>
      <c r="L5802">
        <f>IF(AND($J5802=0,$K5802=0),0,1)</f>
        <v>0</v>
      </c>
    </row>
    <row r="5803" spans="1:12" x14ac:dyDescent="0.2">
      <c r="A5803" t="s">
        <v>417</v>
      </c>
      <c r="B5803" t="s">
        <v>17</v>
      </c>
      <c r="C5803" t="s">
        <v>9</v>
      </c>
      <c r="D5803">
        <v>2121</v>
      </c>
      <c r="E5803">
        <v>2021</v>
      </c>
      <c r="F5803">
        <v>1</v>
      </c>
      <c r="G5803">
        <v>12998</v>
      </c>
      <c r="H5803" s="1">
        <v>2</v>
      </c>
      <c r="I5803">
        <v>6</v>
      </c>
      <c r="J5803">
        <f>IF($H5803=0,1,IF($I5803&lt;=1,2,0))</f>
        <v>0</v>
      </c>
      <c r="K5803">
        <v>0</v>
      </c>
      <c r="L5803">
        <f>IF(AND($J5803=0,$K5803=0),0,1)</f>
        <v>0</v>
      </c>
    </row>
    <row r="5804" spans="1:12" x14ac:dyDescent="0.2">
      <c r="A5804" t="s">
        <v>417</v>
      </c>
      <c r="B5804" t="s">
        <v>17</v>
      </c>
      <c r="C5804" t="s">
        <v>9</v>
      </c>
      <c r="D5804">
        <v>2121</v>
      </c>
      <c r="E5804">
        <v>2021</v>
      </c>
      <c r="F5804">
        <v>2</v>
      </c>
      <c r="G5804">
        <v>12999</v>
      </c>
      <c r="H5804" s="1">
        <v>2</v>
      </c>
      <c r="I5804">
        <v>5</v>
      </c>
      <c r="J5804">
        <f>IF($H5804=0,1,IF($I5804&lt;=1,2,0))</f>
        <v>0</v>
      </c>
      <c r="K5804">
        <v>0</v>
      </c>
      <c r="L5804">
        <f>IF(AND($J5804=0,$K5804=0),0,1)</f>
        <v>0</v>
      </c>
    </row>
    <row r="5805" spans="1:12" x14ac:dyDescent="0.2">
      <c r="A5805" t="s">
        <v>417</v>
      </c>
      <c r="B5805" t="s">
        <v>17</v>
      </c>
      <c r="C5805" t="s">
        <v>9</v>
      </c>
      <c r="D5805">
        <v>2122</v>
      </c>
      <c r="E5805">
        <v>2021</v>
      </c>
      <c r="F5805">
        <v>1</v>
      </c>
      <c r="G5805">
        <v>13000</v>
      </c>
      <c r="H5805" s="1">
        <v>2</v>
      </c>
      <c r="I5805">
        <v>6</v>
      </c>
      <c r="J5805">
        <f>IF($H5805=0,1,IF($I5805&lt;=1,2,0))</f>
        <v>0</v>
      </c>
      <c r="K5805">
        <v>0</v>
      </c>
      <c r="L5805">
        <f>IF(AND($J5805=0,$K5805=0),0,1)</f>
        <v>0</v>
      </c>
    </row>
    <row r="5806" spans="1:12" x14ac:dyDescent="0.2">
      <c r="A5806" t="s">
        <v>417</v>
      </c>
      <c r="B5806" t="s">
        <v>17</v>
      </c>
      <c r="C5806" t="s">
        <v>9</v>
      </c>
      <c r="D5806">
        <v>2122</v>
      </c>
      <c r="E5806">
        <v>2021</v>
      </c>
      <c r="F5806">
        <v>2</v>
      </c>
      <c r="G5806">
        <v>13001</v>
      </c>
      <c r="H5806" s="1">
        <v>2</v>
      </c>
      <c r="I5806">
        <v>4</v>
      </c>
      <c r="J5806">
        <f>IF($H5806=0,1,IF($I5806&lt;=1,2,0))</f>
        <v>0</v>
      </c>
      <c r="K5806">
        <v>0</v>
      </c>
      <c r="L5806">
        <f>IF(AND($J5806=0,$K5806=0),0,1)</f>
        <v>0</v>
      </c>
    </row>
    <row r="5807" spans="1:12" x14ac:dyDescent="0.2">
      <c r="A5807" t="s">
        <v>417</v>
      </c>
      <c r="B5807" t="s">
        <v>17</v>
      </c>
      <c r="C5807" t="s">
        <v>9</v>
      </c>
      <c r="D5807">
        <v>3131</v>
      </c>
      <c r="E5807">
        <v>2021</v>
      </c>
      <c r="F5807">
        <v>3</v>
      </c>
      <c r="G5807">
        <v>13004</v>
      </c>
      <c r="H5807" s="1">
        <v>2</v>
      </c>
      <c r="I5807">
        <v>12</v>
      </c>
      <c r="J5807">
        <f>IF($H5807=0,1,IF($I5807&lt;=1,2,0))</f>
        <v>0</v>
      </c>
      <c r="K5807">
        <v>0</v>
      </c>
      <c r="L5807">
        <f>IF(AND($J5807=0,$K5807=0),0,1)</f>
        <v>0</v>
      </c>
    </row>
    <row r="5808" spans="1:12" x14ac:dyDescent="0.2">
      <c r="A5808" t="s">
        <v>417</v>
      </c>
      <c r="B5808" t="s">
        <v>17</v>
      </c>
      <c r="C5808" t="s">
        <v>9</v>
      </c>
      <c r="D5808">
        <v>3131</v>
      </c>
      <c r="E5808">
        <v>2021</v>
      </c>
      <c r="F5808">
        <v>2</v>
      </c>
      <c r="G5808">
        <v>13003</v>
      </c>
      <c r="H5808" s="1">
        <v>2</v>
      </c>
      <c r="I5808">
        <v>5</v>
      </c>
      <c r="J5808">
        <f>IF($H5808=0,1,IF($I5808&lt;=1,2,0))</f>
        <v>0</v>
      </c>
      <c r="K5808">
        <v>0</v>
      </c>
      <c r="L5808">
        <f>IF(AND($J5808=0,$K5808=0),0,1)</f>
        <v>0</v>
      </c>
    </row>
    <row r="5809" spans="1:13" x14ac:dyDescent="0.2">
      <c r="A5809" t="s">
        <v>417</v>
      </c>
      <c r="B5809" t="s">
        <v>17</v>
      </c>
      <c r="C5809" t="s">
        <v>9</v>
      </c>
      <c r="D5809">
        <v>3240</v>
      </c>
      <c r="E5809">
        <v>2021</v>
      </c>
      <c r="F5809">
        <v>1</v>
      </c>
      <c r="G5809">
        <v>13007</v>
      </c>
      <c r="H5809" s="1">
        <v>3</v>
      </c>
      <c r="I5809">
        <v>15</v>
      </c>
      <c r="J5809">
        <f>IF($H5809=0,1,IF($I5809&lt;=1,2,0))</f>
        <v>0</v>
      </c>
      <c r="K5809">
        <v>0</v>
      </c>
      <c r="L5809">
        <f>IF(AND($J5809=0,$K5809=0),0,1)</f>
        <v>0</v>
      </c>
    </row>
    <row r="5810" spans="1:13" x14ac:dyDescent="0.2">
      <c r="A5810" t="s">
        <v>417</v>
      </c>
      <c r="B5810" t="s">
        <v>17</v>
      </c>
      <c r="C5810" t="s">
        <v>9</v>
      </c>
      <c r="D5810">
        <v>3240</v>
      </c>
      <c r="E5810">
        <v>2021</v>
      </c>
      <c r="F5810">
        <v>2</v>
      </c>
      <c r="G5810">
        <v>17117</v>
      </c>
      <c r="H5810" s="1">
        <v>3</v>
      </c>
      <c r="I5810">
        <v>9</v>
      </c>
      <c r="J5810">
        <f>IF($H5810=0,1,IF($I5810&lt;=1,2,0))</f>
        <v>0</v>
      </c>
      <c r="K5810">
        <v>0</v>
      </c>
      <c r="L5810">
        <f>IF(AND($J5810=0,$K5810=0),0,1)</f>
        <v>0</v>
      </c>
    </row>
    <row r="5811" spans="1:13" x14ac:dyDescent="0.2">
      <c r="A5811" t="s">
        <v>417</v>
      </c>
      <c r="B5811" t="s">
        <v>17</v>
      </c>
      <c r="C5811" t="s">
        <v>9</v>
      </c>
      <c r="D5811">
        <v>3242</v>
      </c>
      <c r="E5811">
        <v>2021</v>
      </c>
      <c r="F5811">
        <v>1</v>
      </c>
      <c r="G5811">
        <v>13008</v>
      </c>
      <c r="H5811" s="1">
        <v>3</v>
      </c>
      <c r="I5811">
        <v>15</v>
      </c>
      <c r="J5811">
        <f>IF($H5811=0,1,IF($I5811&lt;=1,2,0))</f>
        <v>0</v>
      </c>
      <c r="K5811">
        <v>0</v>
      </c>
      <c r="L5811">
        <f>IF(AND($J5811=0,$K5811=0),0,1)</f>
        <v>0</v>
      </c>
    </row>
    <row r="5812" spans="1:13" x14ac:dyDescent="0.2">
      <c r="A5812" t="s">
        <v>417</v>
      </c>
      <c r="B5812" t="s">
        <v>17</v>
      </c>
      <c r="C5812" t="s">
        <v>9</v>
      </c>
      <c r="D5812">
        <v>3333</v>
      </c>
      <c r="E5812">
        <v>2021</v>
      </c>
      <c r="F5812">
        <v>1</v>
      </c>
      <c r="G5812">
        <v>13009</v>
      </c>
      <c r="H5812" s="1">
        <v>3</v>
      </c>
      <c r="I5812">
        <v>10</v>
      </c>
      <c r="J5812">
        <f>IF($H5812=0,1,IF($I5812&lt;=1,2,0))</f>
        <v>0</v>
      </c>
      <c r="K5812">
        <v>0</v>
      </c>
      <c r="L5812">
        <f>IF(AND($J5812=0,$K5812=0),0,1)</f>
        <v>0</v>
      </c>
    </row>
    <row r="5813" spans="1:13" x14ac:dyDescent="0.2">
      <c r="A5813" t="s">
        <v>417</v>
      </c>
      <c r="B5813" t="s">
        <v>17</v>
      </c>
      <c r="C5813" t="s">
        <v>9</v>
      </c>
      <c r="D5813">
        <v>3405</v>
      </c>
      <c r="E5813">
        <v>2021</v>
      </c>
      <c r="F5813">
        <v>1</v>
      </c>
      <c r="G5813">
        <v>13005</v>
      </c>
      <c r="H5813" s="1">
        <v>3</v>
      </c>
      <c r="I5813">
        <v>10</v>
      </c>
      <c r="J5813">
        <f>IF($H5813=0,1,IF($I5813&lt;=1,2,0))</f>
        <v>0</v>
      </c>
      <c r="K5813">
        <v>0</v>
      </c>
      <c r="L5813">
        <f>IF(AND($J5813=0,$K5813=0),0,1)</f>
        <v>0</v>
      </c>
      <c r="M5813" t="s">
        <v>419</v>
      </c>
    </row>
    <row r="5814" spans="1:13" x14ac:dyDescent="0.2">
      <c r="A5814" t="s">
        <v>417</v>
      </c>
      <c r="B5814" t="s">
        <v>17</v>
      </c>
      <c r="C5814" t="s">
        <v>9</v>
      </c>
      <c r="D5814">
        <v>3405</v>
      </c>
      <c r="E5814">
        <v>2021</v>
      </c>
      <c r="F5814">
        <v>2</v>
      </c>
      <c r="G5814">
        <v>13006</v>
      </c>
      <c r="H5814" s="1">
        <v>3</v>
      </c>
      <c r="I5814">
        <v>4</v>
      </c>
      <c r="J5814">
        <f>IF($H5814=0,1,IF($I5814&lt;=1,2,0))</f>
        <v>0</v>
      </c>
      <c r="K5814">
        <v>0</v>
      </c>
      <c r="L5814">
        <f>IF(AND($J5814=0,$K5814=0),0,1)</f>
        <v>0</v>
      </c>
    </row>
    <row r="5815" spans="1:13" x14ac:dyDescent="0.2">
      <c r="A5815" t="s">
        <v>417</v>
      </c>
      <c r="B5815" t="s">
        <v>17</v>
      </c>
      <c r="C5815" t="s">
        <v>9</v>
      </c>
      <c r="D5815">
        <v>3420</v>
      </c>
      <c r="E5815">
        <v>2021</v>
      </c>
      <c r="F5815">
        <v>1</v>
      </c>
      <c r="G5815">
        <v>13794</v>
      </c>
      <c r="H5815" s="1">
        <v>3</v>
      </c>
      <c r="I5815">
        <v>7</v>
      </c>
      <c r="J5815">
        <f>IF($H5815=0,1,IF($I5815&lt;=1,2,0))</f>
        <v>0</v>
      </c>
      <c r="K5815">
        <v>0</v>
      </c>
      <c r="L5815">
        <f>IF(AND($J5815=0,$K5815=0),0,1)</f>
        <v>0</v>
      </c>
    </row>
    <row r="5816" spans="1:13" x14ac:dyDescent="0.2">
      <c r="A5816" t="s">
        <v>417</v>
      </c>
      <c r="B5816" t="s">
        <v>17</v>
      </c>
      <c r="C5816" t="s">
        <v>9</v>
      </c>
      <c r="D5816">
        <v>3421</v>
      </c>
      <c r="E5816">
        <v>2021</v>
      </c>
      <c r="F5816">
        <v>1</v>
      </c>
      <c r="G5816">
        <v>17148</v>
      </c>
      <c r="H5816" s="1">
        <v>3</v>
      </c>
      <c r="I5816">
        <v>9</v>
      </c>
      <c r="J5816">
        <f>IF($H5816=0,1,IF($I5816&lt;=1,2,0))</f>
        <v>0</v>
      </c>
      <c r="K5816">
        <v>0</v>
      </c>
      <c r="L5816">
        <f>IF(AND($J5816=0,$K5816=0),0,1)</f>
        <v>0</v>
      </c>
    </row>
    <row r="5817" spans="1:13" x14ac:dyDescent="0.2">
      <c r="A5817" t="s">
        <v>417</v>
      </c>
      <c r="B5817" t="s">
        <v>17</v>
      </c>
      <c r="C5817" t="s">
        <v>9</v>
      </c>
      <c r="D5817">
        <v>3995</v>
      </c>
      <c r="E5817">
        <v>2021</v>
      </c>
      <c r="F5817">
        <v>1</v>
      </c>
      <c r="G5817">
        <v>13010</v>
      </c>
      <c r="H5817" s="1">
        <v>3</v>
      </c>
      <c r="I5817">
        <v>2</v>
      </c>
      <c r="J5817">
        <f>IF($H5817=0,1,IF($I5817&lt;=1,2,0))</f>
        <v>0</v>
      </c>
      <c r="K5817">
        <v>0</v>
      </c>
      <c r="L5817">
        <f>IF(AND($J5817=0,$K5817=0),0,1)</f>
        <v>0</v>
      </c>
    </row>
    <row r="5818" spans="1:13" x14ac:dyDescent="0.2">
      <c r="A5818" t="s">
        <v>417</v>
      </c>
      <c r="B5818" t="s">
        <v>17</v>
      </c>
      <c r="C5818" t="s">
        <v>11</v>
      </c>
      <c r="D5818">
        <v>4301</v>
      </c>
      <c r="E5818">
        <v>2021</v>
      </c>
      <c r="F5818">
        <v>1</v>
      </c>
      <c r="G5818">
        <v>13017</v>
      </c>
      <c r="H5818" s="1">
        <v>3</v>
      </c>
      <c r="I5818">
        <v>7</v>
      </c>
      <c r="J5818">
        <f>IF($H5818=0,1,IF($I5818&lt;=1,2,0))</f>
        <v>0</v>
      </c>
      <c r="K5818">
        <v>0</v>
      </c>
      <c r="L5818">
        <f>IF(AND($J5818=0,$K5818=0),0,1)</f>
        <v>0</v>
      </c>
    </row>
    <row r="5819" spans="1:13" x14ac:dyDescent="0.2">
      <c r="A5819" t="s">
        <v>417</v>
      </c>
      <c r="B5819" t="s">
        <v>17</v>
      </c>
      <c r="C5819" t="s">
        <v>9</v>
      </c>
      <c r="D5819">
        <v>4422</v>
      </c>
      <c r="E5819">
        <v>2021</v>
      </c>
      <c r="F5819">
        <v>1</v>
      </c>
      <c r="G5819">
        <v>13019</v>
      </c>
      <c r="H5819" s="1">
        <v>3</v>
      </c>
      <c r="I5819">
        <v>12</v>
      </c>
      <c r="J5819">
        <f>IF($H5819=0,1,IF($I5819&lt;=1,2,0))</f>
        <v>0</v>
      </c>
      <c r="K5819">
        <v>0</v>
      </c>
      <c r="L5819">
        <f>IF(AND($J5819=0,$K5819=0),0,1)</f>
        <v>0</v>
      </c>
    </row>
    <row r="5820" spans="1:13" x14ac:dyDescent="0.2">
      <c r="A5820" t="s">
        <v>417</v>
      </c>
      <c r="B5820" t="s">
        <v>17</v>
      </c>
      <c r="C5820" t="s">
        <v>11</v>
      </c>
      <c r="D5820">
        <v>4730</v>
      </c>
      <c r="E5820">
        <v>2021</v>
      </c>
      <c r="F5820">
        <v>1</v>
      </c>
      <c r="G5820">
        <v>13015</v>
      </c>
      <c r="H5820" s="1">
        <v>3</v>
      </c>
      <c r="I5820">
        <v>17</v>
      </c>
      <c r="J5820">
        <f>IF($H5820=0,1,IF($I5820&lt;=1,2,0))</f>
        <v>0</v>
      </c>
      <c r="K5820">
        <v>0</v>
      </c>
      <c r="L5820">
        <f>IF(AND($J5820=0,$K5820=0),0,1)</f>
        <v>0</v>
      </c>
    </row>
    <row r="5821" spans="1:13" x14ac:dyDescent="0.2">
      <c r="A5821" t="s">
        <v>417</v>
      </c>
      <c r="B5821" t="s">
        <v>17</v>
      </c>
      <c r="C5821" t="s">
        <v>11</v>
      </c>
      <c r="D5821">
        <v>6020</v>
      </c>
      <c r="E5821">
        <v>2021</v>
      </c>
      <c r="F5821">
        <v>1</v>
      </c>
      <c r="G5821">
        <v>13020</v>
      </c>
      <c r="H5821" s="1">
        <v>1</v>
      </c>
      <c r="I5821">
        <v>5</v>
      </c>
      <c r="J5821">
        <f>IF($H5821=0,1,IF($I5821&lt;=1,2,0))</f>
        <v>0</v>
      </c>
      <c r="K5821">
        <v>0</v>
      </c>
      <c r="L5821">
        <f>IF(AND($J5821=0,$K5821=0),0,1)</f>
        <v>0</v>
      </c>
    </row>
    <row r="5822" spans="1:13" x14ac:dyDescent="0.2">
      <c r="A5822" t="s">
        <v>1573</v>
      </c>
      <c r="B5822" t="s">
        <v>6</v>
      </c>
      <c r="C5822" t="s">
        <v>9</v>
      </c>
      <c r="D5822">
        <v>1100</v>
      </c>
      <c r="E5822">
        <v>2021</v>
      </c>
      <c r="F5822">
        <v>1</v>
      </c>
      <c r="G5822">
        <v>15066</v>
      </c>
      <c r="H5822" s="1">
        <v>3</v>
      </c>
      <c r="I5822">
        <v>34</v>
      </c>
      <c r="J5822">
        <f>IF($H5822=0,1,IF($I5822&lt;=1,2,0))</f>
        <v>0</v>
      </c>
      <c r="K5822">
        <v>0</v>
      </c>
      <c r="L5822">
        <f>IF(AND($J5822=0,$K5822=0),0,1)</f>
        <v>0</v>
      </c>
    </row>
    <row r="5823" spans="1:13" x14ac:dyDescent="0.2">
      <c r="A5823" t="s">
        <v>423</v>
      </c>
      <c r="B5823" t="s">
        <v>133</v>
      </c>
      <c r="C5823" t="s">
        <v>11</v>
      </c>
      <c r="D5823">
        <v>4050</v>
      </c>
      <c r="E5823">
        <v>2021</v>
      </c>
      <c r="F5823">
        <v>1</v>
      </c>
      <c r="G5823">
        <v>17542</v>
      </c>
      <c r="H5823" s="1">
        <v>4</v>
      </c>
      <c r="I5823">
        <v>5</v>
      </c>
      <c r="J5823">
        <f>IF($H5823=0,1,IF($I5823&lt;=1,2,0))</f>
        <v>0</v>
      </c>
      <c r="K5823">
        <v>0</v>
      </c>
      <c r="L5823">
        <f>IF(AND($J5823=0,$K5823=0),0,1)</f>
        <v>0</v>
      </c>
    </row>
    <row r="5824" spans="1:13" x14ac:dyDescent="0.2">
      <c r="A5824" t="s">
        <v>423</v>
      </c>
      <c r="B5824" t="s">
        <v>133</v>
      </c>
      <c r="C5824" t="s">
        <v>11</v>
      </c>
      <c r="D5824">
        <v>4501</v>
      </c>
      <c r="E5824">
        <v>2021</v>
      </c>
      <c r="F5824">
        <v>1</v>
      </c>
      <c r="G5824">
        <v>17543</v>
      </c>
      <c r="H5824" s="1">
        <v>4</v>
      </c>
      <c r="I5824">
        <v>6</v>
      </c>
      <c r="J5824">
        <f>IF($H5824=0,1,IF($I5824&lt;=1,2,0))</f>
        <v>0</v>
      </c>
      <c r="K5824">
        <v>0</v>
      </c>
      <c r="L5824">
        <f>IF(AND($J5824=0,$K5824=0),0,1)</f>
        <v>0</v>
      </c>
    </row>
    <row r="5825" spans="1:12" x14ac:dyDescent="0.2">
      <c r="A5825" t="s">
        <v>423</v>
      </c>
      <c r="B5825" t="s">
        <v>133</v>
      </c>
      <c r="C5825" t="s">
        <v>11</v>
      </c>
      <c r="D5825">
        <v>6210</v>
      </c>
      <c r="E5825">
        <v>2021</v>
      </c>
      <c r="F5825">
        <v>1</v>
      </c>
      <c r="G5825">
        <v>17541</v>
      </c>
      <c r="H5825" s="1">
        <v>3</v>
      </c>
      <c r="I5825">
        <v>10</v>
      </c>
      <c r="J5825">
        <f>IF($H5825=0,1,IF($I5825&lt;=1,2,0))</f>
        <v>0</v>
      </c>
      <c r="K5825">
        <v>0</v>
      </c>
      <c r="L5825">
        <f>IF(AND($J5825=0,$K5825=0),0,1)</f>
        <v>0</v>
      </c>
    </row>
    <row r="5826" spans="1:12" x14ac:dyDescent="0.2">
      <c r="A5826" t="s">
        <v>424</v>
      </c>
      <c r="B5826" t="s">
        <v>17</v>
      </c>
      <c r="C5826" t="s">
        <v>7</v>
      </c>
      <c r="D5826">
        <v>1101</v>
      </c>
      <c r="E5826">
        <v>2021</v>
      </c>
      <c r="F5826">
        <v>1</v>
      </c>
      <c r="G5826">
        <v>12763</v>
      </c>
      <c r="H5826" s="1">
        <v>4</v>
      </c>
      <c r="I5826">
        <v>15</v>
      </c>
      <c r="J5826">
        <f>IF($H5826=0,1,IF($I5826&lt;=1,2,0))</f>
        <v>0</v>
      </c>
      <c r="K5826">
        <v>0</v>
      </c>
      <c r="L5826">
        <f>IF(AND($J5826=0,$K5826=0),0,1)</f>
        <v>0</v>
      </c>
    </row>
    <row r="5827" spans="1:12" x14ac:dyDescent="0.2">
      <c r="A5827" t="s">
        <v>424</v>
      </c>
      <c r="B5827" t="s">
        <v>17</v>
      </c>
      <c r="C5827" t="s">
        <v>7</v>
      </c>
      <c r="D5827">
        <v>1101</v>
      </c>
      <c r="E5827">
        <v>2021</v>
      </c>
      <c r="F5827">
        <v>3</v>
      </c>
      <c r="G5827">
        <v>12765</v>
      </c>
      <c r="H5827" s="1">
        <v>4</v>
      </c>
      <c r="I5827">
        <v>15</v>
      </c>
      <c r="J5827">
        <f>IF($H5827=0,1,IF($I5827&lt;=1,2,0))</f>
        <v>0</v>
      </c>
      <c r="K5827">
        <v>0</v>
      </c>
      <c r="L5827">
        <f>IF(AND($J5827=0,$K5827=0),0,1)</f>
        <v>0</v>
      </c>
    </row>
    <row r="5828" spans="1:12" x14ac:dyDescent="0.2">
      <c r="A5828" t="s">
        <v>424</v>
      </c>
      <c r="B5828" t="s">
        <v>17</v>
      </c>
      <c r="C5828" t="s">
        <v>7</v>
      </c>
      <c r="D5828">
        <v>1101</v>
      </c>
      <c r="E5828">
        <v>2021</v>
      </c>
      <c r="F5828">
        <v>4</v>
      </c>
      <c r="G5828">
        <v>12766</v>
      </c>
      <c r="H5828" s="1">
        <v>4</v>
      </c>
      <c r="I5828">
        <v>14</v>
      </c>
      <c r="J5828">
        <f>IF($H5828=0,1,IF($I5828&lt;=1,2,0))</f>
        <v>0</v>
      </c>
      <c r="K5828">
        <v>0</v>
      </c>
      <c r="L5828">
        <f>IF(AND($J5828=0,$K5828=0),0,1)</f>
        <v>0</v>
      </c>
    </row>
    <row r="5829" spans="1:12" x14ac:dyDescent="0.2">
      <c r="A5829" t="s">
        <v>424</v>
      </c>
      <c r="B5829" t="s">
        <v>17</v>
      </c>
      <c r="C5829" t="s">
        <v>7</v>
      </c>
      <c r="D5829">
        <v>1101</v>
      </c>
      <c r="E5829">
        <v>2021</v>
      </c>
      <c r="F5829">
        <v>5</v>
      </c>
      <c r="G5829">
        <v>12767</v>
      </c>
      <c r="H5829" s="1">
        <v>4</v>
      </c>
      <c r="I5829">
        <v>9</v>
      </c>
      <c r="J5829">
        <f>IF($H5829=0,1,IF($I5829&lt;=1,2,0))</f>
        <v>0</v>
      </c>
      <c r="K5829">
        <v>0</v>
      </c>
      <c r="L5829">
        <f>IF(AND($J5829=0,$K5829=0),0,1)</f>
        <v>0</v>
      </c>
    </row>
    <row r="5830" spans="1:12" x14ac:dyDescent="0.2">
      <c r="A5830" t="s">
        <v>424</v>
      </c>
      <c r="B5830" t="s">
        <v>17</v>
      </c>
      <c r="C5830" t="s">
        <v>7</v>
      </c>
      <c r="D5830">
        <v>1101</v>
      </c>
      <c r="E5830">
        <v>2021</v>
      </c>
      <c r="F5830">
        <v>2</v>
      </c>
      <c r="G5830">
        <v>12764</v>
      </c>
      <c r="H5830" s="1">
        <v>4</v>
      </c>
      <c r="I5830">
        <v>8</v>
      </c>
      <c r="J5830">
        <f>IF($H5830=0,1,IF($I5830&lt;=1,2,0))</f>
        <v>0</v>
      </c>
      <c r="K5830">
        <v>0</v>
      </c>
      <c r="L5830">
        <f>IF(AND($J5830=0,$K5830=0),0,1)</f>
        <v>0</v>
      </c>
    </row>
    <row r="5831" spans="1:12" x14ac:dyDescent="0.2">
      <c r="A5831" t="s">
        <v>424</v>
      </c>
      <c r="B5831" t="s">
        <v>17</v>
      </c>
      <c r="C5831" t="s">
        <v>7</v>
      </c>
      <c r="D5831">
        <v>1102</v>
      </c>
      <c r="E5831">
        <v>2021</v>
      </c>
      <c r="F5831">
        <v>3</v>
      </c>
      <c r="G5831">
        <v>12775</v>
      </c>
      <c r="H5831" s="1">
        <v>4</v>
      </c>
      <c r="I5831">
        <v>7</v>
      </c>
      <c r="J5831">
        <f>IF($H5831=0,1,IF($I5831&lt;=1,2,0))</f>
        <v>0</v>
      </c>
      <c r="K5831">
        <v>0</v>
      </c>
      <c r="L5831">
        <f>IF(AND($J5831=0,$K5831=0),0,1)</f>
        <v>0</v>
      </c>
    </row>
    <row r="5832" spans="1:12" x14ac:dyDescent="0.2">
      <c r="A5832" t="s">
        <v>424</v>
      </c>
      <c r="B5832" t="s">
        <v>17</v>
      </c>
      <c r="C5832" t="s">
        <v>7</v>
      </c>
      <c r="D5832">
        <v>1102</v>
      </c>
      <c r="E5832">
        <v>2021</v>
      </c>
      <c r="F5832">
        <v>1</v>
      </c>
      <c r="G5832">
        <v>12768</v>
      </c>
      <c r="H5832" s="1">
        <v>4</v>
      </c>
      <c r="I5832">
        <v>6</v>
      </c>
      <c r="J5832">
        <f>IF($H5832=0,1,IF($I5832&lt;=1,2,0))</f>
        <v>0</v>
      </c>
      <c r="K5832">
        <v>0</v>
      </c>
      <c r="L5832">
        <f>IF(AND($J5832=0,$K5832=0),0,1)</f>
        <v>0</v>
      </c>
    </row>
    <row r="5833" spans="1:12" x14ac:dyDescent="0.2">
      <c r="A5833" t="s">
        <v>424</v>
      </c>
      <c r="B5833" t="s">
        <v>17</v>
      </c>
      <c r="C5833" t="s">
        <v>7</v>
      </c>
      <c r="D5833">
        <v>1102</v>
      </c>
      <c r="E5833">
        <v>2021</v>
      </c>
      <c r="F5833">
        <v>2</v>
      </c>
      <c r="G5833">
        <v>12769</v>
      </c>
      <c r="H5833" s="1">
        <v>4</v>
      </c>
      <c r="I5833">
        <v>4</v>
      </c>
      <c r="J5833">
        <f>IF($H5833=0,1,IF($I5833&lt;=1,2,0))</f>
        <v>0</v>
      </c>
      <c r="K5833">
        <v>0</v>
      </c>
      <c r="L5833">
        <f>IF(AND($J5833=0,$K5833=0),0,1)</f>
        <v>0</v>
      </c>
    </row>
    <row r="5834" spans="1:12" x14ac:dyDescent="0.2">
      <c r="A5834" t="s">
        <v>424</v>
      </c>
      <c r="B5834" t="s">
        <v>17</v>
      </c>
      <c r="C5834" t="s">
        <v>21</v>
      </c>
      <c r="D5834">
        <v>2101</v>
      </c>
      <c r="E5834">
        <v>2021</v>
      </c>
      <c r="F5834">
        <v>1</v>
      </c>
      <c r="G5834">
        <v>12784</v>
      </c>
      <c r="H5834" s="1">
        <v>4</v>
      </c>
      <c r="I5834">
        <v>11</v>
      </c>
      <c r="J5834">
        <f>IF($H5834=0,1,IF($I5834&lt;=1,2,0))</f>
        <v>0</v>
      </c>
      <c r="K5834">
        <v>0</v>
      </c>
      <c r="L5834">
        <f>IF(AND($J5834=0,$K5834=0),0,1)</f>
        <v>0</v>
      </c>
    </row>
    <row r="5835" spans="1:12" x14ac:dyDescent="0.2">
      <c r="A5835" t="s">
        <v>424</v>
      </c>
      <c r="B5835" t="s">
        <v>17</v>
      </c>
      <c r="C5835" t="s">
        <v>21</v>
      </c>
      <c r="D5835">
        <v>2101</v>
      </c>
      <c r="E5835">
        <v>2021</v>
      </c>
      <c r="F5835">
        <v>2</v>
      </c>
      <c r="G5835">
        <v>12789</v>
      </c>
      <c r="H5835" s="1">
        <v>4</v>
      </c>
      <c r="I5835">
        <v>10</v>
      </c>
      <c r="J5835">
        <f>IF($H5835=0,1,IF($I5835&lt;=1,2,0))</f>
        <v>0</v>
      </c>
      <c r="K5835">
        <v>0</v>
      </c>
      <c r="L5835">
        <f>IF(AND($J5835=0,$K5835=0),0,1)</f>
        <v>0</v>
      </c>
    </row>
    <row r="5836" spans="1:12" x14ac:dyDescent="0.2">
      <c r="A5836" t="s">
        <v>424</v>
      </c>
      <c r="B5836" t="s">
        <v>17</v>
      </c>
      <c r="C5836" t="s">
        <v>21</v>
      </c>
      <c r="D5836">
        <v>2101</v>
      </c>
      <c r="E5836">
        <v>2021</v>
      </c>
      <c r="F5836">
        <v>3</v>
      </c>
      <c r="G5836">
        <v>54</v>
      </c>
      <c r="H5836" s="1">
        <v>4</v>
      </c>
      <c r="I5836">
        <v>10</v>
      </c>
      <c r="J5836">
        <f>IF($H5836=0,1,IF($I5836&lt;=1,2,0))</f>
        <v>0</v>
      </c>
      <c r="K5836">
        <v>0</v>
      </c>
      <c r="L5836">
        <f>IF(AND($J5836=0,$K5836=0),0,1)</f>
        <v>0</v>
      </c>
    </row>
    <row r="5837" spans="1:12" x14ac:dyDescent="0.2">
      <c r="A5837" t="s">
        <v>424</v>
      </c>
      <c r="B5837" t="s">
        <v>17</v>
      </c>
      <c r="C5837" t="s">
        <v>21</v>
      </c>
      <c r="D5837">
        <v>2101</v>
      </c>
      <c r="E5837">
        <v>2021</v>
      </c>
      <c r="F5837">
        <v>4</v>
      </c>
      <c r="G5837">
        <v>12790</v>
      </c>
      <c r="H5837" s="1">
        <v>4</v>
      </c>
      <c r="I5837">
        <v>5</v>
      </c>
      <c r="J5837">
        <f>IF($H5837=0,1,IF($I5837&lt;=1,2,0))</f>
        <v>0</v>
      </c>
      <c r="K5837">
        <v>0</v>
      </c>
      <c r="L5837">
        <f>IF(AND($J5837=0,$K5837=0),0,1)</f>
        <v>0</v>
      </c>
    </row>
    <row r="5838" spans="1:12" x14ac:dyDescent="0.2">
      <c r="A5838" t="s">
        <v>424</v>
      </c>
      <c r="B5838" t="s">
        <v>17</v>
      </c>
      <c r="C5838" t="s">
        <v>21</v>
      </c>
      <c r="D5838">
        <v>2102</v>
      </c>
      <c r="E5838">
        <v>2021</v>
      </c>
      <c r="F5838">
        <v>1</v>
      </c>
      <c r="G5838">
        <v>12794</v>
      </c>
      <c r="H5838" s="1">
        <v>4</v>
      </c>
      <c r="I5838">
        <v>15</v>
      </c>
      <c r="J5838">
        <f>IF($H5838=0,1,IF($I5838&lt;=1,2,0))</f>
        <v>0</v>
      </c>
      <c r="K5838">
        <v>0</v>
      </c>
      <c r="L5838">
        <f>IF(AND($J5838=0,$K5838=0),0,1)</f>
        <v>0</v>
      </c>
    </row>
    <row r="5839" spans="1:12" x14ac:dyDescent="0.2">
      <c r="A5839" t="s">
        <v>424</v>
      </c>
      <c r="B5839" t="s">
        <v>17</v>
      </c>
      <c r="C5839" t="s">
        <v>21</v>
      </c>
      <c r="D5839">
        <v>2102</v>
      </c>
      <c r="E5839">
        <v>2021</v>
      </c>
      <c r="F5839">
        <v>2</v>
      </c>
      <c r="G5839">
        <v>12800</v>
      </c>
      <c r="H5839" s="1">
        <v>4</v>
      </c>
      <c r="I5839">
        <v>10</v>
      </c>
      <c r="J5839">
        <f>IF($H5839=0,1,IF($I5839&lt;=1,2,0))</f>
        <v>0</v>
      </c>
      <c r="K5839">
        <v>0</v>
      </c>
      <c r="L5839">
        <f>IF(AND($J5839=0,$K5839=0),0,1)</f>
        <v>0</v>
      </c>
    </row>
    <row r="5840" spans="1:12" x14ac:dyDescent="0.2">
      <c r="A5840" t="s">
        <v>424</v>
      </c>
      <c r="B5840" t="s">
        <v>17</v>
      </c>
      <c r="C5840" t="s">
        <v>9</v>
      </c>
      <c r="D5840">
        <v>2521</v>
      </c>
      <c r="E5840">
        <v>2021</v>
      </c>
      <c r="F5840">
        <v>1</v>
      </c>
      <c r="G5840">
        <v>12801</v>
      </c>
      <c r="H5840" s="1">
        <v>2</v>
      </c>
      <c r="I5840">
        <v>8</v>
      </c>
      <c r="J5840">
        <f>IF($H5840=0,1,IF($I5840&lt;=1,2,0))</f>
        <v>0</v>
      </c>
      <c r="K5840">
        <v>0</v>
      </c>
      <c r="L5840">
        <f>IF(AND($J5840=0,$K5840=0),0,1)</f>
        <v>0</v>
      </c>
    </row>
    <row r="5841" spans="1:13" x14ac:dyDescent="0.2">
      <c r="A5841" t="s">
        <v>424</v>
      </c>
      <c r="B5841" t="s">
        <v>17</v>
      </c>
      <c r="C5841" t="s">
        <v>21</v>
      </c>
      <c r="D5841">
        <v>3001</v>
      </c>
      <c r="E5841">
        <v>2021</v>
      </c>
      <c r="F5841">
        <v>1</v>
      </c>
      <c r="G5841">
        <v>12755</v>
      </c>
      <c r="H5841" s="1">
        <v>3</v>
      </c>
      <c r="I5841">
        <v>14</v>
      </c>
      <c r="J5841">
        <f>IF($H5841=0,1,IF($I5841&lt;=1,2,0))</f>
        <v>0</v>
      </c>
      <c r="K5841">
        <v>0</v>
      </c>
      <c r="L5841">
        <f>IF(AND($J5841=0,$K5841=0),0,1)</f>
        <v>0</v>
      </c>
    </row>
    <row r="5842" spans="1:13" x14ac:dyDescent="0.2">
      <c r="A5842" t="s">
        <v>424</v>
      </c>
      <c r="B5842" t="s">
        <v>17</v>
      </c>
      <c r="C5842" t="s">
        <v>9</v>
      </c>
      <c r="D5842">
        <v>3003</v>
      </c>
      <c r="E5842">
        <v>2021</v>
      </c>
      <c r="F5842">
        <v>1</v>
      </c>
      <c r="G5842">
        <v>14004</v>
      </c>
      <c r="H5842" s="1">
        <v>3</v>
      </c>
      <c r="I5842">
        <v>3</v>
      </c>
      <c r="J5842">
        <f>IF($H5842=0,1,IF($I5842&lt;=1,2,0))</f>
        <v>0</v>
      </c>
      <c r="K5842">
        <v>0</v>
      </c>
      <c r="L5842">
        <f>IF(AND($J5842=0,$K5842=0),0,1)</f>
        <v>0</v>
      </c>
      <c r="M5842" t="s">
        <v>1574</v>
      </c>
    </row>
    <row r="5843" spans="1:13" x14ac:dyDescent="0.2">
      <c r="A5843" t="s">
        <v>424</v>
      </c>
      <c r="B5843" t="s">
        <v>17</v>
      </c>
      <c r="C5843" t="s">
        <v>9</v>
      </c>
      <c r="D5843">
        <v>3333</v>
      </c>
      <c r="E5843">
        <v>2021</v>
      </c>
      <c r="F5843">
        <v>1</v>
      </c>
      <c r="G5843">
        <v>12756</v>
      </c>
      <c r="H5843" s="1">
        <v>3</v>
      </c>
      <c r="I5843">
        <v>17</v>
      </c>
      <c r="J5843">
        <f>IF($H5843=0,1,IF($I5843&lt;=1,2,0))</f>
        <v>0</v>
      </c>
      <c r="K5843">
        <v>0</v>
      </c>
      <c r="L5843">
        <f>IF(AND($J5843=0,$K5843=0),0,1)</f>
        <v>0</v>
      </c>
    </row>
    <row r="5844" spans="1:13" x14ac:dyDescent="0.2">
      <c r="A5844" t="s">
        <v>424</v>
      </c>
      <c r="B5844" t="s">
        <v>17</v>
      </c>
      <c r="C5844" t="s">
        <v>9</v>
      </c>
      <c r="D5844">
        <v>3444</v>
      </c>
      <c r="E5844">
        <v>2021</v>
      </c>
      <c r="F5844">
        <v>1</v>
      </c>
      <c r="G5844">
        <v>13997</v>
      </c>
      <c r="H5844" s="1">
        <v>3</v>
      </c>
      <c r="I5844">
        <v>10</v>
      </c>
      <c r="J5844">
        <f>IF($H5844=0,1,IF($I5844&lt;=1,2,0))</f>
        <v>0</v>
      </c>
      <c r="K5844">
        <v>0</v>
      </c>
      <c r="L5844">
        <f>IF(AND($J5844=0,$K5844=0),0,1)</f>
        <v>0</v>
      </c>
    </row>
    <row r="5845" spans="1:13" x14ac:dyDescent="0.2">
      <c r="A5845" t="s">
        <v>424</v>
      </c>
      <c r="B5845" t="s">
        <v>17</v>
      </c>
      <c r="C5845" t="s">
        <v>11</v>
      </c>
      <c r="D5845">
        <v>4000</v>
      </c>
      <c r="E5845">
        <v>2021</v>
      </c>
      <c r="F5845">
        <v>1</v>
      </c>
      <c r="G5845">
        <v>12757</v>
      </c>
      <c r="H5845" s="1">
        <v>3</v>
      </c>
      <c r="I5845">
        <v>10</v>
      </c>
      <c r="J5845">
        <f>IF($H5845=0,1,IF($I5845&lt;=1,2,0))</f>
        <v>0</v>
      </c>
      <c r="K5845">
        <v>0</v>
      </c>
      <c r="L5845">
        <f>IF(AND($J5845=0,$K5845=0),0,1)</f>
        <v>0</v>
      </c>
    </row>
    <row r="5846" spans="1:13" x14ac:dyDescent="0.2">
      <c r="A5846" t="s">
        <v>424</v>
      </c>
      <c r="B5846" t="s">
        <v>17</v>
      </c>
      <c r="C5846" t="s">
        <v>9</v>
      </c>
      <c r="D5846">
        <v>4532</v>
      </c>
      <c r="E5846">
        <v>2021</v>
      </c>
      <c r="F5846">
        <v>1</v>
      </c>
      <c r="G5846">
        <v>12758</v>
      </c>
      <c r="H5846" s="1">
        <v>3</v>
      </c>
      <c r="I5846">
        <v>24</v>
      </c>
      <c r="J5846">
        <f>IF($H5846=0,1,IF($I5846&lt;=1,2,0))</f>
        <v>0</v>
      </c>
      <c r="K5846">
        <v>0</v>
      </c>
      <c r="L5846">
        <f>IF(AND($J5846=0,$K5846=0),0,1)</f>
        <v>0</v>
      </c>
    </row>
    <row r="5847" spans="1:13" x14ac:dyDescent="0.2">
      <c r="A5847" t="s">
        <v>426</v>
      </c>
      <c r="B5847" t="s">
        <v>17</v>
      </c>
      <c r="C5847" t="s">
        <v>21</v>
      </c>
      <c r="D5847">
        <v>1101</v>
      </c>
      <c r="E5847">
        <v>2021</v>
      </c>
      <c r="F5847">
        <v>2</v>
      </c>
      <c r="G5847">
        <v>10696</v>
      </c>
      <c r="H5847" s="1">
        <v>4</v>
      </c>
      <c r="I5847">
        <v>11</v>
      </c>
      <c r="J5847">
        <f>IF($H5847=0,1,IF($I5847&lt;=1,2,0))</f>
        <v>0</v>
      </c>
      <c r="K5847">
        <v>0</v>
      </c>
      <c r="L5847">
        <f>IF(AND($J5847=0,$K5847=0),0,1)</f>
        <v>0</v>
      </c>
    </row>
    <row r="5848" spans="1:13" x14ac:dyDescent="0.2">
      <c r="A5848" t="s">
        <v>426</v>
      </c>
      <c r="B5848" t="s">
        <v>17</v>
      </c>
      <c r="C5848" t="s">
        <v>21</v>
      </c>
      <c r="D5848">
        <v>1101</v>
      </c>
      <c r="E5848">
        <v>2021</v>
      </c>
      <c r="F5848">
        <v>1</v>
      </c>
      <c r="G5848">
        <v>10695</v>
      </c>
      <c r="H5848" s="1">
        <v>4</v>
      </c>
      <c r="I5848">
        <v>5</v>
      </c>
      <c r="J5848">
        <f>IF($H5848=0,1,IF($I5848&lt;=1,2,0))</f>
        <v>0</v>
      </c>
      <c r="K5848">
        <v>0</v>
      </c>
      <c r="L5848">
        <f>IF(AND($J5848=0,$K5848=0),0,1)</f>
        <v>0</v>
      </c>
    </row>
    <row r="5849" spans="1:13" x14ac:dyDescent="0.2">
      <c r="A5849" t="s">
        <v>426</v>
      </c>
      <c r="B5849" t="s">
        <v>17</v>
      </c>
      <c r="C5849" t="s">
        <v>21</v>
      </c>
      <c r="D5849">
        <v>1121</v>
      </c>
      <c r="E5849">
        <v>2021</v>
      </c>
      <c r="F5849">
        <v>1</v>
      </c>
      <c r="G5849">
        <v>10697</v>
      </c>
      <c r="H5849" s="1">
        <v>4</v>
      </c>
      <c r="I5849">
        <v>12</v>
      </c>
      <c r="J5849">
        <f>IF($H5849=0,1,IF($I5849&lt;=1,2,0))</f>
        <v>0</v>
      </c>
      <c r="K5849">
        <v>0</v>
      </c>
      <c r="L5849">
        <f>IF(AND($J5849=0,$K5849=0),0,1)</f>
        <v>0</v>
      </c>
    </row>
    <row r="5850" spans="1:13" x14ac:dyDescent="0.2">
      <c r="A5850" t="s">
        <v>426</v>
      </c>
      <c r="B5850" t="s">
        <v>17</v>
      </c>
      <c r="C5850" t="s">
        <v>21</v>
      </c>
      <c r="D5850">
        <v>2101</v>
      </c>
      <c r="E5850">
        <v>2021</v>
      </c>
      <c r="F5850">
        <v>1</v>
      </c>
      <c r="G5850">
        <v>10699</v>
      </c>
      <c r="H5850" s="1">
        <v>4</v>
      </c>
      <c r="I5850">
        <v>9</v>
      </c>
      <c r="J5850">
        <f>IF($H5850=0,1,IF($I5850&lt;=1,2,0))</f>
        <v>0</v>
      </c>
      <c r="K5850">
        <v>0</v>
      </c>
      <c r="L5850">
        <f>IF(AND($J5850=0,$K5850=0),0,1)</f>
        <v>0</v>
      </c>
    </row>
    <row r="5851" spans="1:13" x14ac:dyDescent="0.2">
      <c r="A5851" t="s">
        <v>426</v>
      </c>
      <c r="B5851" t="s">
        <v>17</v>
      </c>
      <c r="C5851" t="s">
        <v>21</v>
      </c>
      <c r="D5851">
        <v>3309</v>
      </c>
      <c r="E5851">
        <v>2021</v>
      </c>
      <c r="F5851">
        <v>1</v>
      </c>
      <c r="G5851">
        <v>10700</v>
      </c>
      <c r="H5851" s="1">
        <v>3</v>
      </c>
      <c r="I5851">
        <v>3</v>
      </c>
      <c r="J5851">
        <f>IF($H5851=0,1,IF($I5851&lt;=1,2,0))</f>
        <v>0</v>
      </c>
      <c r="K5851">
        <v>0</v>
      </c>
      <c r="L5851">
        <f>IF(AND($J5851=0,$K5851=0),0,1)</f>
        <v>0</v>
      </c>
      <c r="M5851" t="s">
        <v>1576</v>
      </c>
    </row>
    <row r="5852" spans="1:13" x14ac:dyDescent="0.2">
      <c r="A5852" t="s">
        <v>426</v>
      </c>
      <c r="B5852" t="s">
        <v>17</v>
      </c>
      <c r="C5852" t="s">
        <v>9</v>
      </c>
      <c r="D5852">
        <v>4009</v>
      </c>
      <c r="E5852">
        <v>2021</v>
      </c>
      <c r="F5852">
        <v>1</v>
      </c>
      <c r="G5852">
        <v>612</v>
      </c>
      <c r="H5852" s="1">
        <v>3</v>
      </c>
      <c r="I5852">
        <v>4</v>
      </c>
      <c r="J5852">
        <f>IF($H5852=0,1,IF($I5852&lt;=1,2,0))</f>
        <v>0</v>
      </c>
      <c r="K5852">
        <v>0</v>
      </c>
      <c r="L5852">
        <f>IF(AND($J5852=0,$K5852=0),0,1)</f>
        <v>0</v>
      </c>
    </row>
    <row r="5853" spans="1:13" x14ac:dyDescent="0.2">
      <c r="A5853" t="s">
        <v>426</v>
      </c>
      <c r="B5853" t="s">
        <v>17</v>
      </c>
      <c r="C5853" t="s">
        <v>9</v>
      </c>
      <c r="D5853">
        <v>4105</v>
      </c>
      <c r="E5853">
        <v>2021</v>
      </c>
      <c r="F5853">
        <v>1</v>
      </c>
      <c r="G5853">
        <v>10713</v>
      </c>
      <c r="H5853" s="1">
        <v>4</v>
      </c>
      <c r="I5853">
        <v>5</v>
      </c>
      <c r="J5853">
        <f>IF($H5853=0,1,IF($I5853&lt;=1,2,0))</f>
        <v>0</v>
      </c>
      <c r="K5853">
        <v>0</v>
      </c>
      <c r="L5853">
        <f>IF(AND($J5853=0,$K5853=0),0,1)</f>
        <v>0</v>
      </c>
    </row>
    <row r="5854" spans="1:13" x14ac:dyDescent="0.2">
      <c r="A5854" t="s">
        <v>426</v>
      </c>
      <c r="B5854" t="s">
        <v>17</v>
      </c>
      <c r="C5854" t="s">
        <v>11</v>
      </c>
      <c r="D5854">
        <v>5139</v>
      </c>
      <c r="E5854">
        <v>2021</v>
      </c>
      <c r="F5854">
        <v>1</v>
      </c>
      <c r="G5854">
        <v>10714</v>
      </c>
      <c r="H5854" s="1">
        <v>4</v>
      </c>
      <c r="I5854">
        <v>5</v>
      </c>
      <c r="J5854">
        <f>IF($H5854=0,1,IF($I5854&lt;=1,2,0))</f>
        <v>0</v>
      </c>
      <c r="K5854">
        <v>0</v>
      </c>
      <c r="L5854">
        <f>IF(AND($J5854=0,$K5854=0),0,1)</f>
        <v>0</v>
      </c>
      <c r="M5854" t="s">
        <v>1058</v>
      </c>
    </row>
    <row r="5855" spans="1:13" x14ac:dyDescent="0.2">
      <c r="A5855" t="s">
        <v>429</v>
      </c>
      <c r="B5855" t="s">
        <v>17</v>
      </c>
      <c r="C5855" t="s">
        <v>21</v>
      </c>
      <c r="D5855">
        <v>1101</v>
      </c>
      <c r="E5855">
        <v>2021</v>
      </c>
      <c r="F5855">
        <v>1</v>
      </c>
      <c r="G5855">
        <v>10716</v>
      </c>
      <c r="H5855" s="1">
        <v>4</v>
      </c>
      <c r="I5855">
        <v>11</v>
      </c>
      <c r="J5855">
        <f>IF($H5855=0,1,IF($I5855&lt;=1,2,0))</f>
        <v>0</v>
      </c>
      <c r="K5855">
        <v>0</v>
      </c>
      <c r="L5855">
        <f>IF(AND($J5855=0,$K5855=0),0,1)</f>
        <v>0</v>
      </c>
    </row>
    <row r="5856" spans="1:13" x14ac:dyDescent="0.2">
      <c r="A5856" t="s">
        <v>429</v>
      </c>
      <c r="B5856" t="s">
        <v>17</v>
      </c>
      <c r="C5856" t="s">
        <v>21</v>
      </c>
      <c r="D5856">
        <v>2101</v>
      </c>
      <c r="E5856">
        <v>2021</v>
      </c>
      <c r="F5856">
        <v>1</v>
      </c>
      <c r="G5856">
        <v>10717</v>
      </c>
      <c r="H5856" s="1">
        <v>4</v>
      </c>
      <c r="I5856">
        <v>9</v>
      </c>
      <c r="J5856">
        <f>IF($H5856=0,1,IF($I5856&lt;=1,2,0))</f>
        <v>0</v>
      </c>
      <c r="K5856">
        <v>0</v>
      </c>
      <c r="L5856">
        <f>IF(AND($J5856=0,$K5856=0),0,1)</f>
        <v>0</v>
      </c>
    </row>
    <row r="5857" spans="1:13" x14ac:dyDescent="0.2">
      <c r="A5857" t="s">
        <v>429</v>
      </c>
      <c r="B5857" t="s">
        <v>17</v>
      </c>
      <c r="C5857" t="s">
        <v>9</v>
      </c>
      <c r="D5857">
        <v>3003</v>
      </c>
      <c r="E5857">
        <v>2021</v>
      </c>
      <c r="F5857">
        <v>1</v>
      </c>
      <c r="G5857">
        <v>11232</v>
      </c>
      <c r="H5857" s="1">
        <v>3</v>
      </c>
      <c r="I5857">
        <v>7</v>
      </c>
      <c r="J5857">
        <f>IF($H5857=0,1,IF($I5857&lt;=1,2,0))</f>
        <v>0</v>
      </c>
      <c r="K5857">
        <v>0</v>
      </c>
      <c r="L5857">
        <f>IF(AND($J5857=0,$K5857=0),0,1)</f>
        <v>0</v>
      </c>
    </row>
    <row r="5858" spans="1:13" x14ac:dyDescent="0.2">
      <c r="A5858" t="s">
        <v>429</v>
      </c>
      <c r="B5858" t="s">
        <v>17</v>
      </c>
      <c r="C5858" t="s">
        <v>11</v>
      </c>
      <c r="D5858">
        <v>4135</v>
      </c>
      <c r="E5858">
        <v>2021</v>
      </c>
      <c r="F5858">
        <v>1</v>
      </c>
      <c r="G5858">
        <v>10729</v>
      </c>
      <c r="H5858" s="1" t="s">
        <v>1824</v>
      </c>
      <c r="I5858">
        <v>15</v>
      </c>
      <c r="J5858">
        <f>IF($H5858=0,1,IF($I5858&lt;=1,2,0))</f>
        <v>0</v>
      </c>
      <c r="K5858">
        <v>0</v>
      </c>
      <c r="L5858">
        <f>IF(AND($J5858=0,$K5858=0),0,1)</f>
        <v>0</v>
      </c>
    </row>
    <row r="5859" spans="1:13" x14ac:dyDescent="0.2">
      <c r="A5859" t="s">
        <v>429</v>
      </c>
      <c r="B5859" t="s">
        <v>17</v>
      </c>
      <c r="C5859" t="s">
        <v>9</v>
      </c>
      <c r="D5859">
        <v>4821</v>
      </c>
      <c r="E5859">
        <v>2021</v>
      </c>
      <c r="F5859">
        <v>1</v>
      </c>
      <c r="G5859">
        <v>13270</v>
      </c>
      <c r="H5859" s="1">
        <v>3</v>
      </c>
      <c r="I5859">
        <v>4</v>
      </c>
      <c r="J5859">
        <f>IF($H5859=0,1,IF($I5859&lt;=1,2,0))</f>
        <v>0</v>
      </c>
      <c r="K5859">
        <v>0</v>
      </c>
      <c r="L5859">
        <f>IF(AND($J5859=0,$K5859=0),0,1)</f>
        <v>0</v>
      </c>
    </row>
    <row r="5860" spans="1:13" x14ac:dyDescent="0.2">
      <c r="A5860" t="s">
        <v>430</v>
      </c>
      <c r="B5860" t="s">
        <v>6</v>
      </c>
      <c r="C5860" t="s">
        <v>11</v>
      </c>
      <c r="D5860">
        <v>5000</v>
      </c>
      <c r="E5860">
        <v>2021</v>
      </c>
      <c r="F5860">
        <v>1</v>
      </c>
      <c r="G5860">
        <v>18168</v>
      </c>
      <c r="H5860" s="1">
        <v>3</v>
      </c>
      <c r="I5860">
        <v>8</v>
      </c>
      <c r="J5860">
        <f>IF($H5860=0,1,IF($I5860&lt;=1,2,0))</f>
        <v>0</v>
      </c>
      <c r="K5860">
        <v>0</v>
      </c>
      <c r="L5860">
        <f>IF(AND($J5860=0,$K5860=0),0,1)</f>
        <v>0</v>
      </c>
    </row>
    <row r="5861" spans="1:13" x14ac:dyDescent="0.2">
      <c r="A5861" t="s">
        <v>430</v>
      </c>
      <c r="B5861" t="s">
        <v>6</v>
      </c>
      <c r="C5861" t="s">
        <v>11</v>
      </c>
      <c r="D5861">
        <v>5000</v>
      </c>
      <c r="E5861">
        <v>2021</v>
      </c>
      <c r="F5861">
        <v>2</v>
      </c>
      <c r="G5861">
        <v>18187</v>
      </c>
      <c r="H5861" s="1">
        <v>3</v>
      </c>
      <c r="I5861">
        <v>7</v>
      </c>
      <c r="J5861">
        <f>IF($H5861=0,1,IF($I5861&lt;=1,2,0))</f>
        <v>0</v>
      </c>
      <c r="K5861">
        <v>0</v>
      </c>
      <c r="L5861">
        <f>IF(AND($J5861=0,$K5861=0),0,1)</f>
        <v>0</v>
      </c>
      <c r="M5861" t="s">
        <v>2068</v>
      </c>
    </row>
    <row r="5862" spans="1:13" x14ac:dyDescent="0.2">
      <c r="A5862" t="s">
        <v>430</v>
      </c>
      <c r="B5862" t="s">
        <v>6</v>
      </c>
      <c r="C5862" t="s">
        <v>11</v>
      </c>
      <c r="D5862">
        <v>5103</v>
      </c>
      <c r="E5862">
        <v>2021</v>
      </c>
      <c r="F5862">
        <v>1</v>
      </c>
      <c r="G5862">
        <v>18169</v>
      </c>
      <c r="H5862" s="1">
        <v>3</v>
      </c>
      <c r="I5862">
        <v>10</v>
      </c>
      <c r="J5862">
        <f>IF($H5862=0,1,IF($I5862&lt;=1,2,0))</f>
        <v>0</v>
      </c>
      <c r="K5862">
        <v>0</v>
      </c>
      <c r="L5862">
        <f>IF(AND($J5862=0,$K5862=0),0,1)</f>
        <v>0</v>
      </c>
    </row>
    <row r="5863" spans="1:13" x14ac:dyDescent="0.2">
      <c r="A5863" t="s">
        <v>430</v>
      </c>
      <c r="B5863" t="s">
        <v>6</v>
      </c>
      <c r="C5863" t="s">
        <v>11</v>
      </c>
      <c r="D5863">
        <v>5500</v>
      </c>
      <c r="E5863">
        <v>2021</v>
      </c>
      <c r="F5863">
        <v>1</v>
      </c>
      <c r="G5863">
        <v>18170</v>
      </c>
      <c r="H5863" s="1">
        <v>3</v>
      </c>
      <c r="I5863">
        <v>15</v>
      </c>
      <c r="J5863">
        <f>IF($H5863=0,1,IF($I5863&lt;=1,2,0))</f>
        <v>0</v>
      </c>
      <c r="K5863">
        <v>0</v>
      </c>
      <c r="L5863">
        <f>IF(AND($J5863=0,$K5863=0),0,1)</f>
        <v>0</v>
      </c>
    </row>
    <row r="5864" spans="1:13" x14ac:dyDescent="0.2">
      <c r="A5864" t="s">
        <v>431</v>
      </c>
      <c r="B5864" t="s">
        <v>6</v>
      </c>
      <c r="C5864" t="s">
        <v>9</v>
      </c>
      <c r="D5864">
        <v>1020</v>
      </c>
      <c r="E5864">
        <v>2021</v>
      </c>
      <c r="F5864">
        <v>1</v>
      </c>
      <c r="G5864">
        <v>10322</v>
      </c>
      <c r="H5864" s="1">
        <v>4</v>
      </c>
      <c r="I5864">
        <v>65</v>
      </c>
      <c r="J5864">
        <f>IF($H5864=0,1,IF($I5864&lt;=1,2,0))</f>
        <v>0</v>
      </c>
      <c r="K5864">
        <v>0</v>
      </c>
      <c r="L5864">
        <f>IF(AND($J5864=0,$K5864=0),0,1)</f>
        <v>0</v>
      </c>
      <c r="M5864" t="s">
        <v>1578</v>
      </c>
    </row>
    <row r="5865" spans="1:13" x14ac:dyDescent="0.2">
      <c r="A5865" t="s">
        <v>431</v>
      </c>
      <c r="B5865" t="s">
        <v>6</v>
      </c>
      <c r="C5865" t="s">
        <v>9</v>
      </c>
      <c r="D5865">
        <v>1488</v>
      </c>
      <c r="E5865">
        <v>2021</v>
      </c>
      <c r="F5865">
        <v>1</v>
      </c>
      <c r="G5865">
        <v>13398</v>
      </c>
      <c r="H5865" s="1">
        <v>4</v>
      </c>
      <c r="I5865">
        <v>25</v>
      </c>
      <c r="J5865">
        <f>IF($H5865=0,1,IF($I5865&lt;=1,2,0))</f>
        <v>0</v>
      </c>
      <c r="K5865">
        <v>0</v>
      </c>
      <c r="L5865">
        <f>IF(AND($J5865=0,$K5865=0),0,1)</f>
        <v>0</v>
      </c>
    </row>
    <row r="5866" spans="1:13" x14ac:dyDescent="0.2">
      <c r="A5866" t="s">
        <v>431</v>
      </c>
      <c r="B5866" t="s">
        <v>6</v>
      </c>
      <c r="C5866" t="s">
        <v>9</v>
      </c>
      <c r="D5866">
        <v>2003</v>
      </c>
      <c r="E5866">
        <v>2021</v>
      </c>
      <c r="F5866">
        <v>1</v>
      </c>
      <c r="G5866">
        <v>10504</v>
      </c>
      <c r="H5866" s="1">
        <v>4</v>
      </c>
      <c r="I5866">
        <v>77</v>
      </c>
      <c r="J5866">
        <f>IF($H5866=0,1,IF($I5866&lt;=1,2,0))</f>
        <v>0</v>
      </c>
      <c r="K5866">
        <v>0</v>
      </c>
      <c r="L5866">
        <f>IF(AND($J5866=0,$K5866=0),0,1)</f>
        <v>0</v>
      </c>
      <c r="M5866" t="s">
        <v>1587</v>
      </c>
    </row>
    <row r="5867" spans="1:13" x14ac:dyDescent="0.2">
      <c r="A5867" t="s">
        <v>431</v>
      </c>
      <c r="B5867" t="s">
        <v>6</v>
      </c>
      <c r="C5867" t="s">
        <v>9</v>
      </c>
      <c r="D5867">
        <v>2088</v>
      </c>
      <c r="E5867">
        <v>2021</v>
      </c>
      <c r="F5867">
        <v>1</v>
      </c>
      <c r="G5867">
        <v>10320</v>
      </c>
      <c r="H5867" s="1">
        <v>4</v>
      </c>
      <c r="I5867">
        <v>43</v>
      </c>
      <c r="J5867">
        <f>IF($H5867=0,1,IF($I5867&lt;=1,2,0))</f>
        <v>0</v>
      </c>
      <c r="K5867">
        <v>0</v>
      </c>
      <c r="L5867">
        <f>IF(AND($J5867=0,$K5867=0),0,1)</f>
        <v>0</v>
      </c>
      <c r="M5867" t="s">
        <v>1588</v>
      </c>
    </row>
    <row r="5868" spans="1:13" x14ac:dyDescent="0.2">
      <c r="A5868" t="s">
        <v>431</v>
      </c>
      <c r="B5868" t="s">
        <v>6</v>
      </c>
      <c r="C5868" t="s">
        <v>9</v>
      </c>
      <c r="D5868">
        <v>2112</v>
      </c>
      <c r="E5868">
        <v>2021</v>
      </c>
      <c r="F5868">
        <v>1</v>
      </c>
      <c r="G5868">
        <v>10365</v>
      </c>
      <c r="H5868" s="1">
        <v>4</v>
      </c>
      <c r="I5868">
        <v>24</v>
      </c>
      <c r="J5868">
        <f>IF($H5868=0,1,IF($I5868&lt;=1,2,0))</f>
        <v>0</v>
      </c>
      <c r="K5868">
        <v>0</v>
      </c>
      <c r="L5868">
        <f>IF(AND($J5868=0,$K5868=0),0,1)</f>
        <v>0</v>
      </c>
      <c r="M5868" t="s">
        <v>1591</v>
      </c>
    </row>
    <row r="5869" spans="1:13" x14ac:dyDescent="0.2">
      <c r="A5869" t="s">
        <v>431</v>
      </c>
      <c r="B5869" t="s">
        <v>6</v>
      </c>
      <c r="C5869" t="s">
        <v>9</v>
      </c>
      <c r="D5869">
        <v>2432</v>
      </c>
      <c r="E5869">
        <v>2021</v>
      </c>
      <c r="F5869">
        <v>1</v>
      </c>
      <c r="G5869">
        <v>10493</v>
      </c>
      <c r="H5869" s="1">
        <v>4</v>
      </c>
      <c r="I5869">
        <v>52</v>
      </c>
      <c r="J5869">
        <f>IF($H5869=0,1,IF($I5869&lt;=1,2,0))</f>
        <v>0</v>
      </c>
      <c r="K5869">
        <v>0</v>
      </c>
      <c r="L5869">
        <f>IF(AND($J5869=0,$K5869=0),0,1)</f>
        <v>0</v>
      </c>
      <c r="M5869" t="s">
        <v>1593</v>
      </c>
    </row>
    <row r="5870" spans="1:13" x14ac:dyDescent="0.2">
      <c r="A5870" t="s">
        <v>431</v>
      </c>
      <c r="B5870" t="s">
        <v>6</v>
      </c>
      <c r="C5870" t="s">
        <v>9</v>
      </c>
      <c r="D5870">
        <v>2501</v>
      </c>
      <c r="E5870">
        <v>2021</v>
      </c>
      <c r="F5870">
        <v>1</v>
      </c>
      <c r="G5870">
        <v>10440</v>
      </c>
      <c r="H5870" s="1">
        <v>4</v>
      </c>
      <c r="I5870">
        <v>42</v>
      </c>
      <c r="J5870">
        <f>IF($H5870=0,1,IF($I5870&lt;=1,2,0))</f>
        <v>0</v>
      </c>
      <c r="K5870">
        <v>0</v>
      </c>
      <c r="L5870">
        <f>IF(AND($J5870=0,$K5870=0),0,1)</f>
        <v>0</v>
      </c>
      <c r="M5870" t="s">
        <v>1595</v>
      </c>
    </row>
    <row r="5871" spans="1:13" x14ac:dyDescent="0.2">
      <c r="A5871" t="s">
        <v>431</v>
      </c>
      <c r="B5871" t="s">
        <v>6</v>
      </c>
      <c r="C5871" t="s">
        <v>9</v>
      </c>
      <c r="D5871">
        <v>2533</v>
      </c>
      <c r="E5871">
        <v>2021</v>
      </c>
      <c r="F5871">
        <v>1</v>
      </c>
      <c r="G5871">
        <v>10499</v>
      </c>
      <c r="H5871" s="1">
        <v>4</v>
      </c>
      <c r="I5871">
        <v>172</v>
      </c>
      <c r="J5871">
        <f>IF($H5871=0,1,IF($I5871&lt;=1,2,0))</f>
        <v>0</v>
      </c>
      <c r="K5871">
        <v>0</v>
      </c>
      <c r="L5871">
        <f>IF(AND($J5871=0,$K5871=0),0,1)</f>
        <v>0</v>
      </c>
      <c r="M5871" t="s">
        <v>1597</v>
      </c>
    </row>
    <row r="5872" spans="1:13" x14ac:dyDescent="0.2">
      <c r="A5872" t="s">
        <v>431</v>
      </c>
      <c r="B5872" t="s">
        <v>6</v>
      </c>
      <c r="C5872" t="s">
        <v>9</v>
      </c>
      <c r="D5872">
        <v>2535</v>
      </c>
      <c r="E5872">
        <v>2021</v>
      </c>
      <c r="F5872">
        <v>1</v>
      </c>
      <c r="G5872">
        <v>15773</v>
      </c>
      <c r="H5872" s="1">
        <v>4</v>
      </c>
      <c r="I5872">
        <v>25</v>
      </c>
      <c r="J5872">
        <f>IF($H5872=0,1,IF($I5872&lt;=1,2,0))</f>
        <v>0</v>
      </c>
      <c r="K5872">
        <v>0</v>
      </c>
      <c r="L5872">
        <f>IF(AND($J5872=0,$K5872=0),0,1)</f>
        <v>0</v>
      </c>
      <c r="M5872" t="s">
        <v>1599</v>
      </c>
    </row>
    <row r="5873" spans="1:13" x14ac:dyDescent="0.2">
      <c r="A5873" t="s">
        <v>431</v>
      </c>
      <c r="B5873" t="s">
        <v>6</v>
      </c>
      <c r="C5873" t="s">
        <v>9</v>
      </c>
      <c r="D5873">
        <v>2580</v>
      </c>
      <c r="E5873">
        <v>2021</v>
      </c>
      <c r="F5873">
        <v>1</v>
      </c>
      <c r="G5873">
        <v>10368</v>
      </c>
      <c r="H5873" s="1">
        <v>4</v>
      </c>
      <c r="I5873">
        <v>101</v>
      </c>
      <c r="J5873">
        <f>IF($H5873=0,1,IF($I5873&lt;=1,2,0))</f>
        <v>0</v>
      </c>
      <c r="K5873">
        <v>0</v>
      </c>
      <c r="L5873">
        <f>IF(AND($J5873=0,$K5873=0),0,1)</f>
        <v>0</v>
      </c>
      <c r="M5873" t="s">
        <v>1601</v>
      </c>
    </row>
    <row r="5874" spans="1:13" x14ac:dyDescent="0.2">
      <c r="A5874" t="s">
        <v>431</v>
      </c>
      <c r="B5874" t="s">
        <v>6</v>
      </c>
      <c r="C5874" t="s">
        <v>9</v>
      </c>
      <c r="D5874">
        <v>2618</v>
      </c>
      <c r="E5874">
        <v>2021</v>
      </c>
      <c r="F5874">
        <v>1</v>
      </c>
      <c r="G5874">
        <v>10490</v>
      </c>
      <c r="H5874" s="1">
        <v>4</v>
      </c>
      <c r="I5874">
        <v>100</v>
      </c>
      <c r="J5874">
        <f>IF($H5874=0,1,IF($I5874&lt;=1,2,0))</f>
        <v>0</v>
      </c>
      <c r="K5874">
        <v>0</v>
      </c>
      <c r="L5874">
        <f>IF(AND($J5874=0,$K5874=0),0,1)</f>
        <v>0</v>
      </c>
      <c r="M5874" t="s">
        <v>1603</v>
      </c>
    </row>
    <row r="5875" spans="1:13" x14ac:dyDescent="0.2">
      <c r="A5875" t="s">
        <v>431</v>
      </c>
      <c r="B5875" t="s">
        <v>6</v>
      </c>
      <c r="C5875" t="s">
        <v>9</v>
      </c>
      <c r="D5875">
        <v>2628</v>
      </c>
      <c r="E5875">
        <v>2021</v>
      </c>
      <c r="F5875">
        <v>1</v>
      </c>
      <c r="G5875">
        <v>10857</v>
      </c>
      <c r="H5875" s="1">
        <v>4</v>
      </c>
      <c r="I5875">
        <v>24</v>
      </c>
      <c r="J5875">
        <f>IF($H5875=0,1,IF($I5875&lt;=1,2,0))</f>
        <v>0</v>
      </c>
      <c r="K5875">
        <v>0</v>
      </c>
      <c r="L5875">
        <f>IF(AND($J5875=0,$K5875=0),0,1)</f>
        <v>0</v>
      </c>
      <c r="M5875" t="s">
        <v>1605</v>
      </c>
    </row>
    <row r="5876" spans="1:13" x14ac:dyDescent="0.2">
      <c r="A5876" t="s">
        <v>431</v>
      </c>
      <c r="B5876" t="s">
        <v>6</v>
      </c>
      <c r="C5876" t="s">
        <v>9</v>
      </c>
      <c r="D5876">
        <v>2689</v>
      </c>
      <c r="E5876">
        <v>2021</v>
      </c>
      <c r="F5876">
        <v>1</v>
      </c>
      <c r="G5876">
        <v>10385</v>
      </c>
      <c r="H5876" s="1">
        <v>4</v>
      </c>
      <c r="I5876">
        <v>38</v>
      </c>
      <c r="J5876">
        <f>IF($H5876=0,1,IF($I5876&lt;=1,2,0))</f>
        <v>0</v>
      </c>
      <c r="K5876">
        <v>0</v>
      </c>
      <c r="L5876">
        <f>IF(AND($J5876=0,$K5876=0),0,1)</f>
        <v>0</v>
      </c>
      <c r="M5876" t="s">
        <v>1607</v>
      </c>
    </row>
    <row r="5877" spans="1:13" x14ac:dyDescent="0.2">
      <c r="A5877" t="s">
        <v>431</v>
      </c>
      <c r="B5877" t="s">
        <v>6</v>
      </c>
      <c r="C5877" t="s">
        <v>9</v>
      </c>
      <c r="D5877">
        <v>2719</v>
      </c>
      <c r="E5877">
        <v>2021</v>
      </c>
      <c r="F5877">
        <v>1</v>
      </c>
      <c r="G5877">
        <v>10389</v>
      </c>
      <c r="H5877" s="1">
        <v>4</v>
      </c>
      <c r="I5877">
        <v>143</v>
      </c>
      <c r="J5877">
        <f>IF($H5877=0,1,IF($I5877&lt;=1,2,0))</f>
        <v>0</v>
      </c>
      <c r="K5877">
        <v>0</v>
      </c>
      <c r="L5877">
        <f>IF(AND($J5877=0,$K5877=0),0,1)</f>
        <v>0</v>
      </c>
      <c r="M5877" t="s">
        <v>1613</v>
      </c>
    </row>
    <row r="5878" spans="1:13" x14ac:dyDescent="0.2">
      <c r="A5878" t="s">
        <v>431</v>
      </c>
      <c r="B5878" t="s">
        <v>6</v>
      </c>
      <c r="C5878" t="s">
        <v>9</v>
      </c>
      <c r="D5878">
        <v>3011</v>
      </c>
      <c r="E5878">
        <v>2021</v>
      </c>
      <c r="F5878">
        <v>1</v>
      </c>
      <c r="G5878">
        <v>10503</v>
      </c>
      <c r="H5878" s="1">
        <v>4</v>
      </c>
      <c r="I5878">
        <v>14</v>
      </c>
      <c r="J5878">
        <f>IF($H5878=0,1,IF($I5878&lt;=1,2,0))</f>
        <v>0</v>
      </c>
      <c r="K5878">
        <v>0</v>
      </c>
      <c r="L5878">
        <f>IF(AND($J5878=0,$K5878=0),0,1)</f>
        <v>0</v>
      </c>
      <c r="M5878" t="s">
        <v>1615</v>
      </c>
    </row>
    <row r="5879" spans="1:13" x14ac:dyDescent="0.2">
      <c r="A5879" t="s">
        <v>431</v>
      </c>
      <c r="B5879" t="s">
        <v>6</v>
      </c>
      <c r="C5879" t="s">
        <v>9</v>
      </c>
      <c r="D5879">
        <v>3017</v>
      </c>
      <c r="E5879">
        <v>2021</v>
      </c>
      <c r="F5879">
        <v>1</v>
      </c>
      <c r="G5879">
        <v>10438</v>
      </c>
      <c r="H5879" s="1">
        <v>4</v>
      </c>
      <c r="I5879">
        <v>11</v>
      </c>
      <c r="J5879">
        <f>IF($H5879=0,1,IF($I5879&lt;=1,2,0))</f>
        <v>0</v>
      </c>
      <c r="K5879">
        <v>0</v>
      </c>
      <c r="L5879">
        <f>IF(AND($J5879=0,$K5879=0),0,1)</f>
        <v>0</v>
      </c>
    </row>
    <row r="5880" spans="1:13" x14ac:dyDescent="0.2">
      <c r="A5880" t="s">
        <v>431</v>
      </c>
      <c r="B5880" t="s">
        <v>6</v>
      </c>
      <c r="C5880" t="s">
        <v>9</v>
      </c>
      <c r="D5880">
        <v>3032</v>
      </c>
      <c r="E5880">
        <v>2021</v>
      </c>
      <c r="F5880">
        <v>1</v>
      </c>
      <c r="G5880">
        <v>15329</v>
      </c>
      <c r="H5880" s="1">
        <v>4</v>
      </c>
      <c r="I5880">
        <v>6</v>
      </c>
      <c r="J5880">
        <f>IF($H5880=0,1,IF($I5880&lt;=1,2,0))</f>
        <v>0</v>
      </c>
      <c r="K5880">
        <v>0</v>
      </c>
      <c r="L5880">
        <f>IF(AND($J5880=0,$K5880=0),0,1)</f>
        <v>0</v>
      </c>
    </row>
    <row r="5881" spans="1:13" x14ac:dyDescent="0.2">
      <c r="A5881" t="s">
        <v>431</v>
      </c>
      <c r="B5881" t="s">
        <v>6</v>
      </c>
      <c r="C5881" t="s">
        <v>9</v>
      </c>
      <c r="D5881">
        <v>3061</v>
      </c>
      <c r="E5881">
        <v>2021</v>
      </c>
      <c r="F5881">
        <v>1</v>
      </c>
      <c r="G5881">
        <v>10509</v>
      </c>
      <c r="H5881" s="1">
        <v>4</v>
      </c>
      <c r="I5881">
        <v>8</v>
      </c>
      <c r="J5881">
        <f>IF($H5881=0,1,IF($I5881&lt;=1,2,0))</f>
        <v>0</v>
      </c>
      <c r="K5881">
        <v>0</v>
      </c>
      <c r="L5881">
        <f>IF(AND($J5881=0,$K5881=0),0,1)</f>
        <v>0</v>
      </c>
    </row>
    <row r="5882" spans="1:13" x14ac:dyDescent="0.2">
      <c r="A5882" t="s">
        <v>431</v>
      </c>
      <c r="B5882" t="s">
        <v>6</v>
      </c>
      <c r="C5882" t="s">
        <v>9</v>
      </c>
      <c r="D5882">
        <v>3164</v>
      </c>
      <c r="E5882">
        <v>2021</v>
      </c>
      <c r="F5882">
        <v>1</v>
      </c>
      <c r="G5882">
        <v>13399</v>
      </c>
      <c r="H5882" s="1">
        <v>4</v>
      </c>
      <c r="I5882">
        <v>8</v>
      </c>
      <c r="J5882">
        <f>IF($H5882=0,1,IF($I5882&lt;=1,2,0))</f>
        <v>0</v>
      </c>
      <c r="K5882">
        <v>0</v>
      </c>
      <c r="L5882">
        <f>IF(AND($J5882=0,$K5882=0),0,1)</f>
        <v>0</v>
      </c>
    </row>
    <row r="5883" spans="1:13" x14ac:dyDescent="0.2">
      <c r="A5883" t="s">
        <v>431</v>
      </c>
      <c r="B5883" t="s">
        <v>6</v>
      </c>
      <c r="C5883" t="s">
        <v>9</v>
      </c>
      <c r="D5883">
        <v>3180</v>
      </c>
      <c r="E5883">
        <v>2021</v>
      </c>
      <c r="F5883">
        <v>1</v>
      </c>
      <c r="G5883">
        <v>10362</v>
      </c>
      <c r="H5883" s="1">
        <v>4</v>
      </c>
      <c r="I5883">
        <v>11</v>
      </c>
      <c r="J5883">
        <f>IF($H5883=0,1,IF($I5883&lt;=1,2,0))</f>
        <v>0</v>
      </c>
      <c r="K5883">
        <v>0</v>
      </c>
      <c r="L5883">
        <f>IF(AND($J5883=0,$K5883=0),0,1)</f>
        <v>0</v>
      </c>
    </row>
    <row r="5884" spans="1:13" x14ac:dyDescent="0.2">
      <c r="A5884" t="s">
        <v>431</v>
      </c>
      <c r="B5884" t="s">
        <v>6</v>
      </c>
      <c r="C5884" t="s">
        <v>9</v>
      </c>
      <c r="D5884">
        <v>3241</v>
      </c>
      <c r="E5884">
        <v>2021</v>
      </c>
      <c r="F5884">
        <v>1</v>
      </c>
      <c r="G5884">
        <v>18234</v>
      </c>
      <c r="H5884" s="1">
        <v>4</v>
      </c>
      <c r="I5884">
        <v>3</v>
      </c>
      <c r="J5884">
        <f>IF($H5884=0,1,IF($I5884&lt;=1,2,0))</f>
        <v>0</v>
      </c>
      <c r="K5884">
        <v>0</v>
      </c>
      <c r="L5884">
        <f>IF(AND($J5884=0,$K5884=0),0,1)</f>
        <v>0</v>
      </c>
    </row>
    <row r="5885" spans="1:13" x14ac:dyDescent="0.2">
      <c r="A5885" t="s">
        <v>431</v>
      </c>
      <c r="B5885" t="s">
        <v>6</v>
      </c>
      <c r="C5885" t="s">
        <v>9</v>
      </c>
      <c r="D5885">
        <v>3341</v>
      </c>
      <c r="E5885">
        <v>2021</v>
      </c>
      <c r="F5885">
        <v>1</v>
      </c>
      <c r="G5885">
        <v>17699</v>
      </c>
      <c r="H5885" s="1">
        <v>4</v>
      </c>
      <c r="I5885">
        <v>12</v>
      </c>
      <c r="J5885">
        <f>IF($H5885=0,1,IF($I5885&lt;=1,2,0))</f>
        <v>0</v>
      </c>
      <c r="K5885">
        <v>0</v>
      </c>
      <c r="L5885">
        <f>IF(AND($J5885=0,$K5885=0),0,1)</f>
        <v>0</v>
      </c>
    </row>
    <row r="5886" spans="1:13" x14ac:dyDescent="0.2">
      <c r="A5886" t="s">
        <v>431</v>
      </c>
      <c r="B5886" t="s">
        <v>6</v>
      </c>
      <c r="C5886" t="s">
        <v>9</v>
      </c>
      <c r="D5886">
        <v>3357</v>
      </c>
      <c r="E5886">
        <v>2021</v>
      </c>
      <c r="F5886">
        <v>1</v>
      </c>
      <c r="G5886">
        <v>10394</v>
      </c>
      <c r="H5886" s="1">
        <v>4</v>
      </c>
      <c r="I5886">
        <v>11</v>
      </c>
      <c r="J5886">
        <f>IF($H5886=0,1,IF($I5886&lt;=1,2,0))</f>
        <v>0</v>
      </c>
      <c r="K5886">
        <v>0</v>
      </c>
      <c r="L5886">
        <f>IF(AND($J5886=0,$K5886=0),0,1)</f>
        <v>0</v>
      </c>
    </row>
    <row r="5887" spans="1:13" x14ac:dyDescent="0.2">
      <c r="A5887" t="s">
        <v>431</v>
      </c>
      <c r="B5887" t="s">
        <v>6</v>
      </c>
      <c r="C5887" t="s">
        <v>9</v>
      </c>
      <c r="D5887">
        <v>3418</v>
      </c>
      <c r="E5887">
        <v>2021</v>
      </c>
      <c r="F5887">
        <v>1</v>
      </c>
      <c r="G5887">
        <v>15045</v>
      </c>
      <c r="H5887" s="1">
        <v>4</v>
      </c>
      <c r="I5887">
        <v>16</v>
      </c>
      <c r="J5887">
        <f>IF($H5887=0,1,IF($I5887&lt;=1,2,0))</f>
        <v>0</v>
      </c>
      <c r="K5887">
        <v>0</v>
      </c>
      <c r="L5887">
        <f>IF(AND($J5887=0,$K5887=0),0,1)</f>
        <v>0</v>
      </c>
    </row>
    <row r="5888" spans="1:13" x14ac:dyDescent="0.2">
      <c r="A5888" t="s">
        <v>431</v>
      </c>
      <c r="B5888" t="s">
        <v>6</v>
      </c>
      <c r="C5888" t="s">
        <v>9</v>
      </c>
      <c r="D5888">
        <v>3601</v>
      </c>
      <c r="E5888">
        <v>2021</v>
      </c>
      <c r="F5888">
        <v>1</v>
      </c>
      <c r="G5888">
        <v>10324</v>
      </c>
      <c r="H5888" s="1">
        <v>4</v>
      </c>
      <c r="I5888">
        <v>10</v>
      </c>
      <c r="J5888">
        <f>IF($H5888=0,1,IF($I5888&lt;=1,2,0))</f>
        <v>0</v>
      </c>
      <c r="K5888">
        <v>0</v>
      </c>
      <c r="L5888">
        <f>IF(AND($J5888=0,$K5888=0),0,1)</f>
        <v>0</v>
      </c>
    </row>
    <row r="5889" spans="1:13" x14ac:dyDescent="0.2">
      <c r="A5889" t="s">
        <v>431</v>
      </c>
      <c r="B5889" t="s">
        <v>6</v>
      </c>
      <c r="C5889" t="s">
        <v>9</v>
      </c>
      <c r="D5889">
        <v>3622</v>
      </c>
      <c r="E5889">
        <v>2021</v>
      </c>
      <c r="F5889">
        <v>1</v>
      </c>
      <c r="G5889">
        <v>17163</v>
      </c>
      <c r="H5889" s="1">
        <v>4</v>
      </c>
      <c r="I5889">
        <v>3</v>
      </c>
      <c r="J5889">
        <f>IF($H5889=0,1,IF($I5889&lt;=1,2,0))</f>
        <v>0</v>
      </c>
      <c r="K5889">
        <v>0</v>
      </c>
      <c r="L5889">
        <f>IF(AND($J5889=0,$K5889=0),0,1)</f>
        <v>0</v>
      </c>
    </row>
    <row r="5890" spans="1:13" x14ac:dyDescent="0.2">
      <c r="A5890" t="s">
        <v>431</v>
      </c>
      <c r="B5890" t="s">
        <v>6</v>
      </c>
      <c r="C5890" t="s">
        <v>9</v>
      </c>
      <c r="D5890">
        <v>3753</v>
      </c>
      <c r="E5890">
        <v>2021</v>
      </c>
      <c r="F5890">
        <v>1</v>
      </c>
      <c r="G5890">
        <v>14954</v>
      </c>
      <c r="H5890" s="1">
        <v>4</v>
      </c>
      <c r="I5890">
        <v>4</v>
      </c>
      <c r="J5890">
        <f>IF($H5890=0,1,IF($I5890&lt;=1,2,0))</f>
        <v>0</v>
      </c>
      <c r="K5890">
        <v>0</v>
      </c>
      <c r="L5890">
        <f>IF(AND($J5890=0,$K5890=0),0,1)</f>
        <v>0</v>
      </c>
    </row>
    <row r="5891" spans="1:13" x14ac:dyDescent="0.2">
      <c r="A5891" t="s">
        <v>431</v>
      </c>
      <c r="B5891" t="s">
        <v>6</v>
      </c>
      <c r="C5891" t="s">
        <v>7</v>
      </c>
      <c r="D5891">
        <v>3838</v>
      </c>
      <c r="E5891">
        <v>2021</v>
      </c>
      <c r="F5891">
        <v>3</v>
      </c>
      <c r="G5891">
        <v>10495</v>
      </c>
      <c r="H5891" s="1">
        <v>4</v>
      </c>
      <c r="I5891">
        <v>12</v>
      </c>
      <c r="J5891">
        <f>IF($H5891=0,1,IF($I5891&lt;=1,2,0))</f>
        <v>0</v>
      </c>
      <c r="K5891">
        <v>0</v>
      </c>
      <c r="L5891">
        <f>IF(AND($J5891=0,$K5891=0),0,1)</f>
        <v>0</v>
      </c>
      <c r="M5891" t="s">
        <v>1618</v>
      </c>
    </row>
    <row r="5892" spans="1:13" x14ac:dyDescent="0.2">
      <c r="A5892" t="s">
        <v>431</v>
      </c>
      <c r="B5892" t="s">
        <v>6</v>
      </c>
      <c r="C5892" t="s">
        <v>7</v>
      </c>
      <c r="D5892">
        <v>3838</v>
      </c>
      <c r="E5892">
        <v>2021</v>
      </c>
      <c r="F5892">
        <v>1</v>
      </c>
      <c r="G5892">
        <v>10364</v>
      </c>
      <c r="H5892" s="1">
        <v>4</v>
      </c>
      <c r="I5892">
        <v>10</v>
      </c>
      <c r="J5892">
        <f>IF($H5892=0,1,IF($I5892&lt;=1,2,0))</f>
        <v>0</v>
      </c>
      <c r="K5892">
        <v>0</v>
      </c>
      <c r="L5892">
        <f>IF(AND($J5892=0,$K5892=0),0,1)</f>
        <v>0</v>
      </c>
      <c r="M5892" t="s">
        <v>1617</v>
      </c>
    </row>
    <row r="5893" spans="1:13" x14ac:dyDescent="0.2">
      <c r="A5893" t="s">
        <v>431</v>
      </c>
      <c r="B5893" t="s">
        <v>6</v>
      </c>
      <c r="C5893" t="s">
        <v>7</v>
      </c>
      <c r="D5893">
        <v>3838</v>
      </c>
      <c r="E5893">
        <v>2021</v>
      </c>
      <c r="F5893">
        <v>2</v>
      </c>
      <c r="G5893">
        <v>10391</v>
      </c>
      <c r="H5893" s="1">
        <v>4</v>
      </c>
      <c r="I5893">
        <v>8</v>
      </c>
      <c r="J5893">
        <f>IF($H5893=0,1,IF($I5893&lt;=1,2,0))</f>
        <v>0</v>
      </c>
      <c r="K5893">
        <v>0</v>
      </c>
      <c r="L5893">
        <f>IF(AND($J5893=0,$K5893=0),0,1)</f>
        <v>0</v>
      </c>
      <c r="M5893" t="s">
        <v>1617</v>
      </c>
    </row>
    <row r="5894" spans="1:13" x14ac:dyDescent="0.2">
      <c r="A5894" t="s">
        <v>431</v>
      </c>
      <c r="B5894" t="s">
        <v>6</v>
      </c>
      <c r="C5894" t="s">
        <v>7</v>
      </c>
      <c r="D5894">
        <v>3838</v>
      </c>
      <c r="E5894">
        <v>2021</v>
      </c>
      <c r="F5894">
        <v>4</v>
      </c>
      <c r="G5894">
        <v>15330</v>
      </c>
      <c r="H5894" s="1">
        <v>4</v>
      </c>
      <c r="I5894">
        <v>8</v>
      </c>
      <c r="J5894">
        <f>IF($H5894=0,1,IF($I5894&lt;=1,2,0))</f>
        <v>0</v>
      </c>
      <c r="K5894">
        <v>0</v>
      </c>
      <c r="L5894">
        <f>IF(AND($J5894=0,$K5894=0),0,1)</f>
        <v>0</v>
      </c>
    </row>
    <row r="5895" spans="1:13" x14ac:dyDescent="0.2">
      <c r="A5895" t="s">
        <v>431</v>
      </c>
      <c r="B5895" t="s">
        <v>6</v>
      </c>
      <c r="C5895" t="s">
        <v>34</v>
      </c>
      <c r="D5895">
        <v>3914</v>
      </c>
      <c r="E5895">
        <v>2021</v>
      </c>
      <c r="F5895">
        <v>1</v>
      </c>
      <c r="G5895">
        <v>15369</v>
      </c>
      <c r="H5895" s="1">
        <v>4</v>
      </c>
      <c r="I5895">
        <v>14</v>
      </c>
      <c r="J5895">
        <f>IF($H5895=0,1,IF($I5895&lt;=1,2,0))</f>
        <v>0</v>
      </c>
      <c r="K5895">
        <v>0</v>
      </c>
      <c r="L5895">
        <f>IF(AND($J5895=0,$K5895=0),0,1)</f>
        <v>0</v>
      </c>
      <c r="M5895" t="s">
        <v>1619</v>
      </c>
    </row>
    <row r="5896" spans="1:13" x14ac:dyDescent="0.2">
      <c r="A5896" t="s">
        <v>431</v>
      </c>
      <c r="B5896" t="s">
        <v>6</v>
      </c>
      <c r="C5896" t="s">
        <v>9</v>
      </c>
      <c r="D5896">
        <v>3928</v>
      </c>
      <c r="E5896">
        <v>2021</v>
      </c>
      <c r="F5896">
        <v>1</v>
      </c>
      <c r="G5896">
        <v>10492</v>
      </c>
      <c r="H5896" s="1">
        <v>4</v>
      </c>
      <c r="I5896">
        <v>9</v>
      </c>
      <c r="J5896">
        <f>IF($H5896=0,1,IF($I5896&lt;=1,2,0))</f>
        <v>0</v>
      </c>
      <c r="K5896">
        <v>0</v>
      </c>
      <c r="L5896">
        <f>IF(AND($J5896=0,$K5896=0),0,1)</f>
        <v>0</v>
      </c>
    </row>
    <row r="5897" spans="1:13" x14ac:dyDescent="0.2">
      <c r="A5897" t="s">
        <v>431</v>
      </c>
      <c r="B5897" t="s">
        <v>6</v>
      </c>
      <c r="C5897" t="s">
        <v>34</v>
      </c>
      <c r="D5897">
        <v>3942</v>
      </c>
      <c r="E5897">
        <v>2021</v>
      </c>
      <c r="F5897">
        <v>1</v>
      </c>
      <c r="G5897">
        <v>10387</v>
      </c>
      <c r="H5897" s="1">
        <v>4</v>
      </c>
      <c r="I5897">
        <v>14</v>
      </c>
      <c r="J5897">
        <f>IF($H5897=0,1,IF($I5897&lt;=1,2,0))</f>
        <v>0</v>
      </c>
      <c r="K5897">
        <v>0</v>
      </c>
      <c r="L5897">
        <f>IF(AND($J5897=0,$K5897=0),0,1)</f>
        <v>0</v>
      </c>
    </row>
    <row r="5898" spans="1:13" x14ac:dyDescent="0.2">
      <c r="A5898" t="s">
        <v>431</v>
      </c>
      <c r="B5898" t="s">
        <v>6</v>
      </c>
      <c r="C5898" t="s">
        <v>9</v>
      </c>
      <c r="D5898">
        <v>3982</v>
      </c>
      <c r="E5898">
        <v>2021</v>
      </c>
      <c r="F5898">
        <v>1</v>
      </c>
      <c r="G5898">
        <v>13395</v>
      </c>
      <c r="H5898" s="1">
        <v>4</v>
      </c>
      <c r="I5898">
        <v>12</v>
      </c>
      <c r="J5898">
        <f>IF($H5898=0,1,IF($I5898&lt;=1,2,0))</f>
        <v>0</v>
      </c>
      <c r="K5898">
        <v>0</v>
      </c>
      <c r="L5898">
        <f>IF(AND($J5898=0,$K5898=0),0,1)</f>
        <v>0</v>
      </c>
    </row>
    <row r="5899" spans="1:13" x14ac:dyDescent="0.2">
      <c r="A5899" t="s">
        <v>431</v>
      </c>
      <c r="B5899" t="s">
        <v>6</v>
      </c>
      <c r="C5899" t="s">
        <v>9</v>
      </c>
      <c r="D5899">
        <v>4151</v>
      </c>
      <c r="E5899">
        <v>2021</v>
      </c>
      <c r="F5899">
        <v>1</v>
      </c>
      <c r="G5899">
        <v>13396</v>
      </c>
      <c r="H5899" s="1">
        <v>4</v>
      </c>
      <c r="I5899">
        <v>10</v>
      </c>
      <c r="J5899">
        <f>IF($H5899=0,1,IF($I5899&lt;=1,2,0))</f>
        <v>0</v>
      </c>
      <c r="K5899">
        <v>0</v>
      </c>
      <c r="L5899">
        <f>IF(AND($J5899=0,$K5899=0),0,1)</f>
        <v>0</v>
      </c>
    </row>
    <row r="5900" spans="1:13" x14ac:dyDescent="0.2">
      <c r="A5900" t="s">
        <v>431</v>
      </c>
      <c r="B5900" t="s">
        <v>6</v>
      </c>
      <c r="C5900" t="s">
        <v>9</v>
      </c>
      <c r="D5900">
        <v>4253</v>
      </c>
      <c r="E5900">
        <v>2021</v>
      </c>
      <c r="F5900">
        <v>1</v>
      </c>
      <c r="G5900">
        <v>18190</v>
      </c>
      <c r="H5900" s="1">
        <v>4</v>
      </c>
      <c r="I5900">
        <v>4</v>
      </c>
      <c r="J5900">
        <f>IF($H5900=0,1,IF($I5900&lt;=1,2,0))</f>
        <v>0</v>
      </c>
      <c r="K5900">
        <v>0</v>
      </c>
      <c r="L5900">
        <f>IF(AND($J5900=0,$K5900=0),0,1)</f>
        <v>0</v>
      </c>
    </row>
    <row r="5901" spans="1:13" x14ac:dyDescent="0.2">
      <c r="A5901" t="s">
        <v>431</v>
      </c>
      <c r="B5901" t="s">
        <v>6</v>
      </c>
      <c r="C5901" t="s">
        <v>9</v>
      </c>
      <c r="D5901">
        <v>4272</v>
      </c>
      <c r="E5901">
        <v>2021</v>
      </c>
      <c r="F5901">
        <v>1</v>
      </c>
      <c r="G5901">
        <v>18224</v>
      </c>
      <c r="H5901" s="1">
        <v>4</v>
      </c>
      <c r="I5901">
        <v>5</v>
      </c>
      <c r="J5901">
        <f>IF($H5901=0,1,IF($I5901&lt;=1,2,0))</f>
        <v>0</v>
      </c>
      <c r="K5901">
        <v>0</v>
      </c>
      <c r="L5901">
        <f>IF(AND($J5901=0,$K5901=0),0,1)</f>
        <v>0</v>
      </c>
    </row>
    <row r="5902" spans="1:13" x14ac:dyDescent="0.2">
      <c r="A5902" t="s">
        <v>431</v>
      </c>
      <c r="B5902" t="s">
        <v>6</v>
      </c>
      <c r="C5902" t="s">
        <v>9</v>
      </c>
      <c r="D5902">
        <v>4301</v>
      </c>
      <c r="E5902">
        <v>2021</v>
      </c>
      <c r="F5902">
        <v>1</v>
      </c>
      <c r="G5902">
        <v>14005</v>
      </c>
      <c r="H5902" s="1">
        <v>4</v>
      </c>
      <c r="I5902">
        <v>11</v>
      </c>
      <c r="J5902">
        <f>IF($H5902=0,1,IF($I5902&lt;=1,2,0))</f>
        <v>0</v>
      </c>
      <c r="K5902">
        <v>0</v>
      </c>
      <c r="L5902">
        <f>IF(AND($J5902=0,$K5902=0),0,1)</f>
        <v>0</v>
      </c>
    </row>
    <row r="5903" spans="1:13" x14ac:dyDescent="0.2">
      <c r="A5903" t="s">
        <v>431</v>
      </c>
      <c r="B5903" t="s">
        <v>6</v>
      </c>
      <c r="C5903" t="s">
        <v>9</v>
      </c>
      <c r="D5903">
        <v>4305</v>
      </c>
      <c r="E5903">
        <v>2021</v>
      </c>
      <c r="F5903">
        <v>1</v>
      </c>
      <c r="G5903">
        <v>16955</v>
      </c>
      <c r="H5903" s="1">
        <v>4</v>
      </c>
      <c r="I5903">
        <v>10</v>
      </c>
      <c r="J5903">
        <f>IF($H5903=0,1,IF($I5903&lt;=1,2,0))</f>
        <v>0</v>
      </c>
      <c r="K5903">
        <v>0</v>
      </c>
      <c r="L5903">
        <f>IF(AND($J5903=0,$K5903=0),0,1)</f>
        <v>0</v>
      </c>
    </row>
    <row r="5904" spans="1:13" x14ac:dyDescent="0.2">
      <c r="A5904" t="s">
        <v>431</v>
      </c>
      <c r="B5904" t="s">
        <v>6</v>
      </c>
      <c r="C5904" t="s">
        <v>9</v>
      </c>
      <c r="D5904">
        <v>4426</v>
      </c>
      <c r="E5904">
        <v>2021</v>
      </c>
      <c r="F5904">
        <v>1</v>
      </c>
      <c r="G5904">
        <v>10485</v>
      </c>
      <c r="H5904" s="1">
        <v>4</v>
      </c>
      <c r="I5904">
        <v>11</v>
      </c>
      <c r="J5904">
        <f>IF($H5904=0,1,IF($I5904&lt;=1,2,0))</f>
        <v>0</v>
      </c>
      <c r="K5904">
        <v>0</v>
      </c>
      <c r="L5904">
        <f>IF(AND($J5904=0,$K5904=0),0,1)</f>
        <v>0</v>
      </c>
    </row>
    <row r="5905" spans="1:13" x14ac:dyDescent="0.2">
      <c r="A5905" t="s">
        <v>431</v>
      </c>
      <c r="B5905" t="s">
        <v>6</v>
      </c>
      <c r="C5905" t="s">
        <v>9</v>
      </c>
      <c r="D5905">
        <v>4481</v>
      </c>
      <c r="E5905">
        <v>2021</v>
      </c>
      <c r="F5905">
        <v>2</v>
      </c>
      <c r="G5905">
        <v>13592</v>
      </c>
      <c r="H5905" s="1">
        <v>3</v>
      </c>
      <c r="I5905">
        <v>10</v>
      </c>
      <c r="J5905">
        <f>IF($H5905=0,1,IF($I5905&lt;=1,2,0))</f>
        <v>0</v>
      </c>
      <c r="K5905">
        <v>0</v>
      </c>
      <c r="L5905">
        <f>IF(AND($J5905=0,$K5905=0),0,1)</f>
        <v>0</v>
      </c>
      <c r="M5905" t="s">
        <v>1620</v>
      </c>
    </row>
    <row r="5906" spans="1:13" x14ac:dyDescent="0.2">
      <c r="A5906" t="s">
        <v>431</v>
      </c>
      <c r="B5906" t="s">
        <v>6</v>
      </c>
      <c r="C5906" t="s">
        <v>9</v>
      </c>
      <c r="D5906">
        <v>4512</v>
      </c>
      <c r="E5906">
        <v>2021</v>
      </c>
      <c r="F5906">
        <v>1</v>
      </c>
      <c r="G5906">
        <v>13607</v>
      </c>
      <c r="H5906" s="1">
        <v>4</v>
      </c>
      <c r="I5906">
        <v>7</v>
      </c>
      <c r="J5906">
        <f>IF($H5906=0,1,IF($I5906&lt;=1,2,0))</f>
        <v>0</v>
      </c>
      <c r="K5906">
        <v>0</v>
      </c>
      <c r="L5906">
        <f>IF(AND($J5906=0,$K5906=0),0,1)</f>
        <v>0</v>
      </c>
    </row>
    <row r="5907" spans="1:13" x14ac:dyDescent="0.2">
      <c r="A5907" t="s">
        <v>431</v>
      </c>
      <c r="B5907" t="s">
        <v>6</v>
      </c>
      <c r="C5907" t="s">
        <v>9</v>
      </c>
      <c r="D5907">
        <v>4518</v>
      </c>
      <c r="E5907">
        <v>2021</v>
      </c>
      <c r="F5907">
        <v>1</v>
      </c>
      <c r="G5907">
        <v>10488</v>
      </c>
      <c r="H5907" s="1">
        <v>4</v>
      </c>
      <c r="I5907">
        <v>11</v>
      </c>
      <c r="J5907">
        <f>IF($H5907=0,1,IF($I5907&lt;=1,2,0))</f>
        <v>0</v>
      </c>
      <c r="K5907">
        <v>0</v>
      </c>
      <c r="L5907">
        <f>IF(AND($J5907=0,$K5907=0),0,1)</f>
        <v>0</v>
      </c>
    </row>
    <row r="5908" spans="1:13" x14ac:dyDescent="0.2">
      <c r="A5908" t="s">
        <v>431</v>
      </c>
      <c r="B5908" t="s">
        <v>6</v>
      </c>
      <c r="C5908" t="s">
        <v>9</v>
      </c>
      <c r="D5908">
        <v>4594</v>
      </c>
      <c r="E5908">
        <v>2021</v>
      </c>
      <c r="F5908">
        <v>1</v>
      </c>
      <c r="G5908">
        <v>10396</v>
      </c>
      <c r="H5908" s="1">
        <v>4</v>
      </c>
      <c r="I5908">
        <v>8</v>
      </c>
      <c r="J5908">
        <f>IF($H5908=0,1,IF($I5908&lt;=1,2,0))</f>
        <v>0</v>
      </c>
      <c r="K5908">
        <v>0</v>
      </c>
      <c r="L5908">
        <f>IF(AND($J5908=0,$K5908=0),0,1)</f>
        <v>0</v>
      </c>
    </row>
    <row r="5909" spans="1:13" x14ac:dyDescent="0.2">
      <c r="A5909" t="s">
        <v>431</v>
      </c>
      <c r="B5909" t="s">
        <v>6</v>
      </c>
      <c r="C5909" t="s">
        <v>9</v>
      </c>
      <c r="D5909">
        <v>4632</v>
      </c>
      <c r="E5909">
        <v>2021</v>
      </c>
      <c r="F5909">
        <v>1</v>
      </c>
      <c r="G5909">
        <v>13397</v>
      </c>
      <c r="H5909" s="1">
        <v>4</v>
      </c>
      <c r="I5909">
        <v>5</v>
      </c>
      <c r="J5909">
        <f>IF($H5909=0,1,IF($I5909&lt;=1,2,0))</f>
        <v>0</v>
      </c>
      <c r="K5909">
        <v>0</v>
      </c>
      <c r="L5909">
        <f>IF(AND($J5909=0,$K5909=0),0,1)</f>
        <v>0</v>
      </c>
    </row>
    <row r="5910" spans="1:13" x14ac:dyDescent="0.2">
      <c r="A5910" t="s">
        <v>431</v>
      </c>
      <c r="B5910" t="s">
        <v>6</v>
      </c>
      <c r="C5910" t="s">
        <v>9</v>
      </c>
      <c r="D5910">
        <v>4641</v>
      </c>
      <c r="E5910">
        <v>2021</v>
      </c>
      <c r="F5910">
        <v>1</v>
      </c>
      <c r="G5910">
        <v>10489</v>
      </c>
      <c r="H5910" s="1">
        <v>4</v>
      </c>
      <c r="I5910">
        <v>11</v>
      </c>
      <c r="J5910">
        <f>IF($H5910=0,1,IF($I5910&lt;=1,2,0))</f>
        <v>0</v>
      </c>
      <c r="K5910">
        <v>0</v>
      </c>
      <c r="L5910">
        <f>IF(AND($J5910=0,$K5910=0),0,1)</f>
        <v>0</v>
      </c>
    </row>
    <row r="5911" spans="1:13" x14ac:dyDescent="0.2">
      <c r="A5911" t="s">
        <v>431</v>
      </c>
      <c r="B5911" t="s">
        <v>6</v>
      </c>
      <c r="C5911" t="s">
        <v>9</v>
      </c>
      <c r="D5911">
        <v>4660</v>
      </c>
      <c r="E5911">
        <v>2021</v>
      </c>
      <c r="F5911">
        <v>1</v>
      </c>
      <c r="G5911">
        <v>18225</v>
      </c>
      <c r="H5911" s="1">
        <v>4</v>
      </c>
      <c r="I5911">
        <v>15</v>
      </c>
      <c r="J5911">
        <f>IF($H5911=0,1,IF($I5911&lt;=1,2,0))</f>
        <v>0</v>
      </c>
      <c r="K5911">
        <v>0</v>
      </c>
      <c r="L5911">
        <f>IF(AND($J5911=0,$K5911=0),0,1)</f>
        <v>0</v>
      </c>
    </row>
    <row r="5912" spans="1:13" x14ac:dyDescent="0.2">
      <c r="A5912" t="s">
        <v>431</v>
      </c>
      <c r="B5912" t="s">
        <v>6</v>
      </c>
      <c r="C5912" t="s">
        <v>9</v>
      </c>
      <c r="D5912">
        <v>4727</v>
      </c>
      <c r="E5912">
        <v>2021</v>
      </c>
      <c r="F5912">
        <v>1</v>
      </c>
      <c r="G5912">
        <v>15368</v>
      </c>
      <c r="H5912" s="1">
        <v>4</v>
      </c>
      <c r="I5912">
        <v>11</v>
      </c>
      <c r="J5912">
        <f>IF($H5912=0,1,IF($I5912&lt;=1,2,0))</f>
        <v>0</v>
      </c>
      <c r="K5912">
        <v>0</v>
      </c>
      <c r="L5912">
        <f>IF(AND($J5912=0,$K5912=0),0,1)</f>
        <v>0</v>
      </c>
    </row>
    <row r="5913" spans="1:13" x14ac:dyDescent="0.2">
      <c r="A5913" t="s">
        <v>431</v>
      </c>
      <c r="B5913" t="s">
        <v>6</v>
      </c>
      <c r="C5913" t="s">
        <v>9</v>
      </c>
      <c r="D5913">
        <v>4769</v>
      </c>
      <c r="E5913">
        <v>2021</v>
      </c>
      <c r="F5913">
        <v>1</v>
      </c>
      <c r="G5913">
        <v>10319</v>
      </c>
      <c r="H5913" s="1">
        <v>4</v>
      </c>
      <c r="I5913">
        <v>10</v>
      </c>
      <c r="J5913">
        <f>IF($H5913=0,1,IF($I5913&lt;=1,2,0))</f>
        <v>0</v>
      </c>
      <c r="K5913">
        <v>0</v>
      </c>
      <c r="L5913">
        <f>IF(AND($J5913=0,$K5913=0),0,1)</f>
        <v>0</v>
      </c>
    </row>
    <row r="5914" spans="1:13" x14ac:dyDescent="0.2">
      <c r="A5914" t="s">
        <v>431</v>
      </c>
      <c r="B5914" t="s">
        <v>6</v>
      </c>
      <c r="C5914" t="s">
        <v>9</v>
      </c>
      <c r="D5914">
        <v>4904</v>
      </c>
      <c r="E5914">
        <v>2021</v>
      </c>
      <c r="F5914">
        <v>1</v>
      </c>
      <c r="G5914">
        <v>14956</v>
      </c>
      <c r="H5914" s="1">
        <v>4</v>
      </c>
      <c r="I5914">
        <v>8</v>
      </c>
      <c r="J5914">
        <f>IF($H5914=0,1,IF($I5914&lt;=1,2,0))</f>
        <v>0</v>
      </c>
      <c r="K5914">
        <v>0</v>
      </c>
      <c r="L5914">
        <f>IF(AND($J5914=0,$K5914=0),0,1)</f>
        <v>0</v>
      </c>
    </row>
    <row r="5915" spans="1:13" x14ac:dyDescent="0.2">
      <c r="A5915" t="s">
        <v>431</v>
      </c>
      <c r="B5915" t="s">
        <v>6</v>
      </c>
      <c r="C5915" t="s">
        <v>9</v>
      </c>
      <c r="D5915">
        <v>4962</v>
      </c>
      <c r="E5915">
        <v>2021</v>
      </c>
      <c r="F5915">
        <v>1</v>
      </c>
      <c r="G5915">
        <v>10502</v>
      </c>
      <c r="H5915" s="1">
        <v>5</v>
      </c>
      <c r="I5915">
        <v>18</v>
      </c>
      <c r="J5915">
        <f>IF($H5915=0,1,IF($I5915&lt;=1,2,0))</f>
        <v>0</v>
      </c>
      <c r="K5915">
        <v>0</v>
      </c>
      <c r="L5915">
        <f>IF(AND($J5915=0,$K5915=0),0,1)</f>
        <v>0</v>
      </c>
      <c r="M5915" t="s">
        <v>1621</v>
      </c>
    </row>
    <row r="5916" spans="1:13" x14ac:dyDescent="0.2">
      <c r="A5916" t="s">
        <v>431</v>
      </c>
      <c r="B5916" t="s">
        <v>6</v>
      </c>
      <c r="C5916" t="s">
        <v>11</v>
      </c>
      <c r="D5916">
        <v>8423</v>
      </c>
      <c r="E5916">
        <v>2021</v>
      </c>
      <c r="F5916">
        <v>1</v>
      </c>
      <c r="G5916">
        <v>195</v>
      </c>
      <c r="H5916" s="1">
        <v>4</v>
      </c>
      <c r="I5916">
        <v>7</v>
      </c>
      <c r="J5916">
        <f>IF($H5916=0,1,IF($I5916&lt;=1,2,0))</f>
        <v>0</v>
      </c>
      <c r="K5916">
        <v>0</v>
      </c>
      <c r="L5916">
        <f>IF(AND($J5916=0,$K5916=0),0,1)</f>
        <v>0</v>
      </c>
      <c r="M5916" t="s">
        <v>1093</v>
      </c>
    </row>
    <row r="5917" spans="1:13" x14ac:dyDescent="0.2">
      <c r="A5917" t="s">
        <v>431</v>
      </c>
      <c r="B5917" t="s">
        <v>6</v>
      </c>
      <c r="C5917" t="s">
        <v>11</v>
      </c>
      <c r="D5917">
        <v>8482</v>
      </c>
      <c r="E5917">
        <v>2021</v>
      </c>
      <c r="F5917">
        <v>1</v>
      </c>
      <c r="G5917">
        <v>13608</v>
      </c>
      <c r="H5917" s="1">
        <v>4</v>
      </c>
      <c r="I5917">
        <v>7</v>
      </c>
      <c r="J5917">
        <f>IF($H5917=0,1,IF($I5917&lt;=1,2,0))</f>
        <v>0</v>
      </c>
      <c r="K5917">
        <v>0</v>
      </c>
      <c r="L5917">
        <f>IF(AND($J5917=0,$K5917=0),0,1)</f>
        <v>0</v>
      </c>
    </row>
    <row r="5918" spans="1:13" x14ac:dyDescent="0.2">
      <c r="A5918" t="s">
        <v>431</v>
      </c>
      <c r="B5918" t="s">
        <v>6</v>
      </c>
      <c r="C5918" t="s">
        <v>11</v>
      </c>
      <c r="D5918">
        <v>8538</v>
      </c>
      <c r="E5918">
        <v>2021</v>
      </c>
      <c r="F5918">
        <v>1</v>
      </c>
      <c r="G5918">
        <v>10486</v>
      </c>
      <c r="H5918" s="1">
        <v>4</v>
      </c>
      <c r="I5918">
        <v>8</v>
      </c>
      <c r="J5918">
        <f>IF($H5918=0,1,IF($I5918&lt;=1,2,0))</f>
        <v>0</v>
      </c>
      <c r="K5918">
        <v>0</v>
      </c>
      <c r="L5918">
        <f>IF(AND($J5918=0,$K5918=0),0,1)</f>
        <v>0</v>
      </c>
    </row>
    <row r="5919" spans="1:13" x14ac:dyDescent="0.2">
      <c r="A5919" t="s">
        <v>431</v>
      </c>
      <c r="B5919" t="s">
        <v>6</v>
      </c>
      <c r="C5919" t="s">
        <v>11</v>
      </c>
      <c r="D5919">
        <v>8731</v>
      </c>
      <c r="E5919">
        <v>2021</v>
      </c>
      <c r="F5919">
        <v>1</v>
      </c>
      <c r="G5919">
        <v>15044</v>
      </c>
      <c r="H5919" s="1">
        <v>4</v>
      </c>
      <c r="I5919">
        <v>12</v>
      </c>
      <c r="J5919">
        <f>IF($H5919=0,1,IF($I5919&lt;=1,2,0))</f>
        <v>0</v>
      </c>
      <c r="K5919">
        <v>0</v>
      </c>
      <c r="L5919">
        <f>IF(AND($J5919=0,$K5919=0),0,1)</f>
        <v>0</v>
      </c>
    </row>
    <row r="5920" spans="1:13" x14ac:dyDescent="0.2">
      <c r="A5920" t="s">
        <v>431</v>
      </c>
      <c r="B5920" t="s">
        <v>6</v>
      </c>
      <c r="C5920" t="s">
        <v>11</v>
      </c>
      <c r="D5920">
        <v>8910</v>
      </c>
      <c r="E5920">
        <v>2021</v>
      </c>
      <c r="F5920">
        <v>1</v>
      </c>
      <c r="G5920">
        <v>15106</v>
      </c>
      <c r="H5920" s="1">
        <v>4</v>
      </c>
      <c r="I5920">
        <v>14</v>
      </c>
      <c r="J5920">
        <f>IF($H5920=0,1,IF($I5920&lt;=1,2,0))</f>
        <v>0</v>
      </c>
      <c r="K5920">
        <v>0</v>
      </c>
      <c r="L5920">
        <f>IF(AND($J5920=0,$K5920=0),0,1)</f>
        <v>0</v>
      </c>
    </row>
    <row r="5921" spans="1:13" x14ac:dyDescent="0.2">
      <c r="A5921" t="s">
        <v>431</v>
      </c>
      <c r="B5921" t="s">
        <v>6</v>
      </c>
      <c r="C5921" t="s">
        <v>11</v>
      </c>
      <c r="D5921">
        <v>8930</v>
      </c>
      <c r="E5921">
        <v>2021</v>
      </c>
      <c r="F5921">
        <v>2</v>
      </c>
      <c r="G5921">
        <v>10501</v>
      </c>
      <c r="H5921" s="1">
        <v>4</v>
      </c>
      <c r="I5921">
        <v>21</v>
      </c>
      <c r="J5921">
        <f>IF($H5921=0,1,IF($I5921&lt;=1,2,0))</f>
        <v>0</v>
      </c>
      <c r="K5921">
        <v>0</v>
      </c>
      <c r="L5921">
        <f>IF(AND($J5921=0,$K5921=0),0,1)</f>
        <v>0</v>
      </c>
    </row>
    <row r="5922" spans="1:13" x14ac:dyDescent="0.2">
      <c r="A5922" t="s">
        <v>431</v>
      </c>
      <c r="B5922" t="s">
        <v>6</v>
      </c>
      <c r="C5922" t="s">
        <v>11</v>
      </c>
      <c r="D5922">
        <v>8930</v>
      </c>
      <c r="E5922">
        <v>2021</v>
      </c>
      <c r="F5922">
        <v>1</v>
      </c>
      <c r="G5922">
        <v>10876</v>
      </c>
      <c r="H5922" s="1">
        <v>4</v>
      </c>
      <c r="I5922">
        <v>18</v>
      </c>
      <c r="J5922">
        <f>IF($H5922=0,1,IF($I5922&lt;=1,2,0))</f>
        <v>0</v>
      </c>
      <c r="K5922">
        <v>0</v>
      </c>
      <c r="L5922">
        <f>IF(AND($J5922=0,$K5922=0),0,1)</f>
        <v>0</v>
      </c>
    </row>
    <row r="5923" spans="1:13" x14ac:dyDescent="0.2">
      <c r="A5923" t="s">
        <v>431</v>
      </c>
      <c r="B5923" t="s">
        <v>6</v>
      </c>
      <c r="C5923" t="s">
        <v>11</v>
      </c>
      <c r="D5923">
        <v>8989</v>
      </c>
      <c r="E5923">
        <v>2021</v>
      </c>
      <c r="F5923">
        <v>1</v>
      </c>
      <c r="G5923">
        <v>15017</v>
      </c>
      <c r="H5923" s="1">
        <v>4</v>
      </c>
      <c r="I5923">
        <v>25</v>
      </c>
      <c r="J5923">
        <f>IF($H5923=0,1,IF($I5923&lt;=1,2,0))</f>
        <v>0</v>
      </c>
      <c r="K5923">
        <v>0</v>
      </c>
      <c r="L5923">
        <f>IF(AND($J5923=0,$K5923=0),0,1)</f>
        <v>0</v>
      </c>
    </row>
    <row r="5924" spans="1:13" x14ac:dyDescent="0.2">
      <c r="A5924" t="s">
        <v>431</v>
      </c>
      <c r="B5924" t="s">
        <v>6</v>
      </c>
      <c r="C5924" t="s">
        <v>11</v>
      </c>
      <c r="D5924">
        <v>8991</v>
      </c>
      <c r="E5924">
        <v>2021</v>
      </c>
      <c r="F5924">
        <v>1</v>
      </c>
      <c r="G5924">
        <v>10392</v>
      </c>
      <c r="H5924" s="1">
        <v>3</v>
      </c>
      <c r="I5924">
        <v>11</v>
      </c>
      <c r="J5924">
        <f>IF($H5924=0,1,IF($I5924&lt;=1,2,0))</f>
        <v>0</v>
      </c>
      <c r="K5924">
        <v>0</v>
      </c>
      <c r="L5924">
        <f>IF(AND($J5924=0,$K5924=0),0,1)</f>
        <v>0</v>
      </c>
    </row>
    <row r="5925" spans="1:13" x14ac:dyDescent="0.2">
      <c r="A5925" t="s">
        <v>463</v>
      </c>
      <c r="B5925" t="s">
        <v>17</v>
      </c>
      <c r="C5925" t="s">
        <v>9</v>
      </c>
      <c r="D5925">
        <v>1101</v>
      </c>
      <c r="E5925">
        <v>2021</v>
      </c>
      <c r="F5925">
        <v>1</v>
      </c>
      <c r="G5925">
        <v>11879</v>
      </c>
      <c r="H5925" s="1">
        <v>4</v>
      </c>
      <c r="I5925">
        <v>5</v>
      </c>
      <c r="J5925">
        <f>IF($H5925=0,1,IF($I5925&lt;=1,2,0))</f>
        <v>0</v>
      </c>
      <c r="K5925">
        <v>0</v>
      </c>
      <c r="L5925">
        <f>IF(AND($J5925=0,$K5925=0),0,1)</f>
        <v>0</v>
      </c>
    </row>
    <row r="5926" spans="1:13" x14ac:dyDescent="0.2">
      <c r="A5926" t="s">
        <v>463</v>
      </c>
      <c r="B5926" t="s">
        <v>17</v>
      </c>
      <c r="C5926" t="s">
        <v>9</v>
      </c>
      <c r="D5926">
        <v>2101</v>
      </c>
      <c r="E5926">
        <v>2021</v>
      </c>
      <c r="F5926">
        <v>1</v>
      </c>
      <c r="G5926">
        <v>11882</v>
      </c>
      <c r="H5926" s="1">
        <v>4</v>
      </c>
      <c r="I5926">
        <v>3</v>
      </c>
      <c r="J5926">
        <f>IF($H5926=0,1,IF($I5926&lt;=1,2,0))</f>
        <v>0</v>
      </c>
      <c r="K5926">
        <v>0</v>
      </c>
      <c r="L5926">
        <f>IF(AND($J5926=0,$K5926=0),0,1)</f>
        <v>0</v>
      </c>
    </row>
    <row r="5927" spans="1:13" x14ac:dyDescent="0.2">
      <c r="A5927" t="s">
        <v>463</v>
      </c>
      <c r="B5927" t="s">
        <v>17</v>
      </c>
      <c r="C5927" t="s">
        <v>9</v>
      </c>
      <c r="D5927">
        <v>3333</v>
      </c>
      <c r="E5927">
        <v>2021</v>
      </c>
      <c r="F5927">
        <v>1</v>
      </c>
      <c r="G5927">
        <v>13926</v>
      </c>
      <c r="H5927" s="1">
        <v>3</v>
      </c>
      <c r="I5927">
        <v>3</v>
      </c>
      <c r="J5927">
        <f>IF($H5927=0,1,IF($I5927&lt;=1,2,0))</f>
        <v>0</v>
      </c>
      <c r="K5927">
        <v>0</v>
      </c>
      <c r="L5927">
        <f>IF(AND($J5927=0,$K5927=0),0,1)</f>
        <v>0</v>
      </c>
    </row>
    <row r="5928" spans="1:13" x14ac:dyDescent="0.2">
      <c r="A5928" t="s">
        <v>464</v>
      </c>
      <c r="B5928" t="s">
        <v>6</v>
      </c>
      <c r="C5928" t="s">
        <v>11</v>
      </c>
      <c r="D5928">
        <v>5555</v>
      </c>
      <c r="E5928">
        <v>2021</v>
      </c>
      <c r="F5928">
        <v>1</v>
      </c>
      <c r="G5928">
        <v>14097</v>
      </c>
      <c r="H5928" s="1">
        <v>4</v>
      </c>
      <c r="I5928">
        <v>15</v>
      </c>
      <c r="J5928">
        <f>IF($H5928=0,1,IF($I5928&lt;=1,2,0))</f>
        <v>0</v>
      </c>
      <c r="K5928">
        <v>0</v>
      </c>
      <c r="L5928">
        <f>IF(AND($J5928=0,$K5928=0),0,1)</f>
        <v>0</v>
      </c>
      <c r="M5928" t="s">
        <v>1628</v>
      </c>
    </row>
    <row r="5929" spans="1:13" x14ac:dyDescent="0.2">
      <c r="A5929" t="s">
        <v>465</v>
      </c>
      <c r="B5929" t="s">
        <v>6</v>
      </c>
      <c r="C5929" t="s">
        <v>21</v>
      </c>
      <c r="D5929">
        <v>3001</v>
      </c>
      <c r="E5929">
        <v>2021</v>
      </c>
      <c r="F5929">
        <v>1</v>
      </c>
      <c r="G5929">
        <v>12191</v>
      </c>
      <c r="H5929" s="1">
        <v>3</v>
      </c>
      <c r="I5929">
        <v>131</v>
      </c>
      <c r="J5929">
        <f>IF($H5929=0,1,IF($I5929&lt;=1,2,0))</f>
        <v>0</v>
      </c>
      <c r="K5929">
        <v>0</v>
      </c>
      <c r="L5929">
        <f>IF(AND($J5929=0,$K5929=0),0,1)</f>
        <v>0</v>
      </c>
    </row>
    <row r="5930" spans="1:13" x14ac:dyDescent="0.2">
      <c r="A5930" t="s">
        <v>465</v>
      </c>
      <c r="B5930" t="s">
        <v>6</v>
      </c>
      <c r="C5930" t="s">
        <v>21</v>
      </c>
      <c r="D5930">
        <v>3190</v>
      </c>
      <c r="E5930">
        <v>2021</v>
      </c>
      <c r="F5930">
        <v>1</v>
      </c>
      <c r="G5930">
        <v>14061</v>
      </c>
      <c r="H5930" s="1">
        <v>3</v>
      </c>
      <c r="I5930">
        <v>19</v>
      </c>
      <c r="J5930">
        <f>IF($H5930=0,1,IF($I5930&lt;=1,2,0))</f>
        <v>0</v>
      </c>
      <c r="K5930">
        <v>0</v>
      </c>
      <c r="L5930">
        <f>IF(AND($J5930=0,$K5930=0),0,1)</f>
        <v>0</v>
      </c>
      <c r="M5930" t="s">
        <v>1629</v>
      </c>
    </row>
    <row r="5931" spans="1:13" x14ac:dyDescent="0.2">
      <c r="A5931" t="s">
        <v>465</v>
      </c>
      <c r="B5931" t="s">
        <v>6</v>
      </c>
      <c r="C5931" t="s">
        <v>21</v>
      </c>
      <c r="D5931">
        <v>3933</v>
      </c>
      <c r="E5931">
        <v>2021</v>
      </c>
      <c r="F5931">
        <v>1</v>
      </c>
      <c r="G5931">
        <v>753</v>
      </c>
      <c r="H5931" s="1">
        <v>4</v>
      </c>
      <c r="I5931">
        <v>19</v>
      </c>
      <c r="J5931">
        <f>IF($H5931=0,1,IF($I5931&lt;=1,2,0))</f>
        <v>0</v>
      </c>
      <c r="K5931">
        <v>0</v>
      </c>
      <c r="L5931">
        <f>IF(AND($J5931=0,$K5931=0),0,1)</f>
        <v>0</v>
      </c>
      <c r="M5931" t="s">
        <v>1631</v>
      </c>
    </row>
    <row r="5932" spans="1:13" x14ac:dyDescent="0.2">
      <c r="A5932" t="s">
        <v>465</v>
      </c>
      <c r="B5932" t="s">
        <v>6</v>
      </c>
      <c r="C5932" t="s">
        <v>9</v>
      </c>
      <c r="D5932">
        <v>3994</v>
      </c>
      <c r="E5932">
        <v>2021</v>
      </c>
      <c r="F5932">
        <v>1</v>
      </c>
      <c r="G5932">
        <v>14062</v>
      </c>
      <c r="H5932" s="1">
        <v>4</v>
      </c>
      <c r="I5932">
        <v>9</v>
      </c>
      <c r="J5932">
        <f>IF($H5932=0,1,IF($I5932&lt;=1,2,0))</f>
        <v>0</v>
      </c>
      <c r="K5932">
        <v>0</v>
      </c>
      <c r="L5932">
        <f>IF(AND($J5932=0,$K5932=0),0,1)</f>
        <v>0</v>
      </c>
      <c r="M5932" t="s">
        <v>467</v>
      </c>
    </row>
    <row r="5933" spans="1:13" x14ac:dyDescent="0.2">
      <c r="A5933" t="s">
        <v>465</v>
      </c>
      <c r="B5933" t="s">
        <v>6</v>
      </c>
      <c r="C5933" t="s">
        <v>9</v>
      </c>
      <c r="D5933">
        <v>3995</v>
      </c>
      <c r="E5933">
        <v>2021</v>
      </c>
      <c r="F5933">
        <v>1</v>
      </c>
      <c r="G5933">
        <v>14060</v>
      </c>
      <c r="H5933" s="1">
        <v>4</v>
      </c>
      <c r="I5933">
        <v>7</v>
      </c>
      <c r="J5933">
        <f>IF($H5933=0,1,IF($I5933&lt;=1,2,0))</f>
        <v>0</v>
      </c>
      <c r="K5933">
        <v>0</v>
      </c>
      <c r="L5933">
        <f>IF(AND($J5933=0,$K5933=0),0,1)</f>
        <v>0</v>
      </c>
      <c r="M5933" t="s">
        <v>467</v>
      </c>
    </row>
    <row r="5934" spans="1:13" x14ac:dyDescent="0.2">
      <c r="A5934" t="s">
        <v>465</v>
      </c>
      <c r="B5934" t="s">
        <v>6</v>
      </c>
      <c r="C5934" t="s">
        <v>11</v>
      </c>
      <c r="D5934">
        <v>4215</v>
      </c>
      <c r="E5934">
        <v>2021</v>
      </c>
      <c r="F5934">
        <v>1</v>
      </c>
      <c r="G5934">
        <v>12193</v>
      </c>
      <c r="H5934" s="1">
        <v>3</v>
      </c>
      <c r="I5934">
        <v>13</v>
      </c>
      <c r="J5934">
        <f>IF($H5934=0,1,IF($I5934&lt;=1,2,0))</f>
        <v>0</v>
      </c>
      <c r="K5934">
        <v>0</v>
      </c>
      <c r="L5934">
        <f>IF(AND($J5934=0,$K5934=0),0,1)</f>
        <v>0</v>
      </c>
      <c r="M5934" t="s">
        <v>2069</v>
      </c>
    </row>
    <row r="5935" spans="1:13" x14ac:dyDescent="0.2">
      <c r="A5935" t="s">
        <v>465</v>
      </c>
      <c r="B5935" t="s">
        <v>6</v>
      </c>
      <c r="C5935" t="s">
        <v>9</v>
      </c>
      <c r="D5935">
        <v>4230</v>
      </c>
      <c r="E5935">
        <v>2021</v>
      </c>
      <c r="F5935">
        <v>1</v>
      </c>
      <c r="G5935">
        <v>12194</v>
      </c>
      <c r="H5935" s="1">
        <v>3</v>
      </c>
      <c r="I5935">
        <v>18</v>
      </c>
      <c r="J5935">
        <f>IF($H5935=0,1,IF($I5935&lt;=1,2,0))</f>
        <v>0</v>
      </c>
      <c r="K5935">
        <v>0</v>
      </c>
      <c r="L5935">
        <f>IF(AND($J5935=0,$K5935=0),0,1)</f>
        <v>0</v>
      </c>
      <c r="M5935" t="s">
        <v>2069</v>
      </c>
    </row>
    <row r="5936" spans="1:13" x14ac:dyDescent="0.2">
      <c r="A5936" t="s">
        <v>465</v>
      </c>
      <c r="B5936" t="s">
        <v>6</v>
      </c>
      <c r="C5936" t="s">
        <v>11</v>
      </c>
      <c r="D5936">
        <v>4400</v>
      </c>
      <c r="E5936">
        <v>2021</v>
      </c>
      <c r="F5936">
        <v>1</v>
      </c>
      <c r="G5936">
        <v>12195</v>
      </c>
      <c r="H5936" s="1">
        <v>3</v>
      </c>
      <c r="I5936">
        <v>11</v>
      </c>
      <c r="J5936">
        <f>IF($H5936=0,1,IF($I5936&lt;=1,2,0))</f>
        <v>0</v>
      </c>
      <c r="K5936">
        <v>0</v>
      </c>
      <c r="L5936">
        <f>IF(AND($J5936=0,$K5936=0),0,1)</f>
        <v>0</v>
      </c>
      <c r="M5936" t="s">
        <v>2069</v>
      </c>
    </row>
    <row r="5937" spans="1:13" x14ac:dyDescent="0.2">
      <c r="A5937" t="s">
        <v>465</v>
      </c>
      <c r="B5937" t="s">
        <v>6</v>
      </c>
      <c r="C5937" t="s">
        <v>9</v>
      </c>
      <c r="D5937">
        <v>4650</v>
      </c>
      <c r="E5937">
        <v>2021</v>
      </c>
      <c r="F5937">
        <v>1</v>
      </c>
      <c r="G5937">
        <v>12196</v>
      </c>
      <c r="H5937" s="1">
        <v>3</v>
      </c>
      <c r="I5937">
        <v>18</v>
      </c>
      <c r="J5937">
        <f>IF($H5937=0,1,IF($I5937&lt;=1,2,0))</f>
        <v>0</v>
      </c>
      <c r="K5937">
        <v>0</v>
      </c>
      <c r="L5937">
        <f>IF(AND($J5937=0,$K5937=0),0,1)</f>
        <v>0</v>
      </c>
      <c r="M5937" t="s">
        <v>2069</v>
      </c>
    </row>
    <row r="5938" spans="1:13" x14ac:dyDescent="0.2">
      <c r="A5938" t="s">
        <v>465</v>
      </c>
      <c r="B5938" t="s">
        <v>6</v>
      </c>
      <c r="C5938" t="s">
        <v>9</v>
      </c>
      <c r="D5938">
        <v>4915</v>
      </c>
      <c r="E5938">
        <v>2021</v>
      </c>
      <c r="F5938">
        <v>1</v>
      </c>
      <c r="G5938">
        <v>12197</v>
      </c>
      <c r="H5938" s="1">
        <v>3</v>
      </c>
      <c r="I5938">
        <v>18</v>
      </c>
      <c r="J5938">
        <f>IF($H5938=0,1,IF($I5938&lt;=1,2,0))</f>
        <v>0</v>
      </c>
      <c r="K5938">
        <v>0</v>
      </c>
      <c r="L5938">
        <f>IF(AND($J5938=0,$K5938=0),0,1)</f>
        <v>0</v>
      </c>
      <c r="M5938" t="s">
        <v>2069</v>
      </c>
    </row>
    <row r="5939" spans="1:13" x14ac:dyDescent="0.2">
      <c r="A5939" t="s">
        <v>465</v>
      </c>
      <c r="B5939" t="s">
        <v>6</v>
      </c>
      <c r="C5939" t="s">
        <v>11</v>
      </c>
      <c r="D5939">
        <v>4950</v>
      </c>
      <c r="E5939">
        <v>2021</v>
      </c>
      <c r="F5939">
        <v>1</v>
      </c>
      <c r="G5939">
        <v>12199</v>
      </c>
      <c r="H5939" s="1">
        <v>3</v>
      </c>
      <c r="I5939">
        <v>12</v>
      </c>
      <c r="J5939">
        <f>IF($H5939=0,1,IF($I5939&lt;=1,2,0))</f>
        <v>0</v>
      </c>
      <c r="K5939">
        <v>0</v>
      </c>
      <c r="L5939">
        <f>IF(AND($J5939=0,$K5939=0),0,1)</f>
        <v>0</v>
      </c>
      <c r="M5939" t="s">
        <v>1632</v>
      </c>
    </row>
    <row r="5940" spans="1:13" x14ac:dyDescent="0.2">
      <c r="A5940" t="s">
        <v>465</v>
      </c>
      <c r="B5940" t="s">
        <v>6</v>
      </c>
      <c r="C5940" t="s">
        <v>9</v>
      </c>
      <c r="D5940">
        <v>4965</v>
      </c>
      <c r="E5940">
        <v>2021</v>
      </c>
      <c r="F5940">
        <v>1</v>
      </c>
      <c r="G5940">
        <v>12200</v>
      </c>
      <c r="H5940" s="1">
        <v>3</v>
      </c>
      <c r="I5940">
        <v>19</v>
      </c>
      <c r="J5940">
        <f>IF($H5940=0,1,IF($I5940&lt;=1,2,0))</f>
        <v>0</v>
      </c>
      <c r="K5940">
        <v>0</v>
      </c>
      <c r="L5940">
        <f>IF(AND($J5940=0,$K5940=0),0,1)</f>
        <v>0</v>
      </c>
      <c r="M5940" t="s">
        <v>2069</v>
      </c>
    </row>
    <row r="5941" spans="1:13" x14ac:dyDescent="0.2">
      <c r="A5941" t="s">
        <v>465</v>
      </c>
      <c r="B5941" t="s">
        <v>6</v>
      </c>
      <c r="C5941" t="s">
        <v>11</v>
      </c>
      <c r="D5941">
        <v>6800</v>
      </c>
      <c r="E5941">
        <v>2021</v>
      </c>
      <c r="F5941">
        <v>2</v>
      </c>
      <c r="G5941">
        <v>14063</v>
      </c>
      <c r="H5941" s="1">
        <v>3</v>
      </c>
      <c r="I5941">
        <v>20</v>
      </c>
      <c r="J5941">
        <f>IF($H5941=0,1,IF($I5941&lt;=1,2,0))</f>
        <v>0</v>
      </c>
      <c r="K5941">
        <v>0</v>
      </c>
      <c r="L5941">
        <f>IF(AND($J5941=0,$K5941=0),0,1)</f>
        <v>0</v>
      </c>
    </row>
    <row r="5942" spans="1:13" x14ac:dyDescent="0.2">
      <c r="A5942" t="s">
        <v>470</v>
      </c>
      <c r="B5942" t="s">
        <v>6</v>
      </c>
      <c r="C5942" t="s">
        <v>9</v>
      </c>
      <c r="D5942">
        <v>4880</v>
      </c>
      <c r="E5942">
        <v>2021</v>
      </c>
      <c r="F5942">
        <v>1</v>
      </c>
      <c r="G5942">
        <v>10930</v>
      </c>
      <c r="H5942" s="1">
        <v>3</v>
      </c>
      <c r="I5942">
        <v>46</v>
      </c>
      <c r="J5942">
        <f>IF($H5942=0,1,IF($I5942&lt;=1,2,0))</f>
        <v>0</v>
      </c>
      <c r="K5942">
        <v>0</v>
      </c>
      <c r="L5942">
        <f>IF(AND($J5942=0,$K5942=0),0,1)</f>
        <v>0</v>
      </c>
    </row>
    <row r="5943" spans="1:13" x14ac:dyDescent="0.2">
      <c r="A5943" t="s">
        <v>470</v>
      </c>
      <c r="B5943" t="s">
        <v>6</v>
      </c>
      <c r="C5943" t="s">
        <v>9</v>
      </c>
      <c r="D5943">
        <v>4893</v>
      </c>
      <c r="E5943">
        <v>2021</v>
      </c>
      <c r="F5943">
        <v>1</v>
      </c>
      <c r="G5943">
        <v>14039</v>
      </c>
      <c r="H5943" s="1">
        <v>4</v>
      </c>
      <c r="I5943">
        <v>13</v>
      </c>
      <c r="J5943">
        <f>IF($H5943=0,1,IF($I5943&lt;=1,2,0))</f>
        <v>0</v>
      </c>
      <c r="K5943">
        <v>0</v>
      </c>
      <c r="L5943">
        <f>IF(AND($J5943=0,$K5943=0),0,1)</f>
        <v>0</v>
      </c>
      <c r="M5943" t="s">
        <v>1633</v>
      </c>
    </row>
    <row r="5944" spans="1:13" x14ac:dyDescent="0.2">
      <c r="A5944" t="s">
        <v>470</v>
      </c>
      <c r="B5944" t="s">
        <v>6</v>
      </c>
      <c r="C5944" t="s">
        <v>11</v>
      </c>
      <c r="D5944">
        <v>6009</v>
      </c>
      <c r="E5944">
        <v>2021</v>
      </c>
      <c r="F5944">
        <v>1</v>
      </c>
      <c r="G5944">
        <v>16265</v>
      </c>
      <c r="H5944" s="1">
        <v>3</v>
      </c>
      <c r="I5944">
        <v>9</v>
      </c>
      <c r="J5944">
        <f>IF($H5944=0,1,IF($I5944&lt;=1,2,0))</f>
        <v>0</v>
      </c>
      <c r="K5944">
        <v>0</v>
      </c>
      <c r="L5944">
        <f>IF(AND($J5944=0,$K5944=0),0,1)</f>
        <v>0</v>
      </c>
    </row>
    <row r="5945" spans="1:13" x14ac:dyDescent="0.2">
      <c r="A5945" t="s">
        <v>470</v>
      </c>
      <c r="B5945" t="s">
        <v>6</v>
      </c>
      <c r="C5945" t="s">
        <v>11</v>
      </c>
      <c r="D5945">
        <v>6401</v>
      </c>
      <c r="E5945">
        <v>2021</v>
      </c>
      <c r="F5945">
        <v>1</v>
      </c>
      <c r="G5945">
        <v>18540</v>
      </c>
      <c r="H5945" s="1">
        <v>4</v>
      </c>
      <c r="I5945">
        <v>4</v>
      </c>
      <c r="J5945">
        <f>IF($H5945=0,1,IF($I5945&lt;=1,2,0))</f>
        <v>0</v>
      </c>
      <c r="K5945">
        <v>0</v>
      </c>
      <c r="L5945">
        <f>IF(AND($J5945=0,$K5945=0),0,1)</f>
        <v>0</v>
      </c>
    </row>
    <row r="5946" spans="1:13" x14ac:dyDescent="0.2">
      <c r="A5946" t="s">
        <v>470</v>
      </c>
      <c r="B5946" t="s">
        <v>6</v>
      </c>
      <c r="C5946" t="s">
        <v>11</v>
      </c>
      <c r="D5946">
        <v>8883</v>
      </c>
      <c r="E5946">
        <v>2021</v>
      </c>
      <c r="F5946">
        <v>1</v>
      </c>
      <c r="G5946">
        <v>10934</v>
      </c>
      <c r="H5946" s="1">
        <v>4</v>
      </c>
      <c r="I5946">
        <v>14</v>
      </c>
      <c r="J5946">
        <f>IF($H5946=0,1,IF($I5946&lt;=1,2,0))</f>
        <v>0</v>
      </c>
      <c r="K5946">
        <v>0</v>
      </c>
      <c r="L5946">
        <f>IF(AND($J5946=0,$K5946=0),0,1)</f>
        <v>0</v>
      </c>
    </row>
    <row r="5947" spans="1:13" x14ac:dyDescent="0.2">
      <c r="A5947" t="s">
        <v>1634</v>
      </c>
      <c r="B5947" t="s">
        <v>6</v>
      </c>
      <c r="C5947" t="s">
        <v>9</v>
      </c>
      <c r="D5947">
        <v>2761</v>
      </c>
      <c r="E5947">
        <v>2021</v>
      </c>
      <c r="F5947">
        <v>1</v>
      </c>
      <c r="G5947">
        <v>10317</v>
      </c>
      <c r="H5947" s="1">
        <v>4</v>
      </c>
      <c r="I5947">
        <v>35</v>
      </c>
      <c r="J5947">
        <f>IF($H5947=0,1,IF($I5947&lt;=1,2,0))</f>
        <v>0</v>
      </c>
      <c r="K5947">
        <v>0</v>
      </c>
      <c r="L5947">
        <f>IF(AND($J5947=0,$K5947=0),0,1)</f>
        <v>0</v>
      </c>
      <c r="M5947" t="s">
        <v>1635</v>
      </c>
    </row>
    <row r="5948" spans="1:13" x14ac:dyDescent="0.2">
      <c r="A5948" t="s">
        <v>477</v>
      </c>
      <c r="B5948" t="s">
        <v>241</v>
      </c>
      <c r="C5948" t="s">
        <v>7</v>
      </c>
      <c r="D5948">
        <v>1001</v>
      </c>
      <c r="E5948">
        <v>2021</v>
      </c>
      <c r="F5948">
        <v>2</v>
      </c>
      <c r="G5948">
        <v>11533</v>
      </c>
      <c r="H5948" s="1">
        <v>4</v>
      </c>
      <c r="I5948">
        <v>23</v>
      </c>
      <c r="J5948">
        <f>IF($H5948=0,1,IF($I5948&lt;=1,2,0))</f>
        <v>0</v>
      </c>
      <c r="K5948">
        <v>0</v>
      </c>
      <c r="L5948">
        <f>IF(AND($J5948=0,$K5948=0),0,1)</f>
        <v>0</v>
      </c>
    </row>
    <row r="5949" spans="1:13" x14ac:dyDescent="0.2">
      <c r="A5949" t="s">
        <v>477</v>
      </c>
      <c r="B5949" t="s">
        <v>241</v>
      </c>
      <c r="C5949" t="s">
        <v>7</v>
      </c>
      <c r="D5949">
        <v>1001</v>
      </c>
      <c r="E5949">
        <v>2021</v>
      </c>
      <c r="F5949">
        <v>3</v>
      </c>
      <c r="G5949">
        <v>11534</v>
      </c>
      <c r="H5949" s="1">
        <v>4</v>
      </c>
      <c r="I5949">
        <v>22</v>
      </c>
      <c r="J5949">
        <f>IF($H5949=0,1,IF($I5949&lt;=1,2,0))</f>
        <v>0</v>
      </c>
      <c r="K5949">
        <v>0</v>
      </c>
      <c r="L5949">
        <f>IF(AND($J5949=0,$K5949=0),0,1)</f>
        <v>0</v>
      </c>
    </row>
    <row r="5950" spans="1:13" x14ac:dyDescent="0.2">
      <c r="A5950" t="s">
        <v>477</v>
      </c>
      <c r="B5950" t="s">
        <v>241</v>
      </c>
      <c r="C5950" t="s">
        <v>7</v>
      </c>
      <c r="D5950">
        <v>1001</v>
      </c>
      <c r="E5950">
        <v>2021</v>
      </c>
      <c r="F5950">
        <v>6</v>
      </c>
      <c r="G5950">
        <v>11816</v>
      </c>
      <c r="H5950" s="1">
        <v>4</v>
      </c>
      <c r="I5950">
        <v>22</v>
      </c>
      <c r="J5950">
        <f>IF($H5950=0,1,IF($I5950&lt;=1,2,0))</f>
        <v>0</v>
      </c>
      <c r="K5950">
        <v>0</v>
      </c>
      <c r="L5950">
        <f>IF(AND($J5950=0,$K5950=0),0,1)</f>
        <v>0</v>
      </c>
    </row>
    <row r="5951" spans="1:13" x14ac:dyDescent="0.2">
      <c r="A5951" t="s">
        <v>477</v>
      </c>
      <c r="B5951" t="s">
        <v>241</v>
      </c>
      <c r="C5951" t="s">
        <v>7</v>
      </c>
      <c r="D5951">
        <v>1001</v>
      </c>
      <c r="E5951">
        <v>2021</v>
      </c>
      <c r="F5951">
        <v>8</v>
      </c>
      <c r="G5951">
        <v>11538</v>
      </c>
      <c r="H5951" s="1">
        <v>4</v>
      </c>
      <c r="I5951">
        <v>22</v>
      </c>
      <c r="J5951">
        <f>IF($H5951=0,1,IF($I5951&lt;=1,2,0))</f>
        <v>0</v>
      </c>
      <c r="K5951">
        <v>0</v>
      </c>
      <c r="L5951">
        <f>IF(AND($J5951=0,$K5951=0),0,1)</f>
        <v>0</v>
      </c>
    </row>
    <row r="5952" spans="1:13" x14ac:dyDescent="0.2">
      <c r="A5952" t="s">
        <v>477</v>
      </c>
      <c r="B5952" t="s">
        <v>241</v>
      </c>
      <c r="C5952" t="s">
        <v>7</v>
      </c>
      <c r="D5952">
        <v>1001</v>
      </c>
      <c r="E5952">
        <v>2021</v>
      </c>
      <c r="F5952">
        <v>12</v>
      </c>
      <c r="G5952">
        <v>11542</v>
      </c>
      <c r="H5952" s="1">
        <v>4</v>
      </c>
      <c r="I5952">
        <v>22</v>
      </c>
      <c r="J5952">
        <f>IF($H5952=0,1,IF($I5952&lt;=1,2,0))</f>
        <v>0</v>
      </c>
      <c r="K5952">
        <v>0</v>
      </c>
      <c r="L5952">
        <f>IF(AND($J5952=0,$K5952=0),0,1)</f>
        <v>0</v>
      </c>
    </row>
    <row r="5953" spans="1:12" x14ac:dyDescent="0.2">
      <c r="A5953" t="s">
        <v>477</v>
      </c>
      <c r="B5953" t="s">
        <v>241</v>
      </c>
      <c r="C5953" t="s">
        <v>7</v>
      </c>
      <c r="D5953">
        <v>1001</v>
      </c>
      <c r="E5953">
        <v>2021</v>
      </c>
      <c r="F5953">
        <v>13</v>
      </c>
      <c r="G5953">
        <v>11543</v>
      </c>
      <c r="H5953" s="1">
        <v>4</v>
      </c>
      <c r="I5953">
        <v>22</v>
      </c>
      <c r="J5953">
        <f>IF($H5953=0,1,IF($I5953&lt;=1,2,0))</f>
        <v>0</v>
      </c>
      <c r="K5953">
        <v>0</v>
      </c>
      <c r="L5953">
        <f>IF(AND($J5953=0,$K5953=0),0,1)</f>
        <v>0</v>
      </c>
    </row>
    <row r="5954" spans="1:12" x14ac:dyDescent="0.2">
      <c r="A5954" t="s">
        <v>477</v>
      </c>
      <c r="B5954" t="s">
        <v>241</v>
      </c>
      <c r="C5954" t="s">
        <v>7</v>
      </c>
      <c r="D5954">
        <v>1001</v>
      </c>
      <c r="E5954">
        <v>2021</v>
      </c>
      <c r="F5954">
        <v>14</v>
      </c>
      <c r="G5954">
        <v>11544</v>
      </c>
      <c r="H5954" s="1">
        <v>4</v>
      </c>
      <c r="I5954">
        <v>22</v>
      </c>
      <c r="J5954">
        <f>IF($H5954=0,1,IF($I5954&lt;=1,2,0))</f>
        <v>0</v>
      </c>
      <c r="K5954">
        <v>0</v>
      </c>
      <c r="L5954">
        <f>IF(AND($J5954=0,$K5954=0),0,1)</f>
        <v>0</v>
      </c>
    </row>
    <row r="5955" spans="1:12" x14ac:dyDescent="0.2">
      <c r="A5955" t="s">
        <v>477</v>
      </c>
      <c r="B5955" t="s">
        <v>241</v>
      </c>
      <c r="C5955" t="s">
        <v>7</v>
      </c>
      <c r="D5955">
        <v>1001</v>
      </c>
      <c r="E5955">
        <v>2021</v>
      </c>
      <c r="F5955">
        <v>15</v>
      </c>
      <c r="G5955">
        <v>11545</v>
      </c>
      <c r="H5955" s="1">
        <v>4</v>
      </c>
      <c r="I5955">
        <v>22</v>
      </c>
      <c r="J5955">
        <f>IF($H5955=0,1,IF($I5955&lt;=1,2,0))</f>
        <v>0</v>
      </c>
      <c r="K5955">
        <v>0</v>
      </c>
      <c r="L5955">
        <f>IF(AND($J5955=0,$K5955=0),0,1)</f>
        <v>0</v>
      </c>
    </row>
    <row r="5956" spans="1:12" x14ac:dyDescent="0.2">
      <c r="A5956" t="s">
        <v>477</v>
      </c>
      <c r="B5956" t="s">
        <v>241</v>
      </c>
      <c r="C5956" t="s">
        <v>7</v>
      </c>
      <c r="D5956">
        <v>1001</v>
      </c>
      <c r="E5956">
        <v>2021</v>
      </c>
      <c r="F5956">
        <v>16</v>
      </c>
      <c r="G5956">
        <v>11546</v>
      </c>
      <c r="H5956" s="1">
        <v>4</v>
      </c>
      <c r="I5956">
        <v>22</v>
      </c>
      <c r="J5956">
        <f>IF($H5956=0,1,IF($I5956&lt;=1,2,0))</f>
        <v>0</v>
      </c>
      <c r="K5956">
        <v>0</v>
      </c>
      <c r="L5956">
        <f>IF(AND($J5956=0,$K5956=0),0,1)</f>
        <v>0</v>
      </c>
    </row>
    <row r="5957" spans="1:12" x14ac:dyDescent="0.2">
      <c r="A5957" t="s">
        <v>477</v>
      </c>
      <c r="B5957" t="s">
        <v>241</v>
      </c>
      <c r="C5957" t="s">
        <v>7</v>
      </c>
      <c r="D5957">
        <v>1001</v>
      </c>
      <c r="E5957">
        <v>2021</v>
      </c>
      <c r="F5957">
        <v>17</v>
      </c>
      <c r="G5957">
        <v>11815</v>
      </c>
      <c r="H5957" s="1">
        <v>4</v>
      </c>
      <c r="I5957">
        <v>22</v>
      </c>
      <c r="J5957">
        <f>IF($H5957=0,1,IF($I5957&lt;=1,2,0))</f>
        <v>0</v>
      </c>
      <c r="K5957">
        <v>0</v>
      </c>
      <c r="L5957">
        <f>IF(AND($J5957=0,$K5957=0),0,1)</f>
        <v>0</v>
      </c>
    </row>
    <row r="5958" spans="1:12" x14ac:dyDescent="0.2">
      <c r="A5958" t="s">
        <v>477</v>
      </c>
      <c r="B5958" t="s">
        <v>241</v>
      </c>
      <c r="C5958" t="s">
        <v>7</v>
      </c>
      <c r="D5958">
        <v>1001</v>
      </c>
      <c r="E5958">
        <v>2021</v>
      </c>
      <c r="F5958">
        <v>23</v>
      </c>
      <c r="G5958">
        <v>11552</v>
      </c>
      <c r="H5958" s="1">
        <v>4</v>
      </c>
      <c r="I5958">
        <v>22</v>
      </c>
      <c r="J5958">
        <f>IF($H5958=0,1,IF($I5958&lt;=1,2,0))</f>
        <v>0</v>
      </c>
      <c r="K5958">
        <v>0</v>
      </c>
      <c r="L5958">
        <f>IF(AND($J5958=0,$K5958=0),0,1)</f>
        <v>0</v>
      </c>
    </row>
    <row r="5959" spans="1:12" x14ac:dyDescent="0.2">
      <c r="A5959" t="s">
        <v>477</v>
      </c>
      <c r="B5959" t="s">
        <v>241</v>
      </c>
      <c r="C5959" t="s">
        <v>7</v>
      </c>
      <c r="D5959">
        <v>1001</v>
      </c>
      <c r="E5959">
        <v>2021</v>
      </c>
      <c r="F5959">
        <v>24</v>
      </c>
      <c r="G5959">
        <v>11553</v>
      </c>
      <c r="H5959" s="1">
        <v>4</v>
      </c>
      <c r="I5959">
        <v>22</v>
      </c>
      <c r="J5959">
        <f>IF($H5959=0,1,IF($I5959&lt;=1,2,0))</f>
        <v>0</v>
      </c>
      <c r="K5959">
        <v>0</v>
      </c>
      <c r="L5959">
        <f>IF(AND($J5959=0,$K5959=0),0,1)</f>
        <v>0</v>
      </c>
    </row>
    <row r="5960" spans="1:12" x14ac:dyDescent="0.2">
      <c r="A5960" t="s">
        <v>477</v>
      </c>
      <c r="B5960" t="s">
        <v>241</v>
      </c>
      <c r="C5960" t="s">
        <v>7</v>
      </c>
      <c r="D5960">
        <v>1001</v>
      </c>
      <c r="E5960">
        <v>2021</v>
      </c>
      <c r="F5960">
        <v>27</v>
      </c>
      <c r="G5960">
        <v>11556</v>
      </c>
      <c r="H5960" s="1">
        <v>4</v>
      </c>
      <c r="I5960">
        <v>22</v>
      </c>
      <c r="J5960">
        <f>IF($H5960=0,1,IF($I5960&lt;=1,2,0))</f>
        <v>0</v>
      </c>
      <c r="K5960">
        <v>0</v>
      </c>
      <c r="L5960">
        <f>IF(AND($J5960=0,$K5960=0),0,1)</f>
        <v>0</v>
      </c>
    </row>
    <row r="5961" spans="1:12" x14ac:dyDescent="0.2">
      <c r="A5961" t="s">
        <v>477</v>
      </c>
      <c r="B5961" t="s">
        <v>241</v>
      </c>
      <c r="C5961" t="s">
        <v>7</v>
      </c>
      <c r="D5961">
        <v>1001</v>
      </c>
      <c r="E5961">
        <v>2021</v>
      </c>
      <c r="F5961">
        <v>32</v>
      </c>
      <c r="G5961">
        <v>11592</v>
      </c>
      <c r="H5961" s="1">
        <v>4</v>
      </c>
      <c r="I5961">
        <v>22</v>
      </c>
      <c r="J5961">
        <f>IF($H5961=0,1,IF($I5961&lt;=1,2,0))</f>
        <v>0</v>
      </c>
      <c r="K5961">
        <v>0</v>
      </c>
      <c r="L5961">
        <f>IF(AND($J5961=0,$K5961=0),0,1)</f>
        <v>0</v>
      </c>
    </row>
    <row r="5962" spans="1:12" x14ac:dyDescent="0.2">
      <c r="A5962" t="s">
        <v>477</v>
      </c>
      <c r="B5962" t="s">
        <v>241</v>
      </c>
      <c r="C5962" t="s">
        <v>7</v>
      </c>
      <c r="D5962">
        <v>1001</v>
      </c>
      <c r="E5962">
        <v>2021</v>
      </c>
      <c r="F5962">
        <v>34</v>
      </c>
      <c r="G5962">
        <v>11594</v>
      </c>
      <c r="H5962" s="1">
        <v>4</v>
      </c>
      <c r="I5962">
        <v>22</v>
      </c>
      <c r="J5962">
        <f>IF($H5962=0,1,IF($I5962&lt;=1,2,0))</f>
        <v>0</v>
      </c>
      <c r="K5962">
        <v>0</v>
      </c>
      <c r="L5962">
        <f>IF(AND($J5962=0,$K5962=0),0,1)</f>
        <v>0</v>
      </c>
    </row>
    <row r="5963" spans="1:12" x14ac:dyDescent="0.2">
      <c r="A5963" t="s">
        <v>477</v>
      </c>
      <c r="B5963" t="s">
        <v>241</v>
      </c>
      <c r="C5963" t="s">
        <v>7</v>
      </c>
      <c r="D5963">
        <v>1001</v>
      </c>
      <c r="E5963">
        <v>2021</v>
      </c>
      <c r="F5963">
        <v>36</v>
      </c>
      <c r="G5963">
        <v>11596</v>
      </c>
      <c r="H5963" s="1">
        <v>4</v>
      </c>
      <c r="I5963">
        <v>22</v>
      </c>
      <c r="J5963">
        <f>IF($H5963=0,1,IF($I5963&lt;=1,2,0))</f>
        <v>0</v>
      </c>
      <c r="K5963">
        <v>0</v>
      </c>
      <c r="L5963">
        <f>IF(AND($J5963=0,$K5963=0),0,1)</f>
        <v>0</v>
      </c>
    </row>
    <row r="5964" spans="1:12" x14ac:dyDescent="0.2">
      <c r="A5964" t="s">
        <v>477</v>
      </c>
      <c r="B5964" t="s">
        <v>241</v>
      </c>
      <c r="C5964" t="s">
        <v>7</v>
      </c>
      <c r="D5964">
        <v>1001</v>
      </c>
      <c r="E5964">
        <v>2021</v>
      </c>
      <c r="F5964">
        <v>37</v>
      </c>
      <c r="G5964">
        <v>11602</v>
      </c>
      <c r="H5964" s="1">
        <v>4</v>
      </c>
      <c r="I5964">
        <v>22</v>
      </c>
      <c r="J5964">
        <f>IF($H5964=0,1,IF($I5964&lt;=1,2,0))</f>
        <v>0</v>
      </c>
      <c r="K5964">
        <v>0</v>
      </c>
      <c r="L5964">
        <f>IF(AND($J5964=0,$K5964=0),0,1)</f>
        <v>0</v>
      </c>
    </row>
    <row r="5965" spans="1:12" x14ac:dyDescent="0.2">
      <c r="A5965" t="s">
        <v>477</v>
      </c>
      <c r="B5965" t="s">
        <v>241</v>
      </c>
      <c r="C5965" t="s">
        <v>7</v>
      </c>
      <c r="D5965">
        <v>1001</v>
      </c>
      <c r="E5965">
        <v>2021</v>
      </c>
      <c r="F5965">
        <v>38</v>
      </c>
      <c r="G5965">
        <v>11604</v>
      </c>
      <c r="H5965" s="1">
        <v>4</v>
      </c>
      <c r="I5965">
        <v>22</v>
      </c>
      <c r="J5965">
        <f>IF($H5965=0,1,IF($I5965&lt;=1,2,0))</f>
        <v>0</v>
      </c>
      <c r="K5965">
        <v>0</v>
      </c>
      <c r="L5965">
        <f>IF(AND($J5965=0,$K5965=0),0,1)</f>
        <v>0</v>
      </c>
    </row>
    <row r="5966" spans="1:12" x14ac:dyDescent="0.2">
      <c r="A5966" t="s">
        <v>477</v>
      </c>
      <c r="B5966" t="s">
        <v>241</v>
      </c>
      <c r="C5966" t="s">
        <v>7</v>
      </c>
      <c r="D5966">
        <v>1001</v>
      </c>
      <c r="E5966">
        <v>2021</v>
      </c>
      <c r="F5966">
        <v>40</v>
      </c>
      <c r="G5966">
        <v>11613</v>
      </c>
      <c r="H5966" s="1">
        <v>4</v>
      </c>
      <c r="I5966">
        <v>22</v>
      </c>
      <c r="J5966">
        <f>IF($H5966=0,1,IF($I5966&lt;=1,2,0))</f>
        <v>0</v>
      </c>
      <c r="K5966">
        <v>0</v>
      </c>
      <c r="L5966">
        <f>IF(AND($J5966=0,$K5966=0),0,1)</f>
        <v>0</v>
      </c>
    </row>
    <row r="5967" spans="1:12" x14ac:dyDescent="0.2">
      <c r="A5967" t="s">
        <v>477</v>
      </c>
      <c r="B5967" t="s">
        <v>241</v>
      </c>
      <c r="C5967" t="s">
        <v>7</v>
      </c>
      <c r="D5967">
        <v>1001</v>
      </c>
      <c r="E5967">
        <v>2021</v>
      </c>
      <c r="F5967">
        <v>42</v>
      </c>
      <c r="G5967">
        <v>11618</v>
      </c>
      <c r="H5967" s="1">
        <v>4</v>
      </c>
      <c r="I5967">
        <v>22</v>
      </c>
      <c r="J5967">
        <f>IF($H5967=0,1,IF($I5967&lt;=1,2,0))</f>
        <v>0</v>
      </c>
      <c r="K5967">
        <v>0</v>
      </c>
      <c r="L5967">
        <f>IF(AND($J5967=0,$K5967=0),0,1)</f>
        <v>0</v>
      </c>
    </row>
    <row r="5968" spans="1:12" x14ac:dyDescent="0.2">
      <c r="A5968" t="s">
        <v>477</v>
      </c>
      <c r="B5968" t="s">
        <v>241</v>
      </c>
      <c r="C5968" t="s">
        <v>7</v>
      </c>
      <c r="D5968">
        <v>1001</v>
      </c>
      <c r="E5968">
        <v>2021</v>
      </c>
      <c r="F5968">
        <v>43</v>
      </c>
      <c r="G5968">
        <v>11619</v>
      </c>
      <c r="H5968" s="1">
        <v>4</v>
      </c>
      <c r="I5968">
        <v>22</v>
      </c>
      <c r="J5968">
        <f>IF($H5968=0,1,IF($I5968&lt;=1,2,0))</f>
        <v>0</v>
      </c>
      <c r="K5968">
        <v>0</v>
      </c>
      <c r="L5968">
        <f>IF(AND($J5968=0,$K5968=0),0,1)</f>
        <v>0</v>
      </c>
    </row>
    <row r="5969" spans="1:12" x14ac:dyDescent="0.2">
      <c r="A5969" t="s">
        <v>477</v>
      </c>
      <c r="B5969" t="s">
        <v>241</v>
      </c>
      <c r="C5969" t="s">
        <v>7</v>
      </c>
      <c r="D5969">
        <v>1001</v>
      </c>
      <c r="E5969">
        <v>2021</v>
      </c>
      <c r="F5969">
        <v>44</v>
      </c>
      <c r="G5969">
        <v>11621</v>
      </c>
      <c r="H5969" s="1">
        <v>4</v>
      </c>
      <c r="I5969">
        <v>22</v>
      </c>
      <c r="J5969">
        <f>IF($H5969=0,1,IF($I5969&lt;=1,2,0))</f>
        <v>0</v>
      </c>
      <c r="K5969">
        <v>0</v>
      </c>
      <c r="L5969">
        <f>IF(AND($J5969=0,$K5969=0),0,1)</f>
        <v>0</v>
      </c>
    </row>
    <row r="5970" spans="1:12" x14ac:dyDescent="0.2">
      <c r="A5970" t="s">
        <v>477</v>
      </c>
      <c r="B5970" t="s">
        <v>241</v>
      </c>
      <c r="C5970" t="s">
        <v>7</v>
      </c>
      <c r="D5970">
        <v>1001</v>
      </c>
      <c r="E5970">
        <v>2021</v>
      </c>
      <c r="F5970">
        <v>45</v>
      </c>
      <c r="G5970">
        <v>11623</v>
      </c>
      <c r="H5970" s="1">
        <v>4</v>
      </c>
      <c r="I5970">
        <v>22</v>
      </c>
      <c r="J5970">
        <f>IF($H5970=0,1,IF($I5970&lt;=1,2,0))</f>
        <v>0</v>
      </c>
      <c r="K5970">
        <v>0</v>
      </c>
      <c r="L5970">
        <f>IF(AND($J5970=0,$K5970=0),0,1)</f>
        <v>0</v>
      </c>
    </row>
    <row r="5971" spans="1:12" x14ac:dyDescent="0.2">
      <c r="A5971" t="s">
        <v>477</v>
      </c>
      <c r="B5971" t="s">
        <v>241</v>
      </c>
      <c r="C5971" t="s">
        <v>7</v>
      </c>
      <c r="D5971">
        <v>1001</v>
      </c>
      <c r="E5971">
        <v>2021</v>
      </c>
      <c r="F5971">
        <v>48</v>
      </c>
      <c r="G5971">
        <v>11630</v>
      </c>
      <c r="H5971" s="1">
        <v>4</v>
      </c>
      <c r="I5971">
        <v>22</v>
      </c>
      <c r="J5971">
        <f>IF($H5971=0,1,IF($I5971&lt;=1,2,0))</f>
        <v>0</v>
      </c>
      <c r="K5971">
        <v>0</v>
      </c>
      <c r="L5971">
        <f>IF(AND($J5971=0,$K5971=0),0,1)</f>
        <v>0</v>
      </c>
    </row>
    <row r="5972" spans="1:12" x14ac:dyDescent="0.2">
      <c r="A5972" t="s">
        <v>477</v>
      </c>
      <c r="B5972" t="s">
        <v>241</v>
      </c>
      <c r="C5972" t="s">
        <v>7</v>
      </c>
      <c r="D5972">
        <v>1001</v>
      </c>
      <c r="E5972">
        <v>2021</v>
      </c>
      <c r="F5972">
        <v>49</v>
      </c>
      <c r="G5972">
        <v>11631</v>
      </c>
      <c r="H5972" s="1">
        <v>4</v>
      </c>
      <c r="I5972">
        <v>22</v>
      </c>
      <c r="J5972">
        <f>IF($H5972=0,1,IF($I5972&lt;=1,2,0))</f>
        <v>0</v>
      </c>
      <c r="K5972">
        <v>0</v>
      </c>
      <c r="L5972">
        <f>IF(AND($J5972=0,$K5972=0),0,1)</f>
        <v>0</v>
      </c>
    </row>
    <row r="5973" spans="1:12" x14ac:dyDescent="0.2">
      <c r="A5973" t="s">
        <v>477</v>
      </c>
      <c r="B5973" t="s">
        <v>241</v>
      </c>
      <c r="C5973" t="s">
        <v>7</v>
      </c>
      <c r="D5973">
        <v>1001</v>
      </c>
      <c r="E5973">
        <v>2021</v>
      </c>
      <c r="F5973">
        <v>50</v>
      </c>
      <c r="G5973">
        <v>11633</v>
      </c>
      <c r="H5973" s="1">
        <v>4</v>
      </c>
      <c r="I5973">
        <v>22</v>
      </c>
      <c r="J5973">
        <f>IF($H5973=0,1,IF($I5973&lt;=1,2,0))</f>
        <v>0</v>
      </c>
      <c r="K5973">
        <v>0</v>
      </c>
      <c r="L5973">
        <f>IF(AND($J5973=0,$K5973=0),0,1)</f>
        <v>0</v>
      </c>
    </row>
    <row r="5974" spans="1:12" x14ac:dyDescent="0.2">
      <c r="A5974" t="s">
        <v>477</v>
      </c>
      <c r="B5974" t="s">
        <v>241</v>
      </c>
      <c r="C5974" t="s">
        <v>7</v>
      </c>
      <c r="D5974">
        <v>1001</v>
      </c>
      <c r="E5974">
        <v>2021</v>
      </c>
      <c r="F5974">
        <v>51</v>
      </c>
      <c r="G5974">
        <v>11634</v>
      </c>
      <c r="H5974" s="1">
        <v>4</v>
      </c>
      <c r="I5974">
        <v>22</v>
      </c>
      <c r="J5974">
        <f>IF($H5974=0,1,IF($I5974&lt;=1,2,0))</f>
        <v>0</v>
      </c>
      <c r="K5974">
        <v>0</v>
      </c>
      <c r="L5974">
        <f>IF(AND($J5974=0,$K5974=0),0,1)</f>
        <v>0</v>
      </c>
    </row>
    <row r="5975" spans="1:12" x14ac:dyDescent="0.2">
      <c r="A5975" t="s">
        <v>477</v>
      </c>
      <c r="B5975" t="s">
        <v>241</v>
      </c>
      <c r="C5975" t="s">
        <v>7</v>
      </c>
      <c r="D5975">
        <v>1001</v>
      </c>
      <c r="E5975">
        <v>2021</v>
      </c>
      <c r="F5975">
        <v>53</v>
      </c>
      <c r="G5975">
        <v>11649</v>
      </c>
      <c r="H5975" s="1">
        <v>4</v>
      </c>
      <c r="I5975">
        <v>22</v>
      </c>
      <c r="J5975">
        <f>IF($H5975=0,1,IF($I5975&lt;=1,2,0))</f>
        <v>0</v>
      </c>
      <c r="K5975">
        <v>0</v>
      </c>
      <c r="L5975">
        <f>IF(AND($J5975=0,$K5975=0),0,1)</f>
        <v>0</v>
      </c>
    </row>
    <row r="5976" spans="1:12" x14ac:dyDescent="0.2">
      <c r="A5976" t="s">
        <v>477</v>
      </c>
      <c r="B5976" t="s">
        <v>241</v>
      </c>
      <c r="C5976" t="s">
        <v>7</v>
      </c>
      <c r="D5976">
        <v>1001</v>
      </c>
      <c r="E5976">
        <v>2021</v>
      </c>
      <c r="F5976">
        <v>54</v>
      </c>
      <c r="G5976">
        <v>12879</v>
      </c>
      <c r="H5976" s="1">
        <v>4</v>
      </c>
      <c r="I5976">
        <v>22</v>
      </c>
      <c r="J5976">
        <f>IF($H5976=0,1,IF($I5976&lt;=1,2,0))</f>
        <v>0</v>
      </c>
      <c r="K5976">
        <v>0</v>
      </c>
      <c r="L5976">
        <f>IF(AND($J5976=0,$K5976=0),0,1)</f>
        <v>0</v>
      </c>
    </row>
    <row r="5977" spans="1:12" x14ac:dyDescent="0.2">
      <c r="A5977" t="s">
        <v>477</v>
      </c>
      <c r="B5977" t="s">
        <v>241</v>
      </c>
      <c r="C5977" t="s">
        <v>7</v>
      </c>
      <c r="D5977">
        <v>1001</v>
      </c>
      <c r="E5977">
        <v>2021</v>
      </c>
      <c r="F5977">
        <v>56</v>
      </c>
      <c r="G5977">
        <v>12880</v>
      </c>
      <c r="H5977" s="1">
        <v>4</v>
      </c>
      <c r="I5977">
        <v>22</v>
      </c>
      <c r="J5977">
        <f>IF($H5977=0,1,IF($I5977&lt;=1,2,0))</f>
        <v>0</v>
      </c>
      <c r="K5977">
        <v>0</v>
      </c>
      <c r="L5977">
        <f>IF(AND($J5977=0,$K5977=0),0,1)</f>
        <v>0</v>
      </c>
    </row>
    <row r="5978" spans="1:12" x14ac:dyDescent="0.2">
      <c r="A5978" t="s">
        <v>477</v>
      </c>
      <c r="B5978" t="s">
        <v>241</v>
      </c>
      <c r="C5978" t="s">
        <v>7</v>
      </c>
      <c r="D5978">
        <v>1001</v>
      </c>
      <c r="E5978">
        <v>2021</v>
      </c>
      <c r="F5978">
        <v>60</v>
      </c>
      <c r="G5978">
        <v>11656</v>
      </c>
      <c r="H5978" s="1">
        <v>4</v>
      </c>
      <c r="I5978">
        <v>22</v>
      </c>
      <c r="J5978">
        <f>IF($H5978=0,1,IF($I5978&lt;=1,2,0))</f>
        <v>0</v>
      </c>
      <c r="K5978">
        <v>0</v>
      </c>
      <c r="L5978">
        <f>IF(AND($J5978=0,$K5978=0),0,1)</f>
        <v>0</v>
      </c>
    </row>
    <row r="5979" spans="1:12" x14ac:dyDescent="0.2">
      <c r="A5979" t="s">
        <v>477</v>
      </c>
      <c r="B5979" t="s">
        <v>241</v>
      </c>
      <c r="C5979" t="s">
        <v>7</v>
      </c>
      <c r="D5979">
        <v>1001</v>
      </c>
      <c r="E5979">
        <v>2021</v>
      </c>
      <c r="F5979">
        <v>63</v>
      </c>
      <c r="G5979">
        <v>11659</v>
      </c>
      <c r="H5979" s="1">
        <v>4</v>
      </c>
      <c r="I5979">
        <v>22</v>
      </c>
      <c r="J5979">
        <f>IF($H5979=0,1,IF($I5979&lt;=1,2,0))</f>
        <v>0</v>
      </c>
      <c r="K5979">
        <v>0</v>
      </c>
      <c r="L5979">
        <f>IF(AND($J5979=0,$K5979=0),0,1)</f>
        <v>0</v>
      </c>
    </row>
    <row r="5980" spans="1:12" x14ac:dyDescent="0.2">
      <c r="A5980" t="s">
        <v>477</v>
      </c>
      <c r="B5980" t="s">
        <v>241</v>
      </c>
      <c r="C5980" t="s">
        <v>7</v>
      </c>
      <c r="D5980">
        <v>1001</v>
      </c>
      <c r="E5980">
        <v>2021</v>
      </c>
      <c r="F5980">
        <v>68</v>
      </c>
      <c r="G5980">
        <v>11701</v>
      </c>
      <c r="H5980" s="1">
        <v>4</v>
      </c>
      <c r="I5980">
        <v>22</v>
      </c>
      <c r="J5980">
        <f>IF($H5980=0,1,IF($I5980&lt;=1,2,0))</f>
        <v>0</v>
      </c>
      <c r="K5980">
        <v>0</v>
      </c>
      <c r="L5980">
        <f>IF(AND($J5980=0,$K5980=0),0,1)</f>
        <v>0</v>
      </c>
    </row>
    <row r="5981" spans="1:12" x14ac:dyDescent="0.2">
      <c r="A5981" t="s">
        <v>477</v>
      </c>
      <c r="B5981" t="s">
        <v>241</v>
      </c>
      <c r="C5981" t="s">
        <v>7</v>
      </c>
      <c r="D5981">
        <v>1001</v>
      </c>
      <c r="E5981">
        <v>2021</v>
      </c>
      <c r="F5981">
        <v>73</v>
      </c>
      <c r="G5981">
        <v>18560</v>
      </c>
      <c r="H5981" s="1">
        <v>4</v>
      </c>
      <c r="I5981">
        <v>22</v>
      </c>
      <c r="J5981">
        <f>IF($H5981=0,1,IF($I5981&lt;=1,2,0))</f>
        <v>0</v>
      </c>
      <c r="K5981">
        <v>0</v>
      </c>
      <c r="L5981">
        <f>IF(AND($J5981=0,$K5981=0),0,1)</f>
        <v>0</v>
      </c>
    </row>
    <row r="5982" spans="1:12" x14ac:dyDescent="0.2">
      <c r="A5982" t="s">
        <v>477</v>
      </c>
      <c r="B5982" t="s">
        <v>241</v>
      </c>
      <c r="C5982" t="s">
        <v>7</v>
      </c>
      <c r="D5982">
        <v>1001</v>
      </c>
      <c r="E5982">
        <v>2021</v>
      </c>
      <c r="F5982">
        <v>1</v>
      </c>
      <c r="G5982">
        <v>11532</v>
      </c>
      <c r="H5982" s="1">
        <v>4</v>
      </c>
      <c r="I5982">
        <v>21</v>
      </c>
      <c r="J5982">
        <f>IF($H5982=0,1,IF($I5982&lt;=1,2,0))</f>
        <v>0</v>
      </c>
      <c r="K5982">
        <v>0</v>
      </c>
      <c r="L5982">
        <f>IF(AND($J5982=0,$K5982=0),0,1)</f>
        <v>0</v>
      </c>
    </row>
    <row r="5983" spans="1:12" x14ac:dyDescent="0.2">
      <c r="A5983" t="s">
        <v>477</v>
      </c>
      <c r="B5983" t="s">
        <v>241</v>
      </c>
      <c r="C5983" t="s">
        <v>7</v>
      </c>
      <c r="D5983">
        <v>1001</v>
      </c>
      <c r="E5983">
        <v>2021</v>
      </c>
      <c r="F5983">
        <v>4</v>
      </c>
      <c r="G5983">
        <v>11535</v>
      </c>
      <c r="H5983" s="1">
        <v>4</v>
      </c>
      <c r="I5983">
        <v>21</v>
      </c>
      <c r="J5983">
        <f>IF($H5983=0,1,IF($I5983&lt;=1,2,0))</f>
        <v>0</v>
      </c>
      <c r="K5983">
        <v>0</v>
      </c>
      <c r="L5983">
        <f>IF(AND($J5983=0,$K5983=0),0,1)</f>
        <v>0</v>
      </c>
    </row>
    <row r="5984" spans="1:12" x14ac:dyDescent="0.2">
      <c r="A5984" t="s">
        <v>477</v>
      </c>
      <c r="B5984" t="s">
        <v>241</v>
      </c>
      <c r="C5984" t="s">
        <v>7</v>
      </c>
      <c r="D5984">
        <v>1001</v>
      </c>
      <c r="E5984">
        <v>2021</v>
      </c>
      <c r="F5984">
        <v>9</v>
      </c>
      <c r="G5984">
        <v>11539</v>
      </c>
      <c r="H5984" s="1">
        <v>4</v>
      </c>
      <c r="I5984">
        <v>21</v>
      </c>
      <c r="J5984">
        <f>IF($H5984=0,1,IF($I5984&lt;=1,2,0))</f>
        <v>0</v>
      </c>
      <c r="K5984">
        <v>0</v>
      </c>
      <c r="L5984">
        <f>IF(AND($J5984=0,$K5984=0),0,1)</f>
        <v>0</v>
      </c>
    </row>
    <row r="5985" spans="1:12" x14ac:dyDescent="0.2">
      <c r="A5985" t="s">
        <v>477</v>
      </c>
      <c r="B5985" t="s">
        <v>241</v>
      </c>
      <c r="C5985" t="s">
        <v>7</v>
      </c>
      <c r="D5985">
        <v>1001</v>
      </c>
      <c r="E5985">
        <v>2021</v>
      </c>
      <c r="F5985">
        <v>10</v>
      </c>
      <c r="G5985">
        <v>11540</v>
      </c>
      <c r="H5985" s="1">
        <v>4</v>
      </c>
      <c r="I5985">
        <v>21</v>
      </c>
      <c r="J5985">
        <f>IF($H5985=0,1,IF($I5985&lt;=1,2,0))</f>
        <v>0</v>
      </c>
      <c r="K5985">
        <v>0</v>
      </c>
      <c r="L5985">
        <f>IF(AND($J5985=0,$K5985=0),0,1)</f>
        <v>0</v>
      </c>
    </row>
    <row r="5986" spans="1:12" x14ac:dyDescent="0.2">
      <c r="A5986" t="s">
        <v>477</v>
      </c>
      <c r="B5986" t="s">
        <v>241</v>
      </c>
      <c r="C5986" t="s">
        <v>7</v>
      </c>
      <c r="D5986">
        <v>1001</v>
      </c>
      <c r="E5986">
        <v>2021</v>
      </c>
      <c r="F5986">
        <v>11</v>
      </c>
      <c r="G5986">
        <v>11541</v>
      </c>
      <c r="H5986" s="1">
        <v>4</v>
      </c>
      <c r="I5986">
        <v>21</v>
      </c>
      <c r="J5986">
        <f>IF($H5986=0,1,IF($I5986&lt;=1,2,0))</f>
        <v>0</v>
      </c>
      <c r="K5986">
        <v>0</v>
      </c>
      <c r="L5986">
        <f>IF(AND($J5986=0,$K5986=0),0,1)</f>
        <v>0</v>
      </c>
    </row>
    <row r="5987" spans="1:12" x14ac:dyDescent="0.2">
      <c r="A5987" t="s">
        <v>477</v>
      </c>
      <c r="B5987" t="s">
        <v>241</v>
      </c>
      <c r="C5987" t="s">
        <v>7</v>
      </c>
      <c r="D5987">
        <v>1001</v>
      </c>
      <c r="E5987">
        <v>2021</v>
      </c>
      <c r="F5987">
        <v>18</v>
      </c>
      <c r="G5987">
        <v>11547</v>
      </c>
      <c r="H5987" s="1">
        <v>4</v>
      </c>
      <c r="I5987">
        <v>21</v>
      </c>
      <c r="J5987">
        <f>IF($H5987=0,1,IF($I5987&lt;=1,2,0))</f>
        <v>0</v>
      </c>
      <c r="K5987">
        <v>0</v>
      </c>
      <c r="L5987">
        <f>IF(AND($J5987=0,$K5987=0),0,1)</f>
        <v>0</v>
      </c>
    </row>
    <row r="5988" spans="1:12" x14ac:dyDescent="0.2">
      <c r="A5988" t="s">
        <v>477</v>
      </c>
      <c r="B5988" t="s">
        <v>241</v>
      </c>
      <c r="C5988" t="s">
        <v>7</v>
      </c>
      <c r="D5988">
        <v>1001</v>
      </c>
      <c r="E5988">
        <v>2021</v>
      </c>
      <c r="F5988">
        <v>20</v>
      </c>
      <c r="G5988">
        <v>11549</v>
      </c>
      <c r="H5988" s="1">
        <v>4</v>
      </c>
      <c r="I5988">
        <v>21</v>
      </c>
      <c r="J5988">
        <f>IF($H5988=0,1,IF($I5988&lt;=1,2,0))</f>
        <v>0</v>
      </c>
      <c r="K5988">
        <v>0</v>
      </c>
      <c r="L5988">
        <f>IF(AND($J5988=0,$K5988=0),0,1)</f>
        <v>0</v>
      </c>
    </row>
    <row r="5989" spans="1:12" x14ac:dyDescent="0.2">
      <c r="A5989" t="s">
        <v>477</v>
      </c>
      <c r="B5989" t="s">
        <v>241</v>
      </c>
      <c r="C5989" t="s">
        <v>7</v>
      </c>
      <c r="D5989">
        <v>1001</v>
      </c>
      <c r="E5989">
        <v>2021</v>
      </c>
      <c r="F5989">
        <v>21</v>
      </c>
      <c r="G5989">
        <v>11550</v>
      </c>
      <c r="H5989" s="1">
        <v>4</v>
      </c>
      <c r="I5989">
        <v>21</v>
      </c>
      <c r="J5989">
        <f>IF($H5989=0,1,IF($I5989&lt;=1,2,0))</f>
        <v>0</v>
      </c>
      <c r="K5989">
        <v>0</v>
      </c>
      <c r="L5989">
        <f>IF(AND($J5989=0,$K5989=0),0,1)</f>
        <v>0</v>
      </c>
    </row>
    <row r="5990" spans="1:12" x14ac:dyDescent="0.2">
      <c r="A5990" t="s">
        <v>477</v>
      </c>
      <c r="B5990" t="s">
        <v>241</v>
      </c>
      <c r="C5990" t="s">
        <v>7</v>
      </c>
      <c r="D5990">
        <v>1001</v>
      </c>
      <c r="E5990">
        <v>2021</v>
      </c>
      <c r="F5990">
        <v>22</v>
      </c>
      <c r="G5990">
        <v>11551</v>
      </c>
      <c r="H5990" s="1">
        <v>4</v>
      </c>
      <c r="I5990">
        <v>21</v>
      </c>
      <c r="J5990">
        <f>IF($H5990=0,1,IF($I5990&lt;=1,2,0))</f>
        <v>0</v>
      </c>
      <c r="K5990">
        <v>0</v>
      </c>
      <c r="L5990">
        <f>IF(AND($J5990=0,$K5990=0),0,1)</f>
        <v>0</v>
      </c>
    </row>
    <row r="5991" spans="1:12" x14ac:dyDescent="0.2">
      <c r="A5991" t="s">
        <v>477</v>
      </c>
      <c r="B5991" t="s">
        <v>241</v>
      </c>
      <c r="C5991" t="s">
        <v>7</v>
      </c>
      <c r="D5991">
        <v>1001</v>
      </c>
      <c r="E5991">
        <v>2021</v>
      </c>
      <c r="F5991">
        <v>25</v>
      </c>
      <c r="G5991">
        <v>11554</v>
      </c>
      <c r="H5991" s="1">
        <v>4</v>
      </c>
      <c r="I5991">
        <v>21</v>
      </c>
      <c r="J5991">
        <f>IF($H5991=0,1,IF($I5991&lt;=1,2,0))</f>
        <v>0</v>
      </c>
      <c r="K5991">
        <v>0</v>
      </c>
      <c r="L5991">
        <f>IF(AND($J5991=0,$K5991=0),0,1)</f>
        <v>0</v>
      </c>
    </row>
    <row r="5992" spans="1:12" x14ac:dyDescent="0.2">
      <c r="A5992" t="s">
        <v>477</v>
      </c>
      <c r="B5992" t="s">
        <v>241</v>
      </c>
      <c r="C5992" t="s">
        <v>7</v>
      </c>
      <c r="D5992">
        <v>1001</v>
      </c>
      <c r="E5992">
        <v>2021</v>
      </c>
      <c r="F5992">
        <v>28</v>
      </c>
      <c r="G5992">
        <v>11557</v>
      </c>
      <c r="H5992" s="1">
        <v>4</v>
      </c>
      <c r="I5992">
        <v>21</v>
      </c>
      <c r="J5992">
        <f>IF($H5992=0,1,IF($I5992&lt;=1,2,0))</f>
        <v>0</v>
      </c>
      <c r="K5992">
        <v>0</v>
      </c>
      <c r="L5992">
        <f>IF(AND($J5992=0,$K5992=0),0,1)</f>
        <v>0</v>
      </c>
    </row>
    <row r="5993" spans="1:12" x14ac:dyDescent="0.2">
      <c r="A5993" t="s">
        <v>477</v>
      </c>
      <c r="B5993" t="s">
        <v>241</v>
      </c>
      <c r="C5993" t="s">
        <v>7</v>
      </c>
      <c r="D5993">
        <v>1001</v>
      </c>
      <c r="E5993">
        <v>2021</v>
      </c>
      <c r="F5993">
        <v>29</v>
      </c>
      <c r="G5993">
        <v>11558</v>
      </c>
      <c r="H5993" s="1">
        <v>4</v>
      </c>
      <c r="I5993">
        <v>21</v>
      </c>
      <c r="J5993">
        <f>IF($H5993=0,1,IF($I5993&lt;=1,2,0))</f>
        <v>0</v>
      </c>
      <c r="K5993">
        <v>0</v>
      </c>
      <c r="L5993">
        <f>IF(AND($J5993=0,$K5993=0),0,1)</f>
        <v>0</v>
      </c>
    </row>
    <row r="5994" spans="1:12" x14ac:dyDescent="0.2">
      <c r="A5994" t="s">
        <v>477</v>
      </c>
      <c r="B5994" t="s">
        <v>241</v>
      </c>
      <c r="C5994" t="s">
        <v>7</v>
      </c>
      <c r="D5994">
        <v>1001</v>
      </c>
      <c r="E5994">
        <v>2021</v>
      </c>
      <c r="F5994">
        <v>35</v>
      </c>
      <c r="G5994">
        <v>11595</v>
      </c>
      <c r="H5994" s="1">
        <v>4</v>
      </c>
      <c r="I5994">
        <v>21</v>
      </c>
      <c r="J5994">
        <f>IF($H5994=0,1,IF($I5994&lt;=1,2,0))</f>
        <v>0</v>
      </c>
      <c r="K5994">
        <v>0</v>
      </c>
      <c r="L5994">
        <f>IF(AND($J5994=0,$K5994=0),0,1)</f>
        <v>0</v>
      </c>
    </row>
    <row r="5995" spans="1:12" x14ac:dyDescent="0.2">
      <c r="A5995" t="s">
        <v>477</v>
      </c>
      <c r="B5995" t="s">
        <v>241</v>
      </c>
      <c r="C5995" t="s">
        <v>7</v>
      </c>
      <c r="D5995">
        <v>1001</v>
      </c>
      <c r="E5995">
        <v>2021</v>
      </c>
      <c r="F5995">
        <v>41</v>
      </c>
      <c r="G5995">
        <v>11617</v>
      </c>
      <c r="H5995" s="1">
        <v>4</v>
      </c>
      <c r="I5995">
        <v>21</v>
      </c>
      <c r="J5995">
        <f>IF($H5995=0,1,IF($I5995&lt;=1,2,0))</f>
        <v>0</v>
      </c>
      <c r="K5995">
        <v>0</v>
      </c>
      <c r="L5995">
        <f>IF(AND($J5995=0,$K5995=0),0,1)</f>
        <v>0</v>
      </c>
    </row>
    <row r="5996" spans="1:12" x14ac:dyDescent="0.2">
      <c r="A5996" t="s">
        <v>477</v>
      </c>
      <c r="B5996" t="s">
        <v>241</v>
      </c>
      <c r="C5996" t="s">
        <v>7</v>
      </c>
      <c r="D5996">
        <v>1001</v>
      </c>
      <c r="E5996">
        <v>2021</v>
      </c>
      <c r="F5996">
        <v>46</v>
      </c>
      <c r="G5996">
        <v>11817</v>
      </c>
      <c r="H5996" s="1">
        <v>4</v>
      </c>
      <c r="I5996">
        <v>21</v>
      </c>
      <c r="J5996">
        <f>IF($H5996=0,1,IF($I5996&lt;=1,2,0))</f>
        <v>0</v>
      </c>
      <c r="K5996">
        <v>0</v>
      </c>
      <c r="L5996">
        <f>IF(AND($J5996=0,$K5996=0),0,1)</f>
        <v>0</v>
      </c>
    </row>
    <row r="5997" spans="1:12" x14ac:dyDescent="0.2">
      <c r="A5997" t="s">
        <v>477</v>
      </c>
      <c r="B5997" t="s">
        <v>241</v>
      </c>
      <c r="C5997" t="s">
        <v>7</v>
      </c>
      <c r="D5997">
        <v>1001</v>
      </c>
      <c r="E5997">
        <v>2021</v>
      </c>
      <c r="F5997">
        <v>47</v>
      </c>
      <c r="G5997">
        <v>11628</v>
      </c>
      <c r="H5997" s="1">
        <v>4</v>
      </c>
      <c r="I5997">
        <v>21</v>
      </c>
      <c r="J5997">
        <f>IF($H5997=0,1,IF($I5997&lt;=1,2,0))</f>
        <v>0</v>
      </c>
      <c r="K5997">
        <v>0</v>
      </c>
      <c r="L5997">
        <f>IF(AND($J5997=0,$K5997=0),0,1)</f>
        <v>0</v>
      </c>
    </row>
    <row r="5998" spans="1:12" x14ac:dyDescent="0.2">
      <c r="A5998" t="s">
        <v>477</v>
      </c>
      <c r="B5998" t="s">
        <v>241</v>
      </c>
      <c r="C5998" t="s">
        <v>7</v>
      </c>
      <c r="D5998">
        <v>1001</v>
      </c>
      <c r="E5998">
        <v>2021</v>
      </c>
      <c r="F5998">
        <v>52</v>
      </c>
      <c r="G5998">
        <v>11646</v>
      </c>
      <c r="H5998" s="1">
        <v>4</v>
      </c>
      <c r="I5998">
        <v>21</v>
      </c>
      <c r="J5998">
        <f>IF($H5998=0,1,IF($I5998&lt;=1,2,0))</f>
        <v>0</v>
      </c>
      <c r="K5998">
        <v>0</v>
      </c>
      <c r="L5998">
        <f>IF(AND($J5998=0,$K5998=0),0,1)</f>
        <v>0</v>
      </c>
    </row>
    <row r="5999" spans="1:12" x14ac:dyDescent="0.2">
      <c r="A5999" t="s">
        <v>477</v>
      </c>
      <c r="B5999" t="s">
        <v>241</v>
      </c>
      <c r="C5999" t="s">
        <v>7</v>
      </c>
      <c r="D5999">
        <v>1001</v>
      </c>
      <c r="E5999">
        <v>2021</v>
      </c>
      <c r="F5999">
        <v>55</v>
      </c>
      <c r="G5999">
        <v>11651</v>
      </c>
      <c r="H5999" s="1">
        <v>4</v>
      </c>
      <c r="I5999">
        <v>21</v>
      </c>
      <c r="J5999">
        <f>IF($H5999=0,1,IF($I5999&lt;=1,2,0))</f>
        <v>0</v>
      </c>
      <c r="K5999">
        <v>0</v>
      </c>
      <c r="L5999">
        <f>IF(AND($J5999=0,$K5999=0),0,1)</f>
        <v>0</v>
      </c>
    </row>
    <row r="6000" spans="1:12" x14ac:dyDescent="0.2">
      <c r="A6000" t="s">
        <v>477</v>
      </c>
      <c r="B6000" t="s">
        <v>241</v>
      </c>
      <c r="C6000" t="s">
        <v>7</v>
      </c>
      <c r="D6000">
        <v>1001</v>
      </c>
      <c r="E6000">
        <v>2021</v>
      </c>
      <c r="F6000">
        <v>57</v>
      </c>
      <c r="G6000">
        <v>11653</v>
      </c>
      <c r="H6000" s="1">
        <v>4</v>
      </c>
      <c r="I6000">
        <v>21</v>
      </c>
      <c r="J6000">
        <f>IF($H6000=0,1,IF($I6000&lt;=1,2,0))</f>
        <v>0</v>
      </c>
      <c r="K6000">
        <v>0</v>
      </c>
      <c r="L6000">
        <f>IF(AND($J6000=0,$K6000=0),0,1)</f>
        <v>0</v>
      </c>
    </row>
    <row r="6001" spans="1:12" x14ac:dyDescent="0.2">
      <c r="A6001" t="s">
        <v>477</v>
      </c>
      <c r="B6001" t="s">
        <v>241</v>
      </c>
      <c r="C6001" t="s">
        <v>7</v>
      </c>
      <c r="D6001">
        <v>1001</v>
      </c>
      <c r="E6001">
        <v>2021</v>
      </c>
      <c r="F6001">
        <v>64</v>
      </c>
      <c r="G6001">
        <v>11698</v>
      </c>
      <c r="H6001" s="1">
        <v>4</v>
      </c>
      <c r="I6001">
        <v>21</v>
      </c>
      <c r="J6001">
        <f>IF($H6001=0,1,IF($I6001&lt;=1,2,0))</f>
        <v>0</v>
      </c>
      <c r="K6001">
        <v>0</v>
      </c>
      <c r="L6001">
        <f>IF(AND($J6001=0,$K6001=0),0,1)</f>
        <v>0</v>
      </c>
    </row>
    <row r="6002" spans="1:12" x14ac:dyDescent="0.2">
      <c r="A6002" t="s">
        <v>477</v>
      </c>
      <c r="B6002" t="s">
        <v>241</v>
      </c>
      <c r="C6002" t="s">
        <v>153</v>
      </c>
      <c r="D6002">
        <v>1001</v>
      </c>
      <c r="E6002">
        <v>2021</v>
      </c>
      <c r="F6002">
        <v>69</v>
      </c>
      <c r="G6002">
        <v>15378</v>
      </c>
      <c r="H6002" s="1">
        <v>4</v>
      </c>
      <c r="I6002">
        <v>21</v>
      </c>
      <c r="J6002">
        <f>IF($H6002=0,1,IF($I6002&lt;=1,2,0))</f>
        <v>0</v>
      </c>
      <c r="K6002">
        <v>0</v>
      </c>
      <c r="L6002">
        <f>IF(AND($J6002=0,$K6002=0),0,1)</f>
        <v>0</v>
      </c>
    </row>
    <row r="6003" spans="1:12" x14ac:dyDescent="0.2">
      <c r="A6003" t="s">
        <v>477</v>
      </c>
      <c r="B6003" t="s">
        <v>241</v>
      </c>
      <c r="C6003" t="s">
        <v>7</v>
      </c>
      <c r="D6003">
        <v>1001</v>
      </c>
      <c r="E6003">
        <v>2021</v>
      </c>
      <c r="F6003">
        <v>72</v>
      </c>
      <c r="G6003">
        <v>18559</v>
      </c>
      <c r="H6003" s="1">
        <v>4</v>
      </c>
      <c r="I6003">
        <v>21</v>
      </c>
      <c r="J6003">
        <f>IF($H6003=0,1,IF($I6003&lt;=1,2,0))</f>
        <v>0</v>
      </c>
      <c r="K6003">
        <v>0</v>
      </c>
      <c r="L6003">
        <f>IF(AND($J6003=0,$K6003=0),0,1)</f>
        <v>0</v>
      </c>
    </row>
    <row r="6004" spans="1:12" x14ac:dyDescent="0.2">
      <c r="A6004" t="s">
        <v>477</v>
      </c>
      <c r="B6004" t="s">
        <v>241</v>
      </c>
      <c r="C6004" t="s">
        <v>7</v>
      </c>
      <c r="D6004">
        <v>1001</v>
      </c>
      <c r="E6004">
        <v>2021</v>
      </c>
      <c r="F6004">
        <v>5</v>
      </c>
      <c r="G6004">
        <v>11536</v>
      </c>
      <c r="H6004" s="1">
        <v>4</v>
      </c>
      <c r="I6004">
        <v>20</v>
      </c>
      <c r="J6004">
        <f>IF($H6004=0,1,IF($I6004&lt;=1,2,0))</f>
        <v>0</v>
      </c>
      <c r="K6004">
        <v>0</v>
      </c>
      <c r="L6004">
        <f>IF(AND($J6004=0,$K6004=0),0,1)</f>
        <v>0</v>
      </c>
    </row>
    <row r="6005" spans="1:12" x14ac:dyDescent="0.2">
      <c r="A6005" t="s">
        <v>477</v>
      </c>
      <c r="B6005" t="s">
        <v>241</v>
      </c>
      <c r="C6005" t="s">
        <v>7</v>
      </c>
      <c r="D6005">
        <v>1001</v>
      </c>
      <c r="E6005">
        <v>2021</v>
      </c>
      <c r="F6005">
        <v>7</v>
      </c>
      <c r="G6005">
        <v>11537</v>
      </c>
      <c r="H6005" s="1">
        <v>4</v>
      </c>
      <c r="I6005">
        <v>20</v>
      </c>
      <c r="J6005">
        <f>IF($H6005=0,1,IF($I6005&lt;=1,2,0))</f>
        <v>0</v>
      </c>
      <c r="K6005">
        <v>0</v>
      </c>
      <c r="L6005">
        <f>IF(AND($J6005=0,$K6005=0),0,1)</f>
        <v>0</v>
      </c>
    </row>
    <row r="6006" spans="1:12" x14ac:dyDescent="0.2">
      <c r="A6006" t="s">
        <v>477</v>
      </c>
      <c r="B6006" t="s">
        <v>241</v>
      </c>
      <c r="C6006" t="s">
        <v>7</v>
      </c>
      <c r="D6006">
        <v>1001</v>
      </c>
      <c r="E6006">
        <v>2021</v>
      </c>
      <c r="F6006">
        <v>33</v>
      </c>
      <c r="G6006">
        <v>11593</v>
      </c>
      <c r="H6006" s="1">
        <v>4</v>
      </c>
      <c r="I6006">
        <v>20</v>
      </c>
      <c r="J6006">
        <f>IF($H6006=0,1,IF($I6006&lt;=1,2,0))</f>
        <v>0</v>
      </c>
      <c r="K6006">
        <v>0</v>
      </c>
      <c r="L6006">
        <f>IF(AND($J6006=0,$K6006=0),0,1)</f>
        <v>0</v>
      </c>
    </row>
    <row r="6007" spans="1:12" x14ac:dyDescent="0.2">
      <c r="A6007" t="s">
        <v>477</v>
      </c>
      <c r="B6007" t="s">
        <v>241</v>
      </c>
      <c r="C6007" t="s">
        <v>153</v>
      </c>
      <c r="D6007">
        <v>1001</v>
      </c>
      <c r="E6007">
        <v>2021</v>
      </c>
      <c r="F6007">
        <v>71</v>
      </c>
      <c r="G6007">
        <v>15380</v>
      </c>
      <c r="H6007" s="1">
        <v>4</v>
      </c>
      <c r="I6007">
        <v>20</v>
      </c>
      <c r="J6007">
        <f>IF($H6007=0,1,IF($I6007&lt;=1,2,0))</f>
        <v>0</v>
      </c>
      <c r="K6007">
        <v>0</v>
      </c>
      <c r="L6007">
        <f>IF(AND($J6007=0,$K6007=0),0,1)</f>
        <v>0</v>
      </c>
    </row>
    <row r="6008" spans="1:12" x14ac:dyDescent="0.2">
      <c r="A6008" t="s">
        <v>477</v>
      </c>
      <c r="B6008" t="s">
        <v>241</v>
      </c>
      <c r="C6008" t="s">
        <v>7</v>
      </c>
      <c r="D6008">
        <v>1001</v>
      </c>
      <c r="E6008">
        <v>2021</v>
      </c>
      <c r="F6008">
        <v>74</v>
      </c>
      <c r="G6008">
        <v>18756</v>
      </c>
      <c r="H6008" s="1">
        <v>4</v>
      </c>
      <c r="I6008">
        <v>20</v>
      </c>
      <c r="J6008">
        <f>IF($H6008=0,1,IF($I6008&lt;=1,2,0))</f>
        <v>0</v>
      </c>
      <c r="K6008">
        <v>0</v>
      </c>
      <c r="L6008">
        <f>IF(AND($J6008=0,$K6008=0),0,1)</f>
        <v>0</v>
      </c>
    </row>
    <row r="6009" spans="1:12" x14ac:dyDescent="0.2">
      <c r="A6009" t="s">
        <v>477</v>
      </c>
      <c r="B6009" t="s">
        <v>241</v>
      </c>
      <c r="C6009" t="s">
        <v>7</v>
      </c>
      <c r="D6009">
        <v>1001</v>
      </c>
      <c r="E6009">
        <v>2021</v>
      </c>
      <c r="F6009">
        <v>19</v>
      </c>
      <c r="G6009">
        <v>11548</v>
      </c>
      <c r="H6009" s="1">
        <v>4</v>
      </c>
      <c r="I6009">
        <v>19</v>
      </c>
      <c r="J6009">
        <f>IF($H6009=0,1,IF($I6009&lt;=1,2,0))</f>
        <v>0</v>
      </c>
      <c r="K6009">
        <v>0</v>
      </c>
      <c r="L6009">
        <f>IF(AND($J6009=0,$K6009=0),0,1)</f>
        <v>0</v>
      </c>
    </row>
    <row r="6010" spans="1:12" x14ac:dyDescent="0.2">
      <c r="A6010" t="s">
        <v>477</v>
      </c>
      <c r="B6010" t="s">
        <v>241</v>
      </c>
      <c r="C6010" t="s">
        <v>7</v>
      </c>
      <c r="D6010">
        <v>1001</v>
      </c>
      <c r="E6010">
        <v>2021</v>
      </c>
      <c r="F6010">
        <v>30</v>
      </c>
      <c r="G6010">
        <v>11559</v>
      </c>
      <c r="H6010" s="1">
        <v>4</v>
      </c>
      <c r="I6010">
        <v>19</v>
      </c>
      <c r="J6010">
        <f>IF($H6010=0,1,IF($I6010&lt;=1,2,0))</f>
        <v>0</v>
      </c>
      <c r="K6010">
        <v>0</v>
      </c>
      <c r="L6010">
        <f>IF(AND($J6010=0,$K6010=0),0,1)</f>
        <v>0</v>
      </c>
    </row>
    <row r="6011" spans="1:12" x14ac:dyDescent="0.2">
      <c r="A6011" t="s">
        <v>477</v>
      </c>
      <c r="B6011" t="s">
        <v>241</v>
      </c>
      <c r="C6011" t="s">
        <v>7</v>
      </c>
      <c r="D6011">
        <v>1001</v>
      </c>
      <c r="E6011">
        <v>2021</v>
      </c>
      <c r="F6011">
        <v>26</v>
      </c>
      <c r="G6011">
        <v>11555</v>
      </c>
      <c r="H6011" s="1">
        <v>4</v>
      </c>
      <c r="I6011">
        <v>18</v>
      </c>
      <c r="J6011">
        <f>IF($H6011=0,1,IF($I6011&lt;=1,2,0))</f>
        <v>0</v>
      </c>
      <c r="K6011">
        <v>0</v>
      </c>
      <c r="L6011">
        <f>IF(AND($J6011=0,$K6011=0),0,1)</f>
        <v>0</v>
      </c>
    </row>
    <row r="6012" spans="1:12" x14ac:dyDescent="0.2">
      <c r="A6012" t="s">
        <v>477</v>
      </c>
      <c r="B6012" t="s">
        <v>241</v>
      </c>
      <c r="C6012" t="s">
        <v>7</v>
      </c>
      <c r="D6012">
        <v>1001</v>
      </c>
      <c r="E6012">
        <v>2021</v>
      </c>
      <c r="F6012">
        <v>39</v>
      </c>
      <c r="G6012">
        <v>11611</v>
      </c>
      <c r="H6012" s="1">
        <v>4</v>
      </c>
      <c r="I6012">
        <v>18</v>
      </c>
      <c r="J6012">
        <f>IF($H6012=0,1,IF($I6012&lt;=1,2,0))</f>
        <v>0</v>
      </c>
      <c r="K6012">
        <v>0</v>
      </c>
      <c r="L6012">
        <f>IF(AND($J6012=0,$K6012=0),0,1)</f>
        <v>0</v>
      </c>
    </row>
    <row r="6013" spans="1:12" x14ac:dyDescent="0.2">
      <c r="A6013" t="s">
        <v>477</v>
      </c>
      <c r="B6013" t="s">
        <v>241</v>
      </c>
      <c r="C6013" t="s">
        <v>153</v>
      </c>
      <c r="D6013">
        <v>1001</v>
      </c>
      <c r="E6013">
        <v>2021</v>
      </c>
      <c r="F6013">
        <v>70</v>
      </c>
      <c r="G6013">
        <v>15379</v>
      </c>
      <c r="H6013" s="1">
        <v>4</v>
      </c>
      <c r="I6013">
        <v>18</v>
      </c>
      <c r="J6013">
        <f>IF($H6013=0,1,IF($I6013&lt;=1,2,0))</f>
        <v>0</v>
      </c>
      <c r="K6013">
        <v>0</v>
      </c>
      <c r="L6013">
        <f>IF(AND($J6013=0,$K6013=0),0,1)</f>
        <v>0</v>
      </c>
    </row>
    <row r="6014" spans="1:12" x14ac:dyDescent="0.2">
      <c r="A6014" t="s">
        <v>477</v>
      </c>
      <c r="B6014" t="s">
        <v>241</v>
      </c>
      <c r="C6014" t="s">
        <v>7</v>
      </c>
      <c r="D6014">
        <v>1001</v>
      </c>
      <c r="E6014">
        <v>2021</v>
      </c>
      <c r="F6014">
        <v>65</v>
      </c>
      <c r="G6014">
        <v>11700</v>
      </c>
      <c r="H6014" s="1">
        <v>4</v>
      </c>
      <c r="I6014">
        <v>17</v>
      </c>
      <c r="J6014">
        <f>IF($H6014=0,1,IF($I6014&lt;=1,2,0))</f>
        <v>0</v>
      </c>
      <c r="K6014">
        <v>0</v>
      </c>
      <c r="L6014">
        <f>IF(AND($J6014=0,$K6014=0),0,1)</f>
        <v>0</v>
      </c>
    </row>
    <row r="6015" spans="1:12" x14ac:dyDescent="0.2">
      <c r="A6015" t="s">
        <v>477</v>
      </c>
      <c r="B6015" t="s">
        <v>241</v>
      </c>
      <c r="C6015" t="s">
        <v>7</v>
      </c>
      <c r="D6015">
        <v>1001</v>
      </c>
      <c r="E6015">
        <v>2021</v>
      </c>
      <c r="F6015">
        <v>31</v>
      </c>
      <c r="G6015">
        <v>11590</v>
      </c>
      <c r="H6015" s="1">
        <v>4</v>
      </c>
      <c r="I6015">
        <v>16</v>
      </c>
      <c r="J6015">
        <f>IF($H6015=0,1,IF($I6015&lt;=1,2,0))</f>
        <v>0</v>
      </c>
      <c r="K6015">
        <v>0</v>
      </c>
      <c r="L6015">
        <f>IF(AND($J6015=0,$K6015=0),0,1)</f>
        <v>0</v>
      </c>
    </row>
    <row r="6016" spans="1:12" x14ac:dyDescent="0.2">
      <c r="A6016" t="s">
        <v>477</v>
      </c>
      <c r="B6016" t="s">
        <v>241</v>
      </c>
      <c r="C6016" t="s">
        <v>153</v>
      </c>
      <c r="D6016">
        <v>1001</v>
      </c>
      <c r="E6016">
        <v>2021</v>
      </c>
      <c r="F6016">
        <v>58</v>
      </c>
      <c r="G6016">
        <v>11703</v>
      </c>
      <c r="H6016" s="1">
        <v>4</v>
      </c>
      <c r="I6016">
        <v>15</v>
      </c>
      <c r="J6016">
        <f>IF($H6016=0,1,IF($I6016&lt;=1,2,0))</f>
        <v>0</v>
      </c>
      <c r="K6016">
        <v>0</v>
      </c>
      <c r="L6016">
        <f>IF(AND($J6016=0,$K6016=0),0,1)</f>
        <v>0</v>
      </c>
    </row>
    <row r="6017" spans="1:12" x14ac:dyDescent="0.2">
      <c r="A6017" t="s">
        <v>477</v>
      </c>
      <c r="B6017" t="s">
        <v>241</v>
      </c>
      <c r="C6017" t="s">
        <v>7</v>
      </c>
      <c r="D6017">
        <v>1001</v>
      </c>
      <c r="E6017">
        <v>2021</v>
      </c>
      <c r="F6017">
        <v>66</v>
      </c>
      <c r="G6017">
        <v>11699</v>
      </c>
      <c r="H6017" s="1">
        <v>4</v>
      </c>
      <c r="I6017">
        <v>15</v>
      </c>
      <c r="J6017">
        <f>IF($H6017=0,1,IF($I6017&lt;=1,2,0))</f>
        <v>0</v>
      </c>
      <c r="K6017">
        <v>0</v>
      </c>
      <c r="L6017">
        <f>IF(AND($J6017=0,$K6017=0),0,1)</f>
        <v>0</v>
      </c>
    </row>
    <row r="6018" spans="1:12" x14ac:dyDescent="0.2">
      <c r="A6018" t="s">
        <v>477</v>
      </c>
      <c r="B6018" t="s">
        <v>241</v>
      </c>
      <c r="C6018" t="s">
        <v>153</v>
      </c>
      <c r="D6018">
        <v>1001</v>
      </c>
      <c r="E6018">
        <v>2021</v>
      </c>
      <c r="F6018">
        <v>67</v>
      </c>
      <c r="G6018">
        <v>12881</v>
      </c>
      <c r="H6018" s="1">
        <v>4</v>
      </c>
      <c r="I6018">
        <v>15</v>
      </c>
      <c r="J6018">
        <f>IF($H6018=0,1,IF($I6018&lt;=1,2,0))</f>
        <v>0</v>
      </c>
      <c r="K6018">
        <v>0</v>
      </c>
      <c r="L6018">
        <f>IF(AND($J6018=0,$K6018=0),0,1)</f>
        <v>0</v>
      </c>
    </row>
    <row r="6019" spans="1:12" x14ac:dyDescent="0.2">
      <c r="A6019" t="s">
        <v>477</v>
      </c>
      <c r="B6019" t="s">
        <v>241</v>
      </c>
      <c r="C6019" t="s">
        <v>153</v>
      </c>
      <c r="D6019">
        <v>1001</v>
      </c>
      <c r="E6019">
        <v>2021</v>
      </c>
      <c r="F6019">
        <v>75</v>
      </c>
      <c r="G6019">
        <v>20364</v>
      </c>
      <c r="H6019" s="1">
        <v>4</v>
      </c>
      <c r="I6019">
        <v>14</v>
      </c>
      <c r="J6019">
        <f>IF($H6019=0,1,IF($I6019&lt;=1,2,0))</f>
        <v>0</v>
      </c>
      <c r="K6019">
        <v>0</v>
      </c>
      <c r="L6019">
        <f>IF(AND($J6019=0,$K6019=0),0,1)</f>
        <v>0</v>
      </c>
    </row>
    <row r="6020" spans="1:12" x14ac:dyDescent="0.2">
      <c r="A6020" t="s">
        <v>477</v>
      </c>
      <c r="B6020" t="s">
        <v>241</v>
      </c>
      <c r="C6020" t="s">
        <v>153</v>
      </c>
      <c r="D6020">
        <v>1001</v>
      </c>
      <c r="E6020">
        <v>2021</v>
      </c>
      <c r="F6020">
        <v>59</v>
      </c>
      <c r="G6020">
        <v>11704</v>
      </c>
      <c r="H6020" s="1">
        <v>4</v>
      </c>
      <c r="I6020">
        <v>12</v>
      </c>
      <c r="J6020">
        <f>IF($H6020=0,1,IF($I6020&lt;=1,2,0))</f>
        <v>0</v>
      </c>
      <c r="K6020">
        <v>0</v>
      </c>
      <c r="L6020">
        <f>IF(AND($J6020=0,$K6020=0),0,1)</f>
        <v>0</v>
      </c>
    </row>
    <row r="6021" spans="1:12" x14ac:dyDescent="0.2">
      <c r="A6021" t="s">
        <v>477</v>
      </c>
      <c r="B6021" t="s">
        <v>241</v>
      </c>
      <c r="C6021" t="s">
        <v>9</v>
      </c>
      <c r="D6021">
        <v>1121</v>
      </c>
      <c r="E6021">
        <v>2021</v>
      </c>
      <c r="F6021">
        <v>4</v>
      </c>
      <c r="G6021">
        <v>13086</v>
      </c>
      <c r="H6021" s="1">
        <v>3</v>
      </c>
      <c r="I6021">
        <v>24</v>
      </c>
      <c r="J6021">
        <f>IF($H6021=0,1,IF($I6021&lt;=1,2,0))</f>
        <v>0</v>
      </c>
      <c r="K6021">
        <v>0</v>
      </c>
      <c r="L6021">
        <f>IF(AND($J6021=0,$K6021=0),0,1)</f>
        <v>0</v>
      </c>
    </row>
    <row r="6022" spans="1:12" x14ac:dyDescent="0.2">
      <c r="A6022" t="s">
        <v>477</v>
      </c>
      <c r="B6022" t="s">
        <v>241</v>
      </c>
      <c r="C6022" t="s">
        <v>9</v>
      </c>
      <c r="D6022">
        <v>1121</v>
      </c>
      <c r="E6022">
        <v>2021</v>
      </c>
      <c r="F6022">
        <v>1</v>
      </c>
      <c r="G6022">
        <v>13078</v>
      </c>
      <c r="H6022" s="1">
        <v>3</v>
      </c>
      <c r="I6022">
        <v>22</v>
      </c>
      <c r="J6022">
        <f>IF($H6022=0,1,IF($I6022&lt;=1,2,0))</f>
        <v>0</v>
      </c>
      <c r="K6022">
        <v>0</v>
      </c>
      <c r="L6022">
        <f>IF(AND($J6022=0,$K6022=0),0,1)</f>
        <v>0</v>
      </c>
    </row>
    <row r="6023" spans="1:12" x14ac:dyDescent="0.2">
      <c r="A6023" t="s">
        <v>477</v>
      </c>
      <c r="B6023" t="s">
        <v>241</v>
      </c>
      <c r="C6023" t="s">
        <v>9</v>
      </c>
      <c r="D6023">
        <v>1121</v>
      </c>
      <c r="E6023">
        <v>2021</v>
      </c>
      <c r="F6023">
        <v>5</v>
      </c>
      <c r="G6023">
        <v>13088</v>
      </c>
      <c r="H6023" s="1">
        <v>3</v>
      </c>
      <c r="I6023">
        <v>22</v>
      </c>
      <c r="J6023">
        <f>IF($H6023=0,1,IF($I6023&lt;=1,2,0))</f>
        <v>0</v>
      </c>
      <c r="K6023">
        <v>0</v>
      </c>
      <c r="L6023">
        <f>IF(AND($J6023=0,$K6023=0),0,1)</f>
        <v>0</v>
      </c>
    </row>
    <row r="6024" spans="1:12" x14ac:dyDescent="0.2">
      <c r="A6024" t="s">
        <v>477</v>
      </c>
      <c r="B6024" t="s">
        <v>241</v>
      </c>
      <c r="C6024" t="s">
        <v>9</v>
      </c>
      <c r="D6024">
        <v>1121</v>
      </c>
      <c r="E6024">
        <v>2021</v>
      </c>
      <c r="F6024">
        <v>6</v>
      </c>
      <c r="G6024">
        <v>13091</v>
      </c>
      <c r="H6024" s="1">
        <v>3</v>
      </c>
      <c r="I6024">
        <v>22</v>
      </c>
      <c r="J6024">
        <f>IF($H6024=0,1,IF($I6024&lt;=1,2,0))</f>
        <v>0</v>
      </c>
      <c r="K6024">
        <v>0</v>
      </c>
      <c r="L6024">
        <f>IF(AND($J6024=0,$K6024=0),0,1)</f>
        <v>0</v>
      </c>
    </row>
    <row r="6025" spans="1:12" x14ac:dyDescent="0.2">
      <c r="A6025" t="s">
        <v>477</v>
      </c>
      <c r="B6025" t="s">
        <v>241</v>
      </c>
      <c r="C6025" t="s">
        <v>9</v>
      </c>
      <c r="D6025">
        <v>1121</v>
      </c>
      <c r="E6025">
        <v>2021</v>
      </c>
      <c r="F6025">
        <v>7</v>
      </c>
      <c r="G6025">
        <v>13098</v>
      </c>
      <c r="H6025" s="1">
        <v>3</v>
      </c>
      <c r="I6025">
        <v>22</v>
      </c>
      <c r="J6025">
        <f>IF($H6025=0,1,IF($I6025&lt;=1,2,0))</f>
        <v>0</v>
      </c>
      <c r="K6025">
        <v>0</v>
      </c>
      <c r="L6025">
        <f>IF(AND($J6025=0,$K6025=0),0,1)</f>
        <v>0</v>
      </c>
    </row>
    <row r="6026" spans="1:12" x14ac:dyDescent="0.2">
      <c r="A6026" t="s">
        <v>477</v>
      </c>
      <c r="B6026" t="s">
        <v>241</v>
      </c>
      <c r="C6026" t="s">
        <v>9</v>
      </c>
      <c r="D6026">
        <v>1121</v>
      </c>
      <c r="E6026">
        <v>2021</v>
      </c>
      <c r="F6026">
        <v>8</v>
      </c>
      <c r="G6026">
        <v>13097</v>
      </c>
      <c r="H6026" s="1">
        <v>3</v>
      </c>
      <c r="I6026">
        <v>22</v>
      </c>
      <c r="J6026">
        <f>IF($H6026=0,1,IF($I6026&lt;=1,2,0))</f>
        <v>0</v>
      </c>
      <c r="K6026">
        <v>0</v>
      </c>
      <c r="L6026">
        <f>IF(AND($J6026=0,$K6026=0),0,1)</f>
        <v>0</v>
      </c>
    </row>
    <row r="6027" spans="1:12" x14ac:dyDescent="0.2">
      <c r="A6027" t="s">
        <v>477</v>
      </c>
      <c r="B6027" t="s">
        <v>241</v>
      </c>
      <c r="C6027" t="s">
        <v>9</v>
      </c>
      <c r="D6027">
        <v>1121</v>
      </c>
      <c r="E6027">
        <v>2021</v>
      </c>
      <c r="F6027">
        <v>10</v>
      </c>
      <c r="G6027">
        <v>13110</v>
      </c>
      <c r="H6027" s="1">
        <v>3</v>
      </c>
      <c r="I6027">
        <v>22</v>
      </c>
      <c r="J6027">
        <f>IF($H6027=0,1,IF($I6027&lt;=1,2,0))</f>
        <v>0</v>
      </c>
      <c r="K6027">
        <v>0</v>
      </c>
      <c r="L6027">
        <f>IF(AND($J6027=0,$K6027=0),0,1)</f>
        <v>0</v>
      </c>
    </row>
    <row r="6028" spans="1:12" x14ac:dyDescent="0.2">
      <c r="A6028" t="s">
        <v>477</v>
      </c>
      <c r="B6028" t="s">
        <v>241</v>
      </c>
      <c r="C6028" t="s">
        <v>9</v>
      </c>
      <c r="D6028">
        <v>1121</v>
      </c>
      <c r="E6028">
        <v>2021</v>
      </c>
      <c r="F6028">
        <v>11</v>
      </c>
      <c r="G6028">
        <v>13114</v>
      </c>
      <c r="H6028" s="1">
        <v>3</v>
      </c>
      <c r="I6028">
        <v>22</v>
      </c>
      <c r="J6028">
        <f>IF($H6028=0,1,IF($I6028&lt;=1,2,0))</f>
        <v>0</v>
      </c>
      <c r="K6028">
        <v>0</v>
      </c>
      <c r="L6028">
        <f>IF(AND($J6028=0,$K6028=0),0,1)</f>
        <v>0</v>
      </c>
    </row>
    <row r="6029" spans="1:12" x14ac:dyDescent="0.2">
      <c r="A6029" t="s">
        <v>477</v>
      </c>
      <c r="B6029" t="s">
        <v>241</v>
      </c>
      <c r="C6029" t="s">
        <v>9</v>
      </c>
      <c r="D6029">
        <v>1121</v>
      </c>
      <c r="E6029">
        <v>2021</v>
      </c>
      <c r="F6029">
        <v>13</v>
      </c>
      <c r="G6029">
        <v>13123</v>
      </c>
      <c r="H6029" s="1">
        <v>3</v>
      </c>
      <c r="I6029">
        <v>22</v>
      </c>
      <c r="J6029">
        <f>IF($H6029=0,1,IF($I6029&lt;=1,2,0))</f>
        <v>0</v>
      </c>
      <c r="K6029">
        <v>0</v>
      </c>
      <c r="L6029">
        <f>IF(AND($J6029=0,$K6029=0),0,1)</f>
        <v>0</v>
      </c>
    </row>
    <row r="6030" spans="1:12" x14ac:dyDescent="0.2">
      <c r="A6030" t="s">
        <v>477</v>
      </c>
      <c r="B6030" t="s">
        <v>241</v>
      </c>
      <c r="C6030" t="s">
        <v>9</v>
      </c>
      <c r="D6030">
        <v>1121</v>
      </c>
      <c r="E6030">
        <v>2021</v>
      </c>
      <c r="F6030">
        <v>16</v>
      </c>
      <c r="G6030">
        <v>13132</v>
      </c>
      <c r="H6030" s="1">
        <v>3</v>
      </c>
      <c r="I6030">
        <v>22</v>
      </c>
      <c r="J6030">
        <f>IF($H6030=0,1,IF($I6030&lt;=1,2,0))</f>
        <v>0</v>
      </c>
      <c r="K6030">
        <v>0</v>
      </c>
      <c r="L6030">
        <f>IF(AND($J6030=0,$K6030=0),0,1)</f>
        <v>0</v>
      </c>
    </row>
    <row r="6031" spans="1:12" x14ac:dyDescent="0.2">
      <c r="A6031" t="s">
        <v>477</v>
      </c>
      <c r="B6031" t="s">
        <v>241</v>
      </c>
      <c r="C6031" t="s">
        <v>9</v>
      </c>
      <c r="D6031">
        <v>1121</v>
      </c>
      <c r="E6031">
        <v>2021</v>
      </c>
      <c r="F6031">
        <v>18</v>
      </c>
      <c r="G6031">
        <v>13138</v>
      </c>
      <c r="H6031" s="1">
        <v>3</v>
      </c>
      <c r="I6031">
        <v>22</v>
      </c>
      <c r="J6031">
        <f>IF($H6031=0,1,IF($I6031&lt;=1,2,0))</f>
        <v>0</v>
      </c>
      <c r="K6031">
        <v>0</v>
      </c>
      <c r="L6031">
        <f>IF(AND($J6031=0,$K6031=0),0,1)</f>
        <v>0</v>
      </c>
    </row>
    <row r="6032" spans="1:12" x14ac:dyDescent="0.2">
      <c r="A6032" t="s">
        <v>477</v>
      </c>
      <c r="B6032" t="s">
        <v>241</v>
      </c>
      <c r="C6032" t="s">
        <v>9</v>
      </c>
      <c r="D6032">
        <v>1121</v>
      </c>
      <c r="E6032">
        <v>2021</v>
      </c>
      <c r="F6032">
        <v>20</v>
      </c>
      <c r="G6032">
        <v>13145</v>
      </c>
      <c r="H6032" s="1">
        <v>3</v>
      </c>
      <c r="I6032">
        <v>22</v>
      </c>
      <c r="J6032">
        <f>IF($H6032=0,1,IF($I6032&lt;=1,2,0))</f>
        <v>0</v>
      </c>
      <c r="K6032">
        <v>0</v>
      </c>
      <c r="L6032">
        <f>IF(AND($J6032=0,$K6032=0),0,1)</f>
        <v>0</v>
      </c>
    </row>
    <row r="6033" spans="1:12" x14ac:dyDescent="0.2">
      <c r="A6033" t="s">
        <v>477</v>
      </c>
      <c r="B6033" t="s">
        <v>241</v>
      </c>
      <c r="C6033" t="s">
        <v>9</v>
      </c>
      <c r="D6033">
        <v>1121</v>
      </c>
      <c r="E6033">
        <v>2021</v>
      </c>
      <c r="F6033">
        <v>23</v>
      </c>
      <c r="G6033">
        <v>13149</v>
      </c>
      <c r="H6033" s="1">
        <v>3</v>
      </c>
      <c r="I6033">
        <v>22</v>
      </c>
      <c r="J6033">
        <f>IF($H6033=0,1,IF($I6033&lt;=1,2,0))</f>
        <v>0</v>
      </c>
      <c r="K6033">
        <v>0</v>
      </c>
      <c r="L6033">
        <f>IF(AND($J6033=0,$K6033=0),0,1)</f>
        <v>0</v>
      </c>
    </row>
    <row r="6034" spans="1:12" x14ac:dyDescent="0.2">
      <c r="A6034" t="s">
        <v>477</v>
      </c>
      <c r="B6034" t="s">
        <v>241</v>
      </c>
      <c r="C6034" t="s">
        <v>9</v>
      </c>
      <c r="D6034">
        <v>1121</v>
      </c>
      <c r="E6034">
        <v>2021</v>
      </c>
      <c r="F6034">
        <v>26</v>
      </c>
      <c r="G6034">
        <v>13152</v>
      </c>
      <c r="H6034" s="1">
        <v>3</v>
      </c>
      <c r="I6034">
        <v>22</v>
      </c>
      <c r="J6034">
        <f>IF($H6034=0,1,IF($I6034&lt;=1,2,0))</f>
        <v>0</v>
      </c>
      <c r="K6034">
        <v>0</v>
      </c>
      <c r="L6034">
        <f>IF(AND($J6034=0,$K6034=0),0,1)</f>
        <v>0</v>
      </c>
    </row>
    <row r="6035" spans="1:12" x14ac:dyDescent="0.2">
      <c r="A6035" t="s">
        <v>477</v>
      </c>
      <c r="B6035" t="s">
        <v>241</v>
      </c>
      <c r="C6035" t="s">
        <v>9</v>
      </c>
      <c r="D6035">
        <v>1121</v>
      </c>
      <c r="E6035">
        <v>2021</v>
      </c>
      <c r="F6035">
        <v>27</v>
      </c>
      <c r="G6035">
        <v>13153</v>
      </c>
      <c r="H6035" s="1">
        <v>3</v>
      </c>
      <c r="I6035">
        <v>22</v>
      </c>
      <c r="J6035">
        <f>IF($H6035=0,1,IF($I6035&lt;=1,2,0))</f>
        <v>0</v>
      </c>
      <c r="K6035">
        <v>0</v>
      </c>
      <c r="L6035">
        <f>IF(AND($J6035=0,$K6035=0),0,1)</f>
        <v>0</v>
      </c>
    </row>
    <row r="6036" spans="1:12" x14ac:dyDescent="0.2">
      <c r="A6036" t="s">
        <v>477</v>
      </c>
      <c r="B6036" t="s">
        <v>241</v>
      </c>
      <c r="C6036" t="s">
        <v>9</v>
      </c>
      <c r="D6036">
        <v>1121</v>
      </c>
      <c r="E6036">
        <v>2021</v>
      </c>
      <c r="F6036">
        <v>29</v>
      </c>
      <c r="G6036">
        <v>13156</v>
      </c>
      <c r="H6036" s="1">
        <v>3</v>
      </c>
      <c r="I6036">
        <v>22</v>
      </c>
      <c r="J6036">
        <f>IF($H6036=0,1,IF($I6036&lt;=1,2,0))</f>
        <v>0</v>
      </c>
      <c r="K6036">
        <v>0</v>
      </c>
      <c r="L6036">
        <f>IF(AND($J6036=0,$K6036=0),0,1)</f>
        <v>0</v>
      </c>
    </row>
    <row r="6037" spans="1:12" x14ac:dyDescent="0.2">
      <c r="A6037" t="s">
        <v>477</v>
      </c>
      <c r="B6037" t="s">
        <v>241</v>
      </c>
      <c r="C6037" t="s">
        <v>9</v>
      </c>
      <c r="D6037">
        <v>1121</v>
      </c>
      <c r="E6037">
        <v>2021</v>
      </c>
      <c r="F6037">
        <v>30</v>
      </c>
      <c r="G6037">
        <v>13158</v>
      </c>
      <c r="H6037" s="1">
        <v>3</v>
      </c>
      <c r="I6037">
        <v>22</v>
      </c>
      <c r="J6037">
        <f>IF($H6037=0,1,IF($I6037&lt;=1,2,0))</f>
        <v>0</v>
      </c>
      <c r="K6037">
        <v>0</v>
      </c>
      <c r="L6037">
        <f>IF(AND($J6037=0,$K6037=0),0,1)</f>
        <v>0</v>
      </c>
    </row>
    <row r="6038" spans="1:12" x14ac:dyDescent="0.2">
      <c r="A6038" t="s">
        <v>477</v>
      </c>
      <c r="B6038" t="s">
        <v>241</v>
      </c>
      <c r="C6038" t="s">
        <v>9</v>
      </c>
      <c r="D6038">
        <v>1121</v>
      </c>
      <c r="E6038">
        <v>2021</v>
      </c>
      <c r="F6038">
        <v>31</v>
      </c>
      <c r="G6038">
        <v>13157</v>
      </c>
      <c r="H6038" s="1">
        <v>3</v>
      </c>
      <c r="I6038">
        <v>22</v>
      </c>
      <c r="J6038">
        <f>IF($H6038=0,1,IF($I6038&lt;=1,2,0))</f>
        <v>0</v>
      </c>
      <c r="K6038">
        <v>0</v>
      </c>
      <c r="L6038">
        <f>IF(AND($J6038=0,$K6038=0),0,1)</f>
        <v>0</v>
      </c>
    </row>
    <row r="6039" spans="1:12" x14ac:dyDescent="0.2">
      <c r="A6039" t="s">
        <v>477</v>
      </c>
      <c r="B6039" t="s">
        <v>241</v>
      </c>
      <c r="C6039" t="s">
        <v>9</v>
      </c>
      <c r="D6039">
        <v>1121</v>
      </c>
      <c r="E6039">
        <v>2021</v>
      </c>
      <c r="F6039">
        <v>32</v>
      </c>
      <c r="G6039">
        <v>13159</v>
      </c>
      <c r="H6039" s="1">
        <v>3</v>
      </c>
      <c r="I6039">
        <v>22</v>
      </c>
      <c r="J6039">
        <f>IF($H6039=0,1,IF($I6039&lt;=1,2,0))</f>
        <v>0</v>
      </c>
      <c r="K6039">
        <v>0</v>
      </c>
      <c r="L6039">
        <f>IF(AND($J6039=0,$K6039=0),0,1)</f>
        <v>0</v>
      </c>
    </row>
    <row r="6040" spans="1:12" x14ac:dyDescent="0.2">
      <c r="A6040" t="s">
        <v>477</v>
      </c>
      <c r="B6040" t="s">
        <v>241</v>
      </c>
      <c r="C6040" t="s">
        <v>9</v>
      </c>
      <c r="D6040">
        <v>1121</v>
      </c>
      <c r="E6040">
        <v>2021</v>
      </c>
      <c r="F6040">
        <v>36</v>
      </c>
      <c r="G6040">
        <v>13163</v>
      </c>
      <c r="H6040" s="1">
        <v>3</v>
      </c>
      <c r="I6040">
        <v>22</v>
      </c>
      <c r="J6040">
        <f>IF($H6040=0,1,IF($I6040&lt;=1,2,0))</f>
        <v>0</v>
      </c>
      <c r="K6040">
        <v>0</v>
      </c>
      <c r="L6040">
        <f>IF(AND($J6040=0,$K6040=0),0,1)</f>
        <v>0</v>
      </c>
    </row>
    <row r="6041" spans="1:12" x14ac:dyDescent="0.2">
      <c r="A6041" t="s">
        <v>477</v>
      </c>
      <c r="B6041" t="s">
        <v>241</v>
      </c>
      <c r="C6041" t="s">
        <v>9</v>
      </c>
      <c r="D6041">
        <v>1121</v>
      </c>
      <c r="E6041">
        <v>2021</v>
      </c>
      <c r="F6041">
        <v>37</v>
      </c>
      <c r="G6041">
        <v>13164</v>
      </c>
      <c r="H6041" s="1">
        <v>3</v>
      </c>
      <c r="I6041">
        <v>22</v>
      </c>
      <c r="J6041">
        <f>IF($H6041=0,1,IF($I6041&lt;=1,2,0))</f>
        <v>0</v>
      </c>
      <c r="K6041">
        <v>0</v>
      </c>
      <c r="L6041">
        <f>IF(AND($J6041=0,$K6041=0),0,1)</f>
        <v>0</v>
      </c>
    </row>
    <row r="6042" spans="1:12" x14ac:dyDescent="0.2">
      <c r="A6042" t="s">
        <v>477</v>
      </c>
      <c r="B6042" t="s">
        <v>241</v>
      </c>
      <c r="C6042" t="s">
        <v>9</v>
      </c>
      <c r="D6042">
        <v>1121</v>
      </c>
      <c r="E6042">
        <v>2021</v>
      </c>
      <c r="F6042">
        <v>3</v>
      </c>
      <c r="G6042">
        <v>13084</v>
      </c>
      <c r="H6042" s="1">
        <v>3</v>
      </c>
      <c r="I6042">
        <v>21</v>
      </c>
      <c r="J6042">
        <f>IF($H6042=0,1,IF($I6042&lt;=1,2,0))</f>
        <v>0</v>
      </c>
      <c r="K6042">
        <v>0</v>
      </c>
      <c r="L6042">
        <f>IF(AND($J6042=0,$K6042=0),0,1)</f>
        <v>0</v>
      </c>
    </row>
    <row r="6043" spans="1:12" x14ac:dyDescent="0.2">
      <c r="A6043" t="s">
        <v>477</v>
      </c>
      <c r="B6043" t="s">
        <v>241</v>
      </c>
      <c r="C6043" t="s">
        <v>9</v>
      </c>
      <c r="D6043">
        <v>1121</v>
      </c>
      <c r="E6043">
        <v>2021</v>
      </c>
      <c r="F6043">
        <v>12</v>
      </c>
      <c r="G6043">
        <v>13120</v>
      </c>
      <c r="H6043" s="1">
        <v>3</v>
      </c>
      <c r="I6043">
        <v>21</v>
      </c>
      <c r="J6043">
        <f>IF($H6043=0,1,IF($I6043&lt;=1,2,0))</f>
        <v>0</v>
      </c>
      <c r="K6043">
        <v>0</v>
      </c>
      <c r="L6043">
        <f>IF(AND($J6043=0,$K6043=0),0,1)</f>
        <v>0</v>
      </c>
    </row>
    <row r="6044" spans="1:12" x14ac:dyDescent="0.2">
      <c r="A6044" t="s">
        <v>477</v>
      </c>
      <c r="B6044" t="s">
        <v>241</v>
      </c>
      <c r="C6044" t="s">
        <v>9</v>
      </c>
      <c r="D6044">
        <v>1121</v>
      </c>
      <c r="E6044">
        <v>2021</v>
      </c>
      <c r="F6044">
        <v>15</v>
      </c>
      <c r="G6044">
        <v>13167</v>
      </c>
      <c r="H6044" s="1">
        <v>3</v>
      </c>
      <c r="I6044">
        <v>21</v>
      </c>
      <c r="J6044">
        <f>IF($H6044=0,1,IF($I6044&lt;=1,2,0))</f>
        <v>0</v>
      </c>
      <c r="K6044">
        <v>0</v>
      </c>
      <c r="L6044">
        <f>IF(AND($J6044=0,$K6044=0),0,1)</f>
        <v>0</v>
      </c>
    </row>
    <row r="6045" spans="1:12" x14ac:dyDescent="0.2">
      <c r="A6045" t="s">
        <v>477</v>
      </c>
      <c r="B6045" t="s">
        <v>241</v>
      </c>
      <c r="C6045" t="s">
        <v>9</v>
      </c>
      <c r="D6045">
        <v>1121</v>
      </c>
      <c r="E6045">
        <v>2021</v>
      </c>
      <c r="F6045">
        <v>24</v>
      </c>
      <c r="G6045">
        <v>13150</v>
      </c>
      <c r="H6045" s="1">
        <v>3</v>
      </c>
      <c r="I6045">
        <v>21</v>
      </c>
      <c r="J6045">
        <f>IF($H6045=0,1,IF($I6045&lt;=1,2,0))</f>
        <v>0</v>
      </c>
      <c r="K6045">
        <v>0</v>
      </c>
      <c r="L6045">
        <f>IF(AND($J6045=0,$K6045=0),0,1)</f>
        <v>0</v>
      </c>
    </row>
    <row r="6046" spans="1:12" x14ac:dyDescent="0.2">
      <c r="A6046" t="s">
        <v>477</v>
      </c>
      <c r="B6046" t="s">
        <v>241</v>
      </c>
      <c r="C6046" t="s">
        <v>9</v>
      </c>
      <c r="D6046">
        <v>1121</v>
      </c>
      <c r="E6046">
        <v>2021</v>
      </c>
      <c r="F6046">
        <v>28</v>
      </c>
      <c r="G6046">
        <v>13154</v>
      </c>
      <c r="H6046" s="1">
        <v>3</v>
      </c>
      <c r="I6046">
        <v>21</v>
      </c>
      <c r="J6046">
        <f>IF($H6046=0,1,IF($I6046&lt;=1,2,0))</f>
        <v>0</v>
      </c>
      <c r="K6046">
        <v>0</v>
      </c>
      <c r="L6046">
        <f>IF(AND($J6046=0,$K6046=0),0,1)</f>
        <v>0</v>
      </c>
    </row>
    <row r="6047" spans="1:12" x14ac:dyDescent="0.2">
      <c r="A6047" t="s">
        <v>477</v>
      </c>
      <c r="B6047" t="s">
        <v>241</v>
      </c>
      <c r="C6047" t="s">
        <v>9</v>
      </c>
      <c r="D6047">
        <v>1121</v>
      </c>
      <c r="E6047">
        <v>2021</v>
      </c>
      <c r="F6047">
        <v>33</v>
      </c>
      <c r="G6047">
        <v>13160</v>
      </c>
      <c r="H6047" s="1">
        <v>3</v>
      </c>
      <c r="I6047">
        <v>21</v>
      </c>
      <c r="J6047">
        <f>IF($H6047=0,1,IF($I6047&lt;=1,2,0))</f>
        <v>0</v>
      </c>
      <c r="K6047">
        <v>0</v>
      </c>
      <c r="L6047">
        <f>IF(AND($J6047=0,$K6047=0),0,1)</f>
        <v>0</v>
      </c>
    </row>
    <row r="6048" spans="1:12" x14ac:dyDescent="0.2">
      <c r="A6048" t="s">
        <v>477</v>
      </c>
      <c r="B6048" t="s">
        <v>241</v>
      </c>
      <c r="C6048" t="s">
        <v>9</v>
      </c>
      <c r="D6048">
        <v>1121</v>
      </c>
      <c r="E6048">
        <v>2021</v>
      </c>
      <c r="F6048">
        <v>35</v>
      </c>
      <c r="G6048">
        <v>13162</v>
      </c>
      <c r="H6048" s="1">
        <v>3</v>
      </c>
      <c r="I6048">
        <v>21</v>
      </c>
      <c r="J6048">
        <f>IF($H6048=0,1,IF($I6048&lt;=1,2,0))</f>
        <v>0</v>
      </c>
      <c r="K6048">
        <v>0</v>
      </c>
      <c r="L6048">
        <f>IF(AND($J6048=0,$K6048=0),0,1)</f>
        <v>0</v>
      </c>
    </row>
    <row r="6049" spans="1:12" x14ac:dyDescent="0.2">
      <c r="A6049" t="s">
        <v>477</v>
      </c>
      <c r="B6049" t="s">
        <v>241</v>
      </c>
      <c r="C6049" t="s">
        <v>9</v>
      </c>
      <c r="D6049">
        <v>1121</v>
      </c>
      <c r="E6049">
        <v>2021</v>
      </c>
      <c r="F6049">
        <v>2</v>
      </c>
      <c r="G6049">
        <v>13079</v>
      </c>
      <c r="H6049" s="1">
        <v>3</v>
      </c>
      <c r="I6049">
        <v>20</v>
      </c>
      <c r="J6049">
        <f>IF($H6049=0,1,IF($I6049&lt;=1,2,0))</f>
        <v>0</v>
      </c>
      <c r="K6049">
        <v>0</v>
      </c>
      <c r="L6049">
        <f>IF(AND($J6049=0,$K6049=0),0,1)</f>
        <v>0</v>
      </c>
    </row>
    <row r="6050" spans="1:12" x14ac:dyDescent="0.2">
      <c r="A6050" t="s">
        <v>477</v>
      </c>
      <c r="B6050" t="s">
        <v>241</v>
      </c>
      <c r="C6050" t="s">
        <v>9</v>
      </c>
      <c r="D6050">
        <v>1121</v>
      </c>
      <c r="E6050">
        <v>2021</v>
      </c>
      <c r="F6050">
        <v>14</v>
      </c>
      <c r="G6050">
        <v>13126</v>
      </c>
      <c r="H6050" s="1">
        <v>3</v>
      </c>
      <c r="I6050">
        <v>20</v>
      </c>
      <c r="J6050">
        <f>IF($H6050=0,1,IF($I6050&lt;=1,2,0))</f>
        <v>0</v>
      </c>
      <c r="K6050">
        <v>0</v>
      </c>
      <c r="L6050">
        <f>IF(AND($J6050=0,$K6050=0),0,1)</f>
        <v>0</v>
      </c>
    </row>
    <row r="6051" spans="1:12" x14ac:dyDescent="0.2">
      <c r="A6051" t="s">
        <v>477</v>
      </c>
      <c r="B6051" t="s">
        <v>241</v>
      </c>
      <c r="C6051" t="s">
        <v>9</v>
      </c>
      <c r="D6051">
        <v>1121</v>
      </c>
      <c r="E6051">
        <v>2021</v>
      </c>
      <c r="F6051">
        <v>19</v>
      </c>
      <c r="G6051">
        <v>13141</v>
      </c>
      <c r="H6051" s="1">
        <v>3</v>
      </c>
      <c r="I6051">
        <v>20</v>
      </c>
      <c r="J6051">
        <f>IF($H6051=0,1,IF($I6051&lt;=1,2,0))</f>
        <v>0</v>
      </c>
      <c r="K6051">
        <v>0</v>
      </c>
      <c r="L6051">
        <f>IF(AND($J6051=0,$K6051=0),0,1)</f>
        <v>0</v>
      </c>
    </row>
    <row r="6052" spans="1:12" x14ac:dyDescent="0.2">
      <c r="A6052" t="s">
        <v>477</v>
      </c>
      <c r="B6052" t="s">
        <v>241</v>
      </c>
      <c r="C6052" t="s">
        <v>9</v>
      </c>
      <c r="D6052">
        <v>1121</v>
      </c>
      <c r="E6052">
        <v>2021</v>
      </c>
      <c r="F6052">
        <v>39</v>
      </c>
      <c r="G6052">
        <v>13166</v>
      </c>
      <c r="H6052" s="1">
        <v>3</v>
      </c>
      <c r="I6052">
        <v>20</v>
      </c>
      <c r="J6052">
        <f>IF($H6052=0,1,IF($I6052&lt;=1,2,0))</f>
        <v>0</v>
      </c>
      <c r="K6052">
        <v>0</v>
      </c>
      <c r="L6052">
        <f>IF(AND($J6052=0,$K6052=0),0,1)</f>
        <v>0</v>
      </c>
    </row>
    <row r="6053" spans="1:12" x14ac:dyDescent="0.2">
      <c r="A6053" t="s">
        <v>477</v>
      </c>
      <c r="B6053" t="s">
        <v>241</v>
      </c>
      <c r="C6053" t="s">
        <v>9</v>
      </c>
      <c r="D6053">
        <v>1121</v>
      </c>
      <c r="E6053">
        <v>2021</v>
      </c>
      <c r="F6053">
        <v>17</v>
      </c>
      <c r="G6053">
        <v>13135</v>
      </c>
      <c r="H6053" s="1">
        <v>3</v>
      </c>
      <c r="I6053">
        <v>19</v>
      </c>
      <c r="J6053">
        <f>IF($H6053=0,1,IF($I6053&lt;=1,2,0))</f>
        <v>0</v>
      </c>
      <c r="K6053">
        <v>0</v>
      </c>
      <c r="L6053">
        <f>IF(AND($J6053=0,$K6053=0),0,1)</f>
        <v>0</v>
      </c>
    </row>
    <row r="6054" spans="1:12" x14ac:dyDescent="0.2">
      <c r="A6054" t="s">
        <v>477</v>
      </c>
      <c r="B6054" t="s">
        <v>241</v>
      </c>
      <c r="C6054" t="s">
        <v>9</v>
      </c>
      <c r="D6054">
        <v>1121</v>
      </c>
      <c r="E6054">
        <v>2021</v>
      </c>
      <c r="F6054">
        <v>21</v>
      </c>
      <c r="G6054">
        <v>13147</v>
      </c>
      <c r="H6054" s="1">
        <v>3</v>
      </c>
      <c r="I6054">
        <v>19</v>
      </c>
      <c r="J6054">
        <f>IF($H6054=0,1,IF($I6054&lt;=1,2,0))</f>
        <v>0</v>
      </c>
      <c r="K6054">
        <v>0</v>
      </c>
      <c r="L6054">
        <f>IF(AND($J6054=0,$K6054=0),0,1)</f>
        <v>0</v>
      </c>
    </row>
    <row r="6055" spans="1:12" x14ac:dyDescent="0.2">
      <c r="A6055" t="s">
        <v>477</v>
      </c>
      <c r="B6055" t="s">
        <v>241</v>
      </c>
      <c r="C6055" t="s">
        <v>9</v>
      </c>
      <c r="D6055">
        <v>1121</v>
      </c>
      <c r="E6055">
        <v>2021</v>
      </c>
      <c r="F6055">
        <v>38</v>
      </c>
      <c r="G6055">
        <v>13165</v>
      </c>
      <c r="H6055" s="1">
        <v>3</v>
      </c>
      <c r="I6055">
        <v>19</v>
      </c>
      <c r="J6055">
        <f>IF($H6055=0,1,IF($I6055&lt;=1,2,0))</f>
        <v>0</v>
      </c>
      <c r="K6055">
        <v>0</v>
      </c>
      <c r="L6055">
        <f>IF(AND($J6055=0,$K6055=0),0,1)</f>
        <v>0</v>
      </c>
    </row>
    <row r="6056" spans="1:12" x14ac:dyDescent="0.2">
      <c r="A6056" t="s">
        <v>477</v>
      </c>
      <c r="B6056" t="s">
        <v>241</v>
      </c>
      <c r="C6056" t="s">
        <v>9</v>
      </c>
      <c r="D6056">
        <v>1121</v>
      </c>
      <c r="E6056">
        <v>2021</v>
      </c>
      <c r="F6056">
        <v>22</v>
      </c>
      <c r="G6056">
        <v>13148</v>
      </c>
      <c r="H6056" s="1">
        <v>3</v>
      </c>
      <c r="I6056">
        <v>18</v>
      </c>
      <c r="J6056">
        <f>IF($H6056=0,1,IF($I6056&lt;=1,2,0))</f>
        <v>0</v>
      </c>
      <c r="K6056">
        <v>0</v>
      </c>
      <c r="L6056">
        <f>IF(AND($J6056=0,$K6056=0),0,1)</f>
        <v>0</v>
      </c>
    </row>
    <row r="6057" spans="1:12" x14ac:dyDescent="0.2">
      <c r="A6057" t="s">
        <v>477</v>
      </c>
      <c r="B6057" t="s">
        <v>241</v>
      </c>
      <c r="C6057" t="s">
        <v>9</v>
      </c>
      <c r="D6057">
        <v>1121</v>
      </c>
      <c r="E6057">
        <v>2021</v>
      </c>
      <c r="F6057">
        <v>25</v>
      </c>
      <c r="G6057">
        <v>13151</v>
      </c>
      <c r="H6057" s="1">
        <v>3</v>
      </c>
      <c r="I6057">
        <v>18</v>
      </c>
      <c r="J6057">
        <f>IF($H6057=0,1,IF($I6057&lt;=1,2,0))</f>
        <v>0</v>
      </c>
      <c r="K6057">
        <v>0</v>
      </c>
      <c r="L6057">
        <f>IF(AND($J6057=0,$K6057=0),0,1)</f>
        <v>0</v>
      </c>
    </row>
    <row r="6058" spans="1:12" x14ac:dyDescent="0.2">
      <c r="A6058" t="s">
        <v>477</v>
      </c>
      <c r="B6058" t="s">
        <v>241</v>
      </c>
      <c r="C6058" t="s">
        <v>9</v>
      </c>
      <c r="D6058">
        <v>1121</v>
      </c>
      <c r="E6058">
        <v>2021</v>
      </c>
      <c r="F6058">
        <v>40</v>
      </c>
      <c r="G6058">
        <v>13361</v>
      </c>
      <c r="H6058" s="1">
        <v>3</v>
      </c>
      <c r="I6058">
        <v>16</v>
      </c>
      <c r="J6058">
        <f>IF($H6058=0,1,IF($I6058&lt;=1,2,0))</f>
        <v>0</v>
      </c>
      <c r="K6058">
        <v>0</v>
      </c>
      <c r="L6058">
        <f>IF(AND($J6058=0,$K6058=0),0,1)</f>
        <v>0</v>
      </c>
    </row>
    <row r="6059" spans="1:12" x14ac:dyDescent="0.2">
      <c r="A6059" t="s">
        <v>477</v>
      </c>
      <c r="B6059" t="s">
        <v>241</v>
      </c>
      <c r="C6059" t="s">
        <v>9</v>
      </c>
      <c r="D6059">
        <v>1121</v>
      </c>
      <c r="E6059">
        <v>2021</v>
      </c>
      <c r="F6059">
        <v>41</v>
      </c>
      <c r="G6059">
        <v>18785</v>
      </c>
      <c r="H6059" s="1">
        <v>3</v>
      </c>
      <c r="I6059">
        <v>16</v>
      </c>
      <c r="J6059">
        <f>IF($H6059=0,1,IF($I6059&lt;=1,2,0))</f>
        <v>0</v>
      </c>
      <c r="K6059">
        <v>0</v>
      </c>
      <c r="L6059">
        <f>IF(AND($J6059=0,$K6059=0),0,1)</f>
        <v>0</v>
      </c>
    </row>
    <row r="6060" spans="1:12" x14ac:dyDescent="0.2">
      <c r="A6060" t="s">
        <v>477</v>
      </c>
      <c r="B6060" t="s">
        <v>241</v>
      </c>
      <c r="C6060" t="s">
        <v>9</v>
      </c>
      <c r="D6060">
        <v>1121</v>
      </c>
      <c r="E6060">
        <v>2021</v>
      </c>
      <c r="F6060">
        <v>34</v>
      </c>
      <c r="G6060">
        <v>13161</v>
      </c>
      <c r="H6060" s="1">
        <v>3</v>
      </c>
      <c r="I6060">
        <v>15</v>
      </c>
      <c r="J6060">
        <f>IF($H6060=0,1,IF($I6060&lt;=1,2,0))</f>
        <v>0</v>
      </c>
      <c r="K6060">
        <v>0</v>
      </c>
      <c r="L6060">
        <f>IF(AND($J6060=0,$K6060=0),0,1)</f>
        <v>0</v>
      </c>
    </row>
    <row r="6061" spans="1:12" x14ac:dyDescent="0.2">
      <c r="A6061" t="s">
        <v>477</v>
      </c>
      <c r="B6061" t="s">
        <v>241</v>
      </c>
      <c r="C6061" t="s">
        <v>9</v>
      </c>
      <c r="D6061">
        <v>1121</v>
      </c>
      <c r="E6061">
        <v>2021</v>
      </c>
      <c r="F6061">
        <v>9</v>
      </c>
      <c r="G6061">
        <v>13105</v>
      </c>
      <c r="H6061" s="1">
        <v>3</v>
      </c>
      <c r="I6061">
        <v>14</v>
      </c>
      <c r="J6061">
        <f>IF($H6061=0,1,IF($I6061&lt;=1,2,0))</f>
        <v>0</v>
      </c>
      <c r="K6061">
        <v>0</v>
      </c>
      <c r="L6061">
        <f>IF(AND($J6061=0,$K6061=0),0,1)</f>
        <v>0</v>
      </c>
    </row>
    <row r="6062" spans="1:12" x14ac:dyDescent="0.2">
      <c r="A6062" t="s">
        <v>477</v>
      </c>
      <c r="B6062" t="s">
        <v>241</v>
      </c>
      <c r="C6062" t="s">
        <v>9</v>
      </c>
      <c r="D6062">
        <v>1123</v>
      </c>
      <c r="E6062">
        <v>2021</v>
      </c>
      <c r="F6062">
        <v>2</v>
      </c>
      <c r="G6062">
        <v>11526</v>
      </c>
      <c r="H6062" s="1">
        <v>3</v>
      </c>
      <c r="I6062">
        <v>25</v>
      </c>
      <c r="J6062">
        <f>IF($H6062=0,1,IF($I6062&lt;=1,2,0))</f>
        <v>0</v>
      </c>
      <c r="K6062">
        <v>0</v>
      </c>
      <c r="L6062">
        <f>IF(AND($J6062=0,$K6062=0),0,1)</f>
        <v>0</v>
      </c>
    </row>
    <row r="6063" spans="1:12" x14ac:dyDescent="0.2">
      <c r="A6063" t="s">
        <v>477</v>
      </c>
      <c r="B6063" t="s">
        <v>241</v>
      </c>
      <c r="C6063" t="s">
        <v>9</v>
      </c>
      <c r="D6063">
        <v>1123</v>
      </c>
      <c r="E6063">
        <v>2021</v>
      </c>
      <c r="F6063">
        <v>4</v>
      </c>
      <c r="G6063">
        <v>12689</v>
      </c>
      <c r="H6063" s="1">
        <v>3</v>
      </c>
      <c r="I6063">
        <v>25</v>
      </c>
      <c r="J6063">
        <f>IF($H6063=0,1,IF($I6063&lt;=1,2,0))</f>
        <v>0</v>
      </c>
      <c r="K6063">
        <v>0</v>
      </c>
      <c r="L6063">
        <f>IF(AND($J6063=0,$K6063=0),0,1)</f>
        <v>0</v>
      </c>
    </row>
    <row r="6064" spans="1:12" x14ac:dyDescent="0.2">
      <c r="A6064" t="s">
        <v>477</v>
      </c>
      <c r="B6064" t="s">
        <v>241</v>
      </c>
      <c r="C6064" t="s">
        <v>9</v>
      </c>
      <c r="D6064">
        <v>1123</v>
      </c>
      <c r="E6064">
        <v>2021</v>
      </c>
      <c r="F6064">
        <v>5</v>
      </c>
      <c r="G6064">
        <v>12691</v>
      </c>
      <c r="H6064" s="1">
        <v>3</v>
      </c>
      <c r="I6064">
        <v>25</v>
      </c>
      <c r="J6064">
        <f>IF($H6064=0,1,IF($I6064&lt;=1,2,0))</f>
        <v>0</v>
      </c>
      <c r="K6064">
        <v>0</v>
      </c>
      <c r="L6064">
        <f>IF(AND($J6064=0,$K6064=0),0,1)</f>
        <v>0</v>
      </c>
    </row>
    <row r="6065" spans="1:12" x14ac:dyDescent="0.2">
      <c r="A6065" t="s">
        <v>477</v>
      </c>
      <c r="B6065" t="s">
        <v>241</v>
      </c>
      <c r="C6065" t="s">
        <v>9</v>
      </c>
      <c r="D6065">
        <v>1123</v>
      </c>
      <c r="E6065">
        <v>2021</v>
      </c>
      <c r="F6065">
        <v>6</v>
      </c>
      <c r="G6065">
        <v>12698</v>
      </c>
      <c r="H6065" s="1">
        <v>3</v>
      </c>
      <c r="I6065">
        <v>25</v>
      </c>
      <c r="J6065">
        <f>IF($H6065=0,1,IF($I6065&lt;=1,2,0))</f>
        <v>0</v>
      </c>
      <c r="K6065">
        <v>0</v>
      </c>
      <c r="L6065">
        <f>IF(AND($J6065=0,$K6065=0),0,1)</f>
        <v>0</v>
      </c>
    </row>
    <row r="6066" spans="1:12" x14ac:dyDescent="0.2">
      <c r="A6066" t="s">
        <v>477</v>
      </c>
      <c r="B6066" t="s">
        <v>241</v>
      </c>
      <c r="C6066" t="s">
        <v>9</v>
      </c>
      <c r="D6066">
        <v>1123</v>
      </c>
      <c r="E6066">
        <v>2021</v>
      </c>
      <c r="F6066">
        <v>8</v>
      </c>
      <c r="G6066">
        <v>12694</v>
      </c>
      <c r="H6066" s="1">
        <v>3</v>
      </c>
      <c r="I6066">
        <v>25</v>
      </c>
      <c r="J6066">
        <f>IF($H6066=0,1,IF($I6066&lt;=1,2,0))</f>
        <v>0</v>
      </c>
      <c r="K6066">
        <v>0</v>
      </c>
      <c r="L6066">
        <f>IF(AND($J6066=0,$K6066=0),0,1)</f>
        <v>0</v>
      </c>
    </row>
    <row r="6067" spans="1:12" x14ac:dyDescent="0.2">
      <c r="A6067" t="s">
        <v>477</v>
      </c>
      <c r="B6067" t="s">
        <v>241</v>
      </c>
      <c r="C6067" t="s">
        <v>9</v>
      </c>
      <c r="D6067">
        <v>1123</v>
      </c>
      <c r="E6067">
        <v>2021</v>
      </c>
      <c r="F6067">
        <v>9</v>
      </c>
      <c r="G6067">
        <v>12695</v>
      </c>
      <c r="H6067" s="1">
        <v>3</v>
      </c>
      <c r="I6067">
        <v>25</v>
      </c>
      <c r="J6067">
        <f>IF($H6067=0,1,IF($I6067&lt;=1,2,0))</f>
        <v>0</v>
      </c>
      <c r="K6067">
        <v>0</v>
      </c>
      <c r="L6067">
        <f>IF(AND($J6067=0,$K6067=0),0,1)</f>
        <v>0</v>
      </c>
    </row>
    <row r="6068" spans="1:12" x14ac:dyDescent="0.2">
      <c r="A6068" t="s">
        <v>477</v>
      </c>
      <c r="B6068" t="s">
        <v>241</v>
      </c>
      <c r="C6068" t="s">
        <v>9</v>
      </c>
      <c r="D6068">
        <v>1123</v>
      </c>
      <c r="E6068">
        <v>2021</v>
      </c>
      <c r="F6068">
        <v>10</v>
      </c>
      <c r="G6068">
        <v>12696</v>
      </c>
      <c r="H6068" s="1">
        <v>3</v>
      </c>
      <c r="I6068">
        <v>25</v>
      </c>
      <c r="J6068">
        <f>IF($H6068=0,1,IF($I6068&lt;=1,2,0))</f>
        <v>0</v>
      </c>
      <c r="K6068">
        <v>0</v>
      </c>
      <c r="L6068">
        <f>IF(AND($J6068=0,$K6068=0),0,1)</f>
        <v>0</v>
      </c>
    </row>
    <row r="6069" spans="1:12" x14ac:dyDescent="0.2">
      <c r="A6069" t="s">
        <v>477</v>
      </c>
      <c r="B6069" t="s">
        <v>241</v>
      </c>
      <c r="C6069" t="s">
        <v>9</v>
      </c>
      <c r="D6069">
        <v>1123</v>
      </c>
      <c r="E6069">
        <v>2021</v>
      </c>
      <c r="F6069">
        <v>11</v>
      </c>
      <c r="G6069">
        <v>12697</v>
      </c>
      <c r="H6069" s="1">
        <v>3</v>
      </c>
      <c r="I6069">
        <v>25</v>
      </c>
      <c r="J6069">
        <f>IF($H6069=0,1,IF($I6069&lt;=1,2,0))</f>
        <v>0</v>
      </c>
      <c r="K6069">
        <v>0</v>
      </c>
      <c r="L6069">
        <f>IF(AND($J6069=0,$K6069=0),0,1)</f>
        <v>0</v>
      </c>
    </row>
    <row r="6070" spans="1:12" x14ac:dyDescent="0.2">
      <c r="A6070" t="s">
        <v>477</v>
      </c>
      <c r="B6070" t="s">
        <v>241</v>
      </c>
      <c r="C6070" t="s">
        <v>9</v>
      </c>
      <c r="D6070">
        <v>1123</v>
      </c>
      <c r="E6070">
        <v>2021</v>
      </c>
      <c r="F6070">
        <v>13</v>
      </c>
      <c r="G6070">
        <v>12700</v>
      </c>
      <c r="H6070" s="1">
        <v>3</v>
      </c>
      <c r="I6070">
        <v>25</v>
      </c>
      <c r="J6070">
        <f>IF($H6070=0,1,IF($I6070&lt;=1,2,0))</f>
        <v>0</v>
      </c>
      <c r="K6070">
        <v>0</v>
      </c>
      <c r="L6070">
        <f>IF(AND($J6070=0,$K6070=0),0,1)</f>
        <v>0</v>
      </c>
    </row>
    <row r="6071" spans="1:12" x14ac:dyDescent="0.2">
      <c r="A6071" t="s">
        <v>477</v>
      </c>
      <c r="B6071" t="s">
        <v>241</v>
      </c>
      <c r="C6071" t="s">
        <v>9</v>
      </c>
      <c r="D6071">
        <v>1123</v>
      </c>
      <c r="E6071">
        <v>2021</v>
      </c>
      <c r="F6071">
        <v>16</v>
      </c>
      <c r="G6071">
        <v>12704</v>
      </c>
      <c r="H6071" s="1">
        <v>3</v>
      </c>
      <c r="I6071">
        <v>25</v>
      </c>
      <c r="J6071">
        <f>IF($H6071=0,1,IF($I6071&lt;=1,2,0))</f>
        <v>0</v>
      </c>
      <c r="K6071">
        <v>0</v>
      </c>
      <c r="L6071">
        <f>IF(AND($J6071=0,$K6071=0),0,1)</f>
        <v>0</v>
      </c>
    </row>
    <row r="6072" spans="1:12" x14ac:dyDescent="0.2">
      <c r="A6072" t="s">
        <v>477</v>
      </c>
      <c r="B6072" t="s">
        <v>241</v>
      </c>
      <c r="C6072" t="s">
        <v>9</v>
      </c>
      <c r="D6072">
        <v>1123</v>
      </c>
      <c r="E6072">
        <v>2021</v>
      </c>
      <c r="F6072">
        <v>17</v>
      </c>
      <c r="G6072">
        <v>12705</v>
      </c>
      <c r="H6072" s="1">
        <v>3</v>
      </c>
      <c r="I6072">
        <v>25</v>
      </c>
      <c r="J6072">
        <f>IF($H6072=0,1,IF($I6072&lt;=1,2,0))</f>
        <v>0</v>
      </c>
      <c r="K6072">
        <v>0</v>
      </c>
      <c r="L6072">
        <f>IF(AND($J6072=0,$K6072=0),0,1)</f>
        <v>0</v>
      </c>
    </row>
    <row r="6073" spans="1:12" x14ac:dyDescent="0.2">
      <c r="A6073" t="s">
        <v>477</v>
      </c>
      <c r="B6073" t="s">
        <v>241</v>
      </c>
      <c r="C6073" t="s">
        <v>9</v>
      </c>
      <c r="D6073">
        <v>1123</v>
      </c>
      <c r="E6073">
        <v>2021</v>
      </c>
      <c r="F6073">
        <v>22</v>
      </c>
      <c r="G6073">
        <v>12710</v>
      </c>
      <c r="H6073" s="1">
        <v>3</v>
      </c>
      <c r="I6073">
        <v>25</v>
      </c>
      <c r="J6073">
        <f>IF($H6073=0,1,IF($I6073&lt;=1,2,0))</f>
        <v>0</v>
      </c>
      <c r="K6073">
        <v>0</v>
      </c>
      <c r="L6073">
        <f>IF(AND($J6073=0,$K6073=0),0,1)</f>
        <v>0</v>
      </c>
    </row>
    <row r="6074" spans="1:12" x14ac:dyDescent="0.2">
      <c r="A6074" t="s">
        <v>477</v>
      </c>
      <c r="B6074" t="s">
        <v>241</v>
      </c>
      <c r="C6074" t="s">
        <v>9</v>
      </c>
      <c r="D6074">
        <v>1123</v>
      </c>
      <c r="E6074">
        <v>2021</v>
      </c>
      <c r="F6074">
        <v>25</v>
      </c>
      <c r="G6074">
        <v>12714</v>
      </c>
      <c r="H6074" s="1">
        <v>3</v>
      </c>
      <c r="I6074">
        <v>25</v>
      </c>
      <c r="J6074">
        <f>IF($H6074=0,1,IF($I6074&lt;=1,2,0))</f>
        <v>0</v>
      </c>
      <c r="K6074">
        <v>0</v>
      </c>
      <c r="L6074">
        <f>IF(AND($J6074=0,$K6074=0),0,1)</f>
        <v>0</v>
      </c>
    </row>
    <row r="6075" spans="1:12" x14ac:dyDescent="0.2">
      <c r="A6075" t="s">
        <v>477</v>
      </c>
      <c r="B6075" t="s">
        <v>241</v>
      </c>
      <c r="C6075" t="s">
        <v>9</v>
      </c>
      <c r="D6075">
        <v>1123</v>
      </c>
      <c r="E6075">
        <v>2021</v>
      </c>
      <c r="F6075">
        <v>26</v>
      </c>
      <c r="G6075">
        <v>12715</v>
      </c>
      <c r="H6075" s="1">
        <v>3</v>
      </c>
      <c r="I6075">
        <v>25</v>
      </c>
      <c r="J6075">
        <f>IF($H6075=0,1,IF($I6075&lt;=1,2,0))</f>
        <v>0</v>
      </c>
      <c r="K6075">
        <v>0</v>
      </c>
      <c r="L6075">
        <f>IF(AND($J6075=0,$K6075=0),0,1)</f>
        <v>0</v>
      </c>
    </row>
    <row r="6076" spans="1:12" x14ac:dyDescent="0.2">
      <c r="A6076" t="s">
        <v>477</v>
      </c>
      <c r="B6076" t="s">
        <v>241</v>
      </c>
      <c r="C6076" t="s">
        <v>9</v>
      </c>
      <c r="D6076">
        <v>1123</v>
      </c>
      <c r="E6076">
        <v>2021</v>
      </c>
      <c r="F6076">
        <v>28</v>
      </c>
      <c r="G6076">
        <v>12717</v>
      </c>
      <c r="H6076" s="1">
        <v>3</v>
      </c>
      <c r="I6076">
        <v>25</v>
      </c>
      <c r="J6076">
        <f>IF($H6076=0,1,IF($I6076&lt;=1,2,0))</f>
        <v>0</v>
      </c>
      <c r="K6076">
        <v>0</v>
      </c>
      <c r="L6076">
        <f>IF(AND($J6076=0,$K6076=0),0,1)</f>
        <v>0</v>
      </c>
    </row>
    <row r="6077" spans="1:12" x14ac:dyDescent="0.2">
      <c r="A6077" t="s">
        <v>477</v>
      </c>
      <c r="B6077" t="s">
        <v>241</v>
      </c>
      <c r="C6077" t="s">
        <v>9</v>
      </c>
      <c r="D6077">
        <v>1123</v>
      </c>
      <c r="E6077">
        <v>2021</v>
      </c>
      <c r="F6077">
        <v>29</v>
      </c>
      <c r="G6077">
        <v>12718</v>
      </c>
      <c r="H6077" s="1">
        <v>3</v>
      </c>
      <c r="I6077">
        <v>25</v>
      </c>
      <c r="J6077">
        <f>IF($H6077=0,1,IF($I6077&lt;=1,2,0))</f>
        <v>0</v>
      </c>
      <c r="K6077">
        <v>0</v>
      </c>
      <c r="L6077">
        <f>IF(AND($J6077=0,$K6077=0),0,1)</f>
        <v>0</v>
      </c>
    </row>
    <row r="6078" spans="1:12" x14ac:dyDescent="0.2">
      <c r="A6078" t="s">
        <v>477</v>
      </c>
      <c r="B6078" t="s">
        <v>241</v>
      </c>
      <c r="C6078" t="s">
        <v>9</v>
      </c>
      <c r="D6078">
        <v>1123</v>
      </c>
      <c r="E6078">
        <v>2021</v>
      </c>
      <c r="F6078">
        <v>32</v>
      </c>
      <c r="G6078">
        <v>12722</v>
      </c>
      <c r="H6078" s="1">
        <v>3</v>
      </c>
      <c r="I6078">
        <v>25</v>
      </c>
      <c r="J6078">
        <f>IF($H6078=0,1,IF($I6078&lt;=1,2,0))</f>
        <v>0</v>
      </c>
      <c r="K6078">
        <v>0</v>
      </c>
      <c r="L6078">
        <f>IF(AND($J6078=0,$K6078=0),0,1)</f>
        <v>0</v>
      </c>
    </row>
    <row r="6079" spans="1:12" x14ac:dyDescent="0.2">
      <c r="A6079" t="s">
        <v>477</v>
      </c>
      <c r="B6079" t="s">
        <v>241</v>
      </c>
      <c r="C6079" t="s">
        <v>9</v>
      </c>
      <c r="D6079">
        <v>1123</v>
      </c>
      <c r="E6079">
        <v>2021</v>
      </c>
      <c r="F6079">
        <v>1</v>
      </c>
      <c r="G6079">
        <v>11525</v>
      </c>
      <c r="H6079" s="1">
        <v>3</v>
      </c>
      <c r="I6079">
        <v>24</v>
      </c>
      <c r="J6079">
        <f>IF($H6079=0,1,IF($I6079&lt;=1,2,0))</f>
        <v>0</v>
      </c>
      <c r="K6079">
        <v>0</v>
      </c>
      <c r="L6079">
        <f>IF(AND($J6079=0,$K6079=0),0,1)</f>
        <v>0</v>
      </c>
    </row>
    <row r="6080" spans="1:12" x14ac:dyDescent="0.2">
      <c r="A6080" t="s">
        <v>477</v>
      </c>
      <c r="B6080" t="s">
        <v>241</v>
      </c>
      <c r="C6080" t="s">
        <v>9</v>
      </c>
      <c r="D6080">
        <v>1123</v>
      </c>
      <c r="E6080">
        <v>2021</v>
      </c>
      <c r="F6080">
        <v>3</v>
      </c>
      <c r="G6080">
        <v>12687</v>
      </c>
      <c r="H6080" s="1">
        <v>3</v>
      </c>
      <c r="I6080">
        <v>24</v>
      </c>
      <c r="J6080">
        <f>IF($H6080=0,1,IF($I6080&lt;=1,2,0))</f>
        <v>0</v>
      </c>
      <c r="K6080">
        <v>0</v>
      </c>
      <c r="L6080">
        <f>IF(AND($J6080=0,$K6080=0),0,1)</f>
        <v>0</v>
      </c>
    </row>
    <row r="6081" spans="1:12" x14ac:dyDescent="0.2">
      <c r="A6081" t="s">
        <v>477</v>
      </c>
      <c r="B6081" t="s">
        <v>241</v>
      </c>
      <c r="C6081" t="s">
        <v>9</v>
      </c>
      <c r="D6081">
        <v>1123</v>
      </c>
      <c r="E6081">
        <v>2021</v>
      </c>
      <c r="F6081">
        <v>14</v>
      </c>
      <c r="G6081">
        <v>12701</v>
      </c>
      <c r="H6081" s="1">
        <v>3</v>
      </c>
      <c r="I6081">
        <v>24</v>
      </c>
      <c r="J6081">
        <f>IF($H6081=0,1,IF($I6081&lt;=1,2,0))</f>
        <v>0</v>
      </c>
      <c r="K6081">
        <v>0</v>
      </c>
      <c r="L6081">
        <f>IF(AND($J6081=0,$K6081=0),0,1)</f>
        <v>0</v>
      </c>
    </row>
    <row r="6082" spans="1:12" x14ac:dyDescent="0.2">
      <c r="A6082" t="s">
        <v>477</v>
      </c>
      <c r="B6082" t="s">
        <v>241</v>
      </c>
      <c r="C6082" t="s">
        <v>9</v>
      </c>
      <c r="D6082">
        <v>1123</v>
      </c>
      <c r="E6082">
        <v>2021</v>
      </c>
      <c r="F6082">
        <v>15</v>
      </c>
      <c r="G6082">
        <v>12703</v>
      </c>
      <c r="H6082" s="1">
        <v>3</v>
      </c>
      <c r="I6082">
        <v>24</v>
      </c>
      <c r="J6082">
        <f>IF($H6082=0,1,IF($I6082&lt;=1,2,0))</f>
        <v>0</v>
      </c>
      <c r="K6082">
        <v>0</v>
      </c>
      <c r="L6082">
        <f>IF(AND($J6082=0,$K6082=0),0,1)</f>
        <v>0</v>
      </c>
    </row>
    <row r="6083" spans="1:12" x14ac:dyDescent="0.2">
      <c r="A6083" t="s">
        <v>477</v>
      </c>
      <c r="B6083" t="s">
        <v>241</v>
      </c>
      <c r="C6083" t="s">
        <v>9</v>
      </c>
      <c r="D6083">
        <v>1123</v>
      </c>
      <c r="E6083">
        <v>2021</v>
      </c>
      <c r="F6083">
        <v>18</v>
      </c>
      <c r="G6083">
        <v>12706</v>
      </c>
      <c r="H6083" s="1">
        <v>3</v>
      </c>
      <c r="I6083">
        <v>24</v>
      </c>
      <c r="J6083">
        <f>IF($H6083=0,1,IF($I6083&lt;=1,2,0))</f>
        <v>0</v>
      </c>
      <c r="K6083">
        <v>0</v>
      </c>
      <c r="L6083">
        <f>IF(AND($J6083=0,$K6083=0),0,1)</f>
        <v>0</v>
      </c>
    </row>
    <row r="6084" spans="1:12" x14ac:dyDescent="0.2">
      <c r="A6084" t="s">
        <v>477</v>
      </c>
      <c r="B6084" t="s">
        <v>241</v>
      </c>
      <c r="C6084" t="s">
        <v>9</v>
      </c>
      <c r="D6084">
        <v>1123</v>
      </c>
      <c r="E6084">
        <v>2021</v>
      </c>
      <c r="F6084">
        <v>19</v>
      </c>
      <c r="G6084">
        <v>12707</v>
      </c>
      <c r="H6084" s="1">
        <v>3</v>
      </c>
      <c r="I6084">
        <v>24</v>
      </c>
      <c r="J6084">
        <f>IF($H6084=0,1,IF($I6084&lt;=1,2,0))</f>
        <v>0</v>
      </c>
      <c r="K6084">
        <v>0</v>
      </c>
      <c r="L6084">
        <f>IF(AND($J6084=0,$K6084=0),0,1)</f>
        <v>0</v>
      </c>
    </row>
    <row r="6085" spans="1:12" x14ac:dyDescent="0.2">
      <c r="A6085" t="s">
        <v>477</v>
      </c>
      <c r="B6085" t="s">
        <v>241</v>
      </c>
      <c r="C6085" t="s">
        <v>9</v>
      </c>
      <c r="D6085">
        <v>1123</v>
      </c>
      <c r="E6085">
        <v>2021</v>
      </c>
      <c r="F6085">
        <v>24</v>
      </c>
      <c r="G6085">
        <v>12713</v>
      </c>
      <c r="H6085" s="1">
        <v>3</v>
      </c>
      <c r="I6085">
        <v>24</v>
      </c>
      <c r="J6085">
        <f>IF($H6085=0,1,IF($I6085&lt;=1,2,0))</f>
        <v>0</v>
      </c>
      <c r="K6085">
        <v>0</v>
      </c>
      <c r="L6085">
        <f>IF(AND($J6085=0,$K6085=0),0,1)</f>
        <v>0</v>
      </c>
    </row>
    <row r="6086" spans="1:12" x14ac:dyDescent="0.2">
      <c r="A6086" t="s">
        <v>477</v>
      </c>
      <c r="B6086" t="s">
        <v>241</v>
      </c>
      <c r="C6086" t="s">
        <v>9</v>
      </c>
      <c r="D6086">
        <v>1123</v>
      </c>
      <c r="E6086">
        <v>2021</v>
      </c>
      <c r="F6086">
        <v>30</v>
      </c>
      <c r="G6086">
        <v>12720</v>
      </c>
      <c r="H6086" s="1">
        <v>3</v>
      </c>
      <c r="I6086">
        <v>24</v>
      </c>
      <c r="J6086">
        <f>IF($H6086=0,1,IF($I6086&lt;=1,2,0))</f>
        <v>0</v>
      </c>
      <c r="K6086">
        <v>0</v>
      </c>
      <c r="L6086">
        <f>IF(AND($J6086=0,$K6086=0),0,1)</f>
        <v>0</v>
      </c>
    </row>
    <row r="6087" spans="1:12" x14ac:dyDescent="0.2">
      <c r="A6087" t="s">
        <v>477</v>
      </c>
      <c r="B6087" t="s">
        <v>241</v>
      </c>
      <c r="C6087" t="s">
        <v>9</v>
      </c>
      <c r="D6087">
        <v>1123</v>
      </c>
      <c r="E6087">
        <v>2021</v>
      </c>
      <c r="F6087">
        <v>7</v>
      </c>
      <c r="G6087">
        <v>12693</v>
      </c>
      <c r="H6087" s="1">
        <v>3</v>
      </c>
      <c r="I6087">
        <v>23</v>
      </c>
      <c r="J6087">
        <f>IF($H6087=0,1,IF($I6087&lt;=1,2,0))</f>
        <v>0</v>
      </c>
      <c r="K6087">
        <v>0</v>
      </c>
      <c r="L6087">
        <f>IF(AND($J6087=0,$K6087=0),0,1)</f>
        <v>0</v>
      </c>
    </row>
    <row r="6088" spans="1:12" x14ac:dyDescent="0.2">
      <c r="A6088" t="s">
        <v>477</v>
      </c>
      <c r="B6088" t="s">
        <v>241</v>
      </c>
      <c r="C6088" t="s">
        <v>9</v>
      </c>
      <c r="D6088">
        <v>1123</v>
      </c>
      <c r="E6088">
        <v>2021</v>
      </c>
      <c r="F6088">
        <v>12</v>
      </c>
      <c r="G6088">
        <v>12699</v>
      </c>
      <c r="H6088" s="1">
        <v>3</v>
      </c>
      <c r="I6088">
        <v>23</v>
      </c>
      <c r="J6088">
        <f>IF($H6088=0,1,IF($I6088&lt;=1,2,0))</f>
        <v>0</v>
      </c>
      <c r="K6088">
        <v>0</v>
      </c>
      <c r="L6088">
        <f>IF(AND($J6088=0,$K6088=0),0,1)</f>
        <v>0</v>
      </c>
    </row>
    <row r="6089" spans="1:12" x14ac:dyDescent="0.2">
      <c r="A6089" t="s">
        <v>477</v>
      </c>
      <c r="B6089" t="s">
        <v>241</v>
      </c>
      <c r="C6089" t="s">
        <v>9</v>
      </c>
      <c r="D6089">
        <v>1123</v>
      </c>
      <c r="E6089">
        <v>2021</v>
      </c>
      <c r="F6089">
        <v>20</v>
      </c>
      <c r="G6089">
        <v>12708</v>
      </c>
      <c r="H6089" s="1">
        <v>3</v>
      </c>
      <c r="I6089">
        <v>23</v>
      </c>
      <c r="J6089">
        <f>IF($H6089=0,1,IF($I6089&lt;=1,2,0))</f>
        <v>0</v>
      </c>
      <c r="K6089">
        <v>0</v>
      </c>
      <c r="L6089">
        <f>IF(AND($J6089=0,$K6089=0),0,1)</f>
        <v>0</v>
      </c>
    </row>
    <row r="6090" spans="1:12" x14ac:dyDescent="0.2">
      <c r="A6090" t="s">
        <v>477</v>
      </c>
      <c r="B6090" t="s">
        <v>241</v>
      </c>
      <c r="C6090" t="s">
        <v>9</v>
      </c>
      <c r="D6090">
        <v>1123</v>
      </c>
      <c r="E6090">
        <v>2021</v>
      </c>
      <c r="F6090">
        <v>21</v>
      </c>
      <c r="G6090">
        <v>12709</v>
      </c>
      <c r="H6090" s="1">
        <v>3</v>
      </c>
      <c r="I6090">
        <v>23</v>
      </c>
      <c r="J6090">
        <f>IF($H6090=0,1,IF($I6090&lt;=1,2,0))</f>
        <v>0</v>
      </c>
      <c r="K6090">
        <v>0</v>
      </c>
      <c r="L6090">
        <f>IF(AND($J6090=0,$K6090=0),0,1)</f>
        <v>0</v>
      </c>
    </row>
    <row r="6091" spans="1:12" x14ac:dyDescent="0.2">
      <c r="A6091" t="s">
        <v>477</v>
      </c>
      <c r="B6091" t="s">
        <v>241</v>
      </c>
      <c r="C6091" t="s">
        <v>9</v>
      </c>
      <c r="D6091">
        <v>1123</v>
      </c>
      <c r="E6091">
        <v>2021</v>
      </c>
      <c r="F6091">
        <v>23</v>
      </c>
      <c r="G6091">
        <v>12712</v>
      </c>
      <c r="H6091" s="1">
        <v>3</v>
      </c>
      <c r="I6091">
        <v>23</v>
      </c>
      <c r="J6091">
        <f>IF($H6091=0,1,IF($I6091&lt;=1,2,0))</f>
        <v>0</v>
      </c>
      <c r="K6091">
        <v>0</v>
      </c>
      <c r="L6091">
        <f>IF(AND($J6091=0,$K6091=0),0,1)</f>
        <v>0</v>
      </c>
    </row>
    <row r="6092" spans="1:12" x14ac:dyDescent="0.2">
      <c r="A6092" t="s">
        <v>477</v>
      </c>
      <c r="B6092" t="s">
        <v>241</v>
      </c>
      <c r="C6092" t="s">
        <v>9</v>
      </c>
      <c r="D6092">
        <v>1123</v>
      </c>
      <c r="E6092">
        <v>2021</v>
      </c>
      <c r="F6092">
        <v>27</v>
      </c>
      <c r="G6092">
        <v>12716</v>
      </c>
      <c r="H6092" s="1">
        <v>3</v>
      </c>
      <c r="I6092">
        <v>23</v>
      </c>
      <c r="J6092">
        <f>IF($H6092=0,1,IF($I6092&lt;=1,2,0))</f>
        <v>0</v>
      </c>
      <c r="K6092">
        <v>0</v>
      </c>
      <c r="L6092">
        <f>IF(AND($J6092=0,$K6092=0),0,1)</f>
        <v>0</v>
      </c>
    </row>
    <row r="6093" spans="1:12" x14ac:dyDescent="0.2">
      <c r="A6093" t="s">
        <v>477</v>
      </c>
      <c r="B6093" t="s">
        <v>241</v>
      </c>
      <c r="C6093" t="s">
        <v>9</v>
      </c>
      <c r="D6093">
        <v>1123</v>
      </c>
      <c r="E6093">
        <v>2021</v>
      </c>
      <c r="F6093">
        <v>31</v>
      </c>
      <c r="G6093">
        <v>12721</v>
      </c>
      <c r="H6093" s="1">
        <v>3</v>
      </c>
      <c r="I6093">
        <v>22</v>
      </c>
      <c r="J6093">
        <f>IF($H6093=0,1,IF($I6093&lt;=1,2,0))</f>
        <v>0</v>
      </c>
      <c r="K6093">
        <v>0</v>
      </c>
      <c r="L6093">
        <f>IF(AND($J6093=0,$K6093=0),0,1)</f>
        <v>0</v>
      </c>
    </row>
    <row r="6094" spans="1:12" x14ac:dyDescent="0.2">
      <c r="A6094" t="s">
        <v>477</v>
      </c>
      <c r="B6094" t="s">
        <v>241</v>
      </c>
      <c r="C6094" t="s">
        <v>9</v>
      </c>
      <c r="D6094">
        <v>1123</v>
      </c>
      <c r="E6094">
        <v>2021</v>
      </c>
      <c r="F6094">
        <v>33</v>
      </c>
      <c r="G6094">
        <v>18784</v>
      </c>
      <c r="H6094" s="1">
        <v>3</v>
      </c>
      <c r="I6094">
        <v>21</v>
      </c>
      <c r="J6094">
        <f>IF($H6094=0,1,IF($I6094&lt;=1,2,0))</f>
        <v>0</v>
      </c>
      <c r="K6094">
        <v>0</v>
      </c>
      <c r="L6094">
        <f>IF(AND($J6094=0,$K6094=0),0,1)</f>
        <v>0</v>
      </c>
    </row>
    <row r="6095" spans="1:12" x14ac:dyDescent="0.2">
      <c r="A6095" t="s">
        <v>477</v>
      </c>
      <c r="B6095" t="s">
        <v>241</v>
      </c>
      <c r="C6095" t="s">
        <v>1101</v>
      </c>
      <c r="D6095">
        <v>2000</v>
      </c>
      <c r="E6095">
        <v>2021</v>
      </c>
      <c r="F6095">
        <v>2</v>
      </c>
      <c r="G6095">
        <v>18406</v>
      </c>
      <c r="H6095" s="1">
        <v>1</v>
      </c>
      <c r="I6095">
        <v>15</v>
      </c>
      <c r="J6095">
        <f>IF($H6095=0,1,IF($I6095&lt;=1,2,0))</f>
        <v>0</v>
      </c>
      <c r="K6095">
        <v>0</v>
      </c>
      <c r="L6095">
        <f>IF(AND($J6095=0,$K6095=0),0,1)</f>
        <v>0</v>
      </c>
    </row>
    <row r="6096" spans="1:12" x14ac:dyDescent="0.2">
      <c r="A6096" t="s">
        <v>477</v>
      </c>
      <c r="B6096" t="s">
        <v>241</v>
      </c>
      <c r="C6096" t="s">
        <v>1101</v>
      </c>
      <c r="D6096">
        <v>2000</v>
      </c>
      <c r="E6096">
        <v>2021</v>
      </c>
      <c r="F6096">
        <v>1</v>
      </c>
      <c r="G6096">
        <v>18405</v>
      </c>
      <c r="H6096" s="1">
        <v>1</v>
      </c>
      <c r="I6096">
        <v>9</v>
      </c>
      <c r="J6096">
        <f>IF($H6096=0,1,IF($I6096&lt;=1,2,0))</f>
        <v>0</v>
      </c>
      <c r="K6096">
        <v>0</v>
      </c>
      <c r="L6096">
        <f>IF(AND($J6096=0,$K6096=0),0,1)</f>
        <v>0</v>
      </c>
    </row>
    <row r="6097" spans="1:13" x14ac:dyDescent="0.2">
      <c r="A6097" t="s">
        <v>477</v>
      </c>
      <c r="B6097" t="s">
        <v>241</v>
      </c>
      <c r="C6097" t="s">
        <v>11</v>
      </c>
      <c r="D6097">
        <v>6911</v>
      </c>
      <c r="E6097">
        <v>2021</v>
      </c>
      <c r="F6097">
        <v>1</v>
      </c>
      <c r="G6097">
        <v>18561</v>
      </c>
      <c r="H6097" s="1">
        <v>3</v>
      </c>
      <c r="I6097">
        <v>9</v>
      </c>
      <c r="J6097">
        <f>IF($H6097=0,1,IF($I6097&lt;=1,2,0))</f>
        <v>0</v>
      </c>
      <c r="K6097">
        <v>0</v>
      </c>
      <c r="L6097">
        <f>IF(AND($J6097=0,$K6097=0),0,1)</f>
        <v>0</v>
      </c>
    </row>
    <row r="6098" spans="1:13" x14ac:dyDescent="0.2">
      <c r="A6098" t="s">
        <v>477</v>
      </c>
      <c r="B6098" t="s">
        <v>241</v>
      </c>
      <c r="C6098" t="s">
        <v>11</v>
      </c>
      <c r="D6098">
        <v>6913</v>
      </c>
      <c r="E6098">
        <v>2021</v>
      </c>
      <c r="F6098">
        <v>1</v>
      </c>
      <c r="G6098">
        <v>16154</v>
      </c>
      <c r="H6098" s="1">
        <v>3</v>
      </c>
      <c r="I6098">
        <v>14</v>
      </c>
      <c r="J6098">
        <f>IF($H6098=0,1,IF($I6098&lt;=1,2,0))</f>
        <v>0</v>
      </c>
      <c r="K6098">
        <v>0</v>
      </c>
      <c r="L6098">
        <f>IF(AND($J6098=0,$K6098=0),0,1)</f>
        <v>0</v>
      </c>
    </row>
    <row r="6099" spans="1:13" x14ac:dyDescent="0.2">
      <c r="A6099" t="s">
        <v>482</v>
      </c>
      <c r="B6099" t="s">
        <v>71</v>
      </c>
      <c r="C6099" t="s">
        <v>72</v>
      </c>
      <c r="D6099">
        <v>4200</v>
      </c>
      <c r="E6099">
        <v>2021</v>
      </c>
      <c r="F6099">
        <v>1</v>
      </c>
      <c r="G6099">
        <v>12066</v>
      </c>
      <c r="H6099" s="1">
        <v>3</v>
      </c>
      <c r="I6099">
        <v>48</v>
      </c>
      <c r="J6099">
        <f>IF($H6099=0,1,IF($I6099&lt;=1,2,0))</f>
        <v>0</v>
      </c>
      <c r="K6099">
        <v>0</v>
      </c>
      <c r="L6099">
        <f>IF(AND($J6099=0,$K6099=0),0,1)</f>
        <v>0</v>
      </c>
    </row>
    <row r="6100" spans="1:13" x14ac:dyDescent="0.2">
      <c r="A6100" t="s">
        <v>483</v>
      </c>
      <c r="B6100" t="s">
        <v>71</v>
      </c>
      <c r="C6100" t="s">
        <v>72</v>
      </c>
      <c r="D6100">
        <v>2261</v>
      </c>
      <c r="E6100">
        <v>2021</v>
      </c>
      <c r="F6100">
        <v>1</v>
      </c>
      <c r="G6100">
        <v>11763</v>
      </c>
      <c r="H6100" s="1">
        <v>3</v>
      </c>
      <c r="I6100">
        <v>101</v>
      </c>
      <c r="J6100">
        <f>IF($H6100=0,1,IF($I6100&lt;=1,2,0))</f>
        <v>0</v>
      </c>
      <c r="K6100">
        <v>0</v>
      </c>
      <c r="L6100">
        <f>IF(AND($J6100=0,$K6100=0),0,1)</f>
        <v>0</v>
      </c>
    </row>
    <row r="6101" spans="1:13" x14ac:dyDescent="0.2">
      <c r="A6101" t="s">
        <v>483</v>
      </c>
      <c r="B6101" t="s">
        <v>71</v>
      </c>
      <c r="C6101" t="s">
        <v>72</v>
      </c>
      <c r="D6101">
        <v>3106</v>
      </c>
      <c r="E6101">
        <v>2021</v>
      </c>
      <c r="F6101">
        <v>1</v>
      </c>
      <c r="G6101">
        <v>11916</v>
      </c>
      <c r="H6101" s="1">
        <v>3</v>
      </c>
      <c r="I6101">
        <v>77</v>
      </c>
      <c r="J6101">
        <f>IF($H6101=0,1,IF($I6101&lt;=1,2,0))</f>
        <v>0</v>
      </c>
      <c r="K6101">
        <v>0</v>
      </c>
      <c r="L6101">
        <f>IF(AND($J6101=0,$K6101=0),0,1)</f>
        <v>0</v>
      </c>
    </row>
    <row r="6102" spans="1:13" x14ac:dyDescent="0.2">
      <c r="A6102" t="s">
        <v>483</v>
      </c>
      <c r="B6102" t="s">
        <v>71</v>
      </c>
      <c r="C6102" t="s">
        <v>72</v>
      </c>
      <c r="D6102">
        <v>3608</v>
      </c>
      <c r="E6102">
        <v>2021</v>
      </c>
      <c r="F6102">
        <v>1</v>
      </c>
      <c r="G6102">
        <v>11769</v>
      </c>
      <c r="H6102" s="1">
        <v>3</v>
      </c>
      <c r="I6102">
        <v>72</v>
      </c>
      <c r="J6102">
        <f>IF($H6102=0,1,IF($I6102&lt;=1,2,0))</f>
        <v>0</v>
      </c>
      <c r="K6102">
        <v>0</v>
      </c>
      <c r="L6102">
        <f>IF(AND($J6102=0,$K6102=0),0,1)</f>
        <v>0</v>
      </c>
    </row>
    <row r="6103" spans="1:13" x14ac:dyDescent="0.2">
      <c r="A6103" t="s">
        <v>483</v>
      </c>
      <c r="B6103" t="s">
        <v>71</v>
      </c>
      <c r="C6103" t="s">
        <v>72</v>
      </c>
      <c r="D6103">
        <v>3658</v>
      </c>
      <c r="E6103">
        <v>2021</v>
      </c>
      <c r="F6103">
        <v>1</v>
      </c>
      <c r="G6103">
        <v>11807</v>
      </c>
      <c r="H6103" s="1">
        <v>3</v>
      </c>
      <c r="I6103">
        <v>139</v>
      </c>
      <c r="J6103">
        <f>IF($H6103=0,1,IF($I6103&lt;=1,2,0))</f>
        <v>0</v>
      </c>
      <c r="K6103">
        <v>0</v>
      </c>
      <c r="L6103">
        <f>IF(AND($J6103=0,$K6103=0),0,1)</f>
        <v>0</v>
      </c>
    </row>
    <row r="6104" spans="1:13" x14ac:dyDescent="0.2">
      <c r="A6104" t="s">
        <v>483</v>
      </c>
      <c r="B6104" t="s">
        <v>71</v>
      </c>
      <c r="C6104" t="s">
        <v>72</v>
      </c>
      <c r="D6104">
        <v>4003</v>
      </c>
      <c r="E6104">
        <v>2021</v>
      </c>
      <c r="F6104">
        <v>1</v>
      </c>
      <c r="G6104">
        <v>11799</v>
      </c>
      <c r="H6104" s="1">
        <v>3</v>
      </c>
      <c r="I6104">
        <v>77</v>
      </c>
      <c r="J6104">
        <f>IF($H6104=0,1,IF($I6104&lt;=1,2,0))</f>
        <v>0</v>
      </c>
      <c r="K6104">
        <v>0</v>
      </c>
      <c r="L6104">
        <f>IF(AND($J6104=0,$K6104=0),0,1)</f>
        <v>0</v>
      </c>
    </row>
    <row r="6105" spans="1:13" x14ac:dyDescent="0.2">
      <c r="A6105" t="s">
        <v>483</v>
      </c>
      <c r="B6105" t="s">
        <v>71</v>
      </c>
      <c r="C6105" t="s">
        <v>72</v>
      </c>
      <c r="D6105">
        <v>4004</v>
      </c>
      <c r="E6105">
        <v>2021</v>
      </c>
      <c r="F6105">
        <v>3</v>
      </c>
      <c r="G6105">
        <v>11779</v>
      </c>
      <c r="H6105" s="1">
        <v>3</v>
      </c>
      <c r="I6105">
        <v>94</v>
      </c>
      <c r="J6105">
        <f>IF($H6105=0,1,IF($I6105&lt;=1,2,0))</f>
        <v>0</v>
      </c>
      <c r="K6105">
        <v>0</v>
      </c>
      <c r="L6105">
        <f>IF(AND($J6105=0,$K6105=0),0,1)</f>
        <v>0</v>
      </c>
    </row>
    <row r="6106" spans="1:13" x14ac:dyDescent="0.2">
      <c r="A6106" t="s">
        <v>483</v>
      </c>
      <c r="B6106" t="s">
        <v>71</v>
      </c>
      <c r="C6106" t="s">
        <v>72</v>
      </c>
      <c r="D6106">
        <v>4004</v>
      </c>
      <c r="E6106">
        <v>2021</v>
      </c>
      <c r="F6106">
        <v>6</v>
      </c>
      <c r="G6106">
        <v>18378</v>
      </c>
      <c r="H6106" s="1">
        <v>3</v>
      </c>
      <c r="I6106">
        <v>68</v>
      </c>
      <c r="J6106">
        <f>IF($H6106=0,1,IF($I6106&lt;=1,2,0))</f>
        <v>0</v>
      </c>
      <c r="K6106">
        <v>0</v>
      </c>
      <c r="L6106">
        <f>IF(AND($J6106=0,$K6106=0),0,1)</f>
        <v>0</v>
      </c>
    </row>
    <row r="6107" spans="1:13" x14ac:dyDescent="0.2">
      <c r="A6107" t="s">
        <v>483</v>
      </c>
      <c r="B6107" t="s">
        <v>71</v>
      </c>
      <c r="C6107" t="s">
        <v>72</v>
      </c>
      <c r="D6107">
        <v>4004</v>
      </c>
      <c r="E6107">
        <v>2021</v>
      </c>
      <c r="F6107" t="s">
        <v>945</v>
      </c>
      <c r="G6107">
        <v>16128</v>
      </c>
      <c r="H6107" s="1">
        <v>3</v>
      </c>
      <c r="I6107">
        <v>12</v>
      </c>
      <c r="J6107">
        <f>IF($H6107=0,1,IF($I6107&lt;=1,2,0))</f>
        <v>0</v>
      </c>
      <c r="K6107">
        <v>0</v>
      </c>
      <c r="L6107">
        <f>IF(AND($J6107=0,$K6107=0),0,1)</f>
        <v>0</v>
      </c>
      <c r="M6107" t="s">
        <v>85</v>
      </c>
    </row>
    <row r="6108" spans="1:13" x14ac:dyDescent="0.2">
      <c r="A6108" t="s">
        <v>483</v>
      </c>
      <c r="B6108" t="s">
        <v>71</v>
      </c>
      <c r="C6108" t="s">
        <v>72</v>
      </c>
      <c r="D6108">
        <v>4100</v>
      </c>
      <c r="E6108">
        <v>2021</v>
      </c>
      <c r="F6108">
        <v>2</v>
      </c>
      <c r="G6108">
        <v>11832</v>
      </c>
      <c r="H6108" s="1">
        <v>1.5</v>
      </c>
      <c r="I6108">
        <v>13</v>
      </c>
      <c r="J6108">
        <f>IF($H6108=0,1,IF($I6108&lt;=1,2,0))</f>
        <v>0</v>
      </c>
      <c r="K6108">
        <v>0</v>
      </c>
      <c r="L6108">
        <f>IF(AND($J6108=0,$K6108=0),0,1)</f>
        <v>0</v>
      </c>
    </row>
    <row r="6109" spans="1:13" x14ac:dyDescent="0.2">
      <c r="A6109" t="s">
        <v>483</v>
      </c>
      <c r="B6109" t="s">
        <v>71</v>
      </c>
      <c r="C6109" t="s">
        <v>72</v>
      </c>
      <c r="D6109">
        <v>4100</v>
      </c>
      <c r="E6109">
        <v>2021</v>
      </c>
      <c r="F6109">
        <v>1</v>
      </c>
      <c r="G6109">
        <v>11829</v>
      </c>
      <c r="H6109" s="1">
        <v>1.5</v>
      </c>
      <c r="I6109">
        <v>11</v>
      </c>
      <c r="J6109">
        <f>IF($H6109=0,1,IF($I6109&lt;=1,2,0))</f>
        <v>0</v>
      </c>
      <c r="K6109">
        <v>0</v>
      </c>
      <c r="L6109">
        <f>IF(AND($J6109=0,$K6109=0),0,1)</f>
        <v>0</v>
      </c>
    </row>
    <row r="6110" spans="1:13" x14ac:dyDescent="0.2">
      <c r="A6110" t="s">
        <v>483</v>
      </c>
      <c r="B6110" t="s">
        <v>71</v>
      </c>
      <c r="C6110" t="s">
        <v>72</v>
      </c>
      <c r="D6110">
        <v>4100</v>
      </c>
      <c r="E6110">
        <v>2021</v>
      </c>
      <c r="F6110">
        <v>3</v>
      </c>
      <c r="G6110">
        <v>20218</v>
      </c>
      <c r="H6110" s="1">
        <v>1.5</v>
      </c>
      <c r="I6110">
        <v>9</v>
      </c>
      <c r="J6110">
        <f>IF($H6110=0,1,IF($I6110&lt;=1,2,0))</f>
        <v>0</v>
      </c>
      <c r="K6110">
        <v>0</v>
      </c>
      <c r="L6110">
        <f>IF(AND($J6110=0,$K6110=0),0,1)</f>
        <v>0</v>
      </c>
    </row>
    <row r="6111" spans="1:13" x14ac:dyDescent="0.2">
      <c r="A6111" t="s">
        <v>483</v>
      </c>
      <c r="B6111" t="s">
        <v>71</v>
      </c>
      <c r="C6111" t="s">
        <v>72</v>
      </c>
      <c r="D6111">
        <v>4102</v>
      </c>
      <c r="E6111">
        <v>2021</v>
      </c>
      <c r="F6111">
        <v>1</v>
      </c>
      <c r="G6111">
        <v>11803</v>
      </c>
      <c r="H6111" s="1">
        <v>3</v>
      </c>
      <c r="I6111">
        <v>38</v>
      </c>
      <c r="J6111">
        <f>IF($H6111=0,1,IF($I6111&lt;=1,2,0))</f>
        <v>0</v>
      </c>
      <c r="K6111">
        <v>0</v>
      </c>
      <c r="L6111">
        <f>IF(AND($J6111=0,$K6111=0),0,1)</f>
        <v>0</v>
      </c>
      <c r="M6111" t="s">
        <v>1640</v>
      </c>
    </row>
    <row r="6112" spans="1:13" x14ac:dyDescent="0.2">
      <c r="A6112" t="s">
        <v>483</v>
      </c>
      <c r="B6112" t="s">
        <v>71</v>
      </c>
      <c r="C6112" t="s">
        <v>72</v>
      </c>
      <c r="D6112">
        <v>4106</v>
      </c>
      <c r="E6112">
        <v>2021</v>
      </c>
      <c r="F6112">
        <v>1</v>
      </c>
      <c r="G6112">
        <v>11804</v>
      </c>
      <c r="H6112" s="1">
        <v>3</v>
      </c>
      <c r="I6112">
        <v>115</v>
      </c>
      <c r="J6112">
        <f>IF($H6112=0,1,IF($I6112&lt;=1,2,0))</f>
        <v>0</v>
      </c>
      <c r="K6112">
        <v>0</v>
      </c>
      <c r="L6112">
        <f>IF(AND($J6112=0,$K6112=0),0,1)</f>
        <v>0</v>
      </c>
    </row>
    <row r="6113" spans="1:13" x14ac:dyDescent="0.2">
      <c r="A6113" t="s">
        <v>483</v>
      </c>
      <c r="B6113" t="s">
        <v>71</v>
      </c>
      <c r="C6113" t="s">
        <v>72</v>
      </c>
      <c r="D6113">
        <v>4106</v>
      </c>
      <c r="E6113">
        <v>2021</v>
      </c>
      <c r="F6113">
        <v>2</v>
      </c>
      <c r="G6113">
        <v>18832</v>
      </c>
      <c r="H6113" s="1">
        <v>3</v>
      </c>
      <c r="I6113">
        <v>103</v>
      </c>
      <c r="J6113">
        <f>IF($H6113=0,1,IF($I6113&lt;=1,2,0))</f>
        <v>0</v>
      </c>
      <c r="K6113">
        <v>0</v>
      </c>
      <c r="L6113">
        <f>IF(AND($J6113=0,$K6113=0),0,1)</f>
        <v>0</v>
      </c>
    </row>
    <row r="6114" spans="1:13" x14ac:dyDescent="0.2">
      <c r="A6114" t="s">
        <v>483</v>
      </c>
      <c r="B6114" t="s">
        <v>71</v>
      </c>
      <c r="C6114" t="s">
        <v>72</v>
      </c>
      <c r="D6114">
        <v>4106</v>
      </c>
      <c r="E6114">
        <v>2021</v>
      </c>
      <c r="F6114" t="s">
        <v>250</v>
      </c>
      <c r="G6114">
        <v>20371</v>
      </c>
      <c r="H6114" s="1">
        <v>3</v>
      </c>
      <c r="I6114">
        <v>11</v>
      </c>
      <c r="J6114">
        <f>IF($H6114=0,1,IF($I6114&lt;=1,2,0))</f>
        <v>0</v>
      </c>
      <c r="K6114">
        <v>0</v>
      </c>
      <c r="L6114">
        <f>IF(AND($J6114=0,$K6114=0),0,1)</f>
        <v>0</v>
      </c>
      <c r="M6114" t="s">
        <v>85</v>
      </c>
    </row>
    <row r="6115" spans="1:13" x14ac:dyDescent="0.2">
      <c r="A6115" t="s">
        <v>483</v>
      </c>
      <c r="B6115" t="s">
        <v>71</v>
      </c>
      <c r="C6115" t="s">
        <v>72</v>
      </c>
      <c r="D6115">
        <v>4150</v>
      </c>
      <c r="E6115">
        <v>2021</v>
      </c>
      <c r="F6115">
        <v>1</v>
      </c>
      <c r="G6115">
        <v>11917</v>
      </c>
      <c r="H6115" s="1">
        <v>3</v>
      </c>
      <c r="I6115">
        <v>90</v>
      </c>
      <c r="J6115">
        <f>IF($H6115=0,1,IF($I6115&lt;=1,2,0))</f>
        <v>0</v>
      </c>
      <c r="K6115">
        <v>0</v>
      </c>
      <c r="L6115">
        <f>IF(AND($J6115=0,$K6115=0),0,1)</f>
        <v>0</v>
      </c>
    </row>
    <row r="6116" spans="1:13" x14ac:dyDescent="0.2">
      <c r="A6116" t="s">
        <v>483</v>
      </c>
      <c r="B6116" t="s">
        <v>71</v>
      </c>
      <c r="C6116" t="s">
        <v>72</v>
      </c>
      <c r="D6116">
        <v>4150</v>
      </c>
      <c r="E6116">
        <v>2021</v>
      </c>
      <c r="F6116">
        <v>2</v>
      </c>
      <c r="G6116">
        <v>18867</v>
      </c>
      <c r="H6116" s="1">
        <v>3</v>
      </c>
      <c r="I6116">
        <v>69</v>
      </c>
      <c r="J6116">
        <f>IF($H6116=0,1,IF($I6116&lt;=1,2,0))</f>
        <v>0</v>
      </c>
      <c r="K6116">
        <v>0</v>
      </c>
      <c r="L6116">
        <f>IF(AND($J6116=0,$K6116=0),0,1)</f>
        <v>0</v>
      </c>
    </row>
    <row r="6117" spans="1:13" x14ac:dyDescent="0.2">
      <c r="A6117" t="s">
        <v>483</v>
      </c>
      <c r="B6117" t="s">
        <v>71</v>
      </c>
      <c r="C6117" t="s">
        <v>72</v>
      </c>
      <c r="D6117">
        <v>4150</v>
      </c>
      <c r="E6117">
        <v>2021</v>
      </c>
      <c r="F6117" t="s">
        <v>87</v>
      </c>
      <c r="G6117">
        <v>16132</v>
      </c>
      <c r="H6117" s="1">
        <v>3</v>
      </c>
      <c r="I6117">
        <v>20</v>
      </c>
      <c r="J6117">
        <f>IF($H6117=0,1,IF($I6117&lt;=1,2,0))</f>
        <v>0</v>
      </c>
      <c r="K6117">
        <v>0</v>
      </c>
      <c r="L6117">
        <f>IF(AND($J6117=0,$K6117=0),0,1)</f>
        <v>0</v>
      </c>
      <c r="M6117" t="s">
        <v>85</v>
      </c>
    </row>
    <row r="6118" spans="1:13" x14ac:dyDescent="0.2">
      <c r="A6118" t="s">
        <v>483</v>
      </c>
      <c r="B6118" t="s">
        <v>71</v>
      </c>
      <c r="C6118" t="s">
        <v>72</v>
      </c>
      <c r="D6118">
        <v>4207</v>
      </c>
      <c r="E6118">
        <v>2021</v>
      </c>
      <c r="F6118">
        <v>1</v>
      </c>
      <c r="G6118">
        <v>11766</v>
      </c>
      <c r="H6118" s="1">
        <v>3</v>
      </c>
      <c r="I6118">
        <v>34</v>
      </c>
      <c r="J6118">
        <f>IF($H6118=0,1,IF($I6118&lt;=1,2,0))</f>
        <v>0</v>
      </c>
      <c r="K6118">
        <v>0</v>
      </c>
      <c r="L6118">
        <f>IF(AND($J6118=0,$K6118=0),0,1)</f>
        <v>0</v>
      </c>
      <c r="M6118" t="s">
        <v>1641</v>
      </c>
    </row>
    <row r="6119" spans="1:13" x14ac:dyDescent="0.2">
      <c r="A6119" t="s">
        <v>483</v>
      </c>
      <c r="B6119" t="s">
        <v>71</v>
      </c>
      <c r="C6119" t="s">
        <v>72</v>
      </c>
      <c r="D6119">
        <v>4212</v>
      </c>
      <c r="E6119">
        <v>2021</v>
      </c>
      <c r="F6119">
        <v>1</v>
      </c>
      <c r="G6119">
        <v>11806</v>
      </c>
      <c r="H6119" s="1">
        <v>3</v>
      </c>
      <c r="I6119">
        <v>47</v>
      </c>
      <c r="J6119">
        <f>IF($H6119=0,1,IF($I6119&lt;=1,2,0))</f>
        <v>0</v>
      </c>
      <c r="K6119">
        <v>0</v>
      </c>
      <c r="L6119">
        <f>IF(AND($J6119=0,$K6119=0),0,1)</f>
        <v>0</v>
      </c>
    </row>
    <row r="6120" spans="1:13" x14ac:dyDescent="0.2">
      <c r="A6120" t="s">
        <v>483</v>
      </c>
      <c r="B6120" t="s">
        <v>71</v>
      </c>
      <c r="C6120" t="s">
        <v>72</v>
      </c>
      <c r="D6120">
        <v>4307</v>
      </c>
      <c r="E6120">
        <v>2021</v>
      </c>
      <c r="F6120">
        <v>1</v>
      </c>
      <c r="G6120">
        <v>11831</v>
      </c>
      <c r="H6120" s="1">
        <v>3</v>
      </c>
      <c r="I6120">
        <v>58</v>
      </c>
      <c r="J6120">
        <f>IF($H6120=0,1,IF($I6120&lt;=1,2,0))</f>
        <v>0</v>
      </c>
      <c r="K6120">
        <v>0</v>
      </c>
      <c r="L6120">
        <f>IF(AND($J6120=0,$K6120=0),0,1)</f>
        <v>0</v>
      </c>
    </row>
    <row r="6121" spans="1:13" x14ac:dyDescent="0.2">
      <c r="A6121" t="s">
        <v>483</v>
      </c>
      <c r="B6121" t="s">
        <v>71</v>
      </c>
      <c r="C6121" t="s">
        <v>72</v>
      </c>
      <c r="D6121">
        <v>4402</v>
      </c>
      <c r="E6121">
        <v>2021</v>
      </c>
      <c r="F6121">
        <v>1</v>
      </c>
      <c r="G6121">
        <v>18413</v>
      </c>
      <c r="H6121" s="1">
        <v>3</v>
      </c>
      <c r="I6121">
        <v>90</v>
      </c>
      <c r="J6121">
        <f>IF($H6121=0,1,IF($I6121&lt;=1,2,0))</f>
        <v>0</v>
      </c>
      <c r="K6121">
        <v>0</v>
      </c>
      <c r="L6121">
        <f>IF(AND($J6121=0,$K6121=0),0,1)</f>
        <v>0</v>
      </c>
    </row>
    <row r="6122" spans="1:13" x14ac:dyDescent="0.2">
      <c r="A6122" t="s">
        <v>483</v>
      </c>
      <c r="B6122" t="s">
        <v>71</v>
      </c>
      <c r="C6122" t="s">
        <v>72</v>
      </c>
      <c r="D6122">
        <v>4403</v>
      </c>
      <c r="E6122">
        <v>2021</v>
      </c>
      <c r="F6122">
        <v>1</v>
      </c>
      <c r="G6122">
        <v>18209</v>
      </c>
      <c r="H6122" s="1">
        <v>3</v>
      </c>
      <c r="I6122">
        <v>44</v>
      </c>
      <c r="J6122">
        <f>IF($H6122=0,1,IF($I6122&lt;=1,2,0))</f>
        <v>0</v>
      </c>
      <c r="K6122">
        <v>0</v>
      </c>
      <c r="L6122">
        <f>IF(AND($J6122=0,$K6122=0),0,1)</f>
        <v>0</v>
      </c>
    </row>
    <row r="6123" spans="1:13" x14ac:dyDescent="0.2">
      <c r="A6123" t="s">
        <v>483</v>
      </c>
      <c r="B6123" t="s">
        <v>71</v>
      </c>
      <c r="C6123" t="s">
        <v>72</v>
      </c>
      <c r="D6123">
        <v>4404</v>
      </c>
      <c r="E6123">
        <v>2021</v>
      </c>
      <c r="F6123">
        <v>1</v>
      </c>
      <c r="G6123">
        <v>11836</v>
      </c>
      <c r="H6123" s="1">
        <v>3</v>
      </c>
      <c r="I6123">
        <v>129</v>
      </c>
      <c r="J6123">
        <f>IF($H6123=0,1,IF($I6123&lt;=1,2,0))</f>
        <v>0</v>
      </c>
      <c r="K6123">
        <v>0</v>
      </c>
      <c r="L6123">
        <f>IF(AND($J6123=0,$K6123=0),0,1)</f>
        <v>0</v>
      </c>
    </row>
    <row r="6124" spans="1:13" x14ac:dyDescent="0.2">
      <c r="A6124" t="s">
        <v>483</v>
      </c>
      <c r="B6124" t="s">
        <v>71</v>
      </c>
      <c r="C6124" t="s">
        <v>72</v>
      </c>
      <c r="D6124">
        <v>4404</v>
      </c>
      <c r="E6124">
        <v>2021</v>
      </c>
      <c r="F6124" t="s">
        <v>84</v>
      </c>
      <c r="G6124">
        <v>20463</v>
      </c>
      <c r="H6124" s="1">
        <v>3</v>
      </c>
      <c r="I6124">
        <v>2</v>
      </c>
      <c r="J6124">
        <f>IF($H6124=0,1,IF($I6124&lt;=1,2,0))</f>
        <v>0</v>
      </c>
      <c r="K6124">
        <v>0</v>
      </c>
      <c r="L6124">
        <f>IF(AND($J6124=0,$K6124=0),0,1)</f>
        <v>0</v>
      </c>
      <c r="M6124" t="s">
        <v>85</v>
      </c>
    </row>
    <row r="6125" spans="1:13" x14ac:dyDescent="0.2">
      <c r="A6125" t="s">
        <v>483</v>
      </c>
      <c r="B6125" t="s">
        <v>71</v>
      </c>
      <c r="C6125" t="s">
        <v>72</v>
      </c>
      <c r="D6125">
        <v>4407</v>
      </c>
      <c r="E6125">
        <v>2021</v>
      </c>
      <c r="F6125">
        <v>1</v>
      </c>
      <c r="G6125">
        <v>11837</v>
      </c>
      <c r="H6125" s="1">
        <v>3</v>
      </c>
      <c r="I6125">
        <v>79</v>
      </c>
      <c r="J6125">
        <f>IF($H6125=0,1,IF($I6125&lt;=1,2,0))</f>
        <v>0</v>
      </c>
      <c r="K6125">
        <v>0</v>
      </c>
      <c r="L6125">
        <f>IF(AND($J6125=0,$K6125=0),0,1)</f>
        <v>0</v>
      </c>
    </row>
    <row r="6126" spans="1:13" x14ac:dyDescent="0.2">
      <c r="A6126" t="s">
        <v>483</v>
      </c>
      <c r="B6126" t="s">
        <v>71</v>
      </c>
      <c r="C6126" t="s">
        <v>72</v>
      </c>
      <c r="D6126">
        <v>4407</v>
      </c>
      <c r="E6126">
        <v>2021</v>
      </c>
      <c r="F6126" t="s">
        <v>84</v>
      </c>
      <c r="G6126">
        <v>16133</v>
      </c>
      <c r="H6126" s="1">
        <v>3</v>
      </c>
      <c r="I6126">
        <v>3</v>
      </c>
      <c r="J6126">
        <f>IF($H6126=0,1,IF($I6126&lt;=1,2,0))</f>
        <v>0</v>
      </c>
      <c r="K6126">
        <v>0</v>
      </c>
      <c r="L6126">
        <f>IF(AND($J6126=0,$K6126=0),0,1)</f>
        <v>0</v>
      </c>
      <c r="M6126" t="s">
        <v>85</v>
      </c>
    </row>
    <row r="6127" spans="1:13" x14ac:dyDescent="0.2">
      <c r="A6127" t="s">
        <v>483</v>
      </c>
      <c r="B6127" t="s">
        <v>71</v>
      </c>
      <c r="C6127" t="s">
        <v>72</v>
      </c>
      <c r="D6127">
        <v>4500</v>
      </c>
      <c r="E6127">
        <v>2021</v>
      </c>
      <c r="F6127">
        <v>1</v>
      </c>
      <c r="G6127">
        <v>11834</v>
      </c>
      <c r="H6127" s="1">
        <v>3</v>
      </c>
      <c r="I6127">
        <v>123</v>
      </c>
      <c r="J6127">
        <f>IF($H6127=0,1,IF($I6127&lt;=1,2,0))</f>
        <v>0</v>
      </c>
      <c r="K6127">
        <v>0</v>
      </c>
      <c r="L6127">
        <f>IF(AND($J6127=0,$K6127=0),0,1)</f>
        <v>0</v>
      </c>
    </row>
    <row r="6128" spans="1:13" x14ac:dyDescent="0.2">
      <c r="A6128" t="s">
        <v>483</v>
      </c>
      <c r="B6128" t="s">
        <v>71</v>
      </c>
      <c r="C6128" t="s">
        <v>72</v>
      </c>
      <c r="D6128">
        <v>4501</v>
      </c>
      <c r="E6128">
        <v>2021</v>
      </c>
      <c r="F6128">
        <v>2</v>
      </c>
      <c r="G6128">
        <v>18238</v>
      </c>
      <c r="H6128" s="1">
        <v>3</v>
      </c>
      <c r="I6128">
        <v>141</v>
      </c>
      <c r="J6128">
        <f>IF($H6128=0,1,IF($I6128&lt;=1,2,0))</f>
        <v>0</v>
      </c>
      <c r="K6128">
        <v>0</v>
      </c>
      <c r="L6128">
        <f>IF(AND($J6128=0,$K6128=0),0,1)</f>
        <v>0</v>
      </c>
    </row>
    <row r="6129" spans="1:13" x14ac:dyDescent="0.2">
      <c r="A6129" t="s">
        <v>483</v>
      </c>
      <c r="B6129" t="s">
        <v>71</v>
      </c>
      <c r="C6129" t="s">
        <v>72</v>
      </c>
      <c r="D6129">
        <v>4501</v>
      </c>
      <c r="E6129">
        <v>2021</v>
      </c>
      <c r="F6129">
        <v>1</v>
      </c>
      <c r="G6129">
        <v>18237</v>
      </c>
      <c r="H6129" s="1">
        <v>3</v>
      </c>
      <c r="I6129">
        <v>108</v>
      </c>
      <c r="J6129">
        <f>IF($H6129=0,1,IF($I6129&lt;=1,2,0))</f>
        <v>0</v>
      </c>
      <c r="K6129">
        <v>0</v>
      </c>
      <c r="L6129">
        <f>IF(AND($J6129=0,$K6129=0),0,1)</f>
        <v>0</v>
      </c>
    </row>
    <row r="6130" spans="1:13" x14ac:dyDescent="0.2">
      <c r="A6130" t="s">
        <v>483</v>
      </c>
      <c r="B6130" t="s">
        <v>71</v>
      </c>
      <c r="C6130" t="s">
        <v>72</v>
      </c>
      <c r="D6130">
        <v>4506</v>
      </c>
      <c r="E6130">
        <v>2021</v>
      </c>
      <c r="F6130">
        <v>1</v>
      </c>
      <c r="G6130">
        <v>11839</v>
      </c>
      <c r="H6130" s="1">
        <v>3</v>
      </c>
      <c r="I6130">
        <v>65</v>
      </c>
      <c r="J6130">
        <f>IF($H6130=0,1,IF($I6130&lt;=1,2,0))</f>
        <v>0</v>
      </c>
      <c r="K6130">
        <v>0</v>
      </c>
      <c r="L6130">
        <f>IF(AND($J6130=0,$K6130=0),0,1)</f>
        <v>0</v>
      </c>
    </row>
    <row r="6131" spans="1:13" x14ac:dyDescent="0.2">
      <c r="A6131" t="s">
        <v>483</v>
      </c>
      <c r="B6131" t="s">
        <v>71</v>
      </c>
      <c r="C6131" t="s">
        <v>72</v>
      </c>
      <c r="D6131">
        <v>4511</v>
      </c>
      <c r="E6131">
        <v>2021</v>
      </c>
      <c r="F6131">
        <v>1</v>
      </c>
      <c r="G6131">
        <v>12065</v>
      </c>
      <c r="H6131" s="1">
        <v>3</v>
      </c>
      <c r="I6131">
        <v>62</v>
      </c>
      <c r="J6131">
        <f>IF($H6131=0,1,IF($I6131&lt;=1,2,0))</f>
        <v>0</v>
      </c>
      <c r="K6131">
        <v>0</v>
      </c>
      <c r="L6131">
        <f>IF(AND($J6131=0,$K6131=0),0,1)</f>
        <v>0</v>
      </c>
      <c r="M6131" t="s">
        <v>1642</v>
      </c>
    </row>
    <row r="6132" spans="1:13" x14ac:dyDescent="0.2">
      <c r="A6132" t="s">
        <v>483</v>
      </c>
      <c r="B6132" t="s">
        <v>71</v>
      </c>
      <c r="C6132" t="s">
        <v>72</v>
      </c>
      <c r="D6132">
        <v>4521</v>
      </c>
      <c r="E6132">
        <v>2021</v>
      </c>
      <c r="F6132">
        <v>1</v>
      </c>
      <c r="G6132">
        <v>13704</v>
      </c>
      <c r="H6132" s="1">
        <v>3</v>
      </c>
      <c r="I6132">
        <v>35</v>
      </c>
      <c r="J6132">
        <f>IF($H6132=0,1,IF($I6132&lt;=1,2,0))</f>
        <v>0</v>
      </c>
      <c r="K6132">
        <v>0</v>
      </c>
      <c r="L6132">
        <f>IF(AND($J6132=0,$K6132=0),0,1)</f>
        <v>0</v>
      </c>
    </row>
    <row r="6133" spans="1:13" x14ac:dyDescent="0.2">
      <c r="A6133" t="s">
        <v>483</v>
      </c>
      <c r="B6133" t="s">
        <v>71</v>
      </c>
      <c r="C6133" t="s">
        <v>72</v>
      </c>
      <c r="D6133">
        <v>4525</v>
      </c>
      <c r="E6133">
        <v>2021</v>
      </c>
      <c r="F6133">
        <v>1</v>
      </c>
      <c r="G6133">
        <v>11846</v>
      </c>
      <c r="H6133" s="1">
        <v>3</v>
      </c>
      <c r="I6133">
        <v>96</v>
      </c>
      <c r="J6133">
        <f>IF($H6133=0,1,IF($I6133&lt;=1,2,0))</f>
        <v>0</v>
      </c>
      <c r="K6133">
        <v>0</v>
      </c>
      <c r="L6133">
        <f>IF(AND($J6133=0,$K6133=0),0,1)</f>
        <v>0</v>
      </c>
    </row>
    <row r="6134" spans="1:13" x14ac:dyDescent="0.2">
      <c r="A6134" t="s">
        <v>483</v>
      </c>
      <c r="B6134" t="s">
        <v>71</v>
      </c>
      <c r="C6134" t="s">
        <v>72</v>
      </c>
      <c r="D6134">
        <v>4540</v>
      </c>
      <c r="E6134">
        <v>2021</v>
      </c>
      <c r="F6134">
        <v>1</v>
      </c>
      <c r="G6134">
        <v>11849</v>
      </c>
      <c r="H6134" s="1">
        <v>3</v>
      </c>
      <c r="I6134">
        <v>36</v>
      </c>
      <c r="J6134">
        <f>IF($H6134=0,1,IF($I6134&lt;=1,2,0))</f>
        <v>0</v>
      </c>
      <c r="K6134">
        <v>0</v>
      </c>
      <c r="L6134">
        <f>IF(AND($J6134=0,$K6134=0),0,1)</f>
        <v>0</v>
      </c>
    </row>
    <row r="6135" spans="1:13" x14ac:dyDescent="0.2">
      <c r="A6135" t="s">
        <v>483</v>
      </c>
      <c r="B6135" t="s">
        <v>71</v>
      </c>
      <c r="C6135" t="s">
        <v>72</v>
      </c>
      <c r="D6135">
        <v>4540</v>
      </c>
      <c r="E6135">
        <v>2021</v>
      </c>
      <c r="F6135" t="s">
        <v>84</v>
      </c>
      <c r="G6135">
        <v>16138</v>
      </c>
      <c r="H6135" s="1">
        <v>3</v>
      </c>
      <c r="I6135">
        <v>5</v>
      </c>
      <c r="J6135">
        <f>IF($H6135=0,1,IF($I6135&lt;=1,2,0))</f>
        <v>0</v>
      </c>
      <c r="K6135">
        <v>0</v>
      </c>
      <c r="L6135">
        <f>IF(AND($J6135=0,$K6135=0),0,1)</f>
        <v>0</v>
      </c>
      <c r="M6135" t="s">
        <v>85</v>
      </c>
    </row>
    <row r="6136" spans="1:13" x14ac:dyDescent="0.2">
      <c r="A6136" t="s">
        <v>483</v>
      </c>
      <c r="B6136" t="s">
        <v>71</v>
      </c>
      <c r="C6136" t="s">
        <v>72</v>
      </c>
      <c r="D6136">
        <v>4570</v>
      </c>
      <c r="E6136">
        <v>2021</v>
      </c>
      <c r="F6136">
        <v>1</v>
      </c>
      <c r="G6136">
        <v>12159</v>
      </c>
      <c r="H6136" s="1">
        <v>1.5</v>
      </c>
      <c r="I6136">
        <v>28</v>
      </c>
      <c r="J6136">
        <f>IF($H6136=0,1,IF($I6136&lt;=1,2,0))</f>
        <v>0</v>
      </c>
      <c r="K6136">
        <v>0</v>
      </c>
      <c r="L6136">
        <f>IF(AND($J6136=0,$K6136=0),0,1)</f>
        <v>0</v>
      </c>
      <c r="M6136" t="s">
        <v>2070</v>
      </c>
    </row>
    <row r="6137" spans="1:13" x14ac:dyDescent="0.2">
      <c r="A6137" t="s">
        <v>483</v>
      </c>
      <c r="B6137" t="s">
        <v>71</v>
      </c>
      <c r="C6137" t="s">
        <v>72</v>
      </c>
      <c r="D6137">
        <v>4571</v>
      </c>
      <c r="E6137">
        <v>2021</v>
      </c>
      <c r="F6137">
        <v>1</v>
      </c>
      <c r="G6137">
        <v>15377</v>
      </c>
      <c r="H6137" s="1">
        <v>3</v>
      </c>
      <c r="I6137">
        <v>36</v>
      </c>
      <c r="J6137">
        <f>IF($H6137=0,1,IF($I6137&lt;=1,2,0))</f>
        <v>0</v>
      </c>
      <c r="K6137">
        <v>0</v>
      </c>
      <c r="L6137">
        <f>IF(AND($J6137=0,$K6137=0),0,1)</f>
        <v>0</v>
      </c>
      <c r="M6137" t="s">
        <v>1643</v>
      </c>
    </row>
    <row r="6138" spans="1:13" x14ac:dyDescent="0.2">
      <c r="A6138" t="s">
        <v>483</v>
      </c>
      <c r="B6138" t="s">
        <v>71</v>
      </c>
      <c r="C6138" t="s">
        <v>72</v>
      </c>
      <c r="D6138">
        <v>4572</v>
      </c>
      <c r="E6138">
        <v>2021</v>
      </c>
      <c r="F6138">
        <v>1</v>
      </c>
      <c r="G6138">
        <v>15070</v>
      </c>
      <c r="H6138" s="1">
        <v>1.5</v>
      </c>
      <c r="I6138">
        <v>50</v>
      </c>
      <c r="J6138">
        <f>IF($H6138=0,1,IF($I6138&lt;=1,2,0))</f>
        <v>0</v>
      </c>
      <c r="K6138">
        <v>0</v>
      </c>
      <c r="L6138">
        <f>IF(AND($J6138=0,$K6138=0),0,1)</f>
        <v>0</v>
      </c>
      <c r="M6138" t="s">
        <v>1644</v>
      </c>
    </row>
    <row r="6139" spans="1:13" x14ac:dyDescent="0.2">
      <c r="A6139" t="s">
        <v>483</v>
      </c>
      <c r="B6139" t="s">
        <v>71</v>
      </c>
      <c r="C6139" t="s">
        <v>72</v>
      </c>
      <c r="D6139">
        <v>4575</v>
      </c>
      <c r="E6139">
        <v>2021</v>
      </c>
      <c r="F6139">
        <v>1</v>
      </c>
      <c r="G6139">
        <v>15146</v>
      </c>
      <c r="H6139" s="1">
        <v>3</v>
      </c>
      <c r="I6139">
        <v>27</v>
      </c>
      <c r="J6139">
        <f>IF($H6139=0,1,IF($I6139&lt;=1,2,0))</f>
        <v>0</v>
      </c>
      <c r="K6139">
        <v>0</v>
      </c>
      <c r="L6139">
        <f>IF(AND($J6139=0,$K6139=0),0,1)</f>
        <v>0</v>
      </c>
    </row>
    <row r="6140" spans="1:13" x14ac:dyDescent="0.2">
      <c r="A6140" t="s">
        <v>483</v>
      </c>
      <c r="B6140" t="s">
        <v>71</v>
      </c>
      <c r="C6140" t="s">
        <v>72</v>
      </c>
      <c r="D6140">
        <v>4578</v>
      </c>
      <c r="E6140">
        <v>2021</v>
      </c>
      <c r="F6140">
        <v>1</v>
      </c>
      <c r="G6140">
        <v>18218</v>
      </c>
      <c r="H6140" s="1">
        <v>3</v>
      </c>
      <c r="I6140">
        <v>43</v>
      </c>
      <c r="J6140">
        <f>IF($H6140=0,1,IF($I6140&lt;=1,2,0))</f>
        <v>0</v>
      </c>
      <c r="K6140">
        <v>0</v>
      </c>
      <c r="L6140">
        <f>IF(AND($J6140=0,$K6140=0),0,1)</f>
        <v>0</v>
      </c>
    </row>
    <row r="6141" spans="1:13" x14ac:dyDescent="0.2">
      <c r="A6141" t="s">
        <v>483</v>
      </c>
      <c r="B6141" t="s">
        <v>71</v>
      </c>
      <c r="C6141" t="s">
        <v>72</v>
      </c>
      <c r="D6141">
        <v>4602</v>
      </c>
      <c r="E6141">
        <v>2021</v>
      </c>
      <c r="F6141">
        <v>1</v>
      </c>
      <c r="G6141">
        <v>11853</v>
      </c>
      <c r="H6141" s="1">
        <v>3</v>
      </c>
      <c r="I6141">
        <v>28</v>
      </c>
      <c r="J6141">
        <f>IF($H6141=0,1,IF($I6141&lt;=1,2,0))</f>
        <v>0</v>
      </c>
      <c r="K6141">
        <v>0</v>
      </c>
      <c r="L6141">
        <f>IF(AND($J6141=0,$K6141=0),0,1)</f>
        <v>0</v>
      </c>
    </row>
    <row r="6142" spans="1:13" x14ac:dyDescent="0.2">
      <c r="A6142" t="s">
        <v>483</v>
      </c>
      <c r="B6142" t="s">
        <v>71</v>
      </c>
      <c r="C6142" t="s">
        <v>72</v>
      </c>
      <c r="D6142">
        <v>4620</v>
      </c>
      <c r="E6142">
        <v>2021</v>
      </c>
      <c r="F6142">
        <v>1</v>
      </c>
      <c r="G6142">
        <v>11855</v>
      </c>
      <c r="H6142" s="1">
        <v>3</v>
      </c>
      <c r="I6142">
        <v>74</v>
      </c>
      <c r="J6142">
        <f>IF($H6142=0,1,IF($I6142&lt;=1,2,0))</f>
        <v>0</v>
      </c>
      <c r="K6142">
        <v>0</v>
      </c>
      <c r="L6142">
        <f>IF(AND($J6142=0,$K6142=0),0,1)</f>
        <v>0</v>
      </c>
    </row>
    <row r="6143" spans="1:13" x14ac:dyDescent="0.2">
      <c r="A6143" t="s">
        <v>483</v>
      </c>
      <c r="B6143" t="s">
        <v>71</v>
      </c>
      <c r="C6143" t="s">
        <v>72</v>
      </c>
      <c r="D6143">
        <v>4650</v>
      </c>
      <c r="E6143">
        <v>2021</v>
      </c>
      <c r="F6143">
        <v>1</v>
      </c>
      <c r="G6143">
        <v>11859</v>
      </c>
      <c r="H6143" s="1">
        <v>3</v>
      </c>
      <c r="I6143">
        <v>89</v>
      </c>
      <c r="J6143">
        <f>IF($H6143=0,1,IF($I6143&lt;=1,2,0))</f>
        <v>0</v>
      </c>
      <c r="K6143">
        <v>0</v>
      </c>
      <c r="L6143">
        <f>IF(AND($J6143=0,$K6143=0),0,1)</f>
        <v>0</v>
      </c>
    </row>
    <row r="6144" spans="1:13" x14ac:dyDescent="0.2">
      <c r="A6144" t="s">
        <v>483</v>
      </c>
      <c r="B6144" t="s">
        <v>71</v>
      </c>
      <c r="C6144" t="s">
        <v>72</v>
      </c>
      <c r="D6144">
        <v>4700</v>
      </c>
      <c r="E6144">
        <v>2021</v>
      </c>
      <c r="F6144">
        <v>1</v>
      </c>
      <c r="G6144">
        <v>11835</v>
      </c>
      <c r="H6144" s="1">
        <v>3</v>
      </c>
      <c r="I6144">
        <v>111</v>
      </c>
      <c r="J6144">
        <f>IF($H6144=0,1,IF($I6144&lt;=1,2,0))</f>
        <v>0</v>
      </c>
      <c r="K6144">
        <v>0</v>
      </c>
      <c r="L6144">
        <f>IF(AND($J6144=0,$K6144=0),0,1)</f>
        <v>0</v>
      </c>
    </row>
    <row r="6145" spans="1:13" x14ac:dyDescent="0.2">
      <c r="A6145" t="s">
        <v>483</v>
      </c>
      <c r="B6145" t="s">
        <v>71</v>
      </c>
      <c r="C6145" t="s">
        <v>72</v>
      </c>
      <c r="D6145">
        <v>4706</v>
      </c>
      <c r="E6145">
        <v>2021</v>
      </c>
      <c r="F6145">
        <v>1</v>
      </c>
      <c r="G6145">
        <v>11862</v>
      </c>
      <c r="H6145" s="1">
        <v>3</v>
      </c>
      <c r="I6145">
        <v>73</v>
      </c>
      <c r="J6145">
        <f>IF($H6145=0,1,IF($I6145&lt;=1,2,0))</f>
        <v>0</v>
      </c>
      <c r="K6145">
        <v>0</v>
      </c>
      <c r="L6145">
        <f>IF(AND($J6145=0,$K6145=0),0,1)</f>
        <v>0</v>
      </c>
    </row>
    <row r="6146" spans="1:13" x14ac:dyDescent="0.2">
      <c r="A6146" t="s">
        <v>483</v>
      </c>
      <c r="B6146" t="s">
        <v>71</v>
      </c>
      <c r="C6146" t="s">
        <v>72</v>
      </c>
      <c r="D6146">
        <v>4706</v>
      </c>
      <c r="E6146">
        <v>2021</v>
      </c>
      <c r="F6146">
        <v>2</v>
      </c>
      <c r="G6146">
        <v>18414</v>
      </c>
      <c r="H6146" s="1">
        <v>3</v>
      </c>
      <c r="I6146">
        <v>56</v>
      </c>
      <c r="J6146">
        <f>IF($H6146=0,1,IF($I6146&lt;=1,2,0))</f>
        <v>0</v>
      </c>
      <c r="K6146">
        <v>0</v>
      </c>
      <c r="L6146">
        <f>IF(AND($J6146=0,$K6146=0),0,1)</f>
        <v>0</v>
      </c>
    </row>
    <row r="6147" spans="1:13" x14ac:dyDescent="0.2">
      <c r="A6147" t="s">
        <v>483</v>
      </c>
      <c r="B6147" t="s">
        <v>71</v>
      </c>
      <c r="C6147" t="s">
        <v>72</v>
      </c>
      <c r="D6147">
        <v>4711</v>
      </c>
      <c r="E6147">
        <v>2021</v>
      </c>
      <c r="F6147">
        <v>1</v>
      </c>
      <c r="G6147">
        <v>11868</v>
      </c>
      <c r="H6147" s="1">
        <v>3</v>
      </c>
      <c r="I6147">
        <v>59</v>
      </c>
      <c r="J6147">
        <f>IF($H6147=0,1,IF($I6147&lt;=1,2,0))</f>
        <v>0</v>
      </c>
      <c r="K6147">
        <v>0</v>
      </c>
      <c r="L6147">
        <f>IF(AND($J6147=0,$K6147=0),0,1)</f>
        <v>0</v>
      </c>
    </row>
    <row r="6148" spans="1:13" x14ac:dyDescent="0.2">
      <c r="A6148" t="s">
        <v>483</v>
      </c>
      <c r="B6148" t="s">
        <v>71</v>
      </c>
      <c r="C6148" t="s">
        <v>72</v>
      </c>
      <c r="D6148">
        <v>4723</v>
      </c>
      <c r="E6148">
        <v>2021</v>
      </c>
      <c r="F6148">
        <v>1</v>
      </c>
      <c r="G6148">
        <v>17946</v>
      </c>
      <c r="H6148" s="1">
        <v>1.5</v>
      </c>
      <c r="I6148">
        <v>12</v>
      </c>
      <c r="J6148">
        <f>IF($H6148=0,1,IF($I6148&lt;=1,2,0))</f>
        <v>0</v>
      </c>
      <c r="K6148">
        <v>0</v>
      </c>
      <c r="L6148">
        <f>IF(AND($J6148=0,$K6148=0),0,1)</f>
        <v>0</v>
      </c>
    </row>
    <row r="6149" spans="1:13" x14ac:dyDescent="0.2">
      <c r="A6149" t="s">
        <v>483</v>
      </c>
      <c r="B6149" t="s">
        <v>71</v>
      </c>
      <c r="C6149" t="s">
        <v>72</v>
      </c>
      <c r="D6149">
        <v>4724</v>
      </c>
      <c r="E6149">
        <v>2021</v>
      </c>
      <c r="F6149">
        <v>1</v>
      </c>
      <c r="G6149">
        <v>17980</v>
      </c>
      <c r="H6149" s="1">
        <v>3</v>
      </c>
      <c r="I6149">
        <v>8</v>
      </c>
      <c r="J6149">
        <f>IF($H6149=0,1,IF($I6149&lt;=1,2,0))</f>
        <v>0</v>
      </c>
      <c r="K6149">
        <v>0</v>
      </c>
      <c r="L6149">
        <f>IF(AND($J6149=0,$K6149=0),0,1)</f>
        <v>0</v>
      </c>
    </row>
    <row r="6150" spans="1:13" x14ac:dyDescent="0.2">
      <c r="A6150" t="s">
        <v>483</v>
      </c>
      <c r="B6150" t="s">
        <v>71</v>
      </c>
      <c r="C6150" t="s">
        <v>72</v>
      </c>
      <c r="D6150">
        <v>4724</v>
      </c>
      <c r="E6150">
        <v>2021</v>
      </c>
      <c r="F6150" t="s">
        <v>84</v>
      </c>
      <c r="G6150">
        <v>20233</v>
      </c>
      <c r="H6150" s="1">
        <v>3</v>
      </c>
      <c r="I6150">
        <v>3</v>
      </c>
      <c r="J6150">
        <f>IF($H6150=0,1,IF($I6150&lt;=1,2,0))</f>
        <v>0</v>
      </c>
      <c r="K6150">
        <v>0</v>
      </c>
      <c r="L6150">
        <f>IF(AND($J6150=0,$K6150=0),0,1)</f>
        <v>0</v>
      </c>
      <c r="M6150" t="s">
        <v>85</v>
      </c>
    </row>
    <row r="6151" spans="1:13" x14ac:dyDescent="0.2">
      <c r="A6151" t="s">
        <v>483</v>
      </c>
      <c r="B6151" t="s">
        <v>71</v>
      </c>
      <c r="C6151" t="s">
        <v>72</v>
      </c>
      <c r="D6151">
        <v>4725</v>
      </c>
      <c r="E6151">
        <v>2021</v>
      </c>
      <c r="F6151">
        <v>1</v>
      </c>
      <c r="G6151">
        <v>13718</v>
      </c>
      <c r="H6151" s="1">
        <v>3</v>
      </c>
      <c r="I6151">
        <v>54</v>
      </c>
      <c r="J6151">
        <f>IF($H6151=0,1,IF($I6151&lt;=1,2,0))</f>
        <v>0</v>
      </c>
      <c r="K6151">
        <v>0</v>
      </c>
      <c r="L6151">
        <f>IF(AND($J6151=0,$K6151=0),0,1)</f>
        <v>0</v>
      </c>
    </row>
    <row r="6152" spans="1:13" x14ac:dyDescent="0.2">
      <c r="A6152" t="s">
        <v>483</v>
      </c>
      <c r="B6152" t="s">
        <v>71</v>
      </c>
      <c r="C6152" t="s">
        <v>72</v>
      </c>
      <c r="D6152">
        <v>4728</v>
      </c>
      <c r="E6152">
        <v>2021</v>
      </c>
      <c r="F6152">
        <v>1</v>
      </c>
      <c r="G6152">
        <v>18215</v>
      </c>
      <c r="H6152" s="1">
        <v>1.5</v>
      </c>
      <c r="I6152">
        <v>18</v>
      </c>
      <c r="J6152">
        <f>IF($H6152=0,1,IF($I6152&lt;=1,2,0))</f>
        <v>0</v>
      </c>
      <c r="K6152">
        <v>0</v>
      </c>
      <c r="L6152">
        <f>IF(AND($J6152=0,$K6152=0),0,1)</f>
        <v>0</v>
      </c>
      <c r="M6152" t="s">
        <v>1645</v>
      </c>
    </row>
    <row r="6153" spans="1:13" x14ac:dyDescent="0.2">
      <c r="A6153" t="s">
        <v>483</v>
      </c>
      <c r="B6153" t="s">
        <v>71</v>
      </c>
      <c r="C6153" t="s">
        <v>72</v>
      </c>
      <c r="D6153">
        <v>4729</v>
      </c>
      <c r="E6153">
        <v>2021</v>
      </c>
      <c r="F6153">
        <v>1</v>
      </c>
      <c r="G6153">
        <v>18217</v>
      </c>
      <c r="H6153" s="1">
        <v>1.5</v>
      </c>
      <c r="I6153">
        <v>40</v>
      </c>
      <c r="J6153">
        <f>IF($H6153=0,1,IF($I6153&lt;=1,2,0))</f>
        <v>0</v>
      </c>
      <c r="K6153">
        <v>0</v>
      </c>
      <c r="L6153">
        <f>IF(AND($J6153=0,$K6153=0),0,1)</f>
        <v>0</v>
      </c>
      <c r="M6153" t="s">
        <v>2071</v>
      </c>
    </row>
    <row r="6154" spans="1:13" x14ac:dyDescent="0.2">
      <c r="A6154" t="s">
        <v>483</v>
      </c>
      <c r="B6154" t="s">
        <v>71</v>
      </c>
      <c r="C6154" t="s">
        <v>72</v>
      </c>
      <c r="D6154">
        <v>4735</v>
      </c>
      <c r="E6154">
        <v>2021</v>
      </c>
      <c r="F6154">
        <v>1</v>
      </c>
      <c r="G6154">
        <v>17157</v>
      </c>
      <c r="H6154" s="1">
        <v>3</v>
      </c>
      <c r="I6154">
        <v>55</v>
      </c>
      <c r="J6154">
        <f>IF($H6154=0,1,IF($I6154&lt;=1,2,0))</f>
        <v>0</v>
      </c>
      <c r="K6154">
        <v>0</v>
      </c>
      <c r="L6154">
        <f>IF(AND($J6154=0,$K6154=0),0,1)</f>
        <v>0</v>
      </c>
    </row>
    <row r="6155" spans="1:13" x14ac:dyDescent="0.2">
      <c r="A6155" t="s">
        <v>483</v>
      </c>
      <c r="B6155" t="s">
        <v>71</v>
      </c>
      <c r="C6155" t="s">
        <v>72</v>
      </c>
      <c r="D6155">
        <v>4741</v>
      </c>
      <c r="E6155">
        <v>2021</v>
      </c>
      <c r="F6155">
        <v>1</v>
      </c>
      <c r="G6155">
        <v>11870</v>
      </c>
      <c r="H6155" s="1">
        <v>3</v>
      </c>
      <c r="I6155">
        <v>23</v>
      </c>
      <c r="J6155">
        <f>IF($H6155=0,1,IF($I6155&lt;=1,2,0))</f>
        <v>0</v>
      </c>
      <c r="K6155">
        <v>0</v>
      </c>
      <c r="L6155">
        <f>IF(AND($J6155=0,$K6155=0),0,1)</f>
        <v>0</v>
      </c>
    </row>
    <row r="6156" spans="1:13" x14ac:dyDescent="0.2">
      <c r="A6156" t="s">
        <v>483</v>
      </c>
      <c r="B6156" t="s">
        <v>71</v>
      </c>
      <c r="C6156" t="s">
        <v>72</v>
      </c>
      <c r="D6156">
        <v>4742</v>
      </c>
      <c r="E6156">
        <v>2021</v>
      </c>
      <c r="F6156">
        <v>1</v>
      </c>
      <c r="G6156">
        <v>11872</v>
      </c>
      <c r="H6156" s="1">
        <v>3</v>
      </c>
      <c r="I6156">
        <v>77</v>
      </c>
      <c r="J6156">
        <f>IF($H6156=0,1,IF($I6156&lt;=1,2,0))</f>
        <v>0</v>
      </c>
      <c r="K6156">
        <v>0</v>
      </c>
      <c r="L6156">
        <f>IF(AND($J6156=0,$K6156=0),0,1)</f>
        <v>0</v>
      </c>
    </row>
    <row r="6157" spans="1:13" x14ac:dyDescent="0.2">
      <c r="A6157" t="s">
        <v>483</v>
      </c>
      <c r="B6157" t="s">
        <v>71</v>
      </c>
      <c r="C6157" t="s">
        <v>72</v>
      </c>
      <c r="D6157">
        <v>4742</v>
      </c>
      <c r="E6157">
        <v>2021</v>
      </c>
      <c r="F6157" t="s">
        <v>84</v>
      </c>
      <c r="G6157">
        <v>20234</v>
      </c>
      <c r="H6157" s="1">
        <v>3</v>
      </c>
      <c r="I6157">
        <v>2</v>
      </c>
      <c r="J6157">
        <f>IF($H6157=0,1,IF($I6157&lt;=1,2,0))</f>
        <v>0</v>
      </c>
      <c r="K6157">
        <v>0</v>
      </c>
      <c r="L6157">
        <f>IF(AND($J6157=0,$K6157=0),0,1)</f>
        <v>0</v>
      </c>
      <c r="M6157" t="s">
        <v>85</v>
      </c>
    </row>
    <row r="6158" spans="1:13" x14ac:dyDescent="0.2">
      <c r="A6158" t="s">
        <v>483</v>
      </c>
      <c r="B6158" t="s">
        <v>71</v>
      </c>
      <c r="C6158" t="s">
        <v>72</v>
      </c>
      <c r="D6158">
        <v>4745</v>
      </c>
      <c r="E6158">
        <v>2021</v>
      </c>
      <c r="F6158">
        <v>1</v>
      </c>
      <c r="G6158">
        <v>11874</v>
      </c>
      <c r="H6158" s="1">
        <v>3</v>
      </c>
      <c r="I6158">
        <v>70</v>
      </c>
      <c r="J6158">
        <f>IF($H6158=0,1,IF($I6158&lt;=1,2,0))</f>
        <v>0</v>
      </c>
      <c r="K6158">
        <v>0</v>
      </c>
      <c r="L6158">
        <f>IF(AND($J6158=0,$K6158=0),0,1)</f>
        <v>0</v>
      </c>
    </row>
    <row r="6159" spans="1:13" x14ac:dyDescent="0.2">
      <c r="A6159" t="s">
        <v>483</v>
      </c>
      <c r="B6159" t="s">
        <v>71</v>
      </c>
      <c r="C6159" t="s">
        <v>72</v>
      </c>
      <c r="D6159">
        <v>6613</v>
      </c>
      <c r="E6159">
        <v>2021</v>
      </c>
      <c r="F6159">
        <v>1</v>
      </c>
      <c r="G6159">
        <v>11875</v>
      </c>
      <c r="H6159" s="1">
        <v>4.5</v>
      </c>
      <c r="I6159">
        <v>34</v>
      </c>
      <c r="J6159">
        <f>IF($H6159=0,1,IF($I6159&lt;=1,2,0))</f>
        <v>0</v>
      </c>
      <c r="K6159">
        <v>0</v>
      </c>
      <c r="L6159">
        <f>IF(AND($J6159=0,$K6159=0),0,1)</f>
        <v>0</v>
      </c>
    </row>
    <row r="6160" spans="1:13" x14ac:dyDescent="0.2">
      <c r="A6160" t="s">
        <v>483</v>
      </c>
      <c r="B6160" t="s">
        <v>71</v>
      </c>
      <c r="C6160" t="s">
        <v>72</v>
      </c>
      <c r="D6160">
        <v>6617</v>
      </c>
      <c r="E6160">
        <v>2021</v>
      </c>
      <c r="F6160">
        <v>1</v>
      </c>
      <c r="G6160">
        <v>11880</v>
      </c>
      <c r="H6160" s="1">
        <v>3</v>
      </c>
      <c r="I6160">
        <v>32</v>
      </c>
      <c r="J6160">
        <f>IF($H6160=0,1,IF($I6160&lt;=1,2,0))</f>
        <v>0</v>
      </c>
      <c r="K6160">
        <v>0</v>
      </c>
      <c r="L6160">
        <f>IF(AND($J6160=0,$K6160=0),0,1)</f>
        <v>0</v>
      </c>
    </row>
    <row r="6161" spans="1:13" x14ac:dyDescent="0.2">
      <c r="A6161" t="s">
        <v>483</v>
      </c>
      <c r="B6161" t="s">
        <v>71</v>
      </c>
      <c r="C6161" t="s">
        <v>72</v>
      </c>
      <c r="D6161">
        <v>6711</v>
      </c>
      <c r="E6161">
        <v>2021</v>
      </c>
      <c r="F6161">
        <v>1</v>
      </c>
      <c r="G6161">
        <v>11883</v>
      </c>
      <c r="H6161" s="1">
        <v>4.5</v>
      </c>
      <c r="I6161">
        <v>32</v>
      </c>
      <c r="J6161">
        <f>IF($H6161=0,1,IF($I6161&lt;=1,2,0))</f>
        <v>0</v>
      </c>
      <c r="K6161">
        <v>0</v>
      </c>
      <c r="L6161">
        <f>IF(AND($J6161=0,$K6161=0),0,1)</f>
        <v>0</v>
      </c>
    </row>
    <row r="6162" spans="1:13" x14ac:dyDescent="0.2">
      <c r="A6162" t="s">
        <v>483</v>
      </c>
      <c r="B6162" t="s">
        <v>71</v>
      </c>
      <c r="C6162" t="s">
        <v>72</v>
      </c>
      <c r="D6162">
        <v>8100</v>
      </c>
      <c r="E6162">
        <v>2021</v>
      </c>
      <c r="F6162">
        <v>1</v>
      </c>
      <c r="G6162">
        <v>13717</v>
      </c>
      <c r="H6162" s="1">
        <v>3</v>
      </c>
      <c r="I6162">
        <v>18</v>
      </c>
      <c r="J6162">
        <f>IF($H6162=0,1,IF($I6162&lt;=1,2,0))</f>
        <v>0</v>
      </c>
      <c r="K6162">
        <v>0</v>
      </c>
      <c r="L6162">
        <f>IF(AND($J6162=0,$K6162=0),0,1)</f>
        <v>0</v>
      </c>
    </row>
    <row r="6163" spans="1:13" x14ac:dyDescent="0.2">
      <c r="A6163" t="s">
        <v>498</v>
      </c>
      <c r="B6163" t="s">
        <v>6</v>
      </c>
      <c r="C6163" t="s">
        <v>382</v>
      </c>
      <c r="D6163">
        <v>4409</v>
      </c>
      <c r="E6163">
        <v>2021</v>
      </c>
      <c r="F6163">
        <v>1</v>
      </c>
      <c r="G6163">
        <v>16228</v>
      </c>
      <c r="H6163" s="1">
        <v>1.5</v>
      </c>
      <c r="I6163">
        <v>17</v>
      </c>
      <c r="J6163">
        <f>IF($H6163=0,1,IF($I6163&lt;=1,2,0))</f>
        <v>0</v>
      </c>
      <c r="K6163">
        <v>0</v>
      </c>
      <c r="L6163">
        <f>IF(AND($J6163=0,$K6163=0),0,1)</f>
        <v>0</v>
      </c>
      <c r="M6163" t="s">
        <v>499</v>
      </c>
    </row>
    <row r="6164" spans="1:13" x14ac:dyDescent="0.2">
      <c r="A6164" t="s">
        <v>522</v>
      </c>
      <c r="B6164" t="s">
        <v>17</v>
      </c>
      <c r="C6164" t="s">
        <v>9</v>
      </c>
      <c r="D6164">
        <v>1101</v>
      </c>
      <c r="E6164">
        <v>2021</v>
      </c>
      <c r="F6164">
        <v>1</v>
      </c>
      <c r="G6164">
        <v>12079</v>
      </c>
      <c r="H6164" s="1">
        <v>4</v>
      </c>
      <c r="I6164">
        <v>5</v>
      </c>
      <c r="J6164">
        <f>IF($H6164=0,1,IF($I6164&lt;=1,2,0))</f>
        <v>0</v>
      </c>
      <c r="K6164">
        <v>0</v>
      </c>
      <c r="L6164">
        <f>IF(AND($J6164=0,$K6164=0),0,1)</f>
        <v>0</v>
      </c>
    </row>
    <row r="6165" spans="1:13" x14ac:dyDescent="0.2">
      <c r="A6165" t="s">
        <v>522</v>
      </c>
      <c r="B6165" t="s">
        <v>17</v>
      </c>
      <c r="C6165" t="s">
        <v>9</v>
      </c>
      <c r="D6165">
        <v>2101</v>
      </c>
      <c r="E6165">
        <v>2021</v>
      </c>
      <c r="F6165">
        <v>1</v>
      </c>
      <c r="G6165">
        <v>12081</v>
      </c>
      <c r="H6165" s="1">
        <v>4</v>
      </c>
      <c r="I6165">
        <v>3</v>
      </c>
      <c r="J6165">
        <f>IF($H6165=0,1,IF($I6165&lt;=1,2,0))</f>
        <v>0</v>
      </c>
      <c r="K6165">
        <v>0</v>
      </c>
      <c r="L6165">
        <f>IF(AND($J6165=0,$K6165=0),0,1)</f>
        <v>0</v>
      </c>
    </row>
    <row r="6166" spans="1:13" x14ac:dyDescent="0.2">
      <c r="A6166" t="s">
        <v>524</v>
      </c>
      <c r="B6166" t="s">
        <v>6</v>
      </c>
      <c r="C6166" t="s">
        <v>11</v>
      </c>
      <c r="D6166">
        <v>5000</v>
      </c>
      <c r="E6166">
        <v>2021</v>
      </c>
      <c r="F6166">
        <v>1</v>
      </c>
      <c r="G6166">
        <v>14985</v>
      </c>
      <c r="H6166" s="1">
        <v>4</v>
      </c>
      <c r="I6166">
        <v>16</v>
      </c>
      <c r="J6166">
        <f>IF($H6166=0,1,IF($I6166&lt;=1,2,0))</f>
        <v>0</v>
      </c>
      <c r="K6166">
        <v>0</v>
      </c>
      <c r="L6166">
        <f>IF(AND($J6166=0,$K6166=0),0,1)</f>
        <v>0</v>
      </c>
    </row>
    <row r="6167" spans="1:13" x14ac:dyDescent="0.2">
      <c r="A6167" t="s">
        <v>525</v>
      </c>
      <c r="B6167" t="s">
        <v>17</v>
      </c>
      <c r="C6167" t="s">
        <v>9</v>
      </c>
      <c r="D6167">
        <v>1101</v>
      </c>
      <c r="E6167">
        <v>2021</v>
      </c>
      <c r="F6167">
        <v>6</v>
      </c>
      <c r="G6167">
        <v>11851</v>
      </c>
      <c r="H6167" s="1">
        <v>4</v>
      </c>
      <c r="I6167">
        <v>15</v>
      </c>
      <c r="J6167">
        <f>IF($H6167=0,1,IF($I6167&lt;=1,2,0))</f>
        <v>0</v>
      </c>
      <c r="K6167">
        <v>0</v>
      </c>
      <c r="L6167">
        <f>IF(AND($J6167=0,$K6167=0),0,1)</f>
        <v>0</v>
      </c>
    </row>
    <row r="6168" spans="1:13" x14ac:dyDescent="0.2">
      <c r="A6168" t="s">
        <v>525</v>
      </c>
      <c r="B6168" t="s">
        <v>17</v>
      </c>
      <c r="C6168" t="s">
        <v>9</v>
      </c>
      <c r="D6168">
        <v>1101</v>
      </c>
      <c r="E6168">
        <v>2021</v>
      </c>
      <c r="F6168">
        <v>1</v>
      </c>
      <c r="G6168">
        <v>11568</v>
      </c>
      <c r="H6168" s="1">
        <v>4</v>
      </c>
      <c r="I6168">
        <v>14</v>
      </c>
      <c r="J6168">
        <f>IF($H6168=0,1,IF($I6168&lt;=1,2,0))</f>
        <v>0</v>
      </c>
      <c r="K6168">
        <v>0</v>
      </c>
      <c r="L6168">
        <f>IF(AND($J6168=0,$K6168=0),0,1)</f>
        <v>0</v>
      </c>
    </row>
    <row r="6169" spans="1:13" x14ac:dyDescent="0.2">
      <c r="A6169" t="s">
        <v>525</v>
      </c>
      <c r="B6169" t="s">
        <v>17</v>
      </c>
      <c r="C6169" t="s">
        <v>9</v>
      </c>
      <c r="D6169">
        <v>1101</v>
      </c>
      <c r="E6169">
        <v>2021</v>
      </c>
      <c r="F6169">
        <v>2</v>
      </c>
      <c r="G6169">
        <v>11569</v>
      </c>
      <c r="H6169" s="1">
        <v>4</v>
      </c>
      <c r="I6169">
        <v>14</v>
      </c>
      <c r="J6169">
        <f>IF($H6169=0,1,IF($I6169&lt;=1,2,0))</f>
        <v>0</v>
      </c>
      <c r="K6169">
        <v>0</v>
      </c>
      <c r="L6169">
        <f>IF(AND($J6169=0,$K6169=0),0,1)</f>
        <v>0</v>
      </c>
    </row>
    <row r="6170" spans="1:13" x14ac:dyDescent="0.2">
      <c r="A6170" t="s">
        <v>525</v>
      </c>
      <c r="B6170" t="s">
        <v>17</v>
      </c>
      <c r="C6170" t="s">
        <v>9</v>
      </c>
      <c r="D6170">
        <v>1101</v>
      </c>
      <c r="E6170">
        <v>2021</v>
      </c>
      <c r="F6170">
        <v>5</v>
      </c>
      <c r="G6170">
        <v>11848</v>
      </c>
      <c r="H6170" s="1">
        <v>4</v>
      </c>
      <c r="I6170">
        <v>13</v>
      </c>
      <c r="J6170">
        <f>IF($H6170=0,1,IF($I6170&lt;=1,2,0))</f>
        <v>0</v>
      </c>
      <c r="K6170">
        <v>0</v>
      </c>
      <c r="L6170">
        <f>IF(AND($J6170=0,$K6170=0),0,1)</f>
        <v>0</v>
      </c>
    </row>
    <row r="6171" spans="1:13" x14ac:dyDescent="0.2">
      <c r="A6171" t="s">
        <v>525</v>
      </c>
      <c r="B6171" t="s">
        <v>17</v>
      </c>
      <c r="C6171" t="s">
        <v>9</v>
      </c>
      <c r="D6171">
        <v>1101</v>
      </c>
      <c r="E6171">
        <v>2021</v>
      </c>
      <c r="F6171">
        <v>7</v>
      </c>
      <c r="G6171">
        <v>20393</v>
      </c>
      <c r="H6171" s="1">
        <v>4</v>
      </c>
      <c r="I6171">
        <v>13</v>
      </c>
      <c r="J6171">
        <f>IF($H6171=0,1,IF($I6171&lt;=1,2,0))</f>
        <v>0</v>
      </c>
      <c r="K6171">
        <v>0</v>
      </c>
      <c r="L6171">
        <f>IF(AND($J6171=0,$K6171=0),0,1)</f>
        <v>0</v>
      </c>
    </row>
    <row r="6172" spans="1:13" x14ac:dyDescent="0.2">
      <c r="A6172" t="s">
        <v>525</v>
      </c>
      <c r="B6172" t="s">
        <v>17</v>
      </c>
      <c r="C6172" t="s">
        <v>9</v>
      </c>
      <c r="D6172">
        <v>1101</v>
      </c>
      <c r="E6172">
        <v>2021</v>
      </c>
      <c r="F6172">
        <v>4</v>
      </c>
      <c r="G6172">
        <v>11571</v>
      </c>
      <c r="H6172" s="1">
        <v>4</v>
      </c>
      <c r="I6172">
        <v>9</v>
      </c>
      <c r="J6172">
        <f>IF($H6172=0,1,IF($I6172&lt;=1,2,0))</f>
        <v>0</v>
      </c>
      <c r="K6172">
        <v>0</v>
      </c>
      <c r="L6172">
        <f>IF(AND($J6172=0,$K6172=0),0,1)</f>
        <v>0</v>
      </c>
    </row>
    <row r="6173" spans="1:13" x14ac:dyDescent="0.2">
      <c r="A6173" t="s">
        <v>525</v>
      </c>
      <c r="B6173" t="s">
        <v>17</v>
      </c>
      <c r="C6173" t="s">
        <v>9</v>
      </c>
      <c r="D6173">
        <v>1101</v>
      </c>
      <c r="E6173">
        <v>2021</v>
      </c>
      <c r="F6173">
        <v>8</v>
      </c>
      <c r="G6173">
        <v>20394</v>
      </c>
      <c r="H6173" s="1">
        <v>4</v>
      </c>
      <c r="I6173">
        <v>8</v>
      </c>
      <c r="J6173">
        <f>IF($H6173=0,1,IF($I6173&lt;=1,2,0))</f>
        <v>0</v>
      </c>
      <c r="K6173">
        <v>0</v>
      </c>
      <c r="L6173">
        <f>IF(AND($J6173=0,$K6173=0),0,1)</f>
        <v>0</v>
      </c>
    </row>
    <row r="6174" spans="1:13" x14ac:dyDescent="0.2">
      <c r="A6174" t="s">
        <v>525</v>
      </c>
      <c r="B6174" t="s">
        <v>17</v>
      </c>
      <c r="C6174" t="s">
        <v>9</v>
      </c>
      <c r="D6174">
        <v>1102</v>
      </c>
      <c r="E6174">
        <v>2021</v>
      </c>
      <c r="F6174">
        <v>2</v>
      </c>
      <c r="G6174">
        <v>11573</v>
      </c>
      <c r="H6174" s="1">
        <v>4</v>
      </c>
      <c r="I6174">
        <v>14</v>
      </c>
      <c r="J6174">
        <f>IF($H6174=0,1,IF($I6174&lt;=1,2,0))</f>
        <v>0</v>
      </c>
      <c r="K6174">
        <v>0</v>
      </c>
      <c r="L6174">
        <f>IF(AND($J6174=0,$K6174=0),0,1)</f>
        <v>0</v>
      </c>
      <c r="M6174" t="s">
        <v>526</v>
      </c>
    </row>
    <row r="6175" spans="1:13" x14ac:dyDescent="0.2">
      <c r="A6175" t="s">
        <v>525</v>
      </c>
      <c r="B6175" t="s">
        <v>17</v>
      </c>
      <c r="C6175" t="s">
        <v>9</v>
      </c>
      <c r="D6175">
        <v>1102</v>
      </c>
      <c r="E6175">
        <v>2021</v>
      </c>
      <c r="F6175">
        <v>1</v>
      </c>
      <c r="G6175">
        <v>11572</v>
      </c>
      <c r="H6175" s="1">
        <v>4</v>
      </c>
      <c r="I6175">
        <v>2</v>
      </c>
      <c r="J6175">
        <f>IF($H6175=0,1,IF($I6175&lt;=1,2,0))</f>
        <v>0</v>
      </c>
      <c r="K6175">
        <v>0</v>
      </c>
      <c r="L6175">
        <f>IF(AND($J6175=0,$K6175=0),0,1)</f>
        <v>0</v>
      </c>
      <c r="M6175" t="s">
        <v>526</v>
      </c>
    </row>
    <row r="6176" spans="1:13" x14ac:dyDescent="0.2">
      <c r="A6176" t="s">
        <v>525</v>
      </c>
      <c r="B6176" t="s">
        <v>17</v>
      </c>
      <c r="C6176" t="s">
        <v>21</v>
      </c>
      <c r="D6176">
        <v>1121</v>
      </c>
      <c r="E6176">
        <v>2021</v>
      </c>
      <c r="F6176">
        <v>1</v>
      </c>
      <c r="G6176">
        <v>11575</v>
      </c>
      <c r="H6176" s="1">
        <v>6</v>
      </c>
      <c r="I6176">
        <v>11</v>
      </c>
      <c r="J6176">
        <f>IF($H6176=0,1,IF($I6176&lt;=1,2,0))</f>
        <v>0</v>
      </c>
      <c r="K6176">
        <v>0</v>
      </c>
      <c r="L6176">
        <f>IF(AND($J6176=0,$K6176=0),0,1)</f>
        <v>0</v>
      </c>
    </row>
    <row r="6177" spans="1:13" x14ac:dyDescent="0.2">
      <c r="A6177" t="s">
        <v>525</v>
      </c>
      <c r="B6177" t="s">
        <v>17</v>
      </c>
      <c r="C6177" t="s">
        <v>9</v>
      </c>
      <c r="D6177">
        <v>1221</v>
      </c>
      <c r="E6177">
        <v>2021</v>
      </c>
      <c r="F6177">
        <v>1</v>
      </c>
      <c r="G6177">
        <v>11583</v>
      </c>
      <c r="H6177" s="1">
        <v>2</v>
      </c>
      <c r="I6177">
        <v>8</v>
      </c>
      <c r="J6177">
        <f>IF($H6177=0,1,IF($I6177&lt;=1,2,0))</f>
        <v>0</v>
      </c>
      <c r="K6177">
        <v>0</v>
      </c>
      <c r="L6177">
        <f>IF(AND($J6177=0,$K6177=0),0,1)</f>
        <v>0</v>
      </c>
    </row>
    <row r="6178" spans="1:13" x14ac:dyDescent="0.2">
      <c r="A6178" t="s">
        <v>525</v>
      </c>
      <c r="B6178" t="s">
        <v>17</v>
      </c>
      <c r="C6178" t="s">
        <v>9</v>
      </c>
      <c r="D6178">
        <v>1311</v>
      </c>
      <c r="E6178">
        <v>2021</v>
      </c>
      <c r="F6178">
        <v>1</v>
      </c>
      <c r="G6178">
        <v>11857</v>
      </c>
      <c r="H6178" s="1">
        <v>2</v>
      </c>
      <c r="I6178">
        <v>7</v>
      </c>
      <c r="J6178">
        <f>IF($H6178=0,1,IF($I6178&lt;=1,2,0))</f>
        <v>0</v>
      </c>
      <c r="K6178">
        <v>0</v>
      </c>
      <c r="L6178">
        <f>IF(AND($J6178=0,$K6178=0),0,1)</f>
        <v>0</v>
      </c>
    </row>
    <row r="6179" spans="1:13" x14ac:dyDescent="0.2">
      <c r="A6179" t="s">
        <v>525</v>
      </c>
      <c r="B6179" t="s">
        <v>17</v>
      </c>
      <c r="C6179" t="s">
        <v>9</v>
      </c>
      <c r="D6179">
        <v>2101</v>
      </c>
      <c r="E6179">
        <v>2021</v>
      </c>
      <c r="F6179">
        <v>4</v>
      </c>
      <c r="G6179">
        <v>12805</v>
      </c>
      <c r="H6179" s="1">
        <v>4</v>
      </c>
      <c r="I6179">
        <v>15</v>
      </c>
      <c r="J6179">
        <f>IF($H6179=0,1,IF($I6179&lt;=1,2,0))</f>
        <v>0</v>
      </c>
      <c r="K6179">
        <v>0</v>
      </c>
      <c r="L6179">
        <f>IF(AND($J6179=0,$K6179=0),0,1)</f>
        <v>0</v>
      </c>
      <c r="M6179" t="s">
        <v>526</v>
      </c>
    </row>
    <row r="6180" spans="1:13" x14ac:dyDescent="0.2">
      <c r="A6180" t="s">
        <v>525</v>
      </c>
      <c r="B6180" t="s">
        <v>17</v>
      </c>
      <c r="C6180" t="s">
        <v>9</v>
      </c>
      <c r="D6180">
        <v>2101</v>
      </c>
      <c r="E6180">
        <v>2021</v>
      </c>
      <c r="F6180">
        <v>1</v>
      </c>
      <c r="G6180">
        <v>14000</v>
      </c>
      <c r="H6180" s="1">
        <v>4</v>
      </c>
      <c r="I6180">
        <v>11</v>
      </c>
      <c r="J6180">
        <f>IF($H6180=0,1,IF($I6180&lt;=1,2,0))</f>
        <v>0</v>
      </c>
      <c r="K6180">
        <v>0</v>
      </c>
      <c r="L6180">
        <f>IF(AND($J6180=0,$K6180=0),0,1)</f>
        <v>0</v>
      </c>
      <c r="M6180" t="s">
        <v>526</v>
      </c>
    </row>
    <row r="6181" spans="1:13" x14ac:dyDescent="0.2">
      <c r="A6181" t="s">
        <v>525</v>
      </c>
      <c r="B6181" t="s">
        <v>17</v>
      </c>
      <c r="C6181" t="s">
        <v>9</v>
      </c>
      <c r="D6181">
        <v>2101</v>
      </c>
      <c r="E6181">
        <v>2021</v>
      </c>
      <c r="F6181">
        <v>2</v>
      </c>
      <c r="G6181">
        <v>14001</v>
      </c>
      <c r="H6181" s="1">
        <v>4</v>
      </c>
      <c r="I6181">
        <v>7</v>
      </c>
      <c r="J6181">
        <f>IF($H6181=0,1,IF($I6181&lt;=1,2,0))</f>
        <v>0</v>
      </c>
      <c r="K6181">
        <v>0</v>
      </c>
      <c r="L6181">
        <f>IF(AND($J6181=0,$K6181=0),0,1)</f>
        <v>0</v>
      </c>
      <c r="M6181" t="s">
        <v>526</v>
      </c>
    </row>
    <row r="6182" spans="1:13" x14ac:dyDescent="0.2">
      <c r="A6182" t="s">
        <v>525</v>
      </c>
      <c r="B6182" t="s">
        <v>17</v>
      </c>
      <c r="C6182" t="s">
        <v>9</v>
      </c>
      <c r="D6182">
        <v>2101</v>
      </c>
      <c r="E6182">
        <v>2021</v>
      </c>
      <c r="F6182">
        <v>5</v>
      </c>
      <c r="G6182">
        <v>12807</v>
      </c>
      <c r="H6182" s="1">
        <v>4</v>
      </c>
      <c r="I6182">
        <v>7</v>
      </c>
      <c r="J6182">
        <f>IF($H6182=0,1,IF($I6182&lt;=1,2,0))</f>
        <v>0</v>
      </c>
      <c r="K6182">
        <v>0</v>
      </c>
      <c r="L6182">
        <f>IF(AND($J6182=0,$K6182=0),0,1)</f>
        <v>0</v>
      </c>
      <c r="M6182" t="s">
        <v>526</v>
      </c>
    </row>
    <row r="6183" spans="1:13" x14ac:dyDescent="0.2">
      <c r="A6183" t="s">
        <v>525</v>
      </c>
      <c r="B6183" t="s">
        <v>17</v>
      </c>
      <c r="C6183" t="s">
        <v>9</v>
      </c>
      <c r="D6183">
        <v>2101</v>
      </c>
      <c r="E6183">
        <v>2021</v>
      </c>
      <c r="F6183">
        <v>3</v>
      </c>
      <c r="G6183">
        <v>14002</v>
      </c>
      <c r="H6183" s="1">
        <v>4</v>
      </c>
      <c r="I6183">
        <v>5</v>
      </c>
      <c r="J6183">
        <f>IF($H6183=0,1,IF($I6183&lt;=1,2,0))</f>
        <v>0</v>
      </c>
      <c r="K6183">
        <v>0</v>
      </c>
      <c r="L6183">
        <f>IF(AND($J6183=0,$K6183=0),0,1)</f>
        <v>0</v>
      </c>
      <c r="M6183" t="s">
        <v>526</v>
      </c>
    </row>
    <row r="6184" spans="1:13" x14ac:dyDescent="0.2">
      <c r="A6184" t="s">
        <v>525</v>
      </c>
      <c r="B6184" t="s">
        <v>17</v>
      </c>
      <c r="C6184" t="s">
        <v>9</v>
      </c>
      <c r="D6184">
        <v>2102</v>
      </c>
      <c r="E6184">
        <v>2021</v>
      </c>
      <c r="F6184">
        <v>1</v>
      </c>
      <c r="G6184">
        <v>11838</v>
      </c>
      <c r="H6184" s="1">
        <v>4</v>
      </c>
      <c r="I6184">
        <v>11</v>
      </c>
      <c r="J6184">
        <f>IF($H6184=0,1,IF($I6184&lt;=1,2,0))</f>
        <v>0</v>
      </c>
      <c r="K6184">
        <v>0</v>
      </c>
      <c r="L6184">
        <f>IF(AND($J6184=0,$K6184=0),0,1)</f>
        <v>0</v>
      </c>
      <c r="M6184" t="s">
        <v>526</v>
      </c>
    </row>
    <row r="6185" spans="1:13" x14ac:dyDescent="0.2">
      <c r="A6185" t="s">
        <v>525</v>
      </c>
      <c r="B6185" t="s">
        <v>17</v>
      </c>
      <c r="C6185" t="s">
        <v>9</v>
      </c>
      <c r="D6185">
        <v>2102</v>
      </c>
      <c r="E6185">
        <v>2021</v>
      </c>
      <c r="F6185">
        <v>2</v>
      </c>
      <c r="G6185">
        <v>11840</v>
      </c>
      <c r="H6185" s="1">
        <v>4</v>
      </c>
      <c r="I6185">
        <v>11</v>
      </c>
      <c r="J6185">
        <f>IF($H6185=0,1,IF($I6185&lt;=1,2,0))</f>
        <v>0</v>
      </c>
      <c r="K6185">
        <v>0</v>
      </c>
      <c r="L6185">
        <f>IF(AND($J6185=0,$K6185=0),0,1)</f>
        <v>0</v>
      </c>
      <c r="M6185" t="s">
        <v>526</v>
      </c>
    </row>
    <row r="6186" spans="1:13" x14ac:dyDescent="0.2">
      <c r="A6186" t="s">
        <v>525</v>
      </c>
      <c r="B6186" t="s">
        <v>17</v>
      </c>
      <c r="C6186" t="s">
        <v>21</v>
      </c>
      <c r="D6186">
        <v>2121</v>
      </c>
      <c r="E6186">
        <v>2021</v>
      </c>
      <c r="F6186">
        <v>1</v>
      </c>
      <c r="G6186">
        <v>11576</v>
      </c>
      <c r="H6186" s="1">
        <v>6</v>
      </c>
      <c r="I6186">
        <v>8</v>
      </c>
      <c r="J6186">
        <f>IF($H6186=0,1,IF($I6186&lt;=1,2,0))</f>
        <v>0</v>
      </c>
      <c r="K6186">
        <v>0</v>
      </c>
      <c r="L6186">
        <f>IF(AND($J6186=0,$K6186=0),0,1)</f>
        <v>0</v>
      </c>
      <c r="M6186" t="s">
        <v>526</v>
      </c>
    </row>
    <row r="6187" spans="1:13" x14ac:dyDescent="0.2">
      <c r="A6187" t="s">
        <v>525</v>
      </c>
      <c r="B6187" t="s">
        <v>17</v>
      </c>
      <c r="C6187" t="s">
        <v>21</v>
      </c>
      <c r="D6187">
        <v>3333</v>
      </c>
      <c r="E6187">
        <v>2021</v>
      </c>
      <c r="F6187">
        <v>1</v>
      </c>
      <c r="G6187">
        <v>11579</v>
      </c>
      <c r="H6187" s="1">
        <v>3</v>
      </c>
      <c r="I6187">
        <v>15</v>
      </c>
      <c r="J6187">
        <f>IF($H6187=0,1,IF($I6187&lt;=1,2,0))</f>
        <v>0</v>
      </c>
      <c r="K6187">
        <v>0</v>
      </c>
      <c r="L6187">
        <f>IF(AND($J6187=0,$K6187=0),0,1)</f>
        <v>0</v>
      </c>
    </row>
    <row r="6188" spans="1:13" x14ac:dyDescent="0.2">
      <c r="A6188" t="s">
        <v>525</v>
      </c>
      <c r="B6188" t="s">
        <v>17</v>
      </c>
      <c r="C6188" t="s">
        <v>21</v>
      </c>
      <c r="D6188">
        <v>3335</v>
      </c>
      <c r="E6188">
        <v>2021</v>
      </c>
      <c r="F6188">
        <v>1</v>
      </c>
      <c r="G6188">
        <v>12808</v>
      </c>
      <c r="H6188" s="1">
        <v>3</v>
      </c>
      <c r="I6188">
        <v>10</v>
      </c>
      <c r="J6188">
        <f>IF($H6188=0,1,IF($I6188&lt;=1,2,0))</f>
        <v>0</v>
      </c>
      <c r="K6188">
        <v>0</v>
      </c>
      <c r="L6188">
        <f>IF(AND($J6188=0,$K6188=0),0,1)</f>
        <v>0</v>
      </c>
      <c r="M6188" t="s">
        <v>526</v>
      </c>
    </row>
    <row r="6189" spans="1:13" x14ac:dyDescent="0.2">
      <c r="A6189" t="s">
        <v>525</v>
      </c>
      <c r="B6189" t="s">
        <v>17</v>
      </c>
      <c r="C6189" t="s">
        <v>21</v>
      </c>
      <c r="D6189">
        <v>3337</v>
      </c>
      <c r="E6189">
        <v>2021</v>
      </c>
      <c r="F6189">
        <v>1</v>
      </c>
      <c r="G6189">
        <v>13801</v>
      </c>
      <c r="H6189" s="1">
        <v>3</v>
      </c>
      <c r="I6189">
        <v>4</v>
      </c>
      <c r="J6189">
        <f>IF($H6189=0,1,IF($I6189&lt;=1,2,0))</f>
        <v>0</v>
      </c>
      <c r="K6189">
        <v>0</v>
      </c>
      <c r="L6189">
        <f>IF(AND($J6189=0,$K6189=0),0,1)</f>
        <v>0</v>
      </c>
    </row>
    <row r="6190" spans="1:13" x14ac:dyDescent="0.2">
      <c r="A6190" t="s">
        <v>525</v>
      </c>
      <c r="B6190" t="s">
        <v>17</v>
      </c>
      <c r="C6190" t="s">
        <v>9</v>
      </c>
      <c r="D6190">
        <v>3341</v>
      </c>
      <c r="E6190">
        <v>2021</v>
      </c>
      <c r="F6190">
        <v>1</v>
      </c>
      <c r="G6190">
        <v>11844</v>
      </c>
      <c r="H6190" s="1">
        <v>3</v>
      </c>
      <c r="I6190">
        <v>4</v>
      </c>
      <c r="J6190">
        <f>IF($H6190=0,1,IF($I6190&lt;=1,2,0))</f>
        <v>0</v>
      </c>
      <c r="K6190">
        <v>0</v>
      </c>
      <c r="L6190">
        <f>IF(AND($J6190=0,$K6190=0),0,1)</f>
        <v>0</v>
      </c>
    </row>
    <row r="6191" spans="1:13" x14ac:dyDescent="0.2">
      <c r="A6191" t="s">
        <v>525</v>
      </c>
      <c r="B6191" t="s">
        <v>17</v>
      </c>
      <c r="C6191" t="s">
        <v>9</v>
      </c>
      <c r="D6191">
        <v>3663</v>
      </c>
      <c r="E6191">
        <v>2021</v>
      </c>
      <c r="F6191">
        <v>1</v>
      </c>
      <c r="G6191">
        <v>18289</v>
      </c>
      <c r="H6191" s="1">
        <v>3</v>
      </c>
      <c r="I6191">
        <v>5</v>
      </c>
      <c r="J6191">
        <f>IF($H6191=0,1,IF($I6191&lt;=1,2,0))</f>
        <v>0</v>
      </c>
      <c r="K6191">
        <v>0</v>
      </c>
      <c r="L6191">
        <f>IF(AND($J6191=0,$K6191=0),0,1)</f>
        <v>0</v>
      </c>
    </row>
    <row r="6192" spans="1:13" x14ac:dyDescent="0.2">
      <c r="A6192" t="s">
        <v>525</v>
      </c>
      <c r="B6192" t="s">
        <v>17</v>
      </c>
      <c r="C6192" t="s">
        <v>9</v>
      </c>
      <c r="D6192">
        <v>4005</v>
      </c>
      <c r="E6192">
        <v>2021</v>
      </c>
      <c r="F6192">
        <v>1</v>
      </c>
      <c r="G6192">
        <v>12803</v>
      </c>
      <c r="H6192" s="1">
        <v>3</v>
      </c>
      <c r="I6192">
        <v>3</v>
      </c>
      <c r="J6192">
        <f>IF($H6192=0,1,IF($I6192&lt;=1,2,0))</f>
        <v>0</v>
      </c>
      <c r="K6192">
        <v>0</v>
      </c>
      <c r="L6192">
        <f>IF(AND($J6192=0,$K6192=0),0,1)</f>
        <v>0</v>
      </c>
      <c r="M6192" t="s">
        <v>529</v>
      </c>
    </row>
    <row r="6193" spans="1:13" x14ac:dyDescent="0.2">
      <c r="A6193" t="s">
        <v>525</v>
      </c>
      <c r="B6193" t="s">
        <v>17</v>
      </c>
      <c r="C6193" t="s">
        <v>9</v>
      </c>
      <c r="D6193">
        <v>4055</v>
      </c>
      <c r="E6193">
        <v>2021</v>
      </c>
      <c r="F6193">
        <v>1</v>
      </c>
      <c r="G6193">
        <v>11580</v>
      </c>
      <c r="H6193" s="1">
        <v>3</v>
      </c>
      <c r="I6193">
        <v>9</v>
      </c>
      <c r="J6193">
        <f>IF($H6193=0,1,IF($I6193&lt;=1,2,0))</f>
        <v>0</v>
      </c>
      <c r="K6193">
        <v>0</v>
      </c>
      <c r="L6193">
        <f>IF(AND($J6193=0,$K6193=0),0,1)</f>
        <v>0</v>
      </c>
    </row>
    <row r="6194" spans="1:13" x14ac:dyDescent="0.2">
      <c r="A6194" t="s">
        <v>525</v>
      </c>
      <c r="B6194" t="s">
        <v>17</v>
      </c>
      <c r="C6194" t="s">
        <v>11</v>
      </c>
      <c r="D6194">
        <v>4420</v>
      </c>
      <c r="E6194">
        <v>2021</v>
      </c>
      <c r="F6194">
        <v>1</v>
      </c>
      <c r="G6194">
        <v>11589</v>
      </c>
      <c r="H6194" s="1">
        <v>3</v>
      </c>
      <c r="I6194">
        <v>5</v>
      </c>
      <c r="J6194">
        <f>IF($H6194=0,1,IF($I6194&lt;=1,2,0))</f>
        <v>0</v>
      </c>
      <c r="K6194">
        <v>0</v>
      </c>
      <c r="L6194">
        <f>IF(AND($J6194=0,$K6194=0),0,1)</f>
        <v>0</v>
      </c>
    </row>
    <row r="6195" spans="1:13" x14ac:dyDescent="0.2">
      <c r="A6195" t="s">
        <v>525</v>
      </c>
      <c r="B6195" t="s">
        <v>17</v>
      </c>
      <c r="C6195" t="s">
        <v>9</v>
      </c>
      <c r="D6195">
        <v>4502</v>
      </c>
      <c r="E6195">
        <v>2021</v>
      </c>
      <c r="F6195">
        <v>1</v>
      </c>
      <c r="G6195">
        <v>97</v>
      </c>
      <c r="H6195" s="1">
        <v>3</v>
      </c>
      <c r="I6195">
        <v>2</v>
      </c>
      <c r="J6195">
        <f>IF($H6195=0,1,IF($I6195&lt;=1,2,0))</f>
        <v>0</v>
      </c>
      <c r="K6195">
        <v>0</v>
      </c>
      <c r="L6195">
        <f>IF(AND($J6195=0,$K6195=0),0,1)</f>
        <v>0</v>
      </c>
      <c r="M6195" t="s">
        <v>2073</v>
      </c>
    </row>
    <row r="6196" spans="1:13" x14ac:dyDescent="0.2">
      <c r="A6196" t="s">
        <v>525</v>
      </c>
      <c r="B6196" t="s">
        <v>17</v>
      </c>
      <c r="C6196" t="s">
        <v>9</v>
      </c>
      <c r="D6196">
        <v>4520</v>
      </c>
      <c r="E6196">
        <v>2021</v>
      </c>
      <c r="F6196">
        <v>1</v>
      </c>
      <c r="G6196">
        <v>98</v>
      </c>
      <c r="H6196" s="1">
        <v>3</v>
      </c>
      <c r="I6196">
        <v>2</v>
      </c>
      <c r="J6196">
        <f>IF($H6196=0,1,IF($I6196&lt;=1,2,0))</f>
        <v>0</v>
      </c>
      <c r="K6196">
        <v>0</v>
      </c>
      <c r="L6196">
        <f>IF(AND($J6196=0,$K6196=0),0,1)</f>
        <v>0</v>
      </c>
    </row>
    <row r="6197" spans="1:13" x14ac:dyDescent="0.2">
      <c r="A6197" t="s">
        <v>531</v>
      </c>
      <c r="B6197" t="s">
        <v>17</v>
      </c>
      <c r="C6197" t="s">
        <v>9</v>
      </c>
      <c r="D6197">
        <v>1002</v>
      </c>
      <c r="E6197">
        <v>2021</v>
      </c>
      <c r="F6197">
        <v>1</v>
      </c>
      <c r="G6197">
        <v>10991</v>
      </c>
      <c r="H6197" s="1">
        <v>2.5</v>
      </c>
      <c r="I6197">
        <v>8</v>
      </c>
      <c r="J6197">
        <f>IF($H6197=0,1,IF($I6197&lt;=1,2,0))</f>
        <v>0</v>
      </c>
      <c r="K6197">
        <v>0</v>
      </c>
      <c r="L6197">
        <f>IF(AND($J6197=0,$K6197=0),0,1)</f>
        <v>0</v>
      </c>
    </row>
    <row r="6198" spans="1:13" x14ac:dyDescent="0.2">
      <c r="A6198" t="s">
        <v>531</v>
      </c>
      <c r="B6198" t="s">
        <v>17</v>
      </c>
      <c r="C6198" t="s">
        <v>9</v>
      </c>
      <c r="D6198">
        <v>1002</v>
      </c>
      <c r="E6198">
        <v>2021</v>
      </c>
      <c r="F6198">
        <v>2</v>
      </c>
      <c r="G6198">
        <v>10992</v>
      </c>
      <c r="H6198" s="1">
        <v>2.5</v>
      </c>
      <c r="I6198">
        <v>8</v>
      </c>
      <c r="J6198">
        <f>IF($H6198=0,1,IF($I6198&lt;=1,2,0))</f>
        <v>0</v>
      </c>
      <c r="K6198">
        <v>0</v>
      </c>
      <c r="L6198">
        <f>IF(AND($J6198=0,$K6198=0),0,1)</f>
        <v>0</v>
      </c>
    </row>
    <row r="6199" spans="1:13" x14ac:dyDescent="0.2">
      <c r="A6199" t="s">
        <v>531</v>
      </c>
      <c r="B6199" t="s">
        <v>17</v>
      </c>
      <c r="C6199" t="s">
        <v>7</v>
      </c>
      <c r="D6199">
        <v>1101</v>
      </c>
      <c r="E6199">
        <v>2021</v>
      </c>
      <c r="F6199">
        <v>7</v>
      </c>
      <c r="G6199">
        <v>10999</v>
      </c>
      <c r="H6199" s="1">
        <v>5</v>
      </c>
      <c r="I6199">
        <v>17</v>
      </c>
      <c r="J6199">
        <f>IF($H6199=0,1,IF($I6199&lt;=1,2,0))</f>
        <v>0</v>
      </c>
      <c r="K6199">
        <v>0</v>
      </c>
      <c r="L6199">
        <f>IF(AND($J6199=0,$K6199=0),0,1)</f>
        <v>0</v>
      </c>
    </row>
    <row r="6200" spans="1:13" x14ac:dyDescent="0.2">
      <c r="A6200" t="s">
        <v>531</v>
      </c>
      <c r="B6200" t="s">
        <v>17</v>
      </c>
      <c r="C6200" t="s">
        <v>7</v>
      </c>
      <c r="D6200">
        <v>1101</v>
      </c>
      <c r="E6200">
        <v>2021</v>
      </c>
      <c r="F6200">
        <v>1</v>
      </c>
      <c r="G6200">
        <v>10993</v>
      </c>
      <c r="H6200" s="1">
        <v>5</v>
      </c>
      <c r="I6200">
        <v>16</v>
      </c>
      <c r="J6200">
        <f>IF($H6200=0,1,IF($I6200&lt;=1,2,0))</f>
        <v>0</v>
      </c>
      <c r="K6200">
        <v>0</v>
      </c>
      <c r="L6200">
        <f>IF(AND($J6200=0,$K6200=0),0,1)</f>
        <v>0</v>
      </c>
    </row>
    <row r="6201" spans="1:13" x14ac:dyDescent="0.2">
      <c r="A6201" t="s">
        <v>531</v>
      </c>
      <c r="B6201" t="s">
        <v>17</v>
      </c>
      <c r="C6201" t="s">
        <v>7</v>
      </c>
      <c r="D6201">
        <v>1101</v>
      </c>
      <c r="E6201">
        <v>2021</v>
      </c>
      <c r="F6201">
        <v>5</v>
      </c>
      <c r="G6201">
        <v>10997</v>
      </c>
      <c r="H6201" s="1">
        <v>5</v>
      </c>
      <c r="I6201">
        <v>16</v>
      </c>
      <c r="J6201">
        <f>IF($H6201=0,1,IF($I6201&lt;=1,2,0))</f>
        <v>0</v>
      </c>
      <c r="K6201">
        <v>0</v>
      </c>
      <c r="L6201">
        <f>IF(AND($J6201=0,$K6201=0),0,1)</f>
        <v>0</v>
      </c>
    </row>
    <row r="6202" spans="1:13" x14ac:dyDescent="0.2">
      <c r="A6202" t="s">
        <v>531</v>
      </c>
      <c r="B6202" t="s">
        <v>17</v>
      </c>
      <c r="C6202" t="s">
        <v>7</v>
      </c>
      <c r="D6202">
        <v>1101</v>
      </c>
      <c r="E6202">
        <v>2021</v>
      </c>
      <c r="F6202">
        <v>2</v>
      </c>
      <c r="G6202">
        <v>10994</v>
      </c>
      <c r="H6202" s="1">
        <v>5</v>
      </c>
      <c r="I6202">
        <v>13</v>
      </c>
      <c r="J6202">
        <f>IF($H6202=0,1,IF($I6202&lt;=1,2,0))</f>
        <v>0</v>
      </c>
      <c r="K6202">
        <v>0</v>
      </c>
      <c r="L6202">
        <f>IF(AND($J6202=0,$K6202=0),0,1)</f>
        <v>0</v>
      </c>
    </row>
    <row r="6203" spans="1:13" x14ac:dyDescent="0.2">
      <c r="A6203" t="s">
        <v>531</v>
      </c>
      <c r="B6203" t="s">
        <v>17</v>
      </c>
      <c r="C6203" t="s">
        <v>7</v>
      </c>
      <c r="D6203">
        <v>1101</v>
      </c>
      <c r="E6203">
        <v>2021</v>
      </c>
      <c r="F6203">
        <v>3</v>
      </c>
      <c r="G6203">
        <v>10995</v>
      </c>
      <c r="H6203" s="1">
        <v>5</v>
      </c>
      <c r="I6203">
        <v>12</v>
      </c>
      <c r="J6203">
        <f>IF($H6203=0,1,IF($I6203&lt;=1,2,0))</f>
        <v>0</v>
      </c>
      <c r="K6203">
        <v>0</v>
      </c>
      <c r="L6203">
        <f>IF(AND($J6203=0,$K6203=0),0,1)</f>
        <v>0</v>
      </c>
    </row>
    <row r="6204" spans="1:13" x14ac:dyDescent="0.2">
      <c r="A6204" t="s">
        <v>531</v>
      </c>
      <c r="B6204" t="s">
        <v>17</v>
      </c>
      <c r="C6204" t="s">
        <v>7</v>
      </c>
      <c r="D6204">
        <v>1101</v>
      </c>
      <c r="E6204">
        <v>2021</v>
      </c>
      <c r="F6204">
        <v>4</v>
      </c>
      <c r="G6204">
        <v>10996</v>
      </c>
      <c r="H6204" s="1">
        <v>5</v>
      </c>
      <c r="I6204">
        <v>12</v>
      </c>
      <c r="J6204">
        <f>IF($H6204=0,1,IF($I6204&lt;=1,2,0))</f>
        <v>0</v>
      </c>
      <c r="K6204">
        <v>0</v>
      </c>
      <c r="L6204">
        <f>IF(AND($J6204=0,$K6204=0),0,1)</f>
        <v>0</v>
      </c>
    </row>
    <row r="6205" spans="1:13" x14ac:dyDescent="0.2">
      <c r="A6205" t="s">
        <v>531</v>
      </c>
      <c r="B6205" t="s">
        <v>17</v>
      </c>
      <c r="C6205" t="s">
        <v>7</v>
      </c>
      <c r="D6205">
        <v>1101</v>
      </c>
      <c r="E6205">
        <v>2021</v>
      </c>
      <c r="F6205">
        <v>6</v>
      </c>
      <c r="G6205">
        <v>10998</v>
      </c>
      <c r="H6205" s="1">
        <v>5</v>
      </c>
      <c r="I6205">
        <v>10</v>
      </c>
      <c r="J6205">
        <f>IF($H6205=0,1,IF($I6205&lt;=1,2,0))</f>
        <v>0</v>
      </c>
      <c r="K6205">
        <v>0</v>
      </c>
      <c r="L6205">
        <f>IF(AND($J6205=0,$K6205=0),0,1)</f>
        <v>0</v>
      </c>
    </row>
    <row r="6206" spans="1:13" x14ac:dyDescent="0.2">
      <c r="A6206" t="s">
        <v>531</v>
      </c>
      <c r="B6206" t="s">
        <v>17</v>
      </c>
      <c r="C6206" t="s">
        <v>7</v>
      </c>
      <c r="D6206">
        <v>2201</v>
      </c>
      <c r="E6206">
        <v>2021</v>
      </c>
      <c r="F6206">
        <v>1</v>
      </c>
      <c r="G6206">
        <v>11000</v>
      </c>
      <c r="H6206" s="1">
        <v>5</v>
      </c>
      <c r="I6206">
        <v>14</v>
      </c>
      <c r="J6206">
        <f>IF($H6206=0,1,IF($I6206&lt;=1,2,0))</f>
        <v>0</v>
      </c>
      <c r="K6206">
        <v>0</v>
      </c>
      <c r="L6206">
        <f>IF(AND($J6206=0,$K6206=0),0,1)</f>
        <v>0</v>
      </c>
    </row>
    <row r="6207" spans="1:13" x14ac:dyDescent="0.2">
      <c r="A6207" t="s">
        <v>531</v>
      </c>
      <c r="B6207" t="s">
        <v>17</v>
      </c>
      <c r="C6207" t="s">
        <v>7</v>
      </c>
      <c r="D6207">
        <v>2201</v>
      </c>
      <c r="E6207">
        <v>2021</v>
      </c>
      <c r="F6207">
        <v>2</v>
      </c>
      <c r="G6207">
        <v>11001</v>
      </c>
      <c r="H6207" s="1">
        <v>5</v>
      </c>
      <c r="I6207">
        <v>13</v>
      </c>
      <c r="J6207">
        <f>IF($H6207=0,1,IF($I6207&lt;=1,2,0))</f>
        <v>0</v>
      </c>
      <c r="K6207">
        <v>0</v>
      </c>
      <c r="L6207">
        <f>IF(AND($J6207=0,$K6207=0),0,1)</f>
        <v>0</v>
      </c>
    </row>
    <row r="6208" spans="1:13" x14ac:dyDescent="0.2">
      <c r="A6208" t="s">
        <v>531</v>
      </c>
      <c r="B6208" t="s">
        <v>17</v>
      </c>
      <c r="C6208" t="s">
        <v>7</v>
      </c>
      <c r="D6208">
        <v>2201</v>
      </c>
      <c r="E6208">
        <v>2021</v>
      </c>
      <c r="F6208">
        <v>4</v>
      </c>
      <c r="G6208">
        <v>11003</v>
      </c>
      <c r="H6208" s="1">
        <v>5</v>
      </c>
      <c r="I6208">
        <v>13</v>
      </c>
      <c r="J6208">
        <f>IF($H6208=0,1,IF($I6208&lt;=1,2,0))</f>
        <v>0</v>
      </c>
      <c r="K6208">
        <v>0</v>
      </c>
      <c r="L6208">
        <f>IF(AND($J6208=0,$K6208=0),0,1)</f>
        <v>0</v>
      </c>
    </row>
    <row r="6209" spans="1:13" x14ac:dyDescent="0.2">
      <c r="A6209" t="s">
        <v>531</v>
      </c>
      <c r="B6209" t="s">
        <v>17</v>
      </c>
      <c r="C6209" t="s">
        <v>7</v>
      </c>
      <c r="D6209">
        <v>2201</v>
      </c>
      <c r="E6209">
        <v>2021</v>
      </c>
      <c r="F6209">
        <v>3</v>
      </c>
      <c r="G6209">
        <v>11002</v>
      </c>
      <c r="H6209" s="1">
        <v>5</v>
      </c>
      <c r="I6209">
        <v>11</v>
      </c>
      <c r="J6209">
        <f>IF($H6209=0,1,IF($I6209&lt;=1,2,0))</f>
        <v>0</v>
      </c>
      <c r="K6209">
        <v>0</v>
      </c>
      <c r="L6209">
        <f>IF(AND($J6209=0,$K6209=0),0,1)</f>
        <v>0</v>
      </c>
    </row>
    <row r="6210" spans="1:13" x14ac:dyDescent="0.2">
      <c r="A6210" t="s">
        <v>531</v>
      </c>
      <c r="B6210" t="s">
        <v>17</v>
      </c>
      <c r="C6210" t="s">
        <v>9</v>
      </c>
      <c r="D6210">
        <v>3005</v>
      </c>
      <c r="E6210">
        <v>2021</v>
      </c>
      <c r="F6210">
        <v>1</v>
      </c>
      <c r="G6210">
        <v>11004</v>
      </c>
      <c r="H6210" s="1">
        <v>5</v>
      </c>
      <c r="I6210">
        <v>13</v>
      </c>
      <c r="J6210">
        <f>IF($H6210=0,1,IF($I6210&lt;=1,2,0))</f>
        <v>0</v>
      </c>
      <c r="K6210">
        <v>0</v>
      </c>
      <c r="L6210">
        <f>IF(AND($J6210=0,$K6210=0),0,1)</f>
        <v>0</v>
      </c>
    </row>
    <row r="6211" spans="1:13" x14ac:dyDescent="0.2">
      <c r="A6211" t="s">
        <v>531</v>
      </c>
      <c r="B6211" t="s">
        <v>17</v>
      </c>
      <c r="C6211" t="s">
        <v>9</v>
      </c>
      <c r="D6211">
        <v>3005</v>
      </c>
      <c r="E6211">
        <v>2021</v>
      </c>
      <c r="F6211">
        <v>2</v>
      </c>
      <c r="G6211">
        <v>11005</v>
      </c>
      <c r="H6211" s="1">
        <v>5</v>
      </c>
      <c r="I6211">
        <v>9</v>
      </c>
      <c r="J6211">
        <f>IF($H6211=0,1,IF($I6211&lt;=1,2,0))</f>
        <v>0</v>
      </c>
      <c r="K6211">
        <v>0</v>
      </c>
      <c r="L6211">
        <f>IF(AND($J6211=0,$K6211=0),0,1)</f>
        <v>0</v>
      </c>
    </row>
    <row r="6212" spans="1:13" x14ac:dyDescent="0.2">
      <c r="A6212" t="s">
        <v>531</v>
      </c>
      <c r="B6212" t="s">
        <v>17</v>
      </c>
      <c r="C6212" t="s">
        <v>9</v>
      </c>
      <c r="D6212">
        <v>4007</v>
      </c>
      <c r="E6212">
        <v>2021</v>
      </c>
      <c r="F6212">
        <v>1</v>
      </c>
      <c r="G6212">
        <v>10939</v>
      </c>
      <c r="H6212" s="1">
        <v>3</v>
      </c>
      <c r="I6212">
        <v>10</v>
      </c>
      <c r="J6212">
        <f>IF($H6212=0,1,IF($I6212&lt;=1,2,0))</f>
        <v>0</v>
      </c>
      <c r="K6212">
        <v>0</v>
      </c>
      <c r="L6212">
        <f>IF(AND($J6212=0,$K6212=0),0,1)</f>
        <v>0</v>
      </c>
    </row>
    <row r="6213" spans="1:13" x14ac:dyDescent="0.2">
      <c r="A6213" t="s">
        <v>531</v>
      </c>
      <c r="B6213" t="s">
        <v>17</v>
      </c>
      <c r="C6213" t="s">
        <v>9</v>
      </c>
      <c r="D6213">
        <v>4017</v>
      </c>
      <c r="E6213">
        <v>2021</v>
      </c>
      <c r="F6213">
        <v>1</v>
      </c>
      <c r="G6213">
        <v>11006</v>
      </c>
      <c r="H6213" s="1">
        <v>4</v>
      </c>
      <c r="I6213">
        <v>10</v>
      </c>
      <c r="J6213">
        <f>IF($H6213=0,1,IF($I6213&lt;=1,2,0))</f>
        <v>0</v>
      </c>
      <c r="K6213">
        <v>0</v>
      </c>
      <c r="L6213">
        <f>IF(AND($J6213=0,$K6213=0),0,1)</f>
        <v>0</v>
      </c>
    </row>
    <row r="6214" spans="1:13" x14ac:dyDescent="0.2">
      <c r="A6214" t="s">
        <v>531</v>
      </c>
      <c r="B6214" t="s">
        <v>17</v>
      </c>
      <c r="C6214" t="s">
        <v>9</v>
      </c>
      <c r="D6214">
        <v>4017</v>
      </c>
      <c r="E6214">
        <v>2021</v>
      </c>
      <c r="F6214">
        <v>2</v>
      </c>
      <c r="G6214">
        <v>11007</v>
      </c>
      <c r="H6214" s="1">
        <v>4</v>
      </c>
      <c r="I6214">
        <v>7</v>
      </c>
      <c r="J6214">
        <f>IF($H6214=0,1,IF($I6214&lt;=1,2,0))</f>
        <v>0</v>
      </c>
      <c r="K6214">
        <v>0</v>
      </c>
      <c r="L6214">
        <f>IF(AND($J6214=0,$K6214=0),0,1)</f>
        <v>0</v>
      </c>
    </row>
    <row r="6215" spans="1:13" x14ac:dyDescent="0.2">
      <c r="A6215" t="s">
        <v>531</v>
      </c>
      <c r="B6215" t="s">
        <v>17</v>
      </c>
      <c r="C6215" t="s">
        <v>11</v>
      </c>
      <c r="D6215">
        <v>5016</v>
      </c>
      <c r="E6215">
        <v>2021</v>
      </c>
      <c r="F6215">
        <v>1</v>
      </c>
      <c r="G6215">
        <v>11008</v>
      </c>
      <c r="H6215" s="1">
        <v>4</v>
      </c>
      <c r="I6215">
        <v>9</v>
      </c>
      <c r="J6215">
        <f>IF($H6215=0,1,IF($I6215&lt;=1,2,0))</f>
        <v>0</v>
      </c>
      <c r="K6215">
        <v>0</v>
      </c>
      <c r="L6215">
        <f>IF(AND($J6215=0,$K6215=0),0,1)</f>
        <v>0</v>
      </c>
    </row>
    <row r="6216" spans="1:13" x14ac:dyDescent="0.2">
      <c r="A6216" t="s">
        <v>531</v>
      </c>
      <c r="B6216" t="s">
        <v>17</v>
      </c>
      <c r="C6216" t="s">
        <v>11</v>
      </c>
      <c r="D6216">
        <v>8020</v>
      </c>
      <c r="E6216">
        <v>2021</v>
      </c>
      <c r="F6216">
        <v>1</v>
      </c>
      <c r="G6216">
        <v>10940</v>
      </c>
      <c r="H6216" s="1">
        <v>4</v>
      </c>
      <c r="I6216">
        <v>6</v>
      </c>
      <c r="J6216">
        <f>IF($H6216=0,1,IF($I6216&lt;=1,2,0))</f>
        <v>0</v>
      </c>
      <c r="K6216">
        <v>0</v>
      </c>
      <c r="L6216">
        <f>IF(AND($J6216=0,$K6216=0),0,1)</f>
        <v>0</v>
      </c>
      <c r="M6216" t="s">
        <v>1665</v>
      </c>
    </row>
    <row r="6217" spans="1:13" x14ac:dyDescent="0.2">
      <c r="A6217" t="s">
        <v>531</v>
      </c>
      <c r="B6217" t="s">
        <v>17</v>
      </c>
      <c r="C6217" t="s">
        <v>11</v>
      </c>
      <c r="D6217">
        <v>8040</v>
      </c>
      <c r="E6217">
        <v>2021</v>
      </c>
      <c r="F6217">
        <v>1</v>
      </c>
      <c r="G6217">
        <v>10942</v>
      </c>
      <c r="H6217" s="1">
        <v>4</v>
      </c>
      <c r="I6217">
        <v>8</v>
      </c>
      <c r="J6217">
        <f>IF($H6217=0,1,IF($I6217&lt;=1,2,0))</f>
        <v>0</v>
      </c>
      <c r="K6217">
        <v>0</v>
      </c>
      <c r="L6217">
        <f>IF(AND($J6217=0,$K6217=0),0,1)</f>
        <v>0</v>
      </c>
      <c r="M6217" t="s">
        <v>1665</v>
      </c>
    </row>
    <row r="6218" spans="1:13" x14ac:dyDescent="0.2">
      <c r="A6218" t="s">
        <v>533</v>
      </c>
      <c r="B6218" t="s">
        <v>6</v>
      </c>
      <c r="C6218" t="s">
        <v>9</v>
      </c>
      <c r="D6218">
        <v>4990</v>
      </c>
      <c r="E6218">
        <v>2021</v>
      </c>
      <c r="F6218">
        <v>1</v>
      </c>
      <c r="G6218">
        <v>10329</v>
      </c>
      <c r="H6218" s="1">
        <v>4</v>
      </c>
      <c r="I6218">
        <v>10</v>
      </c>
      <c r="J6218">
        <f>IF($H6218=0,1,IF($I6218&lt;=1,2,0))</f>
        <v>0</v>
      </c>
      <c r="K6218">
        <v>0</v>
      </c>
      <c r="L6218">
        <f>IF(AND($J6218=0,$K6218=0),0,1)</f>
        <v>0</v>
      </c>
    </row>
    <row r="6219" spans="1:13" x14ac:dyDescent="0.2">
      <c r="A6219" t="s">
        <v>534</v>
      </c>
      <c r="B6219" t="s">
        <v>17</v>
      </c>
      <c r="C6219" t="s">
        <v>9</v>
      </c>
      <c r="D6219">
        <v>1002</v>
      </c>
      <c r="E6219">
        <v>2021</v>
      </c>
      <c r="F6219">
        <v>1</v>
      </c>
      <c r="G6219">
        <v>11009</v>
      </c>
      <c r="H6219" s="1">
        <v>2.5</v>
      </c>
      <c r="I6219">
        <v>8</v>
      </c>
      <c r="J6219">
        <f>IF($H6219=0,1,IF($I6219&lt;=1,2,0))</f>
        <v>0</v>
      </c>
      <c r="K6219">
        <v>0</v>
      </c>
      <c r="L6219">
        <f>IF(AND($J6219=0,$K6219=0),0,1)</f>
        <v>0</v>
      </c>
    </row>
    <row r="6220" spans="1:13" x14ac:dyDescent="0.2">
      <c r="A6220" t="s">
        <v>534</v>
      </c>
      <c r="B6220" t="s">
        <v>17</v>
      </c>
      <c r="C6220" t="s">
        <v>9</v>
      </c>
      <c r="D6220">
        <v>1002</v>
      </c>
      <c r="E6220">
        <v>2021</v>
      </c>
      <c r="F6220">
        <v>3</v>
      </c>
      <c r="G6220">
        <v>11011</v>
      </c>
      <c r="H6220" s="1">
        <v>2.5</v>
      </c>
      <c r="I6220">
        <v>7</v>
      </c>
      <c r="J6220">
        <f>IF($H6220=0,1,IF($I6220&lt;=1,2,0))</f>
        <v>0</v>
      </c>
      <c r="K6220">
        <v>0</v>
      </c>
      <c r="L6220">
        <f>IF(AND($J6220=0,$K6220=0),0,1)</f>
        <v>0</v>
      </c>
    </row>
    <row r="6221" spans="1:13" x14ac:dyDescent="0.2">
      <c r="A6221" t="s">
        <v>534</v>
      </c>
      <c r="B6221" t="s">
        <v>17</v>
      </c>
      <c r="C6221" t="s">
        <v>9</v>
      </c>
      <c r="D6221">
        <v>1002</v>
      </c>
      <c r="E6221">
        <v>2021</v>
      </c>
      <c r="F6221">
        <v>2</v>
      </c>
      <c r="G6221">
        <v>11010</v>
      </c>
      <c r="H6221" s="1">
        <v>2.5</v>
      </c>
      <c r="I6221">
        <v>5</v>
      </c>
      <c r="J6221">
        <f>IF($H6221=0,1,IF($I6221&lt;=1,2,0))</f>
        <v>0</v>
      </c>
      <c r="K6221">
        <v>0</v>
      </c>
      <c r="L6221">
        <f>IF(AND($J6221=0,$K6221=0),0,1)</f>
        <v>0</v>
      </c>
    </row>
    <row r="6222" spans="1:13" x14ac:dyDescent="0.2">
      <c r="A6222" t="s">
        <v>534</v>
      </c>
      <c r="B6222" t="s">
        <v>17</v>
      </c>
      <c r="C6222" t="s">
        <v>9</v>
      </c>
      <c r="D6222">
        <v>1101</v>
      </c>
      <c r="E6222">
        <v>2021</v>
      </c>
      <c r="F6222">
        <v>4</v>
      </c>
      <c r="G6222">
        <v>11015</v>
      </c>
      <c r="H6222" s="1">
        <v>5</v>
      </c>
      <c r="I6222">
        <v>17</v>
      </c>
      <c r="J6222">
        <f>IF($H6222=0,1,IF($I6222&lt;=1,2,0))</f>
        <v>0</v>
      </c>
      <c r="K6222">
        <v>0</v>
      </c>
      <c r="L6222">
        <f>IF(AND($J6222=0,$K6222=0),0,1)</f>
        <v>0</v>
      </c>
    </row>
    <row r="6223" spans="1:13" x14ac:dyDescent="0.2">
      <c r="A6223" t="s">
        <v>534</v>
      </c>
      <c r="B6223" t="s">
        <v>17</v>
      </c>
      <c r="C6223" t="s">
        <v>9</v>
      </c>
      <c r="D6223">
        <v>1101</v>
      </c>
      <c r="E6223">
        <v>2021</v>
      </c>
      <c r="F6223">
        <v>2</v>
      </c>
      <c r="G6223">
        <v>11013</v>
      </c>
      <c r="H6223" s="1">
        <v>5</v>
      </c>
      <c r="I6223">
        <v>15</v>
      </c>
      <c r="J6223">
        <f>IF($H6223=0,1,IF($I6223&lt;=1,2,0))</f>
        <v>0</v>
      </c>
      <c r="K6223">
        <v>0</v>
      </c>
      <c r="L6223">
        <f>IF(AND($J6223=0,$K6223=0),0,1)</f>
        <v>0</v>
      </c>
    </row>
    <row r="6224" spans="1:13" x14ac:dyDescent="0.2">
      <c r="A6224" t="s">
        <v>534</v>
      </c>
      <c r="B6224" t="s">
        <v>17</v>
      </c>
      <c r="C6224" t="s">
        <v>9</v>
      </c>
      <c r="D6224">
        <v>1101</v>
      </c>
      <c r="E6224">
        <v>2021</v>
      </c>
      <c r="F6224">
        <v>3</v>
      </c>
      <c r="G6224">
        <v>11014</v>
      </c>
      <c r="H6224" s="1">
        <v>5</v>
      </c>
      <c r="I6224">
        <v>15</v>
      </c>
      <c r="J6224">
        <f>IF($H6224=0,1,IF($I6224&lt;=1,2,0))</f>
        <v>0</v>
      </c>
      <c r="K6224">
        <v>0</v>
      </c>
      <c r="L6224">
        <f>IF(AND($J6224=0,$K6224=0),0,1)</f>
        <v>0</v>
      </c>
    </row>
    <row r="6225" spans="1:13" x14ac:dyDescent="0.2">
      <c r="A6225" t="s">
        <v>534</v>
      </c>
      <c r="B6225" t="s">
        <v>17</v>
      </c>
      <c r="C6225" t="s">
        <v>9</v>
      </c>
      <c r="D6225">
        <v>1101</v>
      </c>
      <c r="E6225">
        <v>2021</v>
      </c>
      <c r="F6225">
        <v>1</v>
      </c>
      <c r="G6225">
        <v>11012</v>
      </c>
      <c r="H6225" s="1">
        <v>5</v>
      </c>
      <c r="I6225">
        <v>14</v>
      </c>
      <c r="J6225">
        <f>IF($H6225=0,1,IF($I6225&lt;=1,2,0))</f>
        <v>0</v>
      </c>
      <c r="K6225">
        <v>0</v>
      </c>
      <c r="L6225">
        <f>IF(AND($J6225=0,$K6225=0),0,1)</f>
        <v>0</v>
      </c>
    </row>
    <row r="6226" spans="1:13" x14ac:dyDescent="0.2">
      <c r="A6226" t="s">
        <v>534</v>
      </c>
      <c r="B6226" t="s">
        <v>17</v>
      </c>
      <c r="C6226" t="s">
        <v>9</v>
      </c>
      <c r="D6226">
        <v>1101</v>
      </c>
      <c r="E6226">
        <v>2021</v>
      </c>
      <c r="F6226">
        <v>5</v>
      </c>
      <c r="G6226">
        <v>11016</v>
      </c>
      <c r="H6226" s="1">
        <v>5</v>
      </c>
      <c r="I6226">
        <v>10</v>
      </c>
      <c r="J6226">
        <f>IF($H6226=0,1,IF($I6226&lt;=1,2,0))</f>
        <v>0</v>
      </c>
      <c r="K6226">
        <v>0</v>
      </c>
      <c r="L6226">
        <f>IF(AND($J6226=0,$K6226=0),0,1)</f>
        <v>0</v>
      </c>
    </row>
    <row r="6227" spans="1:13" x14ac:dyDescent="0.2">
      <c r="A6227" t="s">
        <v>534</v>
      </c>
      <c r="B6227" t="s">
        <v>17</v>
      </c>
      <c r="C6227" t="s">
        <v>9</v>
      </c>
      <c r="D6227">
        <v>1102</v>
      </c>
      <c r="E6227">
        <v>2021</v>
      </c>
      <c r="F6227">
        <v>1</v>
      </c>
      <c r="G6227">
        <v>11017</v>
      </c>
      <c r="H6227" s="1">
        <v>5</v>
      </c>
      <c r="I6227">
        <v>14</v>
      </c>
      <c r="J6227">
        <f>IF($H6227=0,1,IF($I6227&lt;=1,2,0))</f>
        <v>0</v>
      </c>
      <c r="K6227">
        <v>0</v>
      </c>
      <c r="L6227">
        <f>IF(AND($J6227=0,$K6227=0),0,1)</f>
        <v>0</v>
      </c>
    </row>
    <row r="6228" spans="1:13" x14ac:dyDescent="0.2">
      <c r="A6228" t="s">
        <v>534</v>
      </c>
      <c r="B6228" t="s">
        <v>17</v>
      </c>
      <c r="C6228" t="s">
        <v>9</v>
      </c>
      <c r="D6228">
        <v>2201</v>
      </c>
      <c r="E6228">
        <v>2021</v>
      </c>
      <c r="F6228">
        <v>2</v>
      </c>
      <c r="G6228">
        <v>11019</v>
      </c>
      <c r="H6228" s="1">
        <v>5</v>
      </c>
      <c r="I6228">
        <v>14</v>
      </c>
      <c r="J6228">
        <f>IF($H6228=0,1,IF($I6228&lt;=1,2,0))</f>
        <v>0</v>
      </c>
      <c r="K6228">
        <v>0</v>
      </c>
      <c r="L6228">
        <f>IF(AND($J6228=0,$K6228=0),0,1)</f>
        <v>0</v>
      </c>
    </row>
    <row r="6229" spans="1:13" x14ac:dyDescent="0.2">
      <c r="A6229" t="s">
        <v>534</v>
      </c>
      <c r="B6229" t="s">
        <v>17</v>
      </c>
      <c r="C6229" t="s">
        <v>9</v>
      </c>
      <c r="D6229">
        <v>2201</v>
      </c>
      <c r="E6229">
        <v>2021</v>
      </c>
      <c r="F6229">
        <v>3</v>
      </c>
      <c r="G6229">
        <v>11020</v>
      </c>
      <c r="H6229" s="1">
        <v>5</v>
      </c>
      <c r="I6229">
        <v>13</v>
      </c>
      <c r="J6229">
        <f>IF($H6229=0,1,IF($I6229&lt;=1,2,0))</f>
        <v>0</v>
      </c>
      <c r="K6229">
        <v>0</v>
      </c>
      <c r="L6229">
        <f>IF(AND($J6229=0,$K6229=0),0,1)</f>
        <v>0</v>
      </c>
    </row>
    <row r="6230" spans="1:13" x14ac:dyDescent="0.2">
      <c r="A6230" t="s">
        <v>534</v>
      </c>
      <c r="B6230" t="s">
        <v>17</v>
      </c>
      <c r="C6230" t="s">
        <v>9</v>
      </c>
      <c r="D6230">
        <v>2201</v>
      </c>
      <c r="E6230">
        <v>2021</v>
      </c>
      <c r="F6230">
        <v>5</v>
      </c>
      <c r="G6230">
        <v>14009</v>
      </c>
      <c r="H6230" s="1">
        <v>5</v>
      </c>
      <c r="I6230">
        <v>12</v>
      </c>
      <c r="J6230">
        <f>IF($H6230=0,1,IF($I6230&lt;=1,2,0))</f>
        <v>0</v>
      </c>
      <c r="K6230">
        <v>0</v>
      </c>
      <c r="L6230">
        <f>IF(AND($J6230=0,$K6230=0),0,1)</f>
        <v>0</v>
      </c>
    </row>
    <row r="6231" spans="1:13" x14ac:dyDescent="0.2">
      <c r="A6231" t="s">
        <v>534</v>
      </c>
      <c r="B6231" t="s">
        <v>17</v>
      </c>
      <c r="C6231" t="s">
        <v>9</v>
      </c>
      <c r="D6231">
        <v>2201</v>
      </c>
      <c r="E6231">
        <v>2021</v>
      </c>
      <c r="F6231">
        <v>1</v>
      </c>
      <c r="G6231">
        <v>11018</v>
      </c>
      <c r="H6231" s="1">
        <v>5</v>
      </c>
      <c r="I6231">
        <v>11</v>
      </c>
      <c r="J6231">
        <f>IF($H6231=0,1,IF($I6231&lt;=1,2,0))</f>
        <v>0</v>
      </c>
      <c r="K6231">
        <v>0</v>
      </c>
      <c r="L6231">
        <f>IF(AND($J6231=0,$K6231=0),0,1)</f>
        <v>0</v>
      </c>
    </row>
    <row r="6232" spans="1:13" x14ac:dyDescent="0.2">
      <c r="A6232" t="s">
        <v>534</v>
      </c>
      <c r="B6232" t="s">
        <v>17</v>
      </c>
      <c r="C6232" t="s">
        <v>9</v>
      </c>
      <c r="D6232">
        <v>2201</v>
      </c>
      <c r="E6232">
        <v>2021</v>
      </c>
      <c r="F6232">
        <v>4</v>
      </c>
      <c r="G6232">
        <v>11021</v>
      </c>
      <c r="H6232" s="1">
        <v>5</v>
      </c>
      <c r="I6232">
        <v>11</v>
      </c>
      <c r="J6232">
        <f>IF($H6232=0,1,IF($I6232&lt;=1,2,0))</f>
        <v>0</v>
      </c>
      <c r="K6232">
        <v>0</v>
      </c>
      <c r="L6232">
        <f>IF(AND($J6232=0,$K6232=0),0,1)</f>
        <v>0</v>
      </c>
    </row>
    <row r="6233" spans="1:13" x14ac:dyDescent="0.2">
      <c r="A6233" t="s">
        <v>534</v>
      </c>
      <c r="B6233" t="s">
        <v>17</v>
      </c>
      <c r="C6233" t="s">
        <v>9</v>
      </c>
      <c r="D6233">
        <v>3005</v>
      </c>
      <c r="E6233">
        <v>2021</v>
      </c>
      <c r="F6233">
        <v>1</v>
      </c>
      <c r="G6233">
        <v>11022</v>
      </c>
      <c r="H6233" s="1">
        <v>5</v>
      </c>
      <c r="I6233">
        <v>11</v>
      </c>
      <c r="J6233">
        <f>IF($H6233=0,1,IF($I6233&lt;=1,2,0))</f>
        <v>0</v>
      </c>
      <c r="K6233">
        <v>0</v>
      </c>
      <c r="L6233">
        <f>IF(AND($J6233=0,$K6233=0),0,1)</f>
        <v>0</v>
      </c>
      <c r="M6233" t="s">
        <v>1666</v>
      </c>
    </row>
    <row r="6234" spans="1:13" x14ac:dyDescent="0.2">
      <c r="A6234" t="s">
        <v>534</v>
      </c>
      <c r="B6234" t="s">
        <v>17</v>
      </c>
      <c r="C6234" t="s">
        <v>9</v>
      </c>
      <c r="D6234">
        <v>3005</v>
      </c>
      <c r="E6234">
        <v>2021</v>
      </c>
      <c r="F6234">
        <v>2</v>
      </c>
      <c r="G6234">
        <v>11023</v>
      </c>
      <c r="H6234" s="1">
        <v>5</v>
      </c>
      <c r="I6234">
        <v>8</v>
      </c>
      <c r="J6234">
        <f>IF($H6234=0,1,IF($I6234&lt;=1,2,0))</f>
        <v>0</v>
      </c>
      <c r="K6234">
        <v>0</v>
      </c>
      <c r="L6234">
        <f>IF(AND($J6234=0,$K6234=0),0,1)</f>
        <v>0</v>
      </c>
      <c r="M6234" t="s">
        <v>1667</v>
      </c>
    </row>
    <row r="6235" spans="1:13" x14ac:dyDescent="0.2">
      <c r="A6235" t="s">
        <v>534</v>
      </c>
      <c r="B6235" t="s">
        <v>17</v>
      </c>
      <c r="C6235" t="s">
        <v>9</v>
      </c>
      <c r="D6235">
        <v>4105</v>
      </c>
      <c r="E6235">
        <v>2021</v>
      </c>
      <c r="F6235">
        <v>1</v>
      </c>
      <c r="G6235">
        <v>11024</v>
      </c>
      <c r="H6235" s="1">
        <v>4</v>
      </c>
      <c r="I6235">
        <v>8</v>
      </c>
      <c r="J6235">
        <f>IF($H6235=0,1,IF($I6235&lt;=1,2,0))</f>
        <v>0</v>
      </c>
      <c r="K6235">
        <v>0</v>
      </c>
      <c r="L6235">
        <f>IF(AND($J6235=0,$K6235=0),0,1)</f>
        <v>0</v>
      </c>
    </row>
    <row r="6236" spans="1:13" x14ac:dyDescent="0.2">
      <c r="A6236" t="s">
        <v>534</v>
      </c>
      <c r="B6236" t="s">
        <v>17</v>
      </c>
      <c r="C6236" t="s">
        <v>11</v>
      </c>
      <c r="D6236">
        <v>4511</v>
      </c>
      <c r="E6236">
        <v>2021</v>
      </c>
      <c r="F6236">
        <v>1</v>
      </c>
      <c r="G6236">
        <v>11025</v>
      </c>
      <c r="H6236" s="1">
        <v>4</v>
      </c>
      <c r="I6236">
        <v>3</v>
      </c>
      <c r="J6236">
        <f>IF($H6236=0,1,IF($I6236&lt;=1,2,0))</f>
        <v>0</v>
      </c>
      <c r="K6236">
        <v>0</v>
      </c>
      <c r="L6236">
        <f>IF(AND($J6236=0,$K6236=0),0,1)</f>
        <v>0</v>
      </c>
      <c r="M6236" t="s">
        <v>1668</v>
      </c>
    </row>
    <row r="6237" spans="1:13" x14ac:dyDescent="0.2">
      <c r="A6237" t="s">
        <v>537</v>
      </c>
      <c r="B6237" t="s">
        <v>17</v>
      </c>
      <c r="C6237" t="s">
        <v>7</v>
      </c>
      <c r="D6237">
        <v>1020</v>
      </c>
      <c r="E6237">
        <v>2021</v>
      </c>
      <c r="F6237">
        <v>1</v>
      </c>
      <c r="G6237">
        <v>12679</v>
      </c>
      <c r="H6237" s="1">
        <v>4</v>
      </c>
      <c r="I6237">
        <v>18</v>
      </c>
      <c r="J6237">
        <f>IF($H6237=0,1,IF($I6237&lt;=1,2,0))</f>
        <v>0</v>
      </c>
      <c r="K6237">
        <v>0</v>
      </c>
      <c r="L6237">
        <f>IF(AND($J6237=0,$K6237=0),0,1)</f>
        <v>0</v>
      </c>
    </row>
    <row r="6238" spans="1:13" x14ac:dyDescent="0.2">
      <c r="A6238" t="s">
        <v>538</v>
      </c>
      <c r="B6238" t="s">
        <v>17</v>
      </c>
      <c r="C6238" t="s">
        <v>21</v>
      </c>
      <c r="D6238">
        <v>1101</v>
      </c>
      <c r="E6238">
        <v>2021</v>
      </c>
      <c r="F6238">
        <v>2</v>
      </c>
      <c r="G6238">
        <v>10736</v>
      </c>
      <c r="H6238" s="1">
        <v>4</v>
      </c>
      <c r="I6238">
        <v>16</v>
      </c>
      <c r="J6238">
        <f>IF($H6238=0,1,IF($I6238&lt;=1,2,0))</f>
        <v>0</v>
      </c>
      <c r="K6238">
        <v>0</v>
      </c>
      <c r="L6238">
        <f>IF(AND($J6238=0,$K6238=0),0,1)</f>
        <v>0</v>
      </c>
    </row>
    <row r="6239" spans="1:13" x14ac:dyDescent="0.2">
      <c r="A6239" t="s">
        <v>538</v>
      </c>
      <c r="B6239" t="s">
        <v>17</v>
      </c>
      <c r="C6239" t="s">
        <v>21</v>
      </c>
      <c r="D6239">
        <v>1101</v>
      </c>
      <c r="E6239">
        <v>2021</v>
      </c>
      <c r="F6239">
        <v>1</v>
      </c>
      <c r="G6239">
        <v>10737</v>
      </c>
      <c r="H6239" s="1">
        <v>4</v>
      </c>
      <c r="I6239">
        <v>11</v>
      </c>
      <c r="J6239">
        <f>IF($H6239=0,1,IF($I6239&lt;=1,2,0))</f>
        <v>0</v>
      </c>
      <c r="K6239">
        <v>0</v>
      </c>
      <c r="L6239">
        <f>IF(AND($J6239=0,$K6239=0),0,1)</f>
        <v>0</v>
      </c>
    </row>
    <row r="6240" spans="1:13" x14ac:dyDescent="0.2">
      <c r="A6240" t="s">
        <v>538</v>
      </c>
      <c r="B6240" t="s">
        <v>17</v>
      </c>
      <c r="C6240" t="s">
        <v>21</v>
      </c>
      <c r="D6240">
        <v>1102</v>
      </c>
      <c r="E6240">
        <v>2021</v>
      </c>
      <c r="F6240">
        <v>1</v>
      </c>
      <c r="G6240">
        <v>10738</v>
      </c>
      <c r="H6240" s="1">
        <v>4</v>
      </c>
      <c r="I6240">
        <v>4</v>
      </c>
      <c r="J6240">
        <f>IF($H6240=0,1,IF($I6240&lt;=1,2,0))</f>
        <v>0</v>
      </c>
      <c r="K6240">
        <v>0</v>
      </c>
      <c r="L6240">
        <f>IF(AND($J6240=0,$K6240=0),0,1)</f>
        <v>0</v>
      </c>
    </row>
    <row r="6241" spans="1:13" x14ac:dyDescent="0.2">
      <c r="A6241" t="s">
        <v>538</v>
      </c>
      <c r="B6241" t="s">
        <v>17</v>
      </c>
      <c r="C6241" t="s">
        <v>21</v>
      </c>
      <c r="D6241">
        <v>1121</v>
      </c>
      <c r="E6241">
        <v>2021</v>
      </c>
      <c r="F6241">
        <v>1</v>
      </c>
      <c r="G6241">
        <v>10739</v>
      </c>
      <c r="H6241" s="1">
        <v>4</v>
      </c>
      <c r="I6241">
        <v>14</v>
      </c>
      <c r="J6241">
        <f>IF($H6241=0,1,IF($I6241&lt;=1,2,0))</f>
        <v>0</v>
      </c>
      <c r="K6241">
        <v>0</v>
      </c>
      <c r="L6241">
        <f>IF(AND($J6241=0,$K6241=0),0,1)</f>
        <v>0</v>
      </c>
    </row>
    <row r="6242" spans="1:13" x14ac:dyDescent="0.2">
      <c r="A6242" t="s">
        <v>538</v>
      </c>
      <c r="B6242" t="s">
        <v>17</v>
      </c>
      <c r="C6242" t="s">
        <v>21</v>
      </c>
      <c r="D6242">
        <v>2101</v>
      </c>
      <c r="E6242">
        <v>2021</v>
      </c>
      <c r="F6242">
        <v>2</v>
      </c>
      <c r="G6242">
        <v>10741</v>
      </c>
      <c r="H6242" s="1">
        <v>4</v>
      </c>
      <c r="I6242">
        <v>15</v>
      </c>
      <c r="J6242">
        <f>IF($H6242=0,1,IF($I6242&lt;=1,2,0))</f>
        <v>0</v>
      </c>
      <c r="K6242">
        <v>0</v>
      </c>
      <c r="L6242">
        <f>IF(AND($J6242=0,$K6242=0),0,1)</f>
        <v>0</v>
      </c>
    </row>
    <row r="6243" spans="1:13" x14ac:dyDescent="0.2">
      <c r="A6243" t="s">
        <v>538</v>
      </c>
      <c r="B6243" t="s">
        <v>17</v>
      </c>
      <c r="C6243" t="s">
        <v>21</v>
      </c>
      <c r="D6243">
        <v>2101</v>
      </c>
      <c r="E6243">
        <v>2021</v>
      </c>
      <c r="F6243">
        <v>10</v>
      </c>
      <c r="G6243">
        <v>812</v>
      </c>
      <c r="H6243" s="1">
        <v>4</v>
      </c>
      <c r="I6243">
        <v>12</v>
      </c>
      <c r="J6243">
        <f>IF($H6243=0,1,IF($I6243&lt;=1,2,0))</f>
        <v>0</v>
      </c>
      <c r="K6243">
        <v>0</v>
      </c>
      <c r="L6243">
        <f>IF(AND($J6243=0,$K6243=0),0,1)</f>
        <v>0</v>
      </c>
    </row>
    <row r="6244" spans="1:13" x14ac:dyDescent="0.2">
      <c r="A6244" t="s">
        <v>538</v>
      </c>
      <c r="B6244" t="s">
        <v>17</v>
      </c>
      <c r="C6244" t="s">
        <v>21</v>
      </c>
      <c r="D6244">
        <v>2102</v>
      </c>
      <c r="E6244">
        <v>2021</v>
      </c>
      <c r="F6244">
        <v>3</v>
      </c>
      <c r="G6244">
        <v>10742</v>
      </c>
      <c r="H6244" s="1">
        <v>4</v>
      </c>
      <c r="I6244">
        <v>4</v>
      </c>
      <c r="J6244">
        <f>IF($H6244=0,1,IF($I6244&lt;=1,2,0))</f>
        <v>0</v>
      </c>
      <c r="K6244">
        <v>0</v>
      </c>
      <c r="L6244">
        <f>IF(AND($J6244=0,$K6244=0),0,1)</f>
        <v>0</v>
      </c>
    </row>
    <row r="6245" spans="1:13" x14ac:dyDescent="0.2">
      <c r="A6245" t="s">
        <v>538</v>
      </c>
      <c r="B6245" t="s">
        <v>17</v>
      </c>
      <c r="C6245" t="s">
        <v>21</v>
      </c>
      <c r="D6245">
        <v>3012</v>
      </c>
      <c r="E6245">
        <v>2021</v>
      </c>
      <c r="F6245">
        <v>1</v>
      </c>
      <c r="G6245">
        <v>10743</v>
      </c>
      <c r="H6245" s="1">
        <v>3</v>
      </c>
      <c r="I6245">
        <v>13</v>
      </c>
      <c r="J6245">
        <f>IF($H6245=0,1,IF($I6245&lt;=1,2,0))</f>
        <v>0</v>
      </c>
      <c r="K6245">
        <v>0</v>
      </c>
      <c r="L6245">
        <f>IF(AND($J6245=0,$K6245=0),0,1)</f>
        <v>0</v>
      </c>
    </row>
    <row r="6246" spans="1:13" x14ac:dyDescent="0.2">
      <c r="A6246" t="s">
        <v>538</v>
      </c>
      <c r="B6246" t="s">
        <v>17</v>
      </c>
      <c r="C6246" t="s">
        <v>21</v>
      </c>
      <c r="D6246">
        <v>3033</v>
      </c>
      <c r="E6246">
        <v>2021</v>
      </c>
      <c r="F6246">
        <v>1</v>
      </c>
      <c r="G6246">
        <v>10744</v>
      </c>
      <c r="H6246" s="1">
        <v>3</v>
      </c>
      <c r="I6246">
        <v>14</v>
      </c>
      <c r="J6246">
        <f>IF($H6246=0,1,IF($I6246&lt;=1,2,0))</f>
        <v>0</v>
      </c>
      <c r="K6246">
        <v>0</v>
      </c>
      <c r="L6246">
        <f>IF(AND($J6246=0,$K6246=0),0,1)</f>
        <v>0</v>
      </c>
    </row>
    <row r="6247" spans="1:13" x14ac:dyDescent="0.2">
      <c r="A6247" t="s">
        <v>538</v>
      </c>
      <c r="B6247" t="s">
        <v>17</v>
      </c>
      <c r="C6247" t="s">
        <v>21</v>
      </c>
      <c r="D6247">
        <v>3309</v>
      </c>
      <c r="E6247">
        <v>2021</v>
      </c>
      <c r="F6247">
        <v>1</v>
      </c>
      <c r="G6247">
        <v>10745</v>
      </c>
      <c r="H6247" s="1">
        <v>3</v>
      </c>
      <c r="I6247">
        <v>7</v>
      </c>
      <c r="J6247">
        <f>IF($H6247=0,1,IF($I6247&lt;=1,2,0))</f>
        <v>0</v>
      </c>
      <c r="K6247">
        <v>0</v>
      </c>
      <c r="L6247">
        <f>IF(AND($J6247=0,$K6247=0),0,1)</f>
        <v>0</v>
      </c>
      <c r="M6247" t="s">
        <v>1669</v>
      </c>
    </row>
    <row r="6248" spans="1:13" x14ac:dyDescent="0.2">
      <c r="A6248" t="s">
        <v>538</v>
      </c>
      <c r="B6248" t="s">
        <v>17</v>
      </c>
      <c r="C6248" t="s">
        <v>9</v>
      </c>
      <c r="D6248">
        <v>3980</v>
      </c>
      <c r="E6248">
        <v>2021</v>
      </c>
      <c r="F6248">
        <v>1</v>
      </c>
      <c r="G6248">
        <v>10749</v>
      </c>
      <c r="H6248" s="1">
        <v>3</v>
      </c>
      <c r="I6248">
        <v>3</v>
      </c>
      <c r="J6248">
        <f>IF($H6248=0,1,IF($I6248&lt;=1,2,0))</f>
        <v>0</v>
      </c>
      <c r="K6248">
        <v>0</v>
      </c>
      <c r="L6248">
        <f>IF(AND($J6248=0,$K6248=0),0,1)</f>
        <v>0</v>
      </c>
    </row>
    <row r="6249" spans="1:13" x14ac:dyDescent="0.2">
      <c r="A6249" t="s">
        <v>538</v>
      </c>
      <c r="B6249" t="s">
        <v>17</v>
      </c>
      <c r="C6249" t="s">
        <v>21</v>
      </c>
      <c r="D6249">
        <v>3996</v>
      </c>
      <c r="E6249">
        <v>2021</v>
      </c>
      <c r="F6249">
        <v>1</v>
      </c>
      <c r="G6249">
        <v>10750</v>
      </c>
      <c r="H6249" s="1">
        <v>3</v>
      </c>
      <c r="I6249">
        <v>6</v>
      </c>
      <c r="J6249">
        <f>IF($H6249=0,1,IF($I6249&lt;=1,2,0))</f>
        <v>0</v>
      </c>
      <c r="K6249">
        <v>0</v>
      </c>
      <c r="L6249">
        <f>IF(AND($J6249=0,$K6249=0),0,1)</f>
        <v>0</v>
      </c>
    </row>
    <row r="6250" spans="1:13" x14ac:dyDescent="0.2">
      <c r="A6250" t="s">
        <v>538</v>
      </c>
      <c r="B6250" t="s">
        <v>17</v>
      </c>
      <c r="C6250" t="s">
        <v>9</v>
      </c>
      <c r="D6250">
        <v>4009</v>
      </c>
      <c r="E6250">
        <v>2021</v>
      </c>
      <c r="F6250">
        <v>1</v>
      </c>
      <c r="G6250">
        <v>10762</v>
      </c>
      <c r="H6250" s="1">
        <v>3</v>
      </c>
      <c r="I6250">
        <v>3</v>
      </c>
      <c r="J6250">
        <f>IF($H6250=0,1,IF($I6250&lt;=1,2,0))</f>
        <v>0</v>
      </c>
      <c r="K6250">
        <v>0</v>
      </c>
      <c r="L6250">
        <f>IF(AND($J6250=0,$K6250=0),0,1)</f>
        <v>0</v>
      </c>
      <c r="M6250" t="s">
        <v>1670</v>
      </c>
    </row>
    <row r="6251" spans="1:13" x14ac:dyDescent="0.2">
      <c r="A6251" t="s">
        <v>538</v>
      </c>
      <c r="B6251" t="s">
        <v>17</v>
      </c>
      <c r="C6251" t="s">
        <v>9</v>
      </c>
      <c r="D6251">
        <v>4105</v>
      </c>
      <c r="E6251">
        <v>2021</v>
      </c>
      <c r="F6251">
        <v>1</v>
      </c>
      <c r="G6251">
        <v>10763</v>
      </c>
      <c r="H6251" s="1">
        <v>4</v>
      </c>
      <c r="I6251">
        <v>2</v>
      </c>
      <c r="J6251">
        <f>IF($H6251=0,1,IF($I6251&lt;=1,2,0))</f>
        <v>0</v>
      </c>
      <c r="K6251">
        <v>0</v>
      </c>
      <c r="L6251">
        <f>IF(AND($J6251=0,$K6251=0),0,1)</f>
        <v>0</v>
      </c>
    </row>
    <row r="6252" spans="1:13" x14ac:dyDescent="0.2">
      <c r="A6252" t="s">
        <v>538</v>
      </c>
      <c r="B6252" t="s">
        <v>17</v>
      </c>
      <c r="C6252" t="s">
        <v>11</v>
      </c>
      <c r="D6252">
        <v>8015</v>
      </c>
      <c r="E6252">
        <v>2021</v>
      </c>
      <c r="F6252">
        <v>1</v>
      </c>
      <c r="G6252">
        <v>18466</v>
      </c>
      <c r="H6252" s="1">
        <v>3</v>
      </c>
      <c r="I6252">
        <v>5</v>
      </c>
      <c r="J6252">
        <f>IF($H6252=0,1,IF($I6252&lt;=1,2,0))</f>
        <v>0</v>
      </c>
      <c r="K6252">
        <v>0</v>
      </c>
      <c r="L6252">
        <f>IF(AND($J6252=0,$K6252=0),0,1)</f>
        <v>0</v>
      </c>
    </row>
    <row r="6253" spans="1:13" x14ac:dyDescent="0.2">
      <c r="A6253" t="s">
        <v>544</v>
      </c>
      <c r="B6253" t="s">
        <v>6</v>
      </c>
      <c r="C6253" t="s">
        <v>9</v>
      </c>
      <c r="D6253">
        <v>3102</v>
      </c>
      <c r="E6253">
        <v>2021</v>
      </c>
      <c r="F6253">
        <v>1</v>
      </c>
      <c r="G6253">
        <v>12208</v>
      </c>
      <c r="H6253" s="1">
        <v>3</v>
      </c>
      <c r="I6253">
        <v>29</v>
      </c>
      <c r="J6253">
        <f>IF($H6253=0,1,IF($I6253&lt;=1,2,0))</f>
        <v>0</v>
      </c>
      <c r="K6253">
        <v>0</v>
      </c>
      <c r="L6253">
        <f>IF(AND($J6253=0,$K6253=0),0,1)</f>
        <v>0</v>
      </c>
    </row>
    <row r="6254" spans="1:13" x14ac:dyDescent="0.2">
      <c r="A6254" t="s">
        <v>544</v>
      </c>
      <c r="B6254" t="s">
        <v>6</v>
      </c>
      <c r="C6254" t="s">
        <v>9</v>
      </c>
      <c r="D6254">
        <v>3103</v>
      </c>
      <c r="E6254">
        <v>2021</v>
      </c>
      <c r="F6254">
        <v>1</v>
      </c>
      <c r="G6254">
        <v>12209</v>
      </c>
      <c r="H6254" s="1">
        <v>3</v>
      </c>
      <c r="I6254">
        <v>68</v>
      </c>
      <c r="J6254">
        <f>IF($H6254=0,1,IF($I6254&lt;=1,2,0))</f>
        <v>0</v>
      </c>
      <c r="K6254">
        <v>0</v>
      </c>
      <c r="L6254">
        <f>IF(AND($J6254=0,$K6254=0),0,1)</f>
        <v>0</v>
      </c>
    </row>
    <row r="6255" spans="1:13" x14ac:dyDescent="0.2">
      <c r="A6255" t="s">
        <v>544</v>
      </c>
      <c r="B6255" t="s">
        <v>6</v>
      </c>
      <c r="C6255" t="s">
        <v>9</v>
      </c>
      <c r="D6255">
        <v>3993</v>
      </c>
      <c r="E6255">
        <v>2021</v>
      </c>
      <c r="F6255">
        <v>1</v>
      </c>
      <c r="G6255">
        <v>10307</v>
      </c>
      <c r="H6255" s="1" t="s">
        <v>1823</v>
      </c>
      <c r="I6255">
        <v>16</v>
      </c>
      <c r="J6255">
        <f>IF($H6255=0,1,IF($I6255&lt;=1,2,0))</f>
        <v>0</v>
      </c>
      <c r="K6255">
        <v>0</v>
      </c>
      <c r="L6255">
        <f>IF(AND($J6255=0,$K6255=0),0,1)</f>
        <v>0</v>
      </c>
    </row>
    <row r="6256" spans="1:13" x14ac:dyDescent="0.2">
      <c r="A6256" t="s">
        <v>544</v>
      </c>
      <c r="B6256" t="s">
        <v>6</v>
      </c>
      <c r="C6256" t="s">
        <v>9</v>
      </c>
      <c r="D6256">
        <v>4108</v>
      </c>
      <c r="E6256">
        <v>2021</v>
      </c>
      <c r="F6256">
        <v>1</v>
      </c>
      <c r="G6256">
        <v>10305</v>
      </c>
      <c r="H6256" s="1">
        <v>3</v>
      </c>
      <c r="I6256">
        <v>19</v>
      </c>
      <c r="J6256">
        <f>IF($H6256=0,1,IF($I6256&lt;=1,2,0))</f>
        <v>0</v>
      </c>
      <c r="K6256">
        <v>0</v>
      </c>
      <c r="L6256">
        <f>IF(AND($J6256=0,$K6256=0),0,1)</f>
        <v>0</v>
      </c>
    </row>
    <row r="6257" spans="1:12" x14ac:dyDescent="0.2">
      <c r="A6257" t="s">
        <v>544</v>
      </c>
      <c r="B6257" t="s">
        <v>6</v>
      </c>
      <c r="C6257" t="s">
        <v>9</v>
      </c>
      <c r="D6257">
        <v>4903</v>
      </c>
      <c r="E6257">
        <v>2021</v>
      </c>
      <c r="F6257">
        <v>1</v>
      </c>
      <c r="G6257">
        <v>10306</v>
      </c>
      <c r="H6257" s="1">
        <v>3</v>
      </c>
      <c r="I6257">
        <v>24</v>
      </c>
      <c r="J6257">
        <f>IF($H6257=0,1,IF($I6257&lt;=1,2,0))</f>
        <v>0</v>
      </c>
      <c r="K6257">
        <v>0</v>
      </c>
      <c r="L6257">
        <f>IF(AND($J6257=0,$K6257=0),0,1)</f>
        <v>0</v>
      </c>
    </row>
    <row r="6258" spans="1:12" x14ac:dyDescent="0.2">
      <c r="A6258" t="s">
        <v>545</v>
      </c>
      <c r="B6258" t="s">
        <v>133</v>
      </c>
      <c r="C6258" t="s">
        <v>9</v>
      </c>
      <c r="D6258">
        <v>1003</v>
      </c>
      <c r="E6258">
        <v>2021</v>
      </c>
      <c r="F6258">
        <v>1</v>
      </c>
      <c r="G6258">
        <v>10617</v>
      </c>
      <c r="H6258" s="1">
        <v>3</v>
      </c>
      <c r="I6258">
        <v>26</v>
      </c>
      <c r="J6258">
        <f>IF($H6258=0,1,IF($I6258&lt;=1,2,0))</f>
        <v>0</v>
      </c>
      <c r="K6258">
        <v>0</v>
      </c>
      <c r="L6258">
        <f>IF(AND($J6258=0,$K6258=0),0,1)</f>
        <v>0</v>
      </c>
    </row>
    <row r="6259" spans="1:12" x14ac:dyDescent="0.2">
      <c r="A6259" t="s">
        <v>545</v>
      </c>
      <c r="B6259" t="s">
        <v>133</v>
      </c>
      <c r="C6259" t="s">
        <v>9</v>
      </c>
      <c r="D6259">
        <v>1003</v>
      </c>
      <c r="E6259">
        <v>2021</v>
      </c>
      <c r="F6259">
        <v>4</v>
      </c>
      <c r="G6259">
        <v>826</v>
      </c>
      <c r="H6259" s="1">
        <v>3</v>
      </c>
      <c r="I6259">
        <v>24</v>
      </c>
      <c r="J6259">
        <f>IF($H6259=0,1,IF($I6259&lt;=1,2,0))</f>
        <v>0</v>
      </c>
      <c r="K6259">
        <v>0</v>
      </c>
      <c r="L6259">
        <f>IF(AND($J6259=0,$K6259=0),0,1)</f>
        <v>0</v>
      </c>
    </row>
    <row r="6260" spans="1:12" x14ac:dyDescent="0.2">
      <c r="A6260" t="s">
        <v>545</v>
      </c>
      <c r="B6260" t="s">
        <v>133</v>
      </c>
      <c r="C6260" t="s">
        <v>21</v>
      </c>
      <c r="D6260">
        <v>1101</v>
      </c>
      <c r="E6260">
        <v>2021</v>
      </c>
      <c r="F6260">
        <v>3</v>
      </c>
      <c r="G6260">
        <v>10624</v>
      </c>
      <c r="H6260" s="1">
        <v>3</v>
      </c>
      <c r="I6260">
        <v>109</v>
      </c>
      <c r="J6260">
        <f>IF($H6260=0,1,IF($I6260&lt;=1,2,0))</f>
        <v>0</v>
      </c>
      <c r="K6260">
        <v>0</v>
      </c>
      <c r="L6260">
        <f>IF(AND($J6260=0,$K6260=0),0,1)</f>
        <v>0</v>
      </c>
    </row>
    <row r="6261" spans="1:12" x14ac:dyDescent="0.2">
      <c r="A6261" t="s">
        <v>545</v>
      </c>
      <c r="B6261" t="s">
        <v>133</v>
      </c>
      <c r="C6261" t="s">
        <v>21</v>
      </c>
      <c r="D6261">
        <v>1101</v>
      </c>
      <c r="E6261">
        <v>2021</v>
      </c>
      <c r="F6261">
        <v>4</v>
      </c>
      <c r="G6261">
        <v>10625</v>
      </c>
      <c r="H6261" s="1">
        <v>3</v>
      </c>
      <c r="I6261">
        <v>105</v>
      </c>
      <c r="J6261">
        <f>IF($H6261=0,1,IF($I6261&lt;=1,2,0))</f>
        <v>0</v>
      </c>
      <c r="K6261">
        <v>0</v>
      </c>
      <c r="L6261">
        <f>IF(AND($J6261=0,$K6261=0),0,1)</f>
        <v>0</v>
      </c>
    </row>
    <row r="6262" spans="1:12" x14ac:dyDescent="0.2">
      <c r="A6262" t="s">
        <v>545</v>
      </c>
      <c r="B6262" t="s">
        <v>133</v>
      </c>
      <c r="C6262" t="s">
        <v>21</v>
      </c>
      <c r="D6262">
        <v>1101</v>
      </c>
      <c r="E6262">
        <v>2021</v>
      </c>
      <c r="F6262">
        <v>7</v>
      </c>
      <c r="G6262">
        <v>170</v>
      </c>
      <c r="H6262" s="1">
        <v>3</v>
      </c>
      <c r="I6262">
        <v>98</v>
      </c>
      <c r="J6262">
        <f>IF($H6262=0,1,IF($I6262&lt;=1,2,0))</f>
        <v>0</v>
      </c>
      <c r="K6262">
        <v>0</v>
      </c>
      <c r="L6262">
        <f>IF(AND($J6262=0,$K6262=0),0,1)</f>
        <v>0</v>
      </c>
    </row>
    <row r="6263" spans="1:12" x14ac:dyDescent="0.2">
      <c r="A6263" t="s">
        <v>545</v>
      </c>
      <c r="B6263" t="s">
        <v>133</v>
      </c>
      <c r="C6263" t="s">
        <v>21</v>
      </c>
      <c r="D6263">
        <v>1101</v>
      </c>
      <c r="E6263">
        <v>2021</v>
      </c>
      <c r="F6263">
        <v>5</v>
      </c>
      <c r="G6263">
        <v>10626</v>
      </c>
      <c r="H6263" s="1">
        <v>3</v>
      </c>
      <c r="I6263">
        <v>95</v>
      </c>
      <c r="J6263">
        <f>IF($H6263=0,1,IF($I6263&lt;=1,2,0))</f>
        <v>0</v>
      </c>
      <c r="K6263">
        <v>0</v>
      </c>
      <c r="L6263">
        <f>IF(AND($J6263=0,$K6263=0),0,1)</f>
        <v>0</v>
      </c>
    </row>
    <row r="6264" spans="1:12" x14ac:dyDescent="0.2">
      <c r="A6264" t="s">
        <v>545</v>
      </c>
      <c r="B6264" t="s">
        <v>133</v>
      </c>
      <c r="C6264" t="s">
        <v>21</v>
      </c>
      <c r="D6264">
        <v>1101</v>
      </c>
      <c r="E6264">
        <v>2021</v>
      </c>
      <c r="F6264">
        <v>6</v>
      </c>
      <c r="G6264">
        <v>10628</v>
      </c>
      <c r="H6264" s="1">
        <v>3</v>
      </c>
      <c r="I6264">
        <v>79</v>
      </c>
      <c r="J6264">
        <f>IF($H6264=0,1,IF($I6264&lt;=1,2,0))</f>
        <v>0</v>
      </c>
      <c r="K6264">
        <v>0</v>
      </c>
      <c r="L6264">
        <f>IF(AND($J6264=0,$K6264=0),0,1)</f>
        <v>0</v>
      </c>
    </row>
    <row r="6265" spans="1:12" x14ac:dyDescent="0.2">
      <c r="A6265" t="s">
        <v>545</v>
      </c>
      <c r="B6265" t="s">
        <v>133</v>
      </c>
      <c r="C6265" t="s">
        <v>21</v>
      </c>
      <c r="D6265">
        <v>1101</v>
      </c>
      <c r="E6265">
        <v>2021</v>
      </c>
      <c r="F6265">
        <v>1</v>
      </c>
      <c r="G6265">
        <v>10622</v>
      </c>
      <c r="H6265" s="1">
        <v>3</v>
      </c>
      <c r="I6265">
        <v>57</v>
      </c>
      <c r="J6265">
        <f>IF($H6265=0,1,IF($I6265&lt;=1,2,0))</f>
        <v>0</v>
      </c>
      <c r="K6265">
        <v>0</v>
      </c>
      <c r="L6265">
        <f>IF(AND($J6265=0,$K6265=0),0,1)</f>
        <v>0</v>
      </c>
    </row>
    <row r="6266" spans="1:12" x14ac:dyDescent="0.2">
      <c r="A6266" t="s">
        <v>545</v>
      </c>
      <c r="B6266" t="s">
        <v>133</v>
      </c>
      <c r="C6266" t="s">
        <v>21</v>
      </c>
      <c r="D6266">
        <v>1101</v>
      </c>
      <c r="E6266">
        <v>2021</v>
      </c>
      <c r="F6266">
        <v>8</v>
      </c>
      <c r="G6266">
        <v>10629</v>
      </c>
      <c r="H6266" s="1">
        <v>3</v>
      </c>
      <c r="I6266">
        <v>47</v>
      </c>
      <c r="J6266">
        <f>IF($H6266=0,1,IF($I6266&lt;=1,2,0))</f>
        <v>0</v>
      </c>
      <c r="K6266">
        <v>0</v>
      </c>
      <c r="L6266">
        <f>IF(AND($J6266=0,$K6266=0),0,1)</f>
        <v>0</v>
      </c>
    </row>
    <row r="6267" spans="1:12" x14ac:dyDescent="0.2">
      <c r="A6267" t="s">
        <v>545</v>
      </c>
      <c r="B6267" t="s">
        <v>133</v>
      </c>
      <c r="C6267" t="s">
        <v>21</v>
      </c>
      <c r="D6267">
        <v>1101</v>
      </c>
      <c r="E6267">
        <v>2021</v>
      </c>
      <c r="F6267">
        <v>2</v>
      </c>
      <c r="G6267">
        <v>10623</v>
      </c>
      <c r="H6267" s="1">
        <v>3</v>
      </c>
      <c r="I6267">
        <v>41</v>
      </c>
      <c r="J6267">
        <f>IF($H6267=0,1,IF($I6267&lt;=1,2,0))</f>
        <v>0</v>
      </c>
      <c r="K6267">
        <v>0</v>
      </c>
      <c r="L6267">
        <f>IF(AND($J6267=0,$K6267=0),0,1)</f>
        <v>0</v>
      </c>
    </row>
    <row r="6268" spans="1:12" x14ac:dyDescent="0.2">
      <c r="A6268" t="s">
        <v>545</v>
      </c>
      <c r="B6268" t="s">
        <v>133</v>
      </c>
      <c r="C6268" t="s">
        <v>21</v>
      </c>
      <c r="D6268">
        <v>1101</v>
      </c>
      <c r="E6268">
        <v>2021</v>
      </c>
      <c r="F6268">
        <v>9</v>
      </c>
      <c r="G6268">
        <v>10630</v>
      </c>
      <c r="H6268" s="1">
        <v>3</v>
      </c>
      <c r="I6268">
        <v>31</v>
      </c>
      <c r="J6268">
        <f>IF($H6268=0,1,IF($I6268&lt;=1,2,0))</f>
        <v>0</v>
      </c>
      <c r="K6268">
        <v>0</v>
      </c>
      <c r="L6268">
        <f>IF(AND($J6268=0,$K6268=0),0,1)</f>
        <v>0</v>
      </c>
    </row>
    <row r="6269" spans="1:12" x14ac:dyDescent="0.2">
      <c r="A6269" t="s">
        <v>545</v>
      </c>
      <c r="B6269" t="s">
        <v>133</v>
      </c>
      <c r="C6269" t="s">
        <v>21</v>
      </c>
      <c r="D6269">
        <v>1101</v>
      </c>
      <c r="E6269">
        <v>2021</v>
      </c>
      <c r="F6269">
        <v>12</v>
      </c>
      <c r="G6269">
        <v>20205</v>
      </c>
      <c r="H6269" s="1">
        <v>3</v>
      </c>
      <c r="I6269">
        <v>19</v>
      </c>
      <c r="J6269">
        <f>IF($H6269=0,1,IF($I6269&lt;=1,2,0))</f>
        <v>0</v>
      </c>
      <c r="K6269">
        <v>0</v>
      </c>
      <c r="L6269">
        <f>IF(AND($J6269=0,$K6269=0),0,1)</f>
        <v>0</v>
      </c>
    </row>
    <row r="6270" spans="1:12" x14ac:dyDescent="0.2">
      <c r="A6270" t="s">
        <v>545</v>
      </c>
      <c r="B6270" t="s">
        <v>133</v>
      </c>
      <c r="C6270" t="s">
        <v>21</v>
      </c>
      <c r="D6270">
        <v>1102</v>
      </c>
      <c r="E6270">
        <v>2021</v>
      </c>
      <c r="F6270">
        <v>3</v>
      </c>
      <c r="G6270">
        <v>10634</v>
      </c>
      <c r="H6270" s="1">
        <v>3</v>
      </c>
      <c r="I6270">
        <v>97</v>
      </c>
      <c r="J6270">
        <f>IF($H6270=0,1,IF($I6270&lt;=1,2,0))</f>
        <v>0</v>
      </c>
      <c r="K6270">
        <v>0</v>
      </c>
      <c r="L6270">
        <f>IF(AND($J6270=0,$K6270=0),0,1)</f>
        <v>0</v>
      </c>
    </row>
    <row r="6271" spans="1:12" x14ac:dyDescent="0.2">
      <c r="A6271" t="s">
        <v>545</v>
      </c>
      <c r="B6271" t="s">
        <v>133</v>
      </c>
      <c r="C6271" t="s">
        <v>21</v>
      </c>
      <c r="D6271">
        <v>1102</v>
      </c>
      <c r="E6271">
        <v>2021</v>
      </c>
      <c r="F6271">
        <v>4</v>
      </c>
      <c r="G6271">
        <v>10635</v>
      </c>
      <c r="H6271" s="1">
        <v>3</v>
      </c>
      <c r="I6271">
        <v>58</v>
      </c>
      <c r="J6271">
        <f>IF($H6271=0,1,IF($I6271&lt;=1,2,0))</f>
        <v>0</v>
      </c>
      <c r="K6271">
        <v>0</v>
      </c>
      <c r="L6271">
        <f>IF(AND($J6271=0,$K6271=0),0,1)</f>
        <v>0</v>
      </c>
    </row>
    <row r="6272" spans="1:12" x14ac:dyDescent="0.2">
      <c r="A6272" t="s">
        <v>545</v>
      </c>
      <c r="B6272" t="s">
        <v>133</v>
      </c>
      <c r="C6272" t="s">
        <v>21</v>
      </c>
      <c r="D6272">
        <v>1102</v>
      </c>
      <c r="E6272">
        <v>2021</v>
      </c>
      <c r="F6272">
        <v>6</v>
      </c>
      <c r="G6272">
        <v>10638</v>
      </c>
      <c r="H6272" s="1">
        <v>3</v>
      </c>
      <c r="I6272">
        <v>41</v>
      </c>
      <c r="J6272">
        <f>IF($H6272=0,1,IF($I6272&lt;=1,2,0))</f>
        <v>0</v>
      </c>
      <c r="K6272">
        <v>0</v>
      </c>
      <c r="L6272">
        <f>IF(AND($J6272=0,$K6272=0),0,1)</f>
        <v>0</v>
      </c>
    </row>
    <row r="6273" spans="1:12" x14ac:dyDescent="0.2">
      <c r="A6273" t="s">
        <v>545</v>
      </c>
      <c r="B6273" t="s">
        <v>133</v>
      </c>
      <c r="C6273" t="s">
        <v>21</v>
      </c>
      <c r="D6273">
        <v>1102</v>
      </c>
      <c r="E6273">
        <v>2021</v>
      </c>
      <c r="F6273">
        <v>5</v>
      </c>
      <c r="G6273">
        <v>10636</v>
      </c>
      <c r="H6273" s="1">
        <v>3</v>
      </c>
      <c r="I6273">
        <v>31</v>
      </c>
      <c r="J6273">
        <f>IF($H6273=0,1,IF($I6273&lt;=1,2,0))</f>
        <v>0</v>
      </c>
      <c r="K6273">
        <v>0</v>
      </c>
      <c r="L6273">
        <f>IF(AND($J6273=0,$K6273=0),0,1)</f>
        <v>0</v>
      </c>
    </row>
    <row r="6274" spans="1:12" x14ac:dyDescent="0.2">
      <c r="A6274" t="s">
        <v>545</v>
      </c>
      <c r="B6274" t="s">
        <v>133</v>
      </c>
      <c r="C6274" t="s">
        <v>21</v>
      </c>
      <c r="D6274">
        <v>1102</v>
      </c>
      <c r="E6274">
        <v>2021</v>
      </c>
      <c r="F6274">
        <v>1</v>
      </c>
      <c r="G6274">
        <v>10631</v>
      </c>
      <c r="H6274" s="1">
        <v>3</v>
      </c>
      <c r="I6274">
        <v>20</v>
      </c>
      <c r="J6274">
        <f>IF($H6274=0,1,IF($I6274&lt;=1,2,0))</f>
        <v>0</v>
      </c>
      <c r="K6274">
        <v>0</v>
      </c>
      <c r="L6274">
        <f>IF(AND($J6274=0,$K6274=0),0,1)</f>
        <v>0</v>
      </c>
    </row>
    <row r="6275" spans="1:12" x14ac:dyDescent="0.2">
      <c r="A6275" t="s">
        <v>545</v>
      </c>
      <c r="B6275" t="s">
        <v>133</v>
      </c>
      <c r="C6275" t="s">
        <v>21</v>
      </c>
      <c r="D6275">
        <v>1102</v>
      </c>
      <c r="E6275">
        <v>2021</v>
      </c>
      <c r="F6275">
        <v>2</v>
      </c>
      <c r="G6275">
        <v>10632</v>
      </c>
      <c r="H6275" s="1">
        <v>3</v>
      </c>
      <c r="I6275">
        <v>19</v>
      </c>
      <c r="J6275">
        <f>IF($H6275=0,1,IF($I6275&lt;=1,2,0))</f>
        <v>0</v>
      </c>
      <c r="K6275">
        <v>0</v>
      </c>
      <c r="L6275">
        <f>IF(AND($J6275=0,$K6275=0),0,1)</f>
        <v>0</v>
      </c>
    </row>
    <row r="6276" spans="1:12" x14ac:dyDescent="0.2">
      <c r="A6276" t="s">
        <v>545</v>
      </c>
      <c r="B6276" t="s">
        <v>133</v>
      </c>
      <c r="C6276" t="s">
        <v>21</v>
      </c>
      <c r="D6276">
        <v>1201</v>
      </c>
      <c r="E6276">
        <v>2021</v>
      </c>
      <c r="F6276">
        <v>7</v>
      </c>
      <c r="G6276">
        <v>10648</v>
      </c>
      <c r="H6276" s="1">
        <v>3</v>
      </c>
      <c r="I6276">
        <v>102</v>
      </c>
      <c r="J6276">
        <f>IF($H6276=0,1,IF($I6276&lt;=1,2,0))</f>
        <v>0</v>
      </c>
      <c r="K6276">
        <v>0</v>
      </c>
      <c r="L6276">
        <f>IF(AND($J6276=0,$K6276=0),0,1)</f>
        <v>0</v>
      </c>
    </row>
    <row r="6277" spans="1:12" x14ac:dyDescent="0.2">
      <c r="A6277" t="s">
        <v>545</v>
      </c>
      <c r="B6277" t="s">
        <v>133</v>
      </c>
      <c r="C6277" t="s">
        <v>21</v>
      </c>
      <c r="D6277">
        <v>1201</v>
      </c>
      <c r="E6277">
        <v>2021</v>
      </c>
      <c r="F6277">
        <v>8</v>
      </c>
      <c r="G6277">
        <v>10649</v>
      </c>
      <c r="H6277" s="1">
        <v>3</v>
      </c>
      <c r="I6277">
        <v>102</v>
      </c>
      <c r="J6277">
        <f>IF($H6277=0,1,IF($I6277&lt;=1,2,0))</f>
        <v>0</v>
      </c>
      <c r="K6277">
        <v>0</v>
      </c>
      <c r="L6277">
        <f>IF(AND($J6277=0,$K6277=0),0,1)</f>
        <v>0</v>
      </c>
    </row>
    <row r="6278" spans="1:12" x14ac:dyDescent="0.2">
      <c r="A6278" t="s">
        <v>545</v>
      </c>
      <c r="B6278" t="s">
        <v>133</v>
      </c>
      <c r="C6278" t="s">
        <v>21</v>
      </c>
      <c r="D6278">
        <v>1201</v>
      </c>
      <c r="E6278">
        <v>2021</v>
      </c>
      <c r="F6278">
        <v>6</v>
      </c>
      <c r="G6278">
        <v>10647</v>
      </c>
      <c r="H6278" s="1">
        <v>3</v>
      </c>
      <c r="I6278">
        <v>77</v>
      </c>
      <c r="J6278">
        <f>IF($H6278=0,1,IF($I6278&lt;=1,2,0))</f>
        <v>0</v>
      </c>
      <c r="K6278">
        <v>0</v>
      </c>
      <c r="L6278">
        <f>IF(AND($J6278=0,$K6278=0),0,1)</f>
        <v>0</v>
      </c>
    </row>
    <row r="6279" spans="1:12" x14ac:dyDescent="0.2">
      <c r="A6279" t="s">
        <v>545</v>
      </c>
      <c r="B6279" t="s">
        <v>133</v>
      </c>
      <c r="C6279" t="s">
        <v>21</v>
      </c>
      <c r="D6279">
        <v>1201</v>
      </c>
      <c r="E6279">
        <v>2021</v>
      </c>
      <c r="F6279">
        <v>5</v>
      </c>
      <c r="G6279">
        <v>10646</v>
      </c>
      <c r="H6279" s="1">
        <v>3</v>
      </c>
      <c r="I6279">
        <v>37</v>
      </c>
      <c r="J6279">
        <f>IF($H6279=0,1,IF($I6279&lt;=1,2,0))</f>
        <v>0</v>
      </c>
      <c r="K6279">
        <v>0</v>
      </c>
      <c r="L6279">
        <f>IF(AND($J6279=0,$K6279=0),0,1)</f>
        <v>0</v>
      </c>
    </row>
    <row r="6280" spans="1:12" x14ac:dyDescent="0.2">
      <c r="A6280" t="s">
        <v>545</v>
      </c>
      <c r="B6280" t="s">
        <v>133</v>
      </c>
      <c r="C6280" t="s">
        <v>21</v>
      </c>
      <c r="D6280">
        <v>1201</v>
      </c>
      <c r="E6280">
        <v>2021</v>
      </c>
      <c r="F6280">
        <v>3</v>
      </c>
      <c r="G6280">
        <v>10642</v>
      </c>
      <c r="H6280" s="1">
        <v>3</v>
      </c>
      <c r="I6280">
        <v>30</v>
      </c>
      <c r="J6280">
        <f>IF($H6280=0,1,IF($I6280&lt;=1,2,0))</f>
        <v>0</v>
      </c>
      <c r="K6280">
        <v>0</v>
      </c>
      <c r="L6280">
        <f>IF(AND($J6280=0,$K6280=0),0,1)</f>
        <v>0</v>
      </c>
    </row>
    <row r="6281" spans="1:12" x14ac:dyDescent="0.2">
      <c r="A6281" t="s">
        <v>545</v>
      </c>
      <c r="B6281" t="s">
        <v>133</v>
      </c>
      <c r="C6281" t="s">
        <v>21</v>
      </c>
      <c r="D6281">
        <v>1201</v>
      </c>
      <c r="E6281">
        <v>2021</v>
      </c>
      <c r="F6281">
        <v>1</v>
      </c>
      <c r="G6281">
        <v>10640</v>
      </c>
      <c r="H6281" s="1">
        <v>3</v>
      </c>
      <c r="I6281">
        <v>26</v>
      </c>
      <c r="J6281">
        <f>IF($H6281=0,1,IF($I6281&lt;=1,2,0))</f>
        <v>0</v>
      </c>
      <c r="K6281">
        <v>0</v>
      </c>
      <c r="L6281">
        <f>IF(AND($J6281=0,$K6281=0),0,1)</f>
        <v>0</v>
      </c>
    </row>
    <row r="6282" spans="1:12" x14ac:dyDescent="0.2">
      <c r="A6282" t="s">
        <v>545</v>
      </c>
      <c r="B6282" t="s">
        <v>133</v>
      </c>
      <c r="C6282" t="s">
        <v>21</v>
      </c>
      <c r="D6282">
        <v>1201</v>
      </c>
      <c r="E6282">
        <v>2021</v>
      </c>
      <c r="F6282">
        <v>4</v>
      </c>
      <c r="G6282">
        <v>10645</v>
      </c>
      <c r="H6282" s="1">
        <v>3</v>
      </c>
      <c r="I6282">
        <v>26</v>
      </c>
      <c r="J6282">
        <f>IF($H6282=0,1,IF($I6282&lt;=1,2,0))</f>
        <v>0</v>
      </c>
      <c r="K6282">
        <v>0</v>
      </c>
      <c r="L6282">
        <f>IF(AND($J6282=0,$K6282=0),0,1)</f>
        <v>0</v>
      </c>
    </row>
    <row r="6283" spans="1:12" x14ac:dyDescent="0.2">
      <c r="A6283" t="s">
        <v>545</v>
      </c>
      <c r="B6283" t="s">
        <v>133</v>
      </c>
      <c r="C6283" t="s">
        <v>21</v>
      </c>
      <c r="D6283">
        <v>1201</v>
      </c>
      <c r="E6283">
        <v>2021</v>
      </c>
      <c r="F6283">
        <v>2</v>
      </c>
      <c r="G6283">
        <v>10641</v>
      </c>
      <c r="H6283" s="1">
        <v>3</v>
      </c>
      <c r="I6283">
        <v>25</v>
      </c>
      <c r="J6283">
        <f>IF($H6283=0,1,IF($I6283&lt;=1,2,0))</f>
        <v>0</v>
      </c>
      <c r="K6283">
        <v>0</v>
      </c>
      <c r="L6283">
        <f>IF(AND($J6283=0,$K6283=0),0,1)</f>
        <v>0</v>
      </c>
    </row>
    <row r="6284" spans="1:12" x14ac:dyDescent="0.2">
      <c r="A6284" t="s">
        <v>545</v>
      </c>
      <c r="B6284" t="s">
        <v>133</v>
      </c>
      <c r="C6284" t="s">
        <v>21</v>
      </c>
      <c r="D6284">
        <v>1202</v>
      </c>
      <c r="E6284">
        <v>2021</v>
      </c>
      <c r="F6284">
        <v>2</v>
      </c>
      <c r="G6284">
        <v>10651</v>
      </c>
      <c r="H6284" s="1">
        <v>3</v>
      </c>
      <c r="I6284">
        <v>48</v>
      </c>
      <c r="J6284">
        <f>IF($H6284=0,1,IF($I6284&lt;=1,2,0))</f>
        <v>0</v>
      </c>
      <c r="K6284">
        <v>0</v>
      </c>
      <c r="L6284">
        <f>IF(AND($J6284=0,$K6284=0),0,1)</f>
        <v>0</v>
      </c>
    </row>
    <row r="6285" spans="1:12" x14ac:dyDescent="0.2">
      <c r="A6285" t="s">
        <v>545</v>
      </c>
      <c r="B6285" t="s">
        <v>133</v>
      </c>
      <c r="C6285" t="s">
        <v>21</v>
      </c>
      <c r="D6285">
        <v>1202</v>
      </c>
      <c r="E6285">
        <v>2021</v>
      </c>
      <c r="F6285">
        <v>1</v>
      </c>
      <c r="G6285">
        <v>10650</v>
      </c>
      <c r="H6285" s="1">
        <v>3</v>
      </c>
      <c r="I6285">
        <v>25</v>
      </c>
      <c r="J6285">
        <f>IF($H6285=0,1,IF($I6285&lt;=1,2,0))</f>
        <v>0</v>
      </c>
      <c r="K6285">
        <v>0</v>
      </c>
      <c r="L6285">
        <f>IF(AND($J6285=0,$K6285=0),0,1)</f>
        <v>0</v>
      </c>
    </row>
    <row r="6286" spans="1:12" x14ac:dyDescent="0.2">
      <c r="A6286" t="s">
        <v>545</v>
      </c>
      <c r="B6286" t="s">
        <v>133</v>
      </c>
      <c r="C6286" t="s">
        <v>9</v>
      </c>
      <c r="D6286">
        <v>1205</v>
      </c>
      <c r="E6286">
        <v>2021</v>
      </c>
      <c r="F6286">
        <v>1</v>
      </c>
      <c r="G6286">
        <v>10652</v>
      </c>
      <c r="H6286" s="1">
        <v>4</v>
      </c>
      <c r="I6286">
        <v>38</v>
      </c>
      <c r="J6286">
        <f>IF($H6286=0,1,IF($I6286&lt;=1,2,0))</f>
        <v>0</v>
      </c>
      <c r="K6286">
        <v>0</v>
      </c>
      <c r="L6286">
        <f>IF(AND($J6286=0,$K6286=0),0,1)</f>
        <v>0</v>
      </c>
    </row>
    <row r="6287" spans="1:12" x14ac:dyDescent="0.2">
      <c r="A6287" t="s">
        <v>545</v>
      </c>
      <c r="B6287" t="s">
        <v>133</v>
      </c>
      <c r="C6287" t="s">
        <v>21</v>
      </c>
      <c r="D6287">
        <v>1207</v>
      </c>
      <c r="E6287">
        <v>2021</v>
      </c>
      <c r="F6287">
        <v>1</v>
      </c>
      <c r="G6287">
        <v>10656</v>
      </c>
      <c r="H6287" s="1">
        <v>4</v>
      </c>
      <c r="I6287">
        <v>47</v>
      </c>
      <c r="J6287">
        <f>IF($H6287=0,1,IF($I6287&lt;=1,2,0))</f>
        <v>0</v>
      </c>
      <c r="K6287">
        <v>0</v>
      </c>
      <c r="L6287">
        <f>IF(AND($J6287=0,$K6287=0),0,1)</f>
        <v>0</v>
      </c>
    </row>
    <row r="6288" spans="1:12" x14ac:dyDescent="0.2">
      <c r="A6288" t="s">
        <v>545</v>
      </c>
      <c r="B6288" t="s">
        <v>133</v>
      </c>
      <c r="C6288" t="s">
        <v>9</v>
      </c>
      <c r="D6288">
        <v>2000</v>
      </c>
      <c r="E6288">
        <v>2021</v>
      </c>
      <c r="F6288">
        <v>1</v>
      </c>
      <c r="G6288">
        <v>172</v>
      </c>
      <c r="H6288" s="1">
        <v>3</v>
      </c>
      <c r="I6288">
        <v>31</v>
      </c>
      <c r="J6288">
        <f>IF($H6288=0,1,IF($I6288&lt;=1,2,0))</f>
        <v>0</v>
      </c>
      <c r="K6288">
        <v>0</v>
      </c>
      <c r="L6288">
        <f>IF(AND($J6288=0,$K6288=0),0,1)</f>
        <v>0</v>
      </c>
    </row>
    <row r="6289" spans="1:12" x14ac:dyDescent="0.2">
      <c r="A6289" t="s">
        <v>545</v>
      </c>
      <c r="B6289" t="s">
        <v>133</v>
      </c>
      <c r="C6289" t="s">
        <v>21</v>
      </c>
      <c r="D6289">
        <v>2010</v>
      </c>
      <c r="E6289">
        <v>2021</v>
      </c>
      <c r="F6289">
        <v>4</v>
      </c>
      <c r="G6289">
        <v>10693</v>
      </c>
      <c r="H6289" s="1">
        <v>3</v>
      </c>
      <c r="I6289">
        <v>50</v>
      </c>
      <c r="J6289">
        <f>IF($H6289=0,1,IF($I6289&lt;=1,2,0))</f>
        <v>0</v>
      </c>
      <c r="K6289">
        <v>0</v>
      </c>
      <c r="L6289">
        <f>IF(AND($J6289=0,$K6289=0),0,1)</f>
        <v>0</v>
      </c>
    </row>
    <row r="6290" spans="1:12" x14ac:dyDescent="0.2">
      <c r="A6290" t="s">
        <v>545</v>
      </c>
      <c r="B6290" t="s">
        <v>133</v>
      </c>
      <c r="C6290" t="s">
        <v>21</v>
      </c>
      <c r="D6290">
        <v>2010</v>
      </c>
      <c r="E6290">
        <v>2021</v>
      </c>
      <c r="F6290">
        <v>2</v>
      </c>
      <c r="G6290">
        <v>174</v>
      </c>
      <c r="H6290" s="1">
        <v>3</v>
      </c>
      <c r="I6290">
        <v>40</v>
      </c>
      <c r="J6290">
        <f>IF($H6290=0,1,IF($I6290&lt;=1,2,0))</f>
        <v>0</v>
      </c>
      <c r="K6290">
        <v>0</v>
      </c>
      <c r="L6290">
        <f>IF(AND($J6290=0,$K6290=0),0,1)</f>
        <v>0</v>
      </c>
    </row>
    <row r="6291" spans="1:12" x14ac:dyDescent="0.2">
      <c r="A6291" t="s">
        <v>545</v>
      </c>
      <c r="B6291" t="s">
        <v>133</v>
      </c>
      <c r="C6291" t="s">
        <v>21</v>
      </c>
      <c r="D6291">
        <v>2010</v>
      </c>
      <c r="E6291">
        <v>2021</v>
      </c>
      <c r="F6291">
        <v>3</v>
      </c>
      <c r="G6291">
        <v>10679</v>
      </c>
      <c r="H6291" s="1">
        <v>3</v>
      </c>
      <c r="I6291">
        <v>38</v>
      </c>
      <c r="J6291">
        <f>IF($H6291=0,1,IF($I6291&lt;=1,2,0))</f>
        <v>0</v>
      </c>
      <c r="K6291">
        <v>0</v>
      </c>
      <c r="L6291">
        <f>IF(AND($J6291=0,$K6291=0),0,1)</f>
        <v>0</v>
      </c>
    </row>
    <row r="6292" spans="1:12" x14ac:dyDescent="0.2">
      <c r="A6292" t="s">
        <v>545</v>
      </c>
      <c r="B6292" t="s">
        <v>133</v>
      </c>
      <c r="C6292" t="s">
        <v>21</v>
      </c>
      <c r="D6292">
        <v>2010</v>
      </c>
      <c r="E6292">
        <v>2021</v>
      </c>
      <c r="F6292">
        <v>1</v>
      </c>
      <c r="G6292">
        <v>173</v>
      </c>
      <c r="H6292" s="1">
        <v>3</v>
      </c>
      <c r="I6292">
        <v>29</v>
      </c>
      <c r="J6292">
        <f>IF($H6292=0,1,IF($I6292&lt;=1,2,0))</f>
        <v>0</v>
      </c>
      <c r="K6292">
        <v>0</v>
      </c>
      <c r="L6292">
        <f>IF(AND($J6292=0,$K6292=0),0,1)</f>
        <v>0</v>
      </c>
    </row>
    <row r="6293" spans="1:12" x14ac:dyDescent="0.2">
      <c r="A6293" t="s">
        <v>545</v>
      </c>
      <c r="B6293" t="s">
        <v>133</v>
      </c>
      <c r="C6293" t="s">
        <v>21</v>
      </c>
      <c r="D6293">
        <v>2010</v>
      </c>
      <c r="E6293">
        <v>2021</v>
      </c>
      <c r="F6293">
        <v>5</v>
      </c>
      <c r="G6293">
        <v>10698</v>
      </c>
      <c r="H6293" s="1">
        <v>3</v>
      </c>
      <c r="I6293">
        <v>13</v>
      </c>
      <c r="J6293">
        <f>IF($H6293=0,1,IF($I6293&lt;=1,2,0))</f>
        <v>0</v>
      </c>
      <c r="K6293">
        <v>0</v>
      </c>
      <c r="L6293">
        <f>IF(AND($J6293=0,$K6293=0),0,1)</f>
        <v>0</v>
      </c>
    </row>
    <row r="6294" spans="1:12" x14ac:dyDescent="0.2">
      <c r="A6294" t="s">
        <v>545</v>
      </c>
      <c r="B6294" t="s">
        <v>133</v>
      </c>
      <c r="C6294" t="s">
        <v>21</v>
      </c>
      <c r="D6294">
        <v>2030</v>
      </c>
      <c r="E6294">
        <v>2021</v>
      </c>
      <c r="F6294">
        <v>2</v>
      </c>
      <c r="G6294">
        <v>10719</v>
      </c>
      <c r="H6294" s="1">
        <v>3</v>
      </c>
      <c r="I6294">
        <v>67</v>
      </c>
      <c r="J6294">
        <f>IF($H6294=0,1,IF($I6294&lt;=1,2,0))</f>
        <v>0</v>
      </c>
      <c r="K6294">
        <v>0</v>
      </c>
      <c r="L6294">
        <f>IF(AND($J6294=0,$K6294=0),0,1)</f>
        <v>0</v>
      </c>
    </row>
    <row r="6295" spans="1:12" x14ac:dyDescent="0.2">
      <c r="A6295" t="s">
        <v>545</v>
      </c>
      <c r="B6295" t="s">
        <v>133</v>
      </c>
      <c r="C6295" t="s">
        <v>21</v>
      </c>
      <c r="D6295">
        <v>2030</v>
      </c>
      <c r="E6295">
        <v>2021</v>
      </c>
      <c r="F6295">
        <v>1</v>
      </c>
      <c r="G6295">
        <v>10718</v>
      </c>
      <c r="H6295" s="1">
        <v>3</v>
      </c>
      <c r="I6295">
        <v>36</v>
      </c>
      <c r="J6295">
        <f>IF($H6295=0,1,IF($I6295&lt;=1,2,0))</f>
        <v>0</v>
      </c>
      <c r="K6295">
        <v>0</v>
      </c>
      <c r="L6295">
        <f>IF(AND($J6295=0,$K6295=0),0,1)</f>
        <v>0</v>
      </c>
    </row>
    <row r="6296" spans="1:12" x14ac:dyDescent="0.2">
      <c r="A6296" t="s">
        <v>545</v>
      </c>
      <c r="B6296" t="s">
        <v>133</v>
      </c>
      <c r="C6296" t="s">
        <v>21</v>
      </c>
      <c r="D6296">
        <v>2500</v>
      </c>
      <c r="E6296">
        <v>2021</v>
      </c>
      <c r="F6296">
        <v>2</v>
      </c>
      <c r="G6296">
        <v>10721</v>
      </c>
      <c r="H6296" s="1">
        <v>3</v>
      </c>
      <c r="I6296">
        <v>49</v>
      </c>
      <c r="J6296">
        <f>IF($H6296=0,1,IF($I6296&lt;=1,2,0))</f>
        <v>0</v>
      </c>
      <c r="K6296">
        <v>0</v>
      </c>
      <c r="L6296">
        <f>IF(AND($J6296=0,$K6296=0),0,1)</f>
        <v>0</v>
      </c>
    </row>
    <row r="6297" spans="1:12" x14ac:dyDescent="0.2">
      <c r="A6297" t="s">
        <v>545</v>
      </c>
      <c r="B6297" t="s">
        <v>133</v>
      </c>
      <c r="C6297" t="s">
        <v>21</v>
      </c>
      <c r="D6297">
        <v>2500</v>
      </c>
      <c r="E6297">
        <v>2021</v>
      </c>
      <c r="F6297">
        <v>1</v>
      </c>
      <c r="G6297">
        <v>10720</v>
      </c>
      <c r="H6297" s="1">
        <v>3</v>
      </c>
      <c r="I6297">
        <v>33</v>
      </c>
      <c r="J6297">
        <f>IF($H6297=0,1,IF($I6297&lt;=1,2,0))</f>
        <v>0</v>
      </c>
      <c r="K6297">
        <v>0</v>
      </c>
      <c r="L6297">
        <f>IF(AND($J6297=0,$K6297=0),0,1)</f>
        <v>0</v>
      </c>
    </row>
    <row r="6298" spans="1:12" x14ac:dyDescent="0.2">
      <c r="A6298" t="s">
        <v>545</v>
      </c>
      <c r="B6298" t="s">
        <v>133</v>
      </c>
      <c r="C6298" t="s">
        <v>21</v>
      </c>
      <c r="D6298">
        <v>3007</v>
      </c>
      <c r="E6298">
        <v>2021</v>
      </c>
      <c r="F6298">
        <v>1</v>
      </c>
      <c r="G6298">
        <v>10722</v>
      </c>
      <c r="H6298" s="1">
        <v>3</v>
      </c>
      <c r="I6298">
        <v>40</v>
      </c>
      <c r="J6298">
        <f>IF($H6298=0,1,IF($I6298&lt;=1,2,0))</f>
        <v>0</v>
      </c>
      <c r="K6298">
        <v>0</v>
      </c>
      <c r="L6298">
        <f>IF(AND($J6298=0,$K6298=0),0,1)</f>
        <v>0</v>
      </c>
    </row>
    <row r="6299" spans="1:12" x14ac:dyDescent="0.2">
      <c r="A6299" t="s">
        <v>545</v>
      </c>
      <c r="B6299" t="s">
        <v>133</v>
      </c>
      <c r="C6299" t="s">
        <v>21</v>
      </c>
      <c r="D6299">
        <v>3025</v>
      </c>
      <c r="E6299">
        <v>2021</v>
      </c>
      <c r="F6299">
        <v>1</v>
      </c>
      <c r="G6299">
        <v>10723</v>
      </c>
      <c r="H6299" s="1">
        <v>3</v>
      </c>
      <c r="I6299">
        <v>82</v>
      </c>
      <c r="J6299">
        <f>IF($H6299=0,1,IF($I6299&lt;=1,2,0))</f>
        <v>0</v>
      </c>
      <c r="K6299">
        <v>0</v>
      </c>
      <c r="L6299">
        <f>IF(AND($J6299=0,$K6299=0),0,1)</f>
        <v>0</v>
      </c>
    </row>
    <row r="6300" spans="1:12" x14ac:dyDescent="0.2">
      <c r="A6300" t="s">
        <v>545</v>
      </c>
      <c r="B6300" t="s">
        <v>133</v>
      </c>
      <c r="C6300" t="s">
        <v>21</v>
      </c>
      <c r="D6300">
        <v>3027</v>
      </c>
      <c r="E6300">
        <v>2021</v>
      </c>
      <c r="F6300">
        <v>1</v>
      </c>
      <c r="G6300">
        <v>10735</v>
      </c>
      <c r="H6300" s="1">
        <v>3</v>
      </c>
      <c r="I6300">
        <v>39</v>
      </c>
      <c r="J6300">
        <f>IF($H6300=0,1,IF($I6300&lt;=1,2,0))</f>
        <v>0</v>
      </c>
      <c r="K6300">
        <v>0</v>
      </c>
      <c r="L6300">
        <f>IF(AND($J6300=0,$K6300=0),0,1)</f>
        <v>0</v>
      </c>
    </row>
    <row r="6301" spans="1:12" x14ac:dyDescent="0.2">
      <c r="A6301" t="s">
        <v>545</v>
      </c>
      <c r="B6301" t="s">
        <v>133</v>
      </c>
      <c r="C6301" t="s">
        <v>21</v>
      </c>
      <c r="D6301">
        <v>3386</v>
      </c>
      <c r="E6301">
        <v>2021</v>
      </c>
      <c r="F6301">
        <v>1</v>
      </c>
      <c r="G6301">
        <v>10751</v>
      </c>
      <c r="H6301" s="1">
        <v>3</v>
      </c>
      <c r="I6301">
        <v>9</v>
      </c>
      <c r="J6301">
        <f>IF($H6301=0,1,IF($I6301&lt;=1,2,0))</f>
        <v>0</v>
      </c>
      <c r="K6301">
        <v>0</v>
      </c>
      <c r="L6301">
        <f>IF(AND($J6301=0,$K6301=0),0,1)</f>
        <v>0</v>
      </c>
    </row>
    <row r="6302" spans="1:12" x14ac:dyDescent="0.2">
      <c r="A6302" t="s">
        <v>545</v>
      </c>
      <c r="B6302" t="s">
        <v>133</v>
      </c>
      <c r="C6302" t="s">
        <v>21</v>
      </c>
      <c r="D6302">
        <v>3951</v>
      </c>
      <c r="E6302">
        <v>2021</v>
      </c>
      <c r="F6302">
        <v>1</v>
      </c>
      <c r="G6302">
        <v>175</v>
      </c>
      <c r="H6302" s="1">
        <v>3</v>
      </c>
      <c r="I6302">
        <v>61</v>
      </c>
      <c r="J6302">
        <f>IF($H6302=0,1,IF($I6302&lt;=1,2,0))</f>
        <v>0</v>
      </c>
      <c r="K6302">
        <v>0</v>
      </c>
      <c r="L6302">
        <f>IF(AND($J6302=0,$K6302=0),0,1)</f>
        <v>0</v>
      </c>
    </row>
    <row r="6303" spans="1:12" x14ac:dyDescent="0.2">
      <c r="A6303" t="s">
        <v>545</v>
      </c>
      <c r="B6303" t="s">
        <v>133</v>
      </c>
      <c r="C6303" t="s">
        <v>9</v>
      </c>
      <c r="D6303">
        <v>4032</v>
      </c>
      <c r="E6303">
        <v>2021</v>
      </c>
      <c r="F6303">
        <v>1</v>
      </c>
      <c r="G6303">
        <v>10764</v>
      </c>
      <c r="H6303" s="1">
        <v>3</v>
      </c>
      <c r="I6303">
        <v>17</v>
      </c>
      <c r="J6303">
        <f>IF($H6303=0,1,IF($I6303&lt;=1,2,0))</f>
        <v>0</v>
      </c>
      <c r="K6303">
        <v>0</v>
      </c>
      <c r="L6303">
        <f>IF(AND($J6303=0,$K6303=0),0,1)</f>
        <v>0</v>
      </c>
    </row>
    <row r="6304" spans="1:12" x14ac:dyDescent="0.2">
      <c r="A6304" t="s">
        <v>545</v>
      </c>
      <c r="B6304" t="s">
        <v>133</v>
      </c>
      <c r="C6304" t="s">
        <v>9</v>
      </c>
      <c r="D6304">
        <v>4041</v>
      </c>
      <c r="E6304">
        <v>2021</v>
      </c>
      <c r="F6304">
        <v>1</v>
      </c>
      <c r="G6304">
        <v>12812</v>
      </c>
      <c r="H6304" s="1">
        <v>3</v>
      </c>
      <c r="I6304">
        <v>61</v>
      </c>
      <c r="J6304">
        <f>IF($H6304=0,1,IF($I6304&lt;=1,2,0))</f>
        <v>0</v>
      </c>
      <c r="K6304">
        <v>0</v>
      </c>
      <c r="L6304">
        <f>IF(AND($J6304=0,$K6304=0),0,1)</f>
        <v>0</v>
      </c>
    </row>
    <row r="6305" spans="1:13" x14ac:dyDescent="0.2">
      <c r="A6305" t="s">
        <v>545</v>
      </c>
      <c r="B6305" t="s">
        <v>133</v>
      </c>
      <c r="C6305" t="s">
        <v>9</v>
      </c>
      <c r="D6305">
        <v>4042</v>
      </c>
      <c r="E6305">
        <v>2021</v>
      </c>
      <c r="F6305">
        <v>1</v>
      </c>
      <c r="G6305">
        <v>10765</v>
      </c>
      <c r="H6305" s="1">
        <v>3</v>
      </c>
      <c r="I6305">
        <v>8</v>
      </c>
      <c r="J6305">
        <f>IF($H6305=0,1,IF($I6305&lt;=1,2,0))</f>
        <v>0</v>
      </c>
      <c r="K6305">
        <v>0</v>
      </c>
      <c r="L6305">
        <f>IF(AND($J6305=0,$K6305=0),0,1)</f>
        <v>0</v>
      </c>
    </row>
    <row r="6306" spans="1:13" x14ac:dyDescent="0.2">
      <c r="A6306" t="s">
        <v>545</v>
      </c>
      <c r="B6306" t="s">
        <v>133</v>
      </c>
      <c r="C6306" t="s">
        <v>9</v>
      </c>
      <c r="D6306">
        <v>4044</v>
      </c>
      <c r="E6306">
        <v>2021</v>
      </c>
      <c r="F6306">
        <v>1</v>
      </c>
      <c r="G6306">
        <v>10766</v>
      </c>
      <c r="H6306" s="1">
        <v>3</v>
      </c>
      <c r="I6306">
        <v>9</v>
      </c>
      <c r="J6306">
        <f>IF($H6306=0,1,IF($I6306&lt;=1,2,0))</f>
        <v>0</v>
      </c>
      <c r="K6306">
        <v>0</v>
      </c>
      <c r="L6306">
        <f>IF(AND($J6306=0,$K6306=0),0,1)</f>
        <v>0</v>
      </c>
    </row>
    <row r="6307" spans="1:13" x14ac:dyDescent="0.2">
      <c r="A6307" t="s">
        <v>545</v>
      </c>
      <c r="B6307" t="s">
        <v>133</v>
      </c>
      <c r="C6307" t="s">
        <v>9</v>
      </c>
      <c r="D6307">
        <v>4051</v>
      </c>
      <c r="E6307">
        <v>2021</v>
      </c>
      <c r="F6307">
        <v>1</v>
      </c>
      <c r="G6307">
        <v>10767</v>
      </c>
      <c r="H6307" s="1">
        <v>3</v>
      </c>
      <c r="I6307">
        <v>26</v>
      </c>
      <c r="J6307">
        <f>IF($H6307=0,1,IF($I6307&lt;=1,2,0))</f>
        <v>0</v>
      </c>
      <c r="K6307">
        <v>0</v>
      </c>
      <c r="L6307">
        <f>IF(AND($J6307=0,$K6307=0),0,1)</f>
        <v>0</v>
      </c>
    </row>
    <row r="6308" spans="1:13" x14ac:dyDescent="0.2">
      <c r="A6308" t="s">
        <v>545</v>
      </c>
      <c r="B6308" t="s">
        <v>133</v>
      </c>
      <c r="C6308" t="s">
        <v>9</v>
      </c>
      <c r="D6308">
        <v>4052</v>
      </c>
      <c r="E6308">
        <v>2021</v>
      </c>
      <c r="F6308">
        <v>1</v>
      </c>
      <c r="G6308">
        <v>10768</v>
      </c>
      <c r="H6308" s="1">
        <v>3</v>
      </c>
      <c r="I6308">
        <v>11</v>
      </c>
      <c r="J6308">
        <f>IF($H6308=0,1,IF($I6308&lt;=1,2,0))</f>
        <v>0</v>
      </c>
      <c r="K6308">
        <v>0</v>
      </c>
      <c r="L6308">
        <f>IF(AND($J6308=0,$K6308=0),0,1)</f>
        <v>0</v>
      </c>
    </row>
    <row r="6309" spans="1:13" x14ac:dyDescent="0.2">
      <c r="A6309" t="s">
        <v>545</v>
      </c>
      <c r="B6309" t="s">
        <v>133</v>
      </c>
      <c r="C6309" t="s">
        <v>9</v>
      </c>
      <c r="D6309">
        <v>4061</v>
      </c>
      <c r="E6309">
        <v>2021</v>
      </c>
      <c r="F6309">
        <v>2</v>
      </c>
      <c r="G6309">
        <v>10770</v>
      </c>
      <c r="H6309" s="1">
        <v>3</v>
      </c>
      <c r="I6309">
        <v>37</v>
      </c>
      <c r="J6309">
        <f>IF($H6309=0,1,IF($I6309&lt;=1,2,0))</f>
        <v>0</v>
      </c>
      <c r="K6309">
        <v>0</v>
      </c>
      <c r="L6309">
        <f>IF(AND($J6309=0,$K6309=0),0,1)</f>
        <v>0</v>
      </c>
    </row>
    <row r="6310" spans="1:13" x14ac:dyDescent="0.2">
      <c r="A6310" t="s">
        <v>545</v>
      </c>
      <c r="B6310" t="s">
        <v>133</v>
      </c>
      <c r="C6310" t="s">
        <v>9</v>
      </c>
      <c r="D6310">
        <v>4061</v>
      </c>
      <c r="E6310">
        <v>2021</v>
      </c>
      <c r="F6310">
        <v>1</v>
      </c>
      <c r="G6310">
        <v>10769</v>
      </c>
      <c r="H6310" s="1">
        <v>3</v>
      </c>
      <c r="I6310">
        <v>33</v>
      </c>
      <c r="J6310">
        <f>IF($H6310=0,1,IF($I6310&lt;=1,2,0))</f>
        <v>0</v>
      </c>
      <c r="K6310">
        <v>0</v>
      </c>
      <c r="L6310">
        <f>IF(AND($J6310=0,$K6310=0),0,1)</f>
        <v>0</v>
      </c>
    </row>
    <row r="6311" spans="1:13" x14ac:dyDescent="0.2">
      <c r="A6311" t="s">
        <v>545</v>
      </c>
      <c r="B6311" t="s">
        <v>133</v>
      </c>
      <c r="C6311" t="s">
        <v>9</v>
      </c>
      <c r="D6311">
        <v>4062</v>
      </c>
      <c r="E6311">
        <v>2021</v>
      </c>
      <c r="F6311">
        <v>1</v>
      </c>
      <c r="G6311">
        <v>10771</v>
      </c>
      <c r="H6311" s="1">
        <v>3</v>
      </c>
      <c r="I6311">
        <v>11</v>
      </c>
      <c r="J6311">
        <f>IF($H6311=0,1,IF($I6311&lt;=1,2,0))</f>
        <v>0</v>
      </c>
      <c r="K6311">
        <v>0</v>
      </c>
      <c r="L6311">
        <f>IF(AND($J6311=0,$K6311=0),0,1)</f>
        <v>0</v>
      </c>
    </row>
    <row r="6312" spans="1:13" x14ac:dyDescent="0.2">
      <c r="A6312" t="s">
        <v>545</v>
      </c>
      <c r="B6312" t="s">
        <v>133</v>
      </c>
      <c r="C6312" t="s">
        <v>9</v>
      </c>
      <c r="D6312">
        <v>4065</v>
      </c>
      <c r="E6312">
        <v>2021</v>
      </c>
      <c r="F6312">
        <v>1</v>
      </c>
      <c r="G6312">
        <v>10772</v>
      </c>
      <c r="H6312" s="1">
        <v>3</v>
      </c>
      <c r="I6312">
        <v>7</v>
      </c>
      <c r="J6312">
        <f>IF($H6312=0,1,IF($I6312&lt;=1,2,0))</f>
        <v>0</v>
      </c>
      <c r="K6312">
        <v>0</v>
      </c>
      <c r="L6312">
        <f>IF(AND($J6312=0,$K6312=0),0,1)</f>
        <v>0</v>
      </c>
    </row>
    <row r="6313" spans="1:13" x14ac:dyDescent="0.2">
      <c r="A6313" t="s">
        <v>545</v>
      </c>
      <c r="B6313" t="s">
        <v>133</v>
      </c>
      <c r="C6313" t="s">
        <v>9</v>
      </c>
      <c r="D6313">
        <v>5010</v>
      </c>
      <c r="E6313">
        <v>2021</v>
      </c>
      <c r="F6313">
        <v>1</v>
      </c>
      <c r="G6313">
        <v>10773</v>
      </c>
      <c r="H6313" s="1">
        <v>3</v>
      </c>
      <c r="I6313">
        <v>145</v>
      </c>
      <c r="J6313">
        <f>IF($H6313=0,1,IF($I6313&lt;=1,2,0))</f>
        <v>0</v>
      </c>
      <c r="K6313">
        <v>0</v>
      </c>
      <c r="L6313">
        <f>IF(AND($J6313=0,$K6313=0),0,1)</f>
        <v>0</v>
      </c>
      <c r="M6313" t="s">
        <v>1943</v>
      </c>
    </row>
    <row r="6314" spans="1:13" x14ac:dyDescent="0.2">
      <c r="A6314" t="s">
        <v>545</v>
      </c>
      <c r="B6314" t="s">
        <v>133</v>
      </c>
      <c r="C6314" t="s">
        <v>11</v>
      </c>
      <c r="D6314">
        <v>5280</v>
      </c>
      <c r="E6314">
        <v>2021</v>
      </c>
      <c r="F6314">
        <v>1</v>
      </c>
      <c r="G6314">
        <v>10775</v>
      </c>
      <c r="H6314" s="1">
        <v>3</v>
      </c>
      <c r="I6314">
        <v>117</v>
      </c>
      <c r="J6314">
        <f>IF($H6314=0,1,IF($I6314&lt;=1,2,0))</f>
        <v>0</v>
      </c>
      <c r="K6314">
        <v>0</v>
      </c>
      <c r="L6314">
        <f>IF(AND($J6314=0,$K6314=0),0,1)</f>
        <v>0</v>
      </c>
      <c r="M6314" t="s">
        <v>2007</v>
      </c>
    </row>
    <row r="6315" spans="1:13" x14ac:dyDescent="0.2">
      <c r="A6315" t="s">
        <v>545</v>
      </c>
      <c r="B6315" t="s">
        <v>133</v>
      </c>
      <c r="C6315" t="s">
        <v>11</v>
      </c>
      <c r="D6315">
        <v>5320</v>
      </c>
      <c r="E6315">
        <v>2021</v>
      </c>
      <c r="F6315">
        <v>1</v>
      </c>
      <c r="G6315">
        <v>10783</v>
      </c>
      <c r="H6315" s="1">
        <v>3</v>
      </c>
      <c r="I6315">
        <v>51</v>
      </c>
      <c r="J6315">
        <f>IF($H6315=0,1,IF($I6315&lt;=1,2,0))</f>
        <v>0</v>
      </c>
      <c r="K6315">
        <v>0</v>
      </c>
      <c r="L6315">
        <f>IF(AND($J6315=0,$K6315=0),0,1)</f>
        <v>0</v>
      </c>
      <c r="M6315" t="s">
        <v>1672</v>
      </c>
    </row>
    <row r="6316" spans="1:13" x14ac:dyDescent="0.2">
      <c r="A6316" t="s">
        <v>545</v>
      </c>
      <c r="B6316" t="s">
        <v>133</v>
      </c>
      <c r="C6316" t="s">
        <v>11</v>
      </c>
      <c r="D6316">
        <v>5340</v>
      </c>
      <c r="E6316">
        <v>2021</v>
      </c>
      <c r="F6316">
        <v>1</v>
      </c>
      <c r="G6316">
        <v>10784</v>
      </c>
      <c r="H6316" s="1">
        <v>3</v>
      </c>
      <c r="I6316">
        <v>45</v>
      </c>
      <c r="J6316">
        <f>IF($H6316=0,1,IF($I6316&lt;=1,2,0))</f>
        <v>0</v>
      </c>
      <c r="K6316">
        <v>0</v>
      </c>
      <c r="L6316">
        <f>IF(AND($J6316=0,$K6316=0),0,1)</f>
        <v>0</v>
      </c>
      <c r="M6316" t="s">
        <v>1672</v>
      </c>
    </row>
    <row r="6317" spans="1:13" x14ac:dyDescent="0.2">
      <c r="A6317" t="s">
        <v>545</v>
      </c>
      <c r="B6317" t="s">
        <v>133</v>
      </c>
      <c r="C6317" t="s">
        <v>11</v>
      </c>
      <c r="D6317">
        <v>5420</v>
      </c>
      <c r="E6317">
        <v>2021</v>
      </c>
      <c r="F6317">
        <v>1</v>
      </c>
      <c r="G6317">
        <v>10785</v>
      </c>
      <c r="H6317" s="1">
        <v>3</v>
      </c>
      <c r="I6317">
        <v>41</v>
      </c>
      <c r="J6317">
        <f>IF($H6317=0,1,IF($I6317&lt;=1,2,0))</f>
        <v>0</v>
      </c>
      <c r="K6317">
        <v>0</v>
      </c>
      <c r="L6317">
        <f>IF(AND($J6317=0,$K6317=0),0,1)</f>
        <v>0</v>
      </c>
      <c r="M6317" t="s">
        <v>1672</v>
      </c>
    </row>
    <row r="6318" spans="1:13" x14ac:dyDescent="0.2">
      <c r="A6318" t="s">
        <v>545</v>
      </c>
      <c r="B6318" t="s">
        <v>133</v>
      </c>
      <c r="C6318" t="s">
        <v>11</v>
      </c>
      <c r="D6318">
        <v>5430</v>
      </c>
      <c r="E6318">
        <v>2021</v>
      </c>
      <c r="F6318">
        <v>1</v>
      </c>
      <c r="G6318">
        <v>10786</v>
      </c>
      <c r="H6318" s="1">
        <v>3</v>
      </c>
      <c r="I6318">
        <v>35</v>
      </c>
      <c r="J6318">
        <f>IF($H6318=0,1,IF($I6318&lt;=1,2,0))</f>
        <v>0</v>
      </c>
      <c r="K6318">
        <v>0</v>
      </c>
      <c r="L6318">
        <f>IF(AND($J6318=0,$K6318=0),0,1)</f>
        <v>0</v>
      </c>
      <c r="M6318" t="s">
        <v>1672</v>
      </c>
    </row>
    <row r="6319" spans="1:13" x14ac:dyDescent="0.2">
      <c r="A6319" t="s">
        <v>545</v>
      </c>
      <c r="B6319" t="s">
        <v>133</v>
      </c>
      <c r="C6319" t="s">
        <v>11</v>
      </c>
      <c r="D6319">
        <v>6151</v>
      </c>
      <c r="E6319">
        <v>2021</v>
      </c>
      <c r="F6319">
        <v>1</v>
      </c>
      <c r="G6319">
        <v>10788</v>
      </c>
      <c r="H6319" s="1">
        <v>4.5</v>
      </c>
      <c r="I6319">
        <v>18</v>
      </c>
      <c r="J6319">
        <f>IF($H6319=0,1,IF($I6319&lt;=1,2,0))</f>
        <v>0</v>
      </c>
      <c r="K6319">
        <v>0</v>
      </c>
      <c r="L6319">
        <f>IF(AND($J6319=0,$K6319=0),0,1)</f>
        <v>0</v>
      </c>
      <c r="M6319" t="s">
        <v>1140</v>
      </c>
    </row>
    <row r="6320" spans="1:13" x14ac:dyDescent="0.2">
      <c r="A6320" t="s">
        <v>545</v>
      </c>
      <c r="B6320" t="s">
        <v>133</v>
      </c>
      <c r="C6320" t="s">
        <v>11</v>
      </c>
      <c r="D6320">
        <v>6175</v>
      </c>
      <c r="E6320">
        <v>2021</v>
      </c>
      <c r="F6320">
        <v>1</v>
      </c>
      <c r="G6320">
        <v>10789</v>
      </c>
      <c r="H6320" s="1">
        <v>4.5</v>
      </c>
      <c r="I6320">
        <v>18</v>
      </c>
      <c r="J6320">
        <f>IF($H6320=0,1,IF($I6320&lt;=1,2,0))</f>
        <v>0</v>
      </c>
      <c r="K6320">
        <v>0</v>
      </c>
      <c r="L6320">
        <f>IF(AND($J6320=0,$K6320=0),0,1)</f>
        <v>0</v>
      </c>
      <c r="M6320" t="s">
        <v>1140</v>
      </c>
    </row>
    <row r="6321" spans="1:13" x14ac:dyDescent="0.2">
      <c r="A6321" t="s">
        <v>545</v>
      </c>
      <c r="B6321" t="s">
        <v>133</v>
      </c>
      <c r="C6321" t="s">
        <v>11</v>
      </c>
      <c r="D6321">
        <v>6261</v>
      </c>
      <c r="E6321">
        <v>2021</v>
      </c>
      <c r="F6321">
        <v>1</v>
      </c>
      <c r="G6321">
        <v>10790</v>
      </c>
      <c r="H6321" s="1">
        <v>4.5</v>
      </c>
      <c r="I6321">
        <v>18</v>
      </c>
      <c r="J6321">
        <f>IF($H6321=0,1,IF($I6321&lt;=1,2,0))</f>
        <v>0</v>
      </c>
      <c r="K6321">
        <v>0</v>
      </c>
      <c r="L6321">
        <f>IF(AND($J6321=0,$K6321=0),0,1)</f>
        <v>0</v>
      </c>
      <c r="M6321" t="s">
        <v>1140</v>
      </c>
    </row>
    <row r="6322" spans="1:13" x14ac:dyDescent="0.2">
      <c r="A6322" t="s">
        <v>545</v>
      </c>
      <c r="B6322" t="s">
        <v>133</v>
      </c>
      <c r="C6322" t="s">
        <v>11</v>
      </c>
      <c r="D6322">
        <v>6263</v>
      </c>
      <c r="E6322">
        <v>2021</v>
      </c>
      <c r="F6322">
        <v>1</v>
      </c>
      <c r="G6322">
        <v>11716</v>
      </c>
      <c r="H6322" s="1">
        <v>4.5</v>
      </c>
      <c r="I6322">
        <v>7</v>
      </c>
      <c r="J6322">
        <f>IF($H6322=0,1,IF($I6322&lt;=1,2,0))</f>
        <v>0</v>
      </c>
      <c r="K6322">
        <v>0</v>
      </c>
      <c r="L6322">
        <f>IF(AND($J6322=0,$K6322=0),0,1)</f>
        <v>0</v>
      </c>
    </row>
    <row r="6323" spans="1:13" x14ac:dyDescent="0.2">
      <c r="A6323" t="s">
        <v>545</v>
      </c>
      <c r="B6323" t="s">
        <v>133</v>
      </c>
      <c r="C6323" t="s">
        <v>11</v>
      </c>
      <c r="D6323">
        <v>6307</v>
      </c>
      <c r="E6323">
        <v>2021</v>
      </c>
      <c r="F6323">
        <v>1</v>
      </c>
      <c r="G6323">
        <v>10791</v>
      </c>
      <c r="H6323" s="1">
        <v>4.5</v>
      </c>
      <c r="I6323">
        <v>15</v>
      </c>
      <c r="J6323">
        <f>IF($H6323=0,1,IF($I6323&lt;=1,2,0))</f>
        <v>0</v>
      </c>
      <c r="K6323">
        <v>0</v>
      </c>
      <c r="L6323">
        <f>IF(AND($J6323=0,$K6323=0),0,1)</f>
        <v>0</v>
      </c>
      <c r="M6323" t="s">
        <v>1140</v>
      </c>
    </row>
    <row r="6324" spans="1:13" x14ac:dyDescent="0.2">
      <c r="A6324" t="s">
        <v>545</v>
      </c>
      <c r="B6324" t="s">
        <v>133</v>
      </c>
      <c r="C6324" t="s">
        <v>11</v>
      </c>
      <c r="D6324">
        <v>6402</v>
      </c>
      <c r="E6324">
        <v>2021</v>
      </c>
      <c r="F6324">
        <v>1</v>
      </c>
      <c r="G6324">
        <v>10792</v>
      </c>
      <c r="H6324" s="1">
        <v>4.5</v>
      </c>
      <c r="I6324">
        <v>8</v>
      </c>
      <c r="J6324">
        <f>IF($H6324=0,1,IF($I6324&lt;=1,2,0))</f>
        <v>0</v>
      </c>
      <c r="K6324">
        <v>0</v>
      </c>
      <c r="L6324">
        <f>IF(AND($J6324=0,$K6324=0),0,1)</f>
        <v>0</v>
      </c>
      <c r="M6324" t="s">
        <v>1140</v>
      </c>
    </row>
    <row r="6325" spans="1:13" x14ac:dyDescent="0.2">
      <c r="A6325" t="s">
        <v>552</v>
      </c>
      <c r="B6325" t="s">
        <v>17</v>
      </c>
      <c r="C6325" t="s">
        <v>9</v>
      </c>
      <c r="D6325">
        <v>1030</v>
      </c>
      <c r="E6325">
        <v>2021</v>
      </c>
      <c r="F6325">
        <v>1</v>
      </c>
      <c r="G6325">
        <v>13536</v>
      </c>
      <c r="H6325" s="1">
        <v>4</v>
      </c>
      <c r="I6325">
        <v>190</v>
      </c>
      <c r="J6325">
        <f>IF($H6325=0,1,IF($I6325&lt;=1,2,0))</f>
        <v>0</v>
      </c>
      <c r="K6325">
        <v>0</v>
      </c>
      <c r="L6325">
        <f>IF(AND($J6325=0,$K6325=0),0,1)</f>
        <v>0</v>
      </c>
      <c r="M6325" t="s">
        <v>1673</v>
      </c>
    </row>
    <row r="6326" spans="1:13" x14ac:dyDescent="0.2">
      <c r="A6326" t="s">
        <v>552</v>
      </c>
      <c r="B6326" t="s">
        <v>17</v>
      </c>
      <c r="C6326" t="s">
        <v>9</v>
      </c>
      <c r="D6326">
        <v>1210</v>
      </c>
      <c r="E6326">
        <v>2021</v>
      </c>
      <c r="F6326">
        <v>3</v>
      </c>
      <c r="G6326">
        <v>10883</v>
      </c>
      <c r="H6326" s="1">
        <v>5</v>
      </c>
      <c r="I6326">
        <v>16</v>
      </c>
      <c r="J6326">
        <f>IF($H6326=0,1,IF($I6326&lt;=1,2,0))</f>
        <v>0</v>
      </c>
      <c r="K6326">
        <v>0</v>
      </c>
      <c r="L6326">
        <f>IF(AND($J6326=0,$K6326=0),0,1)</f>
        <v>0</v>
      </c>
    </row>
    <row r="6327" spans="1:13" x14ac:dyDescent="0.2">
      <c r="A6327" t="s">
        <v>552</v>
      </c>
      <c r="B6327" t="s">
        <v>17</v>
      </c>
      <c r="C6327" t="s">
        <v>9</v>
      </c>
      <c r="D6327">
        <v>1210</v>
      </c>
      <c r="E6327">
        <v>2021</v>
      </c>
      <c r="F6327">
        <v>4</v>
      </c>
      <c r="G6327">
        <v>10884</v>
      </c>
      <c r="H6327" s="1">
        <v>5</v>
      </c>
      <c r="I6327">
        <v>14</v>
      </c>
      <c r="J6327">
        <f>IF($H6327=0,1,IF($I6327&lt;=1,2,0))</f>
        <v>0</v>
      </c>
      <c r="K6327">
        <v>0</v>
      </c>
      <c r="L6327">
        <f>IF(AND($J6327=0,$K6327=0),0,1)</f>
        <v>0</v>
      </c>
    </row>
    <row r="6328" spans="1:13" x14ac:dyDescent="0.2">
      <c r="A6328" t="s">
        <v>552</v>
      </c>
      <c r="B6328" t="s">
        <v>17</v>
      </c>
      <c r="C6328" t="s">
        <v>9</v>
      </c>
      <c r="D6328">
        <v>1210</v>
      </c>
      <c r="E6328">
        <v>2021</v>
      </c>
      <c r="F6328">
        <v>1</v>
      </c>
      <c r="G6328">
        <v>10881</v>
      </c>
      <c r="H6328" s="1">
        <v>5</v>
      </c>
      <c r="I6328">
        <v>13</v>
      </c>
      <c r="J6328">
        <f>IF($H6328=0,1,IF($I6328&lt;=1,2,0))</f>
        <v>0</v>
      </c>
      <c r="K6328">
        <v>0</v>
      </c>
      <c r="L6328">
        <f>IF(AND($J6328=0,$K6328=0),0,1)</f>
        <v>0</v>
      </c>
    </row>
    <row r="6329" spans="1:13" x14ac:dyDescent="0.2">
      <c r="A6329" t="s">
        <v>552</v>
      </c>
      <c r="B6329" t="s">
        <v>17</v>
      </c>
      <c r="C6329" t="s">
        <v>9</v>
      </c>
      <c r="D6329">
        <v>1210</v>
      </c>
      <c r="E6329">
        <v>2021</v>
      </c>
      <c r="F6329">
        <v>2</v>
      </c>
      <c r="G6329">
        <v>10882</v>
      </c>
      <c r="H6329" s="1">
        <v>5</v>
      </c>
      <c r="I6329">
        <v>13</v>
      </c>
      <c r="J6329">
        <f>IF($H6329=0,1,IF($I6329&lt;=1,2,0))</f>
        <v>0</v>
      </c>
      <c r="K6329">
        <v>0</v>
      </c>
      <c r="L6329">
        <f>IF(AND($J6329=0,$K6329=0),0,1)</f>
        <v>0</v>
      </c>
    </row>
    <row r="6330" spans="1:13" x14ac:dyDescent="0.2">
      <c r="A6330" t="s">
        <v>552</v>
      </c>
      <c r="B6330" t="s">
        <v>17</v>
      </c>
      <c r="C6330" t="s">
        <v>9</v>
      </c>
      <c r="D6330">
        <v>1211</v>
      </c>
      <c r="E6330">
        <v>2021</v>
      </c>
      <c r="F6330">
        <v>1</v>
      </c>
      <c r="G6330">
        <v>10885</v>
      </c>
      <c r="H6330" s="1">
        <v>5</v>
      </c>
      <c r="I6330">
        <v>11</v>
      </c>
      <c r="J6330">
        <f>IF($H6330=0,1,IF($I6330&lt;=1,2,0))</f>
        <v>0</v>
      </c>
      <c r="K6330">
        <v>0</v>
      </c>
      <c r="L6330">
        <f>IF(AND($J6330=0,$K6330=0),0,1)</f>
        <v>0</v>
      </c>
    </row>
    <row r="6331" spans="1:13" x14ac:dyDescent="0.2">
      <c r="A6331" t="s">
        <v>552</v>
      </c>
      <c r="B6331" t="s">
        <v>17</v>
      </c>
      <c r="C6331" t="s">
        <v>9</v>
      </c>
      <c r="D6331">
        <v>1401</v>
      </c>
      <c r="E6331">
        <v>2021</v>
      </c>
      <c r="F6331">
        <v>1</v>
      </c>
      <c r="G6331">
        <v>11161</v>
      </c>
      <c r="H6331" s="1">
        <v>4</v>
      </c>
      <c r="I6331">
        <v>8</v>
      </c>
      <c r="J6331">
        <f>IF($H6331=0,1,IF($I6331&lt;=1,2,0))</f>
        <v>0</v>
      </c>
      <c r="K6331">
        <v>0</v>
      </c>
      <c r="L6331">
        <f>IF(AND($J6331=0,$K6331=0),0,1)</f>
        <v>0</v>
      </c>
    </row>
    <row r="6332" spans="1:13" x14ac:dyDescent="0.2">
      <c r="A6332" t="s">
        <v>552</v>
      </c>
      <c r="B6332" t="s">
        <v>17</v>
      </c>
      <c r="C6332" t="s">
        <v>9</v>
      </c>
      <c r="D6332">
        <v>1404</v>
      </c>
      <c r="E6332">
        <v>2021</v>
      </c>
      <c r="F6332">
        <v>1</v>
      </c>
      <c r="G6332">
        <v>11162</v>
      </c>
      <c r="H6332" s="1">
        <v>4</v>
      </c>
      <c r="I6332">
        <v>2</v>
      </c>
      <c r="J6332">
        <f>IF($H6332=0,1,IF($I6332&lt;=1,2,0))</f>
        <v>0</v>
      </c>
      <c r="K6332">
        <v>0</v>
      </c>
      <c r="L6332">
        <f>IF(AND($J6332=0,$K6332=0),0,1)</f>
        <v>0</v>
      </c>
    </row>
    <row r="6333" spans="1:13" x14ac:dyDescent="0.2">
      <c r="A6333" t="s">
        <v>552</v>
      </c>
      <c r="B6333" t="s">
        <v>17</v>
      </c>
      <c r="C6333" t="s">
        <v>9</v>
      </c>
      <c r="D6333">
        <v>1501</v>
      </c>
      <c r="E6333">
        <v>2021</v>
      </c>
      <c r="F6333">
        <v>1</v>
      </c>
      <c r="G6333">
        <v>10849</v>
      </c>
      <c r="H6333" s="1">
        <v>5</v>
      </c>
      <c r="I6333">
        <v>6</v>
      </c>
      <c r="J6333">
        <f>IF($H6333=0,1,IF($I6333&lt;=1,2,0))</f>
        <v>0</v>
      </c>
      <c r="K6333">
        <v>0</v>
      </c>
      <c r="L6333">
        <f>IF(AND($J6333=0,$K6333=0),0,1)</f>
        <v>0</v>
      </c>
    </row>
    <row r="6334" spans="1:13" x14ac:dyDescent="0.2">
      <c r="A6334" t="s">
        <v>552</v>
      </c>
      <c r="B6334" t="s">
        <v>17</v>
      </c>
      <c r="C6334" t="s">
        <v>9</v>
      </c>
      <c r="D6334">
        <v>1501</v>
      </c>
      <c r="E6334">
        <v>2021</v>
      </c>
      <c r="F6334">
        <v>2</v>
      </c>
      <c r="G6334">
        <v>10850</v>
      </c>
      <c r="H6334" s="1">
        <v>5</v>
      </c>
      <c r="I6334">
        <v>4</v>
      </c>
      <c r="J6334">
        <f>IF($H6334=0,1,IF($I6334&lt;=1,2,0))</f>
        <v>0</v>
      </c>
      <c r="K6334">
        <v>0</v>
      </c>
      <c r="L6334">
        <f>IF(AND($J6334=0,$K6334=0),0,1)</f>
        <v>0</v>
      </c>
    </row>
    <row r="6335" spans="1:13" x14ac:dyDescent="0.2">
      <c r="A6335" t="s">
        <v>552</v>
      </c>
      <c r="B6335" t="s">
        <v>17</v>
      </c>
      <c r="C6335" t="s">
        <v>9</v>
      </c>
      <c r="D6335">
        <v>1601</v>
      </c>
      <c r="E6335">
        <v>2021</v>
      </c>
      <c r="F6335">
        <v>1</v>
      </c>
      <c r="G6335">
        <v>10777</v>
      </c>
      <c r="H6335" s="1">
        <v>5</v>
      </c>
      <c r="I6335">
        <v>17</v>
      </c>
      <c r="J6335">
        <f>IF($H6335=0,1,IF($I6335&lt;=1,2,0))</f>
        <v>0</v>
      </c>
      <c r="K6335">
        <v>0</v>
      </c>
      <c r="L6335">
        <f>IF(AND($J6335=0,$K6335=0),0,1)</f>
        <v>0</v>
      </c>
    </row>
    <row r="6336" spans="1:13" x14ac:dyDescent="0.2">
      <c r="A6336" t="s">
        <v>552</v>
      </c>
      <c r="B6336" t="s">
        <v>17</v>
      </c>
      <c r="C6336" t="s">
        <v>9</v>
      </c>
      <c r="D6336">
        <v>1608</v>
      </c>
      <c r="E6336">
        <v>2021</v>
      </c>
      <c r="F6336">
        <v>1</v>
      </c>
      <c r="G6336">
        <v>10778</v>
      </c>
      <c r="H6336" s="1">
        <v>5</v>
      </c>
      <c r="I6336">
        <v>16</v>
      </c>
      <c r="J6336">
        <f>IF($H6336=0,1,IF($I6336&lt;=1,2,0))</f>
        <v>0</v>
      </c>
      <c r="K6336">
        <v>0</v>
      </c>
      <c r="L6336">
        <f>IF(AND($J6336=0,$K6336=0),0,1)</f>
        <v>0</v>
      </c>
    </row>
    <row r="6337" spans="1:13" x14ac:dyDescent="0.2">
      <c r="A6337" t="s">
        <v>552</v>
      </c>
      <c r="B6337" t="s">
        <v>17</v>
      </c>
      <c r="C6337" t="s">
        <v>9</v>
      </c>
      <c r="D6337">
        <v>1614</v>
      </c>
      <c r="E6337">
        <v>2021</v>
      </c>
      <c r="F6337">
        <v>1</v>
      </c>
      <c r="G6337">
        <v>10779</v>
      </c>
      <c r="H6337" s="1">
        <v>5</v>
      </c>
      <c r="I6337">
        <v>14</v>
      </c>
      <c r="J6337">
        <f>IF($H6337=0,1,IF($I6337&lt;=1,2,0))</f>
        <v>0</v>
      </c>
      <c r="K6337">
        <v>0</v>
      </c>
      <c r="L6337">
        <f>IF(AND($J6337=0,$K6337=0),0,1)</f>
        <v>0</v>
      </c>
    </row>
    <row r="6338" spans="1:13" x14ac:dyDescent="0.2">
      <c r="A6338" t="s">
        <v>552</v>
      </c>
      <c r="B6338" t="s">
        <v>17</v>
      </c>
      <c r="C6338" t="s">
        <v>9</v>
      </c>
      <c r="D6338">
        <v>1701</v>
      </c>
      <c r="E6338">
        <v>2021</v>
      </c>
      <c r="F6338">
        <v>1</v>
      </c>
      <c r="G6338">
        <v>12817</v>
      </c>
      <c r="H6338" s="1">
        <v>4</v>
      </c>
      <c r="I6338">
        <v>17</v>
      </c>
      <c r="J6338">
        <f>IF($H6338=0,1,IF($I6338&lt;=1,2,0))</f>
        <v>0</v>
      </c>
      <c r="K6338">
        <v>0</v>
      </c>
      <c r="L6338">
        <f>IF(AND($J6338=0,$K6338=0),0,1)</f>
        <v>0</v>
      </c>
    </row>
    <row r="6339" spans="1:13" x14ac:dyDescent="0.2">
      <c r="A6339" t="s">
        <v>552</v>
      </c>
      <c r="B6339" t="s">
        <v>17</v>
      </c>
      <c r="C6339" t="s">
        <v>9</v>
      </c>
      <c r="D6339">
        <v>1901</v>
      </c>
      <c r="E6339">
        <v>2021</v>
      </c>
      <c r="F6339">
        <v>1</v>
      </c>
      <c r="G6339">
        <v>12140</v>
      </c>
      <c r="H6339" s="1">
        <v>4</v>
      </c>
      <c r="I6339">
        <v>10</v>
      </c>
      <c r="J6339">
        <f>IF($H6339=0,1,IF($I6339&lt;=1,2,0))</f>
        <v>0</v>
      </c>
      <c r="K6339">
        <v>0</v>
      </c>
      <c r="L6339">
        <f>IF(AND($J6339=0,$K6339=0),0,1)</f>
        <v>0</v>
      </c>
    </row>
    <row r="6340" spans="1:13" x14ac:dyDescent="0.2">
      <c r="A6340" t="s">
        <v>552</v>
      </c>
      <c r="B6340" t="s">
        <v>17</v>
      </c>
      <c r="C6340" t="s">
        <v>9</v>
      </c>
      <c r="D6340">
        <v>2004</v>
      </c>
      <c r="E6340">
        <v>2021</v>
      </c>
      <c r="F6340">
        <v>1</v>
      </c>
      <c r="G6340">
        <v>10615</v>
      </c>
      <c r="H6340" s="1">
        <v>4</v>
      </c>
      <c r="I6340">
        <v>24</v>
      </c>
      <c r="J6340">
        <f>IF($H6340=0,1,IF($I6340&lt;=1,2,0))</f>
        <v>0</v>
      </c>
      <c r="K6340">
        <v>0</v>
      </c>
      <c r="L6340">
        <f>IF(AND($J6340=0,$K6340=0),0,1)</f>
        <v>0</v>
      </c>
      <c r="M6340" t="s">
        <v>1676</v>
      </c>
    </row>
    <row r="6341" spans="1:13" x14ac:dyDescent="0.2">
      <c r="A6341" t="s">
        <v>552</v>
      </c>
      <c r="B6341" t="s">
        <v>17</v>
      </c>
      <c r="C6341" t="s">
        <v>9</v>
      </c>
      <c r="D6341">
        <v>2042</v>
      </c>
      <c r="E6341">
        <v>2021</v>
      </c>
      <c r="F6341">
        <v>1</v>
      </c>
      <c r="G6341">
        <v>14050</v>
      </c>
      <c r="H6341" s="1">
        <v>3</v>
      </c>
      <c r="I6341">
        <v>18</v>
      </c>
      <c r="J6341">
        <f>IF($H6341=0,1,IF($I6341&lt;=1,2,0))</f>
        <v>0</v>
      </c>
      <c r="K6341">
        <v>0</v>
      </c>
      <c r="L6341">
        <f>IF(AND($J6341=0,$K6341=0),0,1)</f>
        <v>0</v>
      </c>
    </row>
    <row r="6342" spans="1:13" x14ac:dyDescent="0.2">
      <c r="A6342" t="s">
        <v>552</v>
      </c>
      <c r="B6342" t="s">
        <v>17</v>
      </c>
      <c r="C6342" t="s">
        <v>9</v>
      </c>
      <c r="D6342">
        <v>2101</v>
      </c>
      <c r="E6342">
        <v>2021</v>
      </c>
      <c r="F6342">
        <v>1</v>
      </c>
      <c r="G6342">
        <v>11160</v>
      </c>
      <c r="H6342" s="1">
        <v>4</v>
      </c>
      <c r="I6342">
        <v>8</v>
      </c>
      <c r="J6342">
        <f>IF($H6342=0,1,IF($I6342&lt;=1,2,0))</f>
        <v>0</v>
      </c>
      <c r="K6342">
        <v>0</v>
      </c>
      <c r="L6342">
        <f>IF(AND($J6342=0,$K6342=0),0,1)</f>
        <v>0</v>
      </c>
    </row>
    <row r="6343" spans="1:13" x14ac:dyDescent="0.2">
      <c r="A6343" t="s">
        <v>552</v>
      </c>
      <c r="B6343" t="s">
        <v>17</v>
      </c>
      <c r="C6343" t="s">
        <v>9</v>
      </c>
      <c r="D6343">
        <v>2201</v>
      </c>
      <c r="E6343">
        <v>2021</v>
      </c>
      <c r="F6343">
        <v>2</v>
      </c>
      <c r="G6343">
        <v>10887</v>
      </c>
      <c r="H6343" s="1">
        <v>5</v>
      </c>
      <c r="I6343">
        <v>8</v>
      </c>
      <c r="J6343">
        <f>IF($H6343=0,1,IF($I6343&lt;=1,2,0))</f>
        <v>0</v>
      </c>
      <c r="K6343">
        <v>0</v>
      </c>
      <c r="L6343">
        <f>IF(AND($J6343=0,$K6343=0),0,1)</f>
        <v>0</v>
      </c>
    </row>
    <row r="6344" spans="1:13" x14ac:dyDescent="0.2">
      <c r="A6344" t="s">
        <v>552</v>
      </c>
      <c r="B6344" t="s">
        <v>17</v>
      </c>
      <c r="C6344" t="s">
        <v>9</v>
      </c>
      <c r="D6344">
        <v>2201</v>
      </c>
      <c r="E6344">
        <v>2021</v>
      </c>
      <c r="F6344">
        <v>1</v>
      </c>
      <c r="G6344">
        <v>10886</v>
      </c>
      <c r="H6344" s="1">
        <v>5</v>
      </c>
      <c r="I6344">
        <v>7</v>
      </c>
      <c r="J6344">
        <f>IF($H6344=0,1,IF($I6344&lt;=1,2,0))</f>
        <v>0</v>
      </c>
      <c r="K6344">
        <v>0</v>
      </c>
      <c r="L6344">
        <f>IF(AND($J6344=0,$K6344=0),0,1)</f>
        <v>0</v>
      </c>
    </row>
    <row r="6345" spans="1:13" x14ac:dyDescent="0.2">
      <c r="A6345" t="s">
        <v>552</v>
      </c>
      <c r="B6345" t="s">
        <v>17</v>
      </c>
      <c r="C6345" t="s">
        <v>9</v>
      </c>
      <c r="D6345">
        <v>2202</v>
      </c>
      <c r="E6345">
        <v>2021</v>
      </c>
      <c r="F6345">
        <v>1</v>
      </c>
      <c r="G6345">
        <v>10889</v>
      </c>
      <c r="H6345" s="1">
        <v>5</v>
      </c>
      <c r="I6345">
        <v>5</v>
      </c>
      <c r="J6345">
        <f>IF($H6345=0,1,IF($I6345&lt;=1,2,0))</f>
        <v>0</v>
      </c>
      <c r="K6345">
        <v>0</v>
      </c>
      <c r="L6345">
        <f>IF(AND($J6345=0,$K6345=0),0,1)</f>
        <v>0</v>
      </c>
    </row>
    <row r="6346" spans="1:13" x14ac:dyDescent="0.2">
      <c r="A6346" t="s">
        <v>552</v>
      </c>
      <c r="B6346" t="s">
        <v>17</v>
      </c>
      <c r="C6346" t="s">
        <v>9</v>
      </c>
      <c r="D6346">
        <v>2208</v>
      </c>
      <c r="E6346">
        <v>2021</v>
      </c>
      <c r="F6346">
        <v>1</v>
      </c>
      <c r="G6346">
        <v>15669</v>
      </c>
      <c r="H6346" s="1">
        <v>5</v>
      </c>
      <c r="I6346">
        <v>11</v>
      </c>
      <c r="J6346">
        <f>IF($H6346=0,1,IF($I6346&lt;=1,2,0))</f>
        <v>0</v>
      </c>
      <c r="K6346">
        <v>0</v>
      </c>
      <c r="L6346">
        <f>IF(AND($J6346=0,$K6346=0),0,1)</f>
        <v>0</v>
      </c>
    </row>
    <row r="6347" spans="1:13" x14ac:dyDescent="0.2">
      <c r="A6347" t="s">
        <v>552</v>
      </c>
      <c r="B6347" t="s">
        <v>17</v>
      </c>
      <c r="C6347" t="s">
        <v>9</v>
      </c>
      <c r="D6347">
        <v>2301</v>
      </c>
      <c r="E6347">
        <v>2021</v>
      </c>
      <c r="F6347">
        <v>1</v>
      </c>
      <c r="G6347">
        <v>10878</v>
      </c>
      <c r="H6347" s="1">
        <v>4</v>
      </c>
      <c r="I6347">
        <v>2</v>
      </c>
      <c r="J6347">
        <f>IF($H6347=0,1,IF($I6347&lt;=1,2,0))</f>
        <v>0</v>
      </c>
      <c r="K6347">
        <v>0</v>
      </c>
      <c r="L6347">
        <f>IF(AND($J6347=0,$K6347=0),0,1)</f>
        <v>0</v>
      </c>
    </row>
    <row r="6348" spans="1:13" x14ac:dyDescent="0.2">
      <c r="A6348" t="s">
        <v>552</v>
      </c>
      <c r="B6348" t="s">
        <v>17</v>
      </c>
      <c r="C6348" t="s">
        <v>9</v>
      </c>
      <c r="D6348">
        <v>2501</v>
      </c>
      <c r="E6348">
        <v>2021</v>
      </c>
      <c r="F6348">
        <v>2</v>
      </c>
      <c r="G6348">
        <v>10853</v>
      </c>
      <c r="H6348" s="1">
        <v>5</v>
      </c>
      <c r="I6348">
        <v>7</v>
      </c>
      <c r="J6348">
        <f>IF($H6348=0,1,IF($I6348&lt;=1,2,0))</f>
        <v>0</v>
      </c>
      <c r="K6348">
        <v>0</v>
      </c>
      <c r="L6348">
        <f>IF(AND($J6348=0,$K6348=0),0,1)</f>
        <v>0</v>
      </c>
    </row>
    <row r="6349" spans="1:13" x14ac:dyDescent="0.2">
      <c r="A6349" t="s">
        <v>552</v>
      </c>
      <c r="B6349" t="s">
        <v>17</v>
      </c>
      <c r="C6349" t="s">
        <v>9</v>
      </c>
      <c r="D6349">
        <v>2517</v>
      </c>
      <c r="E6349">
        <v>2021</v>
      </c>
      <c r="F6349">
        <v>1</v>
      </c>
      <c r="G6349">
        <v>10851</v>
      </c>
      <c r="H6349" s="1">
        <v>4</v>
      </c>
      <c r="I6349">
        <v>12</v>
      </c>
      <c r="J6349">
        <f>IF($H6349=0,1,IF($I6349&lt;=1,2,0))</f>
        <v>0</v>
      </c>
      <c r="K6349">
        <v>0</v>
      </c>
      <c r="L6349">
        <f>IF(AND($J6349=0,$K6349=0),0,1)</f>
        <v>0</v>
      </c>
    </row>
    <row r="6350" spans="1:13" x14ac:dyDescent="0.2">
      <c r="A6350" t="s">
        <v>552</v>
      </c>
      <c r="B6350" t="s">
        <v>17</v>
      </c>
      <c r="C6350" t="s">
        <v>9</v>
      </c>
      <c r="D6350">
        <v>2517</v>
      </c>
      <c r="E6350">
        <v>2021</v>
      </c>
      <c r="F6350">
        <v>2</v>
      </c>
      <c r="G6350">
        <v>20365</v>
      </c>
      <c r="H6350" s="1">
        <v>4</v>
      </c>
      <c r="I6350">
        <v>6</v>
      </c>
      <c r="J6350">
        <f>IF($H6350=0,1,IF($I6350&lt;=1,2,0))</f>
        <v>0</v>
      </c>
      <c r="K6350">
        <v>0</v>
      </c>
      <c r="L6350">
        <f>IF(AND($J6350=0,$K6350=0),0,1)</f>
        <v>0</v>
      </c>
    </row>
    <row r="6351" spans="1:13" x14ac:dyDescent="0.2">
      <c r="A6351" t="s">
        <v>552</v>
      </c>
      <c r="B6351" t="s">
        <v>17</v>
      </c>
      <c r="C6351" t="s">
        <v>9</v>
      </c>
      <c r="D6351">
        <v>2601</v>
      </c>
      <c r="E6351">
        <v>2021</v>
      </c>
      <c r="F6351">
        <v>1</v>
      </c>
      <c r="G6351">
        <v>10780</v>
      </c>
      <c r="H6351" s="1">
        <v>5</v>
      </c>
      <c r="I6351">
        <v>7</v>
      </c>
      <c r="J6351">
        <f>IF($H6351=0,1,IF($I6351&lt;=1,2,0))</f>
        <v>0</v>
      </c>
      <c r="K6351">
        <v>0</v>
      </c>
      <c r="L6351">
        <f>IF(AND($J6351=0,$K6351=0),0,1)</f>
        <v>0</v>
      </c>
    </row>
    <row r="6352" spans="1:13" x14ac:dyDescent="0.2">
      <c r="A6352" t="s">
        <v>552</v>
      </c>
      <c r="B6352" t="s">
        <v>17</v>
      </c>
      <c r="C6352" t="s">
        <v>9</v>
      </c>
      <c r="D6352">
        <v>2701</v>
      </c>
      <c r="E6352">
        <v>2021</v>
      </c>
      <c r="F6352">
        <v>1</v>
      </c>
      <c r="G6352">
        <v>12819</v>
      </c>
      <c r="H6352" s="1">
        <v>4</v>
      </c>
      <c r="I6352">
        <v>10</v>
      </c>
      <c r="J6352">
        <f>IF($H6352=0,1,IF($I6352&lt;=1,2,0))</f>
        <v>0</v>
      </c>
      <c r="K6352">
        <v>0</v>
      </c>
      <c r="L6352">
        <f>IF(AND($J6352=0,$K6352=0),0,1)</f>
        <v>0</v>
      </c>
    </row>
    <row r="6353" spans="1:13" x14ac:dyDescent="0.2">
      <c r="A6353" t="s">
        <v>552</v>
      </c>
      <c r="B6353" t="s">
        <v>17</v>
      </c>
      <c r="C6353" t="s">
        <v>9</v>
      </c>
      <c r="D6353">
        <v>2901</v>
      </c>
      <c r="E6353">
        <v>2021</v>
      </c>
      <c r="F6353">
        <v>1</v>
      </c>
      <c r="G6353">
        <v>12142</v>
      </c>
      <c r="H6353" s="1">
        <v>4</v>
      </c>
      <c r="I6353">
        <v>6</v>
      </c>
      <c r="J6353">
        <f>IF($H6353=0,1,IF($I6353&lt;=1,2,0))</f>
        <v>0</v>
      </c>
      <c r="K6353">
        <v>0</v>
      </c>
      <c r="L6353">
        <f>IF(AND($J6353=0,$K6353=0),0,1)</f>
        <v>0</v>
      </c>
    </row>
    <row r="6354" spans="1:13" x14ac:dyDescent="0.2">
      <c r="A6354" t="s">
        <v>552</v>
      </c>
      <c r="B6354" t="s">
        <v>17</v>
      </c>
      <c r="C6354" t="s">
        <v>9</v>
      </c>
      <c r="D6354">
        <v>3000</v>
      </c>
      <c r="E6354">
        <v>2021</v>
      </c>
      <c r="F6354">
        <v>1</v>
      </c>
      <c r="G6354">
        <v>10510</v>
      </c>
      <c r="H6354" s="1">
        <v>4</v>
      </c>
      <c r="I6354">
        <v>74</v>
      </c>
      <c r="J6354">
        <f>IF($H6354=0,1,IF($I6354&lt;=1,2,0))</f>
        <v>0</v>
      </c>
      <c r="K6354">
        <v>0</v>
      </c>
      <c r="L6354">
        <f>IF(AND($J6354=0,$K6354=0),0,1)</f>
        <v>0</v>
      </c>
      <c r="M6354" t="s">
        <v>1678</v>
      </c>
    </row>
    <row r="6355" spans="1:13" x14ac:dyDescent="0.2">
      <c r="A6355" t="s">
        <v>552</v>
      </c>
      <c r="B6355" t="s">
        <v>17</v>
      </c>
      <c r="C6355" t="s">
        <v>9</v>
      </c>
      <c r="D6355">
        <v>3003</v>
      </c>
      <c r="E6355">
        <v>2021</v>
      </c>
      <c r="F6355">
        <v>1</v>
      </c>
      <c r="G6355">
        <v>378</v>
      </c>
      <c r="H6355" s="1">
        <v>4</v>
      </c>
      <c r="I6355">
        <v>10</v>
      </c>
      <c r="J6355">
        <f>IF($H6355=0,1,IF($I6355&lt;=1,2,0))</f>
        <v>0</v>
      </c>
      <c r="K6355">
        <v>0</v>
      </c>
      <c r="L6355">
        <f>IF(AND($J6355=0,$K6355=0),0,1)</f>
        <v>0</v>
      </c>
    </row>
    <row r="6356" spans="1:13" x14ac:dyDescent="0.2">
      <c r="A6356" t="s">
        <v>552</v>
      </c>
      <c r="B6356" t="s">
        <v>17</v>
      </c>
      <c r="C6356" t="s">
        <v>7</v>
      </c>
      <c r="D6356">
        <v>3048</v>
      </c>
      <c r="E6356">
        <v>2021</v>
      </c>
      <c r="F6356">
        <v>1</v>
      </c>
      <c r="G6356">
        <v>13524</v>
      </c>
      <c r="H6356" s="1">
        <v>3</v>
      </c>
      <c r="I6356">
        <v>22</v>
      </c>
      <c r="J6356">
        <f>IF($H6356=0,1,IF($I6356&lt;=1,2,0))</f>
        <v>0</v>
      </c>
      <c r="K6356">
        <v>0</v>
      </c>
      <c r="L6356">
        <f>IF(AND($J6356=0,$K6356=0),0,1)</f>
        <v>0</v>
      </c>
    </row>
    <row r="6357" spans="1:13" x14ac:dyDescent="0.2">
      <c r="A6357" t="s">
        <v>552</v>
      </c>
      <c r="B6357" t="s">
        <v>17</v>
      </c>
      <c r="C6357" t="s">
        <v>9</v>
      </c>
      <c r="D6357">
        <v>3130</v>
      </c>
      <c r="E6357">
        <v>2021</v>
      </c>
      <c r="F6357">
        <v>1</v>
      </c>
      <c r="G6357">
        <v>10621</v>
      </c>
      <c r="H6357" s="1">
        <v>3</v>
      </c>
      <c r="I6357">
        <v>19</v>
      </c>
      <c r="J6357">
        <f>IF($H6357=0,1,IF($I6357&lt;=1,2,0))</f>
        <v>0</v>
      </c>
      <c r="K6357">
        <v>0</v>
      </c>
      <c r="L6357">
        <f>IF(AND($J6357=0,$K6357=0),0,1)</f>
        <v>0</v>
      </c>
    </row>
    <row r="6358" spans="1:13" x14ac:dyDescent="0.2">
      <c r="A6358" t="s">
        <v>552</v>
      </c>
      <c r="B6358" t="s">
        <v>17</v>
      </c>
      <c r="C6358" t="s">
        <v>9</v>
      </c>
      <c r="D6358">
        <v>3960</v>
      </c>
      <c r="E6358">
        <v>2021</v>
      </c>
      <c r="F6358">
        <v>1</v>
      </c>
      <c r="G6358">
        <v>10608</v>
      </c>
      <c r="H6358" s="1">
        <v>1</v>
      </c>
      <c r="I6358">
        <v>6</v>
      </c>
      <c r="J6358">
        <f>IF($H6358=0,1,IF($I6358&lt;=1,2,0))</f>
        <v>0</v>
      </c>
      <c r="K6358">
        <v>0</v>
      </c>
      <c r="L6358">
        <f>IF(AND($J6358=0,$K6358=0),0,1)</f>
        <v>0</v>
      </c>
    </row>
    <row r="6359" spans="1:13" x14ac:dyDescent="0.2">
      <c r="A6359" t="s">
        <v>552</v>
      </c>
      <c r="B6359" t="s">
        <v>17</v>
      </c>
      <c r="C6359" t="s">
        <v>7</v>
      </c>
      <c r="D6359">
        <v>4155</v>
      </c>
      <c r="E6359">
        <v>2021</v>
      </c>
      <c r="F6359">
        <v>1</v>
      </c>
      <c r="G6359">
        <v>17166</v>
      </c>
      <c r="H6359" s="1">
        <v>4</v>
      </c>
      <c r="I6359">
        <v>10</v>
      </c>
      <c r="J6359">
        <f>IF($H6359=0,1,IF($I6359&lt;=1,2,0))</f>
        <v>0</v>
      </c>
      <c r="K6359">
        <v>0</v>
      </c>
      <c r="L6359">
        <f>IF(AND($J6359=0,$K6359=0),0,1)</f>
        <v>0</v>
      </c>
    </row>
    <row r="6360" spans="1:13" x14ac:dyDescent="0.2">
      <c r="A6360" t="s">
        <v>552</v>
      </c>
      <c r="B6360" t="s">
        <v>17</v>
      </c>
      <c r="C6360" t="s">
        <v>9</v>
      </c>
      <c r="D6360">
        <v>4210</v>
      </c>
      <c r="E6360">
        <v>2021</v>
      </c>
      <c r="F6360">
        <v>1</v>
      </c>
      <c r="G6360">
        <v>10890</v>
      </c>
      <c r="H6360" s="1">
        <v>5</v>
      </c>
      <c r="I6360">
        <v>7</v>
      </c>
      <c r="J6360">
        <f>IF($H6360=0,1,IF($I6360&lt;=1,2,0))</f>
        <v>0</v>
      </c>
      <c r="K6360">
        <v>0</v>
      </c>
      <c r="L6360">
        <f>IF(AND($J6360=0,$K6360=0),0,1)</f>
        <v>0</v>
      </c>
    </row>
    <row r="6361" spans="1:13" x14ac:dyDescent="0.2">
      <c r="A6361" t="s">
        <v>552</v>
      </c>
      <c r="B6361" t="s">
        <v>17</v>
      </c>
      <c r="C6361" t="s">
        <v>9</v>
      </c>
      <c r="D6361">
        <v>4212</v>
      </c>
      <c r="E6361">
        <v>2021</v>
      </c>
      <c r="F6361">
        <v>1</v>
      </c>
      <c r="G6361">
        <v>10893</v>
      </c>
      <c r="H6361" s="1">
        <v>4</v>
      </c>
      <c r="I6361">
        <v>4</v>
      </c>
      <c r="J6361">
        <f>IF($H6361=0,1,IF($I6361&lt;=1,2,0))</f>
        <v>0</v>
      </c>
      <c r="K6361">
        <v>0</v>
      </c>
      <c r="L6361">
        <f>IF(AND($J6361=0,$K6361=0),0,1)</f>
        <v>0</v>
      </c>
    </row>
    <row r="6362" spans="1:13" x14ac:dyDescent="0.2">
      <c r="A6362" t="s">
        <v>552</v>
      </c>
      <c r="B6362" t="s">
        <v>17</v>
      </c>
      <c r="C6362" t="s">
        <v>9</v>
      </c>
      <c r="D6362">
        <v>4214</v>
      </c>
      <c r="E6362">
        <v>2021</v>
      </c>
      <c r="F6362">
        <v>1</v>
      </c>
      <c r="G6362">
        <v>10891</v>
      </c>
      <c r="H6362" s="1">
        <v>4</v>
      </c>
      <c r="I6362">
        <v>2</v>
      </c>
      <c r="J6362">
        <f>IF($H6362=0,1,IF($I6362&lt;=1,2,0))</f>
        <v>0</v>
      </c>
      <c r="K6362">
        <v>0</v>
      </c>
      <c r="L6362">
        <f>IF(AND($J6362=0,$K6362=0),0,1)</f>
        <v>0</v>
      </c>
    </row>
    <row r="6363" spans="1:13" x14ac:dyDescent="0.2">
      <c r="A6363" t="s">
        <v>552</v>
      </c>
      <c r="B6363" t="s">
        <v>17</v>
      </c>
      <c r="C6363" t="s">
        <v>9</v>
      </c>
      <c r="D6363">
        <v>4218</v>
      </c>
      <c r="E6363">
        <v>2021</v>
      </c>
      <c r="F6363">
        <v>1</v>
      </c>
      <c r="G6363">
        <v>10892</v>
      </c>
      <c r="H6363" s="1">
        <v>4</v>
      </c>
      <c r="I6363">
        <v>2</v>
      </c>
      <c r="J6363">
        <f>IF($H6363=0,1,IF($I6363&lt;=1,2,0))</f>
        <v>0</v>
      </c>
      <c r="K6363">
        <v>0</v>
      </c>
      <c r="L6363">
        <f>IF(AND($J6363=0,$K6363=0),0,1)</f>
        <v>0</v>
      </c>
    </row>
    <row r="6364" spans="1:13" x14ac:dyDescent="0.2">
      <c r="A6364" t="s">
        <v>552</v>
      </c>
      <c r="B6364" t="s">
        <v>17</v>
      </c>
      <c r="C6364" t="s">
        <v>9</v>
      </c>
      <c r="D6364">
        <v>4266</v>
      </c>
      <c r="E6364">
        <v>2021</v>
      </c>
      <c r="F6364">
        <v>1</v>
      </c>
      <c r="G6364">
        <v>13583</v>
      </c>
      <c r="H6364" s="1">
        <v>4</v>
      </c>
      <c r="I6364">
        <v>25</v>
      </c>
      <c r="J6364">
        <f>IF($H6364=0,1,IF($I6364&lt;=1,2,0))</f>
        <v>0</v>
      </c>
      <c r="K6364">
        <v>0</v>
      </c>
      <c r="L6364">
        <f>IF(AND($J6364=0,$K6364=0),0,1)</f>
        <v>0</v>
      </c>
    </row>
    <row r="6365" spans="1:13" x14ac:dyDescent="0.2">
      <c r="A6365" t="s">
        <v>552</v>
      </c>
      <c r="B6365" t="s">
        <v>17</v>
      </c>
      <c r="C6365" t="s">
        <v>9</v>
      </c>
      <c r="D6365">
        <v>4310</v>
      </c>
      <c r="E6365">
        <v>2021</v>
      </c>
      <c r="F6365">
        <v>1</v>
      </c>
      <c r="G6365">
        <v>10879</v>
      </c>
      <c r="H6365" s="1">
        <v>3</v>
      </c>
      <c r="I6365">
        <v>2</v>
      </c>
      <c r="J6365">
        <f>IF($H6365=0,1,IF($I6365&lt;=1,2,0))</f>
        <v>0</v>
      </c>
      <c r="K6365">
        <v>0</v>
      </c>
      <c r="L6365">
        <f>IF(AND($J6365=0,$K6365=0),0,1)</f>
        <v>0</v>
      </c>
    </row>
    <row r="6366" spans="1:13" x14ac:dyDescent="0.2">
      <c r="A6366" t="s">
        <v>552</v>
      </c>
      <c r="B6366" t="s">
        <v>17</v>
      </c>
      <c r="C6366" t="s">
        <v>9</v>
      </c>
      <c r="D6366">
        <v>4357</v>
      </c>
      <c r="E6366">
        <v>2021</v>
      </c>
      <c r="F6366">
        <v>1</v>
      </c>
      <c r="G6366">
        <v>17422</v>
      </c>
      <c r="H6366" s="1">
        <v>4</v>
      </c>
      <c r="I6366">
        <v>26</v>
      </c>
      <c r="J6366">
        <f>IF($H6366=0,1,IF($I6366&lt;=1,2,0))</f>
        <v>0</v>
      </c>
      <c r="K6366">
        <v>0</v>
      </c>
      <c r="L6366">
        <f>IF(AND($J6366=0,$K6366=0),0,1)</f>
        <v>0</v>
      </c>
    </row>
    <row r="6367" spans="1:13" x14ac:dyDescent="0.2">
      <c r="A6367" t="s">
        <v>552</v>
      </c>
      <c r="B6367" t="s">
        <v>17</v>
      </c>
      <c r="C6367" t="s">
        <v>9</v>
      </c>
      <c r="D6367">
        <v>4501</v>
      </c>
      <c r="E6367">
        <v>2021</v>
      </c>
      <c r="F6367">
        <v>1</v>
      </c>
      <c r="G6367">
        <v>10856</v>
      </c>
      <c r="H6367" s="1">
        <v>4</v>
      </c>
      <c r="I6367">
        <v>6</v>
      </c>
      <c r="J6367">
        <f>IF($H6367=0,1,IF($I6367&lt;=1,2,0))</f>
        <v>0</v>
      </c>
      <c r="K6367">
        <v>0</v>
      </c>
      <c r="L6367">
        <f>IF(AND($J6367=0,$K6367=0),0,1)</f>
        <v>0</v>
      </c>
    </row>
    <row r="6368" spans="1:13" x14ac:dyDescent="0.2">
      <c r="A6368" t="s">
        <v>552</v>
      </c>
      <c r="B6368" t="s">
        <v>17</v>
      </c>
      <c r="C6368" t="s">
        <v>9</v>
      </c>
      <c r="D6368">
        <v>4510</v>
      </c>
      <c r="E6368">
        <v>2021</v>
      </c>
      <c r="F6368">
        <v>1</v>
      </c>
      <c r="G6368">
        <v>10855</v>
      </c>
      <c r="H6368" s="1">
        <v>4</v>
      </c>
      <c r="I6368">
        <v>7</v>
      </c>
      <c r="J6368">
        <f>IF($H6368=0,1,IF($I6368&lt;=1,2,0))</f>
        <v>0</v>
      </c>
      <c r="K6368">
        <v>0</v>
      </c>
      <c r="L6368">
        <f>IF(AND($J6368=0,$K6368=0),0,1)</f>
        <v>0</v>
      </c>
    </row>
    <row r="6369" spans="1:13" x14ac:dyDescent="0.2">
      <c r="A6369" t="s">
        <v>552</v>
      </c>
      <c r="B6369" t="s">
        <v>17</v>
      </c>
      <c r="C6369" t="s">
        <v>11</v>
      </c>
      <c r="D6369">
        <v>4601</v>
      </c>
      <c r="E6369">
        <v>2021</v>
      </c>
      <c r="F6369">
        <v>1</v>
      </c>
      <c r="G6369">
        <v>10619</v>
      </c>
      <c r="H6369" s="1">
        <v>4</v>
      </c>
      <c r="I6369">
        <v>14</v>
      </c>
      <c r="J6369">
        <f>IF($H6369=0,1,IF($I6369&lt;=1,2,0))</f>
        <v>0</v>
      </c>
      <c r="K6369">
        <v>0</v>
      </c>
      <c r="L6369">
        <f>IF(AND($J6369=0,$K6369=0),0,1)</f>
        <v>0</v>
      </c>
    </row>
    <row r="6370" spans="1:13" x14ac:dyDescent="0.2">
      <c r="A6370" t="s">
        <v>552</v>
      </c>
      <c r="B6370" t="s">
        <v>17</v>
      </c>
      <c r="C6370" t="s">
        <v>9</v>
      </c>
      <c r="D6370">
        <v>4624</v>
      </c>
      <c r="E6370">
        <v>2021</v>
      </c>
      <c r="F6370">
        <v>1</v>
      </c>
      <c r="G6370">
        <v>10781</v>
      </c>
      <c r="H6370" s="1">
        <v>5</v>
      </c>
      <c r="I6370">
        <v>5</v>
      </c>
      <c r="J6370">
        <f>IF($H6370=0,1,IF($I6370&lt;=1,2,0))</f>
        <v>0</v>
      </c>
      <c r="K6370">
        <v>0</v>
      </c>
      <c r="L6370">
        <f>IF(AND($J6370=0,$K6370=0),0,1)</f>
        <v>0</v>
      </c>
    </row>
    <row r="6371" spans="1:13" x14ac:dyDescent="0.2">
      <c r="A6371" t="s">
        <v>552</v>
      </c>
      <c r="B6371" t="s">
        <v>17</v>
      </c>
      <c r="C6371" t="s">
        <v>11</v>
      </c>
      <c r="D6371">
        <v>4628</v>
      </c>
      <c r="E6371">
        <v>2021</v>
      </c>
      <c r="F6371">
        <v>1</v>
      </c>
      <c r="G6371">
        <v>18233</v>
      </c>
      <c r="H6371" s="1">
        <v>4</v>
      </c>
      <c r="I6371">
        <v>8</v>
      </c>
      <c r="J6371">
        <f>IF($H6371=0,1,IF($I6371&lt;=1,2,0))</f>
        <v>0</v>
      </c>
      <c r="K6371">
        <v>0</v>
      </c>
      <c r="L6371">
        <f>IF(AND($J6371=0,$K6371=0),0,1)</f>
        <v>0</v>
      </c>
    </row>
    <row r="6372" spans="1:13" x14ac:dyDescent="0.2">
      <c r="A6372" t="s">
        <v>552</v>
      </c>
      <c r="B6372" t="s">
        <v>17</v>
      </c>
      <c r="C6372" t="s">
        <v>9</v>
      </c>
      <c r="D6372">
        <v>4640</v>
      </c>
      <c r="E6372">
        <v>2021</v>
      </c>
      <c r="F6372">
        <v>1</v>
      </c>
      <c r="G6372">
        <v>10782</v>
      </c>
      <c r="H6372" s="1">
        <v>4</v>
      </c>
      <c r="I6372">
        <v>9</v>
      </c>
      <c r="J6372">
        <f>IF($H6372=0,1,IF($I6372&lt;=1,2,0))</f>
        <v>0</v>
      </c>
      <c r="K6372">
        <v>0</v>
      </c>
      <c r="L6372">
        <f>IF(AND($J6372=0,$K6372=0),0,1)</f>
        <v>0</v>
      </c>
    </row>
    <row r="6373" spans="1:13" x14ac:dyDescent="0.2">
      <c r="A6373" t="s">
        <v>552</v>
      </c>
      <c r="B6373" t="s">
        <v>17</v>
      </c>
      <c r="C6373" t="s">
        <v>11</v>
      </c>
      <c r="D6373">
        <v>4654</v>
      </c>
      <c r="E6373">
        <v>2021</v>
      </c>
      <c r="F6373">
        <v>1</v>
      </c>
      <c r="G6373">
        <v>13249</v>
      </c>
      <c r="H6373" s="1">
        <v>4</v>
      </c>
      <c r="I6373">
        <v>18</v>
      </c>
      <c r="J6373">
        <f>IF($H6373=0,1,IF($I6373&lt;=1,2,0))</f>
        <v>0</v>
      </c>
      <c r="K6373">
        <v>0</v>
      </c>
      <c r="L6373">
        <f>IF(AND($J6373=0,$K6373=0),0,1)</f>
        <v>0</v>
      </c>
    </row>
    <row r="6374" spans="1:13" x14ac:dyDescent="0.2">
      <c r="A6374" t="s">
        <v>552</v>
      </c>
      <c r="B6374" t="s">
        <v>17</v>
      </c>
      <c r="C6374" t="s">
        <v>9</v>
      </c>
      <c r="D6374">
        <v>4710</v>
      </c>
      <c r="E6374">
        <v>2021</v>
      </c>
      <c r="F6374">
        <v>1</v>
      </c>
      <c r="G6374">
        <v>12820</v>
      </c>
      <c r="H6374" s="1">
        <v>3</v>
      </c>
      <c r="I6374">
        <v>4</v>
      </c>
      <c r="J6374">
        <f>IF($H6374=0,1,IF($I6374&lt;=1,2,0))</f>
        <v>0</v>
      </c>
      <c r="K6374">
        <v>0</v>
      </c>
      <c r="L6374">
        <f>IF(AND($J6374=0,$K6374=0),0,1)</f>
        <v>0</v>
      </c>
    </row>
    <row r="6375" spans="1:13" x14ac:dyDescent="0.2">
      <c r="A6375" t="s">
        <v>552</v>
      </c>
      <c r="B6375" t="s">
        <v>17</v>
      </c>
      <c r="C6375" t="s">
        <v>9</v>
      </c>
      <c r="D6375">
        <v>4810</v>
      </c>
      <c r="E6375">
        <v>2021</v>
      </c>
      <c r="F6375">
        <v>1</v>
      </c>
      <c r="G6375">
        <v>11037</v>
      </c>
      <c r="H6375" s="1">
        <v>4</v>
      </c>
      <c r="I6375">
        <v>2</v>
      </c>
      <c r="J6375">
        <f>IF($H6375=0,1,IF($I6375&lt;=1,2,0))</f>
        <v>0</v>
      </c>
      <c r="K6375">
        <v>0</v>
      </c>
      <c r="L6375">
        <f>IF(AND($J6375=0,$K6375=0),0,1)</f>
        <v>0</v>
      </c>
    </row>
    <row r="6376" spans="1:13" x14ac:dyDescent="0.2">
      <c r="A6376" t="s">
        <v>552</v>
      </c>
      <c r="B6376" t="s">
        <v>17</v>
      </c>
      <c r="C6376" t="s">
        <v>9</v>
      </c>
      <c r="D6376">
        <v>4910</v>
      </c>
      <c r="E6376">
        <v>2021</v>
      </c>
      <c r="F6376">
        <v>1</v>
      </c>
      <c r="G6376">
        <v>12143</v>
      </c>
      <c r="H6376" s="1">
        <v>3</v>
      </c>
      <c r="I6376">
        <v>9</v>
      </c>
      <c r="J6376">
        <f>IF($H6376=0,1,IF($I6376&lt;=1,2,0))</f>
        <v>0</v>
      </c>
      <c r="K6376">
        <v>0</v>
      </c>
      <c r="L6376">
        <f>IF(AND($J6376=0,$K6376=0),0,1)</f>
        <v>0</v>
      </c>
    </row>
    <row r="6377" spans="1:13" x14ac:dyDescent="0.2">
      <c r="A6377" t="s">
        <v>552</v>
      </c>
      <c r="B6377" t="s">
        <v>17</v>
      </c>
      <c r="C6377" t="s">
        <v>9</v>
      </c>
      <c r="D6377">
        <v>4926</v>
      </c>
      <c r="E6377">
        <v>2021</v>
      </c>
      <c r="F6377">
        <v>1</v>
      </c>
      <c r="G6377">
        <v>12144</v>
      </c>
      <c r="H6377" s="1">
        <v>3</v>
      </c>
      <c r="I6377">
        <v>3</v>
      </c>
      <c r="J6377">
        <f>IF($H6377=0,1,IF($I6377&lt;=1,2,0))</f>
        <v>0</v>
      </c>
      <c r="K6377">
        <v>0</v>
      </c>
      <c r="L6377">
        <f>IF(AND($J6377=0,$K6377=0),0,1)</f>
        <v>0</v>
      </c>
    </row>
    <row r="6378" spans="1:13" x14ac:dyDescent="0.2">
      <c r="A6378" t="s">
        <v>552</v>
      </c>
      <c r="B6378" t="s">
        <v>17</v>
      </c>
      <c r="C6378" t="s">
        <v>11</v>
      </c>
      <c r="D6378">
        <v>5000</v>
      </c>
      <c r="E6378">
        <v>2021</v>
      </c>
      <c r="F6378">
        <v>1</v>
      </c>
      <c r="G6378">
        <v>10609</v>
      </c>
      <c r="H6378" s="1">
        <v>4</v>
      </c>
      <c r="I6378">
        <v>13</v>
      </c>
      <c r="J6378">
        <f>IF($H6378=0,1,IF($I6378&lt;=1,2,0))</f>
        <v>0</v>
      </c>
      <c r="K6378">
        <v>0</v>
      </c>
      <c r="L6378">
        <f>IF(AND($J6378=0,$K6378=0),0,1)</f>
        <v>0</v>
      </c>
      <c r="M6378" t="s">
        <v>1680</v>
      </c>
    </row>
    <row r="6379" spans="1:13" x14ac:dyDescent="0.2">
      <c r="A6379" t="s">
        <v>552</v>
      </c>
      <c r="B6379" t="s">
        <v>17</v>
      </c>
      <c r="C6379" t="s">
        <v>11</v>
      </c>
      <c r="D6379">
        <v>6008</v>
      </c>
      <c r="E6379">
        <v>2021</v>
      </c>
      <c r="F6379">
        <v>1</v>
      </c>
      <c r="G6379">
        <v>10616</v>
      </c>
      <c r="H6379" s="1">
        <v>2</v>
      </c>
      <c r="I6379">
        <v>8</v>
      </c>
      <c r="J6379">
        <f>IF($H6379=0,1,IF($I6379&lt;=1,2,0))</f>
        <v>0</v>
      </c>
      <c r="K6379">
        <v>0</v>
      </c>
      <c r="L6379">
        <f>IF(AND($J6379=0,$K6379=0),0,1)</f>
        <v>0</v>
      </c>
      <c r="M6379" t="s">
        <v>1680</v>
      </c>
    </row>
    <row r="6380" spans="1:13" x14ac:dyDescent="0.2">
      <c r="A6380" t="s">
        <v>552</v>
      </c>
      <c r="B6380" t="s">
        <v>17</v>
      </c>
      <c r="C6380" t="s">
        <v>11</v>
      </c>
      <c r="D6380">
        <v>6237</v>
      </c>
      <c r="E6380">
        <v>2021</v>
      </c>
      <c r="F6380">
        <v>1</v>
      </c>
      <c r="G6380">
        <v>10613</v>
      </c>
      <c r="H6380" s="1">
        <v>4</v>
      </c>
      <c r="I6380">
        <v>8</v>
      </c>
      <c r="J6380">
        <f>IF($H6380=0,1,IF($I6380&lt;=1,2,0))</f>
        <v>0</v>
      </c>
      <c r="K6380">
        <v>0</v>
      </c>
      <c r="L6380">
        <f>IF(AND($J6380=0,$K6380=0),0,1)</f>
        <v>0</v>
      </c>
    </row>
    <row r="6381" spans="1:13" x14ac:dyDescent="0.2">
      <c r="A6381" t="s">
        <v>552</v>
      </c>
      <c r="B6381" t="s">
        <v>17</v>
      </c>
      <c r="C6381" t="s">
        <v>11</v>
      </c>
      <c r="D6381">
        <v>8101</v>
      </c>
      <c r="E6381">
        <v>2021</v>
      </c>
      <c r="F6381">
        <v>1</v>
      </c>
      <c r="G6381">
        <v>15046</v>
      </c>
      <c r="H6381" s="1">
        <v>4</v>
      </c>
      <c r="I6381">
        <v>7</v>
      </c>
      <c r="J6381">
        <f>IF($H6381=0,1,IF($I6381&lt;=1,2,0))</f>
        <v>0</v>
      </c>
      <c r="K6381">
        <v>0</v>
      </c>
      <c r="L6381">
        <f>IF(AND($J6381=0,$K6381=0),0,1)</f>
        <v>0</v>
      </c>
      <c r="M6381" t="s">
        <v>1681</v>
      </c>
    </row>
    <row r="6382" spans="1:13" x14ac:dyDescent="0.2">
      <c r="A6382" t="s">
        <v>552</v>
      </c>
      <c r="B6382" t="s">
        <v>17</v>
      </c>
      <c r="C6382" t="s">
        <v>11</v>
      </c>
      <c r="D6382">
        <v>8150</v>
      </c>
      <c r="E6382">
        <v>2021</v>
      </c>
      <c r="F6382">
        <v>1</v>
      </c>
      <c r="G6382">
        <v>11159</v>
      </c>
      <c r="H6382" s="1">
        <v>4</v>
      </c>
      <c r="I6382">
        <v>3</v>
      </c>
      <c r="J6382">
        <f>IF($H6382=0,1,IF($I6382&lt;=1,2,0))</f>
        <v>0</v>
      </c>
      <c r="K6382">
        <v>0</v>
      </c>
      <c r="L6382">
        <f>IF(AND($J6382=0,$K6382=0),0,1)</f>
        <v>0</v>
      </c>
    </row>
    <row r="6383" spans="1:13" x14ac:dyDescent="0.2">
      <c r="A6383" t="s">
        <v>555</v>
      </c>
      <c r="B6383" t="s">
        <v>71</v>
      </c>
      <c r="C6383" t="s">
        <v>72</v>
      </c>
      <c r="D6383">
        <v>4439</v>
      </c>
      <c r="E6383">
        <v>2021</v>
      </c>
      <c r="F6383">
        <v>1</v>
      </c>
      <c r="G6383">
        <v>18372</v>
      </c>
      <c r="H6383" s="1">
        <v>3</v>
      </c>
      <c r="I6383">
        <v>8</v>
      </c>
      <c r="J6383">
        <f>IF($H6383=0,1,IF($I6383&lt;=1,2,0))</f>
        <v>0</v>
      </c>
      <c r="K6383">
        <v>0</v>
      </c>
      <c r="L6383">
        <f>IF(AND($J6383=0,$K6383=0),0,1)</f>
        <v>0</v>
      </c>
    </row>
    <row r="6384" spans="1:13" x14ac:dyDescent="0.2">
      <c r="A6384" t="s">
        <v>556</v>
      </c>
      <c r="B6384" t="s">
        <v>71</v>
      </c>
      <c r="C6384" t="s">
        <v>72</v>
      </c>
      <c r="D6384">
        <v>1008</v>
      </c>
      <c r="E6384">
        <v>2021</v>
      </c>
      <c r="F6384">
        <v>5</v>
      </c>
      <c r="G6384">
        <v>12167</v>
      </c>
      <c r="H6384" s="1">
        <v>1</v>
      </c>
      <c r="I6384">
        <v>7</v>
      </c>
      <c r="J6384">
        <f>IF($H6384=0,1,IF($I6384&lt;=1,2,0))</f>
        <v>0</v>
      </c>
      <c r="K6384">
        <v>0</v>
      </c>
      <c r="L6384">
        <f>IF(AND($J6384=0,$K6384=0),0,1)</f>
        <v>0</v>
      </c>
    </row>
    <row r="6385" spans="1:12" x14ac:dyDescent="0.2">
      <c r="A6385" t="s">
        <v>556</v>
      </c>
      <c r="B6385" t="s">
        <v>71</v>
      </c>
      <c r="C6385" t="s">
        <v>72</v>
      </c>
      <c r="D6385">
        <v>1008</v>
      </c>
      <c r="E6385">
        <v>2021</v>
      </c>
      <c r="F6385">
        <v>2</v>
      </c>
      <c r="G6385">
        <v>12161</v>
      </c>
      <c r="H6385" s="1">
        <v>1</v>
      </c>
      <c r="I6385">
        <v>6</v>
      </c>
      <c r="J6385">
        <f>IF($H6385=0,1,IF($I6385&lt;=1,2,0))</f>
        <v>0</v>
      </c>
      <c r="K6385">
        <v>0</v>
      </c>
      <c r="L6385">
        <f>IF(AND($J6385=0,$K6385=0),0,1)</f>
        <v>0</v>
      </c>
    </row>
    <row r="6386" spans="1:12" x14ac:dyDescent="0.2">
      <c r="A6386" t="s">
        <v>556</v>
      </c>
      <c r="B6386" t="s">
        <v>71</v>
      </c>
      <c r="C6386" t="s">
        <v>72</v>
      </c>
      <c r="D6386">
        <v>1008</v>
      </c>
      <c r="E6386">
        <v>2021</v>
      </c>
      <c r="F6386">
        <v>4</v>
      </c>
      <c r="G6386">
        <v>12165</v>
      </c>
      <c r="H6386" s="1">
        <v>1</v>
      </c>
      <c r="I6386">
        <v>6</v>
      </c>
      <c r="J6386">
        <f>IF($H6386=0,1,IF($I6386&lt;=1,2,0))</f>
        <v>0</v>
      </c>
      <c r="K6386">
        <v>0</v>
      </c>
      <c r="L6386">
        <f>IF(AND($J6386=0,$K6386=0),0,1)</f>
        <v>0</v>
      </c>
    </row>
    <row r="6387" spans="1:12" x14ac:dyDescent="0.2">
      <c r="A6387" t="s">
        <v>556</v>
      </c>
      <c r="B6387" t="s">
        <v>71</v>
      </c>
      <c r="C6387" t="s">
        <v>72</v>
      </c>
      <c r="D6387">
        <v>1008</v>
      </c>
      <c r="E6387">
        <v>2021</v>
      </c>
      <c r="F6387">
        <v>3</v>
      </c>
      <c r="G6387">
        <v>12162</v>
      </c>
      <c r="H6387" s="1">
        <v>1</v>
      </c>
      <c r="I6387">
        <v>5</v>
      </c>
      <c r="J6387">
        <f>IF($H6387=0,1,IF($I6387&lt;=1,2,0))</f>
        <v>0</v>
      </c>
      <c r="K6387">
        <v>0</v>
      </c>
      <c r="L6387">
        <f>IF(AND($J6387=0,$K6387=0),0,1)</f>
        <v>0</v>
      </c>
    </row>
    <row r="6388" spans="1:12" x14ac:dyDescent="0.2">
      <c r="A6388" t="s">
        <v>556</v>
      </c>
      <c r="B6388" t="s">
        <v>71</v>
      </c>
      <c r="C6388" t="s">
        <v>72</v>
      </c>
      <c r="D6388">
        <v>1008</v>
      </c>
      <c r="E6388">
        <v>2021</v>
      </c>
      <c r="F6388">
        <v>6</v>
      </c>
      <c r="G6388">
        <v>12168</v>
      </c>
      <c r="H6388" s="1">
        <v>1</v>
      </c>
      <c r="I6388">
        <v>5</v>
      </c>
      <c r="J6388">
        <f>IF($H6388=0,1,IF($I6388&lt;=1,2,0))</f>
        <v>0</v>
      </c>
      <c r="K6388">
        <v>0</v>
      </c>
      <c r="L6388">
        <f>IF(AND($J6388=0,$K6388=0),0,1)</f>
        <v>0</v>
      </c>
    </row>
    <row r="6389" spans="1:12" x14ac:dyDescent="0.2">
      <c r="A6389" t="s">
        <v>556</v>
      </c>
      <c r="B6389" t="s">
        <v>71</v>
      </c>
      <c r="C6389" t="s">
        <v>72</v>
      </c>
      <c r="D6389">
        <v>1008</v>
      </c>
      <c r="E6389">
        <v>2021</v>
      </c>
      <c r="F6389">
        <v>1</v>
      </c>
      <c r="G6389">
        <v>12160</v>
      </c>
      <c r="H6389" s="1">
        <v>1</v>
      </c>
      <c r="I6389">
        <v>4</v>
      </c>
      <c r="J6389">
        <f>IF($H6389=0,1,IF($I6389&lt;=1,2,0))</f>
        <v>0</v>
      </c>
      <c r="K6389">
        <v>0</v>
      </c>
      <c r="L6389">
        <f>IF(AND($J6389=0,$K6389=0),0,1)</f>
        <v>0</v>
      </c>
    </row>
    <row r="6390" spans="1:12" x14ac:dyDescent="0.2">
      <c r="A6390" t="s">
        <v>556</v>
      </c>
      <c r="B6390" t="s">
        <v>71</v>
      </c>
      <c r="C6390" t="s">
        <v>72</v>
      </c>
      <c r="D6390">
        <v>3018</v>
      </c>
      <c r="E6390">
        <v>2021</v>
      </c>
      <c r="F6390">
        <v>1</v>
      </c>
      <c r="G6390">
        <v>12169</v>
      </c>
      <c r="H6390" s="1">
        <v>3</v>
      </c>
      <c r="I6390">
        <v>79</v>
      </c>
      <c r="J6390">
        <f>IF($H6390=0,1,IF($I6390&lt;=1,2,0))</f>
        <v>0</v>
      </c>
      <c r="K6390">
        <v>0</v>
      </c>
      <c r="L6390">
        <f>IF(AND($J6390=0,$K6390=0),0,1)</f>
        <v>0</v>
      </c>
    </row>
    <row r="6391" spans="1:12" x14ac:dyDescent="0.2">
      <c r="A6391" t="s">
        <v>556</v>
      </c>
      <c r="B6391" t="s">
        <v>71</v>
      </c>
      <c r="C6391" t="s">
        <v>72</v>
      </c>
      <c r="D6391">
        <v>3100</v>
      </c>
      <c r="E6391">
        <v>2021</v>
      </c>
      <c r="F6391">
        <v>1</v>
      </c>
      <c r="G6391">
        <v>13517</v>
      </c>
      <c r="H6391" s="1">
        <v>3</v>
      </c>
      <c r="I6391">
        <v>76</v>
      </c>
      <c r="J6391">
        <f>IF($H6391=0,1,IF($I6391&lt;=1,2,0))</f>
        <v>0</v>
      </c>
      <c r="K6391">
        <v>0</v>
      </c>
      <c r="L6391">
        <f>IF(AND($J6391=0,$K6391=0),0,1)</f>
        <v>0</v>
      </c>
    </row>
    <row r="6392" spans="1:12" x14ac:dyDescent="0.2">
      <c r="A6392" t="s">
        <v>556</v>
      </c>
      <c r="B6392" t="s">
        <v>71</v>
      </c>
      <c r="C6392" t="s">
        <v>72</v>
      </c>
      <c r="D6392">
        <v>3301</v>
      </c>
      <c r="E6392">
        <v>2021</v>
      </c>
      <c r="F6392">
        <v>1</v>
      </c>
      <c r="G6392">
        <v>12170</v>
      </c>
      <c r="H6392" s="1">
        <v>3</v>
      </c>
      <c r="I6392">
        <v>87</v>
      </c>
      <c r="J6392">
        <f>IF($H6392=0,1,IF($I6392&lt;=1,2,0))</f>
        <v>0</v>
      </c>
      <c r="K6392">
        <v>0</v>
      </c>
      <c r="L6392">
        <f>IF(AND($J6392=0,$K6392=0),0,1)</f>
        <v>0</v>
      </c>
    </row>
    <row r="6393" spans="1:12" x14ac:dyDescent="0.2">
      <c r="A6393" t="s">
        <v>556</v>
      </c>
      <c r="B6393" t="s">
        <v>71</v>
      </c>
      <c r="C6393" t="s">
        <v>72</v>
      </c>
      <c r="D6393">
        <v>3408</v>
      </c>
      <c r="E6393">
        <v>2021</v>
      </c>
      <c r="F6393">
        <v>1</v>
      </c>
      <c r="G6393">
        <v>12173</v>
      </c>
      <c r="H6393" s="1">
        <v>3</v>
      </c>
      <c r="I6393">
        <v>23</v>
      </c>
      <c r="J6393">
        <f>IF($H6393=0,1,IF($I6393&lt;=1,2,0))</f>
        <v>0</v>
      </c>
      <c r="K6393">
        <v>0</v>
      </c>
      <c r="L6393">
        <f>IF(AND($J6393=0,$K6393=0),0,1)</f>
        <v>0</v>
      </c>
    </row>
    <row r="6394" spans="1:12" x14ac:dyDescent="0.2">
      <c r="A6394" t="s">
        <v>556</v>
      </c>
      <c r="B6394" t="s">
        <v>71</v>
      </c>
      <c r="C6394" t="s">
        <v>72</v>
      </c>
      <c r="D6394">
        <v>3408</v>
      </c>
      <c r="E6394">
        <v>2021</v>
      </c>
      <c r="F6394">
        <v>2</v>
      </c>
      <c r="G6394">
        <v>12174</v>
      </c>
      <c r="H6394" s="1">
        <v>3</v>
      </c>
      <c r="I6394">
        <v>23</v>
      </c>
      <c r="J6394">
        <f>IF($H6394=0,1,IF($I6394&lt;=1,2,0))</f>
        <v>0</v>
      </c>
      <c r="K6394">
        <v>0</v>
      </c>
      <c r="L6394">
        <f>IF(AND($J6394=0,$K6394=0),0,1)</f>
        <v>0</v>
      </c>
    </row>
    <row r="6395" spans="1:12" x14ac:dyDescent="0.2">
      <c r="A6395" t="s">
        <v>556</v>
      </c>
      <c r="B6395" t="s">
        <v>71</v>
      </c>
      <c r="C6395" t="s">
        <v>72</v>
      </c>
      <c r="D6395">
        <v>3409</v>
      </c>
      <c r="E6395">
        <v>2021</v>
      </c>
      <c r="F6395">
        <v>1</v>
      </c>
      <c r="G6395">
        <v>12175</v>
      </c>
      <c r="H6395" s="1">
        <v>3</v>
      </c>
      <c r="I6395">
        <v>57</v>
      </c>
      <c r="J6395">
        <f>IF($H6395=0,1,IF($I6395&lt;=1,2,0))</f>
        <v>0</v>
      </c>
      <c r="K6395">
        <v>0</v>
      </c>
      <c r="L6395">
        <f>IF(AND($J6395=0,$K6395=0),0,1)</f>
        <v>0</v>
      </c>
    </row>
    <row r="6396" spans="1:12" x14ac:dyDescent="0.2">
      <c r="A6396" t="s">
        <v>556</v>
      </c>
      <c r="B6396" t="s">
        <v>71</v>
      </c>
      <c r="C6396" t="s">
        <v>72</v>
      </c>
      <c r="D6396">
        <v>3420</v>
      </c>
      <c r="E6396">
        <v>2021</v>
      </c>
      <c r="F6396">
        <v>1</v>
      </c>
      <c r="G6396">
        <v>12176</v>
      </c>
      <c r="H6396" s="1">
        <v>3</v>
      </c>
      <c r="I6396">
        <v>60</v>
      </c>
      <c r="J6396">
        <f>IF($H6396=0,1,IF($I6396&lt;=1,2,0))</f>
        <v>0</v>
      </c>
      <c r="K6396">
        <v>0</v>
      </c>
      <c r="L6396">
        <f>IF(AND($J6396=0,$K6396=0),0,1)</f>
        <v>0</v>
      </c>
    </row>
    <row r="6397" spans="1:12" x14ac:dyDescent="0.2">
      <c r="A6397" t="s">
        <v>556</v>
      </c>
      <c r="B6397" t="s">
        <v>71</v>
      </c>
      <c r="C6397" t="s">
        <v>72</v>
      </c>
      <c r="D6397">
        <v>4058</v>
      </c>
      <c r="E6397">
        <v>2021</v>
      </c>
      <c r="F6397">
        <v>1</v>
      </c>
      <c r="G6397">
        <v>12179</v>
      </c>
      <c r="H6397" s="1">
        <v>3</v>
      </c>
      <c r="I6397">
        <v>22</v>
      </c>
      <c r="J6397">
        <f>IF($H6397=0,1,IF($I6397&lt;=1,2,0))</f>
        <v>0</v>
      </c>
      <c r="K6397">
        <v>0</v>
      </c>
      <c r="L6397">
        <f>IF(AND($J6397=0,$K6397=0),0,1)</f>
        <v>0</v>
      </c>
    </row>
    <row r="6398" spans="1:12" x14ac:dyDescent="0.2">
      <c r="A6398" t="s">
        <v>556</v>
      </c>
      <c r="B6398" t="s">
        <v>71</v>
      </c>
      <c r="C6398" t="s">
        <v>72</v>
      </c>
      <c r="D6398">
        <v>4211</v>
      </c>
      <c r="E6398">
        <v>2021</v>
      </c>
      <c r="F6398">
        <v>1</v>
      </c>
      <c r="G6398">
        <v>12180</v>
      </c>
      <c r="H6398" s="1">
        <v>3</v>
      </c>
      <c r="I6398">
        <v>40</v>
      </c>
      <c r="J6398">
        <f>IF($H6398=0,1,IF($I6398&lt;=1,2,0))</f>
        <v>0</v>
      </c>
      <c r="K6398">
        <v>0</v>
      </c>
      <c r="L6398">
        <f>IF(AND($J6398=0,$K6398=0),0,1)</f>
        <v>0</v>
      </c>
    </row>
    <row r="6399" spans="1:12" x14ac:dyDescent="0.2">
      <c r="A6399" t="s">
        <v>556</v>
      </c>
      <c r="B6399" t="s">
        <v>71</v>
      </c>
      <c r="C6399" t="s">
        <v>72</v>
      </c>
      <c r="D6399">
        <v>4212</v>
      </c>
      <c r="E6399">
        <v>2021</v>
      </c>
      <c r="F6399">
        <v>1</v>
      </c>
      <c r="G6399">
        <v>12181</v>
      </c>
      <c r="H6399" s="1">
        <v>3</v>
      </c>
      <c r="I6399">
        <v>20</v>
      </c>
      <c r="J6399">
        <f>IF($H6399=0,1,IF($I6399&lt;=1,2,0))</f>
        <v>0</v>
      </c>
      <c r="K6399">
        <v>0</v>
      </c>
      <c r="L6399">
        <f>IF(AND($J6399=0,$K6399=0),0,1)</f>
        <v>0</v>
      </c>
    </row>
    <row r="6400" spans="1:12" x14ac:dyDescent="0.2">
      <c r="A6400" t="s">
        <v>556</v>
      </c>
      <c r="B6400" t="s">
        <v>71</v>
      </c>
      <c r="C6400" t="s">
        <v>72</v>
      </c>
      <c r="D6400">
        <v>4330</v>
      </c>
      <c r="E6400">
        <v>2021</v>
      </c>
      <c r="F6400">
        <v>1</v>
      </c>
      <c r="G6400">
        <v>12183</v>
      </c>
      <c r="H6400" s="1">
        <v>3</v>
      </c>
      <c r="I6400">
        <v>17</v>
      </c>
      <c r="J6400">
        <f>IF($H6400=0,1,IF($I6400&lt;=1,2,0))</f>
        <v>0</v>
      </c>
      <c r="K6400">
        <v>0</v>
      </c>
      <c r="L6400">
        <f>IF(AND($J6400=0,$K6400=0),0,1)</f>
        <v>0</v>
      </c>
    </row>
    <row r="6401" spans="1:13" x14ac:dyDescent="0.2">
      <c r="A6401" t="s">
        <v>556</v>
      </c>
      <c r="B6401" t="s">
        <v>71</v>
      </c>
      <c r="C6401" t="s">
        <v>72</v>
      </c>
      <c r="D6401">
        <v>4520</v>
      </c>
      <c r="E6401">
        <v>2021</v>
      </c>
      <c r="F6401">
        <v>1</v>
      </c>
      <c r="G6401">
        <v>12185</v>
      </c>
      <c r="H6401" s="1">
        <v>3</v>
      </c>
      <c r="I6401">
        <v>154</v>
      </c>
      <c r="J6401">
        <f>IF($H6401=0,1,IF($I6401&lt;=1,2,0))</f>
        <v>0</v>
      </c>
      <c r="K6401">
        <v>0</v>
      </c>
      <c r="L6401">
        <f>IF(AND($J6401=0,$K6401=0),0,1)</f>
        <v>0</v>
      </c>
    </row>
    <row r="6402" spans="1:13" x14ac:dyDescent="0.2">
      <c r="A6402" t="s">
        <v>556</v>
      </c>
      <c r="B6402" t="s">
        <v>71</v>
      </c>
      <c r="C6402" t="s">
        <v>72</v>
      </c>
      <c r="D6402">
        <v>4602</v>
      </c>
      <c r="E6402">
        <v>2021</v>
      </c>
      <c r="F6402">
        <v>1</v>
      </c>
      <c r="G6402">
        <v>12186</v>
      </c>
      <c r="H6402" s="1">
        <v>3</v>
      </c>
      <c r="I6402">
        <v>102</v>
      </c>
      <c r="J6402">
        <f>IF($H6402=0,1,IF($I6402&lt;=1,2,0))</f>
        <v>0</v>
      </c>
      <c r="K6402">
        <v>0</v>
      </c>
      <c r="L6402">
        <f>IF(AND($J6402=0,$K6402=0),0,1)</f>
        <v>0</v>
      </c>
    </row>
    <row r="6403" spans="1:13" x14ac:dyDescent="0.2">
      <c r="A6403" t="s">
        <v>556</v>
      </c>
      <c r="B6403" t="s">
        <v>71</v>
      </c>
      <c r="C6403" t="s">
        <v>72</v>
      </c>
      <c r="D6403">
        <v>4602</v>
      </c>
      <c r="E6403">
        <v>2021</v>
      </c>
      <c r="F6403" t="s">
        <v>84</v>
      </c>
      <c r="G6403">
        <v>18356</v>
      </c>
      <c r="H6403" s="1">
        <v>3</v>
      </c>
      <c r="I6403">
        <v>5</v>
      </c>
      <c r="J6403">
        <f>IF($H6403=0,1,IF($I6403&lt;=1,2,0))</f>
        <v>0</v>
      </c>
      <c r="K6403">
        <v>0</v>
      </c>
      <c r="L6403">
        <f>IF(AND($J6403=0,$K6403=0),0,1)</f>
        <v>0</v>
      </c>
      <c r="M6403" t="s">
        <v>85</v>
      </c>
    </row>
    <row r="6404" spans="1:13" x14ac:dyDescent="0.2">
      <c r="A6404" t="s">
        <v>556</v>
      </c>
      <c r="B6404" t="s">
        <v>71</v>
      </c>
      <c r="C6404" t="s">
        <v>72</v>
      </c>
      <c r="D6404">
        <v>4604</v>
      </c>
      <c r="E6404">
        <v>2021</v>
      </c>
      <c r="F6404">
        <v>1</v>
      </c>
      <c r="G6404">
        <v>12187</v>
      </c>
      <c r="H6404" s="1">
        <v>3</v>
      </c>
      <c r="I6404">
        <v>58</v>
      </c>
      <c r="J6404">
        <f>IF($H6404=0,1,IF($I6404&lt;=1,2,0))</f>
        <v>0</v>
      </c>
      <c r="K6404">
        <v>0</v>
      </c>
      <c r="L6404">
        <f>IF(AND($J6404=0,$K6404=0),0,1)</f>
        <v>0</v>
      </c>
    </row>
    <row r="6405" spans="1:13" x14ac:dyDescent="0.2">
      <c r="A6405" t="s">
        <v>556</v>
      </c>
      <c r="B6405" t="s">
        <v>71</v>
      </c>
      <c r="C6405" t="s">
        <v>72</v>
      </c>
      <c r="D6405">
        <v>4604</v>
      </c>
      <c r="E6405">
        <v>2021</v>
      </c>
      <c r="F6405" t="s">
        <v>84</v>
      </c>
      <c r="G6405">
        <v>18357</v>
      </c>
      <c r="H6405" s="1">
        <v>3</v>
      </c>
      <c r="I6405">
        <v>3</v>
      </c>
      <c r="J6405">
        <f>IF($H6405=0,1,IF($I6405&lt;=1,2,0))</f>
        <v>0</v>
      </c>
      <c r="K6405">
        <v>0</v>
      </c>
      <c r="L6405">
        <f>IF(AND($J6405=0,$K6405=0),0,1)</f>
        <v>0</v>
      </c>
      <c r="M6405" t="s">
        <v>85</v>
      </c>
    </row>
    <row r="6406" spans="1:13" x14ac:dyDescent="0.2">
      <c r="A6406" t="s">
        <v>556</v>
      </c>
      <c r="B6406" t="s">
        <v>71</v>
      </c>
      <c r="C6406" t="s">
        <v>72</v>
      </c>
      <c r="D6406">
        <v>4610</v>
      </c>
      <c r="E6406">
        <v>2021</v>
      </c>
      <c r="F6406">
        <v>1</v>
      </c>
      <c r="G6406">
        <v>12188</v>
      </c>
      <c r="H6406" s="1">
        <v>3</v>
      </c>
      <c r="I6406">
        <v>26</v>
      </c>
      <c r="J6406">
        <f>IF($H6406=0,1,IF($I6406&lt;=1,2,0))</f>
        <v>0</v>
      </c>
      <c r="K6406">
        <v>0</v>
      </c>
      <c r="L6406">
        <f>IF(AND($J6406=0,$K6406=0),0,1)</f>
        <v>0</v>
      </c>
    </row>
    <row r="6407" spans="1:13" x14ac:dyDescent="0.2">
      <c r="A6407" t="s">
        <v>556</v>
      </c>
      <c r="B6407" t="s">
        <v>71</v>
      </c>
      <c r="C6407" t="s">
        <v>72</v>
      </c>
      <c r="D6407">
        <v>4610</v>
      </c>
      <c r="E6407">
        <v>2021</v>
      </c>
      <c r="F6407" t="s">
        <v>87</v>
      </c>
      <c r="G6407">
        <v>18358</v>
      </c>
      <c r="H6407" s="1">
        <v>3</v>
      </c>
      <c r="I6407">
        <v>3</v>
      </c>
      <c r="J6407">
        <f>IF($H6407=0,1,IF($I6407&lt;=1,2,0))</f>
        <v>0</v>
      </c>
      <c r="K6407">
        <v>0</v>
      </c>
      <c r="L6407">
        <f>IF(AND($J6407=0,$K6407=0),0,1)</f>
        <v>0</v>
      </c>
      <c r="M6407" t="s">
        <v>85</v>
      </c>
    </row>
    <row r="6408" spans="1:13" x14ac:dyDescent="0.2">
      <c r="A6408" t="s">
        <v>556</v>
      </c>
      <c r="B6408" t="s">
        <v>71</v>
      </c>
      <c r="C6408" t="s">
        <v>72</v>
      </c>
      <c r="D6408">
        <v>4611</v>
      </c>
      <c r="E6408">
        <v>2021</v>
      </c>
      <c r="F6408">
        <v>1</v>
      </c>
      <c r="G6408">
        <v>12189</v>
      </c>
      <c r="H6408" s="1">
        <v>3</v>
      </c>
      <c r="I6408">
        <v>38</v>
      </c>
      <c r="J6408">
        <f>IF($H6408=0,1,IF($I6408&lt;=1,2,0))</f>
        <v>0</v>
      </c>
      <c r="K6408">
        <v>0</v>
      </c>
      <c r="L6408">
        <f>IF(AND($J6408=0,$K6408=0),0,1)</f>
        <v>0</v>
      </c>
    </row>
    <row r="6409" spans="1:13" x14ac:dyDescent="0.2">
      <c r="A6409" t="s">
        <v>556</v>
      </c>
      <c r="B6409" t="s">
        <v>71</v>
      </c>
      <c r="C6409" t="s">
        <v>72</v>
      </c>
      <c r="D6409">
        <v>4611</v>
      </c>
      <c r="E6409">
        <v>2021</v>
      </c>
      <c r="F6409">
        <v>2</v>
      </c>
      <c r="G6409">
        <v>20489</v>
      </c>
      <c r="H6409" s="1">
        <v>3</v>
      </c>
      <c r="I6409">
        <v>34</v>
      </c>
      <c r="J6409">
        <f>IF($H6409=0,1,IF($I6409&lt;=1,2,0))</f>
        <v>0</v>
      </c>
      <c r="K6409">
        <v>0</v>
      </c>
      <c r="L6409">
        <f>IF(AND($J6409=0,$K6409=0),0,1)</f>
        <v>0</v>
      </c>
    </row>
    <row r="6410" spans="1:13" x14ac:dyDescent="0.2">
      <c r="A6410" t="s">
        <v>556</v>
      </c>
      <c r="B6410" t="s">
        <v>71</v>
      </c>
      <c r="C6410" t="s">
        <v>72</v>
      </c>
      <c r="D6410">
        <v>4611</v>
      </c>
      <c r="E6410">
        <v>2021</v>
      </c>
      <c r="F6410" t="s">
        <v>84</v>
      </c>
      <c r="G6410">
        <v>17511</v>
      </c>
      <c r="H6410" s="1">
        <v>3</v>
      </c>
      <c r="I6410">
        <v>6</v>
      </c>
      <c r="J6410">
        <f>IF($H6410=0,1,IF($I6410&lt;=1,2,0))</f>
        <v>0</v>
      </c>
      <c r="K6410">
        <v>0</v>
      </c>
      <c r="L6410">
        <f>IF(AND($J6410=0,$K6410=0),0,1)</f>
        <v>0</v>
      </c>
      <c r="M6410" t="s">
        <v>85</v>
      </c>
    </row>
    <row r="6411" spans="1:13" x14ac:dyDescent="0.2">
      <c r="A6411" t="s">
        <v>556</v>
      </c>
      <c r="B6411" t="s">
        <v>71</v>
      </c>
      <c r="C6411" t="s">
        <v>72</v>
      </c>
      <c r="D6411">
        <v>4811</v>
      </c>
      <c r="E6411">
        <v>2021</v>
      </c>
      <c r="F6411">
        <v>1</v>
      </c>
      <c r="G6411">
        <v>12190</v>
      </c>
      <c r="H6411" s="1">
        <v>3</v>
      </c>
      <c r="I6411">
        <v>14</v>
      </c>
      <c r="J6411">
        <f>IF($H6411=0,1,IF($I6411&lt;=1,2,0))</f>
        <v>0</v>
      </c>
      <c r="K6411">
        <v>0</v>
      </c>
      <c r="L6411">
        <f>IF(AND($J6411=0,$K6411=0),0,1)</f>
        <v>0</v>
      </c>
      <c r="M6411" t="s">
        <v>1682</v>
      </c>
    </row>
    <row r="6412" spans="1:13" x14ac:dyDescent="0.2">
      <c r="A6412" t="s">
        <v>556</v>
      </c>
      <c r="B6412" t="s">
        <v>71</v>
      </c>
      <c r="C6412" t="s">
        <v>72</v>
      </c>
      <c r="D6412">
        <v>6100</v>
      </c>
      <c r="E6412">
        <v>2021</v>
      </c>
      <c r="F6412">
        <v>1</v>
      </c>
      <c r="G6412">
        <v>12198</v>
      </c>
      <c r="H6412" s="1">
        <v>3</v>
      </c>
      <c r="I6412">
        <v>24</v>
      </c>
      <c r="J6412">
        <f>IF($H6412=0,1,IF($I6412&lt;=1,2,0))</f>
        <v>0</v>
      </c>
      <c r="K6412">
        <v>0</v>
      </c>
      <c r="L6412">
        <f>IF(AND($J6412=0,$K6412=0),0,1)</f>
        <v>0</v>
      </c>
    </row>
    <row r="6413" spans="1:13" x14ac:dyDescent="0.2">
      <c r="A6413" t="s">
        <v>556</v>
      </c>
      <c r="B6413" t="s">
        <v>71</v>
      </c>
      <c r="C6413" t="s">
        <v>72</v>
      </c>
      <c r="D6413">
        <v>6106</v>
      </c>
      <c r="E6413">
        <v>2021</v>
      </c>
      <c r="F6413">
        <v>1</v>
      </c>
      <c r="G6413">
        <v>17404</v>
      </c>
      <c r="H6413" s="1">
        <v>3</v>
      </c>
      <c r="I6413">
        <v>4</v>
      </c>
      <c r="J6413">
        <f>IF($H6413=0,1,IF($I6413&lt;=1,2,0))</f>
        <v>0</v>
      </c>
      <c r="K6413">
        <v>0</v>
      </c>
      <c r="L6413">
        <f>IF(AND($J6413=0,$K6413=0),0,1)</f>
        <v>0</v>
      </c>
    </row>
    <row r="6414" spans="1:13" x14ac:dyDescent="0.2">
      <c r="A6414" t="s">
        <v>556</v>
      </c>
      <c r="B6414" t="s">
        <v>71</v>
      </c>
      <c r="C6414" t="s">
        <v>72</v>
      </c>
      <c r="D6414">
        <v>6422</v>
      </c>
      <c r="E6414">
        <v>2021</v>
      </c>
      <c r="F6414">
        <v>1</v>
      </c>
      <c r="G6414">
        <v>13522</v>
      </c>
      <c r="H6414" s="1">
        <v>3</v>
      </c>
      <c r="I6414">
        <v>15</v>
      </c>
      <c r="J6414">
        <f>IF($H6414=0,1,IF($I6414&lt;=1,2,0))</f>
        <v>0</v>
      </c>
      <c r="K6414">
        <v>0</v>
      </c>
      <c r="L6414">
        <f>IF(AND($J6414=0,$K6414=0),0,1)</f>
        <v>0</v>
      </c>
    </row>
    <row r="6415" spans="1:13" x14ac:dyDescent="0.2">
      <c r="A6415" t="s">
        <v>559</v>
      </c>
      <c r="B6415" t="s">
        <v>71</v>
      </c>
      <c r="C6415" t="s">
        <v>72</v>
      </c>
      <c r="D6415">
        <v>4320</v>
      </c>
      <c r="E6415">
        <v>2021</v>
      </c>
      <c r="F6415">
        <v>1</v>
      </c>
      <c r="G6415">
        <v>12182</v>
      </c>
      <c r="H6415" s="1">
        <v>3</v>
      </c>
      <c r="I6415">
        <v>27</v>
      </c>
      <c r="J6415">
        <f>IF($H6415=0,1,IF($I6415&lt;=1,2,0))</f>
        <v>0</v>
      </c>
      <c r="K6415">
        <v>0</v>
      </c>
      <c r="L6415">
        <f>IF(AND($J6415=0,$K6415=0),0,1)</f>
        <v>0</v>
      </c>
    </row>
    <row r="6416" spans="1:13" x14ac:dyDescent="0.2">
      <c r="A6416" t="s">
        <v>560</v>
      </c>
      <c r="B6416" t="s">
        <v>71</v>
      </c>
      <c r="C6416" t="s">
        <v>72</v>
      </c>
      <c r="D6416">
        <v>4510</v>
      </c>
      <c r="E6416">
        <v>2021</v>
      </c>
      <c r="F6416">
        <v>1</v>
      </c>
      <c r="G6416">
        <v>12184</v>
      </c>
      <c r="H6416" s="1">
        <v>3</v>
      </c>
      <c r="I6416">
        <v>109</v>
      </c>
      <c r="J6416">
        <f>IF($H6416=0,1,IF($I6416&lt;=1,2,0))</f>
        <v>0</v>
      </c>
      <c r="K6416">
        <v>0</v>
      </c>
      <c r="L6416">
        <f>IF(AND($J6416=0,$K6416=0),0,1)</f>
        <v>0</v>
      </c>
    </row>
    <row r="6417" spans="1:13" x14ac:dyDescent="0.2">
      <c r="A6417" t="s">
        <v>1145</v>
      </c>
      <c r="B6417" t="s">
        <v>6</v>
      </c>
      <c r="C6417" t="s">
        <v>11</v>
      </c>
      <c r="D6417">
        <v>5000</v>
      </c>
      <c r="E6417">
        <v>2021</v>
      </c>
      <c r="F6417">
        <v>1</v>
      </c>
      <c r="G6417">
        <v>10570</v>
      </c>
      <c r="H6417" s="1">
        <v>4</v>
      </c>
      <c r="I6417">
        <v>4</v>
      </c>
      <c r="J6417">
        <f>IF($H6417=0,1,IF($I6417&lt;=1,2,0))</f>
        <v>0</v>
      </c>
      <c r="K6417">
        <v>0</v>
      </c>
      <c r="L6417">
        <f>IF(AND($J6417=0,$K6417=0),0,1)</f>
        <v>0</v>
      </c>
    </row>
    <row r="6418" spans="1:13" x14ac:dyDescent="0.2">
      <c r="A6418" t="s">
        <v>562</v>
      </c>
      <c r="B6418" t="s">
        <v>17</v>
      </c>
      <c r="C6418" t="s">
        <v>21</v>
      </c>
      <c r="D6418">
        <v>1511</v>
      </c>
      <c r="E6418">
        <v>2021</v>
      </c>
      <c r="F6418">
        <v>1</v>
      </c>
      <c r="G6418">
        <v>10497</v>
      </c>
      <c r="H6418" s="1">
        <v>1</v>
      </c>
      <c r="I6418">
        <v>10</v>
      </c>
      <c r="J6418">
        <f>IF($H6418=0,1,IF($I6418&lt;=1,2,0))</f>
        <v>0</v>
      </c>
      <c r="K6418">
        <v>0</v>
      </c>
      <c r="L6418">
        <f>IF(AND($J6418=0,$K6418=0),0,1)</f>
        <v>0</v>
      </c>
      <c r="M6418" t="s">
        <v>566</v>
      </c>
    </row>
    <row r="6419" spans="1:13" x14ac:dyDescent="0.2">
      <c r="A6419" t="s">
        <v>562</v>
      </c>
      <c r="B6419" t="s">
        <v>17</v>
      </c>
      <c r="C6419" t="s">
        <v>21</v>
      </c>
      <c r="D6419">
        <v>1521</v>
      </c>
      <c r="E6419">
        <v>2021</v>
      </c>
      <c r="F6419">
        <v>1</v>
      </c>
      <c r="G6419">
        <v>10185</v>
      </c>
      <c r="H6419" s="1">
        <v>2</v>
      </c>
      <c r="I6419">
        <v>71</v>
      </c>
      <c r="J6419">
        <f>IF($H6419=0,1,IF($I6419&lt;=1,2,0))</f>
        <v>0</v>
      </c>
      <c r="K6419">
        <v>0</v>
      </c>
      <c r="L6419">
        <f>IF(AND($J6419=0,$K6419=0),0,1)</f>
        <v>0</v>
      </c>
      <c r="M6419" t="s">
        <v>1684</v>
      </c>
    </row>
    <row r="6420" spans="1:13" x14ac:dyDescent="0.2">
      <c r="A6420" t="s">
        <v>562</v>
      </c>
      <c r="B6420" t="s">
        <v>17</v>
      </c>
      <c r="C6420" t="s">
        <v>21</v>
      </c>
      <c r="D6420">
        <v>1531</v>
      </c>
      <c r="E6420">
        <v>2021</v>
      </c>
      <c r="F6420">
        <v>4</v>
      </c>
      <c r="G6420">
        <v>10188</v>
      </c>
      <c r="H6420" s="1">
        <v>1</v>
      </c>
      <c r="I6420">
        <v>18</v>
      </c>
      <c r="J6420">
        <f>IF($H6420=0,1,IF($I6420&lt;=1,2,0))</f>
        <v>0</v>
      </c>
      <c r="K6420">
        <v>0</v>
      </c>
      <c r="L6420">
        <f>IF(AND($J6420=0,$K6420=0),0,1)</f>
        <v>0</v>
      </c>
      <c r="M6420" t="s">
        <v>1684</v>
      </c>
    </row>
    <row r="6421" spans="1:13" x14ac:dyDescent="0.2">
      <c r="A6421" t="s">
        <v>562</v>
      </c>
      <c r="B6421" t="s">
        <v>17</v>
      </c>
      <c r="C6421" t="s">
        <v>21</v>
      </c>
      <c r="D6421">
        <v>1531</v>
      </c>
      <c r="E6421">
        <v>2021</v>
      </c>
      <c r="F6421">
        <v>16</v>
      </c>
      <c r="G6421">
        <v>10195</v>
      </c>
      <c r="H6421" s="1">
        <v>1</v>
      </c>
      <c r="I6421">
        <v>11</v>
      </c>
      <c r="J6421">
        <f>IF($H6421=0,1,IF($I6421&lt;=1,2,0))</f>
        <v>0</v>
      </c>
      <c r="K6421">
        <v>0</v>
      </c>
      <c r="L6421">
        <f>IF(AND($J6421=0,$K6421=0),0,1)</f>
        <v>0</v>
      </c>
      <c r="M6421" t="s">
        <v>1684</v>
      </c>
    </row>
    <row r="6422" spans="1:13" x14ac:dyDescent="0.2">
      <c r="A6422" t="s">
        <v>562</v>
      </c>
      <c r="B6422" t="s">
        <v>17</v>
      </c>
      <c r="C6422" t="s">
        <v>21</v>
      </c>
      <c r="D6422">
        <v>1531</v>
      </c>
      <c r="E6422">
        <v>2021</v>
      </c>
      <c r="F6422">
        <v>7</v>
      </c>
      <c r="G6422">
        <v>10190</v>
      </c>
      <c r="H6422" s="1">
        <v>1</v>
      </c>
      <c r="I6422">
        <v>9</v>
      </c>
      <c r="J6422">
        <f>IF($H6422=0,1,IF($I6422&lt;=1,2,0))</f>
        <v>0</v>
      </c>
      <c r="K6422">
        <v>0</v>
      </c>
      <c r="L6422">
        <f>IF(AND($J6422=0,$K6422=0),0,1)</f>
        <v>0</v>
      </c>
      <c r="M6422" t="s">
        <v>1684</v>
      </c>
    </row>
    <row r="6423" spans="1:13" x14ac:dyDescent="0.2">
      <c r="A6423" t="s">
        <v>562</v>
      </c>
      <c r="B6423" t="s">
        <v>17</v>
      </c>
      <c r="C6423" t="s">
        <v>21</v>
      </c>
      <c r="D6423">
        <v>1531</v>
      </c>
      <c r="E6423">
        <v>2021</v>
      </c>
      <c r="F6423">
        <v>8</v>
      </c>
      <c r="G6423">
        <v>10191</v>
      </c>
      <c r="H6423" s="1">
        <v>1</v>
      </c>
      <c r="I6423">
        <v>8</v>
      </c>
      <c r="J6423">
        <f>IF($H6423=0,1,IF($I6423&lt;=1,2,0))</f>
        <v>0</v>
      </c>
      <c r="K6423">
        <v>0</v>
      </c>
      <c r="L6423">
        <f>IF(AND($J6423=0,$K6423=0),0,1)</f>
        <v>0</v>
      </c>
      <c r="M6423" t="s">
        <v>1684</v>
      </c>
    </row>
    <row r="6424" spans="1:13" x14ac:dyDescent="0.2">
      <c r="A6424" t="s">
        <v>562</v>
      </c>
      <c r="B6424" t="s">
        <v>17</v>
      </c>
      <c r="C6424" t="s">
        <v>21</v>
      </c>
      <c r="D6424">
        <v>1531</v>
      </c>
      <c r="E6424">
        <v>2021</v>
      </c>
      <c r="F6424">
        <v>14</v>
      </c>
      <c r="G6424">
        <v>10194</v>
      </c>
      <c r="H6424" s="1">
        <v>1</v>
      </c>
      <c r="I6424">
        <v>8</v>
      </c>
      <c r="J6424">
        <f>IF($H6424=0,1,IF($I6424&lt;=1,2,0))</f>
        <v>0</v>
      </c>
      <c r="K6424">
        <v>0</v>
      </c>
      <c r="L6424">
        <f>IF(AND($J6424=0,$K6424=0),0,1)</f>
        <v>0</v>
      </c>
      <c r="M6424" t="s">
        <v>1684</v>
      </c>
    </row>
    <row r="6425" spans="1:13" x14ac:dyDescent="0.2">
      <c r="A6425" t="s">
        <v>562</v>
      </c>
      <c r="B6425" t="s">
        <v>17</v>
      </c>
      <c r="C6425" t="s">
        <v>21</v>
      </c>
      <c r="D6425">
        <v>1531</v>
      </c>
      <c r="E6425">
        <v>2021</v>
      </c>
      <c r="F6425">
        <v>19</v>
      </c>
      <c r="G6425">
        <v>10198</v>
      </c>
      <c r="H6425" s="1">
        <v>1</v>
      </c>
      <c r="I6425">
        <v>6</v>
      </c>
      <c r="J6425">
        <f>IF($H6425=0,1,IF($I6425&lt;=1,2,0))</f>
        <v>0</v>
      </c>
      <c r="K6425">
        <v>0</v>
      </c>
      <c r="L6425">
        <f>IF(AND($J6425=0,$K6425=0),0,1)</f>
        <v>0</v>
      </c>
      <c r="M6425" t="s">
        <v>1684</v>
      </c>
    </row>
    <row r="6426" spans="1:13" x14ac:dyDescent="0.2">
      <c r="A6426" t="s">
        <v>562</v>
      </c>
      <c r="B6426" t="s">
        <v>17</v>
      </c>
      <c r="C6426" t="s">
        <v>21</v>
      </c>
      <c r="D6426">
        <v>1531</v>
      </c>
      <c r="E6426">
        <v>2021</v>
      </c>
      <c r="F6426">
        <v>15</v>
      </c>
      <c r="G6426">
        <v>20533</v>
      </c>
      <c r="H6426" s="1">
        <v>1</v>
      </c>
      <c r="I6426">
        <v>5</v>
      </c>
      <c r="J6426">
        <f>IF($H6426=0,1,IF($I6426&lt;=1,2,0))</f>
        <v>0</v>
      </c>
      <c r="K6426">
        <v>0</v>
      </c>
      <c r="L6426">
        <f>IF(AND($J6426=0,$K6426=0),0,1)</f>
        <v>0</v>
      </c>
      <c r="M6426" t="s">
        <v>1684</v>
      </c>
    </row>
    <row r="6427" spans="1:13" x14ac:dyDescent="0.2">
      <c r="A6427" t="s">
        <v>562</v>
      </c>
      <c r="B6427" t="s">
        <v>17</v>
      </c>
      <c r="C6427" t="s">
        <v>21</v>
      </c>
      <c r="D6427">
        <v>1531</v>
      </c>
      <c r="E6427">
        <v>2021</v>
      </c>
      <c r="F6427">
        <v>6</v>
      </c>
      <c r="G6427">
        <v>10189</v>
      </c>
      <c r="H6427" s="1">
        <v>1</v>
      </c>
      <c r="I6427">
        <v>3</v>
      </c>
      <c r="J6427">
        <f>IF($H6427=0,1,IF($I6427&lt;=1,2,0))</f>
        <v>0</v>
      </c>
      <c r="K6427">
        <v>0</v>
      </c>
      <c r="L6427">
        <f>IF(AND($J6427=0,$K6427=0),0,1)</f>
        <v>0</v>
      </c>
      <c r="M6427" t="s">
        <v>1684</v>
      </c>
    </row>
    <row r="6428" spans="1:13" x14ac:dyDescent="0.2">
      <c r="A6428" t="s">
        <v>562</v>
      </c>
      <c r="B6428" t="s">
        <v>17</v>
      </c>
      <c r="C6428" t="s">
        <v>21</v>
      </c>
      <c r="D6428">
        <v>1531</v>
      </c>
      <c r="E6428">
        <v>2021</v>
      </c>
      <c r="F6428">
        <v>12</v>
      </c>
      <c r="G6428">
        <v>20534</v>
      </c>
      <c r="H6428" s="1">
        <v>1</v>
      </c>
      <c r="I6428">
        <v>3</v>
      </c>
      <c r="J6428">
        <f>IF($H6428=0,1,IF($I6428&lt;=1,2,0))</f>
        <v>0</v>
      </c>
      <c r="K6428">
        <v>0</v>
      </c>
      <c r="L6428">
        <f>IF(AND($J6428=0,$K6428=0),0,1)</f>
        <v>0</v>
      </c>
      <c r="M6428" t="s">
        <v>1684</v>
      </c>
    </row>
    <row r="6429" spans="1:13" x14ac:dyDescent="0.2">
      <c r="A6429" t="s">
        <v>562</v>
      </c>
      <c r="B6429" t="s">
        <v>17</v>
      </c>
      <c r="C6429" t="s">
        <v>21</v>
      </c>
      <c r="D6429">
        <v>1531</v>
      </c>
      <c r="E6429">
        <v>2021</v>
      </c>
      <c r="F6429">
        <v>18</v>
      </c>
      <c r="G6429">
        <v>10197</v>
      </c>
      <c r="H6429" s="1">
        <v>1</v>
      </c>
      <c r="I6429">
        <v>3</v>
      </c>
      <c r="J6429">
        <f>IF($H6429=0,1,IF($I6429&lt;=1,2,0))</f>
        <v>0</v>
      </c>
      <c r="K6429">
        <v>0</v>
      </c>
      <c r="L6429">
        <f>IF(AND($J6429=0,$K6429=0),0,1)</f>
        <v>0</v>
      </c>
      <c r="M6429" t="s">
        <v>1684</v>
      </c>
    </row>
    <row r="6430" spans="1:13" x14ac:dyDescent="0.2">
      <c r="A6430" t="s">
        <v>562</v>
      </c>
      <c r="B6430" t="s">
        <v>17</v>
      </c>
      <c r="C6430" t="s">
        <v>21</v>
      </c>
      <c r="D6430">
        <v>1531</v>
      </c>
      <c r="E6430">
        <v>2021</v>
      </c>
      <c r="F6430">
        <v>1</v>
      </c>
      <c r="G6430">
        <v>10186</v>
      </c>
      <c r="H6430" s="1">
        <v>1</v>
      </c>
      <c r="I6430">
        <v>2</v>
      </c>
      <c r="J6430">
        <f>IF($H6430=0,1,IF($I6430&lt;=1,2,0))</f>
        <v>0</v>
      </c>
      <c r="K6430">
        <v>0</v>
      </c>
      <c r="L6430">
        <f>IF(AND($J6430=0,$K6430=0),0,1)</f>
        <v>0</v>
      </c>
      <c r="M6430" t="s">
        <v>1684</v>
      </c>
    </row>
    <row r="6431" spans="1:13" x14ac:dyDescent="0.2">
      <c r="A6431" t="s">
        <v>562</v>
      </c>
      <c r="B6431" t="s">
        <v>17</v>
      </c>
      <c r="C6431" t="s">
        <v>21</v>
      </c>
      <c r="D6431">
        <v>1531</v>
      </c>
      <c r="E6431">
        <v>2021</v>
      </c>
      <c r="F6431">
        <v>5</v>
      </c>
      <c r="G6431">
        <v>20535</v>
      </c>
      <c r="H6431" s="1">
        <v>1</v>
      </c>
      <c r="I6431">
        <v>2</v>
      </c>
      <c r="J6431">
        <f>IF($H6431=0,1,IF($I6431&lt;=1,2,0))</f>
        <v>0</v>
      </c>
      <c r="K6431">
        <v>0</v>
      </c>
      <c r="L6431">
        <f>IF(AND($J6431=0,$K6431=0),0,1)</f>
        <v>0</v>
      </c>
      <c r="M6431" t="s">
        <v>1684</v>
      </c>
    </row>
    <row r="6432" spans="1:13" x14ac:dyDescent="0.2">
      <c r="A6432" t="s">
        <v>562</v>
      </c>
      <c r="B6432" t="s">
        <v>17</v>
      </c>
      <c r="C6432" t="s">
        <v>21</v>
      </c>
      <c r="D6432">
        <v>1531</v>
      </c>
      <c r="E6432">
        <v>2021</v>
      </c>
      <c r="F6432">
        <v>21</v>
      </c>
      <c r="G6432">
        <v>10199</v>
      </c>
      <c r="H6432" s="1">
        <v>1</v>
      </c>
      <c r="I6432">
        <v>2</v>
      </c>
      <c r="J6432">
        <f>IF($H6432=0,1,IF($I6432&lt;=1,2,0))</f>
        <v>0</v>
      </c>
      <c r="K6432">
        <v>0</v>
      </c>
      <c r="L6432">
        <f>IF(AND($J6432=0,$K6432=0),0,1)</f>
        <v>0</v>
      </c>
      <c r="M6432" t="s">
        <v>1684</v>
      </c>
    </row>
    <row r="6433" spans="1:13" x14ac:dyDescent="0.2">
      <c r="A6433" t="s">
        <v>562</v>
      </c>
      <c r="B6433" t="s">
        <v>17</v>
      </c>
      <c r="C6433" t="s">
        <v>21</v>
      </c>
      <c r="D6433">
        <v>1541</v>
      </c>
      <c r="E6433">
        <v>2021</v>
      </c>
      <c r="F6433">
        <v>1</v>
      </c>
      <c r="G6433">
        <v>10207</v>
      </c>
      <c r="H6433" s="1">
        <v>1</v>
      </c>
      <c r="I6433">
        <v>14</v>
      </c>
      <c r="J6433">
        <f>IF($H6433=0,1,IF($I6433&lt;=1,2,0))</f>
        <v>0</v>
      </c>
      <c r="K6433">
        <v>0</v>
      </c>
      <c r="L6433">
        <f>IF(AND($J6433=0,$K6433=0),0,1)</f>
        <v>0</v>
      </c>
      <c r="M6433" t="s">
        <v>1684</v>
      </c>
    </row>
    <row r="6434" spans="1:13" x14ac:dyDescent="0.2">
      <c r="A6434" t="s">
        <v>562</v>
      </c>
      <c r="B6434" t="s">
        <v>17</v>
      </c>
      <c r="C6434" t="s">
        <v>21</v>
      </c>
      <c r="D6434">
        <v>1541</v>
      </c>
      <c r="E6434">
        <v>2021</v>
      </c>
      <c r="F6434">
        <v>4</v>
      </c>
      <c r="G6434">
        <v>10210</v>
      </c>
      <c r="H6434" s="1">
        <v>1</v>
      </c>
      <c r="I6434">
        <v>9</v>
      </c>
      <c r="J6434">
        <f>IF($H6434=0,1,IF($I6434&lt;=1,2,0))</f>
        <v>0</v>
      </c>
      <c r="K6434">
        <v>0</v>
      </c>
      <c r="L6434">
        <f>IF(AND($J6434=0,$K6434=0),0,1)</f>
        <v>0</v>
      </c>
      <c r="M6434" t="s">
        <v>1684</v>
      </c>
    </row>
    <row r="6435" spans="1:13" x14ac:dyDescent="0.2">
      <c r="A6435" t="s">
        <v>562</v>
      </c>
      <c r="B6435" t="s">
        <v>17</v>
      </c>
      <c r="C6435" t="s">
        <v>21</v>
      </c>
      <c r="D6435">
        <v>1541</v>
      </c>
      <c r="E6435">
        <v>2021</v>
      </c>
      <c r="F6435">
        <v>2</v>
      </c>
      <c r="G6435">
        <v>10208</v>
      </c>
      <c r="H6435" s="1">
        <v>1</v>
      </c>
      <c r="I6435">
        <v>8</v>
      </c>
      <c r="J6435">
        <f>IF($H6435=0,1,IF($I6435&lt;=1,2,0))</f>
        <v>0</v>
      </c>
      <c r="K6435">
        <v>0</v>
      </c>
      <c r="L6435">
        <f>IF(AND($J6435=0,$K6435=0),0,1)</f>
        <v>0</v>
      </c>
      <c r="M6435" t="s">
        <v>1684</v>
      </c>
    </row>
    <row r="6436" spans="1:13" x14ac:dyDescent="0.2">
      <c r="A6436" t="s">
        <v>562</v>
      </c>
      <c r="B6436" t="s">
        <v>17</v>
      </c>
      <c r="C6436" t="s">
        <v>21</v>
      </c>
      <c r="D6436">
        <v>1541</v>
      </c>
      <c r="E6436">
        <v>2021</v>
      </c>
      <c r="F6436">
        <v>9</v>
      </c>
      <c r="G6436">
        <v>10215</v>
      </c>
      <c r="H6436" s="1">
        <v>1</v>
      </c>
      <c r="I6436">
        <v>8</v>
      </c>
      <c r="J6436">
        <f>IF($H6436=0,1,IF($I6436&lt;=1,2,0))</f>
        <v>0</v>
      </c>
      <c r="K6436">
        <v>0</v>
      </c>
      <c r="L6436">
        <f>IF(AND($J6436=0,$K6436=0),0,1)</f>
        <v>0</v>
      </c>
      <c r="M6436" t="s">
        <v>1684</v>
      </c>
    </row>
    <row r="6437" spans="1:13" x14ac:dyDescent="0.2">
      <c r="A6437" t="s">
        <v>562</v>
      </c>
      <c r="B6437" t="s">
        <v>17</v>
      </c>
      <c r="C6437" t="s">
        <v>21</v>
      </c>
      <c r="D6437">
        <v>1541</v>
      </c>
      <c r="E6437">
        <v>2021</v>
      </c>
      <c r="F6437">
        <v>8</v>
      </c>
      <c r="G6437">
        <v>10214</v>
      </c>
      <c r="H6437" s="1">
        <v>1</v>
      </c>
      <c r="I6437">
        <v>7</v>
      </c>
      <c r="J6437">
        <f>IF($H6437=0,1,IF($I6437&lt;=1,2,0))</f>
        <v>0</v>
      </c>
      <c r="K6437">
        <v>0</v>
      </c>
      <c r="L6437">
        <f>IF(AND($J6437=0,$K6437=0),0,1)</f>
        <v>0</v>
      </c>
      <c r="M6437" t="s">
        <v>1684</v>
      </c>
    </row>
    <row r="6438" spans="1:13" x14ac:dyDescent="0.2">
      <c r="A6438" t="s">
        <v>562</v>
      </c>
      <c r="B6438" t="s">
        <v>17</v>
      </c>
      <c r="C6438" t="s">
        <v>21</v>
      </c>
      <c r="D6438">
        <v>1541</v>
      </c>
      <c r="E6438">
        <v>2021</v>
      </c>
      <c r="F6438">
        <v>5</v>
      </c>
      <c r="G6438">
        <v>10211</v>
      </c>
      <c r="H6438" s="1">
        <v>1</v>
      </c>
      <c r="I6438">
        <v>6</v>
      </c>
      <c r="J6438">
        <f>IF($H6438=0,1,IF($I6438&lt;=1,2,0))</f>
        <v>0</v>
      </c>
      <c r="K6438">
        <v>0</v>
      </c>
      <c r="L6438">
        <f>IF(AND($J6438=0,$K6438=0),0,1)</f>
        <v>0</v>
      </c>
      <c r="M6438" t="s">
        <v>1684</v>
      </c>
    </row>
    <row r="6439" spans="1:13" x14ac:dyDescent="0.2">
      <c r="A6439" t="s">
        <v>562</v>
      </c>
      <c r="B6439" t="s">
        <v>17</v>
      </c>
      <c r="C6439" t="s">
        <v>21</v>
      </c>
      <c r="D6439">
        <v>1541</v>
      </c>
      <c r="E6439">
        <v>2021</v>
      </c>
      <c r="F6439">
        <v>6</v>
      </c>
      <c r="G6439">
        <v>10212</v>
      </c>
      <c r="H6439" s="1">
        <v>1</v>
      </c>
      <c r="I6439">
        <v>6</v>
      </c>
      <c r="J6439">
        <f>IF($H6439=0,1,IF($I6439&lt;=1,2,0))</f>
        <v>0</v>
      </c>
      <c r="K6439">
        <v>0</v>
      </c>
      <c r="L6439">
        <f>IF(AND($J6439=0,$K6439=0),0,1)</f>
        <v>0</v>
      </c>
      <c r="M6439" t="s">
        <v>1684</v>
      </c>
    </row>
    <row r="6440" spans="1:13" x14ac:dyDescent="0.2">
      <c r="A6440" t="s">
        <v>562</v>
      </c>
      <c r="B6440" t="s">
        <v>17</v>
      </c>
      <c r="C6440" t="s">
        <v>21</v>
      </c>
      <c r="D6440">
        <v>1541</v>
      </c>
      <c r="E6440">
        <v>2021</v>
      </c>
      <c r="F6440">
        <v>3</v>
      </c>
      <c r="G6440">
        <v>10209</v>
      </c>
      <c r="H6440" s="1">
        <v>1</v>
      </c>
      <c r="I6440">
        <v>5</v>
      </c>
      <c r="J6440">
        <f>IF($H6440=0,1,IF($I6440&lt;=1,2,0))</f>
        <v>0</v>
      </c>
      <c r="K6440">
        <v>0</v>
      </c>
      <c r="L6440">
        <f>IF(AND($J6440=0,$K6440=0),0,1)</f>
        <v>0</v>
      </c>
      <c r="M6440" t="s">
        <v>1684</v>
      </c>
    </row>
    <row r="6441" spans="1:13" x14ac:dyDescent="0.2">
      <c r="A6441" t="s">
        <v>562</v>
      </c>
      <c r="B6441" t="s">
        <v>17</v>
      </c>
      <c r="C6441" t="s">
        <v>21</v>
      </c>
      <c r="D6441">
        <v>1551</v>
      </c>
      <c r="E6441">
        <v>2021</v>
      </c>
      <c r="F6441">
        <v>6</v>
      </c>
      <c r="G6441">
        <v>10327</v>
      </c>
      <c r="H6441" s="1">
        <v>1</v>
      </c>
      <c r="I6441">
        <v>9</v>
      </c>
      <c r="J6441">
        <f>IF($H6441=0,1,IF($I6441&lt;=1,2,0))</f>
        <v>0</v>
      </c>
      <c r="K6441">
        <v>0</v>
      </c>
      <c r="L6441">
        <f>IF(AND($J6441=0,$K6441=0),0,1)</f>
        <v>0</v>
      </c>
      <c r="M6441" t="s">
        <v>1684</v>
      </c>
    </row>
    <row r="6442" spans="1:13" x14ac:dyDescent="0.2">
      <c r="A6442" t="s">
        <v>562</v>
      </c>
      <c r="B6442" t="s">
        <v>17</v>
      </c>
      <c r="C6442" t="s">
        <v>21</v>
      </c>
      <c r="D6442">
        <v>1551</v>
      </c>
      <c r="E6442">
        <v>2021</v>
      </c>
      <c r="F6442">
        <v>7</v>
      </c>
      <c r="G6442">
        <v>10221</v>
      </c>
      <c r="H6442" s="1">
        <v>1</v>
      </c>
      <c r="I6442">
        <v>8</v>
      </c>
      <c r="J6442">
        <f>IF($H6442=0,1,IF($I6442&lt;=1,2,0))</f>
        <v>0</v>
      </c>
      <c r="K6442">
        <v>0</v>
      </c>
      <c r="L6442">
        <f>IF(AND($J6442=0,$K6442=0),0,1)</f>
        <v>0</v>
      </c>
      <c r="M6442" t="s">
        <v>566</v>
      </c>
    </row>
    <row r="6443" spans="1:13" x14ac:dyDescent="0.2">
      <c r="A6443" t="s">
        <v>562</v>
      </c>
      <c r="B6443" t="s">
        <v>17</v>
      </c>
      <c r="C6443" t="s">
        <v>21</v>
      </c>
      <c r="D6443">
        <v>1551</v>
      </c>
      <c r="E6443">
        <v>2021</v>
      </c>
      <c r="F6443">
        <v>1</v>
      </c>
      <c r="G6443">
        <v>10217</v>
      </c>
      <c r="H6443" s="1">
        <v>1</v>
      </c>
      <c r="I6443">
        <v>6</v>
      </c>
      <c r="J6443">
        <f>IF($H6443=0,1,IF($I6443&lt;=1,2,0))</f>
        <v>0</v>
      </c>
      <c r="K6443">
        <v>0</v>
      </c>
      <c r="L6443">
        <f>IF(AND($J6443=0,$K6443=0),0,1)</f>
        <v>0</v>
      </c>
      <c r="M6443" t="s">
        <v>566</v>
      </c>
    </row>
    <row r="6444" spans="1:13" x14ac:dyDescent="0.2">
      <c r="A6444" t="s">
        <v>562</v>
      </c>
      <c r="B6444" t="s">
        <v>17</v>
      </c>
      <c r="C6444" t="s">
        <v>21</v>
      </c>
      <c r="D6444">
        <v>1551</v>
      </c>
      <c r="E6444">
        <v>2021</v>
      </c>
      <c r="F6444">
        <v>2</v>
      </c>
      <c r="G6444">
        <v>10218</v>
      </c>
      <c r="H6444" s="1">
        <v>1</v>
      </c>
      <c r="I6444">
        <v>4</v>
      </c>
      <c r="J6444">
        <f>IF($H6444=0,1,IF($I6444&lt;=1,2,0))</f>
        <v>0</v>
      </c>
      <c r="K6444">
        <v>0</v>
      </c>
      <c r="L6444">
        <f>IF(AND($J6444=0,$K6444=0),0,1)</f>
        <v>0</v>
      </c>
      <c r="M6444" t="s">
        <v>566</v>
      </c>
    </row>
    <row r="6445" spans="1:13" x14ac:dyDescent="0.2">
      <c r="A6445" t="s">
        <v>562</v>
      </c>
      <c r="B6445" t="s">
        <v>17</v>
      </c>
      <c r="C6445" t="s">
        <v>21</v>
      </c>
      <c r="D6445">
        <v>1551</v>
      </c>
      <c r="E6445">
        <v>2021</v>
      </c>
      <c r="F6445">
        <v>3</v>
      </c>
      <c r="G6445">
        <v>10219</v>
      </c>
      <c r="H6445" s="1">
        <v>1</v>
      </c>
      <c r="I6445">
        <v>3</v>
      </c>
      <c r="J6445">
        <f>IF($H6445=0,1,IF($I6445&lt;=1,2,0))</f>
        <v>0</v>
      </c>
      <c r="K6445">
        <v>0</v>
      </c>
      <c r="L6445">
        <f>IF(AND($J6445=0,$K6445=0),0,1)</f>
        <v>0</v>
      </c>
      <c r="M6445" t="s">
        <v>566</v>
      </c>
    </row>
    <row r="6446" spans="1:13" x14ac:dyDescent="0.2">
      <c r="A6446" t="s">
        <v>562</v>
      </c>
      <c r="B6446" t="s">
        <v>17</v>
      </c>
      <c r="C6446" t="s">
        <v>21</v>
      </c>
      <c r="D6446">
        <v>1551</v>
      </c>
      <c r="E6446">
        <v>2021</v>
      </c>
      <c r="F6446">
        <v>4</v>
      </c>
      <c r="G6446">
        <v>18749</v>
      </c>
      <c r="H6446" s="1">
        <v>1</v>
      </c>
      <c r="I6446">
        <v>3</v>
      </c>
      <c r="J6446">
        <f>IF($H6446=0,1,IF($I6446&lt;=1,2,0))</f>
        <v>0</v>
      </c>
      <c r="K6446">
        <v>0</v>
      </c>
      <c r="L6446">
        <f>IF(AND($J6446=0,$K6446=0),0,1)</f>
        <v>0</v>
      </c>
      <c r="M6446" t="s">
        <v>566</v>
      </c>
    </row>
    <row r="6447" spans="1:13" x14ac:dyDescent="0.2">
      <c r="A6447" t="s">
        <v>568</v>
      </c>
      <c r="B6447" t="s">
        <v>17</v>
      </c>
      <c r="C6447" t="s">
        <v>11</v>
      </c>
      <c r="D6447">
        <v>6021</v>
      </c>
      <c r="E6447">
        <v>2021</v>
      </c>
      <c r="F6447">
        <v>1</v>
      </c>
      <c r="G6447">
        <v>11564</v>
      </c>
      <c r="H6447" s="1">
        <v>4</v>
      </c>
      <c r="I6447">
        <v>3</v>
      </c>
      <c r="J6447">
        <f>IF($H6447=0,1,IF($I6447&lt;=1,2,0))</f>
        <v>0</v>
      </c>
      <c r="K6447">
        <v>0</v>
      </c>
      <c r="L6447">
        <f>IF(AND($J6447=0,$K6447=0),0,1)</f>
        <v>0</v>
      </c>
      <c r="M6447" t="s">
        <v>1150</v>
      </c>
    </row>
    <row r="6448" spans="1:13" x14ac:dyDescent="0.2">
      <c r="A6448" t="s">
        <v>569</v>
      </c>
      <c r="B6448" t="s">
        <v>71</v>
      </c>
      <c r="C6448" t="s">
        <v>72</v>
      </c>
      <c r="D6448">
        <v>3010</v>
      </c>
      <c r="E6448">
        <v>2021</v>
      </c>
      <c r="F6448">
        <v>1</v>
      </c>
      <c r="G6448">
        <v>12849</v>
      </c>
      <c r="H6448" s="1">
        <v>3</v>
      </c>
      <c r="I6448">
        <v>10</v>
      </c>
      <c r="J6448">
        <f>IF($H6448=0,1,IF($I6448&lt;=1,2,0))</f>
        <v>0</v>
      </c>
      <c r="K6448">
        <v>0</v>
      </c>
      <c r="L6448">
        <f>IF(AND($J6448=0,$K6448=0),0,1)</f>
        <v>0</v>
      </c>
    </row>
    <row r="6449" spans="1:13" x14ac:dyDescent="0.2">
      <c r="A6449" t="s">
        <v>569</v>
      </c>
      <c r="B6449" t="s">
        <v>71</v>
      </c>
      <c r="C6449" t="s">
        <v>72</v>
      </c>
      <c r="D6449">
        <v>3012</v>
      </c>
      <c r="E6449">
        <v>2021</v>
      </c>
      <c r="F6449">
        <v>1</v>
      </c>
      <c r="G6449">
        <v>12848</v>
      </c>
      <c r="H6449" s="1">
        <v>3</v>
      </c>
      <c r="I6449">
        <v>6</v>
      </c>
      <c r="J6449">
        <f>IF($H6449=0,1,IF($I6449&lt;=1,2,0))</f>
        <v>0</v>
      </c>
      <c r="K6449">
        <v>0</v>
      </c>
      <c r="L6449">
        <f>IF(AND($J6449=0,$K6449=0),0,1)</f>
        <v>0</v>
      </c>
    </row>
    <row r="6450" spans="1:13" x14ac:dyDescent="0.2">
      <c r="A6450" t="s">
        <v>569</v>
      </c>
      <c r="B6450" t="s">
        <v>71</v>
      </c>
      <c r="C6450" t="s">
        <v>72</v>
      </c>
      <c r="D6450">
        <v>3111</v>
      </c>
      <c r="E6450">
        <v>2021</v>
      </c>
      <c r="F6450">
        <v>1</v>
      </c>
      <c r="G6450">
        <v>12847</v>
      </c>
      <c r="H6450" s="1">
        <v>3</v>
      </c>
      <c r="I6450">
        <v>14</v>
      </c>
      <c r="J6450">
        <f>IF($H6450=0,1,IF($I6450&lt;=1,2,0))</f>
        <v>0</v>
      </c>
      <c r="K6450">
        <v>0</v>
      </c>
      <c r="L6450">
        <f>IF(AND($J6450=0,$K6450=0),0,1)</f>
        <v>0</v>
      </c>
    </row>
    <row r="6451" spans="1:13" x14ac:dyDescent="0.2">
      <c r="A6451" t="s">
        <v>569</v>
      </c>
      <c r="B6451" t="s">
        <v>71</v>
      </c>
      <c r="C6451" t="s">
        <v>72</v>
      </c>
      <c r="D6451">
        <v>3156</v>
      </c>
      <c r="E6451">
        <v>2021</v>
      </c>
      <c r="F6451">
        <v>1</v>
      </c>
      <c r="G6451">
        <v>15772</v>
      </c>
      <c r="H6451" s="1">
        <v>3</v>
      </c>
      <c r="I6451">
        <v>5</v>
      </c>
      <c r="J6451">
        <f>IF($H6451=0,1,IF($I6451&lt;=1,2,0))</f>
        <v>0</v>
      </c>
      <c r="K6451">
        <v>0</v>
      </c>
      <c r="L6451">
        <f>IF(AND($J6451=0,$K6451=0),0,1)</f>
        <v>0</v>
      </c>
    </row>
    <row r="6452" spans="1:13" x14ac:dyDescent="0.2">
      <c r="A6452" t="s">
        <v>569</v>
      </c>
      <c r="B6452" t="s">
        <v>71</v>
      </c>
      <c r="C6452" t="s">
        <v>72</v>
      </c>
      <c r="D6452">
        <v>4090</v>
      </c>
      <c r="E6452">
        <v>2021</v>
      </c>
      <c r="F6452">
        <v>1</v>
      </c>
      <c r="G6452">
        <v>12846</v>
      </c>
      <c r="H6452" s="1">
        <v>3</v>
      </c>
      <c r="I6452">
        <v>37</v>
      </c>
      <c r="J6452">
        <f>IF($H6452=0,1,IF($I6452&lt;=1,2,0))</f>
        <v>0</v>
      </c>
      <c r="K6452">
        <v>0</v>
      </c>
      <c r="L6452">
        <f>IF(AND($J6452=0,$K6452=0),0,1)</f>
        <v>0</v>
      </c>
    </row>
    <row r="6453" spans="1:13" x14ac:dyDescent="0.2">
      <c r="A6453" t="s">
        <v>569</v>
      </c>
      <c r="B6453" t="s">
        <v>71</v>
      </c>
      <c r="C6453" t="s">
        <v>72</v>
      </c>
      <c r="D6453">
        <v>4090</v>
      </c>
      <c r="E6453">
        <v>2021</v>
      </c>
      <c r="F6453" t="s">
        <v>84</v>
      </c>
      <c r="G6453">
        <v>18361</v>
      </c>
      <c r="H6453" s="1">
        <v>3</v>
      </c>
      <c r="I6453">
        <v>2</v>
      </c>
      <c r="J6453">
        <f>IF($H6453=0,1,IF($I6453&lt;=1,2,0))</f>
        <v>0</v>
      </c>
      <c r="K6453">
        <v>0</v>
      </c>
      <c r="L6453">
        <f>IF(AND($J6453=0,$K6453=0),0,1)</f>
        <v>0</v>
      </c>
      <c r="M6453" t="s">
        <v>85</v>
      </c>
    </row>
    <row r="6454" spans="1:13" x14ac:dyDescent="0.2">
      <c r="A6454" t="s">
        <v>569</v>
      </c>
      <c r="B6454" t="s">
        <v>71</v>
      </c>
      <c r="C6454" t="s">
        <v>72</v>
      </c>
      <c r="D6454">
        <v>4100</v>
      </c>
      <c r="E6454">
        <v>2021</v>
      </c>
      <c r="F6454">
        <v>1</v>
      </c>
      <c r="G6454">
        <v>12844</v>
      </c>
      <c r="H6454" s="1">
        <v>3</v>
      </c>
      <c r="I6454">
        <v>38</v>
      </c>
      <c r="J6454">
        <f>IF($H6454=0,1,IF($I6454&lt;=1,2,0))</f>
        <v>0</v>
      </c>
      <c r="K6454">
        <v>0</v>
      </c>
      <c r="L6454">
        <f>IF(AND($J6454=0,$K6454=0),0,1)</f>
        <v>0</v>
      </c>
    </row>
    <row r="6455" spans="1:13" x14ac:dyDescent="0.2">
      <c r="A6455" t="s">
        <v>569</v>
      </c>
      <c r="B6455" t="s">
        <v>71</v>
      </c>
      <c r="C6455" t="s">
        <v>72</v>
      </c>
      <c r="D6455">
        <v>4102</v>
      </c>
      <c r="E6455">
        <v>2021</v>
      </c>
      <c r="F6455">
        <v>1</v>
      </c>
      <c r="G6455">
        <v>12843</v>
      </c>
      <c r="H6455" s="1">
        <v>3</v>
      </c>
      <c r="I6455">
        <v>23</v>
      </c>
      <c r="J6455">
        <f>IF($H6455=0,1,IF($I6455&lt;=1,2,0))</f>
        <v>0</v>
      </c>
      <c r="K6455">
        <v>0</v>
      </c>
      <c r="L6455">
        <f>IF(AND($J6455=0,$K6455=0),0,1)</f>
        <v>0</v>
      </c>
    </row>
    <row r="6456" spans="1:13" x14ac:dyDescent="0.2">
      <c r="A6456" t="s">
        <v>569</v>
      </c>
      <c r="B6456" t="s">
        <v>71</v>
      </c>
      <c r="C6456" t="s">
        <v>72</v>
      </c>
      <c r="D6456">
        <v>4105</v>
      </c>
      <c r="E6456">
        <v>2021</v>
      </c>
      <c r="F6456">
        <v>0</v>
      </c>
      <c r="G6456">
        <v>12842</v>
      </c>
      <c r="H6456" s="1">
        <v>3</v>
      </c>
      <c r="I6456">
        <v>4</v>
      </c>
      <c r="J6456">
        <f>IF($H6456=0,1,IF($I6456&lt;=1,2,0))</f>
        <v>0</v>
      </c>
      <c r="K6456">
        <v>0</v>
      </c>
      <c r="L6456">
        <f>IF(AND($J6456=0,$K6456=0),0,1)</f>
        <v>0</v>
      </c>
    </row>
    <row r="6457" spans="1:13" x14ac:dyDescent="0.2">
      <c r="A6457" t="s">
        <v>569</v>
      </c>
      <c r="B6457" t="s">
        <v>71</v>
      </c>
      <c r="C6457" t="s">
        <v>72</v>
      </c>
      <c r="D6457">
        <v>4200</v>
      </c>
      <c r="E6457">
        <v>2021</v>
      </c>
      <c r="F6457">
        <v>1</v>
      </c>
      <c r="G6457">
        <v>12840</v>
      </c>
      <c r="H6457" s="1">
        <v>3</v>
      </c>
      <c r="I6457">
        <v>45</v>
      </c>
      <c r="J6457">
        <f>IF($H6457=0,1,IF($I6457&lt;=1,2,0))</f>
        <v>0</v>
      </c>
      <c r="K6457">
        <v>0</v>
      </c>
      <c r="L6457">
        <f>IF(AND($J6457=0,$K6457=0),0,1)</f>
        <v>0</v>
      </c>
    </row>
    <row r="6458" spans="1:13" x14ac:dyDescent="0.2">
      <c r="A6458" t="s">
        <v>569</v>
      </c>
      <c r="B6458" t="s">
        <v>71</v>
      </c>
      <c r="C6458" t="s">
        <v>72</v>
      </c>
      <c r="D6458">
        <v>4206</v>
      </c>
      <c r="E6458">
        <v>2021</v>
      </c>
      <c r="F6458">
        <v>1</v>
      </c>
      <c r="G6458">
        <v>12839</v>
      </c>
      <c r="H6458" s="1">
        <v>3</v>
      </c>
      <c r="I6458">
        <v>37</v>
      </c>
      <c r="J6458">
        <f>IF($H6458=0,1,IF($I6458&lt;=1,2,0))</f>
        <v>0</v>
      </c>
      <c r="K6458">
        <v>0</v>
      </c>
      <c r="L6458">
        <f>IF(AND($J6458=0,$K6458=0),0,1)</f>
        <v>0</v>
      </c>
    </row>
    <row r="6459" spans="1:13" x14ac:dyDescent="0.2">
      <c r="A6459" t="s">
        <v>569</v>
      </c>
      <c r="B6459" t="s">
        <v>71</v>
      </c>
      <c r="C6459" t="s">
        <v>72</v>
      </c>
      <c r="D6459">
        <v>4206</v>
      </c>
      <c r="E6459">
        <v>2021</v>
      </c>
      <c r="F6459" t="s">
        <v>84</v>
      </c>
      <c r="G6459">
        <v>18994</v>
      </c>
      <c r="H6459" s="1">
        <v>3</v>
      </c>
      <c r="I6459">
        <v>2</v>
      </c>
      <c r="J6459">
        <f>IF($H6459=0,1,IF($I6459&lt;=1,2,0))</f>
        <v>0</v>
      </c>
      <c r="K6459">
        <v>0</v>
      </c>
      <c r="L6459">
        <f>IF(AND($J6459=0,$K6459=0),0,1)</f>
        <v>0</v>
      </c>
      <c r="M6459" t="s">
        <v>85</v>
      </c>
    </row>
    <row r="6460" spans="1:13" x14ac:dyDescent="0.2">
      <c r="A6460" t="s">
        <v>569</v>
      </c>
      <c r="B6460" t="s">
        <v>71</v>
      </c>
      <c r="C6460" t="s">
        <v>72</v>
      </c>
      <c r="D6460">
        <v>6273</v>
      </c>
      <c r="E6460">
        <v>2021</v>
      </c>
      <c r="F6460">
        <v>5</v>
      </c>
      <c r="G6460">
        <v>18440</v>
      </c>
      <c r="H6460" s="1" t="s">
        <v>1836</v>
      </c>
      <c r="I6460">
        <v>2</v>
      </c>
      <c r="J6460">
        <f>IF($H6460=0,1,IF($I6460&lt;=1,2,0))</f>
        <v>0</v>
      </c>
      <c r="K6460">
        <v>0</v>
      </c>
      <c r="L6460">
        <f>IF(AND($J6460=0,$K6460=0),0,1)</f>
        <v>0</v>
      </c>
    </row>
    <row r="6461" spans="1:13" x14ac:dyDescent="0.2">
      <c r="A6461" t="s">
        <v>569</v>
      </c>
      <c r="B6461" t="s">
        <v>71</v>
      </c>
      <c r="C6461" t="s">
        <v>72</v>
      </c>
      <c r="D6461">
        <v>6273</v>
      </c>
      <c r="E6461">
        <v>2021</v>
      </c>
      <c r="F6461">
        <v>14</v>
      </c>
      <c r="G6461">
        <v>12676</v>
      </c>
      <c r="H6461" s="1" t="s">
        <v>1836</v>
      </c>
      <c r="I6461">
        <v>2</v>
      </c>
      <c r="J6461">
        <f>IF($H6461=0,1,IF($I6461&lt;=1,2,0))</f>
        <v>0</v>
      </c>
      <c r="K6461">
        <v>0</v>
      </c>
      <c r="L6461">
        <f>IF(AND($J6461=0,$K6461=0),0,1)</f>
        <v>0</v>
      </c>
    </row>
    <row r="6462" spans="1:13" x14ac:dyDescent="0.2">
      <c r="A6462" t="s">
        <v>570</v>
      </c>
      <c r="B6462" t="s">
        <v>17</v>
      </c>
      <c r="C6462" t="s">
        <v>21</v>
      </c>
      <c r="D6462">
        <v>1002</v>
      </c>
      <c r="E6462">
        <v>2021</v>
      </c>
      <c r="F6462">
        <v>1</v>
      </c>
      <c r="G6462">
        <v>10248</v>
      </c>
      <c r="H6462" s="1">
        <v>3</v>
      </c>
      <c r="I6462">
        <v>23</v>
      </c>
      <c r="J6462">
        <f>IF($H6462=0,1,IF($I6462&lt;=1,2,0))</f>
        <v>0</v>
      </c>
      <c r="K6462">
        <v>0</v>
      </c>
      <c r="L6462">
        <f>IF(AND($J6462=0,$K6462=0),0,1)</f>
        <v>0</v>
      </c>
    </row>
    <row r="6463" spans="1:13" x14ac:dyDescent="0.2">
      <c r="A6463" t="s">
        <v>570</v>
      </c>
      <c r="B6463" t="s">
        <v>17</v>
      </c>
      <c r="C6463" t="s">
        <v>21</v>
      </c>
      <c r="D6463">
        <v>1312</v>
      </c>
      <c r="E6463">
        <v>2021</v>
      </c>
      <c r="F6463">
        <v>1</v>
      </c>
      <c r="G6463">
        <v>10249</v>
      </c>
      <c r="H6463" s="1">
        <v>1</v>
      </c>
      <c r="I6463">
        <v>12</v>
      </c>
      <c r="J6463">
        <f>IF($H6463=0,1,IF($I6463&lt;=1,2,0))</f>
        <v>0</v>
      </c>
      <c r="K6463">
        <v>0</v>
      </c>
      <c r="L6463">
        <f>IF(AND($J6463=0,$K6463=0),0,1)</f>
        <v>0</v>
      </c>
      <c r="M6463" t="s">
        <v>571</v>
      </c>
    </row>
    <row r="6464" spans="1:13" x14ac:dyDescent="0.2">
      <c r="A6464" t="s">
        <v>570</v>
      </c>
      <c r="B6464" t="s">
        <v>17</v>
      </c>
      <c r="C6464" t="s">
        <v>9</v>
      </c>
      <c r="D6464">
        <v>1518</v>
      </c>
      <c r="E6464">
        <v>2021</v>
      </c>
      <c r="F6464">
        <v>1</v>
      </c>
      <c r="G6464">
        <v>10250</v>
      </c>
      <c r="H6464" s="1">
        <v>1</v>
      </c>
      <c r="I6464">
        <v>10</v>
      </c>
      <c r="J6464">
        <f>IF($H6464=0,1,IF($I6464&lt;=1,2,0))</f>
        <v>0</v>
      </c>
      <c r="K6464">
        <v>0</v>
      </c>
      <c r="L6464">
        <f>IF(AND($J6464=0,$K6464=0),0,1)</f>
        <v>0</v>
      </c>
    </row>
    <row r="6465" spans="1:13" x14ac:dyDescent="0.2">
      <c r="A6465" t="s">
        <v>570</v>
      </c>
      <c r="B6465" t="s">
        <v>17</v>
      </c>
      <c r="C6465" t="s">
        <v>21</v>
      </c>
      <c r="D6465">
        <v>1593</v>
      </c>
      <c r="E6465">
        <v>2021</v>
      </c>
      <c r="F6465">
        <v>1</v>
      </c>
      <c r="G6465">
        <v>370</v>
      </c>
      <c r="H6465" s="1">
        <v>1</v>
      </c>
      <c r="I6465">
        <v>22</v>
      </c>
      <c r="J6465">
        <f>IF($H6465=0,1,IF($I6465&lt;=1,2,0))</f>
        <v>0</v>
      </c>
      <c r="K6465">
        <v>0</v>
      </c>
      <c r="L6465">
        <f>IF(AND($J6465=0,$K6465=0),0,1)</f>
        <v>0</v>
      </c>
      <c r="M6465" t="s">
        <v>1686</v>
      </c>
    </row>
    <row r="6466" spans="1:13" x14ac:dyDescent="0.2">
      <c r="A6466" t="s">
        <v>570</v>
      </c>
      <c r="B6466" t="s">
        <v>17</v>
      </c>
      <c r="C6466" t="s">
        <v>21</v>
      </c>
      <c r="D6466">
        <v>1595</v>
      </c>
      <c r="E6466">
        <v>2021</v>
      </c>
      <c r="F6466">
        <v>1</v>
      </c>
      <c r="G6466">
        <v>371</v>
      </c>
      <c r="H6466" s="1">
        <v>1</v>
      </c>
      <c r="I6466">
        <v>4</v>
      </c>
      <c r="J6466">
        <f>IF($H6466=0,1,IF($I6466&lt;=1,2,0))</f>
        <v>0</v>
      </c>
      <c r="K6466">
        <v>0</v>
      </c>
      <c r="L6466">
        <f>IF(AND($J6466=0,$K6466=0),0,1)</f>
        <v>0</v>
      </c>
      <c r="M6466" t="s">
        <v>1686</v>
      </c>
    </row>
    <row r="6467" spans="1:13" x14ac:dyDescent="0.2">
      <c r="A6467" t="s">
        <v>570</v>
      </c>
      <c r="B6467" t="s">
        <v>17</v>
      </c>
      <c r="C6467" t="s">
        <v>21</v>
      </c>
      <c r="D6467">
        <v>2016</v>
      </c>
      <c r="E6467">
        <v>2021</v>
      </c>
      <c r="F6467">
        <v>1</v>
      </c>
      <c r="G6467">
        <v>10262</v>
      </c>
      <c r="H6467" s="1">
        <v>3</v>
      </c>
      <c r="I6467">
        <v>96</v>
      </c>
      <c r="J6467">
        <f>IF($H6467=0,1,IF($I6467&lt;=1,2,0))</f>
        <v>0</v>
      </c>
      <c r="K6467">
        <v>0</v>
      </c>
      <c r="L6467">
        <f>IF(AND($J6467=0,$K6467=0),0,1)</f>
        <v>0</v>
      </c>
    </row>
    <row r="6468" spans="1:13" x14ac:dyDescent="0.2">
      <c r="A6468" t="s">
        <v>570</v>
      </c>
      <c r="B6468" t="s">
        <v>17</v>
      </c>
      <c r="C6468" t="s">
        <v>21</v>
      </c>
      <c r="D6468">
        <v>2021</v>
      </c>
      <c r="E6468">
        <v>2021</v>
      </c>
      <c r="F6468">
        <v>1</v>
      </c>
      <c r="G6468">
        <v>10261</v>
      </c>
      <c r="H6468" s="1">
        <v>3</v>
      </c>
      <c r="I6468">
        <v>11</v>
      </c>
      <c r="J6468">
        <f>IF($H6468=0,1,IF($I6468&lt;=1,2,0))</f>
        <v>0</v>
      </c>
      <c r="K6468">
        <v>0</v>
      </c>
      <c r="L6468">
        <f>IF(AND($J6468=0,$K6468=0),0,1)</f>
        <v>0</v>
      </c>
    </row>
    <row r="6469" spans="1:13" x14ac:dyDescent="0.2">
      <c r="A6469" t="s">
        <v>570</v>
      </c>
      <c r="B6469" t="s">
        <v>17</v>
      </c>
      <c r="C6469" t="s">
        <v>21</v>
      </c>
      <c r="D6469">
        <v>2023</v>
      </c>
      <c r="E6469">
        <v>2021</v>
      </c>
      <c r="F6469">
        <v>1</v>
      </c>
      <c r="G6469">
        <v>10263</v>
      </c>
      <c r="H6469" s="1">
        <v>3</v>
      </c>
      <c r="I6469">
        <v>12</v>
      </c>
      <c r="J6469">
        <f>IF($H6469=0,1,IF($I6469&lt;=1,2,0))</f>
        <v>0</v>
      </c>
      <c r="K6469">
        <v>0</v>
      </c>
      <c r="L6469">
        <f>IF(AND($J6469=0,$K6469=0),0,1)</f>
        <v>0</v>
      </c>
    </row>
    <row r="6470" spans="1:13" x14ac:dyDescent="0.2">
      <c r="A6470" t="s">
        <v>570</v>
      </c>
      <c r="B6470" t="s">
        <v>17</v>
      </c>
      <c r="C6470" t="s">
        <v>21</v>
      </c>
      <c r="D6470">
        <v>2025</v>
      </c>
      <c r="E6470">
        <v>2021</v>
      </c>
      <c r="F6470">
        <v>1</v>
      </c>
      <c r="G6470">
        <v>10264</v>
      </c>
      <c r="H6470" s="1">
        <v>3</v>
      </c>
      <c r="I6470">
        <v>12</v>
      </c>
      <c r="J6470">
        <f>IF($H6470=0,1,IF($I6470&lt;=1,2,0))</f>
        <v>0</v>
      </c>
      <c r="K6470">
        <v>0</v>
      </c>
      <c r="L6470">
        <f>IF(AND($J6470=0,$K6470=0),0,1)</f>
        <v>0</v>
      </c>
    </row>
    <row r="6471" spans="1:13" x14ac:dyDescent="0.2">
      <c r="A6471" t="s">
        <v>570</v>
      </c>
      <c r="B6471" t="s">
        <v>17</v>
      </c>
      <c r="C6471" t="s">
        <v>21</v>
      </c>
      <c r="D6471">
        <v>2030</v>
      </c>
      <c r="E6471">
        <v>2021</v>
      </c>
      <c r="F6471">
        <v>1</v>
      </c>
      <c r="G6471">
        <v>10251</v>
      </c>
      <c r="H6471" s="1">
        <v>3</v>
      </c>
      <c r="I6471">
        <v>14</v>
      </c>
      <c r="J6471">
        <f>IF($H6471=0,1,IF($I6471&lt;=1,2,0))</f>
        <v>0</v>
      </c>
      <c r="K6471">
        <v>0</v>
      </c>
      <c r="L6471">
        <f>IF(AND($J6471=0,$K6471=0),0,1)</f>
        <v>0</v>
      </c>
    </row>
    <row r="6472" spans="1:13" x14ac:dyDescent="0.2">
      <c r="A6472" t="s">
        <v>570</v>
      </c>
      <c r="B6472" t="s">
        <v>17</v>
      </c>
      <c r="C6472" t="s">
        <v>21</v>
      </c>
      <c r="D6472">
        <v>2205</v>
      </c>
      <c r="E6472">
        <v>2021</v>
      </c>
      <c r="F6472">
        <v>1</v>
      </c>
      <c r="G6472">
        <v>11529</v>
      </c>
      <c r="H6472" s="1">
        <v>3</v>
      </c>
      <c r="I6472">
        <v>15</v>
      </c>
      <c r="J6472">
        <f>IF($H6472=0,1,IF($I6472&lt;=1,2,0))</f>
        <v>0</v>
      </c>
      <c r="K6472">
        <v>0</v>
      </c>
      <c r="L6472">
        <f>IF(AND($J6472=0,$K6472=0),0,1)</f>
        <v>0</v>
      </c>
    </row>
    <row r="6473" spans="1:13" x14ac:dyDescent="0.2">
      <c r="A6473" t="s">
        <v>570</v>
      </c>
      <c r="B6473" t="s">
        <v>17</v>
      </c>
      <c r="C6473" t="s">
        <v>21</v>
      </c>
      <c r="D6473">
        <v>2230</v>
      </c>
      <c r="E6473">
        <v>2021</v>
      </c>
      <c r="F6473">
        <v>1</v>
      </c>
      <c r="G6473">
        <v>11530</v>
      </c>
      <c r="H6473" s="1">
        <v>3</v>
      </c>
      <c r="I6473">
        <v>35</v>
      </c>
      <c r="J6473">
        <f>IF($H6473=0,1,IF($I6473&lt;=1,2,0))</f>
        <v>0</v>
      </c>
      <c r="K6473">
        <v>0</v>
      </c>
      <c r="L6473">
        <f>IF(AND($J6473=0,$K6473=0),0,1)</f>
        <v>0</v>
      </c>
    </row>
    <row r="6474" spans="1:13" x14ac:dyDescent="0.2">
      <c r="A6474" t="s">
        <v>570</v>
      </c>
      <c r="B6474" t="s">
        <v>17</v>
      </c>
      <c r="C6474" t="s">
        <v>21</v>
      </c>
      <c r="D6474">
        <v>2314</v>
      </c>
      <c r="E6474">
        <v>2021</v>
      </c>
      <c r="F6474">
        <v>2</v>
      </c>
      <c r="G6474">
        <v>10252</v>
      </c>
      <c r="H6474" s="1">
        <v>1</v>
      </c>
      <c r="I6474">
        <v>9</v>
      </c>
      <c r="J6474">
        <f>IF($H6474=0,1,IF($I6474&lt;=1,2,0))</f>
        <v>0</v>
      </c>
      <c r="K6474">
        <v>0</v>
      </c>
      <c r="L6474">
        <f>IF(AND($J6474=0,$K6474=0),0,1)</f>
        <v>0</v>
      </c>
      <c r="M6474" t="s">
        <v>571</v>
      </c>
    </row>
    <row r="6475" spans="1:13" x14ac:dyDescent="0.2">
      <c r="A6475" t="s">
        <v>570</v>
      </c>
      <c r="B6475" t="s">
        <v>17</v>
      </c>
      <c r="C6475" t="s">
        <v>21</v>
      </c>
      <c r="D6475">
        <v>2315</v>
      </c>
      <c r="E6475">
        <v>2021</v>
      </c>
      <c r="F6475">
        <v>2</v>
      </c>
      <c r="G6475">
        <v>10253</v>
      </c>
      <c r="H6475" s="1">
        <v>1</v>
      </c>
      <c r="I6475">
        <v>12</v>
      </c>
      <c r="J6475">
        <f>IF($H6475=0,1,IF($I6475&lt;=1,2,0))</f>
        <v>0</v>
      </c>
      <c r="K6475">
        <v>0</v>
      </c>
      <c r="L6475">
        <f>IF(AND($J6475=0,$K6475=0),0,1)</f>
        <v>0</v>
      </c>
      <c r="M6475" t="s">
        <v>571</v>
      </c>
    </row>
    <row r="6476" spans="1:13" x14ac:dyDescent="0.2">
      <c r="A6476" t="s">
        <v>570</v>
      </c>
      <c r="B6476" t="s">
        <v>17</v>
      </c>
      <c r="C6476" t="s">
        <v>21</v>
      </c>
      <c r="D6476">
        <v>2318</v>
      </c>
      <c r="E6476">
        <v>2021</v>
      </c>
      <c r="F6476">
        <v>1</v>
      </c>
      <c r="G6476">
        <v>10254</v>
      </c>
      <c r="H6476" s="1">
        <v>3</v>
      </c>
      <c r="I6476">
        <v>18</v>
      </c>
      <c r="J6476">
        <f>IF($H6476=0,1,IF($I6476&lt;=1,2,0))</f>
        <v>0</v>
      </c>
      <c r="K6476">
        <v>0</v>
      </c>
      <c r="L6476">
        <f>IF(AND($J6476=0,$K6476=0),0,1)</f>
        <v>0</v>
      </c>
      <c r="M6476" t="s">
        <v>575</v>
      </c>
    </row>
    <row r="6477" spans="1:13" x14ac:dyDescent="0.2">
      <c r="A6477" t="s">
        <v>570</v>
      </c>
      <c r="B6477" t="s">
        <v>17</v>
      </c>
      <c r="C6477" t="s">
        <v>21</v>
      </c>
      <c r="D6477">
        <v>2319</v>
      </c>
      <c r="E6477">
        <v>2021</v>
      </c>
      <c r="F6477">
        <v>1</v>
      </c>
      <c r="G6477">
        <v>10258</v>
      </c>
      <c r="H6477" s="1">
        <v>3</v>
      </c>
      <c r="I6477">
        <v>13</v>
      </c>
      <c r="J6477">
        <f>IF($H6477=0,1,IF($I6477&lt;=1,2,0))</f>
        <v>0</v>
      </c>
      <c r="K6477">
        <v>0</v>
      </c>
      <c r="L6477">
        <f>IF(AND($J6477=0,$K6477=0),0,1)</f>
        <v>0</v>
      </c>
    </row>
    <row r="6478" spans="1:13" x14ac:dyDescent="0.2">
      <c r="A6478" t="s">
        <v>570</v>
      </c>
      <c r="B6478" t="s">
        <v>17</v>
      </c>
      <c r="C6478" t="s">
        <v>21</v>
      </c>
      <c r="D6478">
        <v>3128</v>
      </c>
      <c r="E6478">
        <v>2021</v>
      </c>
      <c r="F6478">
        <v>1</v>
      </c>
      <c r="G6478">
        <v>10265</v>
      </c>
      <c r="H6478" s="1">
        <v>3</v>
      </c>
      <c r="I6478">
        <v>31</v>
      </c>
      <c r="J6478">
        <f>IF($H6478=0,1,IF($I6478&lt;=1,2,0))</f>
        <v>0</v>
      </c>
      <c r="K6478">
        <v>0</v>
      </c>
      <c r="L6478">
        <f>IF(AND($J6478=0,$K6478=0),0,1)</f>
        <v>0</v>
      </c>
    </row>
    <row r="6479" spans="1:13" x14ac:dyDescent="0.2">
      <c r="A6479" t="s">
        <v>570</v>
      </c>
      <c r="B6479" t="s">
        <v>17</v>
      </c>
      <c r="C6479" t="s">
        <v>21</v>
      </c>
      <c r="D6479">
        <v>3168</v>
      </c>
      <c r="E6479">
        <v>2021</v>
      </c>
      <c r="F6479">
        <v>1</v>
      </c>
      <c r="G6479">
        <v>10268</v>
      </c>
      <c r="H6479" s="1">
        <v>3</v>
      </c>
      <c r="I6479">
        <v>25</v>
      </c>
      <c r="J6479">
        <f>IF($H6479=0,1,IF($I6479&lt;=1,2,0))</f>
        <v>0</v>
      </c>
      <c r="K6479">
        <v>0</v>
      </c>
      <c r="L6479">
        <f>IF(AND($J6479=0,$K6479=0),0,1)</f>
        <v>0</v>
      </c>
    </row>
    <row r="6480" spans="1:13" x14ac:dyDescent="0.2">
      <c r="A6480" t="s">
        <v>570</v>
      </c>
      <c r="B6480" t="s">
        <v>17</v>
      </c>
      <c r="C6480" t="s">
        <v>21</v>
      </c>
      <c r="D6480">
        <v>3241</v>
      </c>
      <c r="E6480">
        <v>2021</v>
      </c>
      <c r="F6480">
        <v>1</v>
      </c>
      <c r="G6480">
        <v>10266</v>
      </c>
      <c r="H6480" s="1">
        <v>3</v>
      </c>
      <c r="I6480">
        <v>6</v>
      </c>
      <c r="J6480">
        <f>IF($H6480=0,1,IF($I6480&lt;=1,2,0))</f>
        <v>0</v>
      </c>
      <c r="K6480">
        <v>0</v>
      </c>
      <c r="L6480">
        <f>IF(AND($J6480=0,$K6480=0),0,1)</f>
        <v>0</v>
      </c>
    </row>
    <row r="6481" spans="1:13" x14ac:dyDescent="0.2">
      <c r="A6481" t="s">
        <v>570</v>
      </c>
      <c r="B6481" t="s">
        <v>17</v>
      </c>
      <c r="C6481" t="s">
        <v>21</v>
      </c>
      <c r="D6481">
        <v>3316</v>
      </c>
      <c r="E6481">
        <v>2021</v>
      </c>
      <c r="F6481">
        <v>1</v>
      </c>
      <c r="G6481">
        <v>10255</v>
      </c>
      <c r="H6481" s="1">
        <v>1</v>
      </c>
      <c r="I6481">
        <v>8</v>
      </c>
      <c r="J6481">
        <f>IF($H6481=0,1,IF($I6481&lt;=1,2,0))</f>
        <v>0</v>
      </c>
      <c r="K6481">
        <v>0</v>
      </c>
      <c r="L6481">
        <f>IF(AND($J6481=0,$K6481=0),0,1)</f>
        <v>0</v>
      </c>
      <c r="M6481" t="s">
        <v>571</v>
      </c>
    </row>
    <row r="6482" spans="1:13" x14ac:dyDescent="0.2">
      <c r="A6482" t="s">
        <v>570</v>
      </c>
      <c r="B6482" t="s">
        <v>17</v>
      </c>
      <c r="C6482" t="s">
        <v>21</v>
      </c>
      <c r="D6482">
        <v>3316</v>
      </c>
      <c r="E6482">
        <v>2021</v>
      </c>
      <c r="F6482">
        <v>2</v>
      </c>
      <c r="G6482">
        <v>10256</v>
      </c>
      <c r="H6482" s="1">
        <v>1</v>
      </c>
      <c r="I6482">
        <v>8</v>
      </c>
      <c r="J6482">
        <f>IF($H6482=0,1,IF($I6482&lt;=1,2,0))</f>
        <v>0</v>
      </c>
      <c r="K6482">
        <v>0</v>
      </c>
      <c r="L6482">
        <f>IF(AND($J6482=0,$K6482=0),0,1)</f>
        <v>0</v>
      </c>
      <c r="M6482" t="s">
        <v>571</v>
      </c>
    </row>
    <row r="6483" spans="1:13" x14ac:dyDescent="0.2">
      <c r="A6483" t="s">
        <v>570</v>
      </c>
      <c r="B6483" t="s">
        <v>17</v>
      </c>
      <c r="C6483" t="s">
        <v>21</v>
      </c>
      <c r="D6483">
        <v>3317</v>
      </c>
      <c r="E6483">
        <v>2021</v>
      </c>
      <c r="F6483">
        <v>1</v>
      </c>
      <c r="G6483">
        <v>10257</v>
      </c>
      <c r="H6483" s="1">
        <v>1</v>
      </c>
      <c r="I6483">
        <v>10</v>
      </c>
      <c r="J6483">
        <f>IF($H6483=0,1,IF($I6483&lt;=1,2,0))</f>
        <v>0</v>
      </c>
      <c r="K6483">
        <v>0</v>
      </c>
      <c r="L6483">
        <f>IF(AND($J6483=0,$K6483=0),0,1)</f>
        <v>0</v>
      </c>
      <c r="M6483" t="s">
        <v>571</v>
      </c>
    </row>
    <row r="6484" spans="1:13" x14ac:dyDescent="0.2">
      <c r="A6484" t="s">
        <v>570</v>
      </c>
      <c r="B6484" t="s">
        <v>17</v>
      </c>
      <c r="C6484" t="s">
        <v>21</v>
      </c>
      <c r="D6484">
        <v>3321</v>
      </c>
      <c r="E6484">
        <v>2021</v>
      </c>
      <c r="F6484">
        <v>1</v>
      </c>
      <c r="G6484">
        <v>10259</v>
      </c>
      <c r="H6484" s="1">
        <v>3</v>
      </c>
      <c r="I6484">
        <v>17</v>
      </c>
      <c r="J6484">
        <f>IF($H6484=0,1,IF($I6484&lt;=1,2,0))</f>
        <v>0</v>
      </c>
      <c r="K6484">
        <v>0</v>
      </c>
      <c r="L6484">
        <f>IF(AND($J6484=0,$K6484=0),0,1)</f>
        <v>0</v>
      </c>
    </row>
    <row r="6485" spans="1:13" x14ac:dyDescent="0.2">
      <c r="A6485" t="s">
        <v>570</v>
      </c>
      <c r="B6485" t="s">
        <v>17</v>
      </c>
      <c r="C6485" t="s">
        <v>21</v>
      </c>
      <c r="D6485">
        <v>3322</v>
      </c>
      <c r="E6485">
        <v>2021</v>
      </c>
      <c r="F6485">
        <v>1</v>
      </c>
      <c r="G6485">
        <v>10260</v>
      </c>
      <c r="H6485" s="1">
        <v>3</v>
      </c>
      <c r="I6485">
        <v>5</v>
      </c>
      <c r="J6485">
        <f>IF($H6485=0,1,IF($I6485&lt;=1,2,0))</f>
        <v>0</v>
      </c>
      <c r="K6485">
        <v>0</v>
      </c>
      <c r="L6485">
        <f>IF(AND($J6485=0,$K6485=0),0,1)</f>
        <v>0</v>
      </c>
    </row>
    <row r="6486" spans="1:13" x14ac:dyDescent="0.2">
      <c r="A6486" t="s">
        <v>570</v>
      </c>
      <c r="B6486" t="s">
        <v>17</v>
      </c>
      <c r="C6486" t="s">
        <v>21</v>
      </c>
      <c r="D6486">
        <v>3400</v>
      </c>
      <c r="E6486">
        <v>2021</v>
      </c>
      <c r="F6486">
        <v>1</v>
      </c>
      <c r="G6486">
        <v>10267</v>
      </c>
      <c r="H6486" s="1">
        <v>3</v>
      </c>
      <c r="I6486">
        <v>32</v>
      </c>
      <c r="J6486">
        <f>IF($H6486=0,1,IF($I6486&lt;=1,2,0))</f>
        <v>0</v>
      </c>
      <c r="K6486">
        <v>0</v>
      </c>
      <c r="L6486">
        <f>IF(AND($J6486=0,$K6486=0),0,1)</f>
        <v>0</v>
      </c>
    </row>
    <row r="6487" spans="1:13" x14ac:dyDescent="0.2">
      <c r="A6487" t="s">
        <v>570</v>
      </c>
      <c r="B6487" t="s">
        <v>17</v>
      </c>
      <c r="C6487" t="s">
        <v>21</v>
      </c>
      <c r="D6487">
        <v>3410</v>
      </c>
      <c r="E6487">
        <v>2021</v>
      </c>
      <c r="F6487">
        <v>1</v>
      </c>
      <c r="G6487">
        <v>11527</v>
      </c>
      <c r="H6487" s="1">
        <v>3</v>
      </c>
      <c r="I6487">
        <v>24</v>
      </c>
      <c r="J6487">
        <f>IF($H6487=0,1,IF($I6487&lt;=1,2,0))</f>
        <v>0</v>
      </c>
      <c r="K6487">
        <v>0</v>
      </c>
      <c r="L6487">
        <f>IF(AND($J6487=0,$K6487=0),0,1)</f>
        <v>0</v>
      </c>
    </row>
    <row r="6488" spans="1:13" x14ac:dyDescent="0.2">
      <c r="A6488" t="s">
        <v>570</v>
      </c>
      <c r="B6488" t="s">
        <v>17</v>
      </c>
      <c r="C6488" t="s">
        <v>21</v>
      </c>
      <c r="D6488">
        <v>3425</v>
      </c>
      <c r="E6488">
        <v>2021</v>
      </c>
      <c r="F6488">
        <v>1</v>
      </c>
      <c r="G6488">
        <v>13514</v>
      </c>
      <c r="H6488" s="1">
        <v>3</v>
      </c>
      <c r="I6488">
        <v>11</v>
      </c>
      <c r="J6488">
        <f>IF($H6488=0,1,IF($I6488&lt;=1,2,0))</f>
        <v>0</v>
      </c>
      <c r="K6488">
        <v>0</v>
      </c>
      <c r="L6488">
        <f>IF(AND($J6488=0,$K6488=0),0,1)</f>
        <v>0</v>
      </c>
    </row>
    <row r="6489" spans="1:13" x14ac:dyDescent="0.2">
      <c r="A6489" t="s">
        <v>570</v>
      </c>
      <c r="B6489" t="s">
        <v>17</v>
      </c>
      <c r="C6489" t="s">
        <v>9</v>
      </c>
      <c r="D6489">
        <v>3995</v>
      </c>
      <c r="E6489">
        <v>2021</v>
      </c>
      <c r="F6489">
        <v>5</v>
      </c>
      <c r="G6489">
        <v>10272</v>
      </c>
      <c r="H6489" s="1" t="s">
        <v>1833</v>
      </c>
      <c r="I6489">
        <v>2</v>
      </c>
      <c r="J6489">
        <f>IF($H6489=0,1,IF($I6489&lt;=1,2,0))</f>
        <v>0</v>
      </c>
      <c r="K6489">
        <v>0</v>
      </c>
      <c r="L6489">
        <f>IF(AND($J6489=0,$K6489=0),0,1)</f>
        <v>0</v>
      </c>
    </row>
    <row r="6490" spans="1:13" x14ac:dyDescent="0.2">
      <c r="A6490" t="s">
        <v>570</v>
      </c>
      <c r="B6490" t="s">
        <v>17</v>
      </c>
      <c r="C6490" t="s">
        <v>9</v>
      </c>
      <c r="D6490">
        <v>4325</v>
      </c>
      <c r="E6490">
        <v>2021</v>
      </c>
      <c r="F6490">
        <v>1</v>
      </c>
      <c r="G6490">
        <v>10399</v>
      </c>
      <c r="H6490" s="1">
        <v>3</v>
      </c>
      <c r="I6490">
        <v>7</v>
      </c>
      <c r="J6490">
        <f>IF($H6490=0,1,IF($I6490&lt;=1,2,0))</f>
        <v>0</v>
      </c>
      <c r="K6490">
        <v>0</v>
      </c>
      <c r="L6490">
        <f>IF(AND($J6490=0,$K6490=0),0,1)</f>
        <v>0</v>
      </c>
    </row>
    <row r="6491" spans="1:13" x14ac:dyDescent="0.2">
      <c r="A6491" t="s">
        <v>570</v>
      </c>
      <c r="B6491" t="s">
        <v>17</v>
      </c>
      <c r="C6491" t="s">
        <v>11</v>
      </c>
      <c r="D6491">
        <v>4500</v>
      </c>
      <c r="E6491">
        <v>2021</v>
      </c>
      <c r="F6491">
        <v>1</v>
      </c>
      <c r="G6491">
        <v>18042</v>
      </c>
      <c r="H6491" s="1">
        <v>3</v>
      </c>
      <c r="I6491">
        <v>11</v>
      </c>
      <c r="J6491">
        <f>IF($H6491=0,1,IF($I6491&lt;=1,2,0))</f>
        <v>0</v>
      </c>
      <c r="K6491">
        <v>0</v>
      </c>
      <c r="L6491">
        <f>IF(AND($J6491=0,$K6491=0),0,1)</f>
        <v>0</v>
      </c>
    </row>
    <row r="6492" spans="1:13" x14ac:dyDescent="0.2">
      <c r="A6492" t="s">
        <v>570</v>
      </c>
      <c r="B6492" t="s">
        <v>17</v>
      </c>
      <c r="C6492" t="s">
        <v>9</v>
      </c>
      <c r="D6492">
        <v>4525</v>
      </c>
      <c r="E6492">
        <v>2021</v>
      </c>
      <c r="F6492">
        <v>1</v>
      </c>
      <c r="G6492">
        <v>10401</v>
      </c>
      <c r="H6492" s="1">
        <v>3</v>
      </c>
      <c r="I6492">
        <v>11</v>
      </c>
      <c r="J6492">
        <f>IF($H6492=0,1,IF($I6492&lt;=1,2,0))</f>
        <v>0</v>
      </c>
      <c r="K6492">
        <v>0</v>
      </c>
      <c r="L6492">
        <f>IF(AND($J6492=0,$K6492=0),0,1)</f>
        <v>0</v>
      </c>
    </row>
    <row r="6493" spans="1:13" x14ac:dyDescent="0.2">
      <c r="A6493" t="s">
        <v>570</v>
      </c>
      <c r="B6493" t="s">
        <v>17</v>
      </c>
      <c r="C6493" t="s">
        <v>9</v>
      </c>
      <c r="D6493">
        <v>4630</v>
      </c>
      <c r="E6493">
        <v>2021</v>
      </c>
      <c r="F6493">
        <v>1</v>
      </c>
      <c r="G6493">
        <v>10402</v>
      </c>
      <c r="H6493" s="1">
        <v>3</v>
      </c>
      <c r="I6493">
        <v>12</v>
      </c>
      <c r="J6493">
        <f>IF($H6493=0,1,IF($I6493&lt;=1,2,0))</f>
        <v>0</v>
      </c>
      <c r="K6493">
        <v>0</v>
      </c>
      <c r="L6493">
        <f>IF(AND($J6493=0,$K6493=0),0,1)</f>
        <v>0</v>
      </c>
    </row>
    <row r="6494" spans="1:13" x14ac:dyDescent="0.2">
      <c r="A6494" t="s">
        <v>570</v>
      </c>
      <c r="B6494" t="s">
        <v>17</v>
      </c>
      <c r="C6494" t="s">
        <v>9</v>
      </c>
      <c r="D6494">
        <v>4810</v>
      </c>
      <c r="E6494">
        <v>2021</v>
      </c>
      <c r="F6494">
        <v>1</v>
      </c>
      <c r="G6494">
        <v>10403</v>
      </c>
      <c r="H6494" s="1">
        <v>3</v>
      </c>
      <c r="I6494">
        <v>16</v>
      </c>
      <c r="J6494">
        <f>IF($H6494=0,1,IF($I6494&lt;=1,2,0))</f>
        <v>0</v>
      </c>
      <c r="K6494">
        <v>0</v>
      </c>
      <c r="L6494">
        <f>IF(AND($J6494=0,$K6494=0),0,1)</f>
        <v>0</v>
      </c>
    </row>
    <row r="6495" spans="1:13" x14ac:dyDescent="0.2">
      <c r="A6495" t="s">
        <v>570</v>
      </c>
      <c r="B6495" t="s">
        <v>17</v>
      </c>
      <c r="C6495" t="s">
        <v>11</v>
      </c>
      <c r="D6495">
        <v>6333</v>
      </c>
      <c r="E6495">
        <v>2021</v>
      </c>
      <c r="F6495">
        <v>1</v>
      </c>
      <c r="G6495">
        <v>10405</v>
      </c>
      <c r="H6495" s="1">
        <v>3</v>
      </c>
      <c r="I6495">
        <v>2</v>
      </c>
      <c r="J6495">
        <f>IF($H6495=0,1,IF($I6495&lt;=1,2,0))</f>
        <v>0</v>
      </c>
      <c r="K6495">
        <v>0</v>
      </c>
      <c r="L6495">
        <f>IF(AND($J6495=0,$K6495=0),0,1)</f>
        <v>0</v>
      </c>
    </row>
    <row r="6496" spans="1:13" x14ac:dyDescent="0.2">
      <c r="A6496" t="s">
        <v>570</v>
      </c>
      <c r="B6496" t="s">
        <v>17</v>
      </c>
      <c r="C6496" t="s">
        <v>11</v>
      </c>
      <c r="D6496">
        <v>6379</v>
      </c>
      <c r="E6496">
        <v>2021</v>
      </c>
      <c r="F6496">
        <v>1</v>
      </c>
      <c r="G6496">
        <v>10406</v>
      </c>
      <c r="H6496" s="1">
        <v>3</v>
      </c>
      <c r="I6496">
        <v>9</v>
      </c>
      <c r="J6496">
        <f>IF($H6496=0,1,IF($I6496&lt;=1,2,0))</f>
        <v>0</v>
      </c>
      <c r="K6496">
        <v>0</v>
      </c>
      <c r="L6496">
        <f>IF(AND($J6496=0,$K6496=0),0,1)</f>
        <v>0</v>
      </c>
    </row>
    <row r="6497" spans="1:13" x14ac:dyDescent="0.2">
      <c r="A6497" t="s">
        <v>570</v>
      </c>
      <c r="B6497" t="s">
        <v>17</v>
      </c>
      <c r="C6497" t="s">
        <v>11</v>
      </c>
      <c r="D6497">
        <v>6610</v>
      </c>
      <c r="E6497">
        <v>2021</v>
      </c>
      <c r="F6497">
        <v>1</v>
      </c>
      <c r="G6497">
        <v>10408</v>
      </c>
      <c r="H6497" s="1">
        <v>3</v>
      </c>
      <c r="I6497">
        <v>4</v>
      </c>
      <c r="J6497">
        <f>IF($H6497=0,1,IF($I6497&lt;=1,2,0))</f>
        <v>0</v>
      </c>
      <c r="K6497">
        <v>0</v>
      </c>
      <c r="L6497">
        <f>IF(AND($J6497=0,$K6497=0),0,1)</f>
        <v>0</v>
      </c>
    </row>
    <row r="6498" spans="1:13" x14ac:dyDescent="0.2">
      <c r="A6498" t="s">
        <v>570</v>
      </c>
      <c r="B6498" t="s">
        <v>17</v>
      </c>
      <c r="C6498" t="s">
        <v>11</v>
      </c>
      <c r="D6498">
        <v>8097</v>
      </c>
      <c r="E6498">
        <v>2021</v>
      </c>
      <c r="F6498">
        <v>6</v>
      </c>
      <c r="G6498">
        <v>10335</v>
      </c>
      <c r="H6498" s="1">
        <v>3</v>
      </c>
      <c r="I6498">
        <v>2</v>
      </c>
      <c r="J6498">
        <f>IF($H6498=0,1,IF($I6498&lt;=1,2,0))</f>
        <v>0</v>
      </c>
      <c r="K6498">
        <v>0</v>
      </c>
      <c r="L6498">
        <f>IF(AND($J6498=0,$K6498=0),0,1)</f>
        <v>0</v>
      </c>
    </row>
    <row r="6499" spans="1:13" x14ac:dyDescent="0.2">
      <c r="A6499" t="s">
        <v>570</v>
      </c>
      <c r="B6499" t="s">
        <v>17</v>
      </c>
      <c r="C6499" t="s">
        <v>11</v>
      </c>
      <c r="D6499">
        <v>8101</v>
      </c>
      <c r="E6499">
        <v>2021</v>
      </c>
      <c r="F6499">
        <v>1</v>
      </c>
      <c r="G6499">
        <v>10409</v>
      </c>
      <c r="H6499" s="1">
        <v>3</v>
      </c>
      <c r="I6499">
        <v>6</v>
      </c>
      <c r="J6499">
        <f>IF($H6499=0,1,IF($I6499&lt;=1,2,0))</f>
        <v>0</v>
      </c>
      <c r="K6499">
        <v>0</v>
      </c>
      <c r="L6499">
        <f>IF(AND($J6499=0,$K6499=0),0,1)</f>
        <v>0</v>
      </c>
    </row>
    <row r="6500" spans="1:13" x14ac:dyDescent="0.2">
      <c r="A6500" t="s">
        <v>570</v>
      </c>
      <c r="B6500" t="s">
        <v>17</v>
      </c>
      <c r="C6500" t="s">
        <v>11</v>
      </c>
      <c r="D6500">
        <v>8231</v>
      </c>
      <c r="E6500">
        <v>2021</v>
      </c>
      <c r="F6500">
        <v>1</v>
      </c>
      <c r="G6500">
        <v>10410</v>
      </c>
      <c r="H6500" s="1">
        <v>3</v>
      </c>
      <c r="I6500">
        <v>8</v>
      </c>
      <c r="J6500">
        <f>IF($H6500=0,1,IF($I6500&lt;=1,2,0))</f>
        <v>0</v>
      </c>
      <c r="K6500">
        <v>0</v>
      </c>
      <c r="L6500">
        <f>IF(AND($J6500=0,$K6500=0),0,1)</f>
        <v>0</v>
      </c>
    </row>
    <row r="6501" spans="1:13" x14ac:dyDescent="0.2">
      <c r="A6501" t="s">
        <v>570</v>
      </c>
      <c r="B6501" t="s">
        <v>17</v>
      </c>
      <c r="C6501" t="s">
        <v>21</v>
      </c>
      <c r="D6501">
        <v>8241</v>
      </c>
      <c r="E6501">
        <v>2021</v>
      </c>
      <c r="F6501">
        <v>1</v>
      </c>
      <c r="G6501">
        <v>10412</v>
      </c>
      <c r="H6501" s="1">
        <v>3</v>
      </c>
      <c r="I6501">
        <v>7</v>
      </c>
      <c r="J6501">
        <f>IF($H6501=0,1,IF($I6501&lt;=1,2,0))</f>
        <v>0</v>
      </c>
      <c r="K6501">
        <v>0</v>
      </c>
      <c r="L6501">
        <f>IF(AND($J6501=0,$K6501=0),0,1)</f>
        <v>0</v>
      </c>
    </row>
    <row r="6502" spans="1:13" x14ac:dyDescent="0.2">
      <c r="A6502" t="s">
        <v>578</v>
      </c>
      <c r="B6502" t="s">
        <v>71</v>
      </c>
      <c r="C6502" t="s">
        <v>72</v>
      </c>
      <c r="D6502">
        <v>2500</v>
      </c>
      <c r="E6502">
        <v>2021</v>
      </c>
      <c r="F6502">
        <v>1</v>
      </c>
      <c r="G6502">
        <v>11885</v>
      </c>
      <c r="H6502" s="1">
        <v>3</v>
      </c>
      <c r="I6502">
        <v>39</v>
      </c>
      <c r="J6502">
        <f>IF($H6502=0,1,IF($I6502&lt;=1,2,0))</f>
        <v>0</v>
      </c>
      <c r="K6502">
        <v>0</v>
      </c>
      <c r="L6502">
        <f>IF(AND($J6502=0,$K6502=0),0,1)</f>
        <v>0</v>
      </c>
    </row>
    <row r="6503" spans="1:13" x14ac:dyDescent="0.2">
      <c r="A6503" t="s">
        <v>578</v>
      </c>
      <c r="B6503" t="s">
        <v>71</v>
      </c>
      <c r="C6503" t="s">
        <v>72</v>
      </c>
      <c r="D6503">
        <v>4500</v>
      </c>
      <c r="E6503">
        <v>2021</v>
      </c>
      <c r="F6503">
        <v>1</v>
      </c>
      <c r="G6503">
        <v>18236</v>
      </c>
      <c r="H6503" s="1">
        <v>3</v>
      </c>
      <c r="I6503">
        <v>6</v>
      </c>
      <c r="J6503">
        <f>IF($H6503=0,1,IF($I6503&lt;=1,2,0))</f>
        <v>0</v>
      </c>
      <c r="K6503">
        <v>0</v>
      </c>
      <c r="L6503">
        <f>IF(AND($J6503=0,$K6503=0),0,1)</f>
        <v>0</v>
      </c>
    </row>
    <row r="6504" spans="1:13" x14ac:dyDescent="0.2">
      <c r="A6504" t="s">
        <v>580</v>
      </c>
      <c r="B6504" t="s">
        <v>581</v>
      </c>
      <c r="C6504" t="s">
        <v>7</v>
      </c>
      <c r="D6504">
        <v>1001</v>
      </c>
      <c r="E6504">
        <v>2021</v>
      </c>
      <c r="F6504">
        <v>71</v>
      </c>
      <c r="G6504">
        <v>18687</v>
      </c>
      <c r="H6504" s="1">
        <v>1</v>
      </c>
      <c r="I6504">
        <v>33</v>
      </c>
      <c r="J6504">
        <f>IF($H6504=0,1,IF($I6504&lt;=1,2,0))</f>
        <v>0</v>
      </c>
      <c r="K6504">
        <v>0</v>
      </c>
      <c r="L6504">
        <f>IF(AND($J6504=0,$K6504=0),0,1)</f>
        <v>0</v>
      </c>
      <c r="M6504" t="s">
        <v>1688</v>
      </c>
    </row>
    <row r="6505" spans="1:13" x14ac:dyDescent="0.2">
      <c r="A6505" t="s">
        <v>580</v>
      </c>
      <c r="B6505" t="s">
        <v>581</v>
      </c>
      <c r="C6505" t="s">
        <v>7</v>
      </c>
      <c r="D6505">
        <v>1001</v>
      </c>
      <c r="E6505">
        <v>2021</v>
      </c>
      <c r="F6505">
        <v>70</v>
      </c>
      <c r="G6505">
        <v>17905</v>
      </c>
      <c r="H6505" s="1">
        <v>1</v>
      </c>
      <c r="I6505">
        <v>27</v>
      </c>
      <c r="J6505">
        <f>IF($H6505=0,1,IF($I6505&lt;=1,2,0))</f>
        <v>0</v>
      </c>
      <c r="K6505">
        <v>0</v>
      </c>
      <c r="L6505">
        <f>IF(AND($J6505=0,$K6505=0),0,1)</f>
        <v>0</v>
      </c>
      <c r="M6505" t="s">
        <v>1688</v>
      </c>
    </row>
    <row r="6506" spans="1:13" x14ac:dyDescent="0.2">
      <c r="A6506" t="s">
        <v>580</v>
      </c>
      <c r="B6506" t="s">
        <v>581</v>
      </c>
      <c r="C6506" t="s">
        <v>7</v>
      </c>
      <c r="D6506">
        <v>1001</v>
      </c>
      <c r="E6506">
        <v>2021</v>
      </c>
      <c r="F6506">
        <v>23</v>
      </c>
      <c r="G6506">
        <v>11239</v>
      </c>
      <c r="H6506" s="1">
        <v>1</v>
      </c>
      <c r="I6506">
        <v>25</v>
      </c>
      <c r="J6506">
        <f>IF($H6506=0,1,IF($I6506&lt;=1,2,0))</f>
        <v>0</v>
      </c>
      <c r="K6506">
        <v>0</v>
      </c>
      <c r="L6506">
        <f>IF(AND($J6506=0,$K6506=0),0,1)</f>
        <v>0</v>
      </c>
      <c r="M6506" t="s">
        <v>1691</v>
      </c>
    </row>
    <row r="6507" spans="1:13" x14ac:dyDescent="0.2">
      <c r="A6507" t="s">
        <v>580</v>
      </c>
      <c r="B6507" t="s">
        <v>581</v>
      </c>
      <c r="C6507" t="s">
        <v>7</v>
      </c>
      <c r="D6507">
        <v>1001</v>
      </c>
      <c r="E6507">
        <v>2021</v>
      </c>
      <c r="F6507">
        <v>80</v>
      </c>
      <c r="G6507">
        <v>18842</v>
      </c>
      <c r="H6507" s="1">
        <v>1</v>
      </c>
      <c r="I6507">
        <v>24</v>
      </c>
      <c r="J6507">
        <f>IF($H6507=0,1,IF($I6507&lt;=1,2,0))</f>
        <v>0</v>
      </c>
      <c r="K6507">
        <v>0</v>
      </c>
      <c r="L6507">
        <f>IF(AND($J6507=0,$K6507=0),0,1)</f>
        <v>0</v>
      </c>
      <c r="M6507" t="s">
        <v>1695</v>
      </c>
    </row>
    <row r="6508" spans="1:13" x14ac:dyDescent="0.2">
      <c r="A6508" t="s">
        <v>580</v>
      </c>
      <c r="B6508" t="s">
        <v>581</v>
      </c>
      <c r="C6508" t="s">
        <v>7</v>
      </c>
      <c r="D6508">
        <v>1001</v>
      </c>
      <c r="E6508">
        <v>2021</v>
      </c>
      <c r="F6508">
        <v>18</v>
      </c>
      <c r="G6508">
        <v>11245</v>
      </c>
      <c r="H6508" s="1">
        <v>1</v>
      </c>
      <c r="I6508">
        <v>23</v>
      </c>
      <c r="J6508">
        <f>IF($H6508=0,1,IF($I6508&lt;=1,2,0))</f>
        <v>0</v>
      </c>
      <c r="K6508">
        <v>0</v>
      </c>
      <c r="L6508">
        <f>IF(AND($J6508=0,$K6508=0),0,1)</f>
        <v>0</v>
      </c>
      <c r="M6508" t="s">
        <v>1688</v>
      </c>
    </row>
    <row r="6509" spans="1:13" x14ac:dyDescent="0.2">
      <c r="A6509" t="s">
        <v>580</v>
      </c>
      <c r="B6509" t="s">
        <v>581</v>
      </c>
      <c r="C6509" t="s">
        <v>7</v>
      </c>
      <c r="D6509">
        <v>1001</v>
      </c>
      <c r="E6509">
        <v>2021</v>
      </c>
      <c r="F6509">
        <v>65</v>
      </c>
      <c r="G6509">
        <v>18458</v>
      </c>
      <c r="H6509" s="1">
        <v>1</v>
      </c>
      <c r="I6509">
        <v>23</v>
      </c>
      <c r="J6509">
        <f>IF($H6509=0,1,IF($I6509&lt;=1,2,0))</f>
        <v>0</v>
      </c>
      <c r="K6509">
        <v>0</v>
      </c>
      <c r="L6509">
        <f>IF(AND($J6509=0,$K6509=0),0,1)</f>
        <v>0</v>
      </c>
      <c r="M6509" t="s">
        <v>1688</v>
      </c>
    </row>
    <row r="6510" spans="1:13" x14ac:dyDescent="0.2">
      <c r="A6510" t="s">
        <v>580</v>
      </c>
      <c r="B6510" t="s">
        <v>581</v>
      </c>
      <c r="C6510" t="s">
        <v>7</v>
      </c>
      <c r="D6510">
        <v>1001</v>
      </c>
      <c r="E6510">
        <v>2021</v>
      </c>
      <c r="F6510">
        <v>81</v>
      </c>
      <c r="G6510">
        <v>18839</v>
      </c>
      <c r="H6510" s="1">
        <v>1</v>
      </c>
      <c r="I6510">
        <v>23</v>
      </c>
      <c r="J6510">
        <f>IF($H6510=0,1,IF($I6510&lt;=1,2,0))</f>
        <v>0</v>
      </c>
      <c r="K6510">
        <v>0</v>
      </c>
      <c r="L6510">
        <f>IF(AND($J6510=0,$K6510=0),0,1)</f>
        <v>0</v>
      </c>
      <c r="M6510" t="s">
        <v>1696</v>
      </c>
    </row>
    <row r="6511" spans="1:13" x14ac:dyDescent="0.2">
      <c r="A6511" t="s">
        <v>580</v>
      </c>
      <c r="B6511" t="s">
        <v>581</v>
      </c>
      <c r="C6511" t="s">
        <v>7</v>
      </c>
      <c r="D6511">
        <v>1001</v>
      </c>
      <c r="E6511">
        <v>2021</v>
      </c>
      <c r="F6511">
        <v>3</v>
      </c>
      <c r="G6511">
        <v>11243</v>
      </c>
      <c r="H6511" s="1">
        <v>1</v>
      </c>
      <c r="I6511">
        <v>22</v>
      </c>
      <c r="J6511">
        <f>IF($H6511=0,1,IF($I6511&lt;=1,2,0))</f>
        <v>0</v>
      </c>
      <c r="K6511">
        <v>0</v>
      </c>
      <c r="L6511">
        <f>IF(AND($J6511=0,$K6511=0),0,1)</f>
        <v>0</v>
      </c>
      <c r="M6511" t="s">
        <v>1688</v>
      </c>
    </row>
    <row r="6512" spans="1:13" x14ac:dyDescent="0.2">
      <c r="A6512" t="s">
        <v>580</v>
      </c>
      <c r="B6512" t="s">
        <v>581</v>
      </c>
      <c r="C6512" t="s">
        <v>7</v>
      </c>
      <c r="D6512">
        <v>1001</v>
      </c>
      <c r="E6512">
        <v>2021</v>
      </c>
      <c r="F6512">
        <v>5</v>
      </c>
      <c r="G6512">
        <v>11244</v>
      </c>
      <c r="H6512" s="1">
        <v>1</v>
      </c>
      <c r="I6512">
        <v>22</v>
      </c>
      <c r="J6512">
        <f>IF($H6512=0,1,IF($I6512&lt;=1,2,0))</f>
        <v>0</v>
      </c>
      <c r="K6512">
        <v>0</v>
      </c>
      <c r="L6512">
        <f>IF(AND($J6512=0,$K6512=0),0,1)</f>
        <v>0</v>
      </c>
      <c r="M6512" t="s">
        <v>1688</v>
      </c>
    </row>
    <row r="6513" spans="1:13" x14ac:dyDescent="0.2">
      <c r="A6513" t="s">
        <v>580</v>
      </c>
      <c r="B6513" t="s">
        <v>581</v>
      </c>
      <c r="C6513" t="s">
        <v>7</v>
      </c>
      <c r="D6513">
        <v>1001</v>
      </c>
      <c r="E6513">
        <v>2021</v>
      </c>
      <c r="F6513">
        <v>6</v>
      </c>
      <c r="G6513">
        <v>18847</v>
      </c>
      <c r="H6513" s="1">
        <v>1</v>
      </c>
      <c r="I6513">
        <v>22</v>
      </c>
      <c r="J6513">
        <f>IF($H6513=0,1,IF($I6513&lt;=1,2,0))</f>
        <v>0</v>
      </c>
      <c r="K6513">
        <v>0</v>
      </c>
      <c r="L6513">
        <f>IF(AND($J6513=0,$K6513=0),0,1)</f>
        <v>0</v>
      </c>
      <c r="M6513" t="s">
        <v>1688</v>
      </c>
    </row>
    <row r="6514" spans="1:13" x14ac:dyDescent="0.2">
      <c r="A6514" t="s">
        <v>580</v>
      </c>
      <c r="B6514" t="s">
        <v>581</v>
      </c>
      <c r="C6514" t="s">
        <v>7</v>
      </c>
      <c r="D6514">
        <v>1001</v>
      </c>
      <c r="E6514">
        <v>2021</v>
      </c>
      <c r="F6514">
        <v>8</v>
      </c>
      <c r="G6514">
        <v>11238</v>
      </c>
      <c r="H6514" s="1">
        <v>1</v>
      </c>
      <c r="I6514">
        <v>22</v>
      </c>
      <c r="J6514">
        <f>IF($H6514=0,1,IF($I6514&lt;=1,2,0))</f>
        <v>0</v>
      </c>
      <c r="K6514">
        <v>0</v>
      </c>
      <c r="L6514">
        <f>IF(AND($J6514=0,$K6514=0),0,1)</f>
        <v>0</v>
      </c>
      <c r="M6514" t="s">
        <v>1688</v>
      </c>
    </row>
    <row r="6515" spans="1:13" x14ac:dyDescent="0.2">
      <c r="A6515" t="s">
        <v>580</v>
      </c>
      <c r="B6515" t="s">
        <v>581</v>
      </c>
      <c r="C6515" t="s">
        <v>7</v>
      </c>
      <c r="D6515">
        <v>1001</v>
      </c>
      <c r="E6515">
        <v>2021</v>
      </c>
      <c r="F6515">
        <v>20</v>
      </c>
      <c r="G6515">
        <v>18269</v>
      </c>
      <c r="H6515" s="1">
        <v>1</v>
      </c>
      <c r="I6515">
        <v>22</v>
      </c>
      <c r="J6515">
        <f>IF($H6515=0,1,IF($I6515&lt;=1,2,0))</f>
        <v>0</v>
      </c>
      <c r="K6515">
        <v>0</v>
      </c>
      <c r="L6515">
        <f>IF(AND($J6515=0,$K6515=0),0,1)</f>
        <v>0</v>
      </c>
      <c r="M6515" t="s">
        <v>1688</v>
      </c>
    </row>
    <row r="6516" spans="1:13" x14ac:dyDescent="0.2">
      <c r="A6516" t="s">
        <v>580</v>
      </c>
      <c r="B6516" t="s">
        <v>581</v>
      </c>
      <c r="C6516" t="s">
        <v>7</v>
      </c>
      <c r="D6516">
        <v>1001</v>
      </c>
      <c r="E6516">
        <v>2021</v>
      </c>
      <c r="F6516">
        <v>21</v>
      </c>
      <c r="G6516">
        <v>18846</v>
      </c>
      <c r="H6516" s="1">
        <v>1</v>
      </c>
      <c r="I6516">
        <v>22</v>
      </c>
      <c r="J6516">
        <f>IF($H6516=0,1,IF($I6516&lt;=1,2,0))</f>
        <v>0</v>
      </c>
      <c r="K6516">
        <v>0</v>
      </c>
      <c r="L6516">
        <f>IF(AND($J6516=0,$K6516=0),0,1)</f>
        <v>0</v>
      </c>
      <c r="M6516" t="s">
        <v>1688</v>
      </c>
    </row>
    <row r="6517" spans="1:13" x14ac:dyDescent="0.2">
      <c r="A6517" t="s">
        <v>580</v>
      </c>
      <c r="B6517" t="s">
        <v>581</v>
      </c>
      <c r="C6517" t="s">
        <v>7</v>
      </c>
      <c r="D6517">
        <v>1001</v>
      </c>
      <c r="E6517">
        <v>2021</v>
      </c>
      <c r="F6517">
        <v>28</v>
      </c>
      <c r="G6517">
        <v>18279</v>
      </c>
      <c r="H6517" s="1">
        <v>1</v>
      </c>
      <c r="I6517">
        <v>22</v>
      </c>
      <c r="J6517">
        <f>IF($H6517=0,1,IF($I6517&lt;=1,2,0))</f>
        <v>0</v>
      </c>
      <c r="K6517">
        <v>0</v>
      </c>
      <c r="L6517">
        <f>IF(AND($J6517=0,$K6517=0),0,1)</f>
        <v>0</v>
      </c>
      <c r="M6517" t="s">
        <v>1688</v>
      </c>
    </row>
    <row r="6518" spans="1:13" x14ac:dyDescent="0.2">
      <c r="A6518" t="s">
        <v>580</v>
      </c>
      <c r="B6518" t="s">
        <v>581</v>
      </c>
      <c r="C6518" t="s">
        <v>7</v>
      </c>
      <c r="D6518">
        <v>1001</v>
      </c>
      <c r="E6518">
        <v>2021</v>
      </c>
      <c r="F6518">
        <v>34</v>
      </c>
      <c r="G6518">
        <v>18045</v>
      </c>
      <c r="H6518" s="1">
        <v>1</v>
      </c>
      <c r="I6518">
        <v>22</v>
      </c>
      <c r="J6518">
        <f>IF($H6518=0,1,IF($I6518&lt;=1,2,0))</f>
        <v>0</v>
      </c>
      <c r="K6518">
        <v>0</v>
      </c>
      <c r="L6518">
        <f>IF(AND($J6518=0,$K6518=0),0,1)</f>
        <v>0</v>
      </c>
      <c r="M6518" t="s">
        <v>1692</v>
      </c>
    </row>
    <row r="6519" spans="1:13" x14ac:dyDescent="0.2">
      <c r="A6519" t="s">
        <v>580</v>
      </c>
      <c r="B6519" t="s">
        <v>581</v>
      </c>
      <c r="C6519" t="s">
        <v>7</v>
      </c>
      <c r="D6519">
        <v>1001</v>
      </c>
      <c r="E6519">
        <v>2021</v>
      </c>
      <c r="F6519">
        <v>39</v>
      </c>
      <c r="G6519">
        <v>20204</v>
      </c>
      <c r="H6519" s="1">
        <v>1</v>
      </c>
      <c r="I6519">
        <v>22</v>
      </c>
      <c r="J6519">
        <f>IF($H6519=0,1,IF($I6519&lt;=1,2,0))</f>
        <v>0</v>
      </c>
      <c r="K6519">
        <v>0</v>
      </c>
      <c r="L6519">
        <f>IF(AND($J6519=0,$K6519=0),0,1)</f>
        <v>0</v>
      </c>
      <c r="M6519" t="s">
        <v>1688</v>
      </c>
    </row>
    <row r="6520" spans="1:13" x14ac:dyDescent="0.2">
      <c r="A6520" t="s">
        <v>580</v>
      </c>
      <c r="B6520" t="s">
        <v>581</v>
      </c>
      <c r="C6520" t="s">
        <v>7</v>
      </c>
      <c r="D6520">
        <v>1001</v>
      </c>
      <c r="E6520">
        <v>2021</v>
      </c>
      <c r="F6520">
        <v>44</v>
      </c>
      <c r="G6520">
        <v>18046</v>
      </c>
      <c r="H6520" s="1">
        <v>1</v>
      </c>
      <c r="I6520">
        <v>22</v>
      </c>
      <c r="J6520">
        <f>IF($H6520=0,1,IF($I6520&lt;=1,2,0))</f>
        <v>0</v>
      </c>
      <c r="K6520">
        <v>0</v>
      </c>
      <c r="L6520">
        <f>IF(AND($J6520=0,$K6520=0),0,1)</f>
        <v>0</v>
      </c>
      <c r="M6520" t="s">
        <v>1688</v>
      </c>
    </row>
    <row r="6521" spans="1:13" x14ac:dyDescent="0.2">
      <c r="A6521" t="s">
        <v>580</v>
      </c>
      <c r="B6521" t="s">
        <v>581</v>
      </c>
      <c r="C6521" t="s">
        <v>7</v>
      </c>
      <c r="D6521">
        <v>1001</v>
      </c>
      <c r="E6521">
        <v>2021</v>
      </c>
      <c r="F6521">
        <v>57</v>
      </c>
      <c r="G6521">
        <v>18267</v>
      </c>
      <c r="H6521" s="1">
        <v>1</v>
      </c>
      <c r="I6521">
        <v>22</v>
      </c>
      <c r="J6521">
        <f>IF($H6521=0,1,IF($I6521&lt;=1,2,0))</f>
        <v>0</v>
      </c>
      <c r="K6521">
        <v>0</v>
      </c>
      <c r="L6521">
        <f>IF(AND($J6521=0,$K6521=0),0,1)</f>
        <v>0</v>
      </c>
      <c r="M6521" t="s">
        <v>1688</v>
      </c>
    </row>
    <row r="6522" spans="1:13" x14ac:dyDescent="0.2">
      <c r="A6522" t="s">
        <v>580</v>
      </c>
      <c r="B6522" t="s">
        <v>581</v>
      </c>
      <c r="C6522" t="s">
        <v>7</v>
      </c>
      <c r="D6522">
        <v>1001</v>
      </c>
      <c r="E6522">
        <v>2021</v>
      </c>
      <c r="F6522">
        <v>64</v>
      </c>
      <c r="G6522">
        <v>18457</v>
      </c>
      <c r="H6522" s="1">
        <v>1</v>
      </c>
      <c r="I6522">
        <v>22</v>
      </c>
      <c r="J6522">
        <f>IF($H6522=0,1,IF($I6522&lt;=1,2,0))</f>
        <v>0</v>
      </c>
      <c r="K6522">
        <v>0</v>
      </c>
      <c r="L6522">
        <f>IF(AND($J6522=0,$K6522=0),0,1)</f>
        <v>0</v>
      </c>
      <c r="M6522" t="s">
        <v>1688</v>
      </c>
    </row>
    <row r="6523" spans="1:13" x14ac:dyDescent="0.2">
      <c r="A6523" t="s">
        <v>580</v>
      </c>
      <c r="B6523" t="s">
        <v>581</v>
      </c>
      <c r="C6523" t="s">
        <v>7</v>
      </c>
      <c r="D6523">
        <v>1001</v>
      </c>
      <c r="E6523">
        <v>2021</v>
      </c>
      <c r="F6523">
        <v>19</v>
      </c>
      <c r="G6523">
        <v>18043</v>
      </c>
      <c r="H6523" s="1">
        <v>1</v>
      </c>
      <c r="I6523">
        <v>21</v>
      </c>
      <c r="J6523">
        <f>IF($H6523=0,1,IF($I6523&lt;=1,2,0))</f>
        <v>0</v>
      </c>
      <c r="K6523">
        <v>0</v>
      </c>
      <c r="L6523">
        <f>IF(AND($J6523=0,$K6523=0),0,1)</f>
        <v>0</v>
      </c>
      <c r="M6523" t="s">
        <v>1689</v>
      </c>
    </row>
    <row r="6524" spans="1:13" x14ac:dyDescent="0.2">
      <c r="A6524" t="s">
        <v>580</v>
      </c>
      <c r="B6524" t="s">
        <v>581</v>
      </c>
      <c r="C6524" t="s">
        <v>7</v>
      </c>
      <c r="D6524">
        <v>1001</v>
      </c>
      <c r="E6524">
        <v>2021</v>
      </c>
      <c r="F6524">
        <v>35</v>
      </c>
      <c r="G6524">
        <v>18454</v>
      </c>
      <c r="H6524" s="1">
        <v>1</v>
      </c>
      <c r="I6524">
        <v>21</v>
      </c>
      <c r="J6524">
        <f>IF($H6524=0,1,IF($I6524&lt;=1,2,0))</f>
        <v>0</v>
      </c>
      <c r="K6524">
        <v>0</v>
      </c>
      <c r="L6524">
        <f>IF(AND($J6524=0,$K6524=0),0,1)</f>
        <v>0</v>
      </c>
      <c r="M6524" t="s">
        <v>1688</v>
      </c>
    </row>
    <row r="6525" spans="1:13" x14ac:dyDescent="0.2">
      <c r="A6525" t="s">
        <v>580</v>
      </c>
      <c r="B6525" t="s">
        <v>581</v>
      </c>
      <c r="C6525" t="s">
        <v>7</v>
      </c>
      <c r="D6525">
        <v>1001</v>
      </c>
      <c r="E6525">
        <v>2021</v>
      </c>
      <c r="F6525">
        <v>49</v>
      </c>
      <c r="G6525">
        <v>13441</v>
      </c>
      <c r="H6525" s="1">
        <v>1</v>
      </c>
      <c r="I6525">
        <v>20</v>
      </c>
      <c r="J6525">
        <f>IF($H6525=0,1,IF($I6525&lt;=1,2,0))</f>
        <v>0</v>
      </c>
      <c r="K6525">
        <v>0</v>
      </c>
      <c r="L6525">
        <f>IF(AND($J6525=0,$K6525=0),0,1)</f>
        <v>0</v>
      </c>
      <c r="M6525" t="s">
        <v>1688</v>
      </c>
    </row>
    <row r="6526" spans="1:13" x14ac:dyDescent="0.2">
      <c r="A6526" t="s">
        <v>580</v>
      </c>
      <c r="B6526" t="s">
        <v>581</v>
      </c>
      <c r="C6526" t="s">
        <v>7</v>
      </c>
      <c r="D6526">
        <v>1001</v>
      </c>
      <c r="E6526">
        <v>2021</v>
      </c>
      <c r="F6526">
        <v>83</v>
      </c>
      <c r="G6526">
        <v>18841</v>
      </c>
      <c r="H6526" s="1">
        <v>1</v>
      </c>
      <c r="I6526">
        <v>20</v>
      </c>
      <c r="J6526">
        <f>IF($H6526=0,1,IF($I6526&lt;=1,2,0))</f>
        <v>0</v>
      </c>
      <c r="K6526">
        <v>0</v>
      </c>
      <c r="L6526">
        <f>IF(AND($J6526=0,$K6526=0),0,1)</f>
        <v>0</v>
      </c>
      <c r="M6526" t="s">
        <v>1697</v>
      </c>
    </row>
    <row r="6527" spans="1:13" x14ac:dyDescent="0.2">
      <c r="A6527" t="s">
        <v>580</v>
      </c>
      <c r="B6527" t="s">
        <v>581</v>
      </c>
      <c r="C6527" t="s">
        <v>7</v>
      </c>
      <c r="D6527">
        <v>1001</v>
      </c>
      <c r="E6527">
        <v>2021</v>
      </c>
      <c r="F6527">
        <v>15</v>
      </c>
      <c r="G6527">
        <v>18297</v>
      </c>
      <c r="H6527" s="1">
        <v>1</v>
      </c>
      <c r="I6527">
        <v>19</v>
      </c>
      <c r="J6527">
        <f>IF($H6527=0,1,IF($I6527&lt;=1,2,0))</f>
        <v>0</v>
      </c>
      <c r="K6527">
        <v>0</v>
      </c>
      <c r="L6527">
        <f>IF(AND($J6527=0,$K6527=0),0,1)</f>
        <v>0</v>
      </c>
      <c r="M6527" t="s">
        <v>1688</v>
      </c>
    </row>
    <row r="6528" spans="1:13" x14ac:dyDescent="0.2">
      <c r="A6528" t="s">
        <v>580</v>
      </c>
      <c r="B6528" t="s">
        <v>581</v>
      </c>
      <c r="C6528" t="s">
        <v>7</v>
      </c>
      <c r="D6528">
        <v>1001</v>
      </c>
      <c r="E6528">
        <v>2021</v>
      </c>
      <c r="F6528">
        <v>42</v>
      </c>
      <c r="G6528">
        <v>11241</v>
      </c>
      <c r="H6528" s="1">
        <v>1</v>
      </c>
      <c r="I6528">
        <v>19</v>
      </c>
      <c r="J6528">
        <f>IF($H6528=0,1,IF($I6528&lt;=1,2,0))</f>
        <v>0</v>
      </c>
      <c r="K6528">
        <v>0</v>
      </c>
      <c r="L6528">
        <f>IF(AND($J6528=0,$K6528=0),0,1)</f>
        <v>0</v>
      </c>
      <c r="M6528" t="s">
        <v>1688</v>
      </c>
    </row>
    <row r="6529" spans="1:13" x14ac:dyDescent="0.2">
      <c r="A6529" t="s">
        <v>580</v>
      </c>
      <c r="B6529" t="s">
        <v>581</v>
      </c>
      <c r="C6529" t="s">
        <v>7</v>
      </c>
      <c r="D6529">
        <v>1001</v>
      </c>
      <c r="E6529">
        <v>2021</v>
      </c>
      <c r="F6529">
        <v>54</v>
      </c>
      <c r="G6529">
        <v>18271</v>
      </c>
      <c r="H6529" s="1">
        <v>1</v>
      </c>
      <c r="I6529">
        <v>19</v>
      </c>
      <c r="J6529">
        <f>IF($H6529=0,1,IF($I6529&lt;=1,2,0))</f>
        <v>0</v>
      </c>
      <c r="K6529">
        <v>0</v>
      </c>
      <c r="L6529">
        <f>IF(AND($J6529=0,$K6529=0),0,1)</f>
        <v>0</v>
      </c>
      <c r="M6529" t="s">
        <v>1688</v>
      </c>
    </row>
    <row r="6530" spans="1:13" x14ac:dyDescent="0.2">
      <c r="A6530" t="s">
        <v>580</v>
      </c>
      <c r="B6530" t="s">
        <v>581</v>
      </c>
      <c r="C6530" t="s">
        <v>7</v>
      </c>
      <c r="D6530">
        <v>1001</v>
      </c>
      <c r="E6530">
        <v>2021</v>
      </c>
      <c r="F6530">
        <v>1</v>
      </c>
      <c r="G6530">
        <v>18000</v>
      </c>
      <c r="H6530" s="1">
        <v>1</v>
      </c>
      <c r="I6530">
        <v>18</v>
      </c>
      <c r="J6530">
        <f>IF($H6530=0,1,IF($I6530&lt;=1,2,0))</f>
        <v>0</v>
      </c>
      <c r="K6530">
        <v>0</v>
      </c>
      <c r="L6530">
        <f>IF(AND($J6530=0,$K6530=0),0,1)</f>
        <v>0</v>
      </c>
      <c r="M6530" t="s">
        <v>1688</v>
      </c>
    </row>
    <row r="6531" spans="1:13" x14ac:dyDescent="0.2">
      <c r="A6531" t="s">
        <v>580</v>
      </c>
      <c r="B6531" t="s">
        <v>581</v>
      </c>
      <c r="C6531" t="s">
        <v>7</v>
      </c>
      <c r="D6531">
        <v>1001</v>
      </c>
      <c r="E6531">
        <v>2021</v>
      </c>
      <c r="F6531">
        <v>2</v>
      </c>
      <c r="G6531">
        <v>11242</v>
      </c>
      <c r="H6531" s="1">
        <v>1</v>
      </c>
      <c r="I6531">
        <v>18</v>
      </c>
      <c r="J6531">
        <f>IF($H6531=0,1,IF($I6531&lt;=1,2,0))</f>
        <v>0</v>
      </c>
      <c r="K6531">
        <v>0</v>
      </c>
      <c r="L6531">
        <f>IF(AND($J6531=0,$K6531=0),0,1)</f>
        <v>0</v>
      </c>
      <c r="M6531" t="s">
        <v>1688</v>
      </c>
    </row>
    <row r="6532" spans="1:13" x14ac:dyDescent="0.2">
      <c r="A6532" t="s">
        <v>580</v>
      </c>
      <c r="B6532" t="s">
        <v>581</v>
      </c>
      <c r="C6532" t="s">
        <v>7</v>
      </c>
      <c r="D6532">
        <v>1001</v>
      </c>
      <c r="E6532">
        <v>2021</v>
      </c>
      <c r="F6532">
        <v>7</v>
      </c>
      <c r="G6532">
        <v>20114</v>
      </c>
      <c r="H6532" s="1">
        <v>1</v>
      </c>
      <c r="I6532">
        <v>18</v>
      </c>
      <c r="J6532">
        <f>IF($H6532=0,1,IF($I6532&lt;=1,2,0))</f>
        <v>0</v>
      </c>
      <c r="K6532">
        <v>0</v>
      </c>
      <c r="L6532">
        <f>IF(AND($J6532=0,$K6532=0),0,1)</f>
        <v>0</v>
      </c>
      <c r="M6532" t="s">
        <v>1688</v>
      </c>
    </row>
    <row r="6533" spans="1:13" x14ac:dyDescent="0.2">
      <c r="A6533" t="s">
        <v>580</v>
      </c>
      <c r="B6533" t="s">
        <v>581</v>
      </c>
      <c r="C6533" t="s">
        <v>7</v>
      </c>
      <c r="D6533">
        <v>1001</v>
      </c>
      <c r="E6533">
        <v>2021</v>
      </c>
      <c r="F6533">
        <v>17</v>
      </c>
      <c r="G6533">
        <v>18547</v>
      </c>
      <c r="H6533" s="1">
        <v>1</v>
      </c>
      <c r="I6533">
        <v>18</v>
      </c>
      <c r="J6533">
        <f>IF($H6533=0,1,IF($I6533&lt;=1,2,0))</f>
        <v>0</v>
      </c>
      <c r="K6533">
        <v>0</v>
      </c>
      <c r="L6533">
        <f>IF(AND($J6533=0,$K6533=0),0,1)</f>
        <v>0</v>
      </c>
      <c r="M6533" t="s">
        <v>1688</v>
      </c>
    </row>
    <row r="6534" spans="1:13" x14ac:dyDescent="0.2">
      <c r="A6534" t="s">
        <v>580</v>
      </c>
      <c r="B6534" t="s">
        <v>581</v>
      </c>
      <c r="C6534" t="s">
        <v>7</v>
      </c>
      <c r="D6534">
        <v>1001</v>
      </c>
      <c r="E6534">
        <v>2021</v>
      </c>
      <c r="F6534">
        <v>22</v>
      </c>
      <c r="G6534">
        <v>11246</v>
      </c>
      <c r="H6534" s="1">
        <v>1</v>
      </c>
      <c r="I6534">
        <v>18</v>
      </c>
      <c r="J6534">
        <f>IF($H6534=0,1,IF($I6534&lt;=1,2,0))</f>
        <v>0</v>
      </c>
      <c r="K6534">
        <v>0</v>
      </c>
      <c r="L6534">
        <f>IF(AND($J6534=0,$K6534=0),0,1)</f>
        <v>0</v>
      </c>
      <c r="M6534" t="s">
        <v>1690</v>
      </c>
    </row>
    <row r="6535" spans="1:13" x14ac:dyDescent="0.2">
      <c r="A6535" t="s">
        <v>580</v>
      </c>
      <c r="B6535" t="s">
        <v>581</v>
      </c>
      <c r="C6535" t="s">
        <v>7</v>
      </c>
      <c r="D6535">
        <v>1001</v>
      </c>
      <c r="E6535">
        <v>2021</v>
      </c>
      <c r="F6535">
        <v>24</v>
      </c>
      <c r="G6535">
        <v>18688</v>
      </c>
      <c r="H6535" s="1">
        <v>1</v>
      </c>
      <c r="I6535">
        <v>18</v>
      </c>
      <c r="J6535">
        <f>IF($H6535=0,1,IF($I6535&lt;=1,2,0))</f>
        <v>0</v>
      </c>
      <c r="K6535">
        <v>0</v>
      </c>
      <c r="L6535">
        <f>IF(AND($J6535=0,$K6535=0),0,1)</f>
        <v>0</v>
      </c>
      <c r="M6535" t="s">
        <v>1688</v>
      </c>
    </row>
    <row r="6536" spans="1:13" x14ac:dyDescent="0.2">
      <c r="A6536" t="s">
        <v>580</v>
      </c>
      <c r="B6536" t="s">
        <v>581</v>
      </c>
      <c r="C6536" t="s">
        <v>7</v>
      </c>
      <c r="D6536">
        <v>1001</v>
      </c>
      <c r="E6536">
        <v>2021</v>
      </c>
      <c r="F6536">
        <v>41</v>
      </c>
      <c r="G6536">
        <v>18845</v>
      </c>
      <c r="H6536" s="1">
        <v>1</v>
      </c>
      <c r="I6536">
        <v>18</v>
      </c>
      <c r="J6536">
        <f>IF($H6536=0,1,IF($I6536&lt;=1,2,0))</f>
        <v>0</v>
      </c>
      <c r="K6536">
        <v>0</v>
      </c>
      <c r="L6536">
        <f>IF(AND($J6536=0,$K6536=0),0,1)</f>
        <v>0</v>
      </c>
      <c r="M6536" t="s">
        <v>1688</v>
      </c>
    </row>
    <row r="6537" spans="1:13" x14ac:dyDescent="0.2">
      <c r="A6537" t="s">
        <v>580</v>
      </c>
      <c r="B6537" t="s">
        <v>581</v>
      </c>
      <c r="C6537" t="s">
        <v>7</v>
      </c>
      <c r="D6537">
        <v>1001</v>
      </c>
      <c r="E6537">
        <v>2021</v>
      </c>
      <c r="F6537">
        <v>48</v>
      </c>
      <c r="G6537">
        <v>13440</v>
      </c>
      <c r="H6537" s="1">
        <v>1</v>
      </c>
      <c r="I6537">
        <v>18</v>
      </c>
      <c r="J6537">
        <f>IF($H6537=0,1,IF($I6537&lt;=1,2,0))</f>
        <v>0</v>
      </c>
      <c r="K6537">
        <v>0</v>
      </c>
      <c r="L6537">
        <f>IF(AND($J6537=0,$K6537=0),0,1)</f>
        <v>0</v>
      </c>
      <c r="M6537" t="s">
        <v>1688</v>
      </c>
    </row>
    <row r="6538" spans="1:13" x14ac:dyDescent="0.2">
      <c r="A6538" t="s">
        <v>580</v>
      </c>
      <c r="B6538" t="s">
        <v>581</v>
      </c>
      <c r="C6538" t="s">
        <v>7</v>
      </c>
      <c r="D6538">
        <v>1001</v>
      </c>
      <c r="E6538">
        <v>2021</v>
      </c>
      <c r="F6538">
        <v>51</v>
      </c>
      <c r="G6538">
        <v>18379</v>
      </c>
      <c r="H6538" s="1">
        <v>1</v>
      </c>
      <c r="I6538">
        <v>18</v>
      </c>
      <c r="J6538">
        <f>IF($H6538=0,1,IF($I6538&lt;=1,2,0))</f>
        <v>0</v>
      </c>
      <c r="K6538">
        <v>0</v>
      </c>
      <c r="L6538">
        <f>IF(AND($J6538=0,$K6538=0),0,1)</f>
        <v>0</v>
      </c>
      <c r="M6538" t="s">
        <v>1688</v>
      </c>
    </row>
    <row r="6539" spans="1:13" x14ac:dyDescent="0.2">
      <c r="A6539" t="s">
        <v>580</v>
      </c>
      <c r="B6539" t="s">
        <v>581</v>
      </c>
      <c r="C6539" t="s">
        <v>7</v>
      </c>
      <c r="D6539">
        <v>1001</v>
      </c>
      <c r="E6539">
        <v>2021</v>
      </c>
      <c r="F6539">
        <v>26</v>
      </c>
      <c r="G6539">
        <v>18268</v>
      </c>
      <c r="H6539" s="1">
        <v>1</v>
      </c>
      <c r="I6539">
        <v>17</v>
      </c>
      <c r="J6539">
        <f>IF($H6539=0,1,IF($I6539&lt;=1,2,0))</f>
        <v>0</v>
      </c>
      <c r="K6539">
        <v>0</v>
      </c>
      <c r="L6539">
        <f>IF(AND($J6539=0,$K6539=0),0,1)</f>
        <v>0</v>
      </c>
      <c r="M6539" t="s">
        <v>1688</v>
      </c>
    </row>
    <row r="6540" spans="1:13" x14ac:dyDescent="0.2">
      <c r="A6540" t="s">
        <v>580</v>
      </c>
      <c r="B6540" t="s">
        <v>581</v>
      </c>
      <c r="C6540" t="s">
        <v>7</v>
      </c>
      <c r="D6540">
        <v>1001</v>
      </c>
      <c r="E6540">
        <v>2021</v>
      </c>
      <c r="F6540">
        <v>45</v>
      </c>
      <c r="G6540">
        <v>18446</v>
      </c>
      <c r="H6540" s="1">
        <v>1</v>
      </c>
      <c r="I6540">
        <v>16</v>
      </c>
      <c r="J6540">
        <f>IF($H6540=0,1,IF($I6540&lt;=1,2,0))</f>
        <v>0</v>
      </c>
      <c r="K6540">
        <v>0</v>
      </c>
      <c r="L6540">
        <f>IF(AND($J6540=0,$K6540=0),0,1)</f>
        <v>0</v>
      </c>
      <c r="M6540" t="s">
        <v>1693</v>
      </c>
    </row>
    <row r="6541" spans="1:13" x14ac:dyDescent="0.2">
      <c r="A6541" t="s">
        <v>580</v>
      </c>
      <c r="B6541" t="s">
        <v>581</v>
      </c>
      <c r="C6541" t="s">
        <v>7</v>
      </c>
      <c r="D6541">
        <v>1001</v>
      </c>
      <c r="E6541">
        <v>2021</v>
      </c>
      <c r="F6541">
        <v>53</v>
      </c>
      <c r="G6541">
        <v>17906</v>
      </c>
      <c r="H6541" s="1">
        <v>1</v>
      </c>
      <c r="I6541">
        <v>16</v>
      </c>
      <c r="J6541">
        <f>IF($H6541=0,1,IF($I6541&lt;=1,2,0))</f>
        <v>0</v>
      </c>
      <c r="K6541">
        <v>0</v>
      </c>
      <c r="L6541">
        <f>IF(AND($J6541=0,$K6541=0),0,1)</f>
        <v>0</v>
      </c>
      <c r="M6541" t="s">
        <v>1688</v>
      </c>
    </row>
    <row r="6542" spans="1:13" x14ac:dyDescent="0.2">
      <c r="A6542" t="s">
        <v>580</v>
      </c>
      <c r="B6542" t="s">
        <v>581</v>
      </c>
      <c r="C6542" t="s">
        <v>7</v>
      </c>
      <c r="D6542">
        <v>1001</v>
      </c>
      <c r="E6542">
        <v>2021</v>
      </c>
      <c r="F6542">
        <v>56</v>
      </c>
      <c r="G6542">
        <v>18849</v>
      </c>
      <c r="H6542" s="1">
        <v>1</v>
      </c>
      <c r="I6542">
        <v>16</v>
      </c>
      <c r="J6542">
        <f>IF($H6542=0,1,IF($I6542&lt;=1,2,0))</f>
        <v>0</v>
      </c>
      <c r="K6542">
        <v>0</v>
      </c>
      <c r="L6542">
        <f>IF(AND($J6542=0,$K6542=0),0,1)</f>
        <v>0</v>
      </c>
      <c r="M6542" t="s">
        <v>1688</v>
      </c>
    </row>
    <row r="6543" spans="1:13" x14ac:dyDescent="0.2">
      <c r="A6543" t="s">
        <v>580</v>
      </c>
      <c r="B6543" t="s">
        <v>581</v>
      </c>
      <c r="C6543" t="s">
        <v>7</v>
      </c>
      <c r="D6543">
        <v>1001</v>
      </c>
      <c r="E6543">
        <v>2021</v>
      </c>
      <c r="F6543">
        <v>67</v>
      </c>
      <c r="G6543">
        <v>18843</v>
      </c>
      <c r="H6543" s="1">
        <v>1</v>
      </c>
      <c r="I6543">
        <v>16</v>
      </c>
      <c r="J6543">
        <f>IF($H6543=0,1,IF($I6543&lt;=1,2,0))</f>
        <v>0</v>
      </c>
      <c r="K6543">
        <v>0</v>
      </c>
      <c r="L6543">
        <f>IF(AND($J6543=0,$K6543=0),0,1)</f>
        <v>0</v>
      </c>
      <c r="M6543" t="s">
        <v>1688</v>
      </c>
    </row>
    <row r="6544" spans="1:13" x14ac:dyDescent="0.2">
      <c r="A6544" t="s">
        <v>580</v>
      </c>
      <c r="B6544" t="s">
        <v>581</v>
      </c>
      <c r="C6544" t="s">
        <v>7</v>
      </c>
      <c r="D6544">
        <v>1001</v>
      </c>
      <c r="E6544">
        <v>2021</v>
      </c>
      <c r="F6544">
        <v>9</v>
      </c>
      <c r="G6544">
        <v>12905</v>
      </c>
      <c r="H6544" s="1">
        <v>1</v>
      </c>
      <c r="I6544">
        <v>14</v>
      </c>
      <c r="J6544">
        <f>IF($H6544=0,1,IF($I6544&lt;=1,2,0))</f>
        <v>0</v>
      </c>
      <c r="K6544">
        <v>0</v>
      </c>
      <c r="L6544">
        <f>IF(AND($J6544=0,$K6544=0),0,1)</f>
        <v>0</v>
      </c>
      <c r="M6544" t="s">
        <v>1688</v>
      </c>
    </row>
    <row r="6545" spans="1:13" x14ac:dyDescent="0.2">
      <c r="A6545" t="s">
        <v>580</v>
      </c>
      <c r="B6545" t="s">
        <v>581</v>
      </c>
      <c r="C6545" t="s">
        <v>7</v>
      </c>
      <c r="D6545">
        <v>1001</v>
      </c>
      <c r="E6545">
        <v>2021</v>
      </c>
      <c r="F6545">
        <v>74</v>
      </c>
      <c r="G6545">
        <v>20133</v>
      </c>
      <c r="H6545" s="1">
        <v>1</v>
      </c>
      <c r="I6545">
        <v>14</v>
      </c>
      <c r="J6545">
        <f>IF($H6545=0,1,IF($I6545&lt;=1,2,0))</f>
        <v>0</v>
      </c>
      <c r="K6545">
        <v>0</v>
      </c>
      <c r="L6545">
        <f>IF(AND($J6545=0,$K6545=0),0,1)</f>
        <v>0</v>
      </c>
      <c r="M6545" t="s">
        <v>1688</v>
      </c>
    </row>
    <row r="6546" spans="1:13" x14ac:dyDescent="0.2">
      <c r="A6546" t="s">
        <v>580</v>
      </c>
      <c r="B6546" t="s">
        <v>581</v>
      </c>
      <c r="C6546" t="s">
        <v>7</v>
      </c>
      <c r="D6546">
        <v>1001</v>
      </c>
      <c r="E6546">
        <v>2021</v>
      </c>
      <c r="F6546">
        <v>40</v>
      </c>
      <c r="G6546">
        <v>17984</v>
      </c>
      <c r="H6546" s="1">
        <v>1</v>
      </c>
      <c r="I6546">
        <v>13</v>
      </c>
      <c r="J6546">
        <f>IF($H6546=0,1,IF($I6546&lt;=1,2,0))</f>
        <v>0</v>
      </c>
      <c r="K6546">
        <v>0</v>
      </c>
      <c r="L6546">
        <f>IF(AND($J6546=0,$K6546=0),0,1)</f>
        <v>0</v>
      </c>
      <c r="M6546" t="s">
        <v>1688</v>
      </c>
    </row>
    <row r="6547" spans="1:13" x14ac:dyDescent="0.2">
      <c r="A6547" t="s">
        <v>580</v>
      </c>
      <c r="B6547" t="s">
        <v>581</v>
      </c>
      <c r="C6547" t="s">
        <v>7</v>
      </c>
      <c r="D6547">
        <v>1001</v>
      </c>
      <c r="E6547">
        <v>2021</v>
      </c>
      <c r="F6547">
        <v>4</v>
      </c>
      <c r="G6547">
        <v>19001</v>
      </c>
      <c r="H6547" s="1">
        <v>1</v>
      </c>
      <c r="I6547">
        <v>11</v>
      </c>
      <c r="J6547">
        <f>IF($H6547=0,1,IF($I6547&lt;=1,2,0))</f>
        <v>0</v>
      </c>
      <c r="K6547">
        <v>0</v>
      </c>
      <c r="L6547">
        <f>IF(AND($J6547=0,$K6547=0),0,1)</f>
        <v>0</v>
      </c>
      <c r="M6547" t="s">
        <v>1688</v>
      </c>
    </row>
    <row r="6548" spans="1:13" x14ac:dyDescent="0.2">
      <c r="A6548" t="s">
        <v>580</v>
      </c>
      <c r="B6548" t="s">
        <v>581</v>
      </c>
      <c r="C6548" t="s">
        <v>7</v>
      </c>
      <c r="D6548">
        <v>1001</v>
      </c>
      <c r="E6548">
        <v>2021</v>
      </c>
      <c r="F6548">
        <v>37</v>
      </c>
      <c r="G6548">
        <v>11240</v>
      </c>
      <c r="H6548" s="1">
        <v>1</v>
      </c>
      <c r="I6548">
        <v>11</v>
      </c>
      <c r="J6548">
        <f>IF($H6548=0,1,IF($I6548&lt;=1,2,0))</f>
        <v>0</v>
      </c>
      <c r="K6548">
        <v>0</v>
      </c>
      <c r="L6548">
        <f>IF(AND($J6548=0,$K6548=0),0,1)</f>
        <v>0</v>
      </c>
    </row>
    <row r="6549" spans="1:13" x14ac:dyDescent="0.2">
      <c r="A6549" t="s">
        <v>580</v>
      </c>
      <c r="B6549" t="s">
        <v>581</v>
      </c>
      <c r="C6549" t="s">
        <v>7</v>
      </c>
      <c r="D6549">
        <v>1001</v>
      </c>
      <c r="E6549">
        <v>2021</v>
      </c>
      <c r="F6549">
        <v>43</v>
      </c>
      <c r="G6549">
        <v>18548</v>
      </c>
      <c r="H6549" s="1">
        <v>1</v>
      </c>
      <c r="I6549">
        <v>11</v>
      </c>
      <c r="J6549">
        <f>IF($H6549=0,1,IF($I6549&lt;=1,2,0))</f>
        <v>0</v>
      </c>
      <c r="K6549">
        <v>0</v>
      </c>
      <c r="L6549">
        <f>IF(AND($J6549=0,$K6549=0),0,1)</f>
        <v>0</v>
      </c>
      <c r="M6549" t="s">
        <v>1688</v>
      </c>
    </row>
    <row r="6550" spans="1:13" x14ac:dyDescent="0.2">
      <c r="A6550" t="s">
        <v>580</v>
      </c>
      <c r="B6550" t="s">
        <v>581</v>
      </c>
      <c r="C6550" t="s">
        <v>7</v>
      </c>
      <c r="D6550">
        <v>1001</v>
      </c>
      <c r="E6550">
        <v>2021</v>
      </c>
      <c r="F6550">
        <v>79</v>
      </c>
      <c r="G6550">
        <v>18461</v>
      </c>
      <c r="H6550" s="1">
        <v>1</v>
      </c>
      <c r="I6550">
        <v>9</v>
      </c>
      <c r="J6550">
        <f>IF($H6550=0,1,IF($I6550&lt;=1,2,0))</f>
        <v>0</v>
      </c>
      <c r="K6550">
        <v>0</v>
      </c>
      <c r="L6550">
        <f>IF(AND($J6550=0,$K6550=0),0,1)</f>
        <v>0</v>
      </c>
      <c r="M6550" t="s">
        <v>1694</v>
      </c>
    </row>
    <row r="6551" spans="1:13" x14ac:dyDescent="0.2">
      <c r="A6551" t="s">
        <v>580</v>
      </c>
      <c r="B6551" t="s">
        <v>581</v>
      </c>
      <c r="C6551" t="s">
        <v>7</v>
      </c>
      <c r="D6551">
        <v>1001</v>
      </c>
      <c r="E6551">
        <v>2021</v>
      </c>
      <c r="F6551">
        <v>68</v>
      </c>
      <c r="G6551">
        <v>18445</v>
      </c>
      <c r="H6551" s="1">
        <v>1</v>
      </c>
      <c r="I6551">
        <v>7</v>
      </c>
      <c r="J6551">
        <f>IF($H6551=0,1,IF($I6551&lt;=1,2,0))</f>
        <v>0</v>
      </c>
      <c r="K6551">
        <v>0</v>
      </c>
      <c r="L6551">
        <f>IF(AND($J6551=0,$K6551=0),0,1)</f>
        <v>0</v>
      </c>
      <c r="M6551" t="s">
        <v>1688</v>
      </c>
    </row>
    <row r="6552" spans="1:13" x14ac:dyDescent="0.2">
      <c r="A6552" t="s">
        <v>580</v>
      </c>
      <c r="B6552" t="s">
        <v>581</v>
      </c>
      <c r="C6552" t="s">
        <v>7</v>
      </c>
      <c r="D6552">
        <v>1005</v>
      </c>
      <c r="E6552">
        <v>2021</v>
      </c>
      <c r="F6552">
        <v>16</v>
      </c>
      <c r="G6552">
        <v>10079</v>
      </c>
      <c r="H6552" s="1" t="s">
        <v>1831</v>
      </c>
      <c r="I6552">
        <v>38</v>
      </c>
      <c r="J6552">
        <f>IF($H6552=0,1,IF($I6552&lt;=1,2,0))</f>
        <v>0</v>
      </c>
      <c r="K6552">
        <v>0</v>
      </c>
      <c r="L6552">
        <f>IF(AND($J6552=0,$K6552=0),0,1)</f>
        <v>0</v>
      </c>
      <c r="M6552" t="s">
        <v>1165</v>
      </c>
    </row>
    <row r="6553" spans="1:13" x14ac:dyDescent="0.2">
      <c r="A6553" t="s">
        <v>580</v>
      </c>
      <c r="B6553" t="s">
        <v>581</v>
      </c>
      <c r="C6553" t="s">
        <v>7</v>
      </c>
      <c r="D6553">
        <v>1005</v>
      </c>
      <c r="E6553">
        <v>2021</v>
      </c>
      <c r="F6553">
        <v>21</v>
      </c>
      <c r="G6553">
        <v>10083</v>
      </c>
      <c r="H6553" s="1" t="s">
        <v>1831</v>
      </c>
      <c r="I6553">
        <v>25</v>
      </c>
      <c r="J6553">
        <f>IF($H6553=0,1,IF($I6553&lt;=1,2,0))</f>
        <v>0</v>
      </c>
      <c r="K6553">
        <v>0</v>
      </c>
      <c r="L6553">
        <f>IF(AND($J6553=0,$K6553=0),0,1)</f>
        <v>0</v>
      </c>
      <c r="M6553" t="s">
        <v>1165</v>
      </c>
    </row>
    <row r="6554" spans="1:13" x14ac:dyDescent="0.2">
      <c r="A6554" t="s">
        <v>580</v>
      </c>
      <c r="B6554" t="s">
        <v>581</v>
      </c>
      <c r="C6554" t="s">
        <v>7</v>
      </c>
      <c r="D6554">
        <v>1005</v>
      </c>
      <c r="E6554">
        <v>2021</v>
      </c>
      <c r="F6554">
        <v>25</v>
      </c>
      <c r="G6554">
        <v>10086</v>
      </c>
      <c r="H6554" s="1" t="s">
        <v>1831</v>
      </c>
      <c r="I6554">
        <v>23</v>
      </c>
      <c r="J6554">
        <f>IF($H6554=0,1,IF($I6554&lt;=1,2,0))</f>
        <v>0</v>
      </c>
      <c r="K6554">
        <v>0</v>
      </c>
      <c r="L6554">
        <f>IF(AND($J6554=0,$K6554=0),0,1)</f>
        <v>0</v>
      </c>
      <c r="M6554" t="s">
        <v>1165</v>
      </c>
    </row>
    <row r="6555" spans="1:13" x14ac:dyDescent="0.2">
      <c r="A6555" t="s">
        <v>580</v>
      </c>
      <c r="B6555" t="s">
        <v>581</v>
      </c>
      <c r="C6555" t="s">
        <v>7</v>
      </c>
      <c r="D6555">
        <v>1005</v>
      </c>
      <c r="E6555">
        <v>2021</v>
      </c>
      <c r="F6555">
        <v>30</v>
      </c>
      <c r="G6555">
        <v>10090</v>
      </c>
      <c r="H6555" s="1" t="s">
        <v>1831</v>
      </c>
      <c r="I6555">
        <v>22</v>
      </c>
      <c r="J6555">
        <f>IF($H6555=0,1,IF($I6555&lt;=1,2,0))</f>
        <v>0</v>
      </c>
      <c r="K6555">
        <v>0</v>
      </c>
      <c r="L6555">
        <f>IF(AND($J6555=0,$K6555=0),0,1)</f>
        <v>0</v>
      </c>
      <c r="M6555" t="s">
        <v>1165</v>
      </c>
    </row>
    <row r="6556" spans="1:13" x14ac:dyDescent="0.2">
      <c r="A6556" t="s">
        <v>580</v>
      </c>
      <c r="B6556" t="s">
        <v>581</v>
      </c>
      <c r="C6556" t="s">
        <v>7</v>
      </c>
      <c r="D6556">
        <v>1005</v>
      </c>
      <c r="E6556">
        <v>2021</v>
      </c>
      <c r="F6556">
        <v>20</v>
      </c>
      <c r="G6556">
        <v>10082</v>
      </c>
      <c r="H6556" s="1" t="s">
        <v>1831</v>
      </c>
      <c r="I6556">
        <v>18</v>
      </c>
      <c r="J6556">
        <f>IF($H6556=0,1,IF($I6556&lt;=1,2,0))</f>
        <v>0</v>
      </c>
      <c r="K6556">
        <v>0</v>
      </c>
      <c r="L6556">
        <f>IF(AND($J6556=0,$K6556=0),0,1)</f>
        <v>0</v>
      </c>
      <c r="M6556" t="s">
        <v>1165</v>
      </c>
    </row>
    <row r="6557" spans="1:13" x14ac:dyDescent="0.2">
      <c r="A6557" t="s">
        <v>580</v>
      </c>
      <c r="B6557" t="s">
        <v>581</v>
      </c>
      <c r="C6557" t="s">
        <v>7</v>
      </c>
      <c r="D6557">
        <v>1005</v>
      </c>
      <c r="E6557">
        <v>2021</v>
      </c>
      <c r="F6557">
        <v>26</v>
      </c>
      <c r="G6557">
        <v>10087</v>
      </c>
      <c r="H6557" s="1" t="s">
        <v>1831</v>
      </c>
      <c r="I6557">
        <v>18</v>
      </c>
      <c r="J6557">
        <f>IF($H6557=0,1,IF($I6557&lt;=1,2,0))</f>
        <v>0</v>
      </c>
      <c r="K6557">
        <v>0</v>
      </c>
      <c r="L6557">
        <f>IF(AND($J6557=0,$K6557=0),0,1)</f>
        <v>0</v>
      </c>
      <c r="M6557" t="s">
        <v>1165</v>
      </c>
    </row>
    <row r="6558" spans="1:13" x14ac:dyDescent="0.2">
      <c r="A6558" t="s">
        <v>580</v>
      </c>
      <c r="B6558" t="s">
        <v>581</v>
      </c>
      <c r="C6558" t="s">
        <v>7</v>
      </c>
      <c r="D6558">
        <v>1005</v>
      </c>
      <c r="E6558">
        <v>2021</v>
      </c>
      <c r="F6558">
        <v>1</v>
      </c>
      <c r="G6558">
        <v>10067</v>
      </c>
      <c r="H6558" s="1" t="s">
        <v>1831</v>
      </c>
      <c r="I6558">
        <v>12</v>
      </c>
      <c r="J6558">
        <f>IF($H6558=0,1,IF($I6558&lt;=1,2,0))</f>
        <v>0</v>
      </c>
      <c r="K6558">
        <v>0</v>
      </c>
      <c r="L6558">
        <f>IF(AND($J6558=0,$K6558=0),0,1)</f>
        <v>0</v>
      </c>
      <c r="M6558" t="s">
        <v>1165</v>
      </c>
    </row>
    <row r="6559" spans="1:13" x14ac:dyDescent="0.2">
      <c r="A6559" t="s">
        <v>580</v>
      </c>
      <c r="B6559" t="s">
        <v>581</v>
      </c>
      <c r="C6559" t="s">
        <v>7</v>
      </c>
      <c r="D6559">
        <v>1005</v>
      </c>
      <c r="E6559">
        <v>2021</v>
      </c>
      <c r="F6559">
        <v>6</v>
      </c>
      <c r="G6559">
        <v>10071</v>
      </c>
      <c r="H6559" s="1" t="s">
        <v>1831</v>
      </c>
      <c r="I6559">
        <v>12</v>
      </c>
      <c r="J6559">
        <f>IF($H6559=0,1,IF($I6559&lt;=1,2,0))</f>
        <v>0</v>
      </c>
      <c r="K6559">
        <v>0</v>
      </c>
      <c r="L6559">
        <f>IF(AND($J6559=0,$K6559=0),0,1)</f>
        <v>0</v>
      </c>
      <c r="M6559" t="s">
        <v>1165</v>
      </c>
    </row>
    <row r="6560" spans="1:13" x14ac:dyDescent="0.2">
      <c r="A6560" t="s">
        <v>580</v>
      </c>
      <c r="B6560" t="s">
        <v>581</v>
      </c>
      <c r="C6560" t="s">
        <v>7</v>
      </c>
      <c r="D6560">
        <v>1005</v>
      </c>
      <c r="E6560">
        <v>2021</v>
      </c>
      <c r="F6560">
        <v>2</v>
      </c>
      <c r="G6560">
        <v>10068</v>
      </c>
      <c r="H6560" s="1" t="s">
        <v>1831</v>
      </c>
      <c r="I6560">
        <v>11</v>
      </c>
      <c r="J6560">
        <f>IF($H6560=0,1,IF($I6560&lt;=1,2,0))</f>
        <v>0</v>
      </c>
      <c r="K6560">
        <v>0</v>
      </c>
      <c r="L6560">
        <f>IF(AND($J6560=0,$K6560=0),0,1)</f>
        <v>0</v>
      </c>
      <c r="M6560" t="s">
        <v>1165</v>
      </c>
    </row>
    <row r="6561" spans="1:13" x14ac:dyDescent="0.2">
      <c r="A6561" t="s">
        <v>580</v>
      </c>
      <c r="B6561" t="s">
        <v>581</v>
      </c>
      <c r="C6561" t="s">
        <v>7</v>
      </c>
      <c r="D6561">
        <v>1005</v>
      </c>
      <c r="E6561">
        <v>2021</v>
      </c>
      <c r="F6561">
        <v>10</v>
      </c>
      <c r="G6561">
        <v>10074</v>
      </c>
      <c r="H6561" s="1" t="s">
        <v>1831</v>
      </c>
      <c r="I6561">
        <v>11</v>
      </c>
      <c r="J6561">
        <f>IF($H6561=0,1,IF($I6561&lt;=1,2,0))</f>
        <v>0</v>
      </c>
      <c r="K6561">
        <v>0</v>
      </c>
      <c r="L6561">
        <f>IF(AND($J6561=0,$K6561=0),0,1)</f>
        <v>0</v>
      </c>
      <c r="M6561" t="s">
        <v>1165</v>
      </c>
    </row>
    <row r="6562" spans="1:13" x14ac:dyDescent="0.2">
      <c r="A6562" t="s">
        <v>580</v>
      </c>
      <c r="B6562" t="s">
        <v>581</v>
      </c>
      <c r="C6562" t="s">
        <v>7</v>
      </c>
      <c r="D6562">
        <v>1005</v>
      </c>
      <c r="E6562">
        <v>2021</v>
      </c>
      <c r="F6562">
        <v>14</v>
      </c>
      <c r="G6562">
        <v>10078</v>
      </c>
      <c r="H6562" s="1" t="s">
        <v>1831</v>
      </c>
      <c r="I6562">
        <v>11</v>
      </c>
      <c r="J6562">
        <f>IF($H6562=0,1,IF($I6562&lt;=1,2,0))</f>
        <v>0</v>
      </c>
      <c r="K6562">
        <v>0</v>
      </c>
      <c r="L6562">
        <f>IF(AND($J6562=0,$K6562=0),0,1)</f>
        <v>0</v>
      </c>
      <c r="M6562" t="s">
        <v>1165</v>
      </c>
    </row>
    <row r="6563" spans="1:13" x14ac:dyDescent="0.2">
      <c r="A6563" t="s">
        <v>580</v>
      </c>
      <c r="B6563" t="s">
        <v>581</v>
      </c>
      <c r="C6563" t="s">
        <v>7</v>
      </c>
      <c r="D6563">
        <v>1005</v>
      </c>
      <c r="E6563">
        <v>2021</v>
      </c>
      <c r="F6563">
        <v>31</v>
      </c>
      <c r="G6563">
        <v>10091</v>
      </c>
      <c r="H6563" s="1" t="s">
        <v>1831</v>
      </c>
      <c r="I6563">
        <v>11</v>
      </c>
      <c r="J6563">
        <f>IF($H6563=0,1,IF($I6563&lt;=1,2,0))</f>
        <v>0</v>
      </c>
      <c r="K6563">
        <v>0</v>
      </c>
      <c r="L6563">
        <f>IF(AND($J6563=0,$K6563=0),0,1)</f>
        <v>0</v>
      </c>
      <c r="M6563" t="s">
        <v>1165</v>
      </c>
    </row>
    <row r="6564" spans="1:13" x14ac:dyDescent="0.2">
      <c r="A6564" t="s">
        <v>580</v>
      </c>
      <c r="B6564" t="s">
        <v>581</v>
      </c>
      <c r="C6564" t="s">
        <v>7</v>
      </c>
      <c r="D6564">
        <v>1005</v>
      </c>
      <c r="E6564">
        <v>2021</v>
      </c>
      <c r="F6564">
        <v>32</v>
      </c>
      <c r="G6564">
        <v>10092</v>
      </c>
      <c r="H6564" s="1" t="s">
        <v>1831</v>
      </c>
      <c r="I6564">
        <v>11</v>
      </c>
      <c r="J6564">
        <f>IF($H6564=0,1,IF($I6564&lt;=1,2,0))</f>
        <v>0</v>
      </c>
      <c r="K6564">
        <v>0</v>
      </c>
      <c r="L6564">
        <f>IF(AND($J6564=0,$K6564=0),0,1)</f>
        <v>0</v>
      </c>
      <c r="M6564" t="s">
        <v>1165</v>
      </c>
    </row>
    <row r="6565" spans="1:13" x14ac:dyDescent="0.2">
      <c r="A6565" t="s">
        <v>580</v>
      </c>
      <c r="B6565" t="s">
        <v>581</v>
      </c>
      <c r="C6565" t="s">
        <v>7</v>
      </c>
      <c r="D6565">
        <v>1005</v>
      </c>
      <c r="E6565">
        <v>2021</v>
      </c>
      <c r="F6565">
        <v>33</v>
      </c>
      <c r="G6565">
        <v>10093</v>
      </c>
      <c r="H6565" s="1" t="s">
        <v>1831</v>
      </c>
      <c r="I6565">
        <v>10</v>
      </c>
      <c r="J6565">
        <f>IF($H6565=0,1,IF($I6565&lt;=1,2,0))</f>
        <v>0</v>
      </c>
      <c r="K6565">
        <v>0</v>
      </c>
      <c r="L6565">
        <f>IF(AND($J6565=0,$K6565=0),0,1)</f>
        <v>0</v>
      </c>
      <c r="M6565" t="s">
        <v>1165</v>
      </c>
    </row>
    <row r="6566" spans="1:13" x14ac:dyDescent="0.2">
      <c r="A6566" t="s">
        <v>580</v>
      </c>
      <c r="B6566" t="s">
        <v>581</v>
      </c>
      <c r="C6566" t="s">
        <v>7</v>
      </c>
      <c r="D6566">
        <v>1005</v>
      </c>
      <c r="E6566">
        <v>2021</v>
      </c>
      <c r="F6566">
        <v>22</v>
      </c>
      <c r="G6566">
        <v>10084</v>
      </c>
      <c r="H6566" s="1" t="s">
        <v>1831</v>
      </c>
      <c r="I6566">
        <v>9</v>
      </c>
      <c r="J6566">
        <f>IF($H6566=0,1,IF($I6566&lt;=1,2,0))</f>
        <v>0</v>
      </c>
      <c r="K6566">
        <v>0</v>
      </c>
      <c r="L6566">
        <f>IF(AND($J6566=0,$K6566=0),0,1)</f>
        <v>0</v>
      </c>
      <c r="M6566" t="s">
        <v>1165</v>
      </c>
    </row>
    <row r="6567" spans="1:13" x14ac:dyDescent="0.2">
      <c r="A6567" t="s">
        <v>580</v>
      </c>
      <c r="B6567" t="s">
        <v>581</v>
      </c>
      <c r="C6567" t="s">
        <v>7</v>
      </c>
      <c r="D6567">
        <v>1005</v>
      </c>
      <c r="E6567">
        <v>2021</v>
      </c>
      <c r="F6567">
        <v>36</v>
      </c>
      <c r="G6567">
        <v>10095</v>
      </c>
      <c r="H6567" s="1" t="s">
        <v>1831</v>
      </c>
      <c r="I6567">
        <v>9</v>
      </c>
      <c r="J6567">
        <f>IF($H6567=0,1,IF($I6567&lt;=1,2,0))</f>
        <v>0</v>
      </c>
      <c r="K6567">
        <v>0</v>
      </c>
      <c r="L6567">
        <f>IF(AND($J6567=0,$K6567=0),0,1)</f>
        <v>0</v>
      </c>
      <c r="M6567" t="s">
        <v>1165</v>
      </c>
    </row>
    <row r="6568" spans="1:13" x14ac:dyDescent="0.2">
      <c r="A6568" t="s">
        <v>580</v>
      </c>
      <c r="B6568" t="s">
        <v>581</v>
      </c>
      <c r="C6568" t="s">
        <v>7</v>
      </c>
      <c r="D6568">
        <v>1005</v>
      </c>
      <c r="E6568">
        <v>2021</v>
      </c>
      <c r="F6568">
        <v>13</v>
      </c>
      <c r="G6568">
        <v>10077</v>
      </c>
      <c r="H6568" s="1" t="s">
        <v>1831</v>
      </c>
      <c r="I6568">
        <v>8</v>
      </c>
      <c r="J6568">
        <f>IF($H6568=0,1,IF($I6568&lt;=1,2,0))</f>
        <v>0</v>
      </c>
      <c r="K6568">
        <v>0</v>
      </c>
      <c r="L6568">
        <f>IF(AND($J6568=0,$K6568=0),0,1)</f>
        <v>0</v>
      </c>
      <c r="M6568" t="s">
        <v>1165</v>
      </c>
    </row>
    <row r="6569" spans="1:13" x14ac:dyDescent="0.2">
      <c r="A6569" t="s">
        <v>580</v>
      </c>
      <c r="B6569" t="s">
        <v>581</v>
      </c>
      <c r="C6569" t="s">
        <v>7</v>
      </c>
      <c r="D6569">
        <v>1005</v>
      </c>
      <c r="E6569">
        <v>2021</v>
      </c>
      <c r="F6569">
        <v>12</v>
      </c>
      <c r="G6569">
        <v>10076</v>
      </c>
      <c r="H6569" s="1" t="s">
        <v>1831</v>
      </c>
      <c r="I6569">
        <v>7</v>
      </c>
      <c r="J6569">
        <f>IF($H6569=0,1,IF($I6569&lt;=1,2,0))</f>
        <v>0</v>
      </c>
      <c r="K6569">
        <v>0</v>
      </c>
      <c r="L6569">
        <f>IF(AND($J6569=0,$K6569=0),0,1)</f>
        <v>0</v>
      </c>
      <c r="M6569" t="s">
        <v>1165</v>
      </c>
    </row>
    <row r="6570" spans="1:13" x14ac:dyDescent="0.2">
      <c r="A6570" t="s">
        <v>580</v>
      </c>
      <c r="B6570" t="s">
        <v>581</v>
      </c>
      <c r="C6570" t="s">
        <v>7</v>
      </c>
      <c r="D6570">
        <v>1005</v>
      </c>
      <c r="E6570">
        <v>2021</v>
      </c>
      <c r="F6570">
        <v>27</v>
      </c>
      <c r="G6570">
        <v>10088</v>
      </c>
      <c r="H6570" s="1" t="s">
        <v>1831</v>
      </c>
      <c r="I6570">
        <v>7</v>
      </c>
      <c r="J6570">
        <f>IF($H6570=0,1,IF($I6570&lt;=1,2,0))</f>
        <v>0</v>
      </c>
      <c r="K6570">
        <v>0</v>
      </c>
      <c r="L6570">
        <f>IF(AND($J6570=0,$K6570=0),0,1)</f>
        <v>0</v>
      </c>
      <c r="M6570" t="s">
        <v>1165</v>
      </c>
    </row>
    <row r="6571" spans="1:13" x14ac:dyDescent="0.2">
      <c r="A6571" t="s">
        <v>580</v>
      </c>
      <c r="B6571" t="s">
        <v>581</v>
      </c>
      <c r="C6571" t="s">
        <v>7</v>
      </c>
      <c r="D6571">
        <v>1005</v>
      </c>
      <c r="E6571">
        <v>2021</v>
      </c>
      <c r="F6571">
        <v>37</v>
      </c>
      <c r="G6571">
        <v>10096</v>
      </c>
      <c r="H6571" s="1" t="s">
        <v>1831</v>
      </c>
      <c r="I6571">
        <v>7</v>
      </c>
      <c r="J6571">
        <f>IF($H6571=0,1,IF($I6571&lt;=1,2,0))</f>
        <v>0</v>
      </c>
      <c r="K6571">
        <v>0</v>
      </c>
      <c r="L6571">
        <f>IF(AND($J6571=0,$K6571=0),0,1)</f>
        <v>0</v>
      </c>
      <c r="M6571" t="s">
        <v>1165</v>
      </c>
    </row>
    <row r="6572" spans="1:13" x14ac:dyDescent="0.2">
      <c r="A6572" t="s">
        <v>580</v>
      </c>
      <c r="B6572" t="s">
        <v>581</v>
      </c>
      <c r="C6572" t="s">
        <v>7</v>
      </c>
      <c r="D6572">
        <v>1005</v>
      </c>
      <c r="E6572">
        <v>2021</v>
      </c>
      <c r="F6572">
        <v>3</v>
      </c>
      <c r="G6572">
        <v>10069</v>
      </c>
      <c r="H6572" s="1" t="s">
        <v>1831</v>
      </c>
      <c r="I6572">
        <v>6</v>
      </c>
      <c r="J6572">
        <f>IF($H6572=0,1,IF($I6572&lt;=1,2,0))</f>
        <v>0</v>
      </c>
      <c r="K6572">
        <v>0</v>
      </c>
      <c r="L6572">
        <f>IF(AND($J6572=0,$K6572=0),0,1)</f>
        <v>0</v>
      </c>
      <c r="M6572" t="s">
        <v>1165</v>
      </c>
    </row>
    <row r="6573" spans="1:13" x14ac:dyDescent="0.2">
      <c r="A6573" t="s">
        <v>580</v>
      </c>
      <c r="B6573" t="s">
        <v>581</v>
      </c>
      <c r="C6573" t="s">
        <v>7</v>
      </c>
      <c r="D6573">
        <v>1005</v>
      </c>
      <c r="E6573">
        <v>2021</v>
      </c>
      <c r="F6573">
        <v>11</v>
      </c>
      <c r="G6573">
        <v>10075</v>
      </c>
      <c r="H6573" s="1" t="s">
        <v>1831</v>
      </c>
      <c r="I6573">
        <v>6</v>
      </c>
      <c r="J6573">
        <f>IF($H6573=0,1,IF($I6573&lt;=1,2,0))</f>
        <v>0</v>
      </c>
      <c r="K6573">
        <v>0</v>
      </c>
      <c r="L6573">
        <f>IF(AND($J6573=0,$K6573=0),0,1)</f>
        <v>0</v>
      </c>
      <c r="M6573" t="s">
        <v>1165</v>
      </c>
    </row>
    <row r="6574" spans="1:13" x14ac:dyDescent="0.2">
      <c r="A6574" t="s">
        <v>580</v>
      </c>
      <c r="B6574" t="s">
        <v>581</v>
      </c>
      <c r="C6574" t="s">
        <v>7</v>
      </c>
      <c r="D6574">
        <v>1005</v>
      </c>
      <c r="E6574">
        <v>2021</v>
      </c>
      <c r="F6574">
        <v>17</v>
      </c>
      <c r="G6574">
        <v>10080</v>
      </c>
      <c r="H6574" s="1" t="s">
        <v>1831</v>
      </c>
      <c r="I6574">
        <v>6</v>
      </c>
      <c r="J6574">
        <f>IF($H6574=0,1,IF($I6574&lt;=1,2,0))</f>
        <v>0</v>
      </c>
      <c r="K6574">
        <v>0</v>
      </c>
      <c r="L6574">
        <f>IF(AND($J6574=0,$K6574=0),0,1)</f>
        <v>0</v>
      </c>
      <c r="M6574" t="s">
        <v>1165</v>
      </c>
    </row>
    <row r="6575" spans="1:13" x14ac:dyDescent="0.2">
      <c r="A6575" t="s">
        <v>580</v>
      </c>
      <c r="B6575" t="s">
        <v>581</v>
      </c>
      <c r="C6575" t="s">
        <v>7</v>
      </c>
      <c r="D6575">
        <v>1005</v>
      </c>
      <c r="E6575">
        <v>2021</v>
      </c>
      <c r="F6575">
        <v>8</v>
      </c>
      <c r="G6575">
        <v>10073</v>
      </c>
      <c r="H6575" s="1" t="s">
        <v>1831</v>
      </c>
      <c r="I6575">
        <v>4</v>
      </c>
      <c r="J6575">
        <f>IF($H6575=0,1,IF($I6575&lt;=1,2,0))</f>
        <v>0</v>
      </c>
      <c r="K6575">
        <v>0</v>
      </c>
      <c r="L6575">
        <f>IF(AND($J6575=0,$K6575=0),0,1)</f>
        <v>0</v>
      </c>
      <c r="M6575" t="s">
        <v>1165</v>
      </c>
    </row>
    <row r="6576" spans="1:13" x14ac:dyDescent="0.2">
      <c r="A6576" t="s">
        <v>580</v>
      </c>
      <c r="B6576" t="s">
        <v>581</v>
      </c>
      <c r="C6576" t="s">
        <v>7</v>
      </c>
      <c r="D6576">
        <v>1005</v>
      </c>
      <c r="E6576">
        <v>2021</v>
      </c>
      <c r="F6576">
        <v>18</v>
      </c>
      <c r="G6576">
        <v>10081</v>
      </c>
      <c r="H6576" s="1" t="s">
        <v>1831</v>
      </c>
      <c r="I6576">
        <v>4</v>
      </c>
      <c r="J6576">
        <f>IF($H6576=0,1,IF($I6576&lt;=1,2,0))</f>
        <v>0</v>
      </c>
      <c r="K6576">
        <v>0</v>
      </c>
      <c r="L6576">
        <f>IF(AND($J6576=0,$K6576=0),0,1)</f>
        <v>0</v>
      </c>
      <c r="M6576" t="s">
        <v>1165</v>
      </c>
    </row>
    <row r="6577" spans="1:13" x14ac:dyDescent="0.2">
      <c r="A6577" t="s">
        <v>580</v>
      </c>
      <c r="B6577" t="s">
        <v>581</v>
      </c>
      <c r="C6577" t="s">
        <v>7</v>
      </c>
      <c r="D6577">
        <v>1005</v>
      </c>
      <c r="E6577">
        <v>2021</v>
      </c>
      <c r="F6577">
        <v>35</v>
      </c>
      <c r="G6577">
        <v>10094</v>
      </c>
      <c r="H6577" s="1" t="s">
        <v>1831</v>
      </c>
      <c r="I6577">
        <v>4</v>
      </c>
      <c r="J6577">
        <f>IF($H6577=0,1,IF($I6577&lt;=1,2,0))</f>
        <v>0</v>
      </c>
      <c r="K6577">
        <v>0</v>
      </c>
      <c r="L6577">
        <f>IF(AND($J6577=0,$K6577=0),0,1)</f>
        <v>0</v>
      </c>
      <c r="M6577" t="s">
        <v>1165</v>
      </c>
    </row>
    <row r="6578" spans="1:13" x14ac:dyDescent="0.2">
      <c r="A6578" t="s">
        <v>580</v>
      </c>
      <c r="B6578" t="s">
        <v>581</v>
      </c>
      <c r="C6578" t="s">
        <v>7</v>
      </c>
      <c r="D6578">
        <v>1005</v>
      </c>
      <c r="E6578">
        <v>2021</v>
      </c>
      <c r="F6578">
        <v>24</v>
      </c>
      <c r="G6578">
        <v>10085</v>
      </c>
      <c r="H6578" s="1" t="s">
        <v>1831</v>
      </c>
      <c r="I6578">
        <v>3</v>
      </c>
      <c r="J6578">
        <f>IF($H6578=0,1,IF($I6578&lt;=1,2,0))</f>
        <v>0</v>
      </c>
      <c r="K6578">
        <v>0</v>
      </c>
      <c r="L6578">
        <f>IF(AND($J6578=0,$K6578=0),0,1)</f>
        <v>0</v>
      </c>
      <c r="M6578" t="s">
        <v>1165</v>
      </c>
    </row>
    <row r="6579" spans="1:13" x14ac:dyDescent="0.2">
      <c r="A6579" t="s">
        <v>580</v>
      </c>
      <c r="B6579" t="s">
        <v>581</v>
      </c>
      <c r="C6579" t="s">
        <v>7</v>
      </c>
      <c r="D6579">
        <v>1005</v>
      </c>
      <c r="E6579">
        <v>2021</v>
      </c>
      <c r="F6579">
        <v>5</v>
      </c>
      <c r="G6579">
        <v>10070</v>
      </c>
      <c r="H6579" s="1" t="s">
        <v>1831</v>
      </c>
      <c r="I6579">
        <v>2</v>
      </c>
      <c r="J6579">
        <f>IF($H6579=0,1,IF($I6579&lt;=1,2,0))</f>
        <v>0</v>
      </c>
      <c r="K6579">
        <v>0</v>
      </c>
      <c r="L6579">
        <f>IF(AND($J6579=0,$K6579=0),0,1)</f>
        <v>0</v>
      </c>
      <c r="M6579" t="s">
        <v>1165</v>
      </c>
    </row>
    <row r="6580" spans="1:13" x14ac:dyDescent="0.2">
      <c r="A6580" t="s">
        <v>580</v>
      </c>
      <c r="B6580" t="s">
        <v>581</v>
      </c>
      <c r="C6580" t="s">
        <v>7</v>
      </c>
      <c r="D6580">
        <v>1005</v>
      </c>
      <c r="E6580">
        <v>2021</v>
      </c>
      <c r="F6580">
        <v>28</v>
      </c>
      <c r="G6580">
        <v>10089</v>
      </c>
      <c r="H6580" s="1" t="s">
        <v>1831</v>
      </c>
      <c r="I6580">
        <v>2</v>
      </c>
      <c r="J6580">
        <f>IF($H6580=0,1,IF($I6580&lt;=1,2,0))</f>
        <v>0</v>
      </c>
      <c r="K6580">
        <v>0</v>
      </c>
      <c r="L6580">
        <f>IF(AND($J6580=0,$K6580=0),0,1)</f>
        <v>0</v>
      </c>
      <c r="M6580" t="s">
        <v>1165</v>
      </c>
    </row>
    <row r="6581" spans="1:13" x14ac:dyDescent="0.2">
      <c r="A6581" t="s">
        <v>587</v>
      </c>
      <c r="B6581" t="s">
        <v>17</v>
      </c>
      <c r="C6581" t="s">
        <v>21</v>
      </c>
      <c r="D6581">
        <v>1001</v>
      </c>
      <c r="E6581">
        <v>2021</v>
      </c>
      <c r="F6581">
        <v>1</v>
      </c>
      <c r="G6581">
        <v>197</v>
      </c>
      <c r="H6581" s="1">
        <v>3</v>
      </c>
      <c r="I6581">
        <v>33</v>
      </c>
      <c r="J6581">
        <f>IF($H6581=0,1,IF($I6581&lt;=1,2,0))</f>
        <v>0</v>
      </c>
      <c r="K6581">
        <v>0</v>
      </c>
      <c r="L6581">
        <f>IF(AND($J6581=0,$K6581=0),0,1)</f>
        <v>0</v>
      </c>
    </row>
    <row r="6582" spans="1:13" x14ac:dyDescent="0.2">
      <c r="A6582" t="s">
        <v>587</v>
      </c>
      <c r="B6582" t="s">
        <v>17</v>
      </c>
      <c r="C6582" t="s">
        <v>21</v>
      </c>
      <c r="D6582">
        <v>1001</v>
      </c>
      <c r="E6582">
        <v>2021</v>
      </c>
      <c r="F6582">
        <v>2</v>
      </c>
      <c r="G6582">
        <v>198</v>
      </c>
      <c r="H6582" s="1">
        <v>3</v>
      </c>
      <c r="I6582">
        <v>32</v>
      </c>
      <c r="J6582">
        <f>IF($H6582=0,1,IF($I6582&lt;=1,2,0))</f>
        <v>0</v>
      </c>
      <c r="K6582">
        <v>0</v>
      </c>
      <c r="L6582">
        <f>IF(AND($J6582=0,$K6582=0),0,1)</f>
        <v>0</v>
      </c>
    </row>
    <row r="6583" spans="1:13" x14ac:dyDescent="0.2">
      <c r="A6583" t="s">
        <v>587</v>
      </c>
      <c r="B6583" t="s">
        <v>17</v>
      </c>
      <c r="C6583" t="s">
        <v>21</v>
      </c>
      <c r="D6583">
        <v>1001</v>
      </c>
      <c r="E6583">
        <v>2021</v>
      </c>
      <c r="F6583">
        <v>3</v>
      </c>
      <c r="G6583">
        <v>829</v>
      </c>
      <c r="H6583" s="1">
        <v>3</v>
      </c>
      <c r="I6583">
        <v>26</v>
      </c>
      <c r="J6583">
        <f>IF($H6583=0,1,IF($I6583&lt;=1,2,0))</f>
        <v>0</v>
      </c>
      <c r="K6583">
        <v>0</v>
      </c>
      <c r="L6583">
        <f>IF(AND($J6583=0,$K6583=0),0,1)</f>
        <v>0</v>
      </c>
    </row>
    <row r="6584" spans="1:13" x14ac:dyDescent="0.2">
      <c r="A6584" t="s">
        <v>587</v>
      </c>
      <c r="B6584" t="s">
        <v>17</v>
      </c>
      <c r="C6584" t="s">
        <v>7</v>
      </c>
      <c r="D6584">
        <v>1010</v>
      </c>
      <c r="E6584">
        <v>2021</v>
      </c>
      <c r="F6584">
        <v>1</v>
      </c>
      <c r="G6584">
        <v>10353</v>
      </c>
      <c r="H6584" s="1">
        <v>3</v>
      </c>
      <c r="I6584">
        <v>51</v>
      </c>
      <c r="J6584">
        <f>IF($H6584=0,1,IF($I6584&lt;=1,2,0))</f>
        <v>0</v>
      </c>
      <c r="K6584">
        <v>0</v>
      </c>
      <c r="L6584">
        <f>IF(AND($J6584=0,$K6584=0),0,1)</f>
        <v>0</v>
      </c>
    </row>
    <row r="6585" spans="1:13" x14ac:dyDescent="0.2">
      <c r="A6585" t="s">
        <v>587</v>
      </c>
      <c r="B6585" t="s">
        <v>17</v>
      </c>
      <c r="C6585" t="s">
        <v>21</v>
      </c>
      <c r="D6585">
        <v>2003</v>
      </c>
      <c r="E6585">
        <v>2021</v>
      </c>
      <c r="F6585">
        <v>1</v>
      </c>
      <c r="G6585">
        <v>10354</v>
      </c>
      <c r="H6585" s="1">
        <v>3</v>
      </c>
      <c r="I6585">
        <v>61</v>
      </c>
      <c r="J6585">
        <f>IF($H6585=0,1,IF($I6585&lt;=1,2,0))</f>
        <v>0</v>
      </c>
      <c r="K6585">
        <v>0</v>
      </c>
      <c r="L6585">
        <f>IF(AND($J6585=0,$K6585=0),0,1)</f>
        <v>0</v>
      </c>
    </row>
    <row r="6586" spans="1:13" x14ac:dyDescent="0.2">
      <c r="A6586" t="s">
        <v>587</v>
      </c>
      <c r="B6586" t="s">
        <v>17</v>
      </c>
      <c r="C6586" t="s">
        <v>21</v>
      </c>
      <c r="D6586">
        <v>2101</v>
      </c>
      <c r="E6586">
        <v>2021</v>
      </c>
      <c r="F6586">
        <v>1</v>
      </c>
      <c r="G6586">
        <v>10355</v>
      </c>
      <c r="H6586" s="1">
        <v>4</v>
      </c>
      <c r="I6586">
        <v>85</v>
      </c>
      <c r="J6586">
        <f>IF($H6586=0,1,IF($I6586&lt;=1,2,0))</f>
        <v>0</v>
      </c>
      <c r="K6586">
        <v>0</v>
      </c>
      <c r="L6586">
        <f>IF(AND($J6586=0,$K6586=0),0,1)</f>
        <v>0</v>
      </c>
    </row>
    <row r="6587" spans="1:13" x14ac:dyDescent="0.2">
      <c r="A6587" t="s">
        <v>587</v>
      </c>
      <c r="B6587" t="s">
        <v>17</v>
      </c>
      <c r="C6587" t="s">
        <v>21</v>
      </c>
      <c r="D6587">
        <v>2110</v>
      </c>
      <c r="E6587">
        <v>2021</v>
      </c>
      <c r="F6587">
        <v>1</v>
      </c>
      <c r="G6587">
        <v>10356</v>
      </c>
      <c r="H6587" s="1">
        <v>3</v>
      </c>
      <c r="I6587">
        <v>76</v>
      </c>
      <c r="J6587">
        <f>IF($H6587=0,1,IF($I6587&lt;=1,2,0))</f>
        <v>0</v>
      </c>
      <c r="K6587">
        <v>0</v>
      </c>
      <c r="L6587">
        <f>IF(AND($J6587=0,$K6587=0),0,1)</f>
        <v>0</v>
      </c>
    </row>
    <row r="6588" spans="1:13" x14ac:dyDescent="0.2">
      <c r="A6588" t="s">
        <v>587</v>
      </c>
      <c r="B6588" t="s">
        <v>17</v>
      </c>
      <c r="C6588" t="s">
        <v>21</v>
      </c>
      <c r="D6588">
        <v>3353</v>
      </c>
      <c r="E6588">
        <v>2021</v>
      </c>
      <c r="F6588">
        <v>1</v>
      </c>
      <c r="G6588">
        <v>10357</v>
      </c>
      <c r="H6588" s="1">
        <v>3</v>
      </c>
      <c r="I6588">
        <v>38</v>
      </c>
      <c r="J6588">
        <f>IF($H6588=0,1,IF($I6588&lt;=1,2,0))</f>
        <v>0</v>
      </c>
      <c r="K6588">
        <v>0</v>
      </c>
      <c r="L6588">
        <f>IF(AND($J6588=0,$K6588=0),0,1)</f>
        <v>0</v>
      </c>
    </row>
    <row r="6589" spans="1:13" x14ac:dyDescent="0.2">
      <c r="A6589" t="s">
        <v>587</v>
      </c>
      <c r="B6589" t="s">
        <v>17</v>
      </c>
      <c r="C6589" t="s">
        <v>21</v>
      </c>
      <c r="D6589">
        <v>3411</v>
      </c>
      <c r="E6589">
        <v>2021</v>
      </c>
      <c r="F6589">
        <v>1</v>
      </c>
      <c r="G6589">
        <v>10359</v>
      </c>
      <c r="H6589" s="1">
        <v>4</v>
      </c>
      <c r="I6589">
        <v>95</v>
      </c>
      <c r="J6589">
        <f>IF($H6589=0,1,IF($I6589&lt;=1,2,0))</f>
        <v>0</v>
      </c>
      <c r="K6589">
        <v>0</v>
      </c>
      <c r="L6589">
        <f>IF(AND($J6589=0,$K6589=0),0,1)</f>
        <v>0</v>
      </c>
    </row>
    <row r="6590" spans="1:13" x14ac:dyDescent="0.2">
      <c r="A6590" t="s">
        <v>587</v>
      </c>
      <c r="B6590" t="s">
        <v>17</v>
      </c>
      <c r="C6590" t="s">
        <v>9</v>
      </c>
      <c r="D6590">
        <v>3551</v>
      </c>
      <c r="E6590">
        <v>2021</v>
      </c>
      <c r="F6590">
        <v>1</v>
      </c>
      <c r="G6590">
        <v>10361</v>
      </c>
      <c r="H6590" s="1">
        <v>3</v>
      </c>
      <c r="I6590">
        <v>34</v>
      </c>
      <c r="J6590">
        <f>IF($H6590=0,1,IF($I6590&lt;=1,2,0))</f>
        <v>0</v>
      </c>
      <c r="K6590">
        <v>0</v>
      </c>
      <c r="L6590">
        <f>IF(AND($J6590=0,$K6590=0),0,1)</f>
        <v>0</v>
      </c>
    </row>
    <row r="6591" spans="1:13" x14ac:dyDescent="0.2">
      <c r="A6591" t="s">
        <v>587</v>
      </c>
      <c r="B6591" t="s">
        <v>17</v>
      </c>
      <c r="C6591" t="s">
        <v>21</v>
      </c>
      <c r="D6591">
        <v>3601</v>
      </c>
      <c r="E6591">
        <v>2021</v>
      </c>
      <c r="F6591">
        <v>1</v>
      </c>
      <c r="G6591">
        <v>10363</v>
      </c>
      <c r="H6591" s="1">
        <v>4</v>
      </c>
      <c r="I6591">
        <v>85</v>
      </c>
      <c r="J6591">
        <f>IF($H6591=0,1,IF($I6591&lt;=1,2,0))</f>
        <v>0</v>
      </c>
      <c r="K6591">
        <v>0</v>
      </c>
      <c r="L6591">
        <f>IF(AND($J6591=0,$K6591=0),0,1)</f>
        <v>0</v>
      </c>
    </row>
    <row r="6592" spans="1:13" x14ac:dyDescent="0.2">
      <c r="A6592" t="s">
        <v>587</v>
      </c>
      <c r="B6592" t="s">
        <v>17</v>
      </c>
      <c r="C6592" t="s">
        <v>7</v>
      </c>
      <c r="D6592">
        <v>3912</v>
      </c>
      <c r="E6592">
        <v>2021</v>
      </c>
      <c r="F6592">
        <v>14</v>
      </c>
      <c r="G6592">
        <v>10370</v>
      </c>
      <c r="H6592" s="1">
        <v>3</v>
      </c>
      <c r="I6592">
        <v>21</v>
      </c>
      <c r="J6592">
        <f>IF($H6592=0,1,IF($I6592&lt;=1,2,0))</f>
        <v>0</v>
      </c>
      <c r="K6592">
        <v>0</v>
      </c>
      <c r="L6592">
        <f>IF(AND($J6592=0,$K6592=0),0,1)</f>
        <v>0</v>
      </c>
      <c r="M6592" t="s">
        <v>2077</v>
      </c>
    </row>
    <row r="6593" spans="1:13" x14ac:dyDescent="0.2">
      <c r="A6593" t="s">
        <v>587</v>
      </c>
      <c r="B6593" t="s">
        <v>17</v>
      </c>
      <c r="C6593" t="s">
        <v>7</v>
      </c>
      <c r="D6593">
        <v>3912</v>
      </c>
      <c r="E6593">
        <v>2021</v>
      </c>
      <c r="F6593">
        <v>7</v>
      </c>
      <c r="G6593">
        <v>10371</v>
      </c>
      <c r="H6593" s="1">
        <v>3</v>
      </c>
      <c r="I6593">
        <v>8</v>
      </c>
      <c r="J6593">
        <f>IF($H6593=0,1,IF($I6593&lt;=1,2,0))</f>
        <v>0</v>
      </c>
      <c r="K6593">
        <v>0</v>
      </c>
      <c r="L6593">
        <f>IF(AND($J6593=0,$K6593=0),0,1)</f>
        <v>0</v>
      </c>
      <c r="M6593" t="s">
        <v>1704</v>
      </c>
    </row>
    <row r="6594" spans="1:13" x14ac:dyDescent="0.2">
      <c r="A6594" t="s">
        <v>587</v>
      </c>
      <c r="B6594" t="s">
        <v>17</v>
      </c>
      <c r="C6594" t="s">
        <v>7</v>
      </c>
      <c r="D6594">
        <v>3912</v>
      </c>
      <c r="E6594">
        <v>2021</v>
      </c>
      <c r="F6594">
        <v>1</v>
      </c>
      <c r="G6594">
        <v>10366</v>
      </c>
      <c r="H6594" s="1">
        <v>3</v>
      </c>
      <c r="I6594">
        <v>6</v>
      </c>
      <c r="J6594">
        <f>IF($H6594=0,1,IF($I6594&lt;=1,2,0))</f>
        <v>0</v>
      </c>
      <c r="K6594">
        <v>0</v>
      </c>
      <c r="L6594">
        <f>IF(AND($J6594=0,$K6594=0),0,1)</f>
        <v>0</v>
      </c>
      <c r="M6594" t="s">
        <v>1703</v>
      </c>
    </row>
    <row r="6595" spans="1:13" x14ac:dyDescent="0.2">
      <c r="A6595" t="s">
        <v>587</v>
      </c>
      <c r="B6595" t="s">
        <v>17</v>
      </c>
      <c r="C6595" t="s">
        <v>11</v>
      </c>
      <c r="D6595">
        <v>4424</v>
      </c>
      <c r="E6595">
        <v>2021</v>
      </c>
      <c r="F6595">
        <v>1</v>
      </c>
      <c r="G6595">
        <v>10372</v>
      </c>
      <c r="H6595" s="1">
        <v>3</v>
      </c>
      <c r="I6595">
        <v>16</v>
      </c>
      <c r="J6595">
        <f>IF($H6595=0,1,IF($I6595&lt;=1,2,0))</f>
        <v>0</v>
      </c>
      <c r="K6595">
        <v>0</v>
      </c>
      <c r="L6595">
        <f>IF(AND($J6595=0,$K6595=0),0,1)</f>
        <v>0</v>
      </c>
    </row>
    <row r="6596" spans="1:13" x14ac:dyDescent="0.2">
      <c r="A6596" t="s">
        <v>587</v>
      </c>
      <c r="B6596" t="s">
        <v>17</v>
      </c>
      <c r="C6596" t="s">
        <v>11</v>
      </c>
      <c r="D6596">
        <v>4561</v>
      </c>
      <c r="E6596">
        <v>2021</v>
      </c>
      <c r="F6596">
        <v>1</v>
      </c>
      <c r="G6596">
        <v>12850</v>
      </c>
      <c r="H6596" s="1">
        <v>3</v>
      </c>
      <c r="I6596">
        <v>28</v>
      </c>
      <c r="J6596">
        <f>IF($H6596=0,1,IF($I6596&lt;=1,2,0))</f>
        <v>0</v>
      </c>
      <c r="K6596">
        <v>0</v>
      </c>
      <c r="L6596">
        <f>IF(AND($J6596=0,$K6596=0),0,1)</f>
        <v>0</v>
      </c>
    </row>
    <row r="6597" spans="1:13" x14ac:dyDescent="0.2">
      <c r="A6597" t="s">
        <v>587</v>
      </c>
      <c r="B6597" t="s">
        <v>17</v>
      </c>
      <c r="C6597" t="s">
        <v>11</v>
      </c>
      <c r="D6597">
        <v>4602</v>
      </c>
      <c r="E6597">
        <v>2021</v>
      </c>
      <c r="F6597">
        <v>1</v>
      </c>
      <c r="G6597">
        <v>15679</v>
      </c>
      <c r="H6597" s="1">
        <v>3</v>
      </c>
      <c r="I6597">
        <v>10</v>
      </c>
      <c r="J6597">
        <f>IF($H6597=0,1,IF($I6597&lt;=1,2,0))</f>
        <v>0</v>
      </c>
      <c r="K6597">
        <v>0</v>
      </c>
      <c r="L6597">
        <f>IF(AND($J6597=0,$K6597=0),0,1)</f>
        <v>0</v>
      </c>
    </row>
    <row r="6598" spans="1:13" x14ac:dyDescent="0.2">
      <c r="A6598" t="s">
        <v>587</v>
      </c>
      <c r="B6598" t="s">
        <v>17</v>
      </c>
      <c r="C6598" t="s">
        <v>11</v>
      </c>
      <c r="D6598">
        <v>4675</v>
      </c>
      <c r="E6598">
        <v>2021</v>
      </c>
      <c r="F6598">
        <v>1</v>
      </c>
      <c r="G6598">
        <v>10373</v>
      </c>
      <c r="H6598" s="1">
        <v>3</v>
      </c>
      <c r="I6598">
        <v>27</v>
      </c>
      <c r="J6598">
        <f>IF($H6598=0,1,IF($I6598&lt;=1,2,0))</f>
        <v>0</v>
      </c>
      <c r="K6598">
        <v>0</v>
      </c>
      <c r="L6598">
        <f>IF(AND($J6598=0,$K6598=0),0,1)</f>
        <v>0</v>
      </c>
    </row>
    <row r="6599" spans="1:13" x14ac:dyDescent="0.2">
      <c r="A6599" t="s">
        <v>587</v>
      </c>
      <c r="B6599" t="s">
        <v>17</v>
      </c>
      <c r="C6599" t="s">
        <v>9</v>
      </c>
      <c r="D6599">
        <v>4850</v>
      </c>
      <c r="E6599">
        <v>2021</v>
      </c>
      <c r="F6599">
        <v>1</v>
      </c>
      <c r="G6599">
        <v>14952</v>
      </c>
      <c r="H6599" s="1">
        <v>3</v>
      </c>
      <c r="I6599">
        <v>33</v>
      </c>
      <c r="J6599">
        <f>IF($H6599=0,1,IF($I6599&lt;=1,2,0))</f>
        <v>0</v>
      </c>
      <c r="K6599">
        <v>0</v>
      </c>
      <c r="L6599">
        <f>IF(AND($J6599=0,$K6599=0),0,1)</f>
        <v>0</v>
      </c>
    </row>
    <row r="6600" spans="1:13" x14ac:dyDescent="0.2">
      <c r="A6600" t="s">
        <v>587</v>
      </c>
      <c r="B6600" t="s">
        <v>17</v>
      </c>
      <c r="C6600" t="s">
        <v>11</v>
      </c>
      <c r="D6600">
        <v>5415</v>
      </c>
      <c r="E6600">
        <v>2021</v>
      </c>
      <c r="F6600">
        <v>1</v>
      </c>
      <c r="G6600">
        <v>18854</v>
      </c>
      <c r="H6600" s="1">
        <v>4</v>
      </c>
      <c r="I6600">
        <v>5</v>
      </c>
      <c r="J6600">
        <f>IF($H6600=0,1,IF($I6600&lt;=1,2,0))</f>
        <v>0</v>
      </c>
      <c r="K6600">
        <v>0</v>
      </c>
      <c r="L6600">
        <f>IF(AND($J6600=0,$K6600=0),0,1)</f>
        <v>0</v>
      </c>
    </row>
    <row r="6601" spans="1:13" x14ac:dyDescent="0.2">
      <c r="A6601" t="s">
        <v>589</v>
      </c>
      <c r="B6601" t="s">
        <v>133</v>
      </c>
      <c r="C6601" t="s">
        <v>9</v>
      </c>
      <c r="D6601">
        <v>1111</v>
      </c>
      <c r="E6601">
        <v>2021</v>
      </c>
      <c r="F6601">
        <v>1</v>
      </c>
      <c r="G6601">
        <v>11929</v>
      </c>
      <c r="H6601" s="1">
        <v>3</v>
      </c>
      <c r="I6601">
        <v>145</v>
      </c>
      <c r="J6601">
        <f>IF($H6601=0,1,IF($I6601&lt;=1,2,0))</f>
        <v>0</v>
      </c>
      <c r="K6601">
        <v>0</v>
      </c>
      <c r="L6601">
        <f>IF(AND($J6601=0,$K6601=0),0,1)</f>
        <v>0</v>
      </c>
    </row>
    <row r="6602" spans="1:13" x14ac:dyDescent="0.2">
      <c r="A6602" t="s">
        <v>589</v>
      </c>
      <c r="B6602" t="s">
        <v>133</v>
      </c>
      <c r="C6602" t="s">
        <v>9</v>
      </c>
      <c r="D6602">
        <v>1201</v>
      </c>
      <c r="E6602">
        <v>2021</v>
      </c>
      <c r="F6602">
        <v>1</v>
      </c>
      <c r="G6602">
        <v>11931</v>
      </c>
      <c r="H6602" s="1">
        <v>3</v>
      </c>
      <c r="I6602">
        <v>166</v>
      </c>
      <c r="J6602">
        <f>IF($H6602=0,1,IF($I6602&lt;=1,2,0))</f>
        <v>0</v>
      </c>
      <c r="K6602">
        <v>0</v>
      </c>
      <c r="L6602">
        <f>IF(AND($J6602=0,$K6602=0),0,1)</f>
        <v>0</v>
      </c>
      <c r="M6602" t="s">
        <v>590</v>
      </c>
    </row>
    <row r="6603" spans="1:13" x14ac:dyDescent="0.2">
      <c r="A6603" t="s">
        <v>589</v>
      </c>
      <c r="B6603" t="s">
        <v>133</v>
      </c>
      <c r="C6603" t="s">
        <v>9</v>
      </c>
      <c r="D6603">
        <v>1201</v>
      </c>
      <c r="E6603">
        <v>2021</v>
      </c>
      <c r="F6603">
        <v>2</v>
      </c>
      <c r="G6603">
        <v>11932</v>
      </c>
      <c r="H6603" s="1">
        <v>3</v>
      </c>
      <c r="I6603">
        <v>121</v>
      </c>
      <c r="J6603">
        <f>IF($H6603=0,1,IF($I6603&lt;=1,2,0))</f>
        <v>0</v>
      </c>
      <c r="K6603">
        <v>0</v>
      </c>
      <c r="L6603">
        <f>IF(AND($J6603=0,$K6603=0),0,1)</f>
        <v>0</v>
      </c>
      <c r="M6603" t="s">
        <v>590</v>
      </c>
    </row>
    <row r="6604" spans="1:13" x14ac:dyDescent="0.2">
      <c r="A6604" t="s">
        <v>589</v>
      </c>
      <c r="B6604" t="s">
        <v>133</v>
      </c>
      <c r="C6604" t="s">
        <v>9</v>
      </c>
      <c r="D6604">
        <v>1401</v>
      </c>
      <c r="E6604">
        <v>2021</v>
      </c>
      <c r="F6604">
        <v>1</v>
      </c>
      <c r="G6604">
        <v>11935</v>
      </c>
      <c r="H6604" s="1">
        <v>3</v>
      </c>
      <c r="I6604">
        <v>171</v>
      </c>
      <c r="J6604">
        <f>IF($H6604=0,1,IF($I6604&lt;=1,2,0))</f>
        <v>0</v>
      </c>
      <c r="K6604">
        <v>0</v>
      </c>
      <c r="L6604">
        <f>IF(AND($J6604=0,$K6604=0),0,1)</f>
        <v>0</v>
      </c>
      <c r="M6604" t="s">
        <v>592</v>
      </c>
    </row>
    <row r="6605" spans="1:13" x14ac:dyDescent="0.2">
      <c r="A6605" t="s">
        <v>589</v>
      </c>
      <c r="B6605" t="s">
        <v>133</v>
      </c>
      <c r="C6605" t="s">
        <v>9</v>
      </c>
      <c r="D6605">
        <v>1401</v>
      </c>
      <c r="E6605">
        <v>2021</v>
      </c>
      <c r="F6605">
        <v>2</v>
      </c>
      <c r="G6605">
        <v>11937</v>
      </c>
      <c r="H6605" s="1">
        <v>3</v>
      </c>
      <c r="I6605">
        <v>170</v>
      </c>
      <c r="J6605">
        <f>IF($H6605=0,1,IF($I6605&lt;=1,2,0))</f>
        <v>0</v>
      </c>
      <c r="K6605">
        <v>0</v>
      </c>
      <c r="L6605">
        <f>IF(AND($J6605=0,$K6605=0),0,1)</f>
        <v>0</v>
      </c>
      <c r="M6605" t="s">
        <v>592</v>
      </c>
    </row>
    <row r="6606" spans="1:13" x14ac:dyDescent="0.2">
      <c r="A6606" t="s">
        <v>589</v>
      </c>
      <c r="B6606" t="s">
        <v>133</v>
      </c>
      <c r="C6606" t="s">
        <v>7</v>
      </c>
      <c r="D6606">
        <v>1403</v>
      </c>
      <c r="E6606">
        <v>2021</v>
      </c>
      <c r="F6606">
        <v>1</v>
      </c>
      <c r="G6606">
        <v>11938</v>
      </c>
      <c r="H6606" s="1">
        <v>3</v>
      </c>
      <c r="I6606">
        <v>137</v>
      </c>
      <c r="J6606">
        <f>IF($H6606=0,1,IF($I6606&lt;=1,2,0))</f>
        <v>0</v>
      </c>
      <c r="K6606">
        <v>0</v>
      </c>
      <c r="L6606">
        <f>IF(AND($J6606=0,$K6606=0),0,1)</f>
        <v>0</v>
      </c>
    </row>
    <row r="6607" spans="1:13" x14ac:dyDescent="0.2">
      <c r="A6607" t="s">
        <v>589</v>
      </c>
      <c r="B6607" t="s">
        <v>133</v>
      </c>
      <c r="C6607" t="s">
        <v>9</v>
      </c>
      <c r="D6607">
        <v>1494</v>
      </c>
      <c r="E6607">
        <v>2021</v>
      </c>
      <c r="F6607">
        <v>1</v>
      </c>
      <c r="G6607">
        <v>12001</v>
      </c>
      <c r="H6607" s="1">
        <v>3</v>
      </c>
      <c r="I6607">
        <v>15</v>
      </c>
      <c r="J6607">
        <f>IF($H6607=0,1,IF($I6607&lt;=1,2,0))</f>
        <v>0</v>
      </c>
      <c r="K6607">
        <v>0</v>
      </c>
      <c r="L6607">
        <f>IF(AND($J6607=0,$K6607=0),0,1)</f>
        <v>0</v>
      </c>
      <c r="M6607" t="s">
        <v>1707</v>
      </c>
    </row>
    <row r="6608" spans="1:13" x14ac:dyDescent="0.2">
      <c r="A6608" t="s">
        <v>589</v>
      </c>
      <c r="B6608" t="s">
        <v>133</v>
      </c>
      <c r="C6608" t="s">
        <v>9</v>
      </c>
      <c r="D6608">
        <v>1494</v>
      </c>
      <c r="E6608">
        <v>2021</v>
      </c>
      <c r="F6608">
        <v>2</v>
      </c>
      <c r="G6608">
        <v>12002</v>
      </c>
      <c r="H6608" s="1">
        <v>3</v>
      </c>
      <c r="I6608">
        <v>15</v>
      </c>
      <c r="J6608">
        <f>IF($H6608=0,1,IF($I6608&lt;=1,2,0))</f>
        <v>0</v>
      </c>
      <c r="K6608">
        <v>0</v>
      </c>
      <c r="L6608">
        <f>IF(AND($J6608=0,$K6608=0),0,1)</f>
        <v>0</v>
      </c>
      <c r="M6608" t="s">
        <v>1707</v>
      </c>
    </row>
    <row r="6609" spans="1:13" x14ac:dyDescent="0.2">
      <c r="A6609" t="s">
        <v>589</v>
      </c>
      <c r="B6609" t="s">
        <v>133</v>
      </c>
      <c r="C6609" t="s">
        <v>9</v>
      </c>
      <c r="D6609">
        <v>1494</v>
      </c>
      <c r="E6609">
        <v>2021</v>
      </c>
      <c r="F6609">
        <v>4</v>
      </c>
      <c r="G6609">
        <v>12004</v>
      </c>
      <c r="H6609" s="1">
        <v>3</v>
      </c>
      <c r="I6609">
        <v>15</v>
      </c>
      <c r="J6609">
        <f>IF($H6609=0,1,IF($I6609&lt;=1,2,0))</f>
        <v>0</v>
      </c>
      <c r="K6609">
        <v>0</v>
      </c>
      <c r="L6609">
        <f>IF(AND($J6609=0,$K6609=0),0,1)</f>
        <v>0</v>
      </c>
      <c r="M6609" t="s">
        <v>1707</v>
      </c>
    </row>
    <row r="6610" spans="1:13" x14ac:dyDescent="0.2">
      <c r="A6610" t="s">
        <v>589</v>
      </c>
      <c r="B6610" t="s">
        <v>133</v>
      </c>
      <c r="C6610" t="s">
        <v>9</v>
      </c>
      <c r="D6610">
        <v>1494</v>
      </c>
      <c r="E6610">
        <v>2021</v>
      </c>
      <c r="F6610">
        <v>11</v>
      </c>
      <c r="G6610">
        <v>12011</v>
      </c>
      <c r="H6610" s="1">
        <v>3</v>
      </c>
      <c r="I6610">
        <v>14</v>
      </c>
      <c r="J6610">
        <f>IF($H6610=0,1,IF($I6610&lt;=1,2,0))</f>
        <v>0</v>
      </c>
      <c r="K6610">
        <v>0</v>
      </c>
      <c r="L6610">
        <f>IF(AND($J6610=0,$K6610=0),0,1)</f>
        <v>0</v>
      </c>
      <c r="M6610" t="s">
        <v>1707</v>
      </c>
    </row>
    <row r="6611" spans="1:13" x14ac:dyDescent="0.2">
      <c r="A6611" t="s">
        <v>589</v>
      </c>
      <c r="B6611" t="s">
        <v>133</v>
      </c>
      <c r="C6611" t="s">
        <v>9</v>
      </c>
      <c r="D6611">
        <v>1494</v>
      </c>
      <c r="E6611">
        <v>2021</v>
      </c>
      <c r="F6611">
        <v>6</v>
      </c>
      <c r="G6611">
        <v>12006</v>
      </c>
      <c r="H6611" s="1">
        <v>3</v>
      </c>
      <c r="I6611">
        <v>13</v>
      </c>
      <c r="J6611">
        <f>IF($H6611=0,1,IF($I6611&lt;=1,2,0))</f>
        <v>0</v>
      </c>
      <c r="K6611">
        <v>0</v>
      </c>
      <c r="L6611">
        <f>IF(AND($J6611=0,$K6611=0),0,1)</f>
        <v>0</v>
      </c>
      <c r="M6611" t="s">
        <v>1707</v>
      </c>
    </row>
    <row r="6612" spans="1:13" x14ac:dyDescent="0.2">
      <c r="A6612" t="s">
        <v>589</v>
      </c>
      <c r="B6612" t="s">
        <v>133</v>
      </c>
      <c r="C6612" t="s">
        <v>9</v>
      </c>
      <c r="D6612">
        <v>1494</v>
      </c>
      <c r="E6612">
        <v>2021</v>
      </c>
      <c r="F6612">
        <v>7</v>
      </c>
      <c r="G6612">
        <v>12007</v>
      </c>
      <c r="H6612" s="1">
        <v>3</v>
      </c>
      <c r="I6612">
        <v>13</v>
      </c>
      <c r="J6612">
        <f>IF($H6612=0,1,IF($I6612&lt;=1,2,0))</f>
        <v>0</v>
      </c>
      <c r="K6612">
        <v>0</v>
      </c>
      <c r="L6612">
        <f>IF(AND($J6612=0,$K6612=0),0,1)</f>
        <v>0</v>
      </c>
      <c r="M6612" t="s">
        <v>1707</v>
      </c>
    </row>
    <row r="6613" spans="1:13" x14ac:dyDescent="0.2">
      <c r="A6613" t="s">
        <v>589</v>
      </c>
      <c r="B6613" t="s">
        <v>133</v>
      </c>
      <c r="C6613" t="s">
        <v>9</v>
      </c>
      <c r="D6613">
        <v>1494</v>
      </c>
      <c r="E6613">
        <v>2021</v>
      </c>
      <c r="F6613">
        <v>3</v>
      </c>
      <c r="G6613">
        <v>12003</v>
      </c>
      <c r="H6613" s="1">
        <v>3</v>
      </c>
      <c r="I6613">
        <v>12</v>
      </c>
      <c r="J6613">
        <f>IF($H6613=0,1,IF($I6613&lt;=1,2,0))</f>
        <v>0</v>
      </c>
      <c r="K6613">
        <v>0</v>
      </c>
      <c r="L6613">
        <f>IF(AND($J6613=0,$K6613=0),0,1)</f>
        <v>0</v>
      </c>
      <c r="M6613" t="s">
        <v>1707</v>
      </c>
    </row>
    <row r="6614" spans="1:13" x14ac:dyDescent="0.2">
      <c r="A6614" t="s">
        <v>589</v>
      </c>
      <c r="B6614" t="s">
        <v>133</v>
      </c>
      <c r="C6614" t="s">
        <v>9</v>
      </c>
      <c r="D6614">
        <v>1494</v>
      </c>
      <c r="E6614">
        <v>2021</v>
      </c>
      <c r="F6614">
        <v>9</v>
      </c>
      <c r="G6614">
        <v>12009</v>
      </c>
      <c r="H6614" s="1">
        <v>3</v>
      </c>
      <c r="I6614">
        <v>12</v>
      </c>
      <c r="J6614">
        <f>IF($H6614=0,1,IF($I6614&lt;=1,2,0))</f>
        <v>0</v>
      </c>
      <c r="K6614">
        <v>0</v>
      </c>
      <c r="L6614">
        <f>IF(AND($J6614=0,$K6614=0),0,1)</f>
        <v>0</v>
      </c>
      <c r="M6614" t="s">
        <v>1707</v>
      </c>
    </row>
    <row r="6615" spans="1:13" x14ac:dyDescent="0.2">
      <c r="A6615" t="s">
        <v>589</v>
      </c>
      <c r="B6615" t="s">
        <v>133</v>
      </c>
      <c r="C6615" t="s">
        <v>9</v>
      </c>
      <c r="D6615">
        <v>1494</v>
      </c>
      <c r="E6615">
        <v>2021</v>
      </c>
      <c r="F6615">
        <v>10</v>
      </c>
      <c r="G6615">
        <v>12010</v>
      </c>
      <c r="H6615" s="1">
        <v>3</v>
      </c>
      <c r="I6615">
        <v>9</v>
      </c>
      <c r="J6615">
        <f>IF($H6615=0,1,IF($I6615&lt;=1,2,0))</f>
        <v>0</v>
      </c>
      <c r="K6615">
        <v>0</v>
      </c>
      <c r="L6615">
        <f>IF(AND($J6615=0,$K6615=0),0,1)</f>
        <v>0</v>
      </c>
      <c r="M6615" t="s">
        <v>1707</v>
      </c>
    </row>
    <row r="6616" spans="1:13" x14ac:dyDescent="0.2">
      <c r="A6616" t="s">
        <v>589</v>
      </c>
      <c r="B6616" t="s">
        <v>133</v>
      </c>
      <c r="C6616" t="s">
        <v>9</v>
      </c>
      <c r="D6616">
        <v>1494</v>
      </c>
      <c r="E6616">
        <v>2021</v>
      </c>
      <c r="F6616">
        <v>12</v>
      </c>
      <c r="G6616">
        <v>12012</v>
      </c>
      <c r="H6616" s="1">
        <v>3</v>
      </c>
      <c r="I6616">
        <v>9</v>
      </c>
      <c r="J6616">
        <f>IF($H6616=0,1,IF($I6616&lt;=1,2,0))</f>
        <v>0</v>
      </c>
      <c r="K6616">
        <v>0</v>
      </c>
      <c r="L6616">
        <f>IF(AND($J6616=0,$K6616=0),0,1)</f>
        <v>0</v>
      </c>
      <c r="M6616" t="s">
        <v>1707</v>
      </c>
    </row>
    <row r="6617" spans="1:13" x14ac:dyDescent="0.2">
      <c r="A6617" t="s">
        <v>589</v>
      </c>
      <c r="B6617" t="s">
        <v>133</v>
      </c>
      <c r="C6617" t="s">
        <v>9</v>
      </c>
      <c r="D6617">
        <v>1494</v>
      </c>
      <c r="E6617">
        <v>2021</v>
      </c>
      <c r="F6617">
        <v>5</v>
      </c>
      <c r="G6617">
        <v>12005</v>
      </c>
      <c r="H6617" s="1">
        <v>3</v>
      </c>
      <c r="I6617">
        <v>7</v>
      </c>
      <c r="J6617">
        <f>IF($H6617=0,1,IF($I6617&lt;=1,2,0))</f>
        <v>0</v>
      </c>
      <c r="K6617">
        <v>0</v>
      </c>
      <c r="L6617">
        <f>IF(AND($J6617=0,$K6617=0),0,1)</f>
        <v>0</v>
      </c>
      <c r="M6617" t="s">
        <v>1707</v>
      </c>
    </row>
    <row r="6618" spans="1:13" x14ac:dyDescent="0.2">
      <c r="A6618" t="s">
        <v>589</v>
      </c>
      <c r="B6618" t="s">
        <v>133</v>
      </c>
      <c r="C6618" t="s">
        <v>9</v>
      </c>
      <c r="D6618">
        <v>1601</v>
      </c>
      <c r="E6618">
        <v>2021</v>
      </c>
      <c r="F6618">
        <v>1</v>
      </c>
      <c r="G6618">
        <v>11939</v>
      </c>
      <c r="H6618" s="1">
        <v>3.5</v>
      </c>
      <c r="I6618">
        <v>135</v>
      </c>
      <c r="J6618">
        <f>IF($H6618=0,1,IF($I6618&lt;=1,2,0))</f>
        <v>0</v>
      </c>
      <c r="K6618">
        <v>0</v>
      </c>
      <c r="L6618">
        <f>IF(AND($J6618=0,$K6618=0),0,1)</f>
        <v>0</v>
      </c>
      <c r="M6618" t="s">
        <v>594</v>
      </c>
    </row>
    <row r="6619" spans="1:13" x14ac:dyDescent="0.2">
      <c r="A6619" t="s">
        <v>589</v>
      </c>
      <c r="B6619" t="s">
        <v>133</v>
      </c>
      <c r="C6619" t="s">
        <v>9</v>
      </c>
      <c r="D6619">
        <v>2601</v>
      </c>
      <c r="E6619">
        <v>2021</v>
      </c>
      <c r="F6619">
        <v>1</v>
      </c>
      <c r="G6619">
        <v>11940</v>
      </c>
      <c r="H6619" s="1">
        <v>3.5</v>
      </c>
      <c r="I6619">
        <v>77</v>
      </c>
      <c r="J6619">
        <f>IF($H6619=0,1,IF($I6619&lt;=1,2,0))</f>
        <v>0</v>
      </c>
      <c r="K6619">
        <v>0</v>
      </c>
      <c r="L6619">
        <f>IF(AND($J6619=0,$K6619=0),0,1)</f>
        <v>0</v>
      </c>
      <c r="M6619" t="s">
        <v>597</v>
      </c>
    </row>
    <row r="6620" spans="1:13" x14ac:dyDescent="0.2">
      <c r="A6620" t="s">
        <v>589</v>
      </c>
      <c r="B6620" t="s">
        <v>133</v>
      </c>
      <c r="C6620" t="s">
        <v>9</v>
      </c>
      <c r="D6620">
        <v>2801</v>
      </c>
      <c r="E6620">
        <v>2021</v>
      </c>
      <c r="F6620">
        <v>1</v>
      </c>
      <c r="G6620">
        <v>11941</v>
      </c>
      <c r="H6620" s="1">
        <v>4.5</v>
      </c>
      <c r="I6620">
        <v>40</v>
      </c>
      <c r="J6620">
        <f>IF($H6620=0,1,IF($I6620&lt;=1,2,0))</f>
        <v>0</v>
      </c>
      <c r="K6620">
        <v>0</v>
      </c>
      <c r="L6620">
        <f>IF(AND($J6620=0,$K6620=0),0,1)</f>
        <v>0</v>
      </c>
      <c r="M6620" t="s">
        <v>598</v>
      </c>
    </row>
    <row r="6621" spans="1:13" x14ac:dyDescent="0.2">
      <c r="A6621" t="s">
        <v>589</v>
      </c>
      <c r="B6621" t="s">
        <v>133</v>
      </c>
      <c r="C6621" t="s">
        <v>9</v>
      </c>
      <c r="D6621">
        <v>3007</v>
      </c>
      <c r="E6621">
        <v>2021</v>
      </c>
      <c r="F6621">
        <v>1</v>
      </c>
      <c r="G6621">
        <v>11942</v>
      </c>
      <c r="H6621" s="1">
        <v>3</v>
      </c>
      <c r="I6621">
        <v>53</v>
      </c>
      <c r="J6621">
        <f>IF($H6621=0,1,IF($I6621&lt;=1,2,0))</f>
        <v>0</v>
      </c>
      <c r="K6621">
        <v>0</v>
      </c>
      <c r="L6621">
        <f>IF(AND($J6621=0,$K6621=0),0,1)</f>
        <v>0</v>
      </c>
    </row>
    <row r="6622" spans="1:13" x14ac:dyDescent="0.2">
      <c r="A6622" t="s">
        <v>589</v>
      </c>
      <c r="B6622" t="s">
        <v>133</v>
      </c>
      <c r="C6622" t="s">
        <v>9</v>
      </c>
      <c r="D6622">
        <v>3072</v>
      </c>
      <c r="E6622">
        <v>2021</v>
      </c>
      <c r="F6622">
        <v>1</v>
      </c>
      <c r="G6622">
        <v>18156</v>
      </c>
      <c r="H6622" s="1">
        <v>2</v>
      </c>
      <c r="I6622">
        <v>13</v>
      </c>
      <c r="J6622">
        <f>IF($H6622=0,1,IF($I6622&lt;=1,2,0))</f>
        <v>0</v>
      </c>
      <c r="K6622">
        <v>0</v>
      </c>
      <c r="L6622">
        <f>IF(AND($J6622=0,$K6622=0),0,1)</f>
        <v>0</v>
      </c>
    </row>
    <row r="6623" spans="1:13" x14ac:dyDescent="0.2">
      <c r="A6623" t="s">
        <v>589</v>
      </c>
      <c r="B6623" t="s">
        <v>133</v>
      </c>
      <c r="C6623" t="s">
        <v>9</v>
      </c>
      <c r="D6623">
        <v>3081</v>
      </c>
      <c r="E6623">
        <v>2021</v>
      </c>
      <c r="F6623">
        <v>3</v>
      </c>
      <c r="G6623">
        <v>11945</v>
      </c>
      <c r="H6623" s="1">
        <v>2</v>
      </c>
      <c r="I6623">
        <v>12</v>
      </c>
      <c r="J6623">
        <f>IF($H6623=0,1,IF($I6623&lt;=1,2,0))</f>
        <v>0</v>
      </c>
      <c r="K6623">
        <v>0</v>
      </c>
      <c r="L6623">
        <f>IF(AND($J6623=0,$K6623=0),0,1)</f>
        <v>0</v>
      </c>
      <c r="M6623" t="s">
        <v>599</v>
      </c>
    </row>
    <row r="6624" spans="1:13" x14ac:dyDescent="0.2">
      <c r="A6624" t="s">
        <v>589</v>
      </c>
      <c r="B6624" t="s">
        <v>133</v>
      </c>
      <c r="C6624" t="s">
        <v>9</v>
      </c>
      <c r="D6624">
        <v>3081</v>
      </c>
      <c r="E6624">
        <v>2021</v>
      </c>
      <c r="F6624">
        <v>2</v>
      </c>
      <c r="G6624">
        <v>11944</v>
      </c>
      <c r="H6624" s="1">
        <v>2</v>
      </c>
      <c r="I6624">
        <v>11</v>
      </c>
      <c r="J6624">
        <f>IF($H6624=0,1,IF($I6624&lt;=1,2,0))</f>
        <v>0</v>
      </c>
      <c r="K6624">
        <v>0</v>
      </c>
      <c r="L6624">
        <f>IF(AND($J6624=0,$K6624=0),0,1)</f>
        <v>0</v>
      </c>
      <c r="M6624" t="s">
        <v>599</v>
      </c>
    </row>
    <row r="6625" spans="1:13" x14ac:dyDescent="0.2">
      <c r="A6625" t="s">
        <v>589</v>
      </c>
      <c r="B6625" t="s">
        <v>133</v>
      </c>
      <c r="C6625" t="s">
        <v>9</v>
      </c>
      <c r="D6625">
        <v>4019</v>
      </c>
      <c r="E6625">
        <v>2021</v>
      </c>
      <c r="F6625">
        <v>1</v>
      </c>
      <c r="G6625">
        <v>11948</v>
      </c>
      <c r="H6625" s="1">
        <v>3</v>
      </c>
      <c r="I6625">
        <v>19</v>
      </c>
      <c r="J6625">
        <f>IF($H6625=0,1,IF($I6625&lt;=1,2,0))</f>
        <v>0</v>
      </c>
      <c r="K6625">
        <v>0</v>
      </c>
      <c r="L6625">
        <f>IF(AND($J6625=0,$K6625=0),0,1)</f>
        <v>0</v>
      </c>
    </row>
    <row r="6626" spans="1:13" x14ac:dyDescent="0.2">
      <c r="A6626" t="s">
        <v>589</v>
      </c>
      <c r="B6626" t="s">
        <v>133</v>
      </c>
      <c r="C6626" t="s">
        <v>9</v>
      </c>
      <c r="D6626">
        <v>4021</v>
      </c>
      <c r="E6626">
        <v>2021</v>
      </c>
      <c r="F6626">
        <v>1</v>
      </c>
      <c r="G6626">
        <v>11949</v>
      </c>
      <c r="H6626" s="1">
        <v>3</v>
      </c>
      <c r="I6626">
        <v>56</v>
      </c>
      <c r="J6626">
        <f>IF($H6626=0,1,IF($I6626&lt;=1,2,0))</f>
        <v>0</v>
      </c>
      <c r="K6626">
        <v>0</v>
      </c>
      <c r="L6626">
        <f>IF(AND($J6626=0,$K6626=0),0,1)</f>
        <v>0</v>
      </c>
    </row>
    <row r="6627" spans="1:13" x14ac:dyDescent="0.2">
      <c r="A6627" t="s">
        <v>589</v>
      </c>
      <c r="B6627" t="s">
        <v>133</v>
      </c>
      <c r="C6627" t="s">
        <v>9</v>
      </c>
      <c r="D6627">
        <v>4023</v>
      </c>
      <c r="E6627">
        <v>2021</v>
      </c>
      <c r="F6627">
        <v>1</v>
      </c>
      <c r="G6627">
        <v>11950</v>
      </c>
      <c r="H6627" s="1">
        <v>3</v>
      </c>
      <c r="I6627">
        <v>23</v>
      </c>
      <c r="J6627">
        <f>IF($H6627=0,1,IF($I6627&lt;=1,2,0))</f>
        <v>0</v>
      </c>
      <c r="K6627">
        <v>0</v>
      </c>
      <c r="L6627">
        <f>IF(AND($J6627=0,$K6627=0),0,1)</f>
        <v>0</v>
      </c>
    </row>
    <row r="6628" spans="1:13" x14ac:dyDescent="0.2">
      <c r="A6628" t="s">
        <v>589</v>
      </c>
      <c r="B6628" t="s">
        <v>133</v>
      </c>
      <c r="C6628" t="s">
        <v>9</v>
      </c>
      <c r="D6628">
        <v>4040</v>
      </c>
      <c r="E6628">
        <v>2021</v>
      </c>
      <c r="F6628">
        <v>1</v>
      </c>
      <c r="G6628">
        <v>18155</v>
      </c>
      <c r="H6628" s="1">
        <v>3</v>
      </c>
      <c r="I6628">
        <v>19</v>
      </c>
      <c r="J6628">
        <f>IF($H6628=0,1,IF($I6628&lt;=1,2,0))</f>
        <v>0</v>
      </c>
      <c r="K6628">
        <v>0</v>
      </c>
      <c r="L6628">
        <f>IF(AND($J6628=0,$K6628=0),0,1)</f>
        <v>0</v>
      </c>
    </row>
    <row r="6629" spans="1:13" x14ac:dyDescent="0.2">
      <c r="A6629" t="s">
        <v>589</v>
      </c>
      <c r="B6629" t="s">
        <v>133</v>
      </c>
      <c r="C6629" t="s">
        <v>11</v>
      </c>
      <c r="D6629">
        <v>6010</v>
      </c>
      <c r="E6629">
        <v>2021</v>
      </c>
      <c r="F6629">
        <v>1</v>
      </c>
      <c r="G6629">
        <v>11951</v>
      </c>
      <c r="H6629" s="1">
        <v>3</v>
      </c>
      <c r="I6629">
        <v>5</v>
      </c>
      <c r="J6629">
        <f>IF($H6629=0,1,IF($I6629&lt;=1,2,0))</f>
        <v>0</v>
      </c>
      <c r="K6629">
        <v>0</v>
      </c>
      <c r="L6629">
        <f>IF(AND($J6629=0,$K6629=0),0,1)</f>
        <v>0</v>
      </c>
    </row>
    <row r="6630" spans="1:13" x14ac:dyDescent="0.2">
      <c r="A6630" t="s">
        <v>589</v>
      </c>
      <c r="B6630" t="s">
        <v>133</v>
      </c>
      <c r="C6630" t="s">
        <v>11</v>
      </c>
      <c r="D6630">
        <v>6036</v>
      </c>
      <c r="E6630">
        <v>2021</v>
      </c>
      <c r="F6630">
        <v>1</v>
      </c>
      <c r="G6630">
        <v>11957</v>
      </c>
      <c r="H6630" s="1">
        <v>4.5</v>
      </c>
      <c r="I6630">
        <v>22</v>
      </c>
      <c r="J6630">
        <f>IF($H6630=0,1,IF($I6630&lt;=1,2,0))</f>
        <v>0</v>
      </c>
      <c r="K6630">
        <v>0</v>
      </c>
      <c r="L6630">
        <f>IF(AND($J6630=0,$K6630=0),0,1)</f>
        <v>0</v>
      </c>
    </row>
    <row r="6631" spans="1:13" x14ac:dyDescent="0.2">
      <c r="A6631" t="s">
        <v>589</v>
      </c>
      <c r="B6631" t="s">
        <v>133</v>
      </c>
      <c r="C6631" t="s">
        <v>11</v>
      </c>
      <c r="D6631">
        <v>6037</v>
      </c>
      <c r="E6631">
        <v>2021</v>
      </c>
      <c r="F6631">
        <v>1</v>
      </c>
      <c r="G6631">
        <v>11958</v>
      </c>
      <c r="H6631" s="1">
        <v>4.5</v>
      </c>
      <c r="I6631">
        <v>20</v>
      </c>
      <c r="J6631">
        <f>IF($H6631=0,1,IF($I6631&lt;=1,2,0))</f>
        <v>0</v>
      </c>
      <c r="K6631">
        <v>0</v>
      </c>
      <c r="L6631">
        <f>IF(AND($J6631=0,$K6631=0),0,1)</f>
        <v>0</v>
      </c>
    </row>
    <row r="6632" spans="1:13" x14ac:dyDescent="0.2">
      <c r="A6632" t="s">
        <v>589</v>
      </c>
      <c r="B6632" t="s">
        <v>133</v>
      </c>
      <c r="C6632" t="s">
        <v>11</v>
      </c>
      <c r="D6632">
        <v>6050</v>
      </c>
      <c r="E6632">
        <v>2021</v>
      </c>
      <c r="F6632">
        <v>1</v>
      </c>
      <c r="G6632">
        <v>11959</v>
      </c>
      <c r="H6632" s="1">
        <v>3</v>
      </c>
      <c r="I6632">
        <v>8</v>
      </c>
      <c r="J6632">
        <f>IF($H6632=0,1,IF($I6632&lt;=1,2,0))</f>
        <v>0</v>
      </c>
      <c r="K6632">
        <v>0</v>
      </c>
      <c r="L6632">
        <f>IF(AND($J6632=0,$K6632=0),0,1)</f>
        <v>0</v>
      </c>
    </row>
    <row r="6633" spans="1:13" x14ac:dyDescent="0.2">
      <c r="A6633" t="s">
        <v>589</v>
      </c>
      <c r="B6633" t="s">
        <v>133</v>
      </c>
      <c r="C6633" t="s">
        <v>11</v>
      </c>
      <c r="D6633">
        <v>6080</v>
      </c>
      <c r="E6633">
        <v>2021</v>
      </c>
      <c r="F6633">
        <v>1</v>
      </c>
      <c r="G6633">
        <v>13368</v>
      </c>
      <c r="H6633" s="1">
        <v>3</v>
      </c>
      <c r="I6633">
        <v>14</v>
      </c>
      <c r="J6633">
        <f>IF($H6633=0,1,IF($I6633&lt;=1,2,0))</f>
        <v>0</v>
      </c>
      <c r="K6633">
        <v>0</v>
      </c>
      <c r="L6633">
        <f>IF(AND($J6633=0,$K6633=0),0,1)</f>
        <v>0</v>
      </c>
    </row>
    <row r="6634" spans="1:13" x14ac:dyDescent="0.2">
      <c r="A6634" t="s">
        <v>589</v>
      </c>
      <c r="B6634" t="s">
        <v>133</v>
      </c>
      <c r="C6634" t="s">
        <v>11</v>
      </c>
      <c r="D6634">
        <v>6092</v>
      </c>
      <c r="E6634">
        <v>2021</v>
      </c>
      <c r="F6634">
        <v>1</v>
      </c>
      <c r="G6634">
        <v>11960</v>
      </c>
      <c r="H6634" s="1">
        <v>4.5</v>
      </c>
      <c r="I6634">
        <v>12</v>
      </c>
      <c r="J6634">
        <f>IF($H6634=0,1,IF($I6634&lt;=1,2,0))</f>
        <v>0</v>
      </c>
      <c r="K6634">
        <v>0</v>
      </c>
      <c r="L6634">
        <f>IF(AND($J6634=0,$K6634=0),0,1)</f>
        <v>0</v>
      </c>
    </row>
    <row r="6635" spans="1:13" x14ac:dyDescent="0.2">
      <c r="A6635" t="s">
        <v>589</v>
      </c>
      <c r="B6635" t="s">
        <v>133</v>
      </c>
      <c r="C6635" t="s">
        <v>11</v>
      </c>
      <c r="D6635">
        <v>8048</v>
      </c>
      <c r="E6635">
        <v>2021</v>
      </c>
      <c r="F6635">
        <v>1</v>
      </c>
      <c r="G6635">
        <v>13367</v>
      </c>
      <c r="H6635" s="1">
        <v>4.5</v>
      </c>
      <c r="I6635">
        <v>6</v>
      </c>
      <c r="J6635">
        <f>IF($H6635=0,1,IF($I6635&lt;=1,2,0))</f>
        <v>0</v>
      </c>
      <c r="K6635">
        <v>0</v>
      </c>
      <c r="L6635">
        <f>IF(AND($J6635=0,$K6635=0),0,1)</f>
        <v>0</v>
      </c>
    </row>
    <row r="6636" spans="1:13" x14ac:dyDescent="0.2">
      <c r="A6636" t="s">
        <v>589</v>
      </c>
      <c r="B6636" t="s">
        <v>133</v>
      </c>
      <c r="C6636" t="s">
        <v>11</v>
      </c>
      <c r="D6636">
        <v>8083</v>
      </c>
      <c r="E6636">
        <v>2021</v>
      </c>
      <c r="F6636">
        <v>1</v>
      </c>
      <c r="G6636">
        <v>11962</v>
      </c>
      <c r="H6636" s="1">
        <v>3</v>
      </c>
      <c r="I6636">
        <v>16</v>
      </c>
      <c r="J6636">
        <f>IF($H6636=0,1,IF($I6636&lt;=1,2,0))</f>
        <v>0</v>
      </c>
      <c r="K6636">
        <v>0</v>
      </c>
      <c r="L6636">
        <f>IF(AND($J6636=0,$K6636=0),0,1)</f>
        <v>0</v>
      </c>
    </row>
    <row r="6637" spans="1:13" x14ac:dyDescent="0.2">
      <c r="A6637" t="s">
        <v>600</v>
      </c>
      <c r="B6637" t="s">
        <v>17</v>
      </c>
      <c r="C6637" t="s">
        <v>9</v>
      </c>
      <c r="D6637">
        <v>1101</v>
      </c>
      <c r="E6637">
        <v>2021</v>
      </c>
      <c r="F6637">
        <v>1</v>
      </c>
      <c r="G6637">
        <v>10141</v>
      </c>
      <c r="H6637" s="1">
        <v>4</v>
      </c>
      <c r="I6637">
        <v>5</v>
      </c>
      <c r="J6637">
        <f>IF($H6637=0,1,IF($I6637&lt;=1,2,0))</f>
        <v>0</v>
      </c>
      <c r="K6637">
        <v>0</v>
      </c>
      <c r="L6637">
        <f>IF(AND($J6637=0,$K6637=0),0,1)</f>
        <v>0</v>
      </c>
    </row>
    <row r="6638" spans="1:13" x14ac:dyDescent="0.2">
      <c r="A6638" t="s">
        <v>600</v>
      </c>
      <c r="B6638" t="s">
        <v>17</v>
      </c>
      <c r="C6638" t="s">
        <v>9</v>
      </c>
      <c r="D6638">
        <v>4101</v>
      </c>
      <c r="E6638">
        <v>2021</v>
      </c>
      <c r="F6638">
        <v>1</v>
      </c>
      <c r="G6638">
        <v>10143</v>
      </c>
      <c r="H6638" s="1">
        <v>3</v>
      </c>
      <c r="I6638">
        <v>2</v>
      </c>
      <c r="J6638">
        <f>IF($H6638=0,1,IF($I6638&lt;=1,2,0))</f>
        <v>0</v>
      </c>
      <c r="K6638">
        <v>0</v>
      </c>
      <c r="L6638">
        <f>IF(AND($J6638=0,$K6638=0),0,1)</f>
        <v>0</v>
      </c>
    </row>
    <row r="6639" spans="1:13" x14ac:dyDescent="0.2">
      <c r="A6639" t="s">
        <v>601</v>
      </c>
      <c r="B6639" t="s">
        <v>6</v>
      </c>
      <c r="C6639" t="s">
        <v>9</v>
      </c>
      <c r="D6639">
        <v>1201</v>
      </c>
      <c r="E6639">
        <v>2021</v>
      </c>
      <c r="F6639">
        <v>1</v>
      </c>
      <c r="G6639">
        <v>13271</v>
      </c>
      <c r="H6639" s="1">
        <v>4</v>
      </c>
      <c r="I6639">
        <v>292</v>
      </c>
      <c r="J6639">
        <f>IF($H6639=0,1,IF($I6639&lt;=1,2,0))</f>
        <v>0</v>
      </c>
      <c r="K6639">
        <v>0</v>
      </c>
      <c r="L6639">
        <f>IF(AND($J6639=0,$K6639=0),0,1)</f>
        <v>0</v>
      </c>
      <c r="M6639" t="s">
        <v>1708</v>
      </c>
    </row>
    <row r="6640" spans="1:13" x14ac:dyDescent="0.2">
      <c r="A6640" t="s">
        <v>601</v>
      </c>
      <c r="B6640" t="s">
        <v>6</v>
      </c>
      <c r="C6640" t="s">
        <v>21</v>
      </c>
      <c r="D6640">
        <v>1501</v>
      </c>
      <c r="E6640">
        <v>2021</v>
      </c>
      <c r="F6640">
        <v>1</v>
      </c>
      <c r="G6640">
        <v>12955</v>
      </c>
      <c r="H6640" s="1">
        <v>4</v>
      </c>
      <c r="I6640">
        <v>96</v>
      </c>
      <c r="J6640">
        <f>IF($H6640=0,1,IF($I6640&lt;=1,2,0))</f>
        <v>0</v>
      </c>
      <c r="K6640">
        <v>0</v>
      </c>
      <c r="L6640">
        <f>IF(AND($J6640=0,$K6640=0),0,1)</f>
        <v>0</v>
      </c>
      <c r="M6640" t="s">
        <v>605</v>
      </c>
    </row>
    <row r="6641" spans="1:13" x14ac:dyDescent="0.2">
      <c r="A6641" t="s">
        <v>601</v>
      </c>
      <c r="B6641" t="s">
        <v>6</v>
      </c>
      <c r="C6641" t="s">
        <v>21</v>
      </c>
      <c r="D6641">
        <v>1601</v>
      </c>
      <c r="E6641">
        <v>2021</v>
      </c>
      <c r="F6641">
        <v>1</v>
      </c>
      <c r="G6641">
        <v>293</v>
      </c>
      <c r="H6641" s="1">
        <v>4</v>
      </c>
      <c r="I6641">
        <v>199</v>
      </c>
      <c r="J6641">
        <f>IF($H6641=0,1,IF($I6641&lt;=1,2,0))</f>
        <v>0</v>
      </c>
      <c r="K6641">
        <v>0</v>
      </c>
      <c r="L6641">
        <f>IF(AND($J6641=0,$K6641=0),0,1)</f>
        <v>0</v>
      </c>
    </row>
    <row r="6642" spans="1:13" x14ac:dyDescent="0.2">
      <c r="A6642" t="s">
        <v>601</v>
      </c>
      <c r="B6642" t="s">
        <v>6</v>
      </c>
      <c r="C6642" t="s">
        <v>9</v>
      </c>
      <c r="D6642">
        <v>3002</v>
      </c>
      <c r="E6642">
        <v>2021</v>
      </c>
      <c r="F6642">
        <v>1</v>
      </c>
      <c r="G6642">
        <v>299</v>
      </c>
      <c r="H6642" s="1">
        <v>3</v>
      </c>
      <c r="I6642">
        <v>20</v>
      </c>
      <c r="J6642">
        <f>IF($H6642=0,1,IF($I6642&lt;=1,2,0))</f>
        <v>0</v>
      </c>
      <c r="K6642">
        <v>0</v>
      </c>
      <c r="L6642">
        <f>IF(AND($J6642=0,$K6642=0),0,1)</f>
        <v>0</v>
      </c>
      <c r="M6642" t="s">
        <v>1709</v>
      </c>
    </row>
    <row r="6643" spans="1:13" x14ac:dyDescent="0.2">
      <c r="A6643" t="s">
        <v>601</v>
      </c>
      <c r="B6643" t="s">
        <v>6</v>
      </c>
      <c r="C6643" t="s">
        <v>9</v>
      </c>
      <c r="D6643">
        <v>3104</v>
      </c>
      <c r="E6643">
        <v>2021</v>
      </c>
      <c r="F6643">
        <v>1</v>
      </c>
      <c r="G6643">
        <v>18239</v>
      </c>
      <c r="H6643" s="1">
        <v>3</v>
      </c>
      <c r="I6643">
        <v>23</v>
      </c>
      <c r="J6643">
        <f>IF($H6643=0,1,IF($I6643&lt;=1,2,0))</f>
        <v>0</v>
      </c>
      <c r="K6643">
        <v>0</v>
      </c>
      <c r="L6643">
        <f>IF(AND($J6643=0,$K6643=0),0,1)</f>
        <v>0</v>
      </c>
    </row>
    <row r="6644" spans="1:13" x14ac:dyDescent="0.2">
      <c r="A6644" t="s">
        <v>601</v>
      </c>
      <c r="B6644" t="s">
        <v>6</v>
      </c>
      <c r="C6644" t="s">
        <v>9</v>
      </c>
      <c r="D6644">
        <v>3176</v>
      </c>
      <c r="E6644">
        <v>2021</v>
      </c>
      <c r="F6644">
        <v>1</v>
      </c>
      <c r="G6644">
        <v>16019</v>
      </c>
      <c r="H6644" s="1">
        <v>3</v>
      </c>
      <c r="I6644">
        <v>23</v>
      </c>
      <c r="J6644">
        <f>IF($H6644=0,1,IF($I6644&lt;=1,2,0))</f>
        <v>0</v>
      </c>
      <c r="K6644">
        <v>0</v>
      </c>
      <c r="L6644">
        <f>IF(AND($J6644=0,$K6644=0),0,1)</f>
        <v>0</v>
      </c>
    </row>
    <row r="6645" spans="1:13" x14ac:dyDescent="0.2">
      <c r="A6645" t="s">
        <v>601</v>
      </c>
      <c r="B6645" t="s">
        <v>6</v>
      </c>
      <c r="C6645" t="s">
        <v>9</v>
      </c>
      <c r="D6645">
        <v>3222</v>
      </c>
      <c r="E6645">
        <v>2021</v>
      </c>
      <c r="F6645">
        <v>1</v>
      </c>
      <c r="G6645">
        <v>12969</v>
      </c>
      <c r="H6645" s="1">
        <v>3</v>
      </c>
      <c r="I6645">
        <v>95</v>
      </c>
      <c r="J6645">
        <f>IF($H6645=0,1,IF($I6645&lt;=1,2,0))</f>
        <v>0</v>
      </c>
      <c r="K6645">
        <v>0</v>
      </c>
      <c r="L6645">
        <f>IF(AND($J6645=0,$K6645=0),0,1)</f>
        <v>0</v>
      </c>
    </row>
    <row r="6646" spans="1:13" x14ac:dyDescent="0.2">
      <c r="A6646" t="s">
        <v>601</v>
      </c>
      <c r="B6646" t="s">
        <v>6</v>
      </c>
      <c r="C6646" t="s">
        <v>9</v>
      </c>
      <c r="D6646">
        <v>3285</v>
      </c>
      <c r="E6646">
        <v>2021</v>
      </c>
      <c r="F6646">
        <v>1</v>
      </c>
      <c r="G6646">
        <v>13272</v>
      </c>
      <c r="H6646" s="1">
        <v>3</v>
      </c>
      <c r="I6646">
        <v>143</v>
      </c>
      <c r="J6646">
        <f>IF($H6646=0,1,IF($I6646&lt;=1,2,0))</f>
        <v>0</v>
      </c>
      <c r="K6646">
        <v>0</v>
      </c>
      <c r="L6646">
        <f>IF(AND($J6646=0,$K6646=0),0,1)</f>
        <v>0</v>
      </c>
    </row>
    <row r="6647" spans="1:13" x14ac:dyDescent="0.2">
      <c r="A6647" t="s">
        <v>601</v>
      </c>
      <c r="B6647" t="s">
        <v>6</v>
      </c>
      <c r="C6647" t="s">
        <v>9</v>
      </c>
      <c r="D6647">
        <v>3290</v>
      </c>
      <c r="E6647">
        <v>2021</v>
      </c>
      <c r="F6647">
        <v>1</v>
      </c>
      <c r="G6647">
        <v>12904</v>
      </c>
      <c r="H6647" s="1">
        <v>3</v>
      </c>
      <c r="I6647">
        <v>112</v>
      </c>
      <c r="J6647">
        <f>IF($H6647=0,1,IF($I6647&lt;=1,2,0))</f>
        <v>0</v>
      </c>
      <c r="K6647">
        <v>0</v>
      </c>
      <c r="L6647">
        <f>IF(AND($J6647=0,$K6647=0),0,1)</f>
        <v>0</v>
      </c>
    </row>
    <row r="6648" spans="1:13" x14ac:dyDescent="0.2">
      <c r="A6648" t="s">
        <v>601</v>
      </c>
      <c r="B6648" t="s">
        <v>6</v>
      </c>
      <c r="C6648" t="s">
        <v>21</v>
      </c>
      <c r="D6648">
        <v>3401</v>
      </c>
      <c r="E6648">
        <v>2021</v>
      </c>
      <c r="F6648">
        <v>1</v>
      </c>
      <c r="G6648">
        <v>301</v>
      </c>
      <c r="H6648" s="1">
        <v>4</v>
      </c>
      <c r="I6648">
        <v>49</v>
      </c>
      <c r="J6648">
        <f>IF($H6648=0,1,IF($I6648&lt;=1,2,0))</f>
        <v>0</v>
      </c>
      <c r="K6648">
        <v>0</v>
      </c>
      <c r="L6648">
        <f>IF(AND($J6648=0,$K6648=0),0,1)</f>
        <v>0</v>
      </c>
    </row>
    <row r="6649" spans="1:13" x14ac:dyDescent="0.2">
      <c r="A6649" t="s">
        <v>601</v>
      </c>
      <c r="B6649" t="s">
        <v>6</v>
      </c>
      <c r="C6649" t="s">
        <v>9</v>
      </c>
      <c r="D6649">
        <v>3534</v>
      </c>
      <c r="E6649">
        <v>2021</v>
      </c>
      <c r="F6649">
        <v>1</v>
      </c>
      <c r="G6649">
        <v>12965</v>
      </c>
      <c r="H6649" s="1">
        <v>3</v>
      </c>
      <c r="I6649">
        <v>58</v>
      </c>
      <c r="J6649">
        <f>IF($H6649=0,1,IF($I6649&lt;=1,2,0))</f>
        <v>0</v>
      </c>
      <c r="K6649">
        <v>0</v>
      </c>
      <c r="L6649">
        <f>IF(AND($J6649=0,$K6649=0),0,1)</f>
        <v>0</v>
      </c>
    </row>
    <row r="6650" spans="1:13" x14ac:dyDescent="0.2">
      <c r="A6650" t="s">
        <v>601</v>
      </c>
      <c r="B6650" t="s">
        <v>6</v>
      </c>
      <c r="C6650" t="s">
        <v>21</v>
      </c>
      <c r="D6650">
        <v>3565</v>
      </c>
      <c r="E6650">
        <v>2021</v>
      </c>
      <c r="F6650">
        <v>1</v>
      </c>
      <c r="G6650">
        <v>752</v>
      </c>
      <c r="H6650" s="1">
        <v>3</v>
      </c>
      <c r="I6650">
        <v>30</v>
      </c>
      <c r="J6650">
        <f>IF($H6650=0,1,IF($I6650&lt;=1,2,0))</f>
        <v>0</v>
      </c>
      <c r="K6650">
        <v>0</v>
      </c>
      <c r="L6650">
        <f>IF(AND($J6650=0,$K6650=0),0,1)</f>
        <v>0</v>
      </c>
    </row>
    <row r="6651" spans="1:13" x14ac:dyDescent="0.2">
      <c r="A6651" t="s">
        <v>601</v>
      </c>
      <c r="B6651" t="s">
        <v>6</v>
      </c>
      <c r="C6651" t="s">
        <v>9</v>
      </c>
      <c r="D6651">
        <v>3623</v>
      </c>
      <c r="E6651">
        <v>2021</v>
      </c>
      <c r="F6651">
        <v>1</v>
      </c>
      <c r="G6651">
        <v>12918</v>
      </c>
      <c r="H6651" s="1">
        <v>3</v>
      </c>
      <c r="I6651">
        <v>33</v>
      </c>
      <c r="J6651">
        <f>IF($H6651=0,1,IF($I6651&lt;=1,2,0))</f>
        <v>0</v>
      </c>
      <c r="K6651">
        <v>0</v>
      </c>
      <c r="L6651">
        <f>IF(AND($J6651=0,$K6651=0),0,1)</f>
        <v>0</v>
      </c>
    </row>
    <row r="6652" spans="1:13" x14ac:dyDescent="0.2">
      <c r="A6652" t="s">
        <v>601</v>
      </c>
      <c r="B6652" t="s">
        <v>6</v>
      </c>
      <c r="C6652" t="s">
        <v>9</v>
      </c>
      <c r="D6652">
        <v>3704</v>
      </c>
      <c r="E6652">
        <v>2021</v>
      </c>
      <c r="F6652">
        <v>1</v>
      </c>
      <c r="G6652">
        <v>12885</v>
      </c>
      <c r="H6652" s="1">
        <v>3</v>
      </c>
      <c r="I6652">
        <v>53</v>
      </c>
      <c r="J6652">
        <f>IF($H6652=0,1,IF($I6652&lt;=1,2,0))</f>
        <v>0</v>
      </c>
      <c r="K6652">
        <v>0</v>
      </c>
      <c r="L6652">
        <f>IF(AND($J6652=0,$K6652=0),0,1)</f>
        <v>0</v>
      </c>
    </row>
    <row r="6653" spans="1:13" x14ac:dyDescent="0.2">
      <c r="A6653" t="s">
        <v>601</v>
      </c>
      <c r="B6653" t="s">
        <v>6</v>
      </c>
      <c r="C6653" t="s">
        <v>21</v>
      </c>
      <c r="D6653">
        <v>3706</v>
      </c>
      <c r="E6653">
        <v>2021</v>
      </c>
      <c r="F6653">
        <v>1</v>
      </c>
      <c r="G6653">
        <v>647</v>
      </c>
      <c r="H6653" s="1">
        <v>4</v>
      </c>
      <c r="I6653">
        <v>31</v>
      </c>
      <c r="J6653">
        <f>IF($H6653=0,1,IF($I6653&lt;=1,2,0))</f>
        <v>0</v>
      </c>
      <c r="K6653">
        <v>0</v>
      </c>
      <c r="L6653">
        <f>IF(AND($J6653=0,$K6653=0),0,1)</f>
        <v>0</v>
      </c>
    </row>
    <row r="6654" spans="1:13" x14ac:dyDescent="0.2">
      <c r="A6654" t="s">
        <v>601</v>
      </c>
      <c r="B6654" t="s">
        <v>6</v>
      </c>
      <c r="C6654" t="s">
        <v>9</v>
      </c>
      <c r="D6654">
        <v>3768</v>
      </c>
      <c r="E6654">
        <v>2021</v>
      </c>
      <c r="F6654">
        <v>1</v>
      </c>
      <c r="G6654">
        <v>12961</v>
      </c>
      <c r="H6654" s="1">
        <v>4</v>
      </c>
      <c r="I6654">
        <v>37</v>
      </c>
      <c r="J6654">
        <f>IF($H6654=0,1,IF($I6654&lt;=1,2,0))</f>
        <v>0</v>
      </c>
      <c r="K6654">
        <v>0</v>
      </c>
      <c r="L6654">
        <f>IF(AND($J6654=0,$K6654=0),0,1)</f>
        <v>0</v>
      </c>
      <c r="M6654" t="s">
        <v>1186</v>
      </c>
    </row>
    <row r="6655" spans="1:13" x14ac:dyDescent="0.2">
      <c r="A6655" t="s">
        <v>601</v>
      </c>
      <c r="B6655" t="s">
        <v>6</v>
      </c>
      <c r="C6655" t="s">
        <v>9</v>
      </c>
      <c r="D6655">
        <v>3911</v>
      </c>
      <c r="E6655">
        <v>2021</v>
      </c>
      <c r="F6655">
        <v>2</v>
      </c>
      <c r="G6655">
        <v>12921</v>
      </c>
      <c r="H6655" s="1">
        <v>4</v>
      </c>
      <c r="I6655">
        <v>11</v>
      </c>
      <c r="J6655">
        <f>IF($H6655=0,1,IF($I6655&lt;=1,2,0))</f>
        <v>0</v>
      </c>
      <c r="K6655">
        <v>0</v>
      </c>
      <c r="L6655">
        <f>IF(AND($J6655=0,$K6655=0),0,1)</f>
        <v>0</v>
      </c>
      <c r="M6655" t="s">
        <v>614</v>
      </c>
    </row>
    <row r="6656" spans="1:13" x14ac:dyDescent="0.2">
      <c r="A6656" t="s">
        <v>601</v>
      </c>
      <c r="B6656" t="s">
        <v>6</v>
      </c>
      <c r="C6656" t="s">
        <v>9</v>
      </c>
      <c r="D6656">
        <v>3911</v>
      </c>
      <c r="E6656">
        <v>2021</v>
      </c>
      <c r="F6656">
        <v>1</v>
      </c>
      <c r="G6656">
        <v>12907</v>
      </c>
      <c r="H6656" s="1">
        <v>4</v>
      </c>
      <c r="I6656">
        <v>10</v>
      </c>
      <c r="J6656">
        <f>IF($H6656=0,1,IF($I6656&lt;=1,2,0))</f>
        <v>0</v>
      </c>
      <c r="K6656">
        <v>0</v>
      </c>
      <c r="L6656">
        <f>IF(AND($J6656=0,$K6656=0),0,1)</f>
        <v>0</v>
      </c>
      <c r="M6656" t="s">
        <v>614</v>
      </c>
    </row>
    <row r="6657" spans="1:13" x14ac:dyDescent="0.2">
      <c r="A6657" t="s">
        <v>601</v>
      </c>
      <c r="B6657" t="s">
        <v>6</v>
      </c>
      <c r="C6657" t="s">
        <v>9</v>
      </c>
      <c r="D6657">
        <v>3921</v>
      </c>
      <c r="E6657">
        <v>2021</v>
      </c>
      <c r="F6657">
        <v>5</v>
      </c>
      <c r="G6657">
        <v>16020</v>
      </c>
      <c r="H6657" s="1">
        <v>4</v>
      </c>
      <c r="I6657">
        <v>22</v>
      </c>
      <c r="J6657">
        <f>IF($H6657=0,1,IF($I6657&lt;=1,2,0))</f>
        <v>0</v>
      </c>
      <c r="K6657">
        <v>0</v>
      </c>
      <c r="L6657">
        <f>IF(AND($J6657=0,$K6657=0),0,1)</f>
        <v>0</v>
      </c>
      <c r="M6657" t="s">
        <v>614</v>
      </c>
    </row>
    <row r="6658" spans="1:13" x14ac:dyDescent="0.2">
      <c r="A6658" t="s">
        <v>601</v>
      </c>
      <c r="B6658" t="s">
        <v>6</v>
      </c>
      <c r="C6658" t="s">
        <v>9</v>
      </c>
      <c r="D6658">
        <v>3921</v>
      </c>
      <c r="E6658">
        <v>2021</v>
      </c>
      <c r="F6658">
        <v>3</v>
      </c>
      <c r="G6658">
        <v>12899</v>
      </c>
      <c r="H6658" s="1">
        <v>4</v>
      </c>
      <c r="I6658">
        <v>21</v>
      </c>
      <c r="J6658">
        <f>IF($H6658=0,1,IF($I6658&lt;=1,2,0))</f>
        <v>0</v>
      </c>
      <c r="K6658">
        <v>0</v>
      </c>
      <c r="L6658">
        <f>IF(AND($J6658=0,$K6658=0),0,1)</f>
        <v>0</v>
      </c>
      <c r="M6658" t="s">
        <v>614</v>
      </c>
    </row>
    <row r="6659" spans="1:13" x14ac:dyDescent="0.2">
      <c r="A6659" t="s">
        <v>601</v>
      </c>
      <c r="B6659" t="s">
        <v>6</v>
      </c>
      <c r="C6659" t="s">
        <v>9</v>
      </c>
      <c r="D6659">
        <v>3921</v>
      </c>
      <c r="E6659">
        <v>2021</v>
      </c>
      <c r="F6659">
        <v>7</v>
      </c>
      <c r="G6659">
        <v>16021</v>
      </c>
      <c r="H6659" s="1">
        <v>4</v>
      </c>
      <c r="I6659">
        <v>20</v>
      </c>
      <c r="J6659">
        <f>IF($H6659=0,1,IF($I6659&lt;=1,2,0))</f>
        <v>0</v>
      </c>
      <c r="K6659">
        <v>0</v>
      </c>
      <c r="L6659">
        <f>IF(AND($J6659=0,$K6659=0),0,1)</f>
        <v>0</v>
      </c>
      <c r="M6659" t="s">
        <v>614</v>
      </c>
    </row>
    <row r="6660" spans="1:13" x14ac:dyDescent="0.2">
      <c r="A6660" t="s">
        <v>601</v>
      </c>
      <c r="B6660" t="s">
        <v>6</v>
      </c>
      <c r="C6660" t="s">
        <v>9</v>
      </c>
      <c r="D6660">
        <v>3921</v>
      </c>
      <c r="E6660">
        <v>2021</v>
      </c>
      <c r="F6660">
        <v>4</v>
      </c>
      <c r="G6660">
        <v>18154</v>
      </c>
      <c r="H6660" s="1">
        <v>4</v>
      </c>
      <c r="I6660">
        <v>15</v>
      </c>
      <c r="J6660">
        <f>IF($H6660=0,1,IF($I6660&lt;=1,2,0))</f>
        <v>0</v>
      </c>
      <c r="K6660">
        <v>0</v>
      </c>
      <c r="L6660">
        <f>IF(AND($J6660=0,$K6660=0),0,1)</f>
        <v>0</v>
      </c>
      <c r="M6660" t="s">
        <v>614</v>
      </c>
    </row>
    <row r="6661" spans="1:13" x14ac:dyDescent="0.2">
      <c r="A6661" t="s">
        <v>601</v>
      </c>
      <c r="B6661" t="s">
        <v>6</v>
      </c>
      <c r="C6661" t="s">
        <v>9</v>
      </c>
      <c r="D6661">
        <v>3921</v>
      </c>
      <c r="E6661">
        <v>2021</v>
      </c>
      <c r="F6661">
        <v>1</v>
      </c>
      <c r="G6661">
        <v>12895</v>
      </c>
      <c r="H6661" s="1">
        <v>4</v>
      </c>
      <c r="I6661">
        <v>10</v>
      </c>
      <c r="J6661">
        <f>IF($H6661=0,1,IF($I6661&lt;=1,2,0))</f>
        <v>0</v>
      </c>
      <c r="K6661">
        <v>0</v>
      </c>
      <c r="L6661">
        <f>IF(AND($J6661=0,$K6661=0),0,1)</f>
        <v>0</v>
      </c>
      <c r="M6661" t="s">
        <v>614</v>
      </c>
    </row>
    <row r="6662" spans="1:13" x14ac:dyDescent="0.2">
      <c r="A6662" t="s">
        <v>601</v>
      </c>
      <c r="B6662" t="s">
        <v>6</v>
      </c>
      <c r="C6662" t="s">
        <v>9</v>
      </c>
      <c r="D6662">
        <v>3921</v>
      </c>
      <c r="E6662">
        <v>2021</v>
      </c>
      <c r="F6662">
        <v>2</v>
      </c>
      <c r="G6662">
        <v>12896</v>
      </c>
      <c r="H6662" s="1">
        <v>4</v>
      </c>
      <c r="I6662">
        <v>10</v>
      </c>
      <c r="J6662">
        <f>IF($H6662=0,1,IF($I6662&lt;=1,2,0))</f>
        <v>0</v>
      </c>
      <c r="K6662">
        <v>0</v>
      </c>
      <c r="L6662">
        <f>IF(AND($J6662=0,$K6662=0),0,1)</f>
        <v>0</v>
      </c>
      <c r="M6662" t="s">
        <v>1712</v>
      </c>
    </row>
    <row r="6663" spans="1:13" x14ac:dyDescent="0.2">
      <c r="A6663" t="s">
        <v>601</v>
      </c>
      <c r="B6663" t="s">
        <v>6</v>
      </c>
      <c r="C6663" t="s">
        <v>9</v>
      </c>
      <c r="D6663">
        <v>3921</v>
      </c>
      <c r="E6663">
        <v>2021</v>
      </c>
      <c r="F6663">
        <v>6</v>
      </c>
      <c r="G6663">
        <v>16172</v>
      </c>
      <c r="H6663" s="1">
        <v>4</v>
      </c>
      <c r="I6663">
        <v>9</v>
      </c>
      <c r="J6663">
        <f>IF($H6663=0,1,IF($I6663&lt;=1,2,0))</f>
        <v>0</v>
      </c>
      <c r="K6663">
        <v>0</v>
      </c>
      <c r="L6663">
        <f>IF(AND($J6663=0,$K6663=0),0,1)</f>
        <v>0</v>
      </c>
      <c r="M6663" t="s">
        <v>614</v>
      </c>
    </row>
    <row r="6664" spans="1:13" x14ac:dyDescent="0.2">
      <c r="A6664" t="s">
        <v>601</v>
      </c>
      <c r="B6664" t="s">
        <v>6</v>
      </c>
      <c r="C6664" t="s">
        <v>9</v>
      </c>
      <c r="D6664">
        <v>3921</v>
      </c>
      <c r="E6664">
        <v>2021</v>
      </c>
      <c r="F6664">
        <v>8</v>
      </c>
      <c r="G6664">
        <v>18452</v>
      </c>
      <c r="H6664" s="1">
        <v>4</v>
      </c>
      <c r="I6664">
        <v>8</v>
      </c>
      <c r="J6664">
        <f>IF($H6664=0,1,IF($I6664&lt;=1,2,0))</f>
        <v>0</v>
      </c>
      <c r="K6664">
        <v>0</v>
      </c>
      <c r="L6664">
        <f>IF(AND($J6664=0,$K6664=0),0,1)</f>
        <v>0</v>
      </c>
      <c r="M6664" t="s">
        <v>614</v>
      </c>
    </row>
    <row r="6665" spans="1:13" x14ac:dyDescent="0.2">
      <c r="A6665" t="s">
        <v>601</v>
      </c>
      <c r="B6665" t="s">
        <v>6</v>
      </c>
      <c r="C6665" t="s">
        <v>9</v>
      </c>
      <c r="D6665">
        <v>3951</v>
      </c>
      <c r="E6665">
        <v>2021</v>
      </c>
      <c r="F6665">
        <v>2</v>
      </c>
      <c r="G6665">
        <v>13341</v>
      </c>
      <c r="H6665" s="1">
        <v>4</v>
      </c>
      <c r="I6665">
        <v>14</v>
      </c>
      <c r="J6665">
        <f>IF($H6665=0,1,IF($I6665&lt;=1,2,0))</f>
        <v>0</v>
      </c>
      <c r="K6665">
        <v>0</v>
      </c>
      <c r="L6665">
        <f>IF(AND($J6665=0,$K6665=0),0,1)</f>
        <v>0</v>
      </c>
      <c r="M6665" t="s">
        <v>614</v>
      </c>
    </row>
    <row r="6666" spans="1:13" x14ac:dyDescent="0.2">
      <c r="A6666" t="s">
        <v>601</v>
      </c>
      <c r="B6666" t="s">
        <v>6</v>
      </c>
      <c r="C6666" t="s">
        <v>9</v>
      </c>
      <c r="D6666">
        <v>3961</v>
      </c>
      <c r="E6666">
        <v>2021</v>
      </c>
      <c r="F6666">
        <v>4</v>
      </c>
      <c r="G6666">
        <v>18049</v>
      </c>
      <c r="H6666" s="1">
        <v>4</v>
      </c>
      <c r="I6666">
        <v>20</v>
      </c>
      <c r="J6666">
        <f>IF($H6666=0,1,IF($I6666&lt;=1,2,0))</f>
        <v>0</v>
      </c>
      <c r="K6666">
        <v>0</v>
      </c>
      <c r="L6666">
        <f>IF(AND($J6666=0,$K6666=0),0,1)</f>
        <v>0</v>
      </c>
      <c r="M6666" t="s">
        <v>614</v>
      </c>
    </row>
    <row r="6667" spans="1:13" x14ac:dyDescent="0.2">
      <c r="A6667" t="s">
        <v>601</v>
      </c>
      <c r="B6667" t="s">
        <v>6</v>
      </c>
      <c r="C6667" t="s">
        <v>9</v>
      </c>
      <c r="D6667">
        <v>3961</v>
      </c>
      <c r="E6667">
        <v>2021</v>
      </c>
      <c r="F6667">
        <v>7</v>
      </c>
      <c r="G6667">
        <v>18895</v>
      </c>
      <c r="H6667" s="1">
        <v>4</v>
      </c>
      <c r="I6667">
        <v>19</v>
      </c>
      <c r="J6667">
        <f>IF($H6667=0,1,IF($I6667&lt;=1,2,0))</f>
        <v>0</v>
      </c>
      <c r="K6667">
        <v>0</v>
      </c>
      <c r="L6667">
        <f>IF(AND($J6667=0,$K6667=0),0,1)</f>
        <v>0</v>
      </c>
      <c r="M6667" t="s">
        <v>614</v>
      </c>
    </row>
    <row r="6668" spans="1:13" x14ac:dyDescent="0.2">
      <c r="A6668" t="s">
        <v>601</v>
      </c>
      <c r="B6668" t="s">
        <v>6</v>
      </c>
      <c r="C6668" t="s">
        <v>9</v>
      </c>
      <c r="D6668">
        <v>3961</v>
      </c>
      <c r="E6668">
        <v>2021</v>
      </c>
      <c r="F6668">
        <v>2</v>
      </c>
      <c r="G6668">
        <v>12943</v>
      </c>
      <c r="H6668" s="1">
        <v>4</v>
      </c>
      <c r="I6668">
        <v>18</v>
      </c>
      <c r="J6668">
        <f>IF($H6668=0,1,IF($I6668&lt;=1,2,0))</f>
        <v>0</v>
      </c>
      <c r="K6668">
        <v>0</v>
      </c>
      <c r="L6668">
        <f>IF(AND($J6668=0,$K6668=0),0,1)</f>
        <v>0</v>
      </c>
      <c r="M6668" t="s">
        <v>614</v>
      </c>
    </row>
    <row r="6669" spans="1:13" x14ac:dyDescent="0.2">
      <c r="A6669" t="s">
        <v>601</v>
      </c>
      <c r="B6669" t="s">
        <v>6</v>
      </c>
      <c r="C6669" t="s">
        <v>9</v>
      </c>
      <c r="D6669">
        <v>3961</v>
      </c>
      <c r="E6669">
        <v>2021</v>
      </c>
      <c r="F6669">
        <v>6</v>
      </c>
      <c r="G6669">
        <v>16016</v>
      </c>
      <c r="H6669" s="1">
        <v>4</v>
      </c>
      <c r="I6669">
        <v>14</v>
      </c>
      <c r="J6669">
        <f>IF($H6669=0,1,IF($I6669&lt;=1,2,0))</f>
        <v>0</v>
      </c>
      <c r="K6669">
        <v>0</v>
      </c>
      <c r="L6669">
        <f>IF(AND($J6669=0,$K6669=0),0,1)</f>
        <v>0</v>
      </c>
      <c r="M6669" t="s">
        <v>614</v>
      </c>
    </row>
    <row r="6670" spans="1:13" x14ac:dyDescent="0.2">
      <c r="A6670" t="s">
        <v>601</v>
      </c>
      <c r="B6670" t="s">
        <v>6</v>
      </c>
      <c r="C6670" t="s">
        <v>9</v>
      </c>
      <c r="D6670">
        <v>3961</v>
      </c>
      <c r="E6670">
        <v>2021</v>
      </c>
      <c r="F6670">
        <v>5</v>
      </c>
      <c r="G6670">
        <v>16028</v>
      </c>
      <c r="H6670" s="1">
        <v>4</v>
      </c>
      <c r="I6670">
        <v>12</v>
      </c>
      <c r="J6670">
        <f>IF($H6670=0,1,IF($I6670&lt;=1,2,0))</f>
        <v>0</v>
      </c>
      <c r="K6670">
        <v>0</v>
      </c>
      <c r="L6670">
        <f>IF(AND($J6670=0,$K6670=0),0,1)</f>
        <v>0</v>
      </c>
      <c r="M6670" t="s">
        <v>614</v>
      </c>
    </row>
    <row r="6671" spans="1:13" x14ac:dyDescent="0.2">
      <c r="A6671" t="s">
        <v>601</v>
      </c>
      <c r="B6671" t="s">
        <v>6</v>
      </c>
      <c r="C6671" t="s">
        <v>9</v>
      </c>
      <c r="D6671">
        <v>3961</v>
      </c>
      <c r="E6671">
        <v>2021</v>
      </c>
      <c r="F6671">
        <v>1</v>
      </c>
      <c r="G6671">
        <v>12941</v>
      </c>
      <c r="H6671" s="1">
        <v>4</v>
      </c>
      <c r="I6671">
        <v>9</v>
      </c>
      <c r="J6671">
        <f>IF($H6671=0,1,IF($I6671&lt;=1,2,0))</f>
        <v>0</v>
      </c>
      <c r="K6671">
        <v>0</v>
      </c>
      <c r="L6671">
        <f>IF(AND($J6671=0,$K6671=0),0,1)</f>
        <v>0</v>
      </c>
      <c r="M6671" t="s">
        <v>614</v>
      </c>
    </row>
    <row r="6672" spans="1:13" x14ac:dyDescent="0.2">
      <c r="A6672" t="s">
        <v>601</v>
      </c>
      <c r="B6672" t="s">
        <v>6</v>
      </c>
      <c r="C6672" t="s">
        <v>11</v>
      </c>
      <c r="D6672">
        <v>4132</v>
      </c>
      <c r="E6672">
        <v>2021</v>
      </c>
      <c r="F6672">
        <v>1</v>
      </c>
      <c r="G6672">
        <v>17671</v>
      </c>
      <c r="H6672" s="1">
        <v>3</v>
      </c>
      <c r="I6672">
        <v>8</v>
      </c>
      <c r="J6672">
        <f>IF($H6672=0,1,IF($I6672&lt;=1,2,0))</f>
        <v>0</v>
      </c>
      <c r="K6672">
        <v>0</v>
      </c>
      <c r="L6672">
        <f>IF(AND($J6672=0,$K6672=0),0,1)</f>
        <v>0</v>
      </c>
    </row>
    <row r="6673" spans="1:13" x14ac:dyDescent="0.2">
      <c r="A6673" t="s">
        <v>601</v>
      </c>
      <c r="B6673" t="s">
        <v>6</v>
      </c>
      <c r="C6673" t="s">
        <v>9</v>
      </c>
      <c r="D6673">
        <v>4134</v>
      </c>
      <c r="E6673">
        <v>2021</v>
      </c>
      <c r="F6673">
        <v>1</v>
      </c>
      <c r="G6673">
        <v>12897</v>
      </c>
      <c r="H6673" s="1">
        <v>4</v>
      </c>
      <c r="I6673">
        <v>25</v>
      </c>
      <c r="J6673">
        <f>IF($H6673=0,1,IF($I6673&lt;=1,2,0))</f>
        <v>0</v>
      </c>
      <c r="K6673">
        <v>0</v>
      </c>
      <c r="L6673">
        <f>IF(AND($J6673=0,$K6673=0),0,1)</f>
        <v>0</v>
      </c>
      <c r="M6673" t="s">
        <v>1713</v>
      </c>
    </row>
    <row r="6674" spans="1:13" x14ac:dyDescent="0.2">
      <c r="A6674" t="s">
        <v>601</v>
      </c>
      <c r="B6674" t="s">
        <v>6</v>
      </c>
      <c r="C6674" t="s">
        <v>11</v>
      </c>
      <c r="D6674">
        <v>4453</v>
      </c>
      <c r="E6674">
        <v>2021</v>
      </c>
      <c r="F6674">
        <v>1</v>
      </c>
      <c r="G6674">
        <v>13280</v>
      </c>
      <c r="H6674" s="1">
        <v>4</v>
      </c>
      <c r="I6674">
        <v>17</v>
      </c>
      <c r="J6674">
        <f>IF($H6674=0,1,IF($I6674&lt;=1,2,0))</f>
        <v>0</v>
      </c>
      <c r="K6674">
        <v>0</v>
      </c>
      <c r="L6674">
        <f>IF(AND($J6674=0,$K6674=0),0,1)</f>
        <v>0</v>
      </c>
    </row>
    <row r="6675" spans="1:13" x14ac:dyDescent="0.2">
      <c r="A6675" t="s">
        <v>601</v>
      </c>
      <c r="B6675" t="s">
        <v>6</v>
      </c>
      <c r="C6675" t="s">
        <v>9</v>
      </c>
      <c r="D6675">
        <v>4454</v>
      </c>
      <c r="E6675">
        <v>2021</v>
      </c>
      <c r="F6675">
        <v>1</v>
      </c>
      <c r="G6675">
        <v>16023</v>
      </c>
      <c r="H6675" s="1">
        <v>4</v>
      </c>
      <c r="I6675">
        <v>19</v>
      </c>
      <c r="J6675">
        <f>IF($H6675=0,1,IF($I6675&lt;=1,2,0))</f>
        <v>0</v>
      </c>
      <c r="K6675">
        <v>0</v>
      </c>
      <c r="L6675">
        <f>IF(AND($J6675=0,$K6675=0),0,1)</f>
        <v>0</v>
      </c>
    </row>
    <row r="6676" spans="1:13" x14ac:dyDescent="0.2">
      <c r="A6676" t="s">
        <v>601</v>
      </c>
      <c r="B6676" t="s">
        <v>6</v>
      </c>
      <c r="C6676" t="s">
        <v>11</v>
      </c>
      <c r="D6676">
        <v>4471</v>
      </c>
      <c r="E6676">
        <v>2021</v>
      </c>
      <c r="F6676">
        <v>1</v>
      </c>
      <c r="G6676">
        <v>13287</v>
      </c>
      <c r="H6676" s="1">
        <v>3</v>
      </c>
      <c r="I6676">
        <v>20</v>
      </c>
      <c r="J6676">
        <f>IF($H6676=0,1,IF($I6676&lt;=1,2,0))</f>
        <v>0</v>
      </c>
      <c r="K6676">
        <v>0</v>
      </c>
      <c r="L6676">
        <f>IF(AND($J6676=0,$K6676=0),0,1)</f>
        <v>0</v>
      </c>
    </row>
    <row r="6677" spans="1:13" x14ac:dyDescent="0.2">
      <c r="A6677" t="s">
        <v>601</v>
      </c>
      <c r="B6677" t="s">
        <v>6</v>
      </c>
      <c r="C6677" t="s">
        <v>11</v>
      </c>
      <c r="D6677">
        <v>4472</v>
      </c>
      <c r="E6677">
        <v>2021</v>
      </c>
      <c r="F6677">
        <v>1</v>
      </c>
      <c r="G6677">
        <v>20278</v>
      </c>
      <c r="H6677" s="1">
        <v>4</v>
      </c>
      <c r="I6677">
        <v>8</v>
      </c>
      <c r="J6677">
        <f>IF($H6677=0,1,IF($I6677&lt;=1,2,0))</f>
        <v>0</v>
      </c>
      <c r="K6677">
        <v>0</v>
      </c>
      <c r="L6677">
        <f>IF(AND($J6677=0,$K6677=0),0,1)</f>
        <v>0</v>
      </c>
      <c r="M6677" t="s">
        <v>603</v>
      </c>
    </row>
    <row r="6678" spans="1:13" x14ac:dyDescent="0.2">
      <c r="A6678" t="s">
        <v>601</v>
      </c>
      <c r="B6678" t="s">
        <v>6</v>
      </c>
      <c r="C6678" t="s">
        <v>9</v>
      </c>
      <c r="D6678">
        <v>4496</v>
      </c>
      <c r="E6678">
        <v>2021</v>
      </c>
      <c r="F6678">
        <v>1</v>
      </c>
      <c r="G6678">
        <v>12909</v>
      </c>
      <c r="H6678" s="1">
        <v>3</v>
      </c>
      <c r="I6678">
        <v>21</v>
      </c>
      <c r="J6678">
        <f>IF($H6678=0,1,IF($I6678&lt;=1,2,0))</f>
        <v>0</v>
      </c>
      <c r="K6678">
        <v>0</v>
      </c>
      <c r="L6678">
        <f>IF(AND($J6678=0,$K6678=0),0,1)</f>
        <v>0</v>
      </c>
    </row>
    <row r="6679" spans="1:13" x14ac:dyDescent="0.2">
      <c r="A6679" t="s">
        <v>601</v>
      </c>
      <c r="B6679" t="s">
        <v>6</v>
      </c>
      <c r="C6679" t="s">
        <v>9</v>
      </c>
      <c r="D6679">
        <v>4700</v>
      </c>
      <c r="E6679">
        <v>2021</v>
      </c>
      <c r="F6679">
        <v>1</v>
      </c>
      <c r="G6679">
        <v>13274</v>
      </c>
      <c r="H6679" s="1">
        <v>4</v>
      </c>
      <c r="I6679">
        <v>18</v>
      </c>
      <c r="J6679">
        <f>IF($H6679=0,1,IF($I6679&lt;=1,2,0))</f>
        <v>0</v>
      </c>
      <c r="K6679">
        <v>0</v>
      </c>
      <c r="L6679">
        <f>IF(AND($J6679=0,$K6679=0),0,1)</f>
        <v>0</v>
      </c>
      <c r="M6679" t="s">
        <v>1191</v>
      </c>
    </row>
    <row r="6680" spans="1:13" x14ac:dyDescent="0.2">
      <c r="A6680" t="s">
        <v>601</v>
      </c>
      <c r="B6680" t="s">
        <v>6</v>
      </c>
      <c r="C6680" t="s">
        <v>9</v>
      </c>
      <c r="D6680">
        <v>4710</v>
      </c>
      <c r="E6680">
        <v>2021</v>
      </c>
      <c r="F6680">
        <v>1</v>
      </c>
      <c r="G6680">
        <v>13431</v>
      </c>
      <c r="H6680" s="1">
        <v>4</v>
      </c>
      <c r="I6680">
        <v>34</v>
      </c>
      <c r="J6680">
        <f>IF($H6680=0,1,IF($I6680&lt;=1,2,0))</f>
        <v>0</v>
      </c>
      <c r="K6680">
        <v>0</v>
      </c>
      <c r="L6680">
        <f>IF(AND($J6680=0,$K6680=0),0,1)</f>
        <v>0</v>
      </c>
      <c r="M6680" t="s">
        <v>1714</v>
      </c>
    </row>
    <row r="6681" spans="1:13" x14ac:dyDescent="0.2">
      <c r="A6681" t="s">
        <v>601</v>
      </c>
      <c r="B6681" t="s">
        <v>6</v>
      </c>
      <c r="C6681" t="s">
        <v>9</v>
      </c>
      <c r="D6681">
        <v>4724</v>
      </c>
      <c r="E6681">
        <v>2021</v>
      </c>
      <c r="F6681">
        <v>1</v>
      </c>
      <c r="G6681">
        <v>12964</v>
      </c>
      <c r="H6681" s="1">
        <v>4</v>
      </c>
      <c r="I6681">
        <v>26</v>
      </c>
      <c r="J6681">
        <f>IF($H6681=0,1,IF($I6681&lt;=1,2,0))</f>
        <v>0</v>
      </c>
      <c r="K6681">
        <v>0</v>
      </c>
      <c r="L6681">
        <f>IF(AND($J6681=0,$K6681=0),0,1)</f>
        <v>0</v>
      </c>
      <c r="M6681" t="s">
        <v>1715</v>
      </c>
    </row>
    <row r="6682" spans="1:13" x14ac:dyDescent="0.2">
      <c r="A6682" t="s">
        <v>601</v>
      </c>
      <c r="B6682" t="s">
        <v>6</v>
      </c>
      <c r="C6682" t="s">
        <v>9</v>
      </c>
      <c r="D6682">
        <v>4732</v>
      </c>
      <c r="E6682">
        <v>2021</v>
      </c>
      <c r="F6682">
        <v>1</v>
      </c>
      <c r="G6682">
        <v>12983</v>
      </c>
      <c r="H6682" s="1">
        <v>4</v>
      </c>
      <c r="I6682">
        <v>8</v>
      </c>
      <c r="J6682">
        <f>IF($H6682=0,1,IF($I6682&lt;=1,2,0))</f>
        <v>0</v>
      </c>
      <c r="K6682">
        <v>0</v>
      </c>
      <c r="L6682">
        <f>IF(AND($J6682=0,$K6682=0),0,1)</f>
        <v>0</v>
      </c>
      <c r="M6682" t="s">
        <v>619</v>
      </c>
    </row>
    <row r="6683" spans="1:13" x14ac:dyDescent="0.2">
      <c r="A6683" t="s">
        <v>601</v>
      </c>
      <c r="B6683" t="s">
        <v>6</v>
      </c>
      <c r="C6683" t="s">
        <v>9</v>
      </c>
      <c r="D6683">
        <v>4808</v>
      </c>
      <c r="E6683">
        <v>2021</v>
      </c>
      <c r="F6683">
        <v>1</v>
      </c>
      <c r="G6683">
        <v>16029</v>
      </c>
      <c r="H6683" s="1">
        <v>4</v>
      </c>
      <c r="I6683">
        <v>15</v>
      </c>
      <c r="J6683">
        <f>IF($H6683=0,1,IF($I6683&lt;=1,2,0))</f>
        <v>0</v>
      </c>
      <c r="K6683">
        <v>0</v>
      </c>
      <c r="L6683">
        <f>IF(AND($J6683=0,$K6683=0),0,1)</f>
        <v>0</v>
      </c>
      <c r="M6683" t="s">
        <v>614</v>
      </c>
    </row>
    <row r="6684" spans="1:13" x14ac:dyDescent="0.2">
      <c r="A6684" t="s">
        <v>601</v>
      </c>
      <c r="B6684" t="s">
        <v>6</v>
      </c>
      <c r="C6684" t="s">
        <v>11</v>
      </c>
      <c r="D6684">
        <v>4848</v>
      </c>
      <c r="E6684">
        <v>2021</v>
      </c>
      <c r="F6684">
        <v>1</v>
      </c>
      <c r="G6684">
        <v>17889</v>
      </c>
      <c r="H6684" s="1">
        <v>4</v>
      </c>
      <c r="I6684">
        <v>17</v>
      </c>
      <c r="J6684">
        <f>IF($H6684=0,1,IF($I6684&lt;=1,2,0))</f>
        <v>0</v>
      </c>
      <c r="K6684">
        <v>0</v>
      </c>
      <c r="L6684">
        <f>IF(AND($J6684=0,$K6684=0),0,1)</f>
        <v>0</v>
      </c>
      <c r="M6684" t="s">
        <v>614</v>
      </c>
    </row>
    <row r="6685" spans="1:13" x14ac:dyDescent="0.2">
      <c r="A6685" t="s">
        <v>601</v>
      </c>
      <c r="B6685" t="s">
        <v>6</v>
      </c>
      <c r="C6685" t="s">
        <v>9</v>
      </c>
      <c r="D6685">
        <v>4865</v>
      </c>
      <c r="E6685">
        <v>2021</v>
      </c>
      <c r="F6685">
        <v>1</v>
      </c>
      <c r="G6685">
        <v>16024</v>
      </c>
      <c r="H6685" s="1">
        <v>4</v>
      </c>
      <c r="I6685">
        <v>32</v>
      </c>
      <c r="J6685">
        <f>IF($H6685=0,1,IF($I6685&lt;=1,2,0))</f>
        <v>0</v>
      </c>
      <c r="K6685">
        <v>0</v>
      </c>
      <c r="L6685">
        <f>IF(AND($J6685=0,$K6685=0),0,1)</f>
        <v>0</v>
      </c>
      <c r="M6685" t="s">
        <v>1716</v>
      </c>
    </row>
    <row r="6686" spans="1:13" x14ac:dyDescent="0.2">
      <c r="A6686" t="s">
        <v>601</v>
      </c>
      <c r="B6686" t="s">
        <v>6</v>
      </c>
      <c r="C6686" t="s">
        <v>9</v>
      </c>
      <c r="D6686">
        <v>4895</v>
      </c>
      <c r="E6686">
        <v>2021</v>
      </c>
      <c r="F6686">
        <v>1</v>
      </c>
      <c r="G6686">
        <v>12906</v>
      </c>
      <c r="H6686" s="1">
        <v>4</v>
      </c>
      <c r="I6686">
        <v>32</v>
      </c>
      <c r="J6686">
        <f>IF($H6686=0,1,IF($I6686&lt;=1,2,0))</f>
        <v>0</v>
      </c>
      <c r="K6686">
        <v>0</v>
      </c>
      <c r="L6686">
        <f>IF(AND($J6686=0,$K6686=0),0,1)</f>
        <v>0</v>
      </c>
      <c r="M6686" t="s">
        <v>620</v>
      </c>
    </row>
    <row r="6687" spans="1:13" x14ac:dyDescent="0.2">
      <c r="A6687" t="s">
        <v>601</v>
      </c>
      <c r="B6687" t="s">
        <v>6</v>
      </c>
      <c r="C6687" t="s">
        <v>11</v>
      </c>
      <c r="D6687">
        <v>6101</v>
      </c>
      <c r="E6687">
        <v>2021</v>
      </c>
      <c r="F6687">
        <v>1</v>
      </c>
      <c r="G6687">
        <v>12967</v>
      </c>
      <c r="H6687" s="1">
        <v>4</v>
      </c>
      <c r="I6687">
        <v>11</v>
      </c>
      <c r="J6687">
        <f>IF($H6687=0,1,IF($I6687&lt;=1,2,0))</f>
        <v>0</v>
      </c>
      <c r="K6687">
        <v>0</v>
      </c>
      <c r="L6687">
        <f>IF(AND($J6687=0,$K6687=0),0,1)</f>
        <v>0</v>
      </c>
      <c r="M6687" t="s">
        <v>1717</v>
      </c>
    </row>
    <row r="6688" spans="1:13" x14ac:dyDescent="0.2">
      <c r="A6688" t="s">
        <v>601</v>
      </c>
      <c r="B6688" t="s">
        <v>6</v>
      </c>
      <c r="C6688" t="s">
        <v>11</v>
      </c>
      <c r="D6688">
        <v>6210</v>
      </c>
      <c r="E6688">
        <v>2021</v>
      </c>
      <c r="F6688">
        <v>1</v>
      </c>
      <c r="G6688">
        <v>13284</v>
      </c>
      <c r="H6688" s="1">
        <v>4</v>
      </c>
      <c r="I6688">
        <v>10</v>
      </c>
      <c r="J6688">
        <f>IF($H6688=0,1,IF($I6688&lt;=1,2,0))</f>
        <v>0</v>
      </c>
      <c r="K6688">
        <v>0</v>
      </c>
      <c r="L6688">
        <f>IF(AND($J6688=0,$K6688=0),0,1)</f>
        <v>0</v>
      </c>
      <c r="M6688" t="s">
        <v>614</v>
      </c>
    </row>
    <row r="6689" spans="1:13" x14ac:dyDescent="0.2">
      <c r="A6689" t="s">
        <v>601</v>
      </c>
      <c r="B6689" t="s">
        <v>6</v>
      </c>
      <c r="C6689" t="s">
        <v>11</v>
      </c>
      <c r="D6689">
        <v>6411</v>
      </c>
      <c r="E6689">
        <v>2021</v>
      </c>
      <c r="F6689">
        <v>1</v>
      </c>
      <c r="G6689">
        <v>13276</v>
      </c>
      <c r="H6689" s="1">
        <v>4</v>
      </c>
      <c r="I6689">
        <v>9</v>
      </c>
      <c r="J6689">
        <f>IF($H6689=0,1,IF($I6689&lt;=1,2,0))</f>
        <v>0</v>
      </c>
      <c r="K6689">
        <v>0</v>
      </c>
      <c r="L6689">
        <f>IF(AND($J6689=0,$K6689=0),0,1)</f>
        <v>0</v>
      </c>
      <c r="M6689" t="s">
        <v>614</v>
      </c>
    </row>
    <row r="6690" spans="1:13" x14ac:dyDescent="0.2">
      <c r="A6690" t="s">
        <v>601</v>
      </c>
      <c r="B6690" t="s">
        <v>6</v>
      </c>
      <c r="C6690" t="s">
        <v>11</v>
      </c>
      <c r="D6690">
        <v>6801</v>
      </c>
      <c r="E6690">
        <v>2021</v>
      </c>
      <c r="F6690">
        <v>1</v>
      </c>
      <c r="G6690">
        <v>12908</v>
      </c>
      <c r="H6690" s="1">
        <v>4</v>
      </c>
      <c r="I6690">
        <v>8</v>
      </c>
      <c r="J6690">
        <f>IF($H6690=0,1,IF($I6690&lt;=1,2,0))</f>
        <v>0</v>
      </c>
      <c r="K6690">
        <v>0</v>
      </c>
      <c r="L6690">
        <f>IF(AND($J6690=0,$K6690=0),0,1)</f>
        <v>0</v>
      </c>
      <c r="M6690" t="s">
        <v>614</v>
      </c>
    </row>
    <row r="6691" spans="1:13" x14ac:dyDescent="0.2">
      <c r="A6691" t="s">
        <v>601</v>
      </c>
      <c r="B6691" t="s">
        <v>6</v>
      </c>
      <c r="C6691" t="s">
        <v>11</v>
      </c>
      <c r="D6691">
        <v>8101</v>
      </c>
      <c r="E6691">
        <v>2021</v>
      </c>
      <c r="F6691">
        <v>1</v>
      </c>
      <c r="G6691">
        <v>13277</v>
      </c>
      <c r="H6691" s="1">
        <v>4</v>
      </c>
      <c r="I6691">
        <v>12</v>
      </c>
      <c r="J6691">
        <f>IF($H6691=0,1,IF($I6691&lt;=1,2,0))</f>
        <v>0</v>
      </c>
      <c r="K6691">
        <v>0</v>
      </c>
      <c r="L6691">
        <f>IF(AND($J6691=0,$K6691=0),0,1)</f>
        <v>0</v>
      </c>
      <c r="M6691" t="s">
        <v>614</v>
      </c>
    </row>
    <row r="6692" spans="1:13" x14ac:dyDescent="0.2">
      <c r="A6692" t="s">
        <v>601</v>
      </c>
      <c r="B6692" t="s">
        <v>6</v>
      </c>
      <c r="C6692" t="s">
        <v>11</v>
      </c>
      <c r="D6692">
        <v>8210</v>
      </c>
      <c r="E6692">
        <v>2021</v>
      </c>
      <c r="F6692">
        <v>1</v>
      </c>
      <c r="G6692">
        <v>13278</v>
      </c>
      <c r="H6692" s="1">
        <v>4</v>
      </c>
      <c r="I6692">
        <v>10</v>
      </c>
      <c r="J6692">
        <f>IF($H6692=0,1,IF($I6692&lt;=1,2,0))</f>
        <v>0</v>
      </c>
      <c r="K6692">
        <v>0</v>
      </c>
      <c r="L6692">
        <f>IF(AND($J6692=0,$K6692=0),0,1)</f>
        <v>0</v>
      </c>
      <c r="M6692" t="s">
        <v>614</v>
      </c>
    </row>
    <row r="6693" spans="1:13" x14ac:dyDescent="0.2">
      <c r="A6693" t="s">
        <v>601</v>
      </c>
      <c r="B6693" t="s">
        <v>6</v>
      </c>
      <c r="C6693" t="s">
        <v>11</v>
      </c>
      <c r="D6693">
        <v>8235</v>
      </c>
      <c r="E6693">
        <v>2021</v>
      </c>
      <c r="F6693">
        <v>1</v>
      </c>
      <c r="G6693">
        <v>13992</v>
      </c>
      <c r="H6693" s="1">
        <v>4</v>
      </c>
      <c r="I6693">
        <v>12</v>
      </c>
      <c r="J6693">
        <f>IF($H6693=0,1,IF($I6693&lt;=1,2,0))</f>
        <v>0</v>
      </c>
      <c r="K6693">
        <v>0</v>
      </c>
      <c r="L6693">
        <f>IF(AND($J6693=0,$K6693=0),0,1)</f>
        <v>0</v>
      </c>
      <c r="M6693" t="s">
        <v>614</v>
      </c>
    </row>
    <row r="6694" spans="1:13" x14ac:dyDescent="0.2">
      <c r="A6694" t="s">
        <v>601</v>
      </c>
      <c r="B6694" t="s">
        <v>6</v>
      </c>
      <c r="C6694" t="s">
        <v>11</v>
      </c>
      <c r="D6694">
        <v>8412</v>
      </c>
      <c r="E6694">
        <v>2021</v>
      </c>
      <c r="F6694">
        <v>1</v>
      </c>
      <c r="G6694">
        <v>13279</v>
      </c>
      <c r="H6694" s="1">
        <v>4</v>
      </c>
      <c r="I6694">
        <v>9</v>
      </c>
      <c r="J6694">
        <f>IF($H6694=0,1,IF($I6694&lt;=1,2,0))</f>
        <v>0</v>
      </c>
      <c r="K6694">
        <v>0</v>
      </c>
      <c r="L6694">
        <f>IF(AND($J6694=0,$K6694=0),0,1)</f>
        <v>0</v>
      </c>
      <c r="M6694" t="s">
        <v>614</v>
      </c>
    </row>
    <row r="6695" spans="1:13" x14ac:dyDescent="0.2">
      <c r="A6695" t="s">
        <v>601</v>
      </c>
      <c r="B6695" t="s">
        <v>6</v>
      </c>
      <c r="C6695" t="s">
        <v>11</v>
      </c>
      <c r="D6695">
        <v>8422</v>
      </c>
      <c r="E6695">
        <v>2021</v>
      </c>
      <c r="F6695">
        <v>1</v>
      </c>
      <c r="G6695">
        <v>13342</v>
      </c>
      <c r="H6695" s="1">
        <v>4</v>
      </c>
      <c r="I6695">
        <v>11</v>
      </c>
      <c r="J6695">
        <f>IF($H6695=0,1,IF($I6695&lt;=1,2,0))</f>
        <v>0</v>
      </c>
      <c r="K6695">
        <v>0</v>
      </c>
      <c r="L6695">
        <f>IF(AND($J6695=0,$K6695=0),0,1)</f>
        <v>0</v>
      </c>
      <c r="M6695" t="s">
        <v>614</v>
      </c>
    </row>
    <row r="6696" spans="1:13" x14ac:dyDescent="0.2">
      <c r="A6696" t="s">
        <v>601</v>
      </c>
      <c r="B6696" t="s">
        <v>6</v>
      </c>
      <c r="C6696" t="s">
        <v>11</v>
      </c>
      <c r="D6696">
        <v>8471</v>
      </c>
      <c r="E6696">
        <v>2021</v>
      </c>
      <c r="F6696">
        <v>1</v>
      </c>
      <c r="G6696">
        <v>18801</v>
      </c>
      <c r="H6696" s="1">
        <v>4</v>
      </c>
      <c r="I6696">
        <v>15</v>
      </c>
      <c r="J6696">
        <f>IF($H6696=0,1,IF($I6696&lt;=1,2,0))</f>
        <v>0</v>
      </c>
      <c r="K6696">
        <v>0</v>
      </c>
      <c r="L6696">
        <f>IF(AND($J6696=0,$K6696=0),0,1)</f>
        <v>0</v>
      </c>
      <c r="M6696" t="s">
        <v>614</v>
      </c>
    </row>
    <row r="6697" spans="1:13" x14ac:dyDescent="0.2">
      <c r="A6697" t="s">
        <v>601</v>
      </c>
      <c r="B6697" t="s">
        <v>6</v>
      </c>
      <c r="C6697" t="s">
        <v>11</v>
      </c>
      <c r="D6697">
        <v>8832</v>
      </c>
      <c r="E6697">
        <v>2021</v>
      </c>
      <c r="F6697">
        <v>1</v>
      </c>
      <c r="G6697">
        <v>16022</v>
      </c>
      <c r="H6697" s="1">
        <v>4</v>
      </c>
      <c r="I6697">
        <v>6</v>
      </c>
      <c r="J6697">
        <f>IF($H6697=0,1,IF($I6697&lt;=1,2,0))</f>
        <v>0</v>
      </c>
      <c r="K6697">
        <v>0</v>
      </c>
      <c r="L6697">
        <f>IF(AND($J6697=0,$K6697=0),0,1)</f>
        <v>0</v>
      </c>
      <c r="M6697" t="s">
        <v>614</v>
      </c>
    </row>
    <row r="6698" spans="1:13" x14ac:dyDescent="0.2">
      <c r="A6698" t="s">
        <v>621</v>
      </c>
      <c r="B6698" t="s">
        <v>17</v>
      </c>
      <c r="C6698" t="s">
        <v>9</v>
      </c>
      <c r="D6698">
        <v>1101</v>
      </c>
      <c r="E6698">
        <v>2021</v>
      </c>
      <c r="F6698">
        <v>1</v>
      </c>
      <c r="G6698">
        <v>13537</v>
      </c>
      <c r="H6698" s="1">
        <v>4</v>
      </c>
      <c r="I6698">
        <v>11</v>
      </c>
      <c r="J6698">
        <f>IF($H6698=0,1,IF($I6698&lt;=1,2,0))</f>
        <v>0</v>
      </c>
      <c r="K6698">
        <v>0</v>
      </c>
      <c r="L6698">
        <f>IF(AND($J6698=0,$K6698=0),0,1)</f>
        <v>0</v>
      </c>
      <c r="M6698" t="s">
        <v>1949</v>
      </c>
    </row>
    <row r="6699" spans="1:13" x14ac:dyDescent="0.2">
      <c r="A6699" t="s">
        <v>621</v>
      </c>
      <c r="B6699" t="s">
        <v>17</v>
      </c>
      <c r="C6699" t="s">
        <v>9</v>
      </c>
      <c r="D6699">
        <v>1102</v>
      </c>
      <c r="E6699">
        <v>2021</v>
      </c>
      <c r="F6699">
        <v>1</v>
      </c>
      <c r="G6699">
        <v>13539</v>
      </c>
      <c r="H6699" s="1">
        <v>4</v>
      </c>
      <c r="I6699">
        <v>2</v>
      </c>
      <c r="J6699">
        <f>IF($H6699=0,1,IF($I6699&lt;=1,2,0))</f>
        <v>0</v>
      </c>
      <c r="K6699">
        <v>0</v>
      </c>
      <c r="L6699">
        <f>IF(AND($J6699=0,$K6699=0),0,1)</f>
        <v>0</v>
      </c>
      <c r="M6699" t="s">
        <v>2010</v>
      </c>
    </row>
    <row r="6700" spans="1:13" x14ac:dyDescent="0.2">
      <c r="A6700" t="s">
        <v>621</v>
      </c>
      <c r="B6700" t="s">
        <v>17</v>
      </c>
      <c r="C6700" t="s">
        <v>9</v>
      </c>
      <c r="D6700">
        <v>1320</v>
      </c>
      <c r="E6700">
        <v>2021</v>
      </c>
      <c r="F6700">
        <v>2</v>
      </c>
      <c r="G6700">
        <v>13547</v>
      </c>
      <c r="H6700" s="1">
        <v>4</v>
      </c>
      <c r="I6700">
        <v>7</v>
      </c>
      <c r="J6700">
        <f>IF($H6700=0,1,IF($I6700&lt;=1,2,0))</f>
        <v>0</v>
      </c>
      <c r="K6700">
        <v>0</v>
      </c>
      <c r="L6700">
        <f>IF(AND($J6700=0,$K6700=0),0,1)</f>
        <v>0</v>
      </c>
      <c r="M6700" t="s">
        <v>1949</v>
      </c>
    </row>
    <row r="6701" spans="1:13" x14ac:dyDescent="0.2">
      <c r="A6701" t="s">
        <v>621</v>
      </c>
      <c r="B6701" t="s">
        <v>17</v>
      </c>
      <c r="C6701" t="s">
        <v>9</v>
      </c>
      <c r="D6701">
        <v>1320</v>
      </c>
      <c r="E6701">
        <v>2021</v>
      </c>
      <c r="F6701">
        <v>1</v>
      </c>
      <c r="G6701">
        <v>13540</v>
      </c>
      <c r="H6701" s="1">
        <v>4</v>
      </c>
      <c r="I6701">
        <v>4</v>
      </c>
      <c r="J6701">
        <f>IF($H6701=0,1,IF($I6701&lt;=1,2,0))</f>
        <v>0</v>
      </c>
      <c r="K6701">
        <v>0</v>
      </c>
      <c r="L6701">
        <f>IF(AND($J6701=0,$K6701=0),0,1)</f>
        <v>0</v>
      </c>
      <c r="M6701" t="s">
        <v>1949</v>
      </c>
    </row>
    <row r="6702" spans="1:13" x14ac:dyDescent="0.2">
      <c r="A6702" t="s">
        <v>621</v>
      </c>
      <c r="B6702" t="s">
        <v>17</v>
      </c>
      <c r="C6702" t="s">
        <v>9</v>
      </c>
      <c r="D6702">
        <v>2101</v>
      </c>
      <c r="E6702">
        <v>2021</v>
      </c>
      <c r="F6702">
        <v>1</v>
      </c>
      <c r="G6702">
        <v>13541</v>
      </c>
      <c r="H6702" s="1">
        <v>4</v>
      </c>
      <c r="I6702">
        <v>4</v>
      </c>
      <c r="J6702">
        <f>IF($H6702=0,1,IF($I6702&lt;=1,2,0))</f>
        <v>0</v>
      </c>
      <c r="K6702">
        <v>0</v>
      </c>
      <c r="L6702">
        <f>IF(AND($J6702=0,$K6702=0),0,1)</f>
        <v>0</v>
      </c>
      <c r="M6702" t="s">
        <v>1718</v>
      </c>
    </row>
    <row r="6703" spans="1:13" x14ac:dyDescent="0.2">
      <c r="A6703" t="s">
        <v>621</v>
      </c>
      <c r="B6703" t="s">
        <v>17</v>
      </c>
      <c r="C6703" t="s">
        <v>9</v>
      </c>
      <c r="D6703">
        <v>2102</v>
      </c>
      <c r="E6703">
        <v>2021</v>
      </c>
      <c r="F6703">
        <v>1</v>
      </c>
      <c r="G6703">
        <v>13542</v>
      </c>
      <c r="H6703" s="1">
        <v>4</v>
      </c>
      <c r="I6703">
        <v>4</v>
      </c>
      <c r="J6703">
        <f>IF($H6703=0,1,IF($I6703&lt;=1,2,0))</f>
        <v>0</v>
      </c>
      <c r="K6703">
        <v>0</v>
      </c>
      <c r="L6703">
        <f>IF(AND($J6703=0,$K6703=0),0,1)</f>
        <v>0</v>
      </c>
      <c r="M6703" t="s">
        <v>1719</v>
      </c>
    </row>
    <row r="6704" spans="1:13" x14ac:dyDescent="0.2">
      <c r="A6704" t="s">
        <v>621</v>
      </c>
      <c r="B6704" t="s">
        <v>17</v>
      </c>
      <c r="C6704" t="s">
        <v>9</v>
      </c>
      <c r="D6704">
        <v>2120</v>
      </c>
      <c r="E6704">
        <v>2021</v>
      </c>
      <c r="F6704">
        <v>1</v>
      </c>
      <c r="G6704">
        <v>13543</v>
      </c>
      <c r="H6704" s="1">
        <v>4</v>
      </c>
      <c r="I6704">
        <v>6</v>
      </c>
      <c r="J6704">
        <f>IF($H6704=0,1,IF($I6704&lt;=1,2,0))</f>
        <v>0</v>
      </c>
      <c r="K6704">
        <v>0</v>
      </c>
      <c r="L6704">
        <f>IF(AND($J6704=0,$K6704=0),0,1)</f>
        <v>0</v>
      </c>
      <c r="M6704" t="s">
        <v>1720</v>
      </c>
    </row>
    <row r="6705" spans="1:13" x14ac:dyDescent="0.2">
      <c r="A6705" t="s">
        <v>621</v>
      </c>
      <c r="B6705" t="s">
        <v>17</v>
      </c>
      <c r="C6705" t="s">
        <v>9</v>
      </c>
      <c r="D6705">
        <v>3101</v>
      </c>
      <c r="E6705">
        <v>2021</v>
      </c>
      <c r="F6705">
        <v>1</v>
      </c>
      <c r="G6705">
        <v>13544</v>
      </c>
      <c r="H6705" s="1">
        <v>3</v>
      </c>
      <c r="I6705">
        <v>4</v>
      </c>
      <c r="J6705">
        <f>IF($H6705=0,1,IF($I6705&lt;=1,2,0))</f>
        <v>0</v>
      </c>
      <c r="K6705">
        <v>0</v>
      </c>
      <c r="L6705">
        <f>IF(AND($J6705=0,$K6705=0),0,1)</f>
        <v>0</v>
      </c>
      <c r="M6705" t="s">
        <v>1197</v>
      </c>
    </row>
    <row r="6706" spans="1:13" x14ac:dyDescent="0.2">
      <c r="A6706" t="s">
        <v>621</v>
      </c>
      <c r="B6706" t="s">
        <v>17</v>
      </c>
      <c r="C6706" t="s">
        <v>9</v>
      </c>
      <c r="D6706">
        <v>3300</v>
      </c>
      <c r="E6706">
        <v>2021</v>
      </c>
      <c r="F6706">
        <v>1</v>
      </c>
      <c r="G6706">
        <v>13545</v>
      </c>
      <c r="H6706" s="1">
        <v>3</v>
      </c>
      <c r="I6706">
        <v>2</v>
      </c>
      <c r="J6706">
        <f>IF($H6706=0,1,IF($I6706&lt;=1,2,0))</f>
        <v>0</v>
      </c>
      <c r="K6706">
        <v>0</v>
      </c>
      <c r="L6706">
        <f>IF(AND($J6706=0,$K6706=0),0,1)</f>
        <v>0</v>
      </c>
      <c r="M6706" t="s">
        <v>1197</v>
      </c>
    </row>
    <row r="6707" spans="1:13" x14ac:dyDescent="0.2">
      <c r="A6707" t="s">
        <v>621</v>
      </c>
      <c r="B6707" t="s">
        <v>17</v>
      </c>
      <c r="C6707" t="s">
        <v>9</v>
      </c>
      <c r="D6707">
        <v>3490</v>
      </c>
      <c r="E6707">
        <v>2021</v>
      </c>
      <c r="F6707">
        <v>1</v>
      </c>
      <c r="G6707">
        <v>13546</v>
      </c>
      <c r="H6707" s="1">
        <v>3</v>
      </c>
      <c r="I6707">
        <v>12</v>
      </c>
      <c r="J6707">
        <f>IF($H6707=0,1,IF($I6707&lt;=1,2,0))</f>
        <v>0</v>
      </c>
      <c r="K6707">
        <v>0</v>
      </c>
      <c r="L6707">
        <f>IF(AND($J6707=0,$K6707=0),0,1)</f>
        <v>0</v>
      </c>
      <c r="M6707" t="s">
        <v>1721</v>
      </c>
    </row>
    <row r="6708" spans="1:13" x14ac:dyDescent="0.2">
      <c r="A6708" t="s">
        <v>621</v>
      </c>
      <c r="B6708" t="s">
        <v>17</v>
      </c>
      <c r="C6708" t="s">
        <v>9</v>
      </c>
      <c r="D6708">
        <v>4033</v>
      </c>
      <c r="E6708">
        <v>2021</v>
      </c>
      <c r="F6708">
        <v>1</v>
      </c>
      <c r="G6708">
        <v>13548</v>
      </c>
      <c r="H6708" s="1">
        <v>3</v>
      </c>
      <c r="I6708">
        <v>6</v>
      </c>
      <c r="J6708">
        <f>IF($H6708=0,1,IF($I6708&lt;=1,2,0))</f>
        <v>0</v>
      </c>
      <c r="K6708">
        <v>0</v>
      </c>
      <c r="L6708">
        <f>IF(AND($J6708=0,$K6708=0),0,1)</f>
        <v>0</v>
      </c>
      <c r="M6708" t="s">
        <v>1722</v>
      </c>
    </row>
    <row r="6709" spans="1:13" x14ac:dyDescent="0.2">
      <c r="A6709" t="s">
        <v>621</v>
      </c>
      <c r="B6709" t="s">
        <v>17</v>
      </c>
      <c r="C6709" t="s">
        <v>9</v>
      </c>
      <c r="D6709">
        <v>4467</v>
      </c>
      <c r="E6709">
        <v>2021</v>
      </c>
      <c r="F6709">
        <v>1</v>
      </c>
      <c r="G6709">
        <v>13999</v>
      </c>
      <c r="H6709" s="1">
        <v>3</v>
      </c>
      <c r="I6709">
        <v>17</v>
      </c>
      <c r="J6709">
        <f>IF($H6709=0,1,IF($I6709&lt;=1,2,0))</f>
        <v>0</v>
      </c>
      <c r="K6709">
        <v>0</v>
      </c>
      <c r="L6709">
        <f>IF(AND($J6709=0,$K6709=0),0,1)</f>
        <v>0</v>
      </c>
    </row>
    <row r="6710" spans="1:13" x14ac:dyDescent="0.2">
      <c r="A6710" t="s">
        <v>623</v>
      </c>
      <c r="B6710" t="s">
        <v>133</v>
      </c>
      <c r="C6710" t="s">
        <v>9</v>
      </c>
      <c r="D6710">
        <v>1001</v>
      </c>
      <c r="E6710">
        <v>2021</v>
      </c>
      <c r="F6710">
        <v>3</v>
      </c>
      <c r="G6710">
        <v>11403</v>
      </c>
      <c r="H6710" s="1">
        <v>3</v>
      </c>
      <c r="I6710">
        <v>200</v>
      </c>
      <c r="J6710">
        <f>IF($H6710=0,1,IF($I6710&lt;=1,2,0))</f>
        <v>0</v>
      </c>
      <c r="K6710">
        <v>0</v>
      </c>
      <c r="L6710">
        <f>IF(AND($J6710=0,$K6710=0),0,1)</f>
        <v>0</v>
      </c>
      <c r="M6710" t="s">
        <v>624</v>
      </c>
    </row>
    <row r="6711" spans="1:13" x14ac:dyDescent="0.2">
      <c r="A6711" t="s">
        <v>623</v>
      </c>
      <c r="B6711" t="s">
        <v>133</v>
      </c>
      <c r="C6711" t="s">
        <v>9</v>
      </c>
      <c r="D6711">
        <v>1001</v>
      </c>
      <c r="E6711">
        <v>2021</v>
      </c>
      <c r="F6711">
        <v>1</v>
      </c>
      <c r="G6711">
        <v>10017</v>
      </c>
      <c r="H6711" s="1">
        <v>3</v>
      </c>
      <c r="I6711">
        <v>149</v>
      </c>
      <c r="J6711">
        <f>IF($H6711=0,1,IF($I6711&lt;=1,2,0))</f>
        <v>0</v>
      </c>
      <c r="K6711">
        <v>0</v>
      </c>
      <c r="L6711">
        <f>IF(AND($J6711=0,$K6711=0),0,1)</f>
        <v>0</v>
      </c>
      <c r="M6711" t="s">
        <v>1723</v>
      </c>
    </row>
    <row r="6712" spans="1:13" x14ac:dyDescent="0.2">
      <c r="A6712" t="s">
        <v>623</v>
      </c>
      <c r="B6712" t="s">
        <v>133</v>
      </c>
      <c r="C6712" t="s">
        <v>9</v>
      </c>
      <c r="D6712">
        <v>1001</v>
      </c>
      <c r="E6712">
        <v>2021</v>
      </c>
      <c r="F6712">
        <v>2</v>
      </c>
      <c r="G6712">
        <v>11361</v>
      </c>
      <c r="H6712" s="1">
        <v>3</v>
      </c>
      <c r="I6712">
        <v>122</v>
      </c>
      <c r="J6712">
        <f>IF($H6712=0,1,IF($I6712&lt;=1,2,0))</f>
        <v>0</v>
      </c>
      <c r="K6712">
        <v>0</v>
      </c>
      <c r="L6712">
        <f>IF(AND($J6712=0,$K6712=0),0,1)</f>
        <v>0</v>
      </c>
      <c r="M6712" t="s">
        <v>624</v>
      </c>
    </row>
    <row r="6713" spans="1:13" x14ac:dyDescent="0.2">
      <c r="A6713" t="s">
        <v>623</v>
      </c>
      <c r="B6713" t="s">
        <v>133</v>
      </c>
      <c r="C6713" t="s">
        <v>9</v>
      </c>
      <c r="D6713">
        <v>1490</v>
      </c>
      <c r="E6713">
        <v>2021</v>
      </c>
      <c r="F6713">
        <v>1</v>
      </c>
      <c r="G6713">
        <v>10018</v>
      </c>
      <c r="H6713" s="1">
        <v>4</v>
      </c>
      <c r="I6713">
        <v>56</v>
      </c>
      <c r="J6713">
        <f>IF($H6713=0,1,IF($I6713&lt;=1,2,0))</f>
        <v>0</v>
      </c>
      <c r="K6713">
        <v>0</v>
      </c>
      <c r="L6713">
        <f>IF(AND($J6713=0,$K6713=0),0,1)</f>
        <v>0</v>
      </c>
      <c r="M6713" t="s">
        <v>1727</v>
      </c>
    </row>
    <row r="6714" spans="1:13" x14ac:dyDescent="0.2">
      <c r="A6714" t="s">
        <v>623</v>
      </c>
      <c r="B6714" t="s">
        <v>133</v>
      </c>
      <c r="C6714" t="s">
        <v>9</v>
      </c>
      <c r="D6714">
        <v>1610</v>
      </c>
      <c r="E6714">
        <v>2021</v>
      </c>
      <c r="F6714">
        <v>1</v>
      </c>
      <c r="G6714">
        <v>10013</v>
      </c>
      <c r="H6714" s="1">
        <v>4</v>
      </c>
      <c r="I6714">
        <v>42</v>
      </c>
      <c r="J6714">
        <f>IF($H6714=0,1,IF($I6714&lt;=1,2,0))</f>
        <v>0</v>
      </c>
      <c r="K6714">
        <v>0</v>
      </c>
      <c r="L6714">
        <f>IF(AND($J6714=0,$K6714=0),0,1)</f>
        <v>0</v>
      </c>
      <c r="M6714" t="s">
        <v>1728</v>
      </c>
    </row>
    <row r="6715" spans="1:13" x14ac:dyDescent="0.2">
      <c r="A6715" t="s">
        <v>623</v>
      </c>
      <c r="B6715" t="s">
        <v>133</v>
      </c>
      <c r="C6715" t="s">
        <v>9</v>
      </c>
      <c r="D6715">
        <v>2220</v>
      </c>
      <c r="E6715">
        <v>2021</v>
      </c>
      <c r="F6715">
        <v>1</v>
      </c>
      <c r="G6715">
        <v>10031</v>
      </c>
      <c r="H6715" s="1">
        <v>3</v>
      </c>
      <c r="I6715">
        <v>50</v>
      </c>
      <c r="J6715">
        <f>IF($H6715=0,1,IF($I6715&lt;=1,2,0))</f>
        <v>0</v>
      </c>
      <c r="K6715">
        <v>0</v>
      </c>
      <c r="L6715">
        <f>IF(AND($J6715=0,$K6715=0),0,1)</f>
        <v>0</v>
      </c>
    </row>
    <row r="6716" spans="1:13" x14ac:dyDescent="0.2">
      <c r="A6716" t="s">
        <v>623</v>
      </c>
      <c r="B6716" t="s">
        <v>133</v>
      </c>
      <c r="C6716" t="s">
        <v>9</v>
      </c>
      <c r="D6716">
        <v>2280</v>
      </c>
      <c r="E6716">
        <v>2021</v>
      </c>
      <c r="F6716">
        <v>1</v>
      </c>
      <c r="G6716">
        <v>10022</v>
      </c>
      <c r="H6716" s="1">
        <v>3</v>
      </c>
      <c r="I6716">
        <v>112</v>
      </c>
      <c r="J6716">
        <f>IF($H6716=0,1,IF($I6716&lt;=1,2,0))</f>
        <v>0</v>
      </c>
      <c r="K6716">
        <v>0</v>
      </c>
      <c r="L6716">
        <f>IF(AND($J6716=0,$K6716=0),0,1)</f>
        <v>0</v>
      </c>
    </row>
    <row r="6717" spans="1:13" x14ac:dyDescent="0.2">
      <c r="A6717" t="s">
        <v>623</v>
      </c>
      <c r="B6717" t="s">
        <v>133</v>
      </c>
      <c r="C6717" t="s">
        <v>9</v>
      </c>
      <c r="D6717">
        <v>2460</v>
      </c>
      <c r="E6717">
        <v>2021</v>
      </c>
      <c r="F6717">
        <v>1</v>
      </c>
      <c r="G6717">
        <v>10007</v>
      </c>
      <c r="H6717" s="1">
        <v>3</v>
      </c>
      <c r="I6717">
        <v>181</v>
      </c>
      <c r="J6717">
        <f>IF($H6717=0,1,IF($I6717&lt;=1,2,0))</f>
        <v>0</v>
      </c>
      <c r="K6717">
        <v>0</v>
      </c>
      <c r="L6717">
        <f>IF(AND($J6717=0,$K6717=0),0,1)</f>
        <v>0</v>
      </c>
    </row>
    <row r="6718" spans="1:13" x14ac:dyDescent="0.2">
      <c r="A6718" t="s">
        <v>623</v>
      </c>
      <c r="B6718" t="s">
        <v>133</v>
      </c>
      <c r="C6718" t="s">
        <v>9</v>
      </c>
      <c r="D6718">
        <v>2470</v>
      </c>
      <c r="E6718">
        <v>2021</v>
      </c>
      <c r="F6718">
        <v>1</v>
      </c>
      <c r="G6718">
        <v>10010</v>
      </c>
      <c r="H6718" s="1">
        <v>3</v>
      </c>
      <c r="I6718">
        <v>78</v>
      </c>
      <c r="J6718">
        <f>IF($H6718=0,1,IF($I6718&lt;=1,2,0))</f>
        <v>0</v>
      </c>
      <c r="K6718">
        <v>0</v>
      </c>
      <c r="L6718">
        <f>IF(AND($J6718=0,$K6718=0),0,1)</f>
        <v>0</v>
      </c>
    </row>
    <row r="6719" spans="1:13" x14ac:dyDescent="0.2">
      <c r="A6719" t="s">
        <v>623</v>
      </c>
      <c r="B6719" t="s">
        <v>133</v>
      </c>
      <c r="C6719" t="s">
        <v>9</v>
      </c>
      <c r="D6719">
        <v>2620</v>
      </c>
      <c r="E6719">
        <v>2021</v>
      </c>
      <c r="F6719">
        <v>1</v>
      </c>
      <c r="G6719">
        <v>11406</v>
      </c>
      <c r="H6719" s="1">
        <v>3</v>
      </c>
      <c r="I6719">
        <v>157</v>
      </c>
      <c r="J6719">
        <f>IF($H6719=0,1,IF($I6719&lt;=1,2,0))</f>
        <v>0</v>
      </c>
      <c r="K6719">
        <v>0</v>
      </c>
      <c r="L6719">
        <f>IF(AND($J6719=0,$K6719=0),0,1)</f>
        <v>0</v>
      </c>
    </row>
    <row r="6720" spans="1:13" x14ac:dyDescent="0.2">
      <c r="A6720" t="s">
        <v>623</v>
      </c>
      <c r="B6720" t="s">
        <v>133</v>
      </c>
      <c r="C6720" t="s">
        <v>9</v>
      </c>
      <c r="D6720">
        <v>2630</v>
      </c>
      <c r="E6720">
        <v>2021</v>
      </c>
      <c r="F6720">
        <v>1</v>
      </c>
      <c r="G6720">
        <v>10021</v>
      </c>
      <c r="H6720" s="1">
        <v>3</v>
      </c>
      <c r="I6720">
        <v>121</v>
      </c>
      <c r="J6720">
        <f>IF($H6720=0,1,IF($I6720&lt;=1,2,0))</f>
        <v>0</v>
      </c>
      <c r="K6720">
        <v>0</v>
      </c>
      <c r="L6720">
        <f>IF(AND($J6720=0,$K6720=0),0,1)</f>
        <v>0</v>
      </c>
    </row>
    <row r="6721" spans="1:13" x14ac:dyDescent="0.2">
      <c r="A6721" t="s">
        <v>623</v>
      </c>
      <c r="B6721" t="s">
        <v>133</v>
      </c>
      <c r="C6721" t="s">
        <v>9</v>
      </c>
      <c r="D6721">
        <v>2690</v>
      </c>
      <c r="E6721">
        <v>2021</v>
      </c>
      <c r="F6721">
        <v>1</v>
      </c>
      <c r="G6721">
        <v>16168</v>
      </c>
      <c r="H6721" s="1">
        <v>4</v>
      </c>
      <c r="I6721">
        <v>52</v>
      </c>
      <c r="J6721">
        <f>IF($H6721=0,1,IF($I6721&lt;=1,2,0))</f>
        <v>0</v>
      </c>
      <c r="K6721">
        <v>0</v>
      </c>
      <c r="L6721">
        <f>IF(AND($J6721=0,$K6721=0),0,1)</f>
        <v>0</v>
      </c>
    </row>
    <row r="6722" spans="1:13" x14ac:dyDescent="0.2">
      <c r="A6722" t="s">
        <v>623</v>
      </c>
      <c r="B6722" t="s">
        <v>133</v>
      </c>
      <c r="C6722" t="s">
        <v>9</v>
      </c>
      <c r="D6722">
        <v>3270</v>
      </c>
      <c r="E6722">
        <v>2021</v>
      </c>
      <c r="F6722">
        <v>1</v>
      </c>
      <c r="G6722">
        <v>12892</v>
      </c>
      <c r="H6722" s="1">
        <v>3</v>
      </c>
      <c r="I6722">
        <v>4</v>
      </c>
      <c r="J6722">
        <f>IF($H6722=0,1,IF($I6722&lt;=1,2,0))</f>
        <v>0</v>
      </c>
      <c r="K6722">
        <v>0</v>
      </c>
      <c r="L6722">
        <f>IF(AND($J6722=0,$K6722=0),0,1)</f>
        <v>0</v>
      </c>
      <c r="M6722" t="s">
        <v>1205</v>
      </c>
    </row>
    <row r="6723" spans="1:13" x14ac:dyDescent="0.2">
      <c r="A6723" t="s">
        <v>623</v>
      </c>
      <c r="B6723" t="s">
        <v>133</v>
      </c>
      <c r="C6723" t="s">
        <v>9</v>
      </c>
      <c r="D6723">
        <v>3445</v>
      </c>
      <c r="E6723">
        <v>2021</v>
      </c>
      <c r="F6723">
        <v>1</v>
      </c>
      <c r="G6723">
        <v>10019</v>
      </c>
      <c r="H6723" s="1">
        <v>4</v>
      </c>
      <c r="I6723">
        <v>13</v>
      </c>
      <c r="J6723">
        <f>IF($H6723=0,1,IF($I6723&lt;=1,2,0))</f>
        <v>0</v>
      </c>
      <c r="K6723">
        <v>0</v>
      </c>
      <c r="L6723">
        <f>IF(AND($J6723=0,$K6723=0),0,1)</f>
        <v>0</v>
      </c>
      <c r="M6723" t="s">
        <v>1205</v>
      </c>
    </row>
    <row r="6724" spans="1:13" x14ac:dyDescent="0.2">
      <c r="A6724" t="s">
        <v>623</v>
      </c>
      <c r="B6724" t="s">
        <v>133</v>
      </c>
      <c r="C6724" t="s">
        <v>9</v>
      </c>
      <c r="D6724">
        <v>3450</v>
      </c>
      <c r="E6724">
        <v>2021</v>
      </c>
      <c r="F6724">
        <v>1</v>
      </c>
      <c r="G6724">
        <v>10032</v>
      </c>
      <c r="H6724" s="1">
        <v>3</v>
      </c>
      <c r="I6724">
        <v>12</v>
      </c>
      <c r="J6724">
        <f>IF($H6724=0,1,IF($I6724&lt;=1,2,0))</f>
        <v>0</v>
      </c>
      <c r="K6724">
        <v>0</v>
      </c>
      <c r="L6724">
        <f>IF(AND($J6724=0,$K6724=0),0,1)</f>
        <v>0</v>
      </c>
      <c r="M6724" t="s">
        <v>637</v>
      </c>
    </row>
    <row r="6725" spans="1:13" x14ac:dyDescent="0.2">
      <c r="A6725" t="s">
        <v>623</v>
      </c>
      <c r="B6725" t="s">
        <v>133</v>
      </c>
      <c r="C6725" t="s">
        <v>9</v>
      </c>
      <c r="D6725">
        <v>3496</v>
      </c>
      <c r="E6725">
        <v>2021</v>
      </c>
      <c r="F6725">
        <v>1</v>
      </c>
      <c r="G6725">
        <v>14940</v>
      </c>
      <c r="H6725" s="1">
        <v>3</v>
      </c>
      <c r="I6725">
        <v>14</v>
      </c>
      <c r="J6725">
        <f>IF($H6725=0,1,IF($I6725&lt;=1,2,0))</f>
        <v>0</v>
      </c>
      <c r="K6725">
        <v>0</v>
      </c>
      <c r="L6725">
        <f>IF(AND($J6725=0,$K6725=0),0,1)</f>
        <v>0</v>
      </c>
      <c r="M6725" t="s">
        <v>637</v>
      </c>
    </row>
    <row r="6726" spans="1:13" x14ac:dyDescent="0.2">
      <c r="A6726" t="s">
        <v>623</v>
      </c>
      <c r="B6726" t="s">
        <v>133</v>
      </c>
      <c r="C6726" t="s">
        <v>9</v>
      </c>
      <c r="D6726">
        <v>3623</v>
      </c>
      <c r="E6726">
        <v>2021</v>
      </c>
      <c r="F6726">
        <v>1</v>
      </c>
      <c r="G6726">
        <v>11405</v>
      </c>
      <c r="H6726" s="1">
        <v>4</v>
      </c>
      <c r="I6726">
        <v>15</v>
      </c>
      <c r="J6726">
        <f>IF($H6726=0,1,IF($I6726&lt;=1,2,0))</f>
        <v>0</v>
      </c>
      <c r="K6726">
        <v>0</v>
      </c>
      <c r="L6726">
        <f>IF(AND($J6726=0,$K6726=0),0,1)</f>
        <v>0</v>
      </c>
      <c r="M6726" t="s">
        <v>637</v>
      </c>
    </row>
    <row r="6727" spans="1:13" x14ac:dyDescent="0.2">
      <c r="A6727" t="s">
        <v>623</v>
      </c>
      <c r="B6727" t="s">
        <v>133</v>
      </c>
      <c r="C6727" t="s">
        <v>9</v>
      </c>
      <c r="D6727">
        <v>3624</v>
      </c>
      <c r="E6727">
        <v>2021</v>
      </c>
      <c r="F6727">
        <v>1</v>
      </c>
      <c r="G6727">
        <v>10033</v>
      </c>
      <c r="H6727" s="1">
        <v>4</v>
      </c>
      <c r="I6727">
        <v>14</v>
      </c>
      <c r="J6727">
        <f>IF($H6727=0,1,IF($I6727&lt;=1,2,0))</f>
        <v>0</v>
      </c>
      <c r="K6727">
        <v>0</v>
      </c>
      <c r="L6727">
        <f>IF(AND($J6727=0,$K6727=0),0,1)</f>
        <v>0</v>
      </c>
      <c r="M6727" t="s">
        <v>637</v>
      </c>
    </row>
    <row r="6728" spans="1:13" x14ac:dyDescent="0.2">
      <c r="A6728" t="s">
        <v>623</v>
      </c>
      <c r="B6728" t="s">
        <v>133</v>
      </c>
      <c r="C6728" t="s">
        <v>9</v>
      </c>
      <c r="D6728">
        <v>4202</v>
      </c>
      <c r="E6728">
        <v>2021</v>
      </c>
      <c r="F6728">
        <v>1</v>
      </c>
      <c r="G6728">
        <v>10029</v>
      </c>
      <c r="H6728" s="1">
        <v>4</v>
      </c>
      <c r="I6728">
        <v>11</v>
      </c>
      <c r="J6728">
        <f>IF($H6728=0,1,IF($I6728&lt;=1,2,0))</f>
        <v>0</v>
      </c>
      <c r="K6728">
        <v>0</v>
      </c>
      <c r="L6728">
        <f>IF(AND($J6728=0,$K6728=0),0,1)</f>
        <v>0</v>
      </c>
      <c r="M6728" t="s">
        <v>637</v>
      </c>
    </row>
    <row r="6729" spans="1:13" x14ac:dyDescent="0.2">
      <c r="A6729" t="s">
        <v>623</v>
      </c>
      <c r="B6729" t="s">
        <v>133</v>
      </c>
      <c r="C6729" t="s">
        <v>11</v>
      </c>
      <c r="D6729">
        <v>4235</v>
      </c>
      <c r="E6729">
        <v>2021</v>
      </c>
      <c r="F6729">
        <v>1</v>
      </c>
      <c r="G6729">
        <v>12891</v>
      </c>
      <c r="H6729" s="1">
        <v>3</v>
      </c>
      <c r="I6729">
        <v>4</v>
      </c>
      <c r="J6729">
        <f>IF($H6729=0,1,IF($I6729&lt;=1,2,0))</f>
        <v>0</v>
      </c>
      <c r="K6729">
        <v>0</v>
      </c>
      <c r="L6729">
        <f>IF(AND($J6729=0,$K6729=0),0,1)</f>
        <v>0</v>
      </c>
      <c r="M6729" t="s">
        <v>1205</v>
      </c>
    </row>
    <row r="6730" spans="1:13" x14ac:dyDescent="0.2">
      <c r="A6730" t="s">
        <v>623</v>
      </c>
      <c r="B6730" t="s">
        <v>133</v>
      </c>
      <c r="C6730" t="s">
        <v>9</v>
      </c>
      <c r="D6730">
        <v>4239</v>
      </c>
      <c r="E6730">
        <v>2021</v>
      </c>
      <c r="F6730">
        <v>1</v>
      </c>
      <c r="G6730">
        <v>10028</v>
      </c>
      <c r="H6730" s="1">
        <v>3</v>
      </c>
      <c r="I6730">
        <v>14</v>
      </c>
      <c r="J6730">
        <f>IF($H6730=0,1,IF($I6730&lt;=1,2,0))</f>
        <v>0</v>
      </c>
      <c r="K6730">
        <v>0</v>
      </c>
      <c r="L6730">
        <f>IF(AND($J6730=0,$K6730=0),0,1)</f>
        <v>0</v>
      </c>
      <c r="M6730" t="s">
        <v>637</v>
      </c>
    </row>
    <row r="6731" spans="1:13" x14ac:dyDescent="0.2">
      <c r="A6731" t="s">
        <v>623</v>
      </c>
      <c r="B6731" t="s">
        <v>133</v>
      </c>
      <c r="C6731" t="s">
        <v>9</v>
      </c>
      <c r="D6731">
        <v>4244</v>
      </c>
      <c r="E6731">
        <v>2021</v>
      </c>
      <c r="F6731">
        <v>1</v>
      </c>
      <c r="G6731">
        <v>10030</v>
      </c>
      <c r="H6731" s="1">
        <v>4</v>
      </c>
      <c r="I6731">
        <v>14</v>
      </c>
      <c r="J6731">
        <f>IF($H6731=0,1,IF($I6731&lt;=1,2,0))</f>
        <v>0</v>
      </c>
      <c r="K6731">
        <v>0</v>
      </c>
      <c r="L6731">
        <f>IF(AND($J6731=0,$K6731=0),0,1)</f>
        <v>0</v>
      </c>
      <c r="M6731" t="s">
        <v>637</v>
      </c>
    </row>
    <row r="6732" spans="1:13" x14ac:dyDescent="0.2">
      <c r="A6732" t="s">
        <v>623</v>
      </c>
      <c r="B6732" t="s">
        <v>133</v>
      </c>
      <c r="C6732" t="s">
        <v>11</v>
      </c>
      <c r="D6732">
        <v>4280</v>
      </c>
      <c r="E6732">
        <v>2021</v>
      </c>
      <c r="F6732">
        <v>1</v>
      </c>
      <c r="G6732">
        <v>13532</v>
      </c>
      <c r="H6732" s="1">
        <v>4</v>
      </c>
      <c r="I6732">
        <v>13</v>
      </c>
      <c r="J6732">
        <f>IF($H6732=0,1,IF($I6732&lt;=1,2,0))</f>
        <v>0</v>
      </c>
      <c r="K6732">
        <v>0</v>
      </c>
      <c r="L6732">
        <f>IF(AND($J6732=0,$K6732=0),0,1)</f>
        <v>0</v>
      </c>
    </row>
    <row r="6733" spans="1:13" x14ac:dyDescent="0.2">
      <c r="A6733" t="s">
        <v>623</v>
      </c>
      <c r="B6733" t="s">
        <v>133</v>
      </c>
      <c r="C6733" t="s">
        <v>9</v>
      </c>
      <c r="D6733">
        <v>4281</v>
      </c>
      <c r="E6733">
        <v>2021</v>
      </c>
      <c r="F6733">
        <v>1</v>
      </c>
      <c r="G6733">
        <v>10066</v>
      </c>
      <c r="H6733" s="1">
        <v>4</v>
      </c>
      <c r="I6733">
        <v>15</v>
      </c>
      <c r="J6733">
        <f>IF($H6733=0,1,IF($I6733&lt;=1,2,0))</f>
        <v>0</v>
      </c>
      <c r="K6733">
        <v>0</v>
      </c>
      <c r="L6733">
        <f>IF(AND($J6733=0,$K6733=0),0,1)</f>
        <v>0</v>
      </c>
      <c r="M6733" t="s">
        <v>637</v>
      </c>
    </row>
    <row r="6734" spans="1:13" x14ac:dyDescent="0.2">
      <c r="A6734" t="s">
        <v>623</v>
      </c>
      <c r="B6734" t="s">
        <v>133</v>
      </c>
      <c r="C6734" t="s">
        <v>9</v>
      </c>
      <c r="D6734">
        <v>4281</v>
      </c>
      <c r="E6734">
        <v>2021</v>
      </c>
      <c r="F6734">
        <v>2</v>
      </c>
      <c r="G6734">
        <v>17067</v>
      </c>
      <c r="H6734" s="1">
        <v>4</v>
      </c>
      <c r="I6734">
        <v>11</v>
      </c>
      <c r="J6734">
        <f>IF($H6734=0,1,IF($I6734&lt;=1,2,0))</f>
        <v>0</v>
      </c>
      <c r="K6734">
        <v>0</v>
      </c>
      <c r="L6734">
        <f>IF(AND($J6734=0,$K6734=0),0,1)</f>
        <v>0</v>
      </c>
      <c r="M6734" t="s">
        <v>637</v>
      </c>
    </row>
    <row r="6735" spans="1:13" x14ac:dyDescent="0.2">
      <c r="A6735" t="s">
        <v>623</v>
      </c>
      <c r="B6735" t="s">
        <v>133</v>
      </c>
      <c r="C6735" t="s">
        <v>11</v>
      </c>
      <c r="D6735">
        <v>4435</v>
      </c>
      <c r="E6735">
        <v>2021</v>
      </c>
      <c r="F6735">
        <v>1</v>
      </c>
      <c r="G6735">
        <v>10020</v>
      </c>
      <c r="H6735" s="1">
        <v>4</v>
      </c>
      <c r="I6735">
        <v>10</v>
      </c>
      <c r="J6735">
        <f>IF($H6735=0,1,IF($I6735&lt;=1,2,0))</f>
        <v>0</v>
      </c>
      <c r="K6735">
        <v>0</v>
      </c>
      <c r="L6735">
        <f>IF(AND($J6735=0,$K6735=0),0,1)</f>
        <v>0</v>
      </c>
      <c r="M6735" t="s">
        <v>1205</v>
      </c>
    </row>
    <row r="6736" spans="1:13" x14ac:dyDescent="0.2">
      <c r="A6736" t="s">
        <v>623</v>
      </c>
      <c r="B6736" t="s">
        <v>133</v>
      </c>
      <c r="C6736" t="s">
        <v>11</v>
      </c>
      <c r="D6736">
        <v>4440</v>
      </c>
      <c r="E6736">
        <v>2021</v>
      </c>
      <c r="F6736">
        <v>1</v>
      </c>
      <c r="G6736">
        <v>11407</v>
      </c>
      <c r="H6736" s="1">
        <v>3</v>
      </c>
      <c r="I6736">
        <v>9</v>
      </c>
      <c r="J6736">
        <f>IF($H6736=0,1,IF($I6736&lt;=1,2,0))</f>
        <v>0</v>
      </c>
      <c r="K6736">
        <v>0</v>
      </c>
      <c r="L6736">
        <f>IF(AND($J6736=0,$K6736=0),0,1)</f>
        <v>0</v>
      </c>
      <c r="M6736" t="s">
        <v>1732</v>
      </c>
    </row>
    <row r="6737" spans="1:13" x14ac:dyDescent="0.2">
      <c r="A6737" t="s">
        <v>623</v>
      </c>
      <c r="B6737" t="s">
        <v>133</v>
      </c>
      <c r="C6737" t="s">
        <v>11</v>
      </c>
      <c r="D6737">
        <v>4470</v>
      </c>
      <c r="E6737">
        <v>2021</v>
      </c>
      <c r="F6737">
        <v>1</v>
      </c>
      <c r="G6737">
        <v>10065</v>
      </c>
      <c r="H6737" s="1">
        <v>4</v>
      </c>
      <c r="I6737">
        <v>10</v>
      </c>
      <c r="J6737">
        <f>IF($H6737=0,1,IF($I6737&lt;=1,2,0))</f>
        <v>0</v>
      </c>
      <c r="K6737">
        <v>0</v>
      </c>
      <c r="L6737">
        <f>IF(AND($J6737=0,$K6737=0),0,1)</f>
        <v>0</v>
      </c>
      <c r="M6737" t="s">
        <v>637</v>
      </c>
    </row>
    <row r="6738" spans="1:13" x14ac:dyDescent="0.2">
      <c r="A6738" t="s">
        <v>623</v>
      </c>
      <c r="B6738" t="s">
        <v>133</v>
      </c>
      <c r="C6738" t="s">
        <v>11</v>
      </c>
      <c r="D6738">
        <v>4498</v>
      </c>
      <c r="E6738">
        <v>2021</v>
      </c>
      <c r="F6738">
        <v>1</v>
      </c>
      <c r="G6738">
        <v>10034</v>
      </c>
      <c r="H6738" s="1">
        <v>4</v>
      </c>
      <c r="I6738">
        <v>13</v>
      </c>
      <c r="J6738">
        <f>IF($H6738=0,1,IF($I6738&lt;=1,2,0))</f>
        <v>0</v>
      </c>
      <c r="K6738">
        <v>0</v>
      </c>
      <c r="L6738">
        <f>IF(AND($J6738=0,$K6738=0),0,1)</f>
        <v>0</v>
      </c>
      <c r="M6738" t="s">
        <v>637</v>
      </c>
    </row>
    <row r="6739" spans="1:13" x14ac:dyDescent="0.2">
      <c r="A6739" t="s">
        <v>623</v>
      </c>
      <c r="B6739" t="s">
        <v>133</v>
      </c>
      <c r="C6739" t="s">
        <v>11</v>
      </c>
      <c r="D6739">
        <v>4645</v>
      </c>
      <c r="E6739">
        <v>2021</v>
      </c>
      <c r="F6739">
        <v>1</v>
      </c>
      <c r="G6739">
        <v>11398</v>
      </c>
      <c r="H6739" s="1">
        <v>4</v>
      </c>
      <c r="I6739">
        <v>12</v>
      </c>
      <c r="J6739">
        <f>IF($H6739=0,1,IF($I6739&lt;=1,2,0))</f>
        <v>0</v>
      </c>
      <c r="K6739">
        <v>0</v>
      </c>
      <c r="L6739">
        <f>IF(AND($J6739=0,$K6739=0),0,1)</f>
        <v>0</v>
      </c>
      <c r="M6739" t="s">
        <v>637</v>
      </c>
    </row>
    <row r="6740" spans="1:13" x14ac:dyDescent="0.2">
      <c r="A6740" t="s">
        <v>623</v>
      </c>
      <c r="B6740" t="s">
        <v>133</v>
      </c>
      <c r="C6740" t="s">
        <v>11</v>
      </c>
      <c r="D6740">
        <v>4672</v>
      </c>
      <c r="E6740">
        <v>2021</v>
      </c>
      <c r="F6740">
        <v>1</v>
      </c>
      <c r="G6740">
        <v>10012</v>
      </c>
      <c r="H6740" s="1">
        <v>4</v>
      </c>
      <c r="I6740">
        <v>12</v>
      </c>
      <c r="J6740">
        <f>IF($H6740=0,1,IF($I6740&lt;=1,2,0))</f>
        <v>0</v>
      </c>
      <c r="K6740">
        <v>0</v>
      </c>
      <c r="L6740">
        <f>IF(AND($J6740=0,$K6740=0),0,1)</f>
        <v>0</v>
      </c>
      <c r="M6740" t="s">
        <v>637</v>
      </c>
    </row>
    <row r="6741" spans="1:13" x14ac:dyDescent="0.2">
      <c r="A6741" t="s">
        <v>623</v>
      </c>
      <c r="B6741" t="s">
        <v>133</v>
      </c>
      <c r="C6741" t="s">
        <v>9</v>
      </c>
      <c r="D6741">
        <v>4682</v>
      </c>
      <c r="E6741">
        <v>2021</v>
      </c>
      <c r="F6741">
        <v>1</v>
      </c>
      <c r="G6741">
        <v>10008</v>
      </c>
      <c r="H6741" s="1">
        <v>4</v>
      </c>
      <c r="I6741">
        <v>11</v>
      </c>
      <c r="J6741">
        <f>IF($H6741=0,1,IF($I6741&lt;=1,2,0))</f>
        <v>0</v>
      </c>
      <c r="K6741">
        <v>0</v>
      </c>
      <c r="L6741">
        <f>IF(AND($J6741=0,$K6741=0),0,1)</f>
        <v>0</v>
      </c>
      <c r="M6741" t="s">
        <v>1205</v>
      </c>
    </row>
    <row r="6742" spans="1:13" x14ac:dyDescent="0.2">
      <c r="A6742" t="s">
        <v>623</v>
      </c>
      <c r="B6742" t="s">
        <v>133</v>
      </c>
      <c r="C6742" t="s">
        <v>9</v>
      </c>
      <c r="D6742">
        <v>4930</v>
      </c>
      <c r="E6742">
        <v>2021</v>
      </c>
      <c r="F6742">
        <v>1</v>
      </c>
      <c r="G6742">
        <v>10015</v>
      </c>
      <c r="H6742" s="1">
        <v>4</v>
      </c>
      <c r="I6742">
        <v>8</v>
      </c>
      <c r="J6742">
        <f>IF($H6742=0,1,IF($I6742&lt;=1,2,0))</f>
        <v>0</v>
      </c>
      <c r="K6742">
        <v>0</v>
      </c>
      <c r="L6742">
        <f>IF(AND($J6742=0,$K6742=0),0,1)</f>
        <v>0</v>
      </c>
      <c r="M6742" t="s">
        <v>1205</v>
      </c>
    </row>
    <row r="6743" spans="1:13" x14ac:dyDescent="0.2">
      <c r="A6743" t="s">
        <v>623</v>
      </c>
      <c r="B6743" t="s">
        <v>133</v>
      </c>
      <c r="C6743" t="s">
        <v>11</v>
      </c>
      <c r="D6743">
        <v>6006</v>
      </c>
      <c r="E6743">
        <v>2021</v>
      </c>
      <c r="F6743">
        <v>1</v>
      </c>
      <c r="G6743">
        <v>16169</v>
      </c>
      <c r="H6743" s="1">
        <v>4</v>
      </c>
      <c r="I6743">
        <v>6</v>
      </c>
      <c r="J6743">
        <f>IF($H6743=0,1,IF($I6743&lt;=1,2,0))</f>
        <v>0</v>
      </c>
      <c r="K6743">
        <v>0</v>
      </c>
      <c r="L6743">
        <f>IF(AND($J6743=0,$K6743=0),0,1)</f>
        <v>0</v>
      </c>
    </row>
    <row r="6744" spans="1:13" x14ac:dyDescent="0.2">
      <c r="A6744" t="s">
        <v>623</v>
      </c>
      <c r="B6744" t="s">
        <v>133</v>
      </c>
      <c r="C6744" t="s">
        <v>11</v>
      </c>
      <c r="D6744">
        <v>6080</v>
      </c>
      <c r="E6744">
        <v>2021</v>
      </c>
      <c r="F6744">
        <v>1</v>
      </c>
      <c r="G6744">
        <v>11528</v>
      </c>
      <c r="H6744" s="1">
        <v>3</v>
      </c>
      <c r="I6744">
        <v>8</v>
      </c>
      <c r="J6744">
        <f>IF($H6744=0,1,IF($I6744&lt;=1,2,0))</f>
        <v>0</v>
      </c>
      <c r="K6744">
        <v>0</v>
      </c>
      <c r="L6744">
        <f>IF(AND($J6744=0,$K6744=0),0,1)</f>
        <v>0</v>
      </c>
    </row>
    <row r="6745" spans="1:13" x14ac:dyDescent="0.2">
      <c r="A6745" t="s">
        <v>623</v>
      </c>
      <c r="B6745" t="s">
        <v>133</v>
      </c>
      <c r="C6745" t="s">
        <v>11</v>
      </c>
      <c r="D6745">
        <v>6500</v>
      </c>
      <c r="E6745">
        <v>2021</v>
      </c>
      <c r="F6745">
        <v>1</v>
      </c>
      <c r="G6745">
        <v>10026</v>
      </c>
      <c r="H6745" s="1">
        <v>3</v>
      </c>
      <c r="I6745">
        <v>23</v>
      </c>
      <c r="J6745">
        <f>IF($H6745=0,1,IF($I6745&lt;=1,2,0))</f>
        <v>0</v>
      </c>
      <c r="K6745">
        <v>0</v>
      </c>
      <c r="L6745">
        <f>IF(AND($J6745=0,$K6745=0),0,1)</f>
        <v>0</v>
      </c>
    </row>
    <row r="6746" spans="1:13" x14ac:dyDescent="0.2">
      <c r="A6746" t="s">
        <v>623</v>
      </c>
      <c r="B6746" t="s">
        <v>133</v>
      </c>
      <c r="C6746" t="s">
        <v>11</v>
      </c>
      <c r="D6746">
        <v>6600</v>
      </c>
      <c r="E6746">
        <v>2021</v>
      </c>
      <c r="F6746">
        <v>1</v>
      </c>
      <c r="G6746">
        <v>10027</v>
      </c>
      <c r="H6746" s="1" t="s">
        <v>1823</v>
      </c>
      <c r="I6746">
        <v>38</v>
      </c>
      <c r="J6746">
        <f>IF($H6746=0,1,IF($I6746&lt;=1,2,0))</f>
        <v>0</v>
      </c>
      <c r="K6746">
        <v>0</v>
      </c>
      <c r="L6746">
        <f>IF(AND($J6746=0,$K6746=0),0,1)</f>
        <v>0</v>
      </c>
    </row>
    <row r="6747" spans="1:13" x14ac:dyDescent="0.2">
      <c r="A6747" t="s">
        <v>641</v>
      </c>
      <c r="B6747" t="s">
        <v>17</v>
      </c>
      <c r="C6747" t="s">
        <v>9</v>
      </c>
      <c r="D6747">
        <v>1101</v>
      </c>
      <c r="E6747">
        <v>2021</v>
      </c>
      <c r="F6747">
        <v>1</v>
      </c>
      <c r="G6747">
        <v>11733</v>
      </c>
      <c r="H6747" s="1">
        <v>4</v>
      </c>
      <c r="I6747">
        <v>17</v>
      </c>
      <c r="J6747">
        <f>IF($H6747=0,1,IF($I6747&lt;=1,2,0))</f>
        <v>0</v>
      </c>
      <c r="K6747">
        <v>0</v>
      </c>
      <c r="L6747">
        <f>IF(AND($J6747=0,$K6747=0),0,1)</f>
        <v>0</v>
      </c>
    </row>
    <row r="6748" spans="1:13" x14ac:dyDescent="0.2">
      <c r="A6748" t="s">
        <v>641</v>
      </c>
      <c r="B6748" t="s">
        <v>17</v>
      </c>
      <c r="C6748" t="s">
        <v>9</v>
      </c>
      <c r="D6748">
        <v>2101</v>
      </c>
      <c r="E6748">
        <v>2021</v>
      </c>
      <c r="F6748">
        <v>1</v>
      </c>
      <c r="G6748">
        <v>11734</v>
      </c>
      <c r="H6748" s="1">
        <v>4</v>
      </c>
      <c r="I6748">
        <v>3</v>
      </c>
      <c r="J6748">
        <f>IF($H6748=0,1,IF($I6748&lt;=1,2,0))</f>
        <v>0</v>
      </c>
      <c r="K6748">
        <v>0</v>
      </c>
      <c r="L6748">
        <f>IF(AND($J6748=0,$K6748=0),0,1)</f>
        <v>0</v>
      </c>
    </row>
    <row r="6749" spans="1:13" x14ac:dyDescent="0.2">
      <c r="A6749" t="s">
        <v>642</v>
      </c>
      <c r="B6749" t="s">
        <v>6</v>
      </c>
      <c r="C6749" t="s">
        <v>11</v>
      </c>
      <c r="D6749">
        <v>5015</v>
      </c>
      <c r="E6749">
        <v>2021</v>
      </c>
      <c r="F6749">
        <v>1</v>
      </c>
      <c r="G6749">
        <v>12579</v>
      </c>
      <c r="H6749" s="1">
        <v>3</v>
      </c>
      <c r="I6749">
        <v>148</v>
      </c>
      <c r="J6749">
        <f>IF($H6749=0,1,IF($I6749&lt;=1,2,0))</f>
        <v>0</v>
      </c>
      <c r="K6749">
        <v>0</v>
      </c>
      <c r="L6749">
        <f>IF(AND($J6749=0,$K6749=0),0,1)</f>
        <v>0</v>
      </c>
      <c r="M6749" t="s">
        <v>1736</v>
      </c>
    </row>
    <row r="6750" spans="1:13" x14ac:dyDescent="0.2">
      <c r="A6750" t="s">
        <v>642</v>
      </c>
      <c r="B6750" t="s">
        <v>6</v>
      </c>
      <c r="C6750" t="s">
        <v>11</v>
      </c>
      <c r="D6750">
        <v>5016</v>
      </c>
      <c r="E6750">
        <v>2021</v>
      </c>
      <c r="F6750">
        <v>1</v>
      </c>
      <c r="G6750">
        <v>12575</v>
      </c>
      <c r="H6750" s="1">
        <v>3</v>
      </c>
      <c r="I6750">
        <v>79</v>
      </c>
      <c r="J6750">
        <f>IF($H6750=0,1,IF($I6750&lt;=1,2,0))</f>
        <v>0</v>
      </c>
      <c r="K6750">
        <v>0</v>
      </c>
      <c r="L6750">
        <f>IF(AND($J6750=0,$K6750=0),0,1)</f>
        <v>0</v>
      </c>
      <c r="M6750" t="s">
        <v>1736</v>
      </c>
    </row>
    <row r="6751" spans="1:13" x14ac:dyDescent="0.2">
      <c r="A6751" t="s">
        <v>642</v>
      </c>
      <c r="B6751" t="s">
        <v>6</v>
      </c>
      <c r="C6751" t="s">
        <v>11</v>
      </c>
      <c r="D6751">
        <v>5052</v>
      </c>
      <c r="E6751">
        <v>2021</v>
      </c>
      <c r="F6751">
        <v>1</v>
      </c>
      <c r="G6751">
        <v>12584</v>
      </c>
      <c r="H6751" s="1">
        <v>3</v>
      </c>
      <c r="I6751">
        <v>40</v>
      </c>
      <c r="J6751">
        <f>IF($H6751=0,1,IF($I6751&lt;=1,2,0))</f>
        <v>0</v>
      </c>
      <c r="K6751">
        <v>0</v>
      </c>
      <c r="L6751">
        <f>IF(AND($J6751=0,$K6751=0),0,1)</f>
        <v>0</v>
      </c>
      <c r="M6751" t="s">
        <v>1740</v>
      </c>
    </row>
    <row r="6752" spans="1:13" x14ac:dyDescent="0.2">
      <c r="A6752" t="s">
        <v>642</v>
      </c>
      <c r="B6752" t="s">
        <v>6</v>
      </c>
      <c r="C6752" t="s">
        <v>11</v>
      </c>
      <c r="D6752">
        <v>5053</v>
      </c>
      <c r="E6752">
        <v>2021</v>
      </c>
      <c r="F6752">
        <v>1</v>
      </c>
      <c r="G6752">
        <v>12588</v>
      </c>
      <c r="H6752" s="1">
        <v>3</v>
      </c>
      <c r="I6752">
        <v>7</v>
      </c>
      <c r="J6752">
        <f>IF($H6752=0,1,IF($I6752&lt;=1,2,0))</f>
        <v>0</v>
      </c>
      <c r="K6752">
        <v>0</v>
      </c>
      <c r="L6752">
        <f>IF(AND($J6752=0,$K6752=0),0,1)</f>
        <v>0</v>
      </c>
      <c r="M6752" t="s">
        <v>1741</v>
      </c>
    </row>
    <row r="6753" spans="1:13" x14ac:dyDescent="0.2">
      <c r="A6753" t="s">
        <v>642</v>
      </c>
      <c r="B6753" t="s">
        <v>6</v>
      </c>
      <c r="C6753" t="s">
        <v>11</v>
      </c>
      <c r="D6753">
        <v>5055</v>
      </c>
      <c r="E6753">
        <v>2021</v>
      </c>
      <c r="F6753">
        <v>1</v>
      </c>
      <c r="G6753">
        <v>18837</v>
      </c>
      <c r="H6753" s="1">
        <v>3</v>
      </c>
      <c r="I6753">
        <v>22</v>
      </c>
      <c r="J6753">
        <f>IF($H6753=0,1,IF($I6753&lt;=1,2,0))</f>
        <v>0</v>
      </c>
      <c r="K6753">
        <v>0</v>
      </c>
      <c r="L6753">
        <f>IF(AND($J6753=0,$K6753=0),0,1)</f>
        <v>0</v>
      </c>
      <c r="M6753" t="s">
        <v>1742</v>
      </c>
    </row>
    <row r="6754" spans="1:13" x14ac:dyDescent="0.2">
      <c r="A6754" t="s">
        <v>642</v>
      </c>
      <c r="B6754" t="s">
        <v>6</v>
      </c>
      <c r="C6754" t="s">
        <v>11</v>
      </c>
      <c r="D6754">
        <v>5056</v>
      </c>
      <c r="E6754">
        <v>2021</v>
      </c>
      <c r="F6754">
        <v>1</v>
      </c>
      <c r="G6754">
        <v>18838</v>
      </c>
      <c r="H6754" s="1">
        <v>3</v>
      </c>
      <c r="I6754">
        <v>4</v>
      </c>
      <c r="J6754">
        <f>IF($H6754=0,1,IF($I6754&lt;=1,2,0))</f>
        <v>0</v>
      </c>
      <c r="K6754">
        <v>0</v>
      </c>
      <c r="L6754">
        <f>IF(AND($J6754=0,$K6754=0),0,1)</f>
        <v>0</v>
      </c>
      <c r="M6754" t="s">
        <v>1743</v>
      </c>
    </row>
    <row r="6755" spans="1:13" x14ac:dyDescent="0.2">
      <c r="A6755" t="s">
        <v>642</v>
      </c>
      <c r="B6755" t="s">
        <v>6</v>
      </c>
      <c r="C6755" t="s">
        <v>11</v>
      </c>
      <c r="D6755">
        <v>5058</v>
      </c>
      <c r="E6755">
        <v>2021</v>
      </c>
      <c r="F6755">
        <v>1</v>
      </c>
      <c r="G6755">
        <v>12585</v>
      </c>
      <c r="H6755" s="1">
        <v>3</v>
      </c>
      <c r="I6755">
        <v>37</v>
      </c>
      <c r="J6755">
        <f>IF($H6755=0,1,IF($I6755&lt;=1,2,0))</f>
        <v>0</v>
      </c>
      <c r="K6755">
        <v>0</v>
      </c>
      <c r="L6755">
        <f>IF(AND($J6755=0,$K6755=0),0,1)</f>
        <v>0</v>
      </c>
      <c r="M6755" t="s">
        <v>1736</v>
      </c>
    </row>
    <row r="6756" spans="1:13" x14ac:dyDescent="0.2">
      <c r="A6756" t="s">
        <v>642</v>
      </c>
      <c r="B6756" t="s">
        <v>6</v>
      </c>
      <c r="C6756" t="s">
        <v>11</v>
      </c>
      <c r="D6756">
        <v>5067</v>
      </c>
      <c r="E6756">
        <v>2021</v>
      </c>
      <c r="F6756">
        <v>1</v>
      </c>
      <c r="G6756">
        <v>12586</v>
      </c>
      <c r="H6756" s="1">
        <v>3</v>
      </c>
      <c r="I6756">
        <v>81</v>
      </c>
      <c r="J6756">
        <f>IF($H6756=0,1,IF($I6756&lt;=1,2,0))</f>
        <v>0</v>
      </c>
      <c r="K6756">
        <v>0</v>
      </c>
      <c r="L6756">
        <f>IF(AND($J6756=0,$K6756=0),0,1)</f>
        <v>0</v>
      </c>
      <c r="M6756" t="s">
        <v>1736</v>
      </c>
    </row>
    <row r="6757" spans="1:13" x14ac:dyDescent="0.2">
      <c r="A6757" t="s">
        <v>642</v>
      </c>
      <c r="B6757" t="s">
        <v>6</v>
      </c>
      <c r="C6757" t="s">
        <v>11</v>
      </c>
      <c r="D6757">
        <v>5070</v>
      </c>
      <c r="E6757">
        <v>2021</v>
      </c>
      <c r="F6757">
        <v>1</v>
      </c>
      <c r="G6757">
        <v>12587</v>
      </c>
      <c r="H6757" s="1">
        <v>3</v>
      </c>
      <c r="I6757">
        <v>47</v>
      </c>
      <c r="J6757">
        <f>IF($H6757=0,1,IF($I6757&lt;=1,2,0))</f>
        <v>0</v>
      </c>
      <c r="K6757">
        <v>0</v>
      </c>
      <c r="L6757">
        <f>IF(AND($J6757=0,$K6757=0),0,1)</f>
        <v>0</v>
      </c>
      <c r="M6757" t="s">
        <v>1736</v>
      </c>
    </row>
    <row r="6758" spans="1:13" x14ac:dyDescent="0.2">
      <c r="A6758" t="s">
        <v>642</v>
      </c>
      <c r="B6758" t="s">
        <v>6</v>
      </c>
      <c r="C6758" t="s">
        <v>11</v>
      </c>
      <c r="D6758">
        <v>5072</v>
      </c>
      <c r="E6758">
        <v>2021</v>
      </c>
      <c r="F6758">
        <v>1</v>
      </c>
      <c r="G6758">
        <v>12589</v>
      </c>
      <c r="H6758" s="1">
        <v>3</v>
      </c>
      <c r="I6758">
        <v>63</v>
      </c>
      <c r="J6758">
        <f>IF($H6758=0,1,IF($I6758&lt;=1,2,0))</f>
        <v>0</v>
      </c>
      <c r="K6758">
        <v>0</v>
      </c>
      <c r="L6758">
        <f>IF(AND($J6758=0,$K6758=0),0,1)</f>
        <v>0</v>
      </c>
      <c r="M6758" t="s">
        <v>1744</v>
      </c>
    </row>
    <row r="6759" spans="1:13" x14ac:dyDescent="0.2">
      <c r="A6759" t="s">
        <v>642</v>
      </c>
      <c r="B6759" t="s">
        <v>6</v>
      </c>
      <c r="C6759" t="s">
        <v>11</v>
      </c>
      <c r="D6759">
        <v>5073</v>
      </c>
      <c r="E6759">
        <v>2021</v>
      </c>
      <c r="F6759">
        <v>1</v>
      </c>
      <c r="G6759">
        <v>12590</v>
      </c>
      <c r="H6759" s="1">
        <v>3</v>
      </c>
      <c r="I6759">
        <v>109</v>
      </c>
      <c r="J6759">
        <f>IF($H6759=0,1,IF($I6759&lt;=1,2,0))</f>
        <v>0</v>
      </c>
      <c r="K6759">
        <v>0</v>
      </c>
      <c r="L6759">
        <f>IF(AND($J6759=0,$K6759=0),0,1)</f>
        <v>0</v>
      </c>
      <c r="M6759" t="s">
        <v>1744</v>
      </c>
    </row>
    <row r="6760" spans="1:13" x14ac:dyDescent="0.2">
      <c r="A6760" t="s">
        <v>646</v>
      </c>
      <c r="B6760" t="s">
        <v>17</v>
      </c>
      <c r="C6760" t="s">
        <v>21</v>
      </c>
      <c r="D6760">
        <v>1310</v>
      </c>
      <c r="E6760">
        <v>2021</v>
      </c>
      <c r="F6760">
        <v>1</v>
      </c>
      <c r="G6760">
        <v>11408</v>
      </c>
      <c r="H6760" s="1">
        <v>3</v>
      </c>
      <c r="I6760">
        <v>45</v>
      </c>
      <c r="J6760">
        <f>IF($H6760=0,1,IF($I6760&lt;=1,2,0))</f>
        <v>0</v>
      </c>
      <c r="K6760">
        <v>0</v>
      </c>
      <c r="L6760">
        <f>IF(AND($J6760=0,$K6760=0),0,1)</f>
        <v>0</v>
      </c>
    </row>
    <row r="6761" spans="1:13" x14ac:dyDescent="0.2">
      <c r="A6761" t="s">
        <v>646</v>
      </c>
      <c r="B6761" t="s">
        <v>17</v>
      </c>
      <c r="C6761" t="s">
        <v>21</v>
      </c>
      <c r="D6761">
        <v>2105</v>
      </c>
      <c r="E6761">
        <v>2021</v>
      </c>
      <c r="F6761">
        <v>1</v>
      </c>
      <c r="G6761">
        <v>18392</v>
      </c>
      <c r="H6761" s="1">
        <v>3</v>
      </c>
      <c r="I6761">
        <v>17</v>
      </c>
      <c r="J6761">
        <f>IF($H6761=0,1,IF($I6761&lt;=1,2,0))</f>
        <v>0</v>
      </c>
      <c r="K6761">
        <v>0</v>
      </c>
      <c r="L6761">
        <f>IF(AND($J6761=0,$K6761=0),0,1)</f>
        <v>0</v>
      </c>
    </row>
    <row r="6762" spans="1:13" x14ac:dyDescent="0.2">
      <c r="A6762" t="s">
        <v>646</v>
      </c>
      <c r="B6762" t="s">
        <v>17</v>
      </c>
      <c r="C6762" t="s">
        <v>34</v>
      </c>
      <c r="D6762">
        <v>2205</v>
      </c>
      <c r="E6762">
        <v>2021</v>
      </c>
      <c r="F6762">
        <v>1</v>
      </c>
      <c r="G6762">
        <v>18286</v>
      </c>
      <c r="H6762" s="1">
        <v>4</v>
      </c>
      <c r="I6762">
        <v>23</v>
      </c>
      <c r="J6762">
        <f>IF($H6762=0,1,IF($I6762&lt;=1,2,0))</f>
        <v>0</v>
      </c>
      <c r="K6762">
        <v>0</v>
      </c>
      <c r="L6762">
        <f>IF(AND($J6762=0,$K6762=0),0,1)</f>
        <v>0</v>
      </c>
      <c r="M6762" t="s">
        <v>1746</v>
      </c>
    </row>
    <row r="6763" spans="1:13" x14ac:dyDescent="0.2">
      <c r="A6763" t="s">
        <v>646</v>
      </c>
      <c r="B6763" t="s">
        <v>17</v>
      </c>
      <c r="C6763" t="s">
        <v>21</v>
      </c>
      <c r="D6763">
        <v>2306</v>
      </c>
      <c r="E6763">
        <v>2021</v>
      </c>
      <c r="F6763">
        <v>1</v>
      </c>
      <c r="G6763">
        <v>633</v>
      </c>
      <c r="H6763" s="1">
        <v>3</v>
      </c>
      <c r="I6763">
        <v>64</v>
      </c>
      <c r="J6763">
        <f>IF($H6763=0,1,IF($I6763&lt;=1,2,0))</f>
        <v>0</v>
      </c>
      <c r="K6763">
        <v>0</v>
      </c>
      <c r="L6763">
        <f>IF(AND($J6763=0,$K6763=0),0,1)</f>
        <v>0</v>
      </c>
    </row>
    <row r="6764" spans="1:13" x14ac:dyDescent="0.2">
      <c r="A6764" t="s">
        <v>646</v>
      </c>
      <c r="B6764" t="s">
        <v>17</v>
      </c>
      <c r="C6764" t="s">
        <v>21</v>
      </c>
      <c r="D6764">
        <v>3144</v>
      </c>
      <c r="E6764">
        <v>2021</v>
      </c>
      <c r="F6764">
        <v>1</v>
      </c>
      <c r="G6764">
        <v>635</v>
      </c>
      <c r="H6764" s="1">
        <v>3</v>
      </c>
      <c r="I6764">
        <v>10</v>
      </c>
      <c r="J6764">
        <f>IF($H6764=0,1,IF($I6764&lt;=1,2,0))</f>
        <v>0</v>
      </c>
      <c r="K6764">
        <v>0</v>
      </c>
      <c r="L6764">
        <f>IF(AND($J6764=0,$K6764=0),0,1)</f>
        <v>0</v>
      </c>
    </row>
    <row r="6765" spans="1:13" x14ac:dyDescent="0.2">
      <c r="A6765" t="s">
        <v>646</v>
      </c>
      <c r="B6765" t="s">
        <v>17</v>
      </c>
      <c r="C6765" t="s">
        <v>21</v>
      </c>
      <c r="D6765">
        <v>3199</v>
      </c>
      <c r="E6765">
        <v>2021</v>
      </c>
      <c r="F6765">
        <v>1</v>
      </c>
      <c r="G6765">
        <v>11409</v>
      </c>
      <c r="H6765" s="1">
        <v>4</v>
      </c>
      <c r="I6765">
        <v>10</v>
      </c>
      <c r="J6765">
        <f>IF($H6765=0,1,IF($I6765&lt;=1,2,0))</f>
        <v>0</v>
      </c>
      <c r="K6765">
        <v>0</v>
      </c>
      <c r="L6765">
        <f>IF(AND($J6765=0,$K6765=0),0,1)</f>
        <v>0</v>
      </c>
    </row>
    <row r="6766" spans="1:13" x14ac:dyDescent="0.2">
      <c r="A6766" t="s">
        <v>646</v>
      </c>
      <c r="B6766" t="s">
        <v>17</v>
      </c>
      <c r="C6766" t="s">
        <v>21</v>
      </c>
      <c r="D6766">
        <v>3202</v>
      </c>
      <c r="E6766">
        <v>2021</v>
      </c>
      <c r="F6766">
        <v>1</v>
      </c>
      <c r="G6766">
        <v>634</v>
      </c>
      <c r="H6766" s="1">
        <v>3</v>
      </c>
      <c r="I6766">
        <v>33</v>
      </c>
      <c r="J6766">
        <f>IF($H6766=0,1,IF($I6766&lt;=1,2,0))</f>
        <v>0</v>
      </c>
      <c r="K6766">
        <v>0</v>
      </c>
      <c r="L6766">
        <f>IF(AND($J6766=0,$K6766=0),0,1)</f>
        <v>0</v>
      </c>
    </row>
    <row r="6767" spans="1:13" x14ac:dyDescent="0.2">
      <c r="A6767" t="s">
        <v>646</v>
      </c>
      <c r="B6767" t="s">
        <v>17</v>
      </c>
      <c r="C6767" t="s">
        <v>21</v>
      </c>
      <c r="D6767">
        <v>3210</v>
      </c>
      <c r="E6767">
        <v>2021</v>
      </c>
      <c r="F6767">
        <v>1</v>
      </c>
      <c r="G6767">
        <v>636</v>
      </c>
      <c r="H6767" s="1">
        <v>3</v>
      </c>
      <c r="I6767">
        <v>34</v>
      </c>
      <c r="J6767">
        <f>IF($H6767=0,1,IF($I6767&lt;=1,2,0))</f>
        <v>0</v>
      </c>
      <c r="K6767">
        <v>0</v>
      </c>
      <c r="L6767">
        <f>IF(AND($J6767=0,$K6767=0),0,1)</f>
        <v>0</v>
      </c>
    </row>
    <row r="6768" spans="1:13" x14ac:dyDescent="0.2">
      <c r="A6768" t="s">
        <v>646</v>
      </c>
      <c r="B6768" t="s">
        <v>17</v>
      </c>
      <c r="C6768" t="s">
        <v>9</v>
      </c>
      <c r="D6768">
        <v>3232</v>
      </c>
      <c r="E6768">
        <v>2021</v>
      </c>
      <c r="F6768">
        <v>1</v>
      </c>
      <c r="G6768">
        <v>11410</v>
      </c>
      <c r="H6768" s="1">
        <v>4</v>
      </c>
      <c r="I6768">
        <v>23</v>
      </c>
      <c r="J6768">
        <f>IF($H6768=0,1,IF($I6768&lt;=1,2,0))</f>
        <v>0</v>
      </c>
      <c r="K6768">
        <v>0</v>
      </c>
      <c r="L6768">
        <f>IF(AND($J6768=0,$K6768=0),0,1)</f>
        <v>0</v>
      </c>
    </row>
    <row r="6769" spans="1:12" x14ac:dyDescent="0.2">
      <c r="A6769" t="s">
        <v>646</v>
      </c>
      <c r="B6769" t="s">
        <v>17</v>
      </c>
      <c r="C6769" t="s">
        <v>21</v>
      </c>
      <c r="D6769">
        <v>3311</v>
      </c>
      <c r="E6769">
        <v>2021</v>
      </c>
      <c r="F6769">
        <v>1</v>
      </c>
      <c r="G6769">
        <v>11413</v>
      </c>
      <c r="H6769" s="1">
        <v>3</v>
      </c>
      <c r="I6769">
        <v>8</v>
      </c>
      <c r="J6769">
        <f>IF($H6769=0,1,IF($I6769&lt;=1,2,0))</f>
        <v>0</v>
      </c>
      <c r="K6769">
        <v>0</v>
      </c>
      <c r="L6769">
        <f>IF(AND($J6769=0,$K6769=0),0,1)</f>
        <v>0</v>
      </c>
    </row>
    <row r="6770" spans="1:12" x14ac:dyDescent="0.2">
      <c r="A6770" t="s">
        <v>646</v>
      </c>
      <c r="B6770" t="s">
        <v>17</v>
      </c>
      <c r="C6770" t="s">
        <v>9</v>
      </c>
      <c r="D6770">
        <v>3317</v>
      </c>
      <c r="E6770">
        <v>2021</v>
      </c>
      <c r="F6770">
        <v>1</v>
      </c>
      <c r="G6770">
        <v>13362</v>
      </c>
      <c r="H6770" s="1">
        <v>4</v>
      </c>
      <c r="I6770">
        <v>10</v>
      </c>
      <c r="J6770">
        <f>IF($H6770=0,1,IF($I6770&lt;=1,2,0))</f>
        <v>0</v>
      </c>
      <c r="K6770">
        <v>0</v>
      </c>
      <c r="L6770">
        <f>IF(AND($J6770=0,$K6770=0),0,1)</f>
        <v>0</v>
      </c>
    </row>
    <row r="6771" spans="1:12" x14ac:dyDescent="0.2">
      <c r="A6771" t="s">
        <v>646</v>
      </c>
      <c r="B6771" t="s">
        <v>17</v>
      </c>
      <c r="C6771" t="s">
        <v>21</v>
      </c>
      <c r="D6771">
        <v>3321</v>
      </c>
      <c r="E6771">
        <v>2021</v>
      </c>
      <c r="F6771">
        <v>1</v>
      </c>
      <c r="G6771">
        <v>713</v>
      </c>
      <c r="H6771" s="1">
        <v>4</v>
      </c>
      <c r="I6771">
        <v>9</v>
      </c>
      <c r="J6771">
        <f>IF($H6771=0,1,IF($I6771&lt;=1,2,0))</f>
        <v>0</v>
      </c>
      <c r="K6771">
        <v>0</v>
      </c>
      <c r="L6771">
        <f>IF(AND($J6771=0,$K6771=0),0,1)</f>
        <v>0</v>
      </c>
    </row>
    <row r="6772" spans="1:12" x14ac:dyDescent="0.2">
      <c r="A6772" t="s">
        <v>646</v>
      </c>
      <c r="B6772" t="s">
        <v>17</v>
      </c>
      <c r="C6772" t="s">
        <v>9</v>
      </c>
      <c r="D6772">
        <v>3414</v>
      </c>
      <c r="E6772">
        <v>2021</v>
      </c>
      <c r="F6772">
        <v>1</v>
      </c>
      <c r="G6772">
        <v>11531</v>
      </c>
      <c r="H6772" s="1">
        <v>4</v>
      </c>
      <c r="I6772">
        <v>9</v>
      </c>
      <c r="J6772">
        <f>IF($H6772=0,1,IF($I6772&lt;=1,2,0))</f>
        <v>0</v>
      </c>
      <c r="K6772">
        <v>0</v>
      </c>
      <c r="L6772">
        <f>IF(AND($J6772=0,$K6772=0),0,1)</f>
        <v>0</v>
      </c>
    </row>
    <row r="6773" spans="1:12" x14ac:dyDescent="0.2">
      <c r="A6773" t="s">
        <v>646</v>
      </c>
      <c r="B6773" t="s">
        <v>17</v>
      </c>
      <c r="C6773" t="s">
        <v>9</v>
      </c>
      <c r="D6773">
        <v>3517</v>
      </c>
      <c r="E6773">
        <v>2021</v>
      </c>
      <c r="F6773">
        <v>1</v>
      </c>
      <c r="G6773">
        <v>11414</v>
      </c>
      <c r="H6773" s="1">
        <v>3</v>
      </c>
      <c r="I6773">
        <v>21</v>
      </c>
      <c r="J6773">
        <f>IF($H6773=0,1,IF($I6773&lt;=1,2,0))</f>
        <v>0</v>
      </c>
      <c r="K6773">
        <v>0</v>
      </c>
      <c r="L6773">
        <f>IF(AND($J6773=0,$K6773=0),0,1)</f>
        <v>0</v>
      </c>
    </row>
    <row r="6774" spans="1:12" x14ac:dyDescent="0.2">
      <c r="A6774" t="s">
        <v>646</v>
      </c>
      <c r="B6774" t="s">
        <v>17</v>
      </c>
      <c r="C6774" t="s">
        <v>21</v>
      </c>
      <c r="D6774">
        <v>3881</v>
      </c>
      <c r="E6774">
        <v>2021</v>
      </c>
      <c r="F6774">
        <v>1</v>
      </c>
      <c r="G6774">
        <v>648</v>
      </c>
      <c r="H6774" s="1">
        <v>4</v>
      </c>
      <c r="I6774">
        <v>8</v>
      </c>
      <c r="J6774">
        <f>IF($H6774=0,1,IF($I6774&lt;=1,2,0))</f>
        <v>0</v>
      </c>
      <c r="K6774">
        <v>0</v>
      </c>
      <c r="L6774">
        <f>IF(AND($J6774=0,$K6774=0),0,1)</f>
        <v>0</v>
      </c>
    </row>
    <row r="6775" spans="1:12" x14ac:dyDescent="0.2">
      <c r="A6775" t="s">
        <v>646</v>
      </c>
      <c r="B6775" t="s">
        <v>17</v>
      </c>
      <c r="C6775" t="s">
        <v>9</v>
      </c>
      <c r="D6775">
        <v>4105</v>
      </c>
      <c r="E6775">
        <v>2021</v>
      </c>
      <c r="F6775">
        <v>1</v>
      </c>
      <c r="G6775">
        <v>680</v>
      </c>
      <c r="H6775" s="1">
        <v>4</v>
      </c>
      <c r="I6775">
        <v>5</v>
      </c>
      <c r="J6775">
        <f>IF($H6775=0,1,IF($I6775&lt;=1,2,0))</f>
        <v>0</v>
      </c>
      <c r="K6775">
        <v>0</v>
      </c>
      <c r="L6775">
        <f>IF(AND($J6775=0,$K6775=0),0,1)</f>
        <v>0</v>
      </c>
    </row>
    <row r="6776" spans="1:12" x14ac:dyDescent="0.2">
      <c r="A6776" t="s">
        <v>646</v>
      </c>
      <c r="B6776" t="s">
        <v>17</v>
      </c>
      <c r="C6776" t="s">
        <v>9</v>
      </c>
      <c r="D6776">
        <v>4224</v>
      </c>
      <c r="E6776">
        <v>2021</v>
      </c>
      <c r="F6776">
        <v>1</v>
      </c>
      <c r="G6776">
        <v>11439</v>
      </c>
      <c r="H6776" s="1">
        <v>4</v>
      </c>
      <c r="I6776">
        <v>13</v>
      </c>
      <c r="J6776">
        <f>IF($H6776=0,1,IF($I6776&lt;=1,2,0))</f>
        <v>0</v>
      </c>
      <c r="K6776">
        <v>0</v>
      </c>
      <c r="L6776">
        <f>IF(AND($J6776=0,$K6776=0),0,1)</f>
        <v>0</v>
      </c>
    </row>
    <row r="6777" spans="1:12" x14ac:dyDescent="0.2">
      <c r="A6777" t="s">
        <v>646</v>
      </c>
      <c r="B6777" t="s">
        <v>17</v>
      </c>
      <c r="C6777" t="s">
        <v>9</v>
      </c>
      <c r="D6777">
        <v>4304</v>
      </c>
      <c r="E6777">
        <v>2021</v>
      </c>
      <c r="F6777">
        <v>1</v>
      </c>
      <c r="G6777">
        <v>638</v>
      </c>
      <c r="H6777" s="1">
        <v>4</v>
      </c>
      <c r="I6777">
        <v>10</v>
      </c>
      <c r="J6777">
        <f>IF($H6777=0,1,IF($I6777&lt;=1,2,0))</f>
        <v>0</v>
      </c>
      <c r="K6777">
        <v>0</v>
      </c>
      <c r="L6777">
        <f>IF(AND($J6777=0,$K6777=0),0,1)</f>
        <v>0</v>
      </c>
    </row>
    <row r="6778" spans="1:12" x14ac:dyDescent="0.2">
      <c r="A6778" t="s">
        <v>646</v>
      </c>
      <c r="B6778" t="s">
        <v>17</v>
      </c>
      <c r="C6778" t="s">
        <v>9</v>
      </c>
      <c r="D6778">
        <v>4318</v>
      </c>
      <c r="E6778">
        <v>2021</v>
      </c>
      <c r="F6778">
        <v>1</v>
      </c>
      <c r="G6778">
        <v>17553</v>
      </c>
      <c r="H6778" s="1">
        <v>4</v>
      </c>
      <c r="I6778">
        <v>6</v>
      </c>
      <c r="J6778">
        <f>IF($H6778=0,1,IF($I6778&lt;=1,2,0))</f>
        <v>0</v>
      </c>
      <c r="K6778">
        <v>0</v>
      </c>
      <c r="L6778">
        <f>IF(AND($J6778=0,$K6778=0),0,1)</f>
        <v>0</v>
      </c>
    </row>
    <row r="6779" spans="1:12" x14ac:dyDescent="0.2">
      <c r="A6779" t="s">
        <v>646</v>
      </c>
      <c r="B6779" t="s">
        <v>17</v>
      </c>
      <c r="C6779" t="s">
        <v>34</v>
      </c>
      <c r="D6779">
        <v>4420</v>
      </c>
      <c r="E6779">
        <v>2021</v>
      </c>
      <c r="F6779">
        <v>1</v>
      </c>
      <c r="G6779">
        <v>18889</v>
      </c>
      <c r="H6779" s="1">
        <v>4</v>
      </c>
      <c r="I6779">
        <v>2</v>
      </c>
      <c r="J6779">
        <f>IF($H6779=0,1,IF($I6779&lt;=1,2,0))</f>
        <v>0</v>
      </c>
      <c r="K6779">
        <v>0</v>
      </c>
      <c r="L6779">
        <f>IF(AND($J6779=0,$K6779=0),0,1)</f>
        <v>0</v>
      </c>
    </row>
    <row r="6780" spans="1:12" x14ac:dyDescent="0.2">
      <c r="A6780" t="s">
        <v>646</v>
      </c>
      <c r="B6780" t="s">
        <v>17</v>
      </c>
      <c r="C6780" t="s">
        <v>9</v>
      </c>
      <c r="D6780">
        <v>4513</v>
      </c>
      <c r="E6780">
        <v>2021</v>
      </c>
      <c r="F6780">
        <v>1</v>
      </c>
      <c r="G6780">
        <v>11440</v>
      </c>
      <c r="H6780" s="1">
        <v>4</v>
      </c>
      <c r="I6780">
        <v>15</v>
      </c>
      <c r="J6780">
        <f>IF($H6780=0,1,IF($I6780&lt;=1,2,0))</f>
        <v>0</v>
      </c>
      <c r="K6780">
        <v>0</v>
      </c>
      <c r="L6780">
        <f>IF(AND($J6780=0,$K6780=0),0,1)</f>
        <v>0</v>
      </c>
    </row>
    <row r="6781" spans="1:12" x14ac:dyDescent="0.2">
      <c r="A6781" t="s">
        <v>646</v>
      </c>
      <c r="B6781" t="s">
        <v>17</v>
      </c>
      <c r="C6781" t="s">
        <v>9</v>
      </c>
      <c r="D6781">
        <v>4519</v>
      </c>
      <c r="E6781">
        <v>2021</v>
      </c>
      <c r="F6781">
        <v>1</v>
      </c>
      <c r="G6781">
        <v>20159</v>
      </c>
      <c r="H6781" s="1">
        <v>4</v>
      </c>
      <c r="I6781">
        <v>9</v>
      </c>
      <c r="J6781">
        <f>IF($H6781=0,1,IF($I6781&lt;=1,2,0))</f>
        <v>0</v>
      </c>
      <c r="K6781">
        <v>0</v>
      </c>
      <c r="L6781">
        <f>IF(AND($J6781=0,$K6781=0),0,1)</f>
        <v>0</v>
      </c>
    </row>
    <row r="6782" spans="1:12" x14ac:dyDescent="0.2">
      <c r="A6782" t="s">
        <v>646</v>
      </c>
      <c r="B6782" t="s">
        <v>17</v>
      </c>
      <c r="C6782" t="s">
        <v>9</v>
      </c>
      <c r="D6782">
        <v>4525</v>
      </c>
      <c r="E6782">
        <v>2021</v>
      </c>
      <c r="F6782">
        <v>1</v>
      </c>
      <c r="G6782">
        <v>639</v>
      </c>
      <c r="H6782" s="1">
        <v>4</v>
      </c>
      <c r="I6782">
        <v>15</v>
      </c>
      <c r="J6782">
        <f>IF($H6782=0,1,IF($I6782&lt;=1,2,0))</f>
        <v>0</v>
      </c>
      <c r="K6782">
        <v>0</v>
      </c>
      <c r="L6782">
        <f>IF(AND($J6782=0,$K6782=0),0,1)</f>
        <v>0</v>
      </c>
    </row>
    <row r="6783" spans="1:12" x14ac:dyDescent="0.2">
      <c r="A6783" t="s">
        <v>646</v>
      </c>
      <c r="B6783" t="s">
        <v>17</v>
      </c>
      <c r="C6783" t="s">
        <v>34</v>
      </c>
      <c r="D6783">
        <v>6101</v>
      </c>
      <c r="E6783">
        <v>2021</v>
      </c>
      <c r="F6783">
        <v>1</v>
      </c>
      <c r="G6783">
        <v>11441</v>
      </c>
      <c r="H6783" s="1">
        <v>3</v>
      </c>
      <c r="I6783">
        <v>8</v>
      </c>
      <c r="J6783">
        <f>IF($H6783=0,1,IF($I6783&lt;=1,2,0))</f>
        <v>0</v>
      </c>
      <c r="K6783">
        <v>0</v>
      </c>
      <c r="L6783">
        <f>IF(AND($J6783=0,$K6783=0),0,1)</f>
        <v>0</v>
      </c>
    </row>
    <row r="6784" spans="1:12" x14ac:dyDescent="0.2">
      <c r="A6784" t="s">
        <v>646</v>
      </c>
      <c r="B6784" t="s">
        <v>17</v>
      </c>
      <c r="C6784" t="s">
        <v>11</v>
      </c>
      <c r="D6784">
        <v>6213</v>
      </c>
      <c r="E6784">
        <v>2021</v>
      </c>
      <c r="F6784">
        <v>2</v>
      </c>
      <c r="G6784">
        <v>749</v>
      </c>
      <c r="H6784" s="1">
        <v>4</v>
      </c>
      <c r="I6784">
        <v>7</v>
      </c>
      <c r="J6784">
        <f>IF($H6784=0,1,IF($I6784&lt;=1,2,0))</f>
        <v>0</v>
      </c>
      <c r="K6784">
        <v>0</v>
      </c>
      <c r="L6784">
        <f>IF(AND($J6784=0,$K6784=0),0,1)</f>
        <v>0</v>
      </c>
    </row>
    <row r="6785" spans="1:13" x14ac:dyDescent="0.2">
      <c r="A6785" t="s">
        <v>1749</v>
      </c>
      <c r="B6785" t="s">
        <v>6</v>
      </c>
      <c r="C6785" t="s">
        <v>11</v>
      </c>
      <c r="D6785">
        <v>6998</v>
      </c>
      <c r="E6785">
        <v>2021</v>
      </c>
      <c r="F6785">
        <v>1</v>
      </c>
      <c r="G6785">
        <v>17659</v>
      </c>
      <c r="H6785" s="1" t="s">
        <v>1840</v>
      </c>
      <c r="I6785">
        <v>5</v>
      </c>
      <c r="J6785">
        <f>IF($H6785=0,1,IF($I6785&lt;=1,2,0))</f>
        <v>0</v>
      </c>
      <c r="K6785">
        <v>0</v>
      </c>
      <c r="L6785">
        <f>IF(AND($J6785=0,$K6785=0),0,1)</f>
        <v>0</v>
      </c>
    </row>
    <row r="6786" spans="1:13" x14ac:dyDescent="0.2">
      <c r="A6786" t="s">
        <v>1749</v>
      </c>
      <c r="B6786" t="s">
        <v>6</v>
      </c>
      <c r="C6786" t="s">
        <v>11</v>
      </c>
      <c r="D6786">
        <v>8445</v>
      </c>
      <c r="E6786">
        <v>2021</v>
      </c>
      <c r="F6786">
        <v>1</v>
      </c>
      <c r="G6786">
        <v>15065</v>
      </c>
      <c r="H6786" s="1">
        <v>4</v>
      </c>
      <c r="I6786">
        <v>21</v>
      </c>
      <c r="J6786">
        <f>IF($H6786=0,1,IF($I6786&lt;=1,2,0))</f>
        <v>0</v>
      </c>
      <c r="K6786">
        <v>0</v>
      </c>
      <c r="L6786">
        <f>IF(AND($J6786=0,$K6786=0),0,1)</f>
        <v>0</v>
      </c>
    </row>
    <row r="6787" spans="1:13" x14ac:dyDescent="0.2">
      <c r="A6787" t="s">
        <v>649</v>
      </c>
      <c r="B6787" t="s">
        <v>17</v>
      </c>
      <c r="C6787" t="s">
        <v>21</v>
      </c>
      <c r="D6787">
        <v>1101</v>
      </c>
      <c r="E6787">
        <v>2021</v>
      </c>
      <c r="F6787">
        <v>1</v>
      </c>
      <c r="G6787">
        <v>10128</v>
      </c>
      <c r="H6787" s="1">
        <v>5</v>
      </c>
      <c r="I6787">
        <v>11</v>
      </c>
      <c r="J6787">
        <f>IF($H6787=0,1,IF($I6787&lt;=1,2,0))</f>
        <v>0</v>
      </c>
      <c r="K6787">
        <v>0</v>
      </c>
      <c r="L6787">
        <f>IF(AND($J6787=0,$K6787=0),0,1)</f>
        <v>0</v>
      </c>
      <c r="M6787" t="s">
        <v>1750</v>
      </c>
    </row>
    <row r="6788" spans="1:13" x14ac:dyDescent="0.2">
      <c r="A6788" t="s">
        <v>649</v>
      </c>
      <c r="B6788" t="s">
        <v>17</v>
      </c>
      <c r="C6788" t="s">
        <v>21</v>
      </c>
      <c r="D6788">
        <v>1101</v>
      </c>
      <c r="E6788">
        <v>2021</v>
      </c>
      <c r="F6788">
        <v>5</v>
      </c>
      <c r="G6788">
        <v>10382</v>
      </c>
      <c r="H6788" s="1">
        <v>5</v>
      </c>
      <c r="I6788">
        <v>11</v>
      </c>
      <c r="J6788">
        <f>IF($H6788=0,1,IF($I6788&lt;=1,2,0))</f>
        <v>0</v>
      </c>
      <c r="K6788">
        <v>0</v>
      </c>
      <c r="L6788">
        <f>IF(AND($J6788=0,$K6788=0),0,1)</f>
        <v>0</v>
      </c>
      <c r="M6788" t="s">
        <v>1750</v>
      </c>
    </row>
    <row r="6789" spans="1:13" x14ac:dyDescent="0.2">
      <c r="A6789" t="s">
        <v>649</v>
      </c>
      <c r="B6789" t="s">
        <v>17</v>
      </c>
      <c r="C6789" t="s">
        <v>21</v>
      </c>
      <c r="D6789">
        <v>1101</v>
      </c>
      <c r="E6789">
        <v>2021</v>
      </c>
      <c r="F6789">
        <v>2</v>
      </c>
      <c r="G6789">
        <v>10129</v>
      </c>
      <c r="H6789" s="1">
        <v>5</v>
      </c>
      <c r="I6789">
        <v>10</v>
      </c>
      <c r="J6789">
        <f>IF($H6789=0,1,IF($I6789&lt;=1,2,0))</f>
        <v>0</v>
      </c>
      <c r="K6789">
        <v>0</v>
      </c>
      <c r="L6789">
        <f>IF(AND($J6789=0,$K6789=0),0,1)</f>
        <v>0</v>
      </c>
      <c r="M6789" t="s">
        <v>1750</v>
      </c>
    </row>
    <row r="6790" spans="1:13" x14ac:dyDescent="0.2">
      <c r="A6790" t="s">
        <v>649</v>
      </c>
      <c r="B6790" t="s">
        <v>17</v>
      </c>
      <c r="C6790" t="s">
        <v>21</v>
      </c>
      <c r="D6790">
        <v>1101</v>
      </c>
      <c r="E6790">
        <v>2021</v>
      </c>
      <c r="F6790">
        <v>3</v>
      </c>
      <c r="G6790">
        <v>10130</v>
      </c>
      <c r="H6790" s="1">
        <v>5</v>
      </c>
      <c r="I6790">
        <v>9</v>
      </c>
      <c r="J6790">
        <f>IF($H6790=0,1,IF($I6790&lt;=1,2,0))</f>
        <v>0</v>
      </c>
      <c r="K6790">
        <v>0</v>
      </c>
      <c r="L6790">
        <f>IF(AND($J6790=0,$K6790=0),0,1)</f>
        <v>0</v>
      </c>
      <c r="M6790" t="s">
        <v>1750</v>
      </c>
    </row>
    <row r="6791" spans="1:13" x14ac:dyDescent="0.2">
      <c r="A6791" t="s">
        <v>649</v>
      </c>
      <c r="B6791" t="s">
        <v>17</v>
      </c>
      <c r="C6791" t="s">
        <v>21</v>
      </c>
      <c r="D6791">
        <v>2101</v>
      </c>
      <c r="E6791">
        <v>2021</v>
      </c>
      <c r="F6791">
        <v>1</v>
      </c>
      <c r="G6791">
        <v>10132</v>
      </c>
      <c r="H6791" s="1">
        <v>5</v>
      </c>
      <c r="I6791">
        <v>8</v>
      </c>
      <c r="J6791">
        <f>IF($H6791=0,1,IF($I6791&lt;=1,2,0))</f>
        <v>0</v>
      </c>
      <c r="K6791">
        <v>0</v>
      </c>
      <c r="L6791">
        <f>IF(AND($J6791=0,$K6791=0),0,1)</f>
        <v>0</v>
      </c>
      <c r="M6791" t="s">
        <v>1235</v>
      </c>
    </row>
    <row r="6792" spans="1:13" x14ac:dyDescent="0.2">
      <c r="A6792" t="s">
        <v>649</v>
      </c>
      <c r="B6792" t="s">
        <v>17</v>
      </c>
      <c r="C6792" t="s">
        <v>21</v>
      </c>
      <c r="D6792">
        <v>2101</v>
      </c>
      <c r="E6792">
        <v>2021</v>
      </c>
      <c r="F6792">
        <v>3</v>
      </c>
      <c r="G6792">
        <v>10134</v>
      </c>
      <c r="H6792" s="1">
        <v>5</v>
      </c>
      <c r="I6792">
        <v>8</v>
      </c>
      <c r="J6792">
        <f>IF($H6792=0,1,IF($I6792&lt;=1,2,0))</f>
        <v>0</v>
      </c>
      <c r="K6792">
        <v>0</v>
      </c>
      <c r="L6792">
        <f>IF(AND($J6792=0,$K6792=0),0,1)</f>
        <v>0</v>
      </c>
      <c r="M6792" t="s">
        <v>1235</v>
      </c>
    </row>
    <row r="6793" spans="1:13" x14ac:dyDescent="0.2">
      <c r="A6793" t="s">
        <v>649</v>
      </c>
      <c r="B6793" t="s">
        <v>17</v>
      </c>
      <c r="C6793" t="s">
        <v>21</v>
      </c>
      <c r="D6793">
        <v>2101</v>
      </c>
      <c r="E6793">
        <v>2021</v>
      </c>
      <c r="F6793">
        <v>2</v>
      </c>
      <c r="G6793">
        <v>10133</v>
      </c>
      <c r="H6793" s="1">
        <v>5</v>
      </c>
      <c r="I6793">
        <v>6</v>
      </c>
      <c r="J6793">
        <f>IF($H6793=0,1,IF($I6793&lt;=1,2,0))</f>
        <v>0</v>
      </c>
      <c r="K6793">
        <v>0</v>
      </c>
      <c r="L6793">
        <f>IF(AND($J6793=0,$K6793=0),0,1)</f>
        <v>0</v>
      </c>
      <c r="M6793" t="s">
        <v>1235</v>
      </c>
    </row>
    <row r="6794" spans="1:13" x14ac:dyDescent="0.2">
      <c r="A6794" t="s">
        <v>649</v>
      </c>
      <c r="B6794" t="s">
        <v>17</v>
      </c>
      <c r="C6794" t="s">
        <v>21</v>
      </c>
      <c r="D6794">
        <v>3101</v>
      </c>
      <c r="E6794">
        <v>2021</v>
      </c>
      <c r="F6794">
        <v>1</v>
      </c>
      <c r="G6794">
        <v>10383</v>
      </c>
      <c r="H6794" s="1">
        <v>4</v>
      </c>
      <c r="I6794">
        <v>10</v>
      </c>
      <c r="J6794">
        <f>IF($H6794=0,1,IF($I6794&lt;=1,2,0))</f>
        <v>0</v>
      </c>
      <c r="K6794">
        <v>0</v>
      </c>
      <c r="L6794">
        <f>IF(AND($J6794=0,$K6794=0),0,1)</f>
        <v>0</v>
      </c>
      <c r="M6794" t="s">
        <v>1751</v>
      </c>
    </row>
    <row r="6795" spans="1:13" x14ac:dyDescent="0.2">
      <c r="A6795" t="s">
        <v>649</v>
      </c>
      <c r="B6795" t="s">
        <v>17</v>
      </c>
      <c r="C6795" t="s">
        <v>21</v>
      </c>
      <c r="D6795">
        <v>3101</v>
      </c>
      <c r="E6795">
        <v>2021</v>
      </c>
      <c r="F6795">
        <v>2</v>
      </c>
      <c r="G6795">
        <v>10384</v>
      </c>
      <c r="H6795" s="1">
        <v>4</v>
      </c>
      <c r="I6795">
        <v>7</v>
      </c>
      <c r="J6795">
        <f>IF($H6795=0,1,IF($I6795&lt;=1,2,0))</f>
        <v>0</v>
      </c>
      <c r="K6795">
        <v>0</v>
      </c>
      <c r="L6795">
        <f>IF(AND($J6795=0,$K6795=0),0,1)</f>
        <v>0</v>
      </c>
      <c r="M6795" t="s">
        <v>1751</v>
      </c>
    </row>
    <row r="6796" spans="1:13" x14ac:dyDescent="0.2">
      <c r="A6796" t="s">
        <v>649</v>
      </c>
      <c r="B6796" t="s">
        <v>17</v>
      </c>
      <c r="C6796" t="s">
        <v>21</v>
      </c>
      <c r="D6796">
        <v>3220</v>
      </c>
      <c r="E6796">
        <v>2021</v>
      </c>
      <c r="F6796">
        <v>2</v>
      </c>
      <c r="G6796">
        <v>737</v>
      </c>
      <c r="H6796" s="1">
        <v>3</v>
      </c>
      <c r="I6796">
        <v>14</v>
      </c>
      <c r="J6796">
        <f>IF($H6796=0,1,IF($I6796&lt;=1,2,0))</f>
        <v>0</v>
      </c>
      <c r="K6796">
        <v>0</v>
      </c>
      <c r="L6796">
        <f>IF(AND($J6796=0,$K6796=0),0,1)</f>
        <v>0</v>
      </c>
    </row>
    <row r="6797" spans="1:13" x14ac:dyDescent="0.2">
      <c r="A6797" t="s">
        <v>649</v>
      </c>
      <c r="B6797" t="s">
        <v>17</v>
      </c>
      <c r="C6797" t="s">
        <v>21</v>
      </c>
      <c r="D6797">
        <v>3430</v>
      </c>
      <c r="E6797">
        <v>2021</v>
      </c>
      <c r="F6797">
        <v>1</v>
      </c>
      <c r="G6797">
        <v>10144</v>
      </c>
      <c r="H6797" s="1">
        <v>3</v>
      </c>
      <c r="I6797">
        <v>11</v>
      </c>
      <c r="J6797">
        <f>IF($H6797=0,1,IF($I6797&lt;=1,2,0))</f>
        <v>0</v>
      </c>
      <c r="K6797">
        <v>0</v>
      </c>
      <c r="L6797">
        <f>IF(AND($J6797=0,$K6797=0),0,1)</f>
        <v>0</v>
      </c>
      <c r="M6797" t="s">
        <v>1752</v>
      </c>
    </row>
    <row r="6798" spans="1:13" x14ac:dyDescent="0.2">
      <c r="A6798" t="s">
        <v>649</v>
      </c>
      <c r="B6798" t="s">
        <v>17</v>
      </c>
      <c r="C6798" t="s">
        <v>9</v>
      </c>
      <c r="D6798">
        <v>3595</v>
      </c>
      <c r="E6798">
        <v>2021</v>
      </c>
      <c r="F6798">
        <v>1</v>
      </c>
      <c r="G6798">
        <v>364</v>
      </c>
      <c r="H6798" s="1">
        <v>4</v>
      </c>
      <c r="I6798">
        <v>4</v>
      </c>
      <c r="J6798">
        <f>IF($H6798=0,1,IF($I6798&lt;=1,2,0))</f>
        <v>0</v>
      </c>
      <c r="K6798">
        <v>0</v>
      </c>
      <c r="L6798">
        <f>IF(AND($J6798=0,$K6798=0),0,1)</f>
        <v>0</v>
      </c>
    </row>
    <row r="6799" spans="1:13" x14ac:dyDescent="0.2">
      <c r="A6799" t="s">
        <v>649</v>
      </c>
      <c r="B6799" t="s">
        <v>17</v>
      </c>
      <c r="C6799" t="s">
        <v>9</v>
      </c>
      <c r="D6799">
        <v>4107</v>
      </c>
      <c r="E6799">
        <v>2021</v>
      </c>
      <c r="F6799">
        <v>1</v>
      </c>
      <c r="G6799">
        <v>10180</v>
      </c>
      <c r="H6799" s="1">
        <v>3</v>
      </c>
      <c r="I6799">
        <v>4</v>
      </c>
      <c r="J6799">
        <f>IF($H6799=0,1,IF($I6799&lt;=1,2,0))</f>
        <v>0</v>
      </c>
      <c r="K6799">
        <v>0</v>
      </c>
      <c r="L6799">
        <f>IF(AND($J6799=0,$K6799=0),0,1)</f>
        <v>0</v>
      </c>
    </row>
    <row r="6800" spans="1:13" x14ac:dyDescent="0.2">
      <c r="A6800" t="s">
        <v>649</v>
      </c>
      <c r="B6800" t="s">
        <v>17</v>
      </c>
      <c r="C6800" t="s">
        <v>9</v>
      </c>
      <c r="D6800">
        <v>4342</v>
      </c>
      <c r="E6800">
        <v>2021</v>
      </c>
      <c r="F6800">
        <v>1</v>
      </c>
      <c r="G6800">
        <v>10136</v>
      </c>
      <c r="H6800" s="1">
        <v>4</v>
      </c>
      <c r="I6800">
        <v>6</v>
      </c>
      <c r="J6800">
        <f>IF($H6800=0,1,IF($I6800&lt;=1,2,0))</f>
        <v>0</v>
      </c>
      <c r="K6800">
        <v>0</v>
      </c>
      <c r="L6800">
        <f>IF(AND($J6800=0,$K6800=0),0,1)</f>
        <v>0</v>
      </c>
      <c r="M6800" t="s">
        <v>2079</v>
      </c>
    </row>
    <row r="6801" spans="1:13" x14ac:dyDescent="0.2">
      <c r="A6801" t="s">
        <v>649</v>
      </c>
      <c r="B6801" t="s">
        <v>17</v>
      </c>
      <c r="C6801" t="s">
        <v>9</v>
      </c>
      <c r="D6801">
        <v>4344</v>
      </c>
      <c r="E6801">
        <v>2021</v>
      </c>
      <c r="F6801">
        <v>1</v>
      </c>
      <c r="G6801">
        <v>365</v>
      </c>
      <c r="H6801" s="1">
        <v>3</v>
      </c>
      <c r="I6801">
        <v>9</v>
      </c>
      <c r="J6801">
        <f>IF($H6801=0,1,IF($I6801&lt;=1,2,0))</f>
        <v>0</v>
      </c>
      <c r="K6801">
        <v>0</v>
      </c>
      <c r="L6801">
        <f>IF(AND($J6801=0,$K6801=0),0,1)</f>
        <v>0</v>
      </c>
      <c r="M6801" t="s">
        <v>1753</v>
      </c>
    </row>
    <row r="6802" spans="1:13" x14ac:dyDescent="0.2">
      <c r="A6802" t="s">
        <v>649</v>
      </c>
      <c r="B6802" t="s">
        <v>17</v>
      </c>
      <c r="C6802" t="s">
        <v>11</v>
      </c>
      <c r="D6802">
        <v>6005</v>
      </c>
      <c r="E6802">
        <v>2021</v>
      </c>
      <c r="F6802">
        <v>1</v>
      </c>
      <c r="G6802">
        <v>14066</v>
      </c>
      <c r="H6802" s="1">
        <v>4</v>
      </c>
      <c r="I6802">
        <v>2</v>
      </c>
      <c r="J6802">
        <f>IF($H6802=0,1,IF($I6802&lt;=1,2,0))</f>
        <v>0</v>
      </c>
      <c r="K6802">
        <v>0</v>
      </c>
      <c r="L6802">
        <f>IF(AND($J6802=0,$K6802=0),0,1)</f>
        <v>0</v>
      </c>
    </row>
    <row r="6803" spans="1:13" x14ac:dyDescent="0.2">
      <c r="A6803" t="s">
        <v>649</v>
      </c>
      <c r="B6803" t="s">
        <v>17</v>
      </c>
      <c r="C6803" t="s">
        <v>11</v>
      </c>
      <c r="D6803">
        <v>6011</v>
      </c>
      <c r="E6803">
        <v>2021</v>
      </c>
      <c r="F6803">
        <v>1</v>
      </c>
      <c r="G6803">
        <v>10135</v>
      </c>
      <c r="H6803" s="1">
        <v>4</v>
      </c>
      <c r="I6803">
        <v>8</v>
      </c>
      <c r="J6803">
        <f>IF($H6803=0,1,IF($I6803&lt;=1,2,0))</f>
        <v>0</v>
      </c>
      <c r="K6803">
        <v>0</v>
      </c>
      <c r="L6803">
        <f>IF(AND($J6803=0,$K6803=0),0,1)</f>
        <v>0</v>
      </c>
    </row>
    <row r="6804" spans="1:13" x14ac:dyDescent="0.2">
      <c r="A6804" t="s">
        <v>649</v>
      </c>
      <c r="B6804" t="s">
        <v>17</v>
      </c>
      <c r="C6804" t="s">
        <v>11</v>
      </c>
      <c r="D6804">
        <v>8040</v>
      </c>
      <c r="E6804">
        <v>2021</v>
      </c>
      <c r="F6804">
        <v>1</v>
      </c>
      <c r="G6804">
        <v>13865</v>
      </c>
      <c r="H6804" s="1" t="s">
        <v>1832</v>
      </c>
      <c r="I6804">
        <v>2</v>
      </c>
      <c r="J6804">
        <f>IF($H6804=0,1,IF($I6804&lt;=1,2,0))</f>
        <v>0</v>
      </c>
      <c r="K6804">
        <v>0</v>
      </c>
      <c r="L6804">
        <f>IF(AND($J6804=0,$K6804=0),0,1)</f>
        <v>0</v>
      </c>
    </row>
    <row r="6805" spans="1:13" x14ac:dyDescent="0.2">
      <c r="A6805" t="s">
        <v>657</v>
      </c>
      <c r="B6805" t="s">
        <v>6</v>
      </c>
      <c r="C6805" t="s">
        <v>11</v>
      </c>
      <c r="D6805">
        <v>5000</v>
      </c>
      <c r="E6805">
        <v>2021</v>
      </c>
      <c r="F6805">
        <v>1</v>
      </c>
      <c r="G6805">
        <v>16083</v>
      </c>
      <c r="H6805" s="1">
        <v>4</v>
      </c>
      <c r="I6805">
        <v>9</v>
      </c>
      <c r="J6805">
        <f>IF($H6805=0,1,IF($I6805&lt;=1,2,0))</f>
        <v>0</v>
      </c>
      <c r="K6805">
        <v>0</v>
      </c>
      <c r="L6805">
        <f>IF(AND($J6805=0,$K6805=0),0,1)</f>
        <v>0</v>
      </c>
    </row>
    <row r="6806" spans="1:13" x14ac:dyDescent="0.2">
      <c r="A6806" t="s">
        <v>659</v>
      </c>
      <c r="B6806" t="s">
        <v>241</v>
      </c>
      <c r="C6806" t="s">
        <v>7</v>
      </c>
      <c r="D6806">
        <v>1000</v>
      </c>
      <c r="E6806">
        <v>2021</v>
      </c>
      <c r="F6806">
        <v>1</v>
      </c>
      <c r="G6806">
        <v>15785</v>
      </c>
      <c r="H6806" s="1">
        <v>4</v>
      </c>
      <c r="I6806">
        <v>628</v>
      </c>
      <c r="J6806">
        <f>IF($H6806=0,1,IF($I6806&lt;=1,2,0))</f>
        <v>0</v>
      </c>
      <c r="K6806">
        <v>0</v>
      </c>
      <c r="L6806">
        <f>IF(AND($J6806=0,$K6806=0),0,1)</f>
        <v>0</v>
      </c>
    </row>
    <row r="6807" spans="1:13" x14ac:dyDescent="0.2">
      <c r="A6807" t="s">
        <v>659</v>
      </c>
      <c r="B6807" t="s">
        <v>133</v>
      </c>
      <c r="C6807" t="s">
        <v>9</v>
      </c>
      <c r="D6807">
        <v>1212</v>
      </c>
      <c r="E6807">
        <v>2021</v>
      </c>
      <c r="F6807">
        <v>1</v>
      </c>
      <c r="G6807">
        <v>17186</v>
      </c>
      <c r="H6807" s="1">
        <v>4</v>
      </c>
      <c r="I6807">
        <v>22</v>
      </c>
      <c r="J6807">
        <f>IF($H6807=0,1,IF($I6807&lt;=1,2,0))</f>
        <v>0</v>
      </c>
      <c r="K6807">
        <v>0</v>
      </c>
      <c r="L6807">
        <f>IF(AND($J6807=0,$K6807=0),0,1)</f>
        <v>0</v>
      </c>
    </row>
    <row r="6808" spans="1:13" x14ac:dyDescent="0.2">
      <c r="A6808" t="s">
        <v>659</v>
      </c>
      <c r="B6808" t="s">
        <v>133</v>
      </c>
      <c r="C6808" t="s">
        <v>7</v>
      </c>
      <c r="D6808">
        <v>1500</v>
      </c>
      <c r="E6808">
        <v>2021</v>
      </c>
      <c r="F6808">
        <v>1</v>
      </c>
      <c r="G6808">
        <v>18103</v>
      </c>
      <c r="H6808" s="1">
        <v>1</v>
      </c>
      <c r="I6808">
        <v>14</v>
      </c>
      <c r="J6808">
        <f>IF($H6808=0,1,IF($I6808&lt;=1,2,0))</f>
        <v>0</v>
      </c>
      <c r="K6808">
        <v>0</v>
      </c>
      <c r="L6808">
        <f>IF(AND($J6808=0,$K6808=0),0,1)</f>
        <v>0</v>
      </c>
    </row>
    <row r="6809" spans="1:13" x14ac:dyDescent="0.2">
      <c r="A6809" t="s">
        <v>659</v>
      </c>
      <c r="B6809" t="s">
        <v>133</v>
      </c>
      <c r="C6809" t="s">
        <v>61</v>
      </c>
      <c r="D6809">
        <v>3001</v>
      </c>
      <c r="E6809">
        <v>2021</v>
      </c>
      <c r="F6809">
        <v>1</v>
      </c>
      <c r="G6809">
        <v>18747</v>
      </c>
      <c r="H6809" s="1">
        <v>3</v>
      </c>
      <c r="I6809">
        <v>20</v>
      </c>
      <c r="J6809">
        <f>IF($H6809=0,1,IF($I6809&lt;=1,2,0))</f>
        <v>0</v>
      </c>
      <c r="K6809">
        <v>0</v>
      </c>
      <c r="L6809">
        <f>IF(AND($J6809=0,$K6809=0),0,1)</f>
        <v>0</v>
      </c>
    </row>
    <row r="6810" spans="1:13" x14ac:dyDescent="0.2">
      <c r="A6810" t="s">
        <v>661</v>
      </c>
      <c r="B6810" t="s">
        <v>6</v>
      </c>
      <c r="C6810" t="s">
        <v>9</v>
      </c>
      <c r="D6810">
        <v>1900</v>
      </c>
      <c r="E6810">
        <v>2021</v>
      </c>
      <c r="F6810">
        <v>1</v>
      </c>
      <c r="G6810">
        <v>10597</v>
      </c>
      <c r="H6810" s="1">
        <v>1</v>
      </c>
      <c r="I6810">
        <v>54</v>
      </c>
      <c r="J6810">
        <f>IF($H6810=0,1,IF($I6810&lt;=1,2,0))</f>
        <v>0</v>
      </c>
      <c r="K6810">
        <v>0</v>
      </c>
      <c r="L6810">
        <f>IF(AND($J6810=0,$K6810=0),0,1)</f>
        <v>0</v>
      </c>
      <c r="M6810" t="s">
        <v>1754</v>
      </c>
    </row>
    <row r="6811" spans="1:13" x14ac:dyDescent="0.2">
      <c r="A6811" t="s">
        <v>661</v>
      </c>
      <c r="B6811" t="s">
        <v>6</v>
      </c>
      <c r="C6811" t="s">
        <v>9</v>
      </c>
      <c r="D6811">
        <v>2050</v>
      </c>
      <c r="E6811">
        <v>2021</v>
      </c>
      <c r="F6811">
        <v>1</v>
      </c>
      <c r="G6811">
        <v>10598</v>
      </c>
      <c r="H6811" s="1">
        <v>3</v>
      </c>
      <c r="I6811">
        <v>29</v>
      </c>
      <c r="J6811">
        <f>IF($H6811=0,1,IF($I6811&lt;=1,2,0))</f>
        <v>0</v>
      </c>
      <c r="K6811">
        <v>0</v>
      </c>
      <c r="L6811">
        <f>IF(AND($J6811=0,$K6811=0),0,1)</f>
        <v>0</v>
      </c>
    </row>
    <row r="6812" spans="1:13" x14ac:dyDescent="0.2">
      <c r="A6812" t="s">
        <v>661</v>
      </c>
      <c r="B6812" t="s">
        <v>6</v>
      </c>
      <c r="C6812" t="s">
        <v>9</v>
      </c>
      <c r="D6812">
        <v>2320</v>
      </c>
      <c r="E6812">
        <v>2021</v>
      </c>
      <c r="F6812">
        <v>1</v>
      </c>
      <c r="G6812">
        <v>10599</v>
      </c>
      <c r="H6812" s="1">
        <v>3</v>
      </c>
      <c r="I6812">
        <v>36</v>
      </c>
      <c r="J6812">
        <f>IF($H6812=0,1,IF($I6812&lt;=1,2,0))</f>
        <v>0</v>
      </c>
      <c r="K6812">
        <v>0</v>
      </c>
      <c r="L6812">
        <f>IF(AND($J6812=0,$K6812=0),0,1)</f>
        <v>0</v>
      </c>
      <c r="M6812" t="s">
        <v>662</v>
      </c>
    </row>
    <row r="6813" spans="1:13" x14ac:dyDescent="0.2">
      <c r="A6813" t="s">
        <v>661</v>
      </c>
      <c r="B6813" t="s">
        <v>6</v>
      </c>
      <c r="C6813" t="s">
        <v>9</v>
      </c>
      <c r="D6813">
        <v>3280</v>
      </c>
      <c r="E6813">
        <v>2021</v>
      </c>
      <c r="F6813">
        <v>1</v>
      </c>
      <c r="G6813">
        <v>10600</v>
      </c>
      <c r="H6813" s="1">
        <v>4</v>
      </c>
      <c r="I6813">
        <v>17</v>
      </c>
      <c r="J6813">
        <f>IF($H6813=0,1,IF($I6813&lt;=1,2,0))</f>
        <v>0</v>
      </c>
      <c r="K6813">
        <v>0</v>
      </c>
      <c r="L6813">
        <f>IF(AND($J6813=0,$K6813=0),0,1)</f>
        <v>0</v>
      </c>
      <c r="M6813" t="s">
        <v>663</v>
      </c>
    </row>
    <row r="6814" spans="1:13" x14ac:dyDescent="0.2">
      <c r="A6814" t="s">
        <v>661</v>
      </c>
      <c r="B6814" t="s">
        <v>6</v>
      </c>
      <c r="C6814" t="s">
        <v>9</v>
      </c>
      <c r="D6814">
        <v>3280</v>
      </c>
      <c r="E6814">
        <v>2021</v>
      </c>
      <c r="F6814">
        <v>2</v>
      </c>
      <c r="G6814">
        <v>10601</v>
      </c>
      <c r="H6814" s="1">
        <v>4</v>
      </c>
      <c r="I6814">
        <v>15</v>
      </c>
      <c r="J6814">
        <f>IF($H6814=0,1,IF($I6814&lt;=1,2,0))</f>
        <v>0</v>
      </c>
      <c r="K6814">
        <v>0</v>
      </c>
      <c r="L6814">
        <f>IF(AND($J6814=0,$K6814=0),0,1)</f>
        <v>0</v>
      </c>
      <c r="M6814" t="s">
        <v>663</v>
      </c>
    </row>
    <row r="6815" spans="1:13" x14ac:dyDescent="0.2">
      <c r="A6815" t="s">
        <v>661</v>
      </c>
      <c r="B6815" t="s">
        <v>6</v>
      </c>
      <c r="C6815" t="s">
        <v>9</v>
      </c>
      <c r="D6815">
        <v>3360</v>
      </c>
      <c r="E6815">
        <v>2021</v>
      </c>
      <c r="F6815">
        <v>1</v>
      </c>
      <c r="G6815">
        <v>10603</v>
      </c>
      <c r="H6815" s="1">
        <v>3</v>
      </c>
      <c r="I6815">
        <v>27</v>
      </c>
      <c r="J6815">
        <f>IF($H6815=0,1,IF($I6815&lt;=1,2,0))</f>
        <v>0</v>
      </c>
      <c r="K6815">
        <v>0</v>
      </c>
      <c r="L6815">
        <f>IF(AND($J6815=0,$K6815=0),0,1)</f>
        <v>0</v>
      </c>
    </row>
    <row r="6816" spans="1:13" x14ac:dyDescent="0.2">
      <c r="A6816" t="s">
        <v>661</v>
      </c>
      <c r="B6816" t="s">
        <v>6</v>
      </c>
      <c r="C6816" t="s">
        <v>9</v>
      </c>
      <c r="D6816">
        <v>3366</v>
      </c>
      <c r="E6816">
        <v>2021</v>
      </c>
      <c r="F6816">
        <v>1</v>
      </c>
      <c r="G6816">
        <v>10604</v>
      </c>
      <c r="H6816" s="1">
        <v>3</v>
      </c>
      <c r="I6816">
        <v>36</v>
      </c>
      <c r="J6816">
        <f>IF($H6816=0,1,IF($I6816&lt;=1,2,0))</f>
        <v>0</v>
      </c>
      <c r="K6816">
        <v>0</v>
      </c>
      <c r="L6816">
        <f>IF(AND($J6816=0,$K6816=0),0,1)</f>
        <v>0</v>
      </c>
      <c r="M6816" t="s">
        <v>1755</v>
      </c>
    </row>
    <row r="6817" spans="1:13" x14ac:dyDescent="0.2">
      <c r="A6817" t="s">
        <v>661</v>
      </c>
      <c r="B6817" t="s">
        <v>6</v>
      </c>
      <c r="C6817" t="s">
        <v>9</v>
      </c>
      <c r="D6817">
        <v>3390</v>
      </c>
      <c r="E6817">
        <v>2021</v>
      </c>
      <c r="F6817">
        <v>1</v>
      </c>
      <c r="G6817">
        <v>10605</v>
      </c>
      <c r="H6817" s="1">
        <v>3</v>
      </c>
      <c r="I6817">
        <v>17</v>
      </c>
      <c r="J6817">
        <f>IF($H6817=0,1,IF($I6817&lt;=1,2,0))</f>
        <v>0</v>
      </c>
      <c r="K6817">
        <v>0</v>
      </c>
      <c r="L6817">
        <f>IF(AND($J6817=0,$K6817=0),0,1)</f>
        <v>0</v>
      </c>
      <c r="M6817" t="s">
        <v>663</v>
      </c>
    </row>
    <row r="6818" spans="1:13" x14ac:dyDescent="0.2">
      <c r="A6818" t="s">
        <v>661</v>
      </c>
      <c r="B6818" t="s">
        <v>6</v>
      </c>
      <c r="C6818" t="s">
        <v>9</v>
      </c>
      <c r="D6818">
        <v>4101</v>
      </c>
      <c r="E6818">
        <v>2021</v>
      </c>
      <c r="F6818">
        <v>1</v>
      </c>
      <c r="G6818">
        <v>10611</v>
      </c>
      <c r="H6818" s="1">
        <v>3</v>
      </c>
      <c r="I6818">
        <v>10</v>
      </c>
      <c r="J6818">
        <f>IF($H6818=0,1,IF($I6818&lt;=1,2,0))</f>
        <v>0</v>
      </c>
      <c r="K6818">
        <v>0</v>
      </c>
      <c r="L6818">
        <f>IF(AND($J6818=0,$K6818=0),0,1)</f>
        <v>0</v>
      </c>
    </row>
    <row r="6819" spans="1:13" x14ac:dyDescent="0.2">
      <c r="A6819" t="s">
        <v>661</v>
      </c>
      <c r="B6819" t="s">
        <v>6</v>
      </c>
      <c r="C6819" t="s">
        <v>9</v>
      </c>
      <c r="D6819">
        <v>4240</v>
      </c>
      <c r="E6819">
        <v>2021</v>
      </c>
      <c r="F6819">
        <v>1</v>
      </c>
      <c r="G6819">
        <v>10612</v>
      </c>
      <c r="H6819" s="1">
        <v>3</v>
      </c>
      <c r="I6819">
        <v>17</v>
      </c>
      <c r="J6819">
        <f>IF($H6819=0,1,IF($I6819&lt;=1,2,0))</f>
        <v>0</v>
      </c>
      <c r="K6819">
        <v>0</v>
      </c>
      <c r="L6819">
        <f>IF(AND($J6819=0,$K6819=0),0,1)</f>
        <v>0</v>
      </c>
    </row>
    <row r="6820" spans="1:13" x14ac:dyDescent="0.2">
      <c r="A6820" t="s">
        <v>667</v>
      </c>
      <c r="B6820" t="s">
        <v>6</v>
      </c>
      <c r="C6820" t="s">
        <v>9</v>
      </c>
      <c r="D6820">
        <v>3001</v>
      </c>
      <c r="E6820">
        <v>2021</v>
      </c>
      <c r="F6820">
        <v>1</v>
      </c>
      <c r="G6820">
        <v>14946</v>
      </c>
      <c r="H6820" s="1">
        <v>3</v>
      </c>
      <c r="I6820">
        <v>52</v>
      </c>
      <c r="J6820">
        <f>IF($H6820=0,1,IF($I6820&lt;=1,2,0))</f>
        <v>0</v>
      </c>
      <c r="K6820">
        <v>0</v>
      </c>
      <c r="L6820">
        <f>IF(AND($J6820=0,$K6820=0),0,1)</f>
        <v>0</v>
      </c>
    </row>
    <row r="6821" spans="1:13" x14ac:dyDescent="0.2">
      <c r="A6821" t="s">
        <v>667</v>
      </c>
      <c r="B6821" t="s">
        <v>6</v>
      </c>
      <c r="C6821" t="s">
        <v>11</v>
      </c>
      <c r="D6821">
        <v>8020</v>
      </c>
      <c r="E6821">
        <v>2021</v>
      </c>
      <c r="F6821">
        <v>2</v>
      </c>
      <c r="G6821">
        <v>20113</v>
      </c>
      <c r="H6821" s="1" t="s">
        <v>1832</v>
      </c>
      <c r="I6821">
        <v>2</v>
      </c>
      <c r="J6821">
        <f>IF($H6821=0,1,IF($I6821&lt;=1,2,0))</f>
        <v>0</v>
      </c>
      <c r="K6821">
        <v>0</v>
      </c>
      <c r="L6821">
        <f>IF(AND($J6821=0,$K6821=0),0,1)</f>
        <v>0</v>
      </c>
    </row>
    <row r="6822" spans="1:13" x14ac:dyDescent="0.2">
      <c r="A6822" t="s">
        <v>669</v>
      </c>
      <c r="B6822" t="s">
        <v>386</v>
      </c>
      <c r="C6822" t="s">
        <v>34</v>
      </c>
      <c r="D6822">
        <v>4000</v>
      </c>
      <c r="E6822">
        <v>2021</v>
      </c>
      <c r="F6822">
        <v>1</v>
      </c>
      <c r="G6822">
        <v>13185</v>
      </c>
      <c r="H6822" s="1">
        <v>3</v>
      </c>
      <c r="I6822">
        <v>8</v>
      </c>
      <c r="J6822">
        <f>IF($H6822=0,1,IF($I6822&lt;=1,2,0))</f>
        <v>0</v>
      </c>
      <c r="K6822">
        <v>0</v>
      </c>
      <c r="L6822">
        <f>IF(AND($J6822=0,$K6822=0),0,1)</f>
        <v>0</v>
      </c>
    </row>
    <row r="6823" spans="1:13" x14ac:dyDescent="0.2">
      <c r="A6823" t="s">
        <v>672</v>
      </c>
      <c r="B6823" t="s">
        <v>6</v>
      </c>
      <c r="C6823" t="s">
        <v>9</v>
      </c>
      <c r="D6823">
        <v>1000</v>
      </c>
      <c r="E6823">
        <v>2021</v>
      </c>
      <c r="F6823">
        <v>1</v>
      </c>
      <c r="G6823">
        <v>12112</v>
      </c>
      <c r="H6823" s="1">
        <v>3</v>
      </c>
      <c r="I6823">
        <v>227</v>
      </c>
      <c r="J6823">
        <f>IF($H6823=0,1,IF($I6823&lt;=1,2,0))</f>
        <v>0</v>
      </c>
      <c r="K6823">
        <v>0</v>
      </c>
      <c r="L6823">
        <f>IF(AND($J6823=0,$K6823=0),0,1)</f>
        <v>0</v>
      </c>
    </row>
    <row r="6824" spans="1:13" x14ac:dyDescent="0.2">
      <c r="A6824" t="s">
        <v>672</v>
      </c>
      <c r="B6824" t="s">
        <v>6</v>
      </c>
      <c r="C6824" t="s">
        <v>9</v>
      </c>
      <c r="D6824">
        <v>1203</v>
      </c>
      <c r="E6824">
        <v>2021</v>
      </c>
      <c r="F6824">
        <v>1</v>
      </c>
      <c r="G6824">
        <v>12019</v>
      </c>
      <c r="H6824" s="1">
        <v>3</v>
      </c>
      <c r="I6824">
        <v>86</v>
      </c>
      <c r="J6824">
        <f>IF($H6824=0,1,IF($I6824&lt;=1,2,0))</f>
        <v>0</v>
      </c>
      <c r="K6824">
        <v>0</v>
      </c>
      <c r="L6824">
        <f>IF(AND($J6824=0,$K6824=0),0,1)</f>
        <v>0</v>
      </c>
    </row>
    <row r="6825" spans="1:13" x14ac:dyDescent="0.2">
      <c r="A6825" t="s">
        <v>672</v>
      </c>
      <c r="B6825" t="s">
        <v>6</v>
      </c>
      <c r="C6825" t="s">
        <v>21</v>
      </c>
      <c r="D6825">
        <v>2208</v>
      </c>
      <c r="E6825">
        <v>2021</v>
      </c>
      <c r="F6825">
        <v>1</v>
      </c>
      <c r="G6825">
        <v>176</v>
      </c>
      <c r="H6825" s="1">
        <v>3</v>
      </c>
      <c r="I6825">
        <v>37</v>
      </c>
      <c r="J6825">
        <f>IF($H6825=0,1,IF($I6825&lt;=1,2,0))</f>
        <v>0</v>
      </c>
      <c r="K6825">
        <v>0</v>
      </c>
      <c r="L6825">
        <f>IF(AND($J6825=0,$K6825=0),0,1)</f>
        <v>0</v>
      </c>
    </row>
    <row r="6826" spans="1:13" x14ac:dyDescent="0.2">
      <c r="A6826" t="s">
        <v>672</v>
      </c>
      <c r="B6826" t="s">
        <v>6</v>
      </c>
      <c r="C6826" t="s">
        <v>9</v>
      </c>
      <c r="D6826">
        <v>3000</v>
      </c>
      <c r="E6826">
        <v>2021</v>
      </c>
      <c r="F6826">
        <v>1</v>
      </c>
      <c r="G6826">
        <v>12114</v>
      </c>
      <c r="H6826" s="1">
        <v>4</v>
      </c>
      <c r="I6826">
        <v>70</v>
      </c>
      <c r="J6826">
        <f>IF($H6826=0,1,IF($I6826&lt;=1,2,0))</f>
        <v>0</v>
      </c>
      <c r="K6826">
        <v>0</v>
      </c>
      <c r="L6826">
        <f>IF(AND($J6826=0,$K6826=0),0,1)</f>
        <v>0</v>
      </c>
    </row>
    <row r="6827" spans="1:13" x14ac:dyDescent="0.2">
      <c r="A6827" t="s">
        <v>672</v>
      </c>
      <c r="B6827" t="s">
        <v>6</v>
      </c>
      <c r="C6827" t="s">
        <v>9</v>
      </c>
      <c r="D6827">
        <v>3010</v>
      </c>
      <c r="E6827">
        <v>2021</v>
      </c>
      <c r="F6827">
        <v>1</v>
      </c>
      <c r="G6827">
        <v>177</v>
      </c>
      <c r="H6827" s="1">
        <v>4</v>
      </c>
      <c r="I6827">
        <v>66</v>
      </c>
      <c r="J6827">
        <f>IF($H6827=0,1,IF($I6827&lt;=1,2,0))</f>
        <v>0</v>
      </c>
      <c r="K6827">
        <v>0</v>
      </c>
      <c r="L6827">
        <f>IF(AND($J6827=0,$K6827=0),0,1)</f>
        <v>0</v>
      </c>
    </row>
    <row r="6828" spans="1:13" x14ac:dyDescent="0.2">
      <c r="A6828" t="s">
        <v>672</v>
      </c>
      <c r="B6828" t="s">
        <v>6</v>
      </c>
      <c r="C6828" t="s">
        <v>9</v>
      </c>
      <c r="D6828">
        <v>3120</v>
      </c>
      <c r="E6828">
        <v>2021</v>
      </c>
      <c r="F6828">
        <v>1</v>
      </c>
      <c r="G6828">
        <v>12115</v>
      </c>
      <c r="H6828" s="1">
        <v>4</v>
      </c>
      <c r="I6828">
        <v>67</v>
      </c>
      <c r="J6828">
        <f>IF($H6828=0,1,IF($I6828&lt;=1,2,0))</f>
        <v>0</v>
      </c>
      <c r="K6828">
        <v>0</v>
      </c>
      <c r="L6828">
        <f>IF(AND($J6828=0,$K6828=0),0,1)</f>
        <v>0</v>
      </c>
    </row>
    <row r="6829" spans="1:13" x14ac:dyDescent="0.2">
      <c r="A6829" t="s">
        <v>672</v>
      </c>
      <c r="B6829" t="s">
        <v>6</v>
      </c>
      <c r="C6829" t="s">
        <v>9</v>
      </c>
      <c r="D6829">
        <v>3203</v>
      </c>
      <c r="E6829">
        <v>2021</v>
      </c>
      <c r="F6829">
        <v>1</v>
      </c>
      <c r="G6829">
        <v>774</v>
      </c>
      <c r="H6829" s="1">
        <v>3</v>
      </c>
      <c r="I6829">
        <v>41</v>
      </c>
      <c r="J6829">
        <f>IF($H6829=0,1,IF($I6829&lt;=1,2,0))</f>
        <v>0</v>
      </c>
      <c r="K6829">
        <v>0</v>
      </c>
      <c r="L6829">
        <f>IF(AND($J6829=0,$K6829=0),0,1)</f>
        <v>0</v>
      </c>
    </row>
    <row r="6830" spans="1:13" x14ac:dyDescent="0.2">
      <c r="A6830" t="s">
        <v>672</v>
      </c>
      <c r="B6830" t="s">
        <v>6</v>
      </c>
      <c r="C6830" t="s">
        <v>9</v>
      </c>
      <c r="D6830">
        <v>3235</v>
      </c>
      <c r="E6830">
        <v>2021</v>
      </c>
      <c r="F6830">
        <v>1</v>
      </c>
      <c r="G6830">
        <v>186</v>
      </c>
      <c r="H6830" s="1">
        <v>3</v>
      </c>
      <c r="I6830">
        <v>39</v>
      </c>
      <c r="J6830">
        <f>IF($H6830=0,1,IF($I6830&lt;=1,2,0))</f>
        <v>0</v>
      </c>
      <c r="K6830">
        <v>0</v>
      </c>
      <c r="L6830">
        <f>IF(AND($J6830=0,$K6830=0),0,1)</f>
        <v>0</v>
      </c>
    </row>
    <row r="6831" spans="1:13" x14ac:dyDescent="0.2">
      <c r="A6831" t="s">
        <v>672</v>
      </c>
      <c r="B6831" t="s">
        <v>6</v>
      </c>
      <c r="C6831" t="s">
        <v>9</v>
      </c>
      <c r="D6831">
        <v>3324</v>
      </c>
      <c r="E6831">
        <v>2021</v>
      </c>
      <c r="F6831">
        <v>1</v>
      </c>
      <c r="G6831">
        <v>12091</v>
      </c>
      <c r="H6831" s="1">
        <v>3</v>
      </c>
      <c r="I6831">
        <v>200</v>
      </c>
      <c r="J6831">
        <f>IF($H6831=0,1,IF($I6831&lt;=1,2,0))</f>
        <v>0</v>
      </c>
      <c r="K6831">
        <v>0</v>
      </c>
      <c r="L6831">
        <f>IF(AND($J6831=0,$K6831=0),0,1)</f>
        <v>0</v>
      </c>
    </row>
    <row r="6832" spans="1:13" x14ac:dyDescent="0.2">
      <c r="A6832" t="s">
        <v>672</v>
      </c>
      <c r="B6832" t="s">
        <v>6</v>
      </c>
      <c r="C6832" t="s">
        <v>9</v>
      </c>
      <c r="D6832">
        <v>3675</v>
      </c>
      <c r="E6832">
        <v>2021</v>
      </c>
      <c r="F6832">
        <v>1</v>
      </c>
      <c r="G6832">
        <v>12118</v>
      </c>
      <c r="H6832" s="1">
        <v>4</v>
      </c>
      <c r="I6832">
        <v>53</v>
      </c>
      <c r="J6832">
        <f>IF($H6832=0,1,IF($I6832&lt;=1,2,0))</f>
        <v>0</v>
      </c>
      <c r="K6832">
        <v>0</v>
      </c>
      <c r="L6832">
        <f>IF(AND($J6832=0,$K6832=0),0,1)</f>
        <v>0</v>
      </c>
    </row>
    <row r="6833" spans="1:12" x14ac:dyDescent="0.2">
      <c r="A6833" t="s">
        <v>672</v>
      </c>
      <c r="B6833" t="s">
        <v>6</v>
      </c>
      <c r="C6833" t="s">
        <v>21</v>
      </c>
      <c r="D6833">
        <v>3901</v>
      </c>
      <c r="E6833">
        <v>2021</v>
      </c>
      <c r="F6833">
        <v>1</v>
      </c>
      <c r="G6833">
        <v>187</v>
      </c>
      <c r="H6833" s="1">
        <v>4</v>
      </c>
      <c r="I6833">
        <v>10</v>
      </c>
      <c r="J6833">
        <f>IF($H6833=0,1,IF($I6833&lt;=1,2,0))</f>
        <v>0</v>
      </c>
      <c r="K6833">
        <v>0</v>
      </c>
      <c r="L6833">
        <f>IF(AND($J6833=0,$K6833=0),0,1)</f>
        <v>0</v>
      </c>
    </row>
    <row r="6834" spans="1:12" x14ac:dyDescent="0.2">
      <c r="A6834" t="s">
        <v>672</v>
      </c>
      <c r="B6834" t="s">
        <v>6</v>
      </c>
      <c r="C6834" t="s">
        <v>9</v>
      </c>
      <c r="D6834">
        <v>3909</v>
      </c>
      <c r="E6834">
        <v>2021</v>
      </c>
      <c r="F6834">
        <v>1</v>
      </c>
      <c r="G6834">
        <v>12088</v>
      </c>
      <c r="H6834" s="1">
        <v>4</v>
      </c>
      <c r="I6834">
        <v>19</v>
      </c>
      <c r="J6834">
        <f>IF($H6834=0,1,IF($I6834&lt;=1,2,0))</f>
        <v>0</v>
      </c>
      <c r="K6834">
        <v>0</v>
      </c>
      <c r="L6834">
        <f>IF(AND($J6834=0,$K6834=0),0,1)</f>
        <v>0</v>
      </c>
    </row>
    <row r="6835" spans="1:12" x14ac:dyDescent="0.2">
      <c r="A6835" t="s">
        <v>672</v>
      </c>
      <c r="B6835" t="s">
        <v>6</v>
      </c>
      <c r="C6835" t="s">
        <v>9</v>
      </c>
      <c r="D6835">
        <v>3914</v>
      </c>
      <c r="E6835">
        <v>2021</v>
      </c>
      <c r="F6835">
        <v>1</v>
      </c>
      <c r="G6835">
        <v>12094</v>
      </c>
      <c r="H6835" s="1">
        <v>4</v>
      </c>
      <c r="I6835">
        <v>17</v>
      </c>
      <c r="J6835">
        <f>IF($H6835=0,1,IF($I6835&lt;=1,2,0))</f>
        <v>0</v>
      </c>
      <c r="K6835">
        <v>0</v>
      </c>
      <c r="L6835">
        <f>IF(AND($J6835=0,$K6835=0),0,1)</f>
        <v>0</v>
      </c>
    </row>
    <row r="6836" spans="1:12" x14ac:dyDescent="0.2">
      <c r="A6836" t="s">
        <v>672</v>
      </c>
      <c r="B6836" t="s">
        <v>6</v>
      </c>
      <c r="C6836" t="s">
        <v>9</v>
      </c>
      <c r="D6836">
        <v>3937</v>
      </c>
      <c r="E6836">
        <v>2021</v>
      </c>
      <c r="F6836">
        <v>1</v>
      </c>
      <c r="G6836">
        <v>12117</v>
      </c>
      <c r="H6836" s="1">
        <v>4</v>
      </c>
      <c r="I6836">
        <v>15</v>
      </c>
      <c r="J6836">
        <f>IF($H6836=0,1,IF($I6836&lt;=1,2,0))</f>
        <v>0</v>
      </c>
      <c r="K6836">
        <v>0</v>
      </c>
      <c r="L6836">
        <f>IF(AND($J6836=0,$K6836=0),0,1)</f>
        <v>0</v>
      </c>
    </row>
    <row r="6837" spans="1:12" x14ac:dyDescent="0.2">
      <c r="A6837" t="s">
        <v>672</v>
      </c>
      <c r="B6837" t="s">
        <v>6</v>
      </c>
      <c r="C6837" t="s">
        <v>7</v>
      </c>
      <c r="D6837">
        <v>3966</v>
      </c>
      <c r="E6837">
        <v>2021</v>
      </c>
      <c r="F6837">
        <v>1</v>
      </c>
      <c r="G6837">
        <v>12021</v>
      </c>
      <c r="H6837" s="1">
        <v>4</v>
      </c>
      <c r="I6837">
        <v>26</v>
      </c>
      <c r="J6837">
        <f>IF($H6837=0,1,IF($I6837&lt;=1,2,0))</f>
        <v>0</v>
      </c>
      <c r="K6837">
        <v>0</v>
      </c>
      <c r="L6837">
        <f>IF(AND($J6837=0,$K6837=0),0,1)</f>
        <v>0</v>
      </c>
    </row>
    <row r="6838" spans="1:12" x14ac:dyDescent="0.2">
      <c r="A6838" t="s">
        <v>672</v>
      </c>
      <c r="B6838" t="s">
        <v>6</v>
      </c>
      <c r="C6838" t="s">
        <v>9</v>
      </c>
      <c r="D6838">
        <v>3981</v>
      </c>
      <c r="E6838">
        <v>2021</v>
      </c>
      <c r="F6838">
        <v>1</v>
      </c>
      <c r="G6838">
        <v>12092</v>
      </c>
      <c r="H6838" s="1">
        <v>4</v>
      </c>
      <c r="I6838">
        <v>8</v>
      </c>
      <c r="J6838">
        <f>IF($H6838=0,1,IF($I6838&lt;=1,2,0))</f>
        <v>0</v>
      </c>
      <c r="K6838">
        <v>0</v>
      </c>
      <c r="L6838">
        <f>IF(AND($J6838=0,$K6838=0),0,1)</f>
        <v>0</v>
      </c>
    </row>
    <row r="6839" spans="1:12" x14ac:dyDescent="0.2">
      <c r="A6839" t="s">
        <v>672</v>
      </c>
      <c r="B6839" t="s">
        <v>6</v>
      </c>
      <c r="C6839" t="s">
        <v>9</v>
      </c>
      <c r="D6839">
        <v>3982</v>
      </c>
      <c r="E6839">
        <v>2021</v>
      </c>
      <c r="F6839">
        <v>1</v>
      </c>
      <c r="G6839">
        <v>12093</v>
      </c>
      <c r="H6839" s="1">
        <v>4</v>
      </c>
      <c r="I6839">
        <v>6</v>
      </c>
      <c r="J6839">
        <f>IF($H6839=0,1,IF($I6839&lt;=1,2,0))</f>
        <v>0</v>
      </c>
      <c r="K6839">
        <v>0</v>
      </c>
      <c r="L6839">
        <f>IF(AND($J6839=0,$K6839=0),0,1)</f>
        <v>0</v>
      </c>
    </row>
    <row r="6840" spans="1:12" x14ac:dyDescent="0.2">
      <c r="A6840" t="s">
        <v>672</v>
      </c>
      <c r="B6840" t="s">
        <v>6</v>
      </c>
      <c r="C6840" t="s">
        <v>9</v>
      </c>
      <c r="D6840">
        <v>3996</v>
      </c>
      <c r="E6840">
        <v>2021</v>
      </c>
      <c r="F6840">
        <v>1</v>
      </c>
      <c r="G6840">
        <v>12120</v>
      </c>
      <c r="H6840" s="1" t="s">
        <v>1824</v>
      </c>
      <c r="I6840">
        <v>13</v>
      </c>
      <c r="J6840">
        <f>IF($H6840=0,1,IF($I6840&lt;=1,2,0))</f>
        <v>0</v>
      </c>
      <c r="K6840">
        <v>0</v>
      </c>
      <c r="L6840">
        <f>IF(AND($J6840=0,$K6840=0),0,1)</f>
        <v>0</v>
      </c>
    </row>
    <row r="6841" spans="1:12" x14ac:dyDescent="0.2">
      <c r="A6841" t="s">
        <v>672</v>
      </c>
      <c r="B6841" t="s">
        <v>6</v>
      </c>
      <c r="C6841" t="s">
        <v>7</v>
      </c>
      <c r="D6841">
        <v>4014</v>
      </c>
      <c r="E6841">
        <v>2021</v>
      </c>
      <c r="F6841">
        <v>1</v>
      </c>
      <c r="G6841">
        <v>20321</v>
      </c>
      <c r="H6841" s="1">
        <v>4</v>
      </c>
      <c r="I6841">
        <v>15</v>
      </c>
      <c r="J6841">
        <f>IF($H6841=0,1,IF($I6841&lt;=1,2,0))</f>
        <v>0</v>
      </c>
      <c r="K6841">
        <v>0</v>
      </c>
      <c r="L6841">
        <f>IF(AND($J6841=0,$K6841=0),0,1)</f>
        <v>0</v>
      </c>
    </row>
    <row r="6842" spans="1:12" x14ac:dyDescent="0.2">
      <c r="A6842" t="s">
        <v>672</v>
      </c>
      <c r="B6842" t="s">
        <v>6</v>
      </c>
      <c r="C6842" t="s">
        <v>9</v>
      </c>
      <c r="D6842">
        <v>4059</v>
      </c>
      <c r="E6842">
        <v>2021</v>
      </c>
      <c r="F6842">
        <v>1</v>
      </c>
      <c r="G6842">
        <v>13797</v>
      </c>
      <c r="H6842" s="1">
        <v>4</v>
      </c>
      <c r="I6842">
        <v>7</v>
      </c>
      <c r="J6842">
        <f>IF($H6842=0,1,IF($I6842&lt;=1,2,0))</f>
        <v>0</v>
      </c>
      <c r="K6842">
        <v>0</v>
      </c>
      <c r="L6842">
        <f>IF(AND($J6842=0,$K6842=0),0,1)</f>
        <v>0</v>
      </c>
    </row>
    <row r="6843" spans="1:12" x14ac:dyDescent="0.2">
      <c r="A6843" t="s">
        <v>672</v>
      </c>
      <c r="B6843" t="s">
        <v>6</v>
      </c>
      <c r="C6843" t="s">
        <v>11</v>
      </c>
      <c r="D6843">
        <v>4370</v>
      </c>
      <c r="E6843">
        <v>2021</v>
      </c>
      <c r="F6843">
        <v>1</v>
      </c>
      <c r="G6843">
        <v>12096</v>
      </c>
      <c r="H6843" s="1">
        <v>3</v>
      </c>
      <c r="I6843">
        <v>16</v>
      </c>
      <c r="J6843">
        <f>IF($H6843=0,1,IF($I6843&lt;=1,2,0))</f>
        <v>0</v>
      </c>
      <c r="K6843">
        <v>0</v>
      </c>
      <c r="L6843">
        <f>IF(AND($J6843=0,$K6843=0),0,1)</f>
        <v>0</v>
      </c>
    </row>
    <row r="6844" spans="1:12" x14ac:dyDescent="0.2">
      <c r="A6844" t="s">
        <v>672</v>
      </c>
      <c r="B6844" t="s">
        <v>6</v>
      </c>
      <c r="C6844" t="s">
        <v>9</v>
      </c>
      <c r="D6844">
        <v>4800</v>
      </c>
      <c r="E6844">
        <v>2021</v>
      </c>
      <c r="F6844">
        <v>1</v>
      </c>
      <c r="G6844">
        <v>12124</v>
      </c>
      <c r="H6844" s="1">
        <v>1</v>
      </c>
      <c r="I6844">
        <v>2</v>
      </c>
      <c r="J6844">
        <f>IF($H6844=0,1,IF($I6844&lt;=1,2,0))</f>
        <v>0</v>
      </c>
      <c r="K6844">
        <v>0</v>
      </c>
      <c r="L6844">
        <f>IF(AND($J6844=0,$K6844=0),0,1)</f>
        <v>0</v>
      </c>
    </row>
    <row r="6845" spans="1:12" x14ac:dyDescent="0.2">
      <c r="A6845" t="s">
        <v>672</v>
      </c>
      <c r="B6845" t="s">
        <v>6</v>
      </c>
      <c r="C6845" t="s">
        <v>11</v>
      </c>
      <c r="D6845">
        <v>5062</v>
      </c>
      <c r="E6845">
        <v>2021</v>
      </c>
      <c r="F6845">
        <v>1</v>
      </c>
      <c r="G6845">
        <v>12074</v>
      </c>
      <c r="H6845" s="1">
        <v>1</v>
      </c>
      <c r="I6845">
        <v>22</v>
      </c>
      <c r="J6845">
        <f>IF($H6845=0,1,IF($I6845&lt;=1,2,0))</f>
        <v>0</v>
      </c>
      <c r="K6845">
        <v>0</v>
      </c>
      <c r="L6845">
        <f>IF(AND($J6845=0,$K6845=0),0,1)</f>
        <v>0</v>
      </c>
    </row>
    <row r="6846" spans="1:12" x14ac:dyDescent="0.2">
      <c r="A6846" t="s">
        <v>672</v>
      </c>
      <c r="B6846" t="s">
        <v>6</v>
      </c>
      <c r="C6846" t="s">
        <v>11</v>
      </c>
      <c r="D6846">
        <v>5064</v>
      </c>
      <c r="E6846">
        <v>2021</v>
      </c>
      <c r="F6846">
        <v>1</v>
      </c>
      <c r="G6846">
        <v>12076</v>
      </c>
      <c r="H6846" s="1">
        <v>1</v>
      </c>
      <c r="I6846">
        <v>23</v>
      </c>
      <c r="J6846">
        <f>IF($H6846=0,1,IF($I6846&lt;=1,2,0))</f>
        <v>0</v>
      </c>
      <c r="K6846">
        <v>0</v>
      </c>
      <c r="L6846">
        <f>IF(AND($J6846=0,$K6846=0),0,1)</f>
        <v>0</v>
      </c>
    </row>
    <row r="6847" spans="1:12" x14ac:dyDescent="0.2">
      <c r="A6847" t="s">
        <v>672</v>
      </c>
      <c r="B6847" t="s">
        <v>6</v>
      </c>
      <c r="C6847" t="s">
        <v>11</v>
      </c>
      <c r="D6847">
        <v>6008</v>
      </c>
      <c r="E6847">
        <v>2021</v>
      </c>
      <c r="F6847">
        <v>1</v>
      </c>
      <c r="G6847">
        <v>12014</v>
      </c>
      <c r="H6847" s="1">
        <v>4</v>
      </c>
      <c r="I6847">
        <v>11</v>
      </c>
      <c r="J6847">
        <f>IF($H6847=0,1,IF($I6847&lt;=1,2,0))</f>
        <v>0</v>
      </c>
      <c r="K6847">
        <v>0</v>
      </c>
      <c r="L6847">
        <f>IF(AND($J6847=0,$K6847=0),0,1)</f>
        <v>0</v>
      </c>
    </row>
    <row r="6848" spans="1:12" x14ac:dyDescent="0.2">
      <c r="A6848" t="s">
        <v>672</v>
      </c>
      <c r="B6848" t="s">
        <v>6</v>
      </c>
      <c r="C6848" t="s">
        <v>11</v>
      </c>
      <c r="D6848">
        <v>6010</v>
      </c>
      <c r="E6848">
        <v>2021</v>
      </c>
      <c r="F6848">
        <v>1</v>
      </c>
      <c r="G6848">
        <v>12095</v>
      </c>
      <c r="H6848" s="1">
        <v>3</v>
      </c>
      <c r="I6848">
        <v>2</v>
      </c>
      <c r="J6848">
        <f>IF($H6848=0,1,IF($I6848&lt;=1,2,0))</f>
        <v>0</v>
      </c>
      <c r="K6848">
        <v>0</v>
      </c>
      <c r="L6848">
        <f>IF(AND($J6848=0,$K6848=0),0,1)</f>
        <v>0</v>
      </c>
    </row>
    <row r="6849" spans="1:13" x14ac:dyDescent="0.2">
      <c r="A6849" t="s">
        <v>672</v>
      </c>
      <c r="B6849" t="s">
        <v>6</v>
      </c>
      <c r="C6849" t="s">
        <v>11</v>
      </c>
      <c r="D6849">
        <v>6049</v>
      </c>
      <c r="E6849">
        <v>2021</v>
      </c>
      <c r="F6849">
        <v>1</v>
      </c>
      <c r="G6849">
        <v>15690</v>
      </c>
      <c r="H6849" s="1">
        <v>4</v>
      </c>
      <c r="I6849">
        <v>15</v>
      </c>
      <c r="J6849">
        <f>IF($H6849=0,1,IF($I6849&lt;=1,2,0))</f>
        <v>0</v>
      </c>
      <c r="K6849">
        <v>0</v>
      </c>
      <c r="L6849">
        <f>IF(AND($J6849=0,$K6849=0),0,1)</f>
        <v>0</v>
      </c>
    </row>
    <row r="6850" spans="1:13" x14ac:dyDescent="0.2">
      <c r="A6850" t="s">
        <v>672</v>
      </c>
      <c r="B6850" t="s">
        <v>6</v>
      </c>
      <c r="C6850" t="s">
        <v>11</v>
      </c>
      <c r="D6850">
        <v>6102</v>
      </c>
      <c r="E6850">
        <v>2021</v>
      </c>
      <c r="F6850">
        <v>1</v>
      </c>
      <c r="G6850">
        <v>12109</v>
      </c>
      <c r="H6850" s="1">
        <v>4</v>
      </c>
      <c r="I6850">
        <v>8</v>
      </c>
      <c r="J6850">
        <f>IF($H6850=0,1,IF($I6850&lt;=1,2,0))</f>
        <v>0</v>
      </c>
      <c r="K6850">
        <v>0</v>
      </c>
      <c r="L6850">
        <f>IF(AND($J6850=0,$K6850=0),0,1)</f>
        <v>0</v>
      </c>
    </row>
    <row r="6851" spans="1:13" x14ac:dyDescent="0.2">
      <c r="A6851" t="s">
        <v>672</v>
      </c>
      <c r="B6851" t="s">
        <v>6</v>
      </c>
      <c r="C6851" t="s">
        <v>11</v>
      </c>
      <c r="D6851">
        <v>8201</v>
      </c>
      <c r="E6851">
        <v>2021</v>
      </c>
      <c r="F6851">
        <v>1</v>
      </c>
      <c r="G6851">
        <v>12976</v>
      </c>
      <c r="H6851" s="1">
        <v>3</v>
      </c>
      <c r="I6851">
        <v>7</v>
      </c>
      <c r="J6851">
        <f>IF($H6851=0,1,IF($I6851&lt;=1,2,0))</f>
        <v>0</v>
      </c>
      <c r="K6851">
        <v>0</v>
      </c>
      <c r="L6851">
        <f>IF(AND($J6851=0,$K6851=0),0,1)</f>
        <v>0</v>
      </c>
    </row>
    <row r="6852" spans="1:13" x14ac:dyDescent="0.2">
      <c r="A6852" t="s">
        <v>672</v>
      </c>
      <c r="B6852" t="s">
        <v>6</v>
      </c>
      <c r="C6852" t="s">
        <v>11</v>
      </c>
      <c r="D6852">
        <v>8300</v>
      </c>
      <c r="E6852">
        <v>2021</v>
      </c>
      <c r="F6852">
        <v>1</v>
      </c>
      <c r="G6852">
        <v>12090</v>
      </c>
      <c r="H6852" s="1">
        <v>3</v>
      </c>
      <c r="I6852">
        <v>6</v>
      </c>
      <c r="J6852">
        <f>IF($H6852=0,1,IF($I6852&lt;=1,2,0))</f>
        <v>0</v>
      </c>
      <c r="K6852">
        <v>0</v>
      </c>
      <c r="L6852">
        <f>IF(AND($J6852=0,$K6852=0),0,1)</f>
        <v>0</v>
      </c>
    </row>
    <row r="6853" spans="1:13" x14ac:dyDescent="0.2">
      <c r="A6853" t="s">
        <v>672</v>
      </c>
      <c r="B6853" t="s">
        <v>6</v>
      </c>
      <c r="C6853" t="s">
        <v>11</v>
      </c>
      <c r="D6853">
        <v>8405</v>
      </c>
      <c r="E6853">
        <v>2021</v>
      </c>
      <c r="F6853">
        <v>1</v>
      </c>
      <c r="G6853">
        <v>12085</v>
      </c>
      <c r="H6853" s="1">
        <v>3</v>
      </c>
      <c r="I6853">
        <v>15</v>
      </c>
      <c r="J6853">
        <f>IF($H6853=0,1,IF($I6853&lt;=1,2,0))</f>
        <v>0</v>
      </c>
      <c r="K6853">
        <v>0</v>
      </c>
      <c r="L6853">
        <f>IF(AND($J6853=0,$K6853=0),0,1)</f>
        <v>0</v>
      </c>
    </row>
    <row r="6854" spans="1:13" x14ac:dyDescent="0.2">
      <c r="A6854" t="s">
        <v>685</v>
      </c>
      <c r="B6854" t="s">
        <v>17</v>
      </c>
      <c r="C6854" t="s">
        <v>9</v>
      </c>
      <c r="D6854">
        <v>1101</v>
      </c>
      <c r="E6854">
        <v>2021</v>
      </c>
      <c r="F6854">
        <v>1</v>
      </c>
      <c r="G6854">
        <v>13371</v>
      </c>
      <c r="H6854" s="1">
        <v>4</v>
      </c>
      <c r="I6854">
        <v>15</v>
      </c>
      <c r="J6854">
        <f>IF($H6854=0,1,IF($I6854&lt;=1,2,0))</f>
        <v>0</v>
      </c>
      <c r="K6854">
        <v>0</v>
      </c>
      <c r="L6854">
        <f>IF(AND($J6854=0,$K6854=0),0,1)</f>
        <v>0</v>
      </c>
      <c r="M6854" t="s">
        <v>2081</v>
      </c>
    </row>
    <row r="6855" spans="1:13" x14ac:dyDescent="0.2">
      <c r="A6855" t="s">
        <v>685</v>
      </c>
      <c r="B6855" t="s">
        <v>17</v>
      </c>
      <c r="C6855" t="s">
        <v>9</v>
      </c>
      <c r="D6855">
        <v>1101</v>
      </c>
      <c r="E6855">
        <v>2021</v>
      </c>
      <c r="F6855">
        <v>2</v>
      </c>
      <c r="G6855">
        <v>13372</v>
      </c>
      <c r="H6855" s="1">
        <v>4</v>
      </c>
      <c r="I6855">
        <v>15</v>
      </c>
      <c r="J6855">
        <f>IF($H6855=0,1,IF($I6855&lt;=1,2,0))</f>
        <v>0</v>
      </c>
      <c r="K6855">
        <v>0</v>
      </c>
      <c r="L6855">
        <f>IF(AND($J6855=0,$K6855=0),0,1)</f>
        <v>0</v>
      </c>
      <c r="M6855" t="s">
        <v>2081</v>
      </c>
    </row>
    <row r="6856" spans="1:13" x14ac:dyDescent="0.2">
      <c r="A6856" t="s">
        <v>685</v>
      </c>
      <c r="B6856" t="s">
        <v>17</v>
      </c>
      <c r="C6856" t="s">
        <v>9</v>
      </c>
      <c r="D6856">
        <v>1101</v>
      </c>
      <c r="E6856">
        <v>2021</v>
      </c>
      <c r="F6856">
        <v>3</v>
      </c>
      <c r="G6856">
        <v>13373</v>
      </c>
      <c r="H6856" s="1">
        <v>4</v>
      </c>
      <c r="I6856">
        <v>15</v>
      </c>
      <c r="J6856">
        <f>IF($H6856=0,1,IF($I6856&lt;=1,2,0))</f>
        <v>0</v>
      </c>
      <c r="K6856">
        <v>0</v>
      </c>
      <c r="L6856">
        <f>IF(AND($J6856=0,$K6856=0),0,1)</f>
        <v>0</v>
      </c>
      <c r="M6856" t="s">
        <v>2081</v>
      </c>
    </row>
    <row r="6857" spans="1:13" x14ac:dyDescent="0.2">
      <c r="A6857" t="s">
        <v>685</v>
      </c>
      <c r="B6857" t="s">
        <v>17</v>
      </c>
      <c r="C6857" t="s">
        <v>9</v>
      </c>
      <c r="D6857">
        <v>1101</v>
      </c>
      <c r="E6857">
        <v>2021</v>
      </c>
      <c r="F6857">
        <v>4</v>
      </c>
      <c r="G6857">
        <v>13374</v>
      </c>
      <c r="H6857" s="1">
        <v>4</v>
      </c>
      <c r="I6857">
        <v>15</v>
      </c>
      <c r="J6857">
        <f>IF($H6857=0,1,IF($I6857&lt;=1,2,0))</f>
        <v>0</v>
      </c>
      <c r="K6857">
        <v>0</v>
      </c>
      <c r="L6857">
        <f>IF(AND($J6857=0,$K6857=0),0,1)</f>
        <v>0</v>
      </c>
      <c r="M6857" t="s">
        <v>2081</v>
      </c>
    </row>
    <row r="6858" spans="1:13" x14ac:dyDescent="0.2">
      <c r="A6858" t="s">
        <v>685</v>
      </c>
      <c r="B6858" t="s">
        <v>17</v>
      </c>
      <c r="C6858" t="s">
        <v>9</v>
      </c>
      <c r="D6858">
        <v>1101</v>
      </c>
      <c r="E6858">
        <v>2021</v>
      </c>
      <c r="F6858">
        <v>5</v>
      </c>
      <c r="G6858">
        <v>13375</v>
      </c>
      <c r="H6858" s="1">
        <v>4</v>
      </c>
      <c r="I6858">
        <v>15</v>
      </c>
      <c r="J6858">
        <f>IF($H6858=0,1,IF($I6858&lt;=1,2,0))</f>
        <v>0</v>
      </c>
      <c r="K6858">
        <v>0</v>
      </c>
      <c r="L6858">
        <f>IF(AND($J6858=0,$K6858=0),0,1)</f>
        <v>0</v>
      </c>
      <c r="M6858" t="s">
        <v>2081</v>
      </c>
    </row>
    <row r="6859" spans="1:13" x14ac:dyDescent="0.2">
      <c r="A6859" t="s">
        <v>685</v>
      </c>
      <c r="B6859" t="s">
        <v>17</v>
      </c>
      <c r="C6859" t="s">
        <v>9</v>
      </c>
      <c r="D6859">
        <v>1101</v>
      </c>
      <c r="E6859">
        <v>2021</v>
      </c>
      <c r="F6859">
        <v>7</v>
      </c>
      <c r="G6859">
        <v>13377</v>
      </c>
      <c r="H6859" s="1">
        <v>4</v>
      </c>
      <c r="I6859">
        <v>15</v>
      </c>
      <c r="J6859">
        <f>IF($H6859=0,1,IF($I6859&lt;=1,2,0))</f>
        <v>0</v>
      </c>
      <c r="K6859">
        <v>0</v>
      </c>
      <c r="L6859">
        <f>IF(AND($J6859=0,$K6859=0),0,1)</f>
        <v>0</v>
      </c>
      <c r="M6859" t="s">
        <v>2081</v>
      </c>
    </row>
    <row r="6860" spans="1:13" x14ac:dyDescent="0.2">
      <c r="A6860" t="s">
        <v>685</v>
      </c>
      <c r="B6860" t="s">
        <v>17</v>
      </c>
      <c r="C6860" t="s">
        <v>9</v>
      </c>
      <c r="D6860">
        <v>1101</v>
      </c>
      <c r="E6860">
        <v>2021</v>
      </c>
      <c r="F6860">
        <v>8</v>
      </c>
      <c r="G6860">
        <v>13378</v>
      </c>
      <c r="H6860" s="1">
        <v>4</v>
      </c>
      <c r="I6860">
        <v>15</v>
      </c>
      <c r="J6860">
        <f>IF($H6860=0,1,IF($I6860&lt;=1,2,0))</f>
        <v>0</v>
      </c>
      <c r="K6860">
        <v>0</v>
      </c>
      <c r="L6860">
        <f>IF(AND($J6860=0,$K6860=0),0,1)</f>
        <v>0</v>
      </c>
      <c r="M6860" t="s">
        <v>2081</v>
      </c>
    </row>
    <row r="6861" spans="1:13" x14ac:dyDescent="0.2">
      <c r="A6861" t="s">
        <v>685</v>
      </c>
      <c r="B6861" t="s">
        <v>17</v>
      </c>
      <c r="C6861" t="s">
        <v>9</v>
      </c>
      <c r="D6861">
        <v>1101</v>
      </c>
      <c r="E6861">
        <v>2021</v>
      </c>
      <c r="F6861">
        <v>9</v>
      </c>
      <c r="G6861">
        <v>13379</v>
      </c>
      <c r="H6861" s="1">
        <v>4</v>
      </c>
      <c r="I6861">
        <v>15</v>
      </c>
      <c r="J6861">
        <f>IF($H6861=0,1,IF($I6861&lt;=1,2,0))</f>
        <v>0</v>
      </c>
      <c r="K6861">
        <v>0</v>
      </c>
      <c r="L6861">
        <f>IF(AND($J6861=0,$K6861=0),0,1)</f>
        <v>0</v>
      </c>
      <c r="M6861" t="s">
        <v>2081</v>
      </c>
    </row>
    <row r="6862" spans="1:13" x14ac:dyDescent="0.2">
      <c r="A6862" t="s">
        <v>685</v>
      </c>
      <c r="B6862" t="s">
        <v>17</v>
      </c>
      <c r="C6862" t="s">
        <v>9</v>
      </c>
      <c r="D6862">
        <v>1101</v>
      </c>
      <c r="E6862">
        <v>2021</v>
      </c>
      <c r="F6862">
        <v>20</v>
      </c>
      <c r="G6862">
        <v>338</v>
      </c>
      <c r="H6862" s="1">
        <v>4</v>
      </c>
      <c r="I6862">
        <v>15</v>
      </c>
      <c r="J6862">
        <f>IF($H6862=0,1,IF($I6862&lt;=1,2,0))</f>
        <v>0</v>
      </c>
      <c r="K6862">
        <v>0</v>
      </c>
      <c r="L6862">
        <f>IF(AND($J6862=0,$K6862=0),0,1)</f>
        <v>0</v>
      </c>
    </row>
    <row r="6863" spans="1:13" x14ac:dyDescent="0.2">
      <c r="A6863" t="s">
        <v>685</v>
      </c>
      <c r="B6863" t="s">
        <v>17</v>
      </c>
      <c r="C6863" t="s">
        <v>9</v>
      </c>
      <c r="D6863">
        <v>1101</v>
      </c>
      <c r="E6863">
        <v>2021</v>
      </c>
      <c r="F6863">
        <v>21</v>
      </c>
      <c r="G6863">
        <v>339</v>
      </c>
      <c r="H6863" s="1">
        <v>4</v>
      </c>
      <c r="I6863">
        <v>15</v>
      </c>
      <c r="J6863">
        <f>IF($H6863=0,1,IF($I6863&lt;=1,2,0))</f>
        <v>0</v>
      </c>
      <c r="K6863">
        <v>0</v>
      </c>
      <c r="L6863">
        <f>IF(AND($J6863=0,$K6863=0),0,1)</f>
        <v>0</v>
      </c>
    </row>
    <row r="6864" spans="1:13" x14ac:dyDescent="0.2">
      <c r="A6864" t="s">
        <v>685</v>
      </c>
      <c r="B6864" t="s">
        <v>17</v>
      </c>
      <c r="C6864" t="s">
        <v>9</v>
      </c>
      <c r="D6864">
        <v>1101</v>
      </c>
      <c r="E6864">
        <v>2021</v>
      </c>
      <c r="F6864">
        <v>22</v>
      </c>
      <c r="G6864">
        <v>340</v>
      </c>
      <c r="H6864" s="1">
        <v>4</v>
      </c>
      <c r="I6864">
        <v>15</v>
      </c>
      <c r="J6864">
        <f>IF($H6864=0,1,IF($I6864&lt;=1,2,0))</f>
        <v>0</v>
      </c>
      <c r="K6864">
        <v>0</v>
      </c>
      <c r="L6864">
        <f>IF(AND($J6864=0,$K6864=0),0,1)</f>
        <v>0</v>
      </c>
    </row>
    <row r="6865" spans="1:13" x14ac:dyDescent="0.2">
      <c r="A6865" t="s">
        <v>685</v>
      </c>
      <c r="B6865" t="s">
        <v>17</v>
      </c>
      <c r="C6865" t="s">
        <v>9</v>
      </c>
      <c r="D6865">
        <v>1101</v>
      </c>
      <c r="E6865">
        <v>2021</v>
      </c>
      <c r="F6865">
        <v>23</v>
      </c>
      <c r="G6865">
        <v>341</v>
      </c>
      <c r="H6865" s="1">
        <v>4</v>
      </c>
      <c r="I6865">
        <v>15</v>
      </c>
      <c r="J6865">
        <f>IF($H6865=0,1,IF($I6865&lt;=1,2,0))</f>
        <v>0</v>
      </c>
      <c r="K6865">
        <v>0</v>
      </c>
      <c r="L6865">
        <f>IF(AND($J6865=0,$K6865=0),0,1)</f>
        <v>0</v>
      </c>
    </row>
    <row r="6866" spans="1:13" x14ac:dyDescent="0.2">
      <c r="A6866" t="s">
        <v>685</v>
      </c>
      <c r="B6866" t="s">
        <v>17</v>
      </c>
      <c r="C6866" t="s">
        <v>9</v>
      </c>
      <c r="D6866">
        <v>1101</v>
      </c>
      <c r="E6866">
        <v>2021</v>
      </c>
      <c r="F6866">
        <v>6</v>
      </c>
      <c r="G6866">
        <v>13376</v>
      </c>
      <c r="H6866" s="1">
        <v>4</v>
      </c>
      <c r="I6866">
        <v>13</v>
      </c>
      <c r="J6866">
        <f>IF($H6866=0,1,IF($I6866&lt;=1,2,0))</f>
        <v>0</v>
      </c>
      <c r="K6866">
        <v>0</v>
      </c>
      <c r="L6866">
        <f>IF(AND($J6866=0,$K6866=0),0,1)</f>
        <v>0</v>
      </c>
      <c r="M6866" t="s">
        <v>2081</v>
      </c>
    </row>
    <row r="6867" spans="1:13" x14ac:dyDescent="0.2">
      <c r="A6867" t="s">
        <v>685</v>
      </c>
      <c r="B6867" t="s">
        <v>17</v>
      </c>
      <c r="C6867" t="s">
        <v>9</v>
      </c>
      <c r="D6867">
        <v>1101</v>
      </c>
      <c r="E6867">
        <v>2021</v>
      </c>
      <c r="F6867">
        <v>10</v>
      </c>
      <c r="G6867">
        <v>13380</v>
      </c>
      <c r="H6867" s="1">
        <v>4</v>
      </c>
      <c r="I6867">
        <v>10</v>
      </c>
      <c r="J6867">
        <f>IF($H6867=0,1,IF($I6867&lt;=1,2,0))</f>
        <v>0</v>
      </c>
      <c r="K6867">
        <v>0</v>
      </c>
      <c r="L6867">
        <f>IF(AND($J6867=0,$K6867=0),0,1)</f>
        <v>0</v>
      </c>
      <c r="M6867" t="s">
        <v>2081</v>
      </c>
    </row>
    <row r="6868" spans="1:13" x14ac:dyDescent="0.2">
      <c r="A6868" t="s">
        <v>685</v>
      </c>
      <c r="B6868" t="s">
        <v>17</v>
      </c>
      <c r="C6868" t="s">
        <v>9</v>
      </c>
      <c r="D6868">
        <v>1102</v>
      </c>
      <c r="E6868">
        <v>2021</v>
      </c>
      <c r="F6868">
        <v>1</v>
      </c>
      <c r="G6868">
        <v>13381</v>
      </c>
      <c r="H6868" s="1">
        <v>4</v>
      </c>
      <c r="I6868">
        <v>15</v>
      </c>
      <c r="J6868">
        <f>IF($H6868=0,1,IF($I6868&lt;=1,2,0))</f>
        <v>0</v>
      </c>
      <c r="K6868">
        <v>0</v>
      </c>
      <c r="L6868">
        <f>IF(AND($J6868=0,$K6868=0),0,1)</f>
        <v>0</v>
      </c>
      <c r="M6868" t="s">
        <v>1778</v>
      </c>
    </row>
    <row r="6869" spans="1:13" x14ac:dyDescent="0.2">
      <c r="A6869" t="s">
        <v>685</v>
      </c>
      <c r="B6869" t="s">
        <v>17</v>
      </c>
      <c r="C6869" t="s">
        <v>9</v>
      </c>
      <c r="D6869">
        <v>1102</v>
      </c>
      <c r="E6869">
        <v>2021</v>
      </c>
      <c r="F6869">
        <v>2</v>
      </c>
      <c r="G6869">
        <v>13382</v>
      </c>
      <c r="H6869" s="1">
        <v>4</v>
      </c>
      <c r="I6869">
        <v>15</v>
      </c>
      <c r="J6869">
        <f>IF($H6869=0,1,IF($I6869&lt;=1,2,0))</f>
        <v>0</v>
      </c>
      <c r="K6869">
        <v>0</v>
      </c>
      <c r="L6869">
        <f>IF(AND($J6869=0,$K6869=0),0,1)</f>
        <v>0</v>
      </c>
      <c r="M6869" t="s">
        <v>1778</v>
      </c>
    </row>
    <row r="6870" spans="1:13" x14ac:dyDescent="0.2">
      <c r="A6870" t="s">
        <v>685</v>
      </c>
      <c r="B6870" t="s">
        <v>17</v>
      </c>
      <c r="C6870" t="s">
        <v>9</v>
      </c>
      <c r="D6870">
        <v>1102</v>
      </c>
      <c r="E6870">
        <v>2021</v>
      </c>
      <c r="F6870">
        <v>3</v>
      </c>
      <c r="G6870">
        <v>13383</v>
      </c>
      <c r="H6870" s="1">
        <v>4</v>
      </c>
      <c r="I6870">
        <v>15</v>
      </c>
      <c r="J6870">
        <f>IF($H6870=0,1,IF($I6870&lt;=1,2,0))</f>
        <v>0</v>
      </c>
      <c r="K6870">
        <v>0</v>
      </c>
      <c r="L6870">
        <f>IF(AND($J6870=0,$K6870=0),0,1)</f>
        <v>0</v>
      </c>
      <c r="M6870" t="s">
        <v>1778</v>
      </c>
    </row>
    <row r="6871" spans="1:13" x14ac:dyDescent="0.2">
      <c r="A6871" t="s">
        <v>685</v>
      </c>
      <c r="B6871" t="s">
        <v>17</v>
      </c>
      <c r="C6871" t="s">
        <v>9</v>
      </c>
      <c r="D6871">
        <v>1102</v>
      </c>
      <c r="E6871">
        <v>2021</v>
      </c>
      <c r="F6871">
        <v>4</v>
      </c>
      <c r="G6871">
        <v>13384</v>
      </c>
      <c r="H6871" s="1">
        <v>4</v>
      </c>
      <c r="I6871">
        <v>15</v>
      </c>
      <c r="J6871">
        <f>IF($H6871=0,1,IF($I6871&lt;=1,2,0))</f>
        <v>0</v>
      </c>
      <c r="K6871">
        <v>0</v>
      </c>
      <c r="L6871">
        <f>IF(AND($J6871=0,$K6871=0),0,1)</f>
        <v>0</v>
      </c>
      <c r="M6871" t="s">
        <v>1778</v>
      </c>
    </row>
    <row r="6872" spans="1:13" x14ac:dyDescent="0.2">
      <c r="A6872" t="s">
        <v>685</v>
      </c>
      <c r="B6872" t="s">
        <v>17</v>
      </c>
      <c r="C6872" t="s">
        <v>9</v>
      </c>
      <c r="D6872">
        <v>1102</v>
      </c>
      <c r="E6872">
        <v>2021</v>
      </c>
      <c r="F6872">
        <v>6</v>
      </c>
      <c r="G6872">
        <v>13386</v>
      </c>
      <c r="H6872" s="1">
        <v>4</v>
      </c>
      <c r="I6872">
        <v>15</v>
      </c>
      <c r="J6872">
        <f>IF($H6872=0,1,IF($I6872&lt;=1,2,0))</f>
        <v>0</v>
      </c>
      <c r="K6872">
        <v>0</v>
      </c>
      <c r="L6872">
        <f>IF(AND($J6872=0,$K6872=0),0,1)</f>
        <v>0</v>
      </c>
      <c r="M6872" t="s">
        <v>1778</v>
      </c>
    </row>
    <row r="6873" spans="1:13" x14ac:dyDescent="0.2">
      <c r="A6873" t="s">
        <v>685</v>
      </c>
      <c r="B6873" t="s">
        <v>17</v>
      </c>
      <c r="C6873" t="s">
        <v>9</v>
      </c>
      <c r="D6873">
        <v>1102</v>
      </c>
      <c r="E6873">
        <v>2021</v>
      </c>
      <c r="F6873">
        <v>7</v>
      </c>
      <c r="G6873">
        <v>13387</v>
      </c>
      <c r="H6873" s="1">
        <v>4</v>
      </c>
      <c r="I6873">
        <v>15</v>
      </c>
      <c r="J6873">
        <f>IF($H6873=0,1,IF($I6873&lt;=1,2,0))</f>
        <v>0</v>
      </c>
      <c r="K6873">
        <v>0</v>
      </c>
      <c r="L6873">
        <f>IF(AND($J6873=0,$K6873=0),0,1)</f>
        <v>0</v>
      </c>
      <c r="M6873" t="s">
        <v>1778</v>
      </c>
    </row>
    <row r="6874" spans="1:13" x14ac:dyDescent="0.2">
      <c r="A6874" t="s">
        <v>685</v>
      </c>
      <c r="B6874" t="s">
        <v>17</v>
      </c>
      <c r="C6874" t="s">
        <v>9</v>
      </c>
      <c r="D6874">
        <v>1102</v>
      </c>
      <c r="E6874">
        <v>2021</v>
      </c>
      <c r="F6874">
        <v>20</v>
      </c>
      <c r="G6874">
        <v>342</v>
      </c>
      <c r="H6874" s="1">
        <v>4</v>
      </c>
      <c r="I6874">
        <v>15</v>
      </c>
      <c r="J6874">
        <f>IF($H6874=0,1,IF($I6874&lt;=1,2,0))</f>
        <v>0</v>
      </c>
      <c r="K6874">
        <v>0</v>
      </c>
      <c r="L6874">
        <f>IF(AND($J6874=0,$K6874=0),0,1)</f>
        <v>0</v>
      </c>
    </row>
    <row r="6875" spans="1:13" x14ac:dyDescent="0.2">
      <c r="A6875" t="s">
        <v>685</v>
      </c>
      <c r="B6875" t="s">
        <v>17</v>
      </c>
      <c r="C6875" t="s">
        <v>9</v>
      </c>
      <c r="D6875">
        <v>1102</v>
      </c>
      <c r="E6875">
        <v>2021</v>
      </c>
      <c r="F6875">
        <v>21</v>
      </c>
      <c r="G6875">
        <v>344</v>
      </c>
      <c r="H6875" s="1">
        <v>4</v>
      </c>
      <c r="I6875">
        <v>15</v>
      </c>
      <c r="J6875">
        <f>IF($H6875=0,1,IF($I6875&lt;=1,2,0))</f>
        <v>0</v>
      </c>
      <c r="K6875">
        <v>0</v>
      </c>
      <c r="L6875">
        <f>IF(AND($J6875=0,$K6875=0),0,1)</f>
        <v>0</v>
      </c>
    </row>
    <row r="6876" spans="1:13" x14ac:dyDescent="0.2">
      <c r="A6876" t="s">
        <v>685</v>
      </c>
      <c r="B6876" t="s">
        <v>17</v>
      </c>
      <c r="C6876" t="s">
        <v>9</v>
      </c>
      <c r="D6876">
        <v>1102</v>
      </c>
      <c r="E6876">
        <v>2021</v>
      </c>
      <c r="F6876">
        <v>22</v>
      </c>
      <c r="G6876">
        <v>346</v>
      </c>
      <c r="H6876" s="1">
        <v>4</v>
      </c>
      <c r="I6876">
        <v>15</v>
      </c>
      <c r="J6876">
        <f>IF($H6876=0,1,IF($I6876&lt;=1,2,0))</f>
        <v>0</v>
      </c>
      <c r="K6876">
        <v>0</v>
      </c>
      <c r="L6876">
        <f>IF(AND($J6876=0,$K6876=0),0,1)</f>
        <v>0</v>
      </c>
    </row>
    <row r="6877" spans="1:13" x14ac:dyDescent="0.2">
      <c r="A6877" t="s">
        <v>685</v>
      </c>
      <c r="B6877" t="s">
        <v>17</v>
      </c>
      <c r="C6877" t="s">
        <v>9</v>
      </c>
      <c r="D6877">
        <v>1102</v>
      </c>
      <c r="E6877">
        <v>2021</v>
      </c>
      <c r="F6877">
        <v>5</v>
      </c>
      <c r="G6877">
        <v>13385</v>
      </c>
      <c r="H6877" s="1">
        <v>4</v>
      </c>
      <c r="I6877">
        <v>14</v>
      </c>
      <c r="J6877">
        <f>IF($H6877=0,1,IF($I6877&lt;=1,2,0))</f>
        <v>0</v>
      </c>
      <c r="K6877">
        <v>0</v>
      </c>
      <c r="L6877">
        <f>IF(AND($J6877=0,$K6877=0),0,1)</f>
        <v>0</v>
      </c>
      <c r="M6877" t="s">
        <v>1778</v>
      </c>
    </row>
    <row r="6878" spans="1:13" x14ac:dyDescent="0.2">
      <c r="A6878" t="s">
        <v>685</v>
      </c>
      <c r="B6878" t="s">
        <v>17</v>
      </c>
      <c r="C6878" t="s">
        <v>9</v>
      </c>
      <c r="D6878">
        <v>1102</v>
      </c>
      <c r="E6878">
        <v>2021</v>
      </c>
      <c r="F6878">
        <v>8</v>
      </c>
      <c r="G6878">
        <v>13388</v>
      </c>
      <c r="H6878" s="1">
        <v>4</v>
      </c>
      <c r="I6878">
        <v>14</v>
      </c>
      <c r="J6878">
        <f>IF($H6878=0,1,IF($I6878&lt;=1,2,0))</f>
        <v>0</v>
      </c>
      <c r="K6878">
        <v>0</v>
      </c>
      <c r="L6878">
        <f>IF(AND($J6878=0,$K6878=0),0,1)</f>
        <v>0</v>
      </c>
      <c r="M6878" t="s">
        <v>1778</v>
      </c>
    </row>
    <row r="6879" spans="1:13" x14ac:dyDescent="0.2">
      <c r="A6879" t="s">
        <v>685</v>
      </c>
      <c r="B6879" t="s">
        <v>17</v>
      </c>
      <c r="C6879" t="s">
        <v>9</v>
      </c>
      <c r="D6879">
        <v>1102</v>
      </c>
      <c r="E6879">
        <v>2021</v>
      </c>
      <c r="F6879">
        <v>9</v>
      </c>
      <c r="G6879">
        <v>13389</v>
      </c>
      <c r="H6879" s="1">
        <v>4</v>
      </c>
      <c r="I6879">
        <v>12</v>
      </c>
      <c r="J6879">
        <f>IF($H6879=0,1,IF($I6879&lt;=1,2,0))</f>
        <v>0</v>
      </c>
      <c r="K6879">
        <v>0</v>
      </c>
      <c r="L6879">
        <f>IF(AND($J6879=0,$K6879=0),0,1)</f>
        <v>0</v>
      </c>
      <c r="M6879" t="s">
        <v>1778</v>
      </c>
    </row>
    <row r="6880" spans="1:13" x14ac:dyDescent="0.2">
      <c r="A6880" t="s">
        <v>685</v>
      </c>
      <c r="B6880" t="s">
        <v>17</v>
      </c>
      <c r="C6880" t="s">
        <v>9</v>
      </c>
      <c r="D6880">
        <v>1120</v>
      </c>
      <c r="E6880">
        <v>2021</v>
      </c>
      <c r="F6880">
        <v>1</v>
      </c>
      <c r="G6880">
        <v>13391</v>
      </c>
      <c r="H6880" s="1">
        <v>4</v>
      </c>
      <c r="I6880">
        <v>9</v>
      </c>
      <c r="J6880">
        <f>IF($H6880=0,1,IF($I6880&lt;=1,2,0))</f>
        <v>0</v>
      </c>
      <c r="K6880">
        <v>0</v>
      </c>
      <c r="L6880">
        <f>IF(AND($J6880=0,$K6880=0),0,1)</f>
        <v>0</v>
      </c>
      <c r="M6880" t="s">
        <v>1779</v>
      </c>
    </row>
    <row r="6881" spans="1:13" x14ac:dyDescent="0.2">
      <c r="A6881" t="s">
        <v>685</v>
      </c>
      <c r="B6881" t="s">
        <v>17</v>
      </c>
      <c r="C6881" t="s">
        <v>9</v>
      </c>
      <c r="D6881">
        <v>2101</v>
      </c>
      <c r="E6881">
        <v>2021</v>
      </c>
      <c r="F6881">
        <v>1</v>
      </c>
      <c r="G6881">
        <v>13392</v>
      </c>
      <c r="H6881" s="1">
        <v>4</v>
      </c>
      <c r="I6881">
        <v>15</v>
      </c>
      <c r="J6881">
        <f>IF($H6881=0,1,IF($I6881&lt;=1,2,0))</f>
        <v>0</v>
      </c>
      <c r="K6881">
        <v>0</v>
      </c>
      <c r="L6881">
        <f>IF(AND($J6881=0,$K6881=0),0,1)</f>
        <v>0</v>
      </c>
      <c r="M6881" t="s">
        <v>1780</v>
      </c>
    </row>
    <row r="6882" spans="1:13" x14ac:dyDescent="0.2">
      <c r="A6882" t="s">
        <v>685</v>
      </c>
      <c r="B6882" t="s">
        <v>17</v>
      </c>
      <c r="C6882" t="s">
        <v>9</v>
      </c>
      <c r="D6882">
        <v>2101</v>
      </c>
      <c r="E6882">
        <v>2021</v>
      </c>
      <c r="F6882">
        <v>2</v>
      </c>
      <c r="G6882">
        <v>13393</v>
      </c>
      <c r="H6882" s="1">
        <v>4</v>
      </c>
      <c r="I6882">
        <v>15</v>
      </c>
      <c r="J6882">
        <f>IF($H6882=0,1,IF($I6882&lt;=1,2,0))</f>
        <v>0</v>
      </c>
      <c r="K6882">
        <v>0</v>
      </c>
      <c r="L6882">
        <f>IF(AND($J6882=0,$K6882=0),0,1)</f>
        <v>0</v>
      </c>
      <c r="M6882" t="s">
        <v>1780</v>
      </c>
    </row>
    <row r="6883" spans="1:13" x14ac:dyDescent="0.2">
      <c r="A6883" t="s">
        <v>685</v>
      </c>
      <c r="B6883" t="s">
        <v>17</v>
      </c>
      <c r="C6883" t="s">
        <v>9</v>
      </c>
      <c r="D6883">
        <v>2101</v>
      </c>
      <c r="E6883">
        <v>2021</v>
      </c>
      <c r="F6883">
        <v>6</v>
      </c>
      <c r="G6883">
        <v>13485</v>
      </c>
      <c r="H6883" s="1">
        <v>4</v>
      </c>
      <c r="I6883">
        <v>15</v>
      </c>
      <c r="J6883">
        <f>IF($H6883=0,1,IF($I6883&lt;=1,2,0))</f>
        <v>0</v>
      </c>
      <c r="K6883">
        <v>0</v>
      </c>
      <c r="L6883">
        <f>IF(AND($J6883=0,$K6883=0),0,1)</f>
        <v>0</v>
      </c>
      <c r="M6883" t="s">
        <v>1780</v>
      </c>
    </row>
    <row r="6884" spans="1:13" x14ac:dyDescent="0.2">
      <c r="A6884" t="s">
        <v>685</v>
      </c>
      <c r="B6884" t="s">
        <v>17</v>
      </c>
      <c r="C6884" t="s">
        <v>9</v>
      </c>
      <c r="D6884">
        <v>2101</v>
      </c>
      <c r="E6884">
        <v>2021</v>
      </c>
      <c r="F6884">
        <v>10</v>
      </c>
      <c r="G6884">
        <v>13489</v>
      </c>
      <c r="H6884" s="1">
        <v>4</v>
      </c>
      <c r="I6884">
        <v>15</v>
      </c>
      <c r="J6884">
        <f>IF($H6884=0,1,IF($I6884&lt;=1,2,0))</f>
        <v>0</v>
      </c>
      <c r="K6884">
        <v>0</v>
      </c>
      <c r="L6884">
        <f>IF(AND($J6884=0,$K6884=0),0,1)</f>
        <v>0</v>
      </c>
      <c r="M6884" t="s">
        <v>1780</v>
      </c>
    </row>
    <row r="6885" spans="1:13" x14ac:dyDescent="0.2">
      <c r="A6885" t="s">
        <v>685</v>
      </c>
      <c r="B6885" t="s">
        <v>17</v>
      </c>
      <c r="C6885" t="s">
        <v>9</v>
      </c>
      <c r="D6885">
        <v>2101</v>
      </c>
      <c r="E6885">
        <v>2021</v>
      </c>
      <c r="F6885">
        <v>22</v>
      </c>
      <c r="G6885">
        <v>642</v>
      </c>
      <c r="H6885" s="1">
        <v>4</v>
      </c>
      <c r="I6885">
        <v>15</v>
      </c>
      <c r="J6885">
        <f>IF($H6885=0,1,IF($I6885&lt;=1,2,0))</f>
        <v>0</v>
      </c>
      <c r="K6885">
        <v>0</v>
      </c>
      <c r="L6885">
        <f>IF(AND($J6885=0,$K6885=0),0,1)</f>
        <v>0</v>
      </c>
    </row>
    <row r="6886" spans="1:13" x14ac:dyDescent="0.2">
      <c r="A6886" t="s">
        <v>685</v>
      </c>
      <c r="B6886" t="s">
        <v>17</v>
      </c>
      <c r="C6886" t="s">
        <v>9</v>
      </c>
      <c r="D6886">
        <v>2101</v>
      </c>
      <c r="E6886">
        <v>2021</v>
      </c>
      <c r="F6886">
        <v>7</v>
      </c>
      <c r="G6886">
        <v>13486</v>
      </c>
      <c r="H6886" s="1">
        <v>4</v>
      </c>
      <c r="I6886">
        <v>14</v>
      </c>
      <c r="J6886">
        <f>IF($H6886=0,1,IF($I6886&lt;=1,2,0))</f>
        <v>0</v>
      </c>
      <c r="K6886">
        <v>0</v>
      </c>
      <c r="L6886">
        <f>IF(AND($J6886=0,$K6886=0),0,1)</f>
        <v>0</v>
      </c>
      <c r="M6886" t="s">
        <v>1780</v>
      </c>
    </row>
    <row r="6887" spans="1:13" x14ac:dyDescent="0.2">
      <c r="A6887" t="s">
        <v>685</v>
      </c>
      <c r="B6887" t="s">
        <v>17</v>
      </c>
      <c r="C6887" t="s">
        <v>9</v>
      </c>
      <c r="D6887">
        <v>2101</v>
      </c>
      <c r="E6887">
        <v>2021</v>
      </c>
      <c r="F6887">
        <v>3</v>
      </c>
      <c r="G6887">
        <v>13482</v>
      </c>
      <c r="H6887" s="1">
        <v>4</v>
      </c>
      <c r="I6887">
        <v>13</v>
      </c>
      <c r="J6887">
        <f>IF($H6887=0,1,IF($I6887&lt;=1,2,0))</f>
        <v>0</v>
      </c>
      <c r="K6887">
        <v>0</v>
      </c>
      <c r="L6887">
        <f>IF(AND($J6887=0,$K6887=0),0,1)</f>
        <v>0</v>
      </c>
      <c r="M6887" t="s">
        <v>1780</v>
      </c>
    </row>
    <row r="6888" spans="1:13" x14ac:dyDescent="0.2">
      <c r="A6888" t="s">
        <v>685</v>
      </c>
      <c r="B6888" t="s">
        <v>17</v>
      </c>
      <c r="C6888" t="s">
        <v>9</v>
      </c>
      <c r="D6888">
        <v>2101</v>
      </c>
      <c r="E6888">
        <v>2021</v>
      </c>
      <c r="F6888">
        <v>21</v>
      </c>
      <c r="G6888">
        <v>641</v>
      </c>
      <c r="H6888" s="1">
        <v>4</v>
      </c>
      <c r="I6888">
        <v>13</v>
      </c>
      <c r="J6888">
        <f>IF($H6888=0,1,IF($I6888&lt;=1,2,0))</f>
        <v>0</v>
      </c>
      <c r="K6888">
        <v>0</v>
      </c>
      <c r="L6888">
        <f>IF(AND($J6888=0,$K6888=0),0,1)</f>
        <v>0</v>
      </c>
    </row>
    <row r="6889" spans="1:13" x14ac:dyDescent="0.2">
      <c r="A6889" t="s">
        <v>685</v>
      </c>
      <c r="B6889" t="s">
        <v>17</v>
      </c>
      <c r="C6889" t="s">
        <v>9</v>
      </c>
      <c r="D6889">
        <v>2101</v>
      </c>
      <c r="E6889">
        <v>2021</v>
      </c>
      <c r="F6889">
        <v>23</v>
      </c>
      <c r="G6889">
        <v>643</v>
      </c>
      <c r="H6889" s="1">
        <v>4</v>
      </c>
      <c r="I6889">
        <v>13</v>
      </c>
      <c r="J6889">
        <f>IF($H6889=0,1,IF($I6889&lt;=1,2,0))</f>
        <v>0</v>
      </c>
      <c r="K6889">
        <v>0</v>
      </c>
      <c r="L6889">
        <f>IF(AND($J6889=0,$K6889=0),0,1)</f>
        <v>0</v>
      </c>
    </row>
    <row r="6890" spans="1:13" x14ac:dyDescent="0.2">
      <c r="A6890" t="s">
        <v>685</v>
      </c>
      <c r="B6890" t="s">
        <v>17</v>
      </c>
      <c r="C6890" t="s">
        <v>9</v>
      </c>
      <c r="D6890">
        <v>2101</v>
      </c>
      <c r="E6890">
        <v>2021</v>
      </c>
      <c r="F6890">
        <v>4</v>
      </c>
      <c r="G6890">
        <v>13483</v>
      </c>
      <c r="H6890" s="1">
        <v>4</v>
      </c>
      <c r="I6890">
        <v>12</v>
      </c>
      <c r="J6890">
        <f>IF($H6890=0,1,IF($I6890&lt;=1,2,0))</f>
        <v>0</v>
      </c>
      <c r="K6890">
        <v>0</v>
      </c>
      <c r="L6890">
        <f>IF(AND($J6890=0,$K6890=0),0,1)</f>
        <v>0</v>
      </c>
      <c r="M6890" t="s">
        <v>1780</v>
      </c>
    </row>
    <row r="6891" spans="1:13" x14ac:dyDescent="0.2">
      <c r="A6891" t="s">
        <v>685</v>
      </c>
      <c r="B6891" t="s">
        <v>17</v>
      </c>
      <c r="C6891" t="s">
        <v>9</v>
      </c>
      <c r="D6891">
        <v>2101</v>
      </c>
      <c r="E6891">
        <v>2021</v>
      </c>
      <c r="F6891">
        <v>5</v>
      </c>
      <c r="G6891">
        <v>13484</v>
      </c>
      <c r="H6891" s="1">
        <v>4</v>
      </c>
      <c r="I6891">
        <v>12</v>
      </c>
      <c r="J6891">
        <f>IF($H6891=0,1,IF($I6891&lt;=1,2,0))</f>
        <v>0</v>
      </c>
      <c r="K6891">
        <v>0</v>
      </c>
      <c r="L6891">
        <f>IF(AND($J6891=0,$K6891=0),0,1)</f>
        <v>0</v>
      </c>
      <c r="M6891" t="s">
        <v>1780</v>
      </c>
    </row>
    <row r="6892" spans="1:13" x14ac:dyDescent="0.2">
      <c r="A6892" t="s">
        <v>685</v>
      </c>
      <c r="B6892" t="s">
        <v>17</v>
      </c>
      <c r="C6892" t="s">
        <v>9</v>
      </c>
      <c r="D6892">
        <v>2101</v>
      </c>
      <c r="E6892">
        <v>2021</v>
      </c>
      <c r="F6892">
        <v>8</v>
      </c>
      <c r="G6892">
        <v>13487</v>
      </c>
      <c r="H6892" s="1">
        <v>4</v>
      </c>
      <c r="I6892">
        <v>12</v>
      </c>
      <c r="J6892">
        <f>IF($H6892=0,1,IF($I6892&lt;=1,2,0))</f>
        <v>0</v>
      </c>
      <c r="K6892">
        <v>0</v>
      </c>
      <c r="L6892">
        <f>IF(AND($J6892=0,$K6892=0),0,1)</f>
        <v>0</v>
      </c>
      <c r="M6892" t="s">
        <v>1780</v>
      </c>
    </row>
    <row r="6893" spans="1:13" x14ac:dyDescent="0.2">
      <c r="A6893" t="s">
        <v>685</v>
      </c>
      <c r="B6893" t="s">
        <v>17</v>
      </c>
      <c r="C6893" t="s">
        <v>9</v>
      </c>
      <c r="D6893">
        <v>2101</v>
      </c>
      <c r="E6893">
        <v>2021</v>
      </c>
      <c r="F6893">
        <v>20</v>
      </c>
      <c r="G6893">
        <v>640</v>
      </c>
      <c r="H6893" s="1">
        <v>4</v>
      </c>
      <c r="I6893">
        <v>12</v>
      </c>
      <c r="J6893">
        <f>IF($H6893=0,1,IF($I6893&lt;=1,2,0))</f>
        <v>0</v>
      </c>
      <c r="K6893">
        <v>0</v>
      </c>
      <c r="L6893">
        <f>IF(AND($J6893=0,$K6893=0),0,1)</f>
        <v>0</v>
      </c>
    </row>
    <row r="6894" spans="1:13" x14ac:dyDescent="0.2">
      <c r="A6894" t="s">
        <v>685</v>
      </c>
      <c r="B6894" t="s">
        <v>17</v>
      </c>
      <c r="C6894" t="s">
        <v>9</v>
      </c>
      <c r="D6894">
        <v>2101</v>
      </c>
      <c r="E6894">
        <v>2021</v>
      </c>
      <c r="F6894">
        <v>24</v>
      </c>
      <c r="G6894">
        <v>831</v>
      </c>
      <c r="H6894" s="1">
        <v>4</v>
      </c>
      <c r="I6894">
        <v>10</v>
      </c>
      <c r="J6894">
        <f>IF($H6894=0,1,IF($I6894&lt;=1,2,0))</f>
        <v>0</v>
      </c>
      <c r="K6894">
        <v>0</v>
      </c>
      <c r="L6894">
        <f>IF(AND($J6894=0,$K6894=0),0,1)</f>
        <v>0</v>
      </c>
    </row>
    <row r="6895" spans="1:13" x14ac:dyDescent="0.2">
      <c r="A6895" t="s">
        <v>685</v>
      </c>
      <c r="B6895" t="s">
        <v>17</v>
      </c>
      <c r="C6895" t="s">
        <v>9</v>
      </c>
      <c r="D6895">
        <v>2101</v>
      </c>
      <c r="E6895">
        <v>2021</v>
      </c>
      <c r="F6895">
        <v>11</v>
      </c>
      <c r="G6895">
        <v>13490</v>
      </c>
      <c r="H6895" s="1">
        <v>4</v>
      </c>
      <c r="I6895">
        <v>9</v>
      </c>
      <c r="J6895">
        <f>IF($H6895=0,1,IF($I6895&lt;=1,2,0))</f>
        <v>0</v>
      </c>
      <c r="K6895">
        <v>0</v>
      </c>
      <c r="L6895">
        <f>IF(AND($J6895=0,$K6895=0),0,1)</f>
        <v>0</v>
      </c>
      <c r="M6895" t="s">
        <v>1780</v>
      </c>
    </row>
    <row r="6896" spans="1:13" x14ac:dyDescent="0.2">
      <c r="A6896" t="s">
        <v>685</v>
      </c>
      <c r="B6896" t="s">
        <v>17</v>
      </c>
      <c r="C6896" t="s">
        <v>9</v>
      </c>
      <c r="D6896">
        <v>2101</v>
      </c>
      <c r="E6896">
        <v>2021</v>
      </c>
      <c r="F6896">
        <v>9</v>
      </c>
      <c r="G6896">
        <v>13488</v>
      </c>
      <c r="H6896" s="1">
        <v>4</v>
      </c>
      <c r="I6896">
        <v>8</v>
      </c>
      <c r="J6896">
        <f>IF($H6896=0,1,IF($I6896&lt;=1,2,0))</f>
        <v>0</v>
      </c>
      <c r="K6896">
        <v>0</v>
      </c>
      <c r="L6896">
        <f>IF(AND($J6896=0,$K6896=0),0,1)</f>
        <v>0</v>
      </c>
      <c r="M6896" t="s">
        <v>1780</v>
      </c>
    </row>
    <row r="6897" spans="1:13" x14ac:dyDescent="0.2">
      <c r="A6897" t="s">
        <v>685</v>
      </c>
      <c r="B6897" t="s">
        <v>17</v>
      </c>
      <c r="C6897" t="s">
        <v>9</v>
      </c>
      <c r="D6897">
        <v>2101</v>
      </c>
      <c r="E6897">
        <v>2021</v>
      </c>
      <c r="F6897">
        <v>12</v>
      </c>
      <c r="G6897">
        <v>13491</v>
      </c>
      <c r="H6897" s="1">
        <v>4</v>
      </c>
      <c r="I6897">
        <v>8</v>
      </c>
      <c r="J6897">
        <f>IF($H6897=0,1,IF($I6897&lt;=1,2,0))</f>
        <v>0</v>
      </c>
      <c r="K6897">
        <v>0</v>
      </c>
      <c r="L6897">
        <f>IF(AND($J6897=0,$K6897=0),0,1)</f>
        <v>0</v>
      </c>
      <c r="M6897" t="s">
        <v>1780</v>
      </c>
    </row>
    <row r="6898" spans="1:13" x14ac:dyDescent="0.2">
      <c r="A6898" t="s">
        <v>685</v>
      </c>
      <c r="B6898" t="s">
        <v>17</v>
      </c>
      <c r="C6898" t="s">
        <v>9</v>
      </c>
      <c r="D6898">
        <v>2101</v>
      </c>
      <c r="E6898">
        <v>2021</v>
      </c>
      <c r="F6898">
        <v>13</v>
      </c>
      <c r="G6898">
        <v>13492</v>
      </c>
      <c r="H6898" s="1">
        <v>4</v>
      </c>
      <c r="I6898">
        <v>8</v>
      </c>
      <c r="J6898">
        <f>IF($H6898=0,1,IF($I6898&lt;=1,2,0))</f>
        <v>0</v>
      </c>
      <c r="K6898">
        <v>0</v>
      </c>
      <c r="L6898">
        <f>IF(AND($J6898=0,$K6898=0),0,1)</f>
        <v>0</v>
      </c>
      <c r="M6898" t="s">
        <v>1780</v>
      </c>
    </row>
    <row r="6899" spans="1:13" x14ac:dyDescent="0.2">
      <c r="A6899" t="s">
        <v>685</v>
      </c>
      <c r="B6899" t="s">
        <v>17</v>
      </c>
      <c r="C6899" t="s">
        <v>9</v>
      </c>
      <c r="D6899">
        <v>2102</v>
      </c>
      <c r="E6899">
        <v>2021</v>
      </c>
      <c r="F6899">
        <v>12</v>
      </c>
      <c r="G6899">
        <v>13503</v>
      </c>
      <c r="H6899" s="1">
        <v>4</v>
      </c>
      <c r="I6899">
        <v>15</v>
      </c>
      <c r="J6899">
        <f>IF($H6899=0,1,IF($I6899&lt;=1,2,0))</f>
        <v>0</v>
      </c>
      <c r="K6899">
        <v>0</v>
      </c>
      <c r="L6899">
        <f>IF(AND($J6899=0,$K6899=0),0,1)</f>
        <v>0</v>
      </c>
      <c r="M6899" t="s">
        <v>1781</v>
      </c>
    </row>
    <row r="6900" spans="1:13" x14ac:dyDescent="0.2">
      <c r="A6900" t="s">
        <v>685</v>
      </c>
      <c r="B6900" t="s">
        <v>17</v>
      </c>
      <c r="C6900" t="s">
        <v>9</v>
      </c>
      <c r="D6900">
        <v>2102</v>
      </c>
      <c r="E6900">
        <v>2021</v>
      </c>
      <c r="F6900">
        <v>20</v>
      </c>
      <c r="G6900">
        <v>644</v>
      </c>
      <c r="H6900" s="1">
        <v>4</v>
      </c>
      <c r="I6900">
        <v>15</v>
      </c>
      <c r="J6900">
        <f>IF($H6900=0,1,IF($I6900&lt;=1,2,0))</f>
        <v>0</v>
      </c>
      <c r="K6900">
        <v>0</v>
      </c>
      <c r="L6900">
        <f>IF(AND($J6900=0,$K6900=0),0,1)</f>
        <v>0</v>
      </c>
    </row>
    <row r="6901" spans="1:13" x14ac:dyDescent="0.2">
      <c r="A6901" t="s">
        <v>685</v>
      </c>
      <c r="B6901" t="s">
        <v>17</v>
      </c>
      <c r="C6901" t="s">
        <v>9</v>
      </c>
      <c r="D6901">
        <v>2102</v>
      </c>
      <c r="E6901">
        <v>2021</v>
      </c>
      <c r="F6901">
        <v>5</v>
      </c>
      <c r="G6901">
        <v>13497</v>
      </c>
      <c r="H6901" s="1">
        <v>4</v>
      </c>
      <c r="I6901">
        <v>14</v>
      </c>
      <c r="J6901">
        <f>IF($H6901=0,1,IF($I6901&lt;=1,2,0))</f>
        <v>0</v>
      </c>
      <c r="K6901">
        <v>0</v>
      </c>
      <c r="L6901">
        <f>IF(AND($J6901=0,$K6901=0),0,1)</f>
        <v>0</v>
      </c>
      <c r="M6901" t="s">
        <v>1781</v>
      </c>
    </row>
    <row r="6902" spans="1:13" x14ac:dyDescent="0.2">
      <c r="A6902" t="s">
        <v>685</v>
      </c>
      <c r="B6902" t="s">
        <v>17</v>
      </c>
      <c r="C6902" t="s">
        <v>9</v>
      </c>
      <c r="D6902">
        <v>2102</v>
      </c>
      <c r="E6902">
        <v>2021</v>
      </c>
      <c r="F6902">
        <v>10</v>
      </c>
      <c r="G6902">
        <v>13502</v>
      </c>
      <c r="H6902" s="1">
        <v>4</v>
      </c>
      <c r="I6902">
        <v>14</v>
      </c>
      <c r="J6902">
        <f>IF($H6902=0,1,IF($I6902&lt;=1,2,0))</f>
        <v>0</v>
      </c>
      <c r="K6902">
        <v>0</v>
      </c>
      <c r="L6902">
        <f>IF(AND($J6902=0,$K6902=0),0,1)</f>
        <v>0</v>
      </c>
      <c r="M6902" t="s">
        <v>1781</v>
      </c>
    </row>
    <row r="6903" spans="1:13" x14ac:dyDescent="0.2">
      <c r="A6903" t="s">
        <v>685</v>
      </c>
      <c r="B6903" t="s">
        <v>17</v>
      </c>
      <c r="C6903" t="s">
        <v>9</v>
      </c>
      <c r="D6903">
        <v>2102</v>
      </c>
      <c r="E6903">
        <v>2021</v>
      </c>
      <c r="F6903">
        <v>21</v>
      </c>
      <c r="G6903">
        <v>645</v>
      </c>
      <c r="H6903" s="1">
        <v>4</v>
      </c>
      <c r="I6903">
        <v>14</v>
      </c>
      <c r="J6903">
        <f>IF($H6903=0,1,IF($I6903&lt;=1,2,0))</f>
        <v>0</v>
      </c>
      <c r="K6903">
        <v>0</v>
      </c>
      <c r="L6903">
        <f>IF(AND($J6903=0,$K6903=0),0,1)</f>
        <v>0</v>
      </c>
    </row>
    <row r="6904" spans="1:13" x14ac:dyDescent="0.2">
      <c r="A6904" t="s">
        <v>685</v>
      </c>
      <c r="B6904" t="s">
        <v>17</v>
      </c>
      <c r="C6904" t="s">
        <v>9</v>
      </c>
      <c r="D6904">
        <v>2102</v>
      </c>
      <c r="E6904">
        <v>2021</v>
      </c>
      <c r="F6904">
        <v>1</v>
      </c>
      <c r="G6904">
        <v>13493</v>
      </c>
      <c r="H6904" s="1">
        <v>4</v>
      </c>
      <c r="I6904">
        <v>13</v>
      </c>
      <c r="J6904">
        <f>IF($H6904=0,1,IF($I6904&lt;=1,2,0))</f>
        <v>0</v>
      </c>
      <c r="K6904">
        <v>0</v>
      </c>
      <c r="L6904">
        <f>IF(AND($J6904=0,$K6904=0),0,1)</f>
        <v>0</v>
      </c>
      <c r="M6904" t="s">
        <v>1781</v>
      </c>
    </row>
    <row r="6905" spans="1:13" x14ac:dyDescent="0.2">
      <c r="A6905" t="s">
        <v>685</v>
      </c>
      <c r="B6905" t="s">
        <v>17</v>
      </c>
      <c r="C6905" t="s">
        <v>9</v>
      </c>
      <c r="D6905">
        <v>2102</v>
      </c>
      <c r="E6905">
        <v>2021</v>
      </c>
      <c r="F6905">
        <v>6</v>
      </c>
      <c r="G6905">
        <v>13498</v>
      </c>
      <c r="H6905" s="1">
        <v>4</v>
      </c>
      <c r="I6905">
        <v>13</v>
      </c>
      <c r="J6905">
        <f>IF($H6905=0,1,IF($I6905&lt;=1,2,0))</f>
        <v>0</v>
      </c>
      <c r="K6905">
        <v>0</v>
      </c>
      <c r="L6905">
        <f>IF(AND($J6905=0,$K6905=0),0,1)</f>
        <v>0</v>
      </c>
      <c r="M6905" t="s">
        <v>1781</v>
      </c>
    </row>
    <row r="6906" spans="1:13" x14ac:dyDescent="0.2">
      <c r="A6906" t="s">
        <v>685</v>
      </c>
      <c r="B6906" t="s">
        <v>17</v>
      </c>
      <c r="C6906" t="s">
        <v>9</v>
      </c>
      <c r="D6906">
        <v>2102</v>
      </c>
      <c r="E6906">
        <v>2021</v>
      </c>
      <c r="F6906">
        <v>11</v>
      </c>
      <c r="G6906">
        <v>13505</v>
      </c>
      <c r="H6906" s="1">
        <v>4</v>
      </c>
      <c r="I6906">
        <v>13</v>
      </c>
      <c r="J6906">
        <f>IF($H6906=0,1,IF($I6906&lt;=1,2,0))</f>
        <v>0</v>
      </c>
      <c r="K6906">
        <v>0</v>
      </c>
      <c r="L6906">
        <f>IF(AND($J6906=0,$K6906=0),0,1)</f>
        <v>0</v>
      </c>
      <c r="M6906" t="s">
        <v>1781</v>
      </c>
    </row>
    <row r="6907" spans="1:13" x14ac:dyDescent="0.2">
      <c r="A6907" t="s">
        <v>685</v>
      </c>
      <c r="B6907" t="s">
        <v>17</v>
      </c>
      <c r="C6907" t="s">
        <v>9</v>
      </c>
      <c r="D6907">
        <v>2102</v>
      </c>
      <c r="E6907">
        <v>2021</v>
      </c>
      <c r="F6907">
        <v>25</v>
      </c>
      <c r="G6907">
        <v>833</v>
      </c>
      <c r="H6907" s="1">
        <v>4</v>
      </c>
      <c r="I6907">
        <v>13</v>
      </c>
      <c r="J6907">
        <f>IF($H6907=0,1,IF($I6907&lt;=1,2,0))</f>
        <v>0</v>
      </c>
      <c r="K6907">
        <v>0</v>
      </c>
      <c r="L6907">
        <f>IF(AND($J6907=0,$K6907=0),0,1)</f>
        <v>0</v>
      </c>
    </row>
    <row r="6908" spans="1:13" x14ac:dyDescent="0.2">
      <c r="A6908" t="s">
        <v>685</v>
      </c>
      <c r="B6908" t="s">
        <v>17</v>
      </c>
      <c r="C6908" t="s">
        <v>9</v>
      </c>
      <c r="D6908">
        <v>2102</v>
      </c>
      <c r="E6908">
        <v>2021</v>
      </c>
      <c r="F6908">
        <v>22</v>
      </c>
      <c r="G6908">
        <v>646</v>
      </c>
      <c r="H6908" s="1">
        <v>4</v>
      </c>
      <c r="I6908">
        <v>12</v>
      </c>
      <c r="J6908">
        <f>IF($H6908=0,1,IF($I6908&lt;=1,2,0))</f>
        <v>0</v>
      </c>
      <c r="K6908">
        <v>0</v>
      </c>
      <c r="L6908">
        <f>IF(AND($J6908=0,$K6908=0),0,1)</f>
        <v>0</v>
      </c>
    </row>
    <row r="6909" spans="1:13" x14ac:dyDescent="0.2">
      <c r="A6909" t="s">
        <v>685</v>
      </c>
      <c r="B6909" t="s">
        <v>17</v>
      </c>
      <c r="C6909" t="s">
        <v>9</v>
      </c>
      <c r="D6909">
        <v>2102</v>
      </c>
      <c r="E6909">
        <v>2021</v>
      </c>
      <c r="F6909">
        <v>2</v>
      </c>
      <c r="G6909">
        <v>13494</v>
      </c>
      <c r="H6909" s="1">
        <v>4</v>
      </c>
      <c r="I6909">
        <v>11</v>
      </c>
      <c r="J6909">
        <f>IF($H6909=0,1,IF($I6909&lt;=1,2,0))</f>
        <v>0</v>
      </c>
      <c r="K6909">
        <v>0</v>
      </c>
      <c r="L6909">
        <f>IF(AND($J6909=0,$K6909=0),0,1)</f>
        <v>0</v>
      </c>
      <c r="M6909" t="s">
        <v>1781</v>
      </c>
    </row>
    <row r="6910" spans="1:13" x14ac:dyDescent="0.2">
      <c r="A6910" t="s">
        <v>685</v>
      </c>
      <c r="B6910" t="s">
        <v>17</v>
      </c>
      <c r="C6910" t="s">
        <v>9</v>
      </c>
      <c r="D6910">
        <v>2102</v>
      </c>
      <c r="E6910">
        <v>2021</v>
      </c>
      <c r="F6910">
        <v>4</v>
      </c>
      <c r="G6910">
        <v>13496</v>
      </c>
      <c r="H6910" s="1">
        <v>4</v>
      </c>
      <c r="I6910">
        <v>11</v>
      </c>
      <c r="J6910">
        <f>IF($H6910=0,1,IF($I6910&lt;=1,2,0))</f>
        <v>0</v>
      </c>
      <c r="K6910">
        <v>0</v>
      </c>
      <c r="L6910">
        <f>IF(AND($J6910=0,$K6910=0),0,1)</f>
        <v>0</v>
      </c>
      <c r="M6910" t="s">
        <v>1781</v>
      </c>
    </row>
    <row r="6911" spans="1:13" x14ac:dyDescent="0.2">
      <c r="A6911" t="s">
        <v>685</v>
      </c>
      <c r="B6911" t="s">
        <v>17</v>
      </c>
      <c r="C6911" t="s">
        <v>9</v>
      </c>
      <c r="D6911">
        <v>2102</v>
      </c>
      <c r="E6911">
        <v>2021</v>
      </c>
      <c r="F6911">
        <v>8</v>
      </c>
      <c r="G6911">
        <v>13500</v>
      </c>
      <c r="H6911" s="1">
        <v>4</v>
      </c>
      <c r="I6911">
        <v>11</v>
      </c>
      <c r="J6911">
        <f>IF($H6911=0,1,IF($I6911&lt;=1,2,0))</f>
        <v>0</v>
      </c>
      <c r="K6911">
        <v>0</v>
      </c>
      <c r="L6911">
        <f>IF(AND($J6911=0,$K6911=0),0,1)</f>
        <v>0</v>
      </c>
      <c r="M6911" t="s">
        <v>1781</v>
      </c>
    </row>
    <row r="6912" spans="1:13" x14ac:dyDescent="0.2">
      <c r="A6912" t="s">
        <v>685</v>
      </c>
      <c r="B6912" t="s">
        <v>17</v>
      </c>
      <c r="C6912" t="s">
        <v>9</v>
      </c>
      <c r="D6912">
        <v>2102</v>
      </c>
      <c r="E6912">
        <v>2021</v>
      </c>
      <c r="F6912">
        <v>7</v>
      </c>
      <c r="G6912">
        <v>13499</v>
      </c>
      <c r="H6912" s="1">
        <v>4</v>
      </c>
      <c r="I6912">
        <v>10</v>
      </c>
      <c r="J6912">
        <f>IF($H6912=0,1,IF($I6912&lt;=1,2,0))</f>
        <v>0</v>
      </c>
      <c r="K6912">
        <v>0</v>
      </c>
      <c r="L6912">
        <f>IF(AND($J6912=0,$K6912=0),0,1)</f>
        <v>0</v>
      </c>
      <c r="M6912" t="s">
        <v>1781</v>
      </c>
    </row>
    <row r="6913" spans="1:13" x14ac:dyDescent="0.2">
      <c r="A6913" t="s">
        <v>685</v>
      </c>
      <c r="B6913" t="s">
        <v>17</v>
      </c>
      <c r="C6913" t="s">
        <v>9</v>
      </c>
      <c r="D6913">
        <v>2102</v>
      </c>
      <c r="E6913">
        <v>2021</v>
      </c>
      <c r="F6913">
        <v>9</v>
      </c>
      <c r="G6913">
        <v>13501</v>
      </c>
      <c r="H6913" s="1">
        <v>4</v>
      </c>
      <c r="I6913">
        <v>10</v>
      </c>
      <c r="J6913">
        <f>IF($H6913=0,1,IF($I6913&lt;=1,2,0))</f>
        <v>0</v>
      </c>
      <c r="K6913">
        <v>0</v>
      </c>
      <c r="L6913">
        <f>IF(AND($J6913=0,$K6913=0),0,1)</f>
        <v>0</v>
      </c>
      <c r="M6913" t="s">
        <v>1781</v>
      </c>
    </row>
    <row r="6914" spans="1:13" x14ac:dyDescent="0.2">
      <c r="A6914" t="s">
        <v>685</v>
      </c>
      <c r="B6914" t="s">
        <v>17</v>
      </c>
      <c r="C6914" t="s">
        <v>9</v>
      </c>
      <c r="D6914">
        <v>2102</v>
      </c>
      <c r="E6914">
        <v>2021</v>
      </c>
      <c r="F6914">
        <v>24</v>
      </c>
      <c r="G6914">
        <v>832</v>
      </c>
      <c r="H6914" s="1">
        <v>4</v>
      </c>
      <c r="I6914">
        <v>8</v>
      </c>
      <c r="J6914">
        <f>IF($H6914=0,1,IF($I6914&lt;=1,2,0))</f>
        <v>0</v>
      </c>
      <c r="K6914">
        <v>0</v>
      </c>
      <c r="L6914">
        <f>IF(AND($J6914=0,$K6914=0),0,1)</f>
        <v>0</v>
      </c>
    </row>
    <row r="6915" spans="1:13" x14ac:dyDescent="0.2">
      <c r="A6915" t="s">
        <v>685</v>
      </c>
      <c r="B6915" t="s">
        <v>17</v>
      </c>
      <c r="C6915" t="s">
        <v>9</v>
      </c>
      <c r="D6915">
        <v>2102</v>
      </c>
      <c r="E6915">
        <v>2021</v>
      </c>
      <c r="F6915">
        <v>23</v>
      </c>
      <c r="G6915">
        <v>739</v>
      </c>
      <c r="H6915" s="1">
        <v>4</v>
      </c>
      <c r="I6915">
        <v>7</v>
      </c>
      <c r="J6915">
        <f>IF($H6915=0,1,IF($I6915&lt;=1,2,0))</f>
        <v>0</v>
      </c>
      <c r="K6915">
        <v>0</v>
      </c>
      <c r="L6915">
        <f>IF(AND($J6915=0,$K6915=0),0,1)</f>
        <v>0</v>
      </c>
    </row>
    <row r="6916" spans="1:13" x14ac:dyDescent="0.2">
      <c r="A6916" t="s">
        <v>685</v>
      </c>
      <c r="B6916" t="s">
        <v>17</v>
      </c>
      <c r="C6916" t="s">
        <v>9</v>
      </c>
      <c r="D6916">
        <v>2103</v>
      </c>
      <c r="E6916">
        <v>2021</v>
      </c>
      <c r="F6916">
        <v>1</v>
      </c>
      <c r="G6916">
        <v>13504</v>
      </c>
      <c r="H6916" s="1">
        <v>4</v>
      </c>
      <c r="I6916">
        <v>8</v>
      </c>
      <c r="J6916">
        <f>IF($H6916=0,1,IF($I6916&lt;=1,2,0))</f>
        <v>0</v>
      </c>
      <c r="K6916">
        <v>0</v>
      </c>
      <c r="L6916">
        <f>IF(AND($J6916=0,$K6916=0),0,1)</f>
        <v>0</v>
      </c>
      <c r="M6916" t="s">
        <v>1781</v>
      </c>
    </row>
    <row r="6917" spans="1:13" x14ac:dyDescent="0.2">
      <c r="A6917" t="s">
        <v>685</v>
      </c>
      <c r="B6917" t="s">
        <v>17</v>
      </c>
      <c r="C6917" t="s">
        <v>9</v>
      </c>
      <c r="D6917">
        <v>2108</v>
      </c>
      <c r="E6917">
        <v>2021</v>
      </c>
      <c r="F6917">
        <v>1</v>
      </c>
      <c r="G6917">
        <v>13506</v>
      </c>
      <c r="H6917" s="1">
        <v>4</v>
      </c>
      <c r="I6917">
        <v>14</v>
      </c>
      <c r="J6917">
        <f>IF($H6917=0,1,IF($I6917&lt;=1,2,0))</f>
        <v>0</v>
      </c>
      <c r="K6917">
        <v>0</v>
      </c>
      <c r="L6917">
        <f>IF(AND($J6917=0,$K6917=0),0,1)</f>
        <v>0</v>
      </c>
      <c r="M6917" t="s">
        <v>1779</v>
      </c>
    </row>
    <row r="6918" spans="1:13" x14ac:dyDescent="0.2">
      <c r="A6918" t="s">
        <v>685</v>
      </c>
      <c r="B6918" t="s">
        <v>17</v>
      </c>
      <c r="C6918" t="s">
        <v>9</v>
      </c>
      <c r="D6918">
        <v>2108</v>
      </c>
      <c r="E6918">
        <v>2021</v>
      </c>
      <c r="F6918">
        <v>2</v>
      </c>
      <c r="G6918">
        <v>13507</v>
      </c>
      <c r="H6918" s="1">
        <v>4</v>
      </c>
      <c r="I6918">
        <v>12</v>
      </c>
      <c r="J6918">
        <f>IF($H6918=0,1,IF($I6918&lt;=1,2,0))</f>
        <v>0</v>
      </c>
      <c r="K6918">
        <v>0</v>
      </c>
      <c r="L6918">
        <f>IF(AND($J6918=0,$K6918=0),0,1)</f>
        <v>0</v>
      </c>
      <c r="M6918" t="s">
        <v>1779</v>
      </c>
    </row>
    <row r="6919" spans="1:13" x14ac:dyDescent="0.2">
      <c r="A6919" t="s">
        <v>685</v>
      </c>
      <c r="B6919" t="s">
        <v>17</v>
      </c>
      <c r="C6919" t="s">
        <v>9</v>
      </c>
      <c r="D6919">
        <v>3300</v>
      </c>
      <c r="E6919">
        <v>2021</v>
      </c>
      <c r="F6919">
        <v>5</v>
      </c>
      <c r="G6919">
        <v>13996</v>
      </c>
      <c r="H6919" s="1">
        <v>3</v>
      </c>
      <c r="I6919">
        <v>15</v>
      </c>
      <c r="J6919">
        <f>IF($H6919=0,1,IF($I6919&lt;=1,2,0))</f>
        <v>0</v>
      </c>
      <c r="K6919">
        <v>0</v>
      </c>
      <c r="L6919">
        <f>IF(AND($J6919=0,$K6919=0),0,1)</f>
        <v>0</v>
      </c>
      <c r="M6919" t="s">
        <v>1783</v>
      </c>
    </row>
    <row r="6920" spans="1:13" x14ac:dyDescent="0.2">
      <c r="A6920" t="s">
        <v>685</v>
      </c>
      <c r="B6920" t="s">
        <v>17</v>
      </c>
      <c r="C6920" t="s">
        <v>9</v>
      </c>
      <c r="D6920">
        <v>3300</v>
      </c>
      <c r="E6920">
        <v>2021</v>
      </c>
      <c r="F6920">
        <v>21</v>
      </c>
      <c r="G6920">
        <v>357</v>
      </c>
      <c r="H6920" s="1">
        <v>3</v>
      </c>
      <c r="I6920">
        <v>15</v>
      </c>
      <c r="J6920">
        <f>IF($H6920=0,1,IF($I6920&lt;=1,2,0))</f>
        <v>0</v>
      </c>
      <c r="K6920">
        <v>0</v>
      </c>
      <c r="L6920">
        <f>IF(AND($J6920=0,$K6920=0),0,1)</f>
        <v>0</v>
      </c>
    </row>
    <row r="6921" spans="1:13" x14ac:dyDescent="0.2">
      <c r="A6921" t="s">
        <v>685</v>
      </c>
      <c r="B6921" t="s">
        <v>17</v>
      </c>
      <c r="C6921" t="s">
        <v>9</v>
      </c>
      <c r="D6921">
        <v>3300</v>
      </c>
      <c r="E6921">
        <v>2021</v>
      </c>
      <c r="F6921">
        <v>6</v>
      </c>
      <c r="G6921">
        <v>14006</v>
      </c>
      <c r="H6921" s="1">
        <v>3</v>
      </c>
      <c r="I6921">
        <v>14</v>
      </c>
      <c r="J6921">
        <f>IF($H6921=0,1,IF($I6921&lt;=1,2,0))</f>
        <v>0</v>
      </c>
      <c r="K6921">
        <v>0</v>
      </c>
      <c r="L6921">
        <f>IF(AND($J6921=0,$K6921=0),0,1)</f>
        <v>0</v>
      </c>
      <c r="M6921" t="s">
        <v>1784</v>
      </c>
    </row>
    <row r="6922" spans="1:13" x14ac:dyDescent="0.2">
      <c r="A6922" t="s">
        <v>685</v>
      </c>
      <c r="B6922" t="s">
        <v>17</v>
      </c>
      <c r="C6922" t="s">
        <v>9</v>
      </c>
      <c r="D6922">
        <v>3300</v>
      </c>
      <c r="E6922">
        <v>2021</v>
      </c>
      <c r="F6922">
        <v>7</v>
      </c>
      <c r="G6922">
        <v>14031</v>
      </c>
      <c r="H6922" s="1">
        <v>3</v>
      </c>
      <c r="I6922">
        <v>14</v>
      </c>
      <c r="J6922">
        <f>IF($H6922=0,1,IF($I6922&lt;=1,2,0))</f>
        <v>0</v>
      </c>
      <c r="K6922">
        <v>0</v>
      </c>
      <c r="L6922">
        <f>IF(AND($J6922=0,$K6922=0),0,1)</f>
        <v>0</v>
      </c>
      <c r="M6922" t="s">
        <v>1785</v>
      </c>
    </row>
    <row r="6923" spans="1:13" x14ac:dyDescent="0.2">
      <c r="A6923" t="s">
        <v>685</v>
      </c>
      <c r="B6923" t="s">
        <v>17</v>
      </c>
      <c r="C6923" t="s">
        <v>9</v>
      </c>
      <c r="D6923">
        <v>3300</v>
      </c>
      <c r="E6923">
        <v>2021</v>
      </c>
      <c r="F6923">
        <v>4</v>
      </c>
      <c r="G6923">
        <v>13481</v>
      </c>
      <c r="H6923" s="1">
        <v>3</v>
      </c>
      <c r="I6923">
        <v>13</v>
      </c>
      <c r="J6923">
        <f>IF($H6923=0,1,IF($I6923&lt;=1,2,0))</f>
        <v>0</v>
      </c>
      <c r="K6923">
        <v>0</v>
      </c>
      <c r="L6923">
        <f>IF(AND($J6923=0,$K6923=0),0,1)</f>
        <v>0</v>
      </c>
      <c r="M6923" t="s">
        <v>1782</v>
      </c>
    </row>
    <row r="6924" spans="1:13" x14ac:dyDescent="0.2">
      <c r="A6924" t="s">
        <v>685</v>
      </c>
      <c r="B6924" t="s">
        <v>17</v>
      </c>
      <c r="C6924" t="s">
        <v>9</v>
      </c>
      <c r="D6924">
        <v>3300</v>
      </c>
      <c r="E6924">
        <v>2021</v>
      </c>
      <c r="F6924">
        <v>1</v>
      </c>
      <c r="G6924">
        <v>13468</v>
      </c>
      <c r="H6924" s="1">
        <v>3</v>
      </c>
      <c r="I6924">
        <v>12</v>
      </c>
      <c r="J6924">
        <f>IF($H6924=0,1,IF($I6924&lt;=1,2,0))</f>
        <v>0</v>
      </c>
      <c r="K6924">
        <v>0</v>
      </c>
      <c r="L6924">
        <f>IF(AND($J6924=0,$K6924=0),0,1)</f>
        <v>0</v>
      </c>
      <c r="M6924" t="s">
        <v>1782</v>
      </c>
    </row>
    <row r="6925" spans="1:13" x14ac:dyDescent="0.2">
      <c r="A6925" t="s">
        <v>685</v>
      </c>
      <c r="B6925" t="s">
        <v>17</v>
      </c>
      <c r="C6925" t="s">
        <v>9</v>
      </c>
      <c r="D6925">
        <v>3300</v>
      </c>
      <c r="E6925">
        <v>2021</v>
      </c>
      <c r="F6925">
        <v>2</v>
      </c>
      <c r="G6925">
        <v>13476</v>
      </c>
      <c r="H6925" s="1">
        <v>3</v>
      </c>
      <c r="I6925">
        <v>12</v>
      </c>
      <c r="J6925">
        <f>IF($H6925=0,1,IF($I6925&lt;=1,2,0))</f>
        <v>0</v>
      </c>
      <c r="K6925">
        <v>0</v>
      </c>
      <c r="L6925">
        <f>IF(AND($J6925=0,$K6925=0),0,1)</f>
        <v>0</v>
      </c>
      <c r="M6925" t="s">
        <v>1782</v>
      </c>
    </row>
    <row r="6926" spans="1:13" x14ac:dyDescent="0.2">
      <c r="A6926" t="s">
        <v>685</v>
      </c>
      <c r="B6926" t="s">
        <v>17</v>
      </c>
      <c r="C6926" t="s">
        <v>9</v>
      </c>
      <c r="D6926">
        <v>3300</v>
      </c>
      <c r="E6926">
        <v>2021</v>
      </c>
      <c r="F6926">
        <v>3</v>
      </c>
      <c r="G6926">
        <v>13480</v>
      </c>
      <c r="H6926" s="1">
        <v>3</v>
      </c>
      <c r="I6926">
        <v>10</v>
      </c>
      <c r="J6926">
        <f>IF($H6926=0,1,IF($I6926&lt;=1,2,0))</f>
        <v>0</v>
      </c>
      <c r="K6926">
        <v>0</v>
      </c>
      <c r="L6926">
        <f>IF(AND($J6926=0,$K6926=0),0,1)</f>
        <v>0</v>
      </c>
      <c r="M6926" t="s">
        <v>1782</v>
      </c>
    </row>
    <row r="6927" spans="1:13" x14ac:dyDescent="0.2">
      <c r="A6927" t="s">
        <v>685</v>
      </c>
      <c r="B6927" t="s">
        <v>17</v>
      </c>
      <c r="C6927" t="s">
        <v>9</v>
      </c>
      <c r="D6927">
        <v>3349</v>
      </c>
      <c r="E6927">
        <v>2021</v>
      </c>
      <c r="F6927">
        <v>4</v>
      </c>
      <c r="G6927">
        <v>20396</v>
      </c>
      <c r="H6927" s="1">
        <v>3</v>
      </c>
      <c r="I6927">
        <v>14</v>
      </c>
      <c r="J6927">
        <f>IF($H6927=0,1,IF($I6927&lt;=1,2,0))</f>
        <v>0</v>
      </c>
      <c r="K6927">
        <v>0</v>
      </c>
      <c r="L6927">
        <f>IF(AND($J6927=0,$K6927=0),0,1)</f>
        <v>0</v>
      </c>
    </row>
    <row r="6928" spans="1:13" x14ac:dyDescent="0.2">
      <c r="A6928" t="s">
        <v>685</v>
      </c>
      <c r="B6928" t="s">
        <v>17</v>
      </c>
      <c r="C6928" t="s">
        <v>9</v>
      </c>
      <c r="D6928">
        <v>3349</v>
      </c>
      <c r="E6928">
        <v>2021</v>
      </c>
      <c r="F6928">
        <v>1</v>
      </c>
      <c r="G6928">
        <v>12015</v>
      </c>
      <c r="H6928" s="1">
        <v>3</v>
      </c>
      <c r="I6928">
        <v>12</v>
      </c>
      <c r="J6928">
        <f>IF($H6928=0,1,IF($I6928&lt;=1,2,0))</f>
        <v>0</v>
      </c>
      <c r="K6928">
        <v>0</v>
      </c>
      <c r="L6928">
        <f>IF(AND($J6928=0,$K6928=0),0,1)</f>
        <v>0</v>
      </c>
    </row>
    <row r="6929" spans="1:13" x14ac:dyDescent="0.2">
      <c r="A6929" t="s">
        <v>685</v>
      </c>
      <c r="B6929" t="s">
        <v>17</v>
      </c>
      <c r="C6929" t="s">
        <v>9</v>
      </c>
      <c r="D6929">
        <v>3349</v>
      </c>
      <c r="E6929">
        <v>2021</v>
      </c>
      <c r="F6929">
        <v>20</v>
      </c>
      <c r="G6929">
        <v>358</v>
      </c>
      <c r="H6929" s="1">
        <v>3</v>
      </c>
      <c r="I6929">
        <v>12</v>
      </c>
      <c r="J6929">
        <f>IF($H6929=0,1,IF($I6929&lt;=1,2,0))</f>
        <v>0</v>
      </c>
      <c r="K6929">
        <v>0</v>
      </c>
      <c r="L6929">
        <f>IF(AND($J6929=0,$K6929=0),0,1)</f>
        <v>0</v>
      </c>
    </row>
    <row r="6930" spans="1:13" x14ac:dyDescent="0.2">
      <c r="A6930" t="s">
        <v>685</v>
      </c>
      <c r="B6930" t="s">
        <v>17</v>
      </c>
      <c r="C6930" t="s">
        <v>9</v>
      </c>
      <c r="D6930">
        <v>3350</v>
      </c>
      <c r="E6930">
        <v>2021</v>
      </c>
      <c r="F6930">
        <v>1</v>
      </c>
      <c r="G6930">
        <v>12017</v>
      </c>
      <c r="H6930" s="1">
        <v>3</v>
      </c>
      <c r="I6930">
        <v>15</v>
      </c>
      <c r="J6930">
        <f>IF($H6930=0,1,IF($I6930&lt;=1,2,0))</f>
        <v>0</v>
      </c>
      <c r="K6930">
        <v>0</v>
      </c>
      <c r="L6930">
        <f>IF(AND($J6930=0,$K6930=0),0,1)</f>
        <v>0</v>
      </c>
    </row>
    <row r="6931" spans="1:13" x14ac:dyDescent="0.2">
      <c r="A6931" t="s">
        <v>685</v>
      </c>
      <c r="B6931" t="s">
        <v>17</v>
      </c>
      <c r="C6931" t="s">
        <v>9</v>
      </c>
      <c r="D6931">
        <v>3350</v>
      </c>
      <c r="E6931">
        <v>2021</v>
      </c>
      <c r="F6931">
        <v>2</v>
      </c>
      <c r="G6931">
        <v>12018</v>
      </c>
      <c r="H6931" s="1">
        <v>3</v>
      </c>
      <c r="I6931">
        <v>15</v>
      </c>
      <c r="J6931">
        <f>IF($H6931=0,1,IF($I6931&lt;=1,2,0))</f>
        <v>0</v>
      </c>
      <c r="K6931">
        <v>0</v>
      </c>
      <c r="L6931">
        <f>IF(AND($J6931=0,$K6931=0),0,1)</f>
        <v>0</v>
      </c>
    </row>
    <row r="6932" spans="1:13" x14ac:dyDescent="0.2">
      <c r="A6932" t="s">
        <v>685</v>
      </c>
      <c r="B6932" t="s">
        <v>17</v>
      </c>
      <c r="C6932" t="s">
        <v>9</v>
      </c>
      <c r="D6932">
        <v>3350</v>
      </c>
      <c r="E6932">
        <v>2021</v>
      </c>
      <c r="F6932">
        <v>4</v>
      </c>
      <c r="G6932">
        <v>12022</v>
      </c>
      <c r="H6932" s="1">
        <v>3</v>
      </c>
      <c r="I6932">
        <v>15</v>
      </c>
      <c r="J6932">
        <f>IF($H6932=0,1,IF($I6932&lt;=1,2,0))</f>
        <v>0</v>
      </c>
      <c r="K6932">
        <v>0</v>
      </c>
      <c r="L6932">
        <f>IF(AND($J6932=0,$K6932=0),0,1)</f>
        <v>0</v>
      </c>
    </row>
    <row r="6933" spans="1:13" x14ac:dyDescent="0.2">
      <c r="A6933" t="s">
        <v>685</v>
      </c>
      <c r="B6933" t="s">
        <v>17</v>
      </c>
      <c r="C6933" t="s">
        <v>9</v>
      </c>
      <c r="D6933">
        <v>3350</v>
      </c>
      <c r="E6933">
        <v>2021</v>
      </c>
      <c r="F6933" t="s">
        <v>1786</v>
      </c>
      <c r="G6933">
        <v>12024</v>
      </c>
      <c r="H6933" s="1">
        <v>3</v>
      </c>
      <c r="I6933">
        <v>14</v>
      </c>
      <c r="J6933">
        <f>IF($H6933=0,1,IF($I6933&lt;=1,2,0))</f>
        <v>0</v>
      </c>
      <c r="K6933">
        <v>0</v>
      </c>
      <c r="L6933">
        <f>IF(AND($J6933=0,$K6933=0),0,1)</f>
        <v>0</v>
      </c>
    </row>
    <row r="6934" spans="1:13" x14ac:dyDescent="0.2">
      <c r="A6934" t="s">
        <v>685</v>
      </c>
      <c r="B6934" t="s">
        <v>17</v>
      </c>
      <c r="C6934" t="s">
        <v>9</v>
      </c>
      <c r="D6934">
        <v>3350</v>
      </c>
      <c r="E6934">
        <v>2021</v>
      </c>
      <c r="F6934">
        <v>3</v>
      </c>
      <c r="G6934">
        <v>12020</v>
      </c>
      <c r="H6934" s="1">
        <v>3</v>
      </c>
      <c r="I6934">
        <v>9</v>
      </c>
      <c r="J6934">
        <f>IF($H6934=0,1,IF($I6934&lt;=1,2,0))</f>
        <v>0</v>
      </c>
      <c r="K6934">
        <v>0</v>
      </c>
      <c r="L6934">
        <f>IF(AND($J6934=0,$K6934=0),0,1)</f>
        <v>0</v>
      </c>
    </row>
    <row r="6935" spans="1:13" x14ac:dyDescent="0.2">
      <c r="A6935" t="s">
        <v>685</v>
      </c>
      <c r="B6935" t="s">
        <v>17</v>
      </c>
      <c r="C6935" t="s">
        <v>9</v>
      </c>
      <c r="D6935">
        <v>3350</v>
      </c>
      <c r="E6935">
        <v>2021</v>
      </c>
      <c r="F6935">
        <v>5</v>
      </c>
      <c r="G6935">
        <v>12023</v>
      </c>
      <c r="H6935" s="1">
        <v>3</v>
      </c>
      <c r="I6935">
        <v>9</v>
      </c>
      <c r="J6935">
        <f>IF($H6935=0,1,IF($I6935&lt;=1,2,0))</f>
        <v>0</v>
      </c>
      <c r="K6935">
        <v>0</v>
      </c>
      <c r="L6935">
        <f>IF(AND($J6935=0,$K6935=0),0,1)</f>
        <v>0</v>
      </c>
    </row>
    <row r="6936" spans="1:13" x14ac:dyDescent="0.2">
      <c r="A6936" t="s">
        <v>685</v>
      </c>
      <c r="B6936" t="s">
        <v>17</v>
      </c>
      <c r="C6936" t="s">
        <v>9</v>
      </c>
      <c r="D6936">
        <v>3361</v>
      </c>
      <c r="E6936">
        <v>2021</v>
      </c>
      <c r="F6936">
        <v>1</v>
      </c>
      <c r="G6936">
        <v>12874</v>
      </c>
      <c r="H6936" s="1">
        <v>3</v>
      </c>
      <c r="I6936">
        <v>4</v>
      </c>
      <c r="J6936">
        <f>IF($H6936=0,1,IF($I6936&lt;=1,2,0))</f>
        <v>0</v>
      </c>
      <c r="K6936">
        <v>0</v>
      </c>
      <c r="L6936">
        <f>IF(AND($J6936=0,$K6936=0),0,1)</f>
        <v>0</v>
      </c>
    </row>
    <row r="6937" spans="1:13" x14ac:dyDescent="0.2">
      <c r="A6937" t="s">
        <v>685</v>
      </c>
      <c r="B6937" t="s">
        <v>17</v>
      </c>
      <c r="C6937" t="s">
        <v>9</v>
      </c>
      <c r="D6937">
        <v>3450</v>
      </c>
      <c r="E6937">
        <v>2021</v>
      </c>
      <c r="F6937">
        <v>1</v>
      </c>
      <c r="G6937">
        <v>12026</v>
      </c>
      <c r="H6937" s="1">
        <v>3</v>
      </c>
      <c r="I6937">
        <v>18</v>
      </c>
      <c r="J6937">
        <f>IF($H6937=0,1,IF($I6937&lt;=1,2,0))</f>
        <v>0</v>
      </c>
      <c r="K6937">
        <v>0</v>
      </c>
      <c r="L6937">
        <f>IF(AND($J6937=0,$K6937=0),0,1)</f>
        <v>0</v>
      </c>
    </row>
    <row r="6938" spans="1:13" x14ac:dyDescent="0.2">
      <c r="A6938" t="s">
        <v>685</v>
      </c>
      <c r="B6938" t="s">
        <v>17</v>
      </c>
      <c r="C6938" t="s">
        <v>9</v>
      </c>
      <c r="D6938">
        <v>3570</v>
      </c>
      <c r="E6938">
        <v>2021</v>
      </c>
      <c r="F6938">
        <v>1</v>
      </c>
      <c r="G6938">
        <v>12974</v>
      </c>
      <c r="H6938" s="1">
        <v>3</v>
      </c>
      <c r="I6938">
        <v>3</v>
      </c>
      <c r="J6938">
        <f>IF($H6938=0,1,IF($I6938&lt;=1,2,0))</f>
        <v>0</v>
      </c>
      <c r="K6938">
        <v>0</v>
      </c>
      <c r="L6938">
        <f>IF(AND($J6938=0,$K6938=0),0,1)</f>
        <v>0</v>
      </c>
    </row>
    <row r="6939" spans="1:13" x14ac:dyDescent="0.2">
      <c r="A6939" t="s">
        <v>685</v>
      </c>
      <c r="B6939" t="s">
        <v>17</v>
      </c>
      <c r="C6939" t="s">
        <v>9</v>
      </c>
      <c r="D6939">
        <v>3710</v>
      </c>
      <c r="E6939">
        <v>2021</v>
      </c>
      <c r="F6939">
        <v>1</v>
      </c>
      <c r="G6939">
        <v>12025</v>
      </c>
      <c r="H6939" s="1">
        <v>3</v>
      </c>
      <c r="I6939">
        <v>18</v>
      </c>
      <c r="J6939">
        <f>IF($H6939=0,1,IF($I6939&lt;=1,2,0))</f>
        <v>0</v>
      </c>
      <c r="K6939">
        <v>0</v>
      </c>
      <c r="L6939">
        <f>IF(AND($J6939=0,$K6939=0),0,1)</f>
        <v>0</v>
      </c>
    </row>
    <row r="6940" spans="1:13" x14ac:dyDescent="0.2">
      <c r="A6940" t="s">
        <v>685</v>
      </c>
      <c r="B6940" t="s">
        <v>17</v>
      </c>
      <c r="C6940" t="s">
        <v>9</v>
      </c>
      <c r="D6940">
        <v>3887</v>
      </c>
      <c r="E6940">
        <v>2021</v>
      </c>
      <c r="F6940">
        <v>1</v>
      </c>
      <c r="G6940">
        <v>14007</v>
      </c>
      <c r="H6940" s="1">
        <v>3</v>
      </c>
      <c r="I6940">
        <v>4</v>
      </c>
      <c r="J6940">
        <f>IF($H6940=0,1,IF($I6940&lt;=1,2,0))</f>
        <v>0</v>
      </c>
      <c r="K6940">
        <v>0</v>
      </c>
      <c r="L6940">
        <f>IF(AND($J6940=0,$K6940=0),0,1)</f>
        <v>0</v>
      </c>
    </row>
    <row r="6941" spans="1:13" x14ac:dyDescent="0.2">
      <c r="A6941" t="s">
        <v>685</v>
      </c>
      <c r="B6941" t="s">
        <v>17</v>
      </c>
      <c r="C6941" t="s">
        <v>9</v>
      </c>
      <c r="D6941">
        <v>4889</v>
      </c>
      <c r="E6941">
        <v>2021</v>
      </c>
      <c r="F6941">
        <v>1</v>
      </c>
      <c r="G6941">
        <v>13998</v>
      </c>
      <c r="H6941" s="1">
        <v>3</v>
      </c>
      <c r="I6941">
        <v>5</v>
      </c>
      <c r="J6941">
        <f>IF($H6941=0,1,IF($I6941&lt;=1,2,0))</f>
        <v>0</v>
      </c>
      <c r="K6941">
        <v>0</v>
      </c>
      <c r="L6941">
        <f>IF(AND($J6941=0,$K6941=0),0,1)</f>
        <v>0</v>
      </c>
      <c r="M6941" t="s">
        <v>1787</v>
      </c>
    </row>
    <row r="6942" spans="1:13" x14ac:dyDescent="0.2">
      <c r="A6942" t="s">
        <v>685</v>
      </c>
      <c r="B6942" t="s">
        <v>17</v>
      </c>
      <c r="C6942" t="s">
        <v>11</v>
      </c>
      <c r="D6942">
        <v>6004</v>
      </c>
      <c r="E6942">
        <v>2021</v>
      </c>
      <c r="F6942">
        <v>1</v>
      </c>
      <c r="G6942">
        <v>12876</v>
      </c>
      <c r="H6942" s="1">
        <v>4</v>
      </c>
      <c r="I6942">
        <v>8</v>
      </c>
      <c r="J6942">
        <f>IF($H6942=0,1,IF($I6942&lt;=1,2,0))</f>
        <v>0</v>
      </c>
      <c r="K6942">
        <v>0</v>
      </c>
      <c r="L6942">
        <f>IF(AND($J6942=0,$K6942=0),0,1)</f>
        <v>0</v>
      </c>
      <c r="M6942" t="s">
        <v>1788</v>
      </c>
    </row>
    <row r="6943" spans="1:13" x14ac:dyDescent="0.2">
      <c r="A6943" t="s">
        <v>698</v>
      </c>
      <c r="B6943" t="s">
        <v>133</v>
      </c>
      <c r="C6943" t="s">
        <v>9</v>
      </c>
      <c r="D6943">
        <v>1001</v>
      </c>
      <c r="E6943">
        <v>2021</v>
      </c>
      <c r="F6943">
        <v>1</v>
      </c>
      <c r="G6943">
        <v>13026</v>
      </c>
      <c r="H6943" s="1">
        <v>3</v>
      </c>
      <c r="I6943">
        <v>115</v>
      </c>
      <c r="J6943">
        <f>IF($H6943=0,1,IF($I6943&lt;=1,2,0))</f>
        <v>0</v>
      </c>
      <c r="K6943">
        <v>0</v>
      </c>
      <c r="L6943">
        <f>IF(AND($J6943=0,$K6943=0),0,1)</f>
        <v>0</v>
      </c>
    </row>
    <row r="6944" spans="1:13" x14ac:dyDescent="0.2">
      <c r="A6944" t="s">
        <v>698</v>
      </c>
      <c r="B6944" t="s">
        <v>133</v>
      </c>
      <c r="C6944" t="s">
        <v>9</v>
      </c>
      <c r="D6944">
        <v>1001</v>
      </c>
      <c r="E6944">
        <v>2021</v>
      </c>
      <c r="F6944">
        <v>2</v>
      </c>
      <c r="G6944">
        <v>13027</v>
      </c>
      <c r="H6944" s="1">
        <v>3</v>
      </c>
      <c r="I6944">
        <v>50</v>
      </c>
      <c r="J6944">
        <f>IF($H6944=0,1,IF($I6944&lt;=1,2,0))</f>
        <v>0</v>
      </c>
      <c r="K6944">
        <v>0</v>
      </c>
      <c r="L6944">
        <f>IF(AND($J6944=0,$K6944=0),0,1)</f>
        <v>0</v>
      </c>
    </row>
    <row r="6945" spans="1:13" x14ac:dyDescent="0.2">
      <c r="A6945" t="s">
        <v>698</v>
      </c>
      <c r="B6945" t="s">
        <v>133</v>
      </c>
      <c r="C6945" t="s">
        <v>9</v>
      </c>
      <c r="D6945">
        <v>1010</v>
      </c>
      <c r="E6945">
        <v>2021</v>
      </c>
      <c r="F6945">
        <v>1</v>
      </c>
      <c r="G6945">
        <v>13028</v>
      </c>
      <c r="H6945" s="1">
        <v>4</v>
      </c>
      <c r="I6945">
        <v>22</v>
      </c>
      <c r="J6945">
        <f>IF($H6945=0,1,IF($I6945&lt;=1,2,0))</f>
        <v>0</v>
      </c>
      <c r="K6945">
        <v>0</v>
      </c>
      <c r="L6945">
        <f>IF(AND($J6945=0,$K6945=0),0,1)</f>
        <v>0</v>
      </c>
    </row>
    <row r="6946" spans="1:13" x14ac:dyDescent="0.2">
      <c r="A6946" t="s">
        <v>698</v>
      </c>
      <c r="B6946" t="s">
        <v>133</v>
      </c>
      <c r="C6946" t="s">
        <v>9</v>
      </c>
      <c r="D6946">
        <v>1101</v>
      </c>
      <c r="E6946">
        <v>2021</v>
      </c>
      <c r="F6946">
        <v>3</v>
      </c>
      <c r="G6946">
        <v>13031</v>
      </c>
      <c r="H6946" s="1">
        <v>3</v>
      </c>
      <c r="I6946">
        <v>78</v>
      </c>
      <c r="J6946">
        <f>IF($H6946=0,1,IF($I6946&lt;=1,2,0))</f>
        <v>0</v>
      </c>
      <c r="K6946">
        <v>0</v>
      </c>
      <c r="L6946">
        <f>IF(AND($J6946=0,$K6946=0),0,1)</f>
        <v>0</v>
      </c>
    </row>
    <row r="6947" spans="1:13" x14ac:dyDescent="0.2">
      <c r="A6947" t="s">
        <v>698</v>
      </c>
      <c r="B6947" t="s">
        <v>133</v>
      </c>
      <c r="C6947" t="s">
        <v>9</v>
      </c>
      <c r="D6947">
        <v>1101</v>
      </c>
      <c r="E6947">
        <v>2021</v>
      </c>
      <c r="F6947">
        <v>1</v>
      </c>
      <c r="G6947">
        <v>13029</v>
      </c>
      <c r="H6947" s="1">
        <v>3</v>
      </c>
      <c r="I6947">
        <v>77</v>
      </c>
      <c r="J6947">
        <f>IF($H6947=0,1,IF($I6947&lt;=1,2,0))</f>
        <v>0</v>
      </c>
      <c r="K6947">
        <v>0</v>
      </c>
      <c r="L6947">
        <f>IF(AND($J6947=0,$K6947=0),0,1)</f>
        <v>0</v>
      </c>
    </row>
    <row r="6948" spans="1:13" x14ac:dyDescent="0.2">
      <c r="A6948" t="s">
        <v>698</v>
      </c>
      <c r="B6948" t="s">
        <v>133</v>
      </c>
      <c r="C6948" t="s">
        <v>9</v>
      </c>
      <c r="D6948">
        <v>1101</v>
      </c>
      <c r="E6948">
        <v>2021</v>
      </c>
      <c r="F6948">
        <v>2</v>
      </c>
      <c r="G6948">
        <v>13030</v>
      </c>
      <c r="H6948" s="1">
        <v>3</v>
      </c>
      <c r="I6948">
        <v>68</v>
      </c>
      <c r="J6948">
        <f>IF($H6948=0,1,IF($I6948&lt;=1,2,0))</f>
        <v>0</v>
      </c>
      <c r="K6948">
        <v>0</v>
      </c>
      <c r="L6948">
        <f>IF(AND($J6948=0,$K6948=0),0,1)</f>
        <v>0</v>
      </c>
    </row>
    <row r="6949" spans="1:13" x14ac:dyDescent="0.2">
      <c r="A6949" t="s">
        <v>698</v>
      </c>
      <c r="B6949" t="s">
        <v>133</v>
      </c>
      <c r="C6949" t="s">
        <v>9</v>
      </c>
      <c r="D6949">
        <v>1201</v>
      </c>
      <c r="E6949">
        <v>2021</v>
      </c>
      <c r="F6949">
        <v>2</v>
      </c>
      <c r="G6949">
        <v>13033</v>
      </c>
      <c r="H6949" s="1">
        <v>3</v>
      </c>
      <c r="I6949">
        <v>88</v>
      </c>
      <c r="J6949">
        <f>IF($H6949=0,1,IF($I6949&lt;=1,2,0))</f>
        <v>0</v>
      </c>
      <c r="K6949">
        <v>0</v>
      </c>
      <c r="L6949">
        <f>IF(AND($J6949=0,$K6949=0),0,1)</f>
        <v>0</v>
      </c>
    </row>
    <row r="6950" spans="1:13" x14ac:dyDescent="0.2">
      <c r="A6950" t="s">
        <v>698</v>
      </c>
      <c r="B6950" t="s">
        <v>133</v>
      </c>
      <c r="C6950" t="s">
        <v>9</v>
      </c>
      <c r="D6950">
        <v>1201</v>
      </c>
      <c r="E6950">
        <v>2021</v>
      </c>
      <c r="F6950">
        <v>1</v>
      </c>
      <c r="G6950">
        <v>13032</v>
      </c>
      <c r="H6950" s="1">
        <v>3</v>
      </c>
      <c r="I6950">
        <v>70</v>
      </c>
      <c r="J6950">
        <f>IF($H6950=0,1,IF($I6950&lt;=1,2,0))</f>
        <v>0</v>
      </c>
      <c r="K6950">
        <v>0</v>
      </c>
      <c r="L6950">
        <f>IF(AND($J6950=0,$K6950=0),0,1)</f>
        <v>0</v>
      </c>
    </row>
    <row r="6951" spans="1:13" x14ac:dyDescent="0.2">
      <c r="A6951" t="s">
        <v>698</v>
      </c>
      <c r="B6951" t="s">
        <v>133</v>
      </c>
      <c r="C6951" t="s">
        <v>9</v>
      </c>
      <c r="D6951">
        <v>1201</v>
      </c>
      <c r="E6951">
        <v>2021</v>
      </c>
      <c r="F6951">
        <v>4</v>
      </c>
      <c r="G6951">
        <v>13035</v>
      </c>
      <c r="H6951" s="1">
        <v>3</v>
      </c>
      <c r="I6951">
        <v>68</v>
      </c>
      <c r="J6951">
        <f>IF($H6951=0,1,IF($I6951&lt;=1,2,0))</f>
        <v>0</v>
      </c>
      <c r="K6951">
        <v>0</v>
      </c>
      <c r="L6951">
        <f>IF(AND($J6951=0,$K6951=0),0,1)</f>
        <v>0</v>
      </c>
    </row>
    <row r="6952" spans="1:13" x14ac:dyDescent="0.2">
      <c r="A6952" t="s">
        <v>698</v>
      </c>
      <c r="B6952" t="s">
        <v>133</v>
      </c>
      <c r="C6952" t="s">
        <v>9</v>
      </c>
      <c r="D6952">
        <v>1201</v>
      </c>
      <c r="E6952">
        <v>2021</v>
      </c>
      <c r="F6952">
        <v>3</v>
      </c>
      <c r="G6952">
        <v>13034</v>
      </c>
      <c r="H6952" s="1">
        <v>3</v>
      </c>
      <c r="I6952">
        <v>55</v>
      </c>
      <c r="J6952">
        <f>IF($H6952=0,1,IF($I6952&lt;=1,2,0))</f>
        <v>0</v>
      </c>
      <c r="K6952">
        <v>0</v>
      </c>
      <c r="L6952">
        <f>IF(AND($J6952=0,$K6952=0),0,1)</f>
        <v>0</v>
      </c>
    </row>
    <row r="6953" spans="1:13" x14ac:dyDescent="0.2">
      <c r="A6953" t="s">
        <v>698</v>
      </c>
      <c r="B6953" t="s">
        <v>133</v>
      </c>
      <c r="C6953" t="s">
        <v>9</v>
      </c>
      <c r="D6953">
        <v>1202</v>
      </c>
      <c r="E6953">
        <v>2021</v>
      </c>
      <c r="F6953">
        <v>1</v>
      </c>
      <c r="G6953">
        <v>13036</v>
      </c>
      <c r="H6953" s="1">
        <v>1</v>
      </c>
      <c r="I6953">
        <v>25</v>
      </c>
      <c r="J6953">
        <f>IF($H6953=0,1,IF($I6953&lt;=1,2,0))</f>
        <v>0</v>
      </c>
      <c r="K6953">
        <v>0</v>
      </c>
      <c r="L6953">
        <f>IF(AND($J6953=0,$K6953=0),0,1)</f>
        <v>0</v>
      </c>
    </row>
    <row r="6954" spans="1:13" x14ac:dyDescent="0.2">
      <c r="A6954" t="s">
        <v>698</v>
      </c>
      <c r="B6954" t="s">
        <v>133</v>
      </c>
      <c r="C6954" t="s">
        <v>9</v>
      </c>
      <c r="D6954">
        <v>2103</v>
      </c>
      <c r="E6954">
        <v>2021</v>
      </c>
      <c r="F6954">
        <v>1</v>
      </c>
      <c r="G6954">
        <v>13037</v>
      </c>
      <c r="H6954" s="1">
        <v>3</v>
      </c>
      <c r="I6954">
        <v>43</v>
      </c>
      <c r="J6954">
        <f>IF($H6954=0,1,IF($I6954&lt;=1,2,0))</f>
        <v>0</v>
      </c>
      <c r="K6954">
        <v>0</v>
      </c>
      <c r="L6954">
        <f>IF(AND($J6954=0,$K6954=0),0,1)</f>
        <v>0</v>
      </c>
    </row>
    <row r="6955" spans="1:13" x14ac:dyDescent="0.2">
      <c r="A6955" t="s">
        <v>698</v>
      </c>
      <c r="B6955" t="s">
        <v>133</v>
      </c>
      <c r="C6955" t="s">
        <v>9</v>
      </c>
      <c r="D6955">
        <v>3105</v>
      </c>
      <c r="E6955">
        <v>2021</v>
      </c>
      <c r="F6955">
        <v>1</v>
      </c>
      <c r="G6955">
        <v>13040</v>
      </c>
      <c r="H6955" s="1">
        <v>3</v>
      </c>
      <c r="I6955">
        <v>47</v>
      </c>
      <c r="J6955">
        <f>IF($H6955=0,1,IF($I6955&lt;=1,2,0))</f>
        <v>0</v>
      </c>
      <c r="K6955">
        <v>0</v>
      </c>
      <c r="L6955">
        <f>IF(AND($J6955=0,$K6955=0),0,1)</f>
        <v>0</v>
      </c>
    </row>
    <row r="6956" spans="1:13" x14ac:dyDescent="0.2">
      <c r="A6956" t="s">
        <v>698</v>
      </c>
      <c r="B6956" t="s">
        <v>133</v>
      </c>
      <c r="C6956" t="s">
        <v>9</v>
      </c>
      <c r="D6956">
        <v>3107</v>
      </c>
      <c r="E6956">
        <v>2021</v>
      </c>
      <c r="F6956">
        <v>1</v>
      </c>
      <c r="G6956">
        <v>13041</v>
      </c>
      <c r="H6956" s="1">
        <v>3</v>
      </c>
      <c r="I6956">
        <v>2</v>
      </c>
      <c r="J6956">
        <f>IF($H6956=0,1,IF($I6956&lt;=1,2,0))</f>
        <v>0</v>
      </c>
      <c r="K6956">
        <v>0</v>
      </c>
      <c r="L6956">
        <f>IF(AND($J6956=0,$K6956=0),0,1)</f>
        <v>0</v>
      </c>
      <c r="M6956" t="s">
        <v>699</v>
      </c>
    </row>
    <row r="6957" spans="1:13" x14ac:dyDescent="0.2">
      <c r="A6957" t="s">
        <v>698</v>
      </c>
      <c r="B6957" t="s">
        <v>133</v>
      </c>
      <c r="C6957" t="s">
        <v>9</v>
      </c>
      <c r="D6957">
        <v>4001</v>
      </c>
      <c r="E6957">
        <v>2021</v>
      </c>
      <c r="F6957">
        <v>1</v>
      </c>
      <c r="G6957">
        <v>13043</v>
      </c>
      <c r="H6957" s="1">
        <v>3</v>
      </c>
      <c r="I6957">
        <v>115</v>
      </c>
      <c r="J6957">
        <f>IF($H6957=0,1,IF($I6957&lt;=1,2,0))</f>
        <v>0</v>
      </c>
      <c r="K6957">
        <v>0</v>
      </c>
      <c r="L6957">
        <f>IF(AND($J6957=0,$K6957=0),0,1)</f>
        <v>0</v>
      </c>
    </row>
    <row r="6958" spans="1:13" x14ac:dyDescent="0.2">
      <c r="A6958" t="s">
        <v>698</v>
      </c>
      <c r="B6958" t="s">
        <v>133</v>
      </c>
      <c r="C6958" t="s">
        <v>9</v>
      </c>
      <c r="D6958">
        <v>4203</v>
      </c>
      <c r="E6958">
        <v>2021</v>
      </c>
      <c r="F6958">
        <v>2</v>
      </c>
      <c r="G6958">
        <v>13045</v>
      </c>
      <c r="H6958" s="1">
        <v>3</v>
      </c>
      <c r="I6958">
        <v>74</v>
      </c>
      <c r="J6958">
        <f>IF($H6958=0,1,IF($I6958&lt;=1,2,0))</f>
        <v>0</v>
      </c>
      <c r="K6958">
        <v>0</v>
      </c>
      <c r="L6958">
        <f>IF(AND($J6958=0,$K6958=0),0,1)</f>
        <v>0</v>
      </c>
    </row>
    <row r="6959" spans="1:13" x14ac:dyDescent="0.2">
      <c r="A6959" t="s">
        <v>698</v>
      </c>
      <c r="B6959" t="s">
        <v>133</v>
      </c>
      <c r="C6959" t="s">
        <v>9</v>
      </c>
      <c r="D6959">
        <v>4203</v>
      </c>
      <c r="E6959">
        <v>2021</v>
      </c>
      <c r="F6959">
        <v>1</v>
      </c>
      <c r="G6959">
        <v>13044</v>
      </c>
      <c r="H6959" s="1">
        <v>3</v>
      </c>
      <c r="I6959">
        <v>8</v>
      </c>
      <c r="J6959">
        <f>IF($H6959=0,1,IF($I6959&lt;=1,2,0))</f>
        <v>0</v>
      </c>
      <c r="K6959">
        <v>0</v>
      </c>
      <c r="L6959">
        <f>IF(AND($J6959=0,$K6959=0),0,1)</f>
        <v>0</v>
      </c>
      <c r="M6959" t="s">
        <v>700</v>
      </c>
    </row>
    <row r="6960" spans="1:13" x14ac:dyDescent="0.2">
      <c r="A6960" t="s">
        <v>698</v>
      </c>
      <c r="B6960" t="s">
        <v>133</v>
      </c>
      <c r="C6960" t="s">
        <v>9</v>
      </c>
      <c r="D6960">
        <v>4204</v>
      </c>
      <c r="E6960">
        <v>2021</v>
      </c>
      <c r="F6960">
        <v>1</v>
      </c>
      <c r="G6960">
        <v>13047</v>
      </c>
      <c r="H6960" s="1">
        <v>3</v>
      </c>
      <c r="I6960">
        <v>36</v>
      </c>
      <c r="J6960">
        <f>IF($H6960=0,1,IF($I6960&lt;=1,2,0))</f>
        <v>0</v>
      </c>
      <c r="K6960">
        <v>0</v>
      </c>
      <c r="L6960">
        <f>IF(AND($J6960=0,$K6960=0),0,1)</f>
        <v>0</v>
      </c>
    </row>
    <row r="6961" spans="1:13" x14ac:dyDescent="0.2">
      <c r="A6961" t="s">
        <v>698</v>
      </c>
      <c r="B6961" t="s">
        <v>133</v>
      </c>
      <c r="C6961" t="s">
        <v>9</v>
      </c>
      <c r="D6961">
        <v>4205</v>
      </c>
      <c r="E6961">
        <v>2021</v>
      </c>
      <c r="F6961">
        <v>1</v>
      </c>
      <c r="G6961">
        <v>13049</v>
      </c>
      <c r="H6961" s="1">
        <v>3</v>
      </c>
      <c r="I6961">
        <v>27</v>
      </c>
      <c r="J6961">
        <f>IF($H6961=0,1,IF($I6961&lt;=1,2,0))</f>
        <v>0</v>
      </c>
      <c r="K6961">
        <v>0</v>
      </c>
      <c r="L6961">
        <f>IF(AND($J6961=0,$K6961=0),0,1)</f>
        <v>0</v>
      </c>
      <c r="M6961" t="s">
        <v>700</v>
      </c>
    </row>
    <row r="6962" spans="1:13" x14ac:dyDescent="0.2">
      <c r="A6962" t="s">
        <v>698</v>
      </c>
      <c r="B6962" t="s">
        <v>133</v>
      </c>
      <c r="C6962" t="s">
        <v>9</v>
      </c>
      <c r="D6962">
        <v>4205</v>
      </c>
      <c r="E6962">
        <v>2021</v>
      </c>
      <c r="F6962">
        <v>2</v>
      </c>
      <c r="G6962">
        <v>13050</v>
      </c>
      <c r="H6962" s="1">
        <v>3</v>
      </c>
      <c r="I6962">
        <v>24</v>
      </c>
      <c r="J6962">
        <f>IF($H6962=0,1,IF($I6962&lt;=1,2,0))</f>
        <v>0</v>
      </c>
      <c r="K6962">
        <v>0</v>
      </c>
      <c r="L6962">
        <f>IF(AND($J6962=0,$K6962=0),0,1)</f>
        <v>0</v>
      </c>
    </row>
    <row r="6963" spans="1:13" x14ac:dyDescent="0.2">
      <c r="A6963" t="s">
        <v>698</v>
      </c>
      <c r="B6963" t="s">
        <v>133</v>
      </c>
      <c r="C6963" t="s">
        <v>9</v>
      </c>
      <c r="D6963">
        <v>4205</v>
      </c>
      <c r="E6963">
        <v>2021</v>
      </c>
      <c r="F6963">
        <v>3</v>
      </c>
      <c r="G6963">
        <v>13051</v>
      </c>
      <c r="H6963" s="1">
        <v>3</v>
      </c>
      <c r="I6963">
        <v>14</v>
      </c>
      <c r="J6963">
        <f>IF($H6963=0,1,IF($I6963&lt;=1,2,0))</f>
        <v>0</v>
      </c>
      <c r="K6963">
        <v>0</v>
      </c>
      <c r="L6963">
        <f>IF(AND($J6963=0,$K6963=0),0,1)</f>
        <v>0</v>
      </c>
    </row>
    <row r="6964" spans="1:13" x14ac:dyDescent="0.2">
      <c r="A6964" t="s">
        <v>698</v>
      </c>
      <c r="B6964" t="s">
        <v>133</v>
      </c>
      <c r="C6964" t="s">
        <v>9</v>
      </c>
      <c r="D6964">
        <v>4205</v>
      </c>
      <c r="E6964">
        <v>2021</v>
      </c>
      <c r="F6964">
        <v>4</v>
      </c>
      <c r="G6964">
        <v>13052</v>
      </c>
      <c r="H6964" s="1">
        <v>3</v>
      </c>
      <c r="I6964">
        <v>10</v>
      </c>
      <c r="J6964">
        <f>IF($H6964=0,1,IF($I6964&lt;=1,2,0))</f>
        <v>0</v>
      </c>
      <c r="K6964">
        <v>0</v>
      </c>
      <c r="L6964">
        <f>IF(AND($J6964=0,$K6964=0),0,1)</f>
        <v>0</v>
      </c>
    </row>
    <row r="6965" spans="1:13" x14ac:dyDescent="0.2">
      <c r="A6965" t="s">
        <v>698</v>
      </c>
      <c r="B6965" t="s">
        <v>133</v>
      </c>
      <c r="C6965" t="s">
        <v>9</v>
      </c>
      <c r="D6965">
        <v>4205</v>
      </c>
      <c r="E6965">
        <v>2021</v>
      </c>
      <c r="F6965">
        <v>5</v>
      </c>
      <c r="G6965">
        <v>13053</v>
      </c>
      <c r="H6965" s="1">
        <v>3</v>
      </c>
      <c r="I6965">
        <v>8</v>
      </c>
      <c r="J6965">
        <f>IF($H6965=0,1,IF($I6965&lt;=1,2,0))</f>
        <v>0</v>
      </c>
      <c r="K6965">
        <v>0</v>
      </c>
      <c r="L6965">
        <f>IF(AND($J6965=0,$K6965=0),0,1)</f>
        <v>0</v>
      </c>
    </row>
    <row r="6966" spans="1:13" x14ac:dyDescent="0.2">
      <c r="A6966" t="s">
        <v>698</v>
      </c>
      <c r="B6966" t="s">
        <v>133</v>
      </c>
      <c r="C6966" t="s">
        <v>9</v>
      </c>
      <c r="D6966">
        <v>4206</v>
      </c>
      <c r="E6966">
        <v>2021</v>
      </c>
      <c r="F6966">
        <v>1</v>
      </c>
      <c r="G6966">
        <v>13055</v>
      </c>
      <c r="H6966" s="1">
        <v>3</v>
      </c>
      <c r="I6966">
        <v>22</v>
      </c>
      <c r="J6966">
        <f>IF($H6966=0,1,IF($I6966&lt;=1,2,0))</f>
        <v>0</v>
      </c>
      <c r="K6966">
        <v>0</v>
      </c>
      <c r="L6966">
        <f>IF(AND($J6966=0,$K6966=0),0,1)</f>
        <v>0</v>
      </c>
      <c r="M6966" t="s">
        <v>700</v>
      </c>
    </row>
    <row r="6967" spans="1:13" x14ac:dyDescent="0.2">
      <c r="A6967" t="s">
        <v>698</v>
      </c>
      <c r="B6967" t="s">
        <v>133</v>
      </c>
      <c r="C6967" t="s">
        <v>9</v>
      </c>
      <c r="D6967">
        <v>4207</v>
      </c>
      <c r="E6967">
        <v>2021</v>
      </c>
      <c r="F6967">
        <v>1</v>
      </c>
      <c r="G6967">
        <v>13056</v>
      </c>
      <c r="H6967" s="1">
        <v>3</v>
      </c>
      <c r="I6967">
        <v>27</v>
      </c>
      <c r="J6967">
        <f>IF($H6967=0,1,IF($I6967&lt;=1,2,0))</f>
        <v>0</v>
      </c>
      <c r="K6967">
        <v>0</v>
      </c>
      <c r="L6967">
        <f>IF(AND($J6967=0,$K6967=0),0,1)</f>
        <v>0</v>
      </c>
    </row>
    <row r="6968" spans="1:13" x14ac:dyDescent="0.2">
      <c r="A6968" t="s">
        <v>698</v>
      </c>
      <c r="B6968" t="s">
        <v>133</v>
      </c>
      <c r="C6968" t="s">
        <v>9</v>
      </c>
      <c r="D6968">
        <v>4221</v>
      </c>
      <c r="E6968">
        <v>2021</v>
      </c>
      <c r="F6968">
        <v>1</v>
      </c>
      <c r="G6968">
        <v>13057</v>
      </c>
      <c r="H6968" s="1">
        <v>3</v>
      </c>
      <c r="I6968">
        <v>9</v>
      </c>
      <c r="J6968">
        <f>IF($H6968=0,1,IF($I6968&lt;=1,2,0))</f>
        <v>0</v>
      </c>
      <c r="K6968">
        <v>0</v>
      </c>
      <c r="L6968">
        <f>IF(AND($J6968=0,$K6968=0),0,1)</f>
        <v>0</v>
      </c>
    </row>
    <row r="6969" spans="1:13" x14ac:dyDescent="0.2">
      <c r="A6969" t="s">
        <v>698</v>
      </c>
      <c r="B6969" t="s">
        <v>133</v>
      </c>
      <c r="C6969" t="s">
        <v>9</v>
      </c>
      <c r="D6969">
        <v>4224</v>
      </c>
      <c r="E6969">
        <v>2021</v>
      </c>
      <c r="F6969">
        <v>1</v>
      </c>
      <c r="G6969">
        <v>13058</v>
      </c>
      <c r="H6969" s="1">
        <v>3</v>
      </c>
      <c r="I6969">
        <v>18</v>
      </c>
      <c r="J6969">
        <f>IF($H6969=0,1,IF($I6969&lt;=1,2,0))</f>
        <v>0</v>
      </c>
      <c r="K6969">
        <v>0</v>
      </c>
      <c r="L6969">
        <f>IF(AND($J6969=0,$K6969=0),0,1)</f>
        <v>0</v>
      </c>
    </row>
    <row r="6970" spans="1:13" x14ac:dyDescent="0.2">
      <c r="A6970" t="s">
        <v>698</v>
      </c>
      <c r="B6970" t="s">
        <v>133</v>
      </c>
      <c r="C6970" t="s">
        <v>9</v>
      </c>
      <c r="D6970">
        <v>4243</v>
      </c>
      <c r="E6970">
        <v>2021</v>
      </c>
      <c r="F6970">
        <v>1</v>
      </c>
      <c r="G6970">
        <v>13060</v>
      </c>
      <c r="H6970" s="1">
        <v>3</v>
      </c>
      <c r="I6970">
        <v>15</v>
      </c>
      <c r="J6970">
        <f>IF($H6970=0,1,IF($I6970&lt;=1,2,0))</f>
        <v>0</v>
      </c>
      <c r="K6970">
        <v>0</v>
      </c>
      <c r="L6970">
        <f>IF(AND($J6970=0,$K6970=0),0,1)</f>
        <v>0</v>
      </c>
    </row>
    <row r="6971" spans="1:13" x14ac:dyDescent="0.2">
      <c r="A6971" t="s">
        <v>698</v>
      </c>
      <c r="B6971" t="s">
        <v>133</v>
      </c>
      <c r="C6971" t="s">
        <v>9</v>
      </c>
      <c r="D6971">
        <v>4261</v>
      </c>
      <c r="E6971">
        <v>2021</v>
      </c>
      <c r="F6971">
        <v>1</v>
      </c>
      <c r="G6971">
        <v>13061</v>
      </c>
      <c r="H6971" s="1">
        <v>3</v>
      </c>
      <c r="I6971">
        <v>17</v>
      </c>
      <c r="J6971">
        <f>IF($H6971=0,1,IF($I6971&lt;=1,2,0))</f>
        <v>0</v>
      </c>
      <c r="K6971">
        <v>0</v>
      </c>
      <c r="L6971">
        <f>IF(AND($J6971=0,$K6971=0),0,1)</f>
        <v>0</v>
      </c>
    </row>
    <row r="6972" spans="1:13" x14ac:dyDescent="0.2">
      <c r="A6972" t="s">
        <v>698</v>
      </c>
      <c r="B6972" t="s">
        <v>133</v>
      </c>
      <c r="C6972" t="s">
        <v>11</v>
      </c>
      <c r="D6972">
        <v>4263</v>
      </c>
      <c r="E6972">
        <v>2021</v>
      </c>
      <c r="F6972">
        <v>1</v>
      </c>
      <c r="G6972">
        <v>13062</v>
      </c>
      <c r="H6972" s="1">
        <v>3</v>
      </c>
      <c r="I6972">
        <v>9</v>
      </c>
      <c r="J6972">
        <f>IF($H6972=0,1,IF($I6972&lt;=1,2,0))</f>
        <v>0</v>
      </c>
      <c r="K6972">
        <v>0</v>
      </c>
      <c r="L6972">
        <f>IF(AND($J6972=0,$K6972=0),0,1)</f>
        <v>0</v>
      </c>
    </row>
    <row r="6973" spans="1:13" x14ac:dyDescent="0.2">
      <c r="A6973" t="s">
        <v>698</v>
      </c>
      <c r="B6973" t="s">
        <v>133</v>
      </c>
      <c r="C6973" t="s">
        <v>11</v>
      </c>
      <c r="D6973">
        <v>4263</v>
      </c>
      <c r="E6973">
        <v>2021</v>
      </c>
      <c r="F6973">
        <v>2</v>
      </c>
      <c r="G6973">
        <v>13063</v>
      </c>
      <c r="H6973" s="1">
        <v>3</v>
      </c>
      <c r="I6973">
        <v>4</v>
      </c>
      <c r="J6973">
        <f>IF($H6973=0,1,IF($I6973&lt;=1,2,0))</f>
        <v>0</v>
      </c>
      <c r="K6973">
        <v>0</v>
      </c>
      <c r="L6973">
        <f>IF(AND($J6973=0,$K6973=0),0,1)</f>
        <v>0</v>
      </c>
    </row>
    <row r="6974" spans="1:13" x14ac:dyDescent="0.2">
      <c r="A6974" t="s">
        <v>698</v>
      </c>
      <c r="B6974" t="s">
        <v>133</v>
      </c>
      <c r="C6974" t="s">
        <v>11</v>
      </c>
      <c r="D6974">
        <v>4264</v>
      </c>
      <c r="E6974">
        <v>2021</v>
      </c>
      <c r="F6974">
        <v>1</v>
      </c>
      <c r="G6974">
        <v>13064</v>
      </c>
      <c r="H6974" s="1">
        <v>3</v>
      </c>
      <c r="I6974">
        <v>11</v>
      </c>
      <c r="J6974">
        <f>IF($H6974=0,1,IF($I6974&lt;=1,2,0))</f>
        <v>0</v>
      </c>
      <c r="K6974">
        <v>0</v>
      </c>
      <c r="L6974">
        <f>IF(AND($J6974=0,$K6974=0),0,1)</f>
        <v>0</v>
      </c>
    </row>
    <row r="6975" spans="1:13" x14ac:dyDescent="0.2">
      <c r="A6975" t="s">
        <v>698</v>
      </c>
      <c r="B6975" t="s">
        <v>133</v>
      </c>
      <c r="C6975" t="s">
        <v>9</v>
      </c>
      <c r="D6975">
        <v>4291</v>
      </c>
      <c r="E6975">
        <v>2021</v>
      </c>
      <c r="F6975">
        <v>1</v>
      </c>
      <c r="G6975">
        <v>13067</v>
      </c>
      <c r="H6975" s="1">
        <v>3</v>
      </c>
      <c r="I6975">
        <v>3</v>
      </c>
      <c r="J6975">
        <f>IF($H6975=0,1,IF($I6975&lt;=1,2,0))</f>
        <v>0</v>
      </c>
      <c r="K6975">
        <v>0</v>
      </c>
      <c r="L6975">
        <f>IF(AND($J6975=0,$K6975=0),0,1)</f>
        <v>0</v>
      </c>
    </row>
    <row r="6976" spans="1:13" x14ac:dyDescent="0.2">
      <c r="A6976" t="s">
        <v>698</v>
      </c>
      <c r="B6976" t="s">
        <v>133</v>
      </c>
      <c r="C6976" t="s">
        <v>11</v>
      </c>
      <c r="D6976">
        <v>5293</v>
      </c>
      <c r="E6976">
        <v>2021</v>
      </c>
      <c r="F6976">
        <v>6</v>
      </c>
      <c r="G6976">
        <v>18981</v>
      </c>
      <c r="H6976" s="1">
        <v>1</v>
      </c>
      <c r="I6976">
        <v>2</v>
      </c>
      <c r="J6976">
        <f>IF($H6976=0,1,IF($I6976&lt;=1,2,0))</f>
        <v>0</v>
      </c>
      <c r="K6976">
        <v>0</v>
      </c>
      <c r="L6976">
        <f>IF(AND($J6976=0,$K6976=0),0,1)</f>
        <v>0</v>
      </c>
    </row>
    <row r="6977" spans="1:13" x14ac:dyDescent="0.2">
      <c r="A6977" t="s">
        <v>698</v>
      </c>
      <c r="B6977" t="s">
        <v>133</v>
      </c>
      <c r="C6977" t="s">
        <v>11</v>
      </c>
      <c r="D6977">
        <v>5398</v>
      </c>
      <c r="E6977">
        <v>2021</v>
      </c>
      <c r="F6977">
        <v>2</v>
      </c>
      <c r="G6977">
        <v>13121</v>
      </c>
      <c r="H6977" s="1" t="s">
        <v>1831</v>
      </c>
      <c r="I6977">
        <v>18</v>
      </c>
      <c r="J6977">
        <f>IF($H6977=0,1,IF($I6977&lt;=1,2,0))</f>
        <v>0</v>
      </c>
      <c r="K6977">
        <v>0</v>
      </c>
      <c r="L6977">
        <f>IF(AND($J6977=0,$K6977=0),0,1)</f>
        <v>0</v>
      </c>
      <c r="M6977" t="s">
        <v>1806</v>
      </c>
    </row>
    <row r="6978" spans="1:13" x14ac:dyDescent="0.2">
      <c r="A6978" t="s">
        <v>698</v>
      </c>
      <c r="B6978" t="s">
        <v>133</v>
      </c>
      <c r="C6978" t="s">
        <v>11</v>
      </c>
      <c r="D6978">
        <v>5398</v>
      </c>
      <c r="E6978">
        <v>2021</v>
      </c>
      <c r="F6978">
        <v>3</v>
      </c>
      <c r="G6978">
        <v>20373</v>
      </c>
      <c r="H6978" s="1" t="s">
        <v>1831</v>
      </c>
      <c r="I6978">
        <v>2</v>
      </c>
      <c r="J6978">
        <f>IF($H6978=0,1,IF($I6978&lt;=1,2,0))</f>
        <v>0</v>
      </c>
      <c r="K6978">
        <v>0</v>
      </c>
      <c r="L6978">
        <f>IF(AND($J6978=0,$K6978=0),0,1)</f>
        <v>0</v>
      </c>
      <c r="M6978" t="s">
        <v>1807</v>
      </c>
    </row>
    <row r="6979" spans="1:13" x14ac:dyDescent="0.2">
      <c r="A6979" t="s">
        <v>698</v>
      </c>
      <c r="B6979" t="s">
        <v>133</v>
      </c>
      <c r="C6979" t="s">
        <v>11</v>
      </c>
      <c r="D6979">
        <v>6106</v>
      </c>
      <c r="E6979">
        <v>2021</v>
      </c>
      <c r="F6979">
        <v>1</v>
      </c>
      <c r="G6979">
        <v>13365</v>
      </c>
      <c r="H6979" s="1">
        <v>4</v>
      </c>
      <c r="I6979">
        <v>9</v>
      </c>
      <c r="J6979">
        <f>IF($H6979=0,1,IF($I6979&lt;=1,2,0))</f>
        <v>0</v>
      </c>
      <c r="K6979">
        <v>0</v>
      </c>
      <c r="L6979">
        <f>IF(AND($J6979=0,$K6979=0),0,1)</f>
        <v>0</v>
      </c>
      <c r="M6979" t="s">
        <v>2082</v>
      </c>
    </row>
    <row r="6980" spans="1:13" x14ac:dyDescent="0.2">
      <c r="A6980" t="s">
        <v>728</v>
      </c>
      <c r="B6980" t="s">
        <v>17</v>
      </c>
      <c r="C6980" t="s">
        <v>9</v>
      </c>
      <c r="D6980">
        <v>2101</v>
      </c>
      <c r="E6980">
        <v>2021</v>
      </c>
      <c r="F6980">
        <v>1</v>
      </c>
      <c r="G6980">
        <v>12759</v>
      </c>
      <c r="H6980" s="1">
        <v>4</v>
      </c>
      <c r="I6980">
        <v>8</v>
      </c>
      <c r="J6980">
        <f>IF($H6980=0,1,IF($I6980&lt;=1,2,0))</f>
        <v>0</v>
      </c>
      <c r="K6980">
        <v>0</v>
      </c>
      <c r="L6980">
        <f>IF(AND($J6980=0,$K6980=0),0,1)</f>
        <v>0</v>
      </c>
    </row>
    <row r="6981" spans="1:13" x14ac:dyDescent="0.2">
      <c r="A6981" t="s">
        <v>729</v>
      </c>
      <c r="B6981" t="s">
        <v>17</v>
      </c>
      <c r="C6981" t="s">
        <v>9</v>
      </c>
      <c r="D6981">
        <v>1101</v>
      </c>
      <c r="E6981">
        <v>2021</v>
      </c>
      <c r="F6981">
        <v>1</v>
      </c>
      <c r="G6981">
        <v>11223</v>
      </c>
      <c r="H6981" s="1">
        <v>4</v>
      </c>
      <c r="I6981">
        <v>12</v>
      </c>
      <c r="J6981">
        <f>IF($H6981=0,1,IF($I6981&lt;=1,2,0))</f>
        <v>0</v>
      </c>
      <c r="K6981">
        <v>0</v>
      </c>
      <c r="L6981">
        <f>IF(AND($J6981=0,$K6981=0),0,1)</f>
        <v>0</v>
      </c>
    </row>
    <row r="6982" spans="1:13" x14ac:dyDescent="0.2">
      <c r="A6982" t="s">
        <v>729</v>
      </c>
      <c r="B6982" t="s">
        <v>17</v>
      </c>
      <c r="C6982" t="s">
        <v>9</v>
      </c>
      <c r="D6982">
        <v>2101</v>
      </c>
      <c r="E6982">
        <v>2021</v>
      </c>
      <c r="F6982">
        <v>1</v>
      </c>
      <c r="G6982">
        <v>11226</v>
      </c>
      <c r="H6982" s="1">
        <v>4</v>
      </c>
      <c r="I6982">
        <v>10</v>
      </c>
      <c r="J6982">
        <f>IF($H6982=0,1,IF($I6982&lt;=1,2,0))</f>
        <v>0</v>
      </c>
      <c r="K6982">
        <v>0</v>
      </c>
      <c r="L6982">
        <f>IF(AND($J6982=0,$K6982=0),0,1)</f>
        <v>0</v>
      </c>
    </row>
    <row r="6983" spans="1:13" x14ac:dyDescent="0.2">
      <c r="A6983" t="s">
        <v>729</v>
      </c>
      <c r="B6983" t="s">
        <v>17</v>
      </c>
      <c r="C6983" t="s">
        <v>9</v>
      </c>
      <c r="D6983">
        <v>3301</v>
      </c>
      <c r="E6983">
        <v>2021</v>
      </c>
      <c r="F6983">
        <v>1</v>
      </c>
      <c r="G6983">
        <v>11227</v>
      </c>
      <c r="H6983" s="1">
        <v>4</v>
      </c>
      <c r="I6983">
        <v>5</v>
      </c>
      <c r="J6983">
        <f>IF($H6983=0,1,IF($I6983&lt;=1,2,0))</f>
        <v>0</v>
      </c>
      <c r="K6983">
        <v>0</v>
      </c>
      <c r="L6983">
        <f>IF(AND($J6983=0,$K6983=0),0,1)</f>
        <v>0</v>
      </c>
    </row>
    <row r="6984" spans="1:13" x14ac:dyDescent="0.2">
      <c r="A6984" t="s">
        <v>730</v>
      </c>
      <c r="B6984" t="s">
        <v>386</v>
      </c>
      <c r="C6984" t="s">
        <v>34</v>
      </c>
      <c r="D6984">
        <v>6010</v>
      </c>
      <c r="E6984">
        <v>2021</v>
      </c>
      <c r="F6984">
        <v>2</v>
      </c>
      <c r="G6984">
        <v>11222</v>
      </c>
      <c r="H6984" s="1">
        <v>3</v>
      </c>
      <c r="I6984">
        <v>16</v>
      </c>
      <c r="J6984">
        <f>IF($H6984=0,1,IF($I6984&lt;=1,2,0))</f>
        <v>0</v>
      </c>
      <c r="K6984">
        <v>0</v>
      </c>
      <c r="L6984">
        <f>IF(AND($J6984=0,$K6984=0),0,1)</f>
        <v>0</v>
      </c>
    </row>
    <row r="6985" spans="1:13" x14ac:dyDescent="0.2">
      <c r="A6985" t="s">
        <v>730</v>
      </c>
      <c r="B6985" t="s">
        <v>386</v>
      </c>
      <c r="C6985" t="s">
        <v>34</v>
      </c>
      <c r="D6985">
        <v>6010</v>
      </c>
      <c r="E6985">
        <v>2021</v>
      </c>
      <c r="F6985">
        <v>1</v>
      </c>
      <c r="G6985">
        <v>15668</v>
      </c>
      <c r="H6985" s="1">
        <v>3</v>
      </c>
      <c r="I6985">
        <v>15</v>
      </c>
      <c r="J6985">
        <f>IF($H6985=0,1,IF($I6985&lt;=1,2,0))</f>
        <v>0</v>
      </c>
      <c r="K6985">
        <v>0</v>
      </c>
      <c r="L6985">
        <f>IF(AND($J6985=0,$K6985=0),0,1)</f>
        <v>0</v>
      </c>
      <c r="M6985" t="s">
        <v>1812</v>
      </c>
    </row>
    <row r="6986" spans="1:13" x14ac:dyDescent="0.2">
      <c r="A6986" t="s">
        <v>730</v>
      </c>
      <c r="B6986" t="s">
        <v>386</v>
      </c>
      <c r="C6986" t="s">
        <v>34</v>
      </c>
      <c r="D6986">
        <v>6030</v>
      </c>
      <c r="E6986">
        <v>2021</v>
      </c>
      <c r="F6986">
        <v>2</v>
      </c>
      <c r="G6986">
        <v>17476</v>
      </c>
      <c r="H6986" s="1">
        <v>3</v>
      </c>
      <c r="I6986">
        <v>11</v>
      </c>
      <c r="J6986">
        <f>IF($H6986=0,1,IF($I6986&lt;=1,2,0))</f>
        <v>0</v>
      </c>
      <c r="K6986">
        <v>0</v>
      </c>
      <c r="L6986">
        <f>IF(AND($J6986=0,$K6986=0),0,1)</f>
        <v>0</v>
      </c>
    </row>
    <row r="6987" spans="1:13" x14ac:dyDescent="0.2">
      <c r="A6987" t="s">
        <v>730</v>
      </c>
      <c r="B6987" t="s">
        <v>386</v>
      </c>
      <c r="C6987" t="s">
        <v>34</v>
      </c>
      <c r="D6987">
        <v>6030</v>
      </c>
      <c r="E6987">
        <v>2021</v>
      </c>
      <c r="F6987">
        <v>1</v>
      </c>
      <c r="G6987">
        <v>15676</v>
      </c>
      <c r="H6987" s="1">
        <v>3</v>
      </c>
      <c r="I6987">
        <v>7</v>
      </c>
      <c r="J6987">
        <f>IF($H6987=0,1,IF($I6987&lt;=1,2,0))</f>
        <v>0</v>
      </c>
      <c r="K6987">
        <v>0</v>
      </c>
      <c r="L6987">
        <f>IF(AND($J6987=0,$K6987=0),0,1)</f>
        <v>0</v>
      </c>
    </row>
    <row r="6988" spans="1:13" x14ac:dyDescent="0.2">
      <c r="A6988" t="s">
        <v>730</v>
      </c>
      <c r="B6988" t="s">
        <v>386</v>
      </c>
      <c r="C6988" t="s">
        <v>34</v>
      </c>
      <c r="D6988">
        <v>6100</v>
      </c>
      <c r="E6988">
        <v>2021</v>
      </c>
      <c r="F6988">
        <v>1</v>
      </c>
      <c r="G6988">
        <v>16129</v>
      </c>
      <c r="H6988" s="1">
        <v>3</v>
      </c>
      <c r="I6988">
        <v>18</v>
      </c>
      <c r="J6988">
        <f>IF($H6988=0,1,IF($I6988&lt;=1,2,0))</f>
        <v>0</v>
      </c>
      <c r="K6988">
        <v>0</v>
      </c>
      <c r="L6988">
        <f>IF(AND($J6988=0,$K6988=0),0,1)</f>
        <v>0</v>
      </c>
    </row>
    <row r="6989" spans="1:13" x14ac:dyDescent="0.2">
      <c r="A6989" t="s">
        <v>730</v>
      </c>
      <c r="B6989" t="s">
        <v>386</v>
      </c>
      <c r="C6989" t="s">
        <v>407</v>
      </c>
      <c r="D6989">
        <v>6130</v>
      </c>
      <c r="E6989">
        <v>2021</v>
      </c>
      <c r="F6989">
        <v>1</v>
      </c>
      <c r="G6989">
        <v>16134</v>
      </c>
      <c r="H6989" s="1">
        <v>3</v>
      </c>
      <c r="I6989">
        <v>18</v>
      </c>
      <c r="J6989">
        <f>IF($H6989=0,1,IF($I6989&lt;=1,2,0))</f>
        <v>0</v>
      </c>
      <c r="K6989">
        <v>0</v>
      </c>
      <c r="L6989">
        <f>IF(AND($J6989=0,$K6989=0),0,1)</f>
        <v>0</v>
      </c>
    </row>
    <row r="6990" spans="1:13" x14ac:dyDescent="0.2">
      <c r="A6990" t="s">
        <v>730</v>
      </c>
      <c r="B6990" t="s">
        <v>386</v>
      </c>
      <c r="C6990" t="s">
        <v>407</v>
      </c>
      <c r="D6990">
        <v>6140</v>
      </c>
      <c r="E6990">
        <v>2021</v>
      </c>
      <c r="F6990">
        <v>1</v>
      </c>
      <c r="G6990">
        <v>16136</v>
      </c>
      <c r="H6990" s="1">
        <v>1</v>
      </c>
      <c r="I6990">
        <v>8</v>
      </c>
      <c r="J6990">
        <f>IF($H6990=0,1,IF($I6990&lt;=1,2,0))</f>
        <v>0</v>
      </c>
      <c r="K6990">
        <v>0</v>
      </c>
      <c r="L6990">
        <f>IF(AND($J6990=0,$K6990=0),0,1)</f>
        <v>0</v>
      </c>
    </row>
    <row r="6991" spans="1:13" x14ac:dyDescent="0.2">
      <c r="A6991" t="s">
        <v>730</v>
      </c>
      <c r="B6991" t="s">
        <v>386</v>
      </c>
      <c r="C6991" t="s">
        <v>407</v>
      </c>
      <c r="D6991">
        <v>6140</v>
      </c>
      <c r="E6991">
        <v>2021</v>
      </c>
      <c r="F6991">
        <v>2</v>
      </c>
      <c r="G6991">
        <v>16140</v>
      </c>
      <c r="H6991" s="1">
        <v>1</v>
      </c>
      <c r="I6991">
        <v>7</v>
      </c>
      <c r="J6991">
        <f>IF($H6991=0,1,IF($I6991&lt;=1,2,0))</f>
        <v>0</v>
      </c>
      <c r="K6991">
        <v>0</v>
      </c>
      <c r="L6991">
        <f>IF(AND($J6991=0,$K6991=0),0,1)</f>
        <v>0</v>
      </c>
    </row>
    <row r="6992" spans="1:13" x14ac:dyDescent="0.2">
      <c r="A6992" t="s">
        <v>730</v>
      </c>
      <c r="B6992" t="s">
        <v>386</v>
      </c>
      <c r="C6992" t="s">
        <v>34</v>
      </c>
      <c r="D6992">
        <v>6150</v>
      </c>
      <c r="E6992">
        <v>2021</v>
      </c>
      <c r="F6992">
        <v>2</v>
      </c>
      <c r="G6992">
        <v>16141</v>
      </c>
      <c r="H6992" s="1" t="s">
        <v>1840</v>
      </c>
      <c r="I6992">
        <v>16</v>
      </c>
      <c r="J6992">
        <f>IF($H6992=0,1,IF($I6992&lt;=1,2,0))</f>
        <v>0</v>
      </c>
      <c r="K6992">
        <v>0</v>
      </c>
      <c r="L6992">
        <f>IF(AND($J6992=0,$K6992=0),0,1)</f>
        <v>0</v>
      </c>
    </row>
    <row r="6993" spans="1:12" x14ac:dyDescent="0.2">
      <c r="A6993" t="s">
        <v>730</v>
      </c>
      <c r="B6993" t="s">
        <v>386</v>
      </c>
      <c r="C6993" t="s">
        <v>407</v>
      </c>
      <c r="D6993">
        <v>6160</v>
      </c>
      <c r="E6993">
        <v>2021</v>
      </c>
      <c r="F6993">
        <v>1</v>
      </c>
      <c r="G6993">
        <v>16142</v>
      </c>
      <c r="H6993" s="1">
        <v>3</v>
      </c>
      <c r="I6993">
        <v>18</v>
      </c>
      <c r="J6993">
        <f>IF($H6993=0,1,IF($I6993&lt;=1,2,0))</f>
        <v>0</v>
      </c>
      <c r="K6993">
        <v>0</v>
      </c>
      <c r="L6993">
        <f>IF(AND($J6993=0,$K6993=0),0,1)</f>
        <v>0</v>
      </c>
    </row>
    <row r="6994" spans="1:12" x14ac:dyDescent="0.2">
      <c r="A6994" t="s">
        <v>730</v>
      </c>
      <c r="B6994" t="s">
        <v>386</v>
      </c>
      <c r="C6994" t="s">
        <v>407</v>
      </c>
      <c r="D6994">
        <v>6200</v>
      </c>
      <c r="E6994">
        <v>2021</v>
      </c>
      <c r="F6994">
        <v>1</v>
      </c>
      <c r="G6994">
        <v>11224</v>
      </c>
      <c r="H6994" s="1">
        <v>3</v>
      </c>
      <c r="I6994">
        <v>9</v>
      </c>
      <c r="J6994">
        <f>IF($H6994=0,1,IF($I6994&lt;=1,2,0))</f>
        <v>0</v>
      </c>
      <c r="K6994">
        <v>0</v>
      </c>
      <c r="L6994">
        <f>IF(AND($J6994=0,$K6994=0),0,1)</f>
        <v>0</v>
      </c>
    </row>
    <row r="6995" spans="1:12" x14ac:dyDescent="0.2">
      <c r="A6995" t="s">
        <v>730</v>
      </c>
      <c r="B6995" t="s">
        <v>386</v>
      </c>
      <c r="C6995" t="s">
        <v>407</v>
      </c>
      <c r="D6995">
        <v>6300</v>
      </c>
      <c r="E6995">
        <v>2021</v>
      </c>
      <c r="F6995">
        <v>1</v>
      </c>
      <c r="G6995">
        <v>11225</v>
      </c>
      <c r="H6995" s="1">
        <v>3</v>
      </c>
      <c r="I6995">
        <v>6</v>
      </c>
      <c r="J6995">
        <f>IF($H6995=0,1,IF($I6995&lt;=1,2,0))</f>
        <v>0</v>
      </c>
      <c r="K6995">
        <v>0</v>
      </c>
      <c r="L6995">
        <f>IF(AND($J6995=0,$K6995=0),0,1)</f>
        <v>0</v>
      </c>
    </row>
    <row r="6996" spans="1:12" x14ac:dyDescent="0.2">
      <c r="A6996" t="s">
        <v>730</v>
      </c>
      <c r="B6996" t="s">
        <v>386</v>
      </c>
      <c r="C6996" t="s">
        <v>407</v>
      </c>
      <c r="D6996">
        <v>6410</v>
      </c>
      <c r="E6996">
        <v>2021</v>
      </c>
      <c r="F6996">
        <v>1</v>
      </c>
      <c r="G6996">
        <v>11228</v>
      </c>
      <c r="H6996" s="1">
        <v>3</v>
      </c>
      <c r="I6996">
        <v>6</v>
      </c>
      <c r="J6996">
        <f>IF($H6996=0,1,IF($I6996&lt;=1,2,0))</f>
        <v>0</v>
      </c>
      <c r="K6996">
        <v>0</v>
      </c>
      <c r="L6996">
        <f>IF(AND($J6996=0,$K6996=0),0,1)</f>
        <v>0</v>
      </c>
    </row>
    <row r="6997" spans="1:12" x14ac:dyDescent="0.2">
      <c r="A6997" t="s">
        <v>730</v>
      </c>
      <c r="B6997" t="s">
        <v>386</v>
      </c>
      <c r="C6997" t="s">
        <v>407</v>
      </c>
      <c r="D6997">
        <v>6500</v>
      </c>
      <c r="E6997">
        <v>2021</v>
      </c>
      <c r="F6997">
        <v>1</v>
      </c>
      <c r="G6997">
        <v>11229</v>
      </c>
      <c r="H6997" s="1">
        <v>3</v>
      </c>
      <c r="I6997">
        <v>10</v>
      </c>
      <c r="J6997">
        <f>IF($H6997=0,1,IF($I6997&lt;=1,2,0))</f>
        <v>0</v>
      </c>
      <c r="K6997">
        <v>0</v>
      </c>
      <c r="L6997">
        <f>IF(AND($J6997=0,$K6997=0),0,1)</f>
        <v>0</v>
      </c>
    </row>
    <row r="6998" spans="1:12" x14ac:dyDescent="0.2">
      <c r="A6998" t="s">
        <v>730</v>
      </c>
      <c r="B6998" t="s">
        <v>386</v>
      </c>
      <c r="C6998" t="s">
        <v>407</v>
      </c>
      <c r="D6998">
        <v>6505</v>
      </c>
      <c r="E6998">
        <v>2021</v>
      </c>
      <c r="F6998">
        <v>1</v>
      </c>
      <c r="G6998">
        <v>18538</v>
      </c>
      <c r="H6998" s="1" t="s">
        <v>1831</v>
      </c>
      <c r="I6998">
        <v>3</v>
      </c>
      <c r="J6998">
        <f>IF($H6998=0,1,IF($I6998&lt;=1,2,0))</f>
        <v>0</v>
      </c>
      <c r="K6998">
        <v>0</v>
      </c>
      <c r="L6998">
        <f>IF(AND($J6998=0,$K6998=0),0,1)</f>
        <v>0</v>
      </c>
    </row>
    <row r="6999" spans="1:12" x14ac:dyDescent="0.2">
      <c r="A6999" t="s">
        <v>730</v>
      </c>
      <c r="B6999" t="s">
        <v>386</v>
      </c>
      <c r="C6999" t="s">
        <v>407</v>
      </c>
      <c r="D6999">
        <v>6514</v>
      </c>
      <c r="E6999">
        <v>2021</v>
      </c>
      <c r="F6999">
        <v>1</v>
      </c>
      <c r="G6999">
        <v>16143</v>
      </c>
      <c r="H6999" s="1">
        <v>2</v>
      </c>
      <c r="I6999">
        <v>18</v>
      </c>
      <c r="J6999">
        <f>IF($H6999=0,1,IF($I6999&lt;=1,2,0))</f>
        <v>0</v>
      </c>
      <c r="K6999">
        <v>0</v>
      </c>
      <c r="L6999">
        <f>IF(AND($J6999=0,$K6999=0),0,1)</f>
        <v>0</v>
      </c>
    </row>
    <row r="7000" spans="1:12" x14ac:dyDescent="0.2">
      <c r="A7000" t="s">
        <v>730</v>
      </c>
      <c r="B7000" t="s">
        <v>386</v>
      </c>
      <c r="C7000" t="s">
        <v>407</v>
      </c>
      <c r="D7000">
        <v>6517</v>
      </c>
      <c r="E7000">
        <v>2021</v>
      </c>
      <c r="F7000">
        <v>1</v>
      </c>
      <c r="G7000">
        <v>17471</v>
      </c>
      <c r="H7000" s="1">
        <v>2</v>
      </c>
      <c r="I7000">
        <v>8</v>
      </c>
      <c r="J7000">
        <f>IF($H7000=0,1,IF($I7000&lt;=1,2,0))</f>
        <v>0</v>
      </c>
      <c r="K7000">
        <v>0</v>
      </c>
      <c r="L7000">
        <f>IF(AND($J7000=0,$K7000=0),0,1)</f>
        <v>0</v>
      </c>
    </row>
    <row r="7001" spans="1:12" x14ac:dyDescent="0.2">
      <c r="A7001" t="s">
        <v>730</v>
      </c>
      <c r="B7001" t="s">
        <v>386</v>
      </c>
      <c r="C7001" t="s">
        <v>407</v>
      </c>
      <c r="D7001">
        <v>6517</v>
      </c>
      <c r="E7001">
        <v>2021</v>
      </c>
      <c r="F7001">
        <v>2</v>
      </c>
      <c r="G7001">
        <v>17474</v>
      </c>
      <c r="H7001" s="1">
        <v>2</v>
      </c>
      <c r="I7001">
        <v>8</v>
      </c>
      <c r="J7001">
        <f>IF($H7001=0,1,IF($I7001&lt;=1,2,0))</f>
        <v>0</v>
      </c>
      <c r="K7001">
        <v>0</v>
      </c>
      <c r="L7001">
        <f>IF(AND($J7001=0,$K7001=0),0,1)</f>
        <v>0</v>
      </c>
    </row>
    <row r="7002" spans="1:12" x14ac:dyDescent="0.2">
      <c r="A7002" t="s">
        <v>730</v>
      </c>
      <c r="B7002" t="s">
        <v>386</v>
      </c>
      <c r="C7002" t="s">
        <v>407</v>
      </c>
      <c r="D7002">
        <v>6518</v>
      </c>
      <c r="E7002">
        <v>2021</v>
      </c>
      <c r="F7002">
        <v>1</v>
      </c>
      <c r="G7002">
        <v>17477</v>
      </c>
      <c r="H7002" s="1">
        <v>1</v>
      </c>
      <c r="I7002">
        <v>18</v>
      </c>
      <c r="J7002">
        <f>IF($H7002=0,1,IF($I7002&lt;=1,2,0))</f>
        <v>0</v>
      </c>
      <c r="K7002">
        <v>0</v>
      </c>
      <c r="L7002">
        <f>IF(AND($J7002=0,$K7002=0),0,1)</f>
        <v>0</v>
      </c>
    </row>
    <row r="7003" spans="1:12" x14ac:dyDescent="0.2">
      <c r="A7003" t="s">
        <v>730</v>
      </c>
      <c r="B7003" t="s">
        <v>386</v>
      </c>
      <c r="C7003" t="s">
        <v>407</v>
      </c>
      <c r="D7003">
        <v>6560</v>
      </c>
      <c r="E7003">
        <v>2021</v>
      </c>
      <c r="F7003">
        <v>1</v>
      </c>
      <c r="G7003">
        <v>16144</v>
      </c>
      <c r="H7003" s="1">
        <v>1</v>
      </c>
      <c r="I7003">
        <v>18</v>
      </c>
      <c r="J7003">
        <f>IF($H7003=0,1,IF($I7003&lt;=1,2,0))</f>
        <v>0</v>
      </c>
      <c r="K7003">
        <v>0</v>
      </c>
      <c r="L7003">
        <f>IF(AND($J7003=0,$K7003=0),0,1)</f>
        <v>0</v>
      </c>
    </row>
    <row r="7004" spans="1:12" x14ac:dyDescent="0.2">
      <c r="A7004" t="s">
        <v>730</v>
      </c>
      <c r="B7004" t="s">
        <v>386</v>
      </c>
      <c r="C7004" t="s">
        <v>407</v>
      </c>
      <c r="D7004">
        <v>6562</v>
      </c>
      <c r="E7004">
        <v>2021</v>
      </c>
      <c r="F7004">
        <v>1</v>
      </c>
      <c r="G7004">
        <v>17540</v>
      </c>
      <c r="H7004" s="1">
        <v>1</v>
      </c>
      <c r="I7004">
        <v>16</v>
      </c>
      <c r="J7004">
        <f>IF($H7004=0,1,IF($I7004&lt;=1,2,0))</f>
        <v>0</v>
      </c>
      <c r="K7004">
        <v>0</v>
      </c>
      <c r="L7004">
        <f>IF(AND($J7004=0,$K7004=0),0,1)</f>
        <v>0</v>
      </c>
    </row>
    <row r="7005" spans="1:12" x14ac:dyDescent="0.2">
      <c r="A7005" t="s">
        <v>730</v>
      </c>
      <c r="B7005" t="s">
        <v>386</v>
      </c>
      <c r="C7005" t="s">
        <v>407</v>
      </c>
      <c r="D7005">
        <v>6580</v>
      </c>
      <c r="E7005">
        <v>2021</v>
      </c>
      <c r="F7005">
        <v>1</v>
      </c>
      <c r="G7005">
        <v>12123</v>
      </c>
      <c r="H7005" s="1">
        <v>3</v>
      </c>
      <c r="I7005">
        <v>10</v>
      </c>
      <c r="J7005">
        <f>IF($H7005=0,1,IF($I7005&lt;=1,2,0))</f>
        <v>0</v>
      </c>
      <c r="K7005">
        <v>0</v>
      </c>
      <c r="L7005">
        <f>IF(AND($J7005=0,$K7005=0),0,1)</f>
        <v>0</v>
      </c>
    </row>
    <row r="7006" spans="1:12" x14ac:dyDescent="0.2">
      <c r="A7006" t="s">
        <v>730</v>
      </c>
      <c r="B7006" t="s">
        <v>386</v>
      </c>
      <c r="C7006" t="s">
        <v>34</v>
      </c>
      <c r="D7006">
        <v>6610</v>
      </c>
      <c r="E7006">
        <v>2021</v>
      </c>
      <c r="F7006">
        <v>1</v>
      </c>
      <c r="G7006">
        <v>12126</v>
      </c>
      <c r="H7006" s="1">
        <v>3</v>
      </c>
      <c r="I7006">
        <v>8</v>
      </c>
      <c r="J7006">
        <f>IF($H7006=0,1,IF($I7006&lt;=1,2,0))</f>
        <v>0</v>
      </c>
      <c r="K7006">
        <v>0</v>
      </c>
      <c r="L7006">
        <f>IF(AND($J7006=0,$K7006=0),0,1)</f>
        <v>0</v>
      </c>
    </row>
    <row r="7007" spans="1:12" x14ac:dyDescent="0.2">
      <c r="A7007" t="s">
        <v>730</v>
      </c>
      <c r="B7007" t="s">
        <v>386</v>
      </c>
      <c r="C7007" t="s">
        <v>407</v>
      </c>
      <c r="D7007">
        <v>6620</v>
      </c>
      <c r="E7007">
        <v>2021</v>
      </c>
      <c r="F7007">
        <v>1</v>
      </c>
      <c r="G7007">
        <v>12132</v>
      </c>
      <c r="H7007" s="1">
        <v>3</v>
      </c>
      <c r="I7007">
        <v>8</v>
      </c>
      <c r="J7007">
        <f>IF($H7007=0,1,IF($I7007&lt;=1,2,0))</f>
        <v>0</v>
      </c>
      <c r="K7007">
        <v>0</v>
      </c>
      <c r="L7007">
        <f>IF(AND($J7007=0,$K7007=0),0,1)</f>
        <v>0</v>
      </c>
    </row>
    <row r="7008" spans="1:12" x14ac:dyDescent="0.2">
      <c r="A7008" t="s">
        <v>730</v>
      </c>
      <c r="B7008" t="s">
        <v>386</v>
      </c>
      <c r="C7008" t="s">
        <v>407</v>
      </c>
      <c r="D7008">
        <v>6630</v>
      </c>
      <c r="E7008">
        <v>2021</v>
      </c>
      <c r="F7008">
        <v>1</v>
      </c>
      <c r="G7008">
        <v>12127</v>
      </c>
      <c r="H7008" s="1">
        <v>3</v>
      </c>
      <c r="I7008">
        <v>8</v>
      </c>
      <c r="J7008">
        <f>IF($H7008=0,1,IF($I7008&lt;=1,2,0))</f>
        <v>0</v>
      </c>
      <c r="K7008">
        <v>0</v>
      </c>
      <c r="L7008">
        <f>IF(AND($J7008=0,$K7008=0),0,1)</f>
        <v>0</v>
      </c>
    </row>
    <row r="7009" spans="1:12" x14ac:dyDescent="0.2">
      <c r="A7009" t="s">
        <v>730</v>
      </c>
      <c r="B7009" t="s">
        <v>386</v>
      </c>
      <c r="C7009" t="s">
        <v>407</v>
      </c>
      <c r="D7009">
        <v>6700</v>
      </c>
      <c r="E7009">
        <v>2021</v>
      </c>
      <c r="F7009">
        <v>1</v>
      </c>
      <c r="G7009">
        <v>12128</v>
      </c>
      <c r="H7009" s="1">
        <v>3</v>
      </c>
      <c r="I7009">
        <v>10</v>
      </c>
      <c r="J7009">
        <f>IF($H7009=0,1,IF($I7009&lt;=1,2,0))</f>
        <v>0</v>
      </c>
      <c r="K7009">
        <v>0</v>
      </c>
      <c r="L7009">
        <f>IF(AND($J7009=0,$K7009=0),0,1)</f>
        <v>0</v>
      </c>
    </row>
    <row r="7010" spans="1:12" x14ac:dyDescent="0.2">
      <c r="A7010" t="s">
        <v>730</v>
      </c>
      <c r="B7010" t="s">
        <v>386</v>
      </c>
      <c r="C7010" t="s">
        <v>407</v>
      </c>
      <c r="D7010">
        <v>6700</v>
      </c>
      <c r="E7010">
        <v>2021</v>
      </c>
      <c r="F7010">
        <v>2</v>
      </c>
      <c r="G7010">
        <v>12155</v>
      </c>
      <c r="H7010" s="1">
        <v>3</v>
      </c>
      <c r="I7010">
        <v>9</v>
      </c>
      <c r="J7010">
        <f>IF($H7010=0,1,IF($I7010&lt;=1,2,0))</f>
        <v>0</v>
      </c>
      <c r="K7010">
        <v>0</v>
      </c>
      <c r="L7010">
        <f>IF(AND($J7010=0,$K7010=0),0,1)</f>
        <v>0</v>
      </c>
    </row>
    <row r="7011" spans="1:12" x14ac:dyDescent="0.2">
      <c r="A7011" t="s">
        <v>730</v>
      </c>
      <c r="B7011" t="s">
        <v>386</v>
      </c>
      <c r="C7011" t="s">
        <v>407</v>
      </c>
      <c r="D7011">
        <v>6720</v>
      </c>
      <c r="E7011">
        <v>2021</v>
      </c>
      <c r="F7011">
        <v>1</v>
      </c>
      <c r="G7011">
        <v>12156</v>
      </c>
      <c r="H7011" s="1">
        <v>3</v>
      </c>
      <c r="I7011">
        <v>10</v>
      </c>
      <c r="J7011">
        <f>IF($H7011=0,1,IF($I7011&lt;=1,2,0))</f>
        <v>0</v>
      </c>
      <c r="K7011">
        <v>0</v>
      </c>
      <c r="L7011">
        <f>IF(AND($J7011=0,$K7011=0),0,1)</f>
        <v>0</v>
      </c>
    </row>
    <row r="7012" spans="1:12" x14ac:dyDescent="0.2">
      <c r="A7012" t="s">
        <v>730</v>
      </c>
      <c r="B7012" t="s">
        <v>386</v>
      </c>
      <c r="C7012" t="s">
        <v>407</v>
      </c>
      <c r="D7012">
        <v>6730</v>
      </c>
      <c r="E7012">
        <v>2021</v>
      </c>
      <c r="F7012">
        <v>1</v>
      </c>
      <c r="G7012">
        <v>12882</v>
      </c>
      <c r="H7012" s="1">
        <v>3</v>
      </c>
      <c r="I7012">
        <v>11</v>
      </c>
      <c r="J7012">
        <f>IF($H7012=0,1,IF($I7012&lt;=1,2,0))</f>
        <v>0</v>
      </c>
      <c r="K7012">
        <v>0</v>
      </c>
      <c r="L7012">
        <f>IF(AND($J7012=0,$K7012=0),0,1)</f>
        <v>0</v>
      </c>
    </row>
    <row r="7013" spans="1:12" x14ac:dyDescent="0.2">
      <c r="A7013" t="s">
        <v>730</v>
      </c>
      <c r="B7013" t="s">
        <v>386</v>
      </c>
      <c r="C7013" t="s">
        <v>407</v>
      </c>
      <c r="D7013">
        <v>6750</v>
      </c>
      <c r="E7013">
        <v>2021</v>
      </c>
      <c r="F7013">
        <v>1</v>
      </c>
      <c r="G7013">
        <v>12570</v>
      </c>
      <c r="H7013" s="1">
        <v>1.5</v>
      </c>
      <c r="I7013">
        <v>10</v>
      </c>
      <c r="J7013">
        <f>IF($H7013=0,1,IF($I7013&lt;=1,2,0))</f>
        <v>0</v>
      </c>
      <c r="K7013">
        <v>0</v>
      </c>
      <c r="L7013">
        <f>IF(AND($J7013=0,$K7013=0),0,1)</f>
        <v>0</v>
      </c>
    </row>
    <row r="7014" spans="1:12" x14ac:dyDescent="0.2">
      <c r="A7014" t="s">
        <v>730</v>
      </c>
      <c r="B7014" t="s">
        <v>386</v>
      </c>
      <c r="C7014" t="s">
        <v>407</v>
      </c>
      <c r="D7014">
        <v>6770</v>
      </c>
      <c r="E7014">
        <v>2021</v>
      </c>
      <c r="F7014">
        <v>1</v>
      </c>
      <c r="G7014">
        <v>12129</v>
      </c>
      <c r="H7014" s="1">
        <v>3</v>
      </c>
      <c r="I7014">
        <v>10</v>
      </c>
      <c r="J7014">
        <f>IF($H7014=0,1,IF($I7014&lt;=1,2,0))</f>
        <v>0</v>
      </c>
      <c r="K7014">
        <v>0</v>
      </c>
      <c r="L7014">
        <f>IF(AND($J7014=0,$K7014=0),0,1)</f>
        <v>0</v>
      </c>
    </row>
    <row r="7015" spans="1:12" x14ac:dyDescent="0.2">
      <c r="A7015" t="s">
        <v>730</v>
      </c>
      <c r="B7015" t="s">
        <v>386</v>
      </c>
      <c r="C7015" t="s">
        <v>407</v>
      </c>
      <c r="D7015">
        <v>8040</v>
      </c>
      <c r="E7015">
        <v>2021</v>
      </c>
      <c r="F7015">
        <v>1</v>
      </c>
      <c r="G7015">
        <v>12130</v>
      </c>
      <c r="H7015" s="1">
        <v>3</v>
      </c>
      <c r="I7015">
        <v>33</v>
      </c>
      <c r="J7015">
        <f>IF($H7015=0,1,IF($I7015&lt;=1,2,0))</f>
        <v>0</v>
      </c>
      <c r="K7015">
        <v>0</v>
      </c>
      <c r="L7015">
        <f>IF(AND($J7015=0,$K7015=0),0,1)</f>
        <v>0</v>
      </c>
    </row>
    <row r="7016" spans="1:12" x14ac:dyDescent="0.2">
      <c r="A7016" t="s">
        <v>730</v>
      </c>
      <c r="B7016" t="s">
        <v>386</v>
      </c>
      <c r="C7016" t="s">
        <v>407</v>
      </c>
      <c r="D7016">
        <v>8050</v>
      </c>
      <c r="E7016">
        <v>2021</v>
      </c>
      <c r="F7016">
        <v>2</v>
      </c>
      <c r="G7016">
        <v>16150</v>
      </c>
      <c r="H7016" s="1">
        <v>3</v>
      </c>
      <c r="I7016">
        <v>16</v>
      </c>
      <c r="J7016">
        <f>IF($H7016=0,1,IF($I7016&lt;=1,2,0))</f>
        <v>0</v>
      </c>
      <c r="K7016">
        <v>0</v>
      </c>
      <c r="L7016">
        <f>IF(AND($J7016=0,$K7016=0),0,1)</f>
        <v>0</v>
      </c>
    </row>
    <row r="7017" spans="1:12" x14ac:dyDescent="0.2">
      <c r="A7017" t="s">
        <v>730</v>
      </c>
      <c r="B7017" t="s">
        <v>386</v>
      </c>
      <c r="C7017" t="s">
        <v>407</v>
      </c>
      <c r="D7017">
        <v>8050</v>
      </c>
      <c r="E7017">
        <v>2021</v>
      </c>
      <c r="F7017">
        <v>1</v>
      </c>
      <c r="G7017">
        <v>16149</v>
      </c>
      <c r="H7017" s="1">
        <v>3</v>
      </c>
      <c r="I7017">
        <v>15</v>
      </c>
      <c r="J7017">
        <f>IF($H7017=0,1,IF($I7017&lt;=1,2,0))</f>
        <v>0</v>
      </c>
      <c r="K7017">
        <v>0</v>
      </c>
      <c r="L7017">
        <f>IF(AND($J7017=0,$K7017=0),0,1)</f>
        <v>0</v>
      </c>
    </row>
    <row r="7018" spans="1:12" x14ac:dyDescent="0.2">
      <c r="A7018" t="s">
        <v>730</v>
      </c>
      <c r="B7018" t="s">
        <v>386</v>
      </c>
      <c r="C7018" t="s">
        <v>407</v>
      </c>
      <c r="D7018">
        <v>8060</v>
      </c>
      <c r="E7018">
        <v>2021</v>
      </c>
      <c r="F7018">
        <v>1</v>
      </c>
      <c r="G7018">
        <v>16146</v>
      </c>
      <c r="H7018" s="1">
        <v>3</v>
      </c>
      <c r="I7018">
        <v>18</v>
      </c>
      <c r="J7018">
        <f>IF($H7018=0,1,IF($I7018&lt;=1,2,0))</f>
        <v>0</v>
      </c>
      <c r="K7018">
        <v>0</v>
      </c>
      <c r="L7018">
        <f>IF(AND($J7018=0,$K7018=0),0,1)</f>
        <v>0</v>
      </c>
    </row>
    <row r="7019" spans="1:12" x14ac:dyDescent="0.2">
      <c r="A7019" t="s">
        <v>730</v>
      </c>
      <c r="B7019" t="s">
        <v>386</v>
      </c>
      <c r="C7019" t="s">
        <v>407</v>
      </c>
      <c r="D7019">
        <v>8070</v>
      </c>
      <c r="E7019">
        <v>2021</v>
      </c>
      <c r="F7019">
        <v>1</v>
      </c>
      <c r="G7019">
        <v>12133</v>
      </c>
      <c r="H7019" s="1">
        <v>3</v>
      </c>
      <c r="I7019">
        <v>11</v>
      </c>
      <c r="J7019">
        <f>IF($H7019=0,1,IF($I7019&lt;=1,2,0))</f>
        <v>0</v>
      </c>
      <c r="K7019">
        <v>0</v>
      </c>
      <c r="L7019">
        <f>IF(AND($J7019=0,$K7019=0),0,1)</f>
        <v>0</v>
      </c>
    </row>
    <row r="7020" spans="1:12" x14ac:dyDescent="0.2">
      <c r="A7020" t="s">
        <v>730</v>
      </c>
      <c r="B7020" t="s">
        <v>386</v>
      </c>
      <c r="C7020" t="s">
        <v>407</v>
      </c>
      <c r="D7020">
        <v>8080</v>
      </c>
      <c r="E7020">
        <v>2021</v>
      </c>
      <c r="F7020">
        <v>1</v>
      </c>
      <c r="G7020">
        <v>12134</v>
      </c>
      <c r="H7020" s="1">
        <v>3</v>
      </c>
      <c r="I7020">
        <v>23</v>
      </c>
      <c r="J7020">
        <f>IF($H7020=0,1,IF($I7020&lt;=1,2,0))</f>
        <v>0</v>
      </c>
      <c r="K7020">
        <v>0</v>
      </c>
      <c r="L7020">
        <f>IF(AND($J7020=0,$K7020=0),0,1)</f>
        <v>0</v>
      </c>
    </row>
    <row r="7021" spans="1:12" x14ac:dyDescent="0.2">
      <c r="A7021" t="s">
        <v>730</v>
      </c>
      <c r="B7021" t="s">
        <v>386</v>
      </c>
      <c r="C7021" t="s">
        <v>407</v>
      </c>
      <c r="D7021">
        <v>8110</v>
      </c>
      <c r="E7021">
        <v>2021</v>
      </c>
      <c r="F7021">
        <v>1</v>
      </c>
      <c r="G7021">
        <v>16151</v>
      </c>
      <c r="H7021" s="1">
        <v>3</v>
      </c>
      <c r="I7021">
        <v>15</v>
      </c>
      <c r="J7021">
        <f>IF($H7021=0,1,IF($I7021&lt;=1,2,0))</f>
        <v>0</v>
      </c>
      <c r="K7021">
        <v>0</v>
      </c>
      <c r="L7021">
        <f>IF(AND($J7021=0,$K7021=0),0,1)</f>
        <v>0</v>
      </c>
    </row>
    <row r="7022" spans="1:12" x14ac:dyDescent="0.2">
      <c r="A7022" t="s">
        <v>730</v>
      </c>
      <c r="B7022" t="s">
        <v>386</v>
      </c>
      <c r="C7022" t="s">
        <v>407</v>
      </c>
      <c r="D7022">
        <v>8110</v>
      </c>
      <c r="E7022">
        <v>2021</v>
      </c>
      <c r="F7022">
        <v>2</v>
      </c>
      <c r="G7022">
        <v>12135</v>
      </c>
      <c r="H7022" s="1">
        <v>3</v>
      </c>
      <c r="I7022">
        <v>6</v>
      </c>
      <c r="J7022">
        <f>IF($H7022=0,1,IF($I7022&lt;=1,2,0))</f>
        <v>0</v>
      </c>
      <c r="K7022">
        <v>0</v>
      </c>
      <c r="L7022">
        <f>IF(AND($J7022=0,$K7022=0),0,1)</f>
        <v>0</v>
      </c>
    </row>
    <row r="7023" spans="1:12" x14ac:dyDescent="0.2">
      <c r="A7023" t="s">
        <v>730</v>
      </c>
      <c r="B7023" t="s">
        <v>386</v>
      </c>
      <c r="C7023" t="s">
        <v>407</v>
      </c>
      <c r="D7023">
        <v>8150</v>
      </c>
      <c r="E7023">
        <v>2021</v>
      </c>
      <c r="F7023">
        <v>1</v>
      </c>
      <c r="G7023">
        <v>16152</v>
      </c>
      <c r="H7023" s="1">
        <v>2</v>
      </c>
      <c r="I7023">
        <v>15</v>
      </c>
      <c r="J7023">
        <f>IF($H7023=0,1,IF($I7023&lt;=1,2,0))</f>
        <v>0</v>
      </c>
      <c r="K7023">
        <v>0</v>
      </c>
      <c r="L7023">
        <f>IF(AND($J7023=0,$K7023=0),0,1)</f>
        <v>0</v>
      </c>
    </row>
    <row r="7024" spans="1:12" x14ac:dyDescent="0.2">
      <c r="A7024" t="s">
        <v>730</v>
      </c>
      <c r="B7024" t="s">
        <v>386</v>
      </c>
      <c r="C7024" t="s">
        <v>407</v>
      </c>
      <c r="D7024">
        <v>8350</v>
      </c>
      <c r="E7024">
        <v>2021</v>
      </c>
      <c r="F7024">
        <v>1</v>
      </c>
      <c r="G7024">
        <v>12164</v>
      </c>
      <c r="H7024" s="1">
        <v>3</v>
      </c>
      <c r="I7024">
        <v>7</v>
      </c>
      <c r="J7024">
        <f>IF($H7024=0,1,IF($I7024&lt;=1,2,0))</f>
        <v>0</v>
      </c>
      <c r="K7024">
        <v>0</v>
      </c>
      <c r="L7024">
        <f>IF(AND($J7024=0,$K7024=0),0,1)</f>
        <v>0</v>
      </c>
    </row>
    <row r="7025" spans="1:13" x14ac:dyDescent="0.2">
      <c r="A7025" t="s">
        <v>730</v>
      </c>
      <c r="B7025" t="s">
        <v>386</v>
      </c>
      <c r="C7025" t="s">
        <v>407</v>
      </c>
      <c r="D7025">
        <v>8360</v>
      </c>
      <c r="E7025">
        <v>2021</v>
      </c>
      <c r="F7025">
        <v>1</v>
      </c>
      <c r="G7025">
        <v>12163</v>
      </c>
      <c r="H7025" s="1">
        <v>3</v>
      </c>
      <c r="I7025">
        <v>7</v>
      </c>
      <c r="J7025">
        <f>IF($H7025=0,1,IF($I7025&lt;=1,2,0))</f>
        <v>0</v>
      </c>
      <c r="K7025">
        <v>0</v>
      </c>
      <c r="L7025">
        <f>IF(AND($J7025=0,$K7025=0),0,1)</f>
        <v>0</v>
      </c>
    </row>
    <row r="7026" spans="1:13" x14ac:dyDescent="0.2">
      <c r="A7026" t="s">
        <v>730</v>
      </c>
      <c r="B7026" t="s">
        <v>386</v>
      </c>
      <c r="C7026" t="s">
        <v>407</v>
      </c>
      <c r="D7026">
        <v>8410</v>
      </c>
      <c r="E7026">
        <v>2021</v>
      </c>
      <c r="F7026">
        <v>1</v>
      </c>
      <c r="G7026">
        <v>18288</v>
      </c>
      <c r="H7026" s="1">
        <v>3</v>
      </c>
      <c r="I7026">
        <v>7</v>
      </c>
      <c r="J7026">
        <f>IF($H7026=0,1,IF($I7026&lt;=1,2,0))</f>
        <v>0</v>
      </c>
      <c r="K7026">
        <v>0</v>
      </c>
      <c r="L7026">
        <f>IF(AND($J7026=0,$K7026=0),0,1)</f>
        <v>0</v>
      </c>
    </row>
    <row r="7027" spans="1:13" x14ac:dyDescent="0.2">
      <c r="A7027" t="s">
        <v>730</v>
      </c>
      <c r="B7027" t="s">
        <v>386</v>
      </c>
      <c r="C7027" t="s">
        <v>407</v>
      </c>
      <c r="D7027">
        <v>8510</v>
      </c>
      <c r="E7027">
        <v>2021</v>
      </c>
      <c r="F7027">
        <v>1</v>
      </c>
      <c r="G7027">
        <v>12136</v>
      </c>
      <c r="H7027" s="1">
        <v>3</v>
      </c>
      <c r="I7027">
        <v>10</v>
      </c>
      <c r="J7027">
        <f>IF($H7027=0,1,IF($I7027&lt;=1,2,0))</f>
        <v>0</v>
      </c>
      <c r="K7027">
        <v>0</v>
      </c>
      <c r="L7027">
        <f>IF(AND($J7027=0,$K7027=0),0,1)</f>
        <v>0</v>
      </c>
    </row>
    <row r="7028" spans="1:13" x14ac:dyDescent="0.2">
      <c r="A7028" t="s">
        <v>730</v>
      </c>
      <c r="B7028" t="s">
        <v>386</v>
      </c>
      <c r="C7028" t="s">
        <v>407</v>
      </c>
      <c r="D7028">
        <v>8540</v>
      </c>
      <c r="E7028">
        <v>2021</v>
      </c>
      <c r="F7028">
        <v>1</v>
      </c>
      <c r="G7028">
        <v>12137</v>
      </c>
      <c r="H7028" s="1">
        <v>3</v>
      </c>
      <c r="I7028">
        <v>10</v>
      </c>
      <c r="J7028">
        <f>IF($H7028=0,1,IF($I7028&lt;=1,2,0))</f>
        <v>0</v>
      </c>
      <c r="K7028">
        <v>0</v>
      </c>
      <c r="L7028">
        <f>IF(AND($J7028=0,$K7028=0),0,1)</f>
        <v>0</v>
      </c>
    </row>
    <row r="7029" spans="1:13" x14ac:dyDescent="0.2">
      <c r="A7029" t="s">
        <v>730</v>
      </c>
      <c r="B7029" t="s">
        <v>386</v>
      </c>
      <c r="C7029" t="s">
        <v>407</v>
      </c>
      <c r="D7029">
        <v>8550</v>
      </c>
      <c r="E7029">
        <v>2021</v>
      </c>
      <c r="F7029">
        <v>1</v>
      </c>
      <c r="G7029">
        <v>12166</v>
      </c>
      <c r="H7029" s="1">
        <v>3</v>
      </c>
      <c r="I7029">
        <v>7</v>
      </c>
      <c r="J7029">
        <f>IF($H7029=0,1,IF($I7029&lt;=1,2,0))</f>
        <v>0</v>
      </c>
      <c r="K7029">
        <v>0</v>
      </c>
      <c r="L7029">
        <f>IF(AND($J7029=0,$K7029=0),0,1)</f>
        <v>0</v>
      </c>
    </row>
    <row r="7030" spans="1:13" x14ac:dyDescent="0.2">
      <c r="A7030" t="s">
        <v>730</v>
      </c>
      <c r="B7030" t="s">
        <v>386</v>
      </c>
      <c r="C7030" t="s">
        <v>407</v>
      </c>
      <c r="D7030">
        <v>8560</v>
      </c>
      <c r="E7030">
        <v>2021</v>
      </c>
      <c r="F7030">
        <v>1</v>
      </c>
      <c r="G7030">
        <v>12138</v>
      </c>
      <c r="H7030" s="1">
        <v>3</v>
      </c>
      <c r="I7030">
        <v>10</v>
      </c>
      <c r="J7030">
        <f>IF($H7030=0,1,IF($I7030&lt;=1,2,0))</f>
        <v>0</v>
      </c>
      <c r="K7030">
        <v>0</v>
      </c>
      <c r="L7030">
        <f>IF(AND($J7030=0,$K7030=0),0,1)</f>
        <v>0</v>
      </c>
    </row>
    <row r="7031" spans="1:13" x14ac:dyDescent="0.2">
      <c r="A7031" t="s">
        <v>730</v>
      </c>
      <c r="B7031" t="s">
        <v>386</v>
      </c>
      <c r="C7031" t="s">
        <v>34</v>
      </c>
      <c r="D7031">
        <v>8600</v>
      </c>
      <c r="E7031">
        <v>2021</v>
      </c>
      <c r="F7031">
        <v>1</v>
      </c>
      <c r="G7031">
        <v>12139</v>
      </c>
      <c r="H7031" s="1">
        <v>3</v>
      </c>
      <c r="I7031">
        <v>9</v>
      </c>
      <c r="J7031">
        <f>IF($H7031=0,1,IF($I7031&lt;=1,2,0))</f>
        <v>0</v>
      </c>
      <c r="K7031">
        <v>0</v>
      </c>
      <c r="L7031">
        <f>IF(AND($J7031=0,$K7031=0),0,1)</f>
        <v>0</v>
      </c>
    </row>
    <row r="7032" spans="1:13" x14ac:dyDescent="0.2">
      <c r="A7032" t="s">
        <v>730</v>
      </c>
      <c r="B7032" t="s">
        <v>386</v>
      </c>
      <c r="C7032" t="s">
        <v>407</v>
      </c>
      <c r="D7032">
        <v>8640</v>
      </c>
      <c r="E7032">
        <v>2021</v>
      </c>
      <c r="F7032">
        <v>1</v>
      </c>
      <c r="G7032">
        <v>12141</v>
      </c>
      <c r="H7032" s="1">
        <v>3</v>
      </c>
      <c r="I7032">
        <v>9</v>
      </c>
      <c r="J7032">
        <f>IF($H7032=0,1,IF($I7032&lt;=1,2,0))</f>
        <v>0</v>
      </c>
      <c r="K7032">
        <v>0</v>
      </c>
      <c r="L7032">
        <f>IF(AND($J7032=0,$K7032=0),0,1)</f>
        <v>0</v>
      </c>
    </row>
    <row r="7033" spans="1:13" x14ac:dyDescent="0.2">
      <c r="A7033" t="s">
        <v>730</v>
      </c>
      <c r="B7033" t="s">
        <v>386</v>
      </c>
      <c r="C7033" t="s">
        <v>407</v>
      </c>
      <c r="D7033">
        <v>8650</v>
      </c>
      <c r="E7033">
        <v>2021</v>
      </c>
      <c r="F7033">
        <v>1</v>
      </c>
      <c r="G7033">
        <v>12145</v>
      </c>
      <c r="H7033" s="1" t="s">
        <v>1443</v>
      </c>
      <c r="I7033">
        <v>9</v>
      </c>
      <c r="J7033">
        <f>IF($H7033=0,1,IF($I7033&lt;=1,2,0))</f>
        <v>0</v>
      </c>
      <c r="K7033">
        <v>0</v>
      </c>
      <c r="L7033">
        <f>IF(AND($J7033=0,$K7033=0),0,1)</f>
        <v>0</v>
      </c>
    </row>
    <row r="7034" spans="1:13" x14ac:dyDescent="0.2">
      <c r="A7034" t="s">
        <v>730</v>
      </c>
      <c r="B7034" t="s">
        <v>386</v>
      </c>
      <c r="C7034" t="s">
        <v>407</v>
      </c>
      <c r="D7034">
        <v>8650</v>
      </c>
      <c r="E7034">
        <v>2021</v>
      </c>
      <c r="F7034">
        <v>2</v>
      </c>
      <c r="G7034">
        <v>12146</v>
      </c>
      <c r="H7034" s="1" t="s">
        <v>1443</v>
      </c>
      <c r="I7034">
        <v>9</v>
      </c>
      <c r="J7034">
        <f>IF($H7034=0,1,IF($I7034&lt;=1,2,0))</f>
        <v>0</v>
      </c>
      <c r="K7034">
        <v>0</v>
      </c>
      <c r="L7034">
        <f>IF(AND($J7034=0,$K7034=0),0,1)</f>
        <v>0</v>
      </c>
    </row>
    <row r="7035" spans="1:13" x14ac:dyDescent="0.2">
      <c r="A7035" t="s">
        <v>730</v>
      </c>
      <c r="B7035" t="s">
        <v>386</v>
      </c>
      <c r="C7035" t="s">
        <v>407</v>
      </c>
      <c r="D7035">
        <v>8670</v>
      </c>
      <c r="E7035">
        <v>2021</v>
      </c>
      <c r="F7035">
        <v>2</v>
      </c>
      <c r="G7035">
        <v>12147</v>
      </c>
      <c r="H7035" s="1">
        <v>3</v>
      </c>
      <c r="I7035">
        <v>6</v>
      </c>
      <c r="J7035">
        <f>IF($H7035=0,1,IF($I7035&lt;=1,2,0))</f>
        <v>0</v>
      </c>
      <c r="K7035">
        <v>0</v>
      </c>
      <c r="L7035">
        <f>IF(AND($J7035=0,$K7035=0),0,1)</f>
        <v>0</v>
      </c>
    </row>
    <row r="7036" spans="1:13" x14ac:dyDescent="0.2">
      <c r="A7036" t="s">
        <v>730</v>
      </c>
      <c r="B7036" t="s">
        <v>386</v>
      </c>
      <c r="C7036" t="s">
        <v>407</v>
      </c>
      <c r="D7036">
        <v>8675</v>
      </c>
      <c r="E7036">
        <v>2021</v>
      </c>
      <c r="F7036">
        <v>1</v>
      </c>
      <c r="G7036">
        <v>12148</v>
      </c>
      <c r="H7036" s="1">
        <v>3</v>
      </c>
      <c r="I7036">
        <v>17</v>
      </c>
      <c r="J7036">
        <f>IF($H7036=0,1,IF($I7036&lt;=1,2,0))</f>
        <v>0</v>
      </c>
      <c r="K7036">
        <v>0</v>
      </c>
      <c r="L7036">
        <f>IF(AND($J7036=0,$K7036=0),0,1)</f>
        <v>0</v>
      </c>
    </row>
    <row r="7037" spans="1:13" x14ac:dyDescent="0.2">
      <c r="A7037" t="s">
        <v>730</v>
      </c>
      <c r="B7037" t="s">
        <v>386</v>
      </c>
      <c r="C7037" t="s">
        <v>407</v>
      </c>
      <c r="D7037">
        <v>8710</v>
      </c>
      <c r="E7037">
        <v>2021</v>
      </c>
      <c r="F7037">
        <v>1</v>
      </c>
      <c r="G7037">
        <v>12149</v>
      </c>
      <c r="H7037" s="1">
        <v>3</v>
      </c>
      <c r="I7037">
        <v>10</v>
      </c>
      <c r="J7037">
        <f>IF($H7037=0,1,IF($I7037&lt;=1,2,0))</f>
        <v>0</v>
      </c>
      <c r="K7037">
        <v>0</v>
      </c>
      <c r="L7037">
        <f>IF(AND($J7037=0,$K7037=0),0,1)</f>
        <v>0</v>
      </c>
    </row>
    <row r="7038" spans="1:13" x14ac:dyDescent="0.2">
      <c r="A7038" t="s">
        <v>730</v>
      </c>
      <c r="B7038" t="s">
        <v>386</v>
      </c>
      <c r="C7038" t="s">
        <v>407</v>
      </c>
      <c r="D7038">
        <v>8730</v>
      </c>
      <c r="E7038">
        <v>2021</v>
      </c>
      <c r="F7038">
        <v>1</v>
      </c>
      <c r="G7038">
        <v>12150</v>
      </c>
      <c r="H7038" s="1" t="s">
        <v>1443</v>
      </c>
      <c r="I7038">
        <v>10</v>
      </c>
      <c r="J7038">
        <f>IF($H7038=0,1,IF($I7038&lt;=1,2,0))</f>
        <v>0</v>
      </c>
      <c r="K7038">
        <v>0</v>
      </c>
      <c r="L7038">
        <f>IF(AND($J7038=0,$K7038=0),0,1)</f>
        <v>0</v>
      </c>
      <c r="M7038" t="s">
        <v>1813</v>
      </c>
    </row>
    <row r="7039" spans="1:13" x14ac:dyDescent="0.2">
      <c r="A7039" t="s">
        <v>730</v>
      </c>
      <c r="B7039" t="s">
        <v>386</v>
      </c>
      <c r="C7039" t="s">
        <v>407</v>
      </c>
      <c r="D7039">
        <v>8760</v>
      </c>
      <c r="E7039">
        <v>2021</v>
      </c>
      <c r="F7039">
        <v>1</v>
      </c>
      <c r="G7039">
        <v>12157</v>
      </c>
      <c r="H7039" s="1">
        <v>1.5</v>
      </c>
      <c r="I7039">
        <v>12</v>
      </c>
      <c r="J7039">
        <f>IF($H7039=0,1,IF($I7039&lt;=1,2,0))</f>
        <v>0</v>
      </c>
      <c r="K7039">
        <v>0</v>
      </c>
      <c r="L7039">
        <f>IF(AND($J7039=0,$K7039=0),0,1)</f>
        <v>0</v>
      </c>
    </row>
    <row r="7040" spans="1:13" x14ac:dyDescent="0.2">
      <c r="A7040" t="s">
        <v>730</v>
      </c>
      <c r="B7040" t="s">
        <v>386</v>
      </c>
      <c r="C7040" t="s">
        <v>407</v>
      </c>
      <c r="D7040">
        <v>8770</v>
      </c>
      <c r="E7040">
        <v>2021</v>
      </c>
      <c r="F7040">
        <v>1</v>
      </c>
      <c r="G7040">
        <v>12151</v>
      </c>
      <c r="H7040" s="1">
        <v>3</v>
      </c>
      <c r="I7040">
        <v>10</v>
      </c>
      <c r="J7040">
        <f>IF($H7040=0,1,IF($I7040&lt;=1,2,0))</f>
        <v>0</v>
      </c>
      <c r="K7040">
        <v>0</v>
      </c>
      <c r="L7040">
        <f>IF(AND($J7040=0,$K7040=0),0,1)</f>
        <v>0</v>
      </c>
    </row>
    <row r="7041" spans="1:13" x14ac:dyDescent="0.2">
      <c r="A7041" t="s">
        <v>730</v>
      </c>
      <c r="B7041" t="s">
        <v>386</v>
      </c>
      <c r="C7041" t="s">
        <v>407</v>
      </c>
      <c r="D7041">
        <v>8790</v>
      </c>
      <c r="E7041">
        <v>2021</v>
      </c>
      <c r="F7041">
        <v>1</v>
      </c>
      <c r="G7041">
        <v>12152</v>
      </c>
      <c r="H7041" s="1">
        <v>3</v>
      </c>
      <c r="I7041">
        <v>8</v>
      </c>
      <c r="J7041">
        <f>IF($H7041=0,1,IF($I7041&lt;=1,2,0))</f>
        <v>0</v>
      </c>
      <c r="K7041">
        <v>0</v>
      </c>
      <c r="L7041">
        <f>IF(AND($J7041=0,$K7041=0),0,1)</f>
        <v>0</v>
      </c>
    </row>
    <row r="7042" spans="1:13" x14ac:dyDescent="0.2">
      <c r="A7042" t="s">
        <v>730</v>
      </c>
      <c r="B7042" t="s">
        <v>386</v>
      </c>
      <c r="C7042" t="s">
        <v>407</v>
      </c>
      <c r="D7042">
        <v>8810</v>
      </c>
      <c r="E7042">
        <v>2021</v>
      </c>
      <c r="F7042">
        <v>1</v>
      </c>
      <c r="G7042">
        <v>12153</v>
      </c>
      <c r="H7042" s="1">
        <v>1.5</v>
      </c>
      <c r="I7042">
        <v>11</v>
      </c>
      <c r="J7042">
        <f>IF($H7042=0,1,IF($I7042&lt;=1,2,0))</f>
        <v>0</v>
      </c>
      <c r="K7042">
        <v>0</v>
      </c>
      <c r="L7042">
        <f>IF(AND($J7042=0,$K7042=0),0,1)</f>
        <v>0</v>
      </c>
      <c r="M7042" t="s">
        <v>1814</v>
      </c>
    </row>
    <row r="7043" spans="1:13" x14ac:dyDescent="0.2">
      <c r="A7043" t="s">
        <v>730</v>
      </c>
      <c r="B7043" t="s">
        <v>386</v>
      </c>
      <c r="C7043" t="s">
        <v>407</v>
      </c>
      <c r="D7043">
        <v>8830</v>
      </c>
      <c r="E7043">
        <v>2021</v>
      </c>
      <c r="F7043">
        <v>1</v>
      </c>
      <c r="G7043">
        <v>12154</v>
      </c>
      <c r="H7043" s="1">
        <v>3</v>
      </c>
      <c r="I7043">
        <v>8</v>
      </c>
      <c r="J7043">
        <f>IF($H7043=0,1,IF($I7043&lt;=1,2,0))</f>
        <v>0</v>
      </c>
      <c r="K7043">
        <v>0</v>
      </c>
      <c r="L7043">
        <f>IF(AND($J7043=0,$K7043=0),0,1)</f>
        <v>0</v>
      </c>
    </row>
    <row r="7044" spans="1:13" x14ac:dyDescent="0.2">
      <c r="A7044" t="s">
        <v>739</v>
      </c>
      <c r="B7044" t="s">
        <v>386</v>
      </c>
      <c r="C7044" t="s">
        <v>21</v>
      </c>
      <c r="D7044">
        <v>2022</v>
      </c>
      <c r="E7044">
        <v>2021</v>
      </c>
      <c r="F7044">
        <v>1</v>
      </c>
      <c r="G7044">
        <v>62</v>
      </c>
      <c r="H7044" s="1" t="s">
        <v>1827</v>
      </c>
      <c r="I7044">
        <v>4</v>
      </c>
      <c r="J7044">
        <f>IF($H7044=0,1,IF($I7044&lt;=1,2,0))</f>
        <v>0</v>
      </c>
      <c r="K7044">
        <v>0</v>
      </c>
      <c r="L7044">
        <f>IF(AND($J7044=0,$K7044=0),0,1)</f>
        <v>0</v>
      </c>
      <c r="M7044" t="s">
        <v>1817</v>
      </c>
    </row>
    <row r="7045" spans="1:13" x14ac:dyDescent="0.2">
      <c r="A7045" t="s">
        <v>739</v>
      </c>
      <c r="B7045" t="s">
        <v>386</v>
      </c>
      <c r="C7045" t="s">
        <v>21</v>
      </c>
      <c r="D7045">
        <v>2023</v>
      </c>
      <c r="E7045">
        <v>2021</v>
      </c>
      <c r="F7045">
        <v>1</v>
      </c>
      <c r="G7045">
        <v>63</v>
      </c>
      <c r="H7045" s="1" t="s">
        <v>1827</v>
      </c>
      <c r="I7045">
        <v>8</v>
      </c>
      <c r="J7045">
        <f>IF($H7045=0,1,IF($I7045&lt;=1,2,0))</f>
        <v>0</v>
      </c>
      <c r="K7045">
        <v>0</v>
      </c>
      <c r="L7045">
        <f>IF(AND($J7045=0,$K7045=0),0,1)</f>
        <v>0</v>
      </c>
      <c r="M7045" t="s">
        <v>1817</v>
      </c>
    </row>
    <row r="7046" spans="1:13" x14ac:dyDescent="0.2">
      <c r="A7046" t="s">
        <v>739</v>
      </c>
      <c r="B7046" t="s">
        <v>386</v>
      </c>
      <c r="C7046" t="s">
        <v>21</v>
      </c>
      <c r="D7046">
        <v>2421</v>
      </c>
      <c r="E7046">
        <v>2021</v>
      </c>
      <c r="F7046">
        <v>1</v>
      </c>
      <c r="G7046">
        <v>64</v>
      </c>
      <c r="H7046" s="1">
        <v>3</v>
      </c>
      <c r="I7046">
        <v>8</v>
      </c>
      <c r="J7046">
        <f>IF($H7046=0,1,IF($I7046&lt;=1,2,0))</f>
        <v>0</v>
      </c>
      <c r="K7046">
        <v>0</v>
      </c>
      <c r="L7046">
        <f>IF(AND($J7046=0,$K7046=0),0,1)</f>
        <v>0</v>
      </c>
    </row>
    <row r="7047" spans="1:13" x14ac:dyDescent="0.2">
      <c r="A7047" t="s">
        <v>739</v>
      </c>
      <c r="B7047" t="s">
        <v>386</v>
      </c>
      <c r="C7047" t="s">
        <v>21</v>
      </c>
      <c r="D7047">
        <v>2422</v>
      </c>
      <c r="E7047">
        <v>2021</v>
      </c>
      <c r="F7047">
        <v>1</v>
      </c>
      <c r="G7047">
        <v>65</v>
      </c>
      <c r="H7047" s="1" t="s">
        <v>1827</v>
      </c>
      <c r="I7047">
        <v>5</v>
      </c>
      <c r="J7047">
        <f>IF($H7047=0,1,IF($I7047&lt;=1,2,0))</f>
        <v>0</v>
      </c>
      <c r="K7047">
        <v>0</v>
      </c>
      <c r="L7047">
        <f>IF(AND($J7047=0,$K7047=0),0,1)</f>
        <v>0</v>
      </c>
    </row>
    <row r="7048" spans="1:13" x14ac:dyDescent="0.2">
      <c r="A7048" t="s">
        <v>739</v>
      </c>
      <c r="B7048" t="s">
        <v>386</v>
      </c>
      <c r="C7048" t="s">
        <v>21</v>
      </c>
      <c r="D7048">
        <v>2423</v>
      </c>
      <c r="E7048">
        <v>2021</v>
      </c>
      <c r="F7048">
        <v>1</v>
      </c>
      <c r="G7048">
        <v>66</v>
      </c>
      <c r="H7048" s="1" t="s">
        <v>1827</v>
      </c>
      <c r="I7048">
        <v>6</v>
      </c>
      <c r="J7048">
        <f>IF($H7048=0,1,IF($I7048&lt;=1,2,0))</f>
        <v>0</v>
      </c>
      <c r="K7048">
        <v>0</v>
      </c>
      <c r="L7048">
        <f>IF(AND($J7048=0,$K7048=0),0,1)</f>
        <v>0</v>
      </c>
    </row>
    <row r="7049" spans="1:13" x14ac:dyDescent="0.2">
      <c r="A7049" t="s">
        <v>739</v>
      </c>
      <c r="B7049" t="s">
        <v>386</v>
      </c>
      <c r="C7049" t="s">
        <v>21</v>
      </c>
      <c r="D7049">
        <v>2424</v>
      </c>
      <c r="E7049">
        <v>2021</v>
      </c>
      <c r="F7049">
        <v>1</v>
      </c>
      <c r="G7049">
        <v>67</v>
      </c>
      <c r="H7049" s="1" t="s">
        <v>1827</v>
      </c>
      <c r="I7049">
        <v>5</v>
      </c>
      <c r="J7049">
        <f>IF($H7049=0,1,IF($I7049&lt;=1,2,0))</f>
        <v>0</v>
      </c>
      <c r="K7049">
        <v>0</v>
      </c>
      <c r="L7049">
        <f>IF(AND($J7049=0,$K7049=0),0,1)</f>
        <v>0</v>
      </c>
    </row>
    <row r="7050" spans="1:13" x14ac:dyDescent="0.2">
      <c r="A7050" t="s">
        <v>739</v>
      </c>
      <c r="B7050" t="s">
        <v>386</v>
      </c>
      <c r="C7050" t="s">
        <v>21</v>
      </c>
      <c r="D7050">
        <v>2425</v>
      </c>
      <c r="E7050">
        <v>2021</v>
      </c>
      <c r="F7050">
        <v>1</v>
      </c>
      <c r="G7050">
        <v>68</v>
      </c>
      <c r="H7050" s="1" t="s">
        <v>1827</v>
      </c>
      <c r="I7050">
        <v>7</v>
      </c>
      <c r="J7050">
        <f>IF($H7050=0,1,IF($I7050&lt;=1,2,0))</f>
        <v>0</v>
      </c>
      <c r="K7050">
        <v>0</v>
      </c>
      <c r="L7050">
        <f>IF(AND($J7050=0,$K7050=0),0,1)</f>
        <v>0</v>
      </c>
    </row>
    <row r="7051" spans="1:13" x14ac:dyDescent="0.2">
      <c r="A7051" t="s">
        <v>739</v>
      </c>
      <c r="B7051" t="s">
        <v>386</v>
      </c>
      <c r="C7051" t="s">
        <v>21</v>
      </c>
      <c r="D7051">
        <v>3004</v>
      </c>
      <c r="E7051">
        <v>2021</v>
      </c>
      <c r="F7051">
        <v>1</v>
      </c>
      <c r="G7051">
        <v>70</v>
      </c>
      <c r="H7051" s="1">
        <v>3</v>
      </c>
      <c r="I7051">
        <v>16</v>
      </c>
      <c r="J7051">
        <f>IF($H7051=0,1,IF($I7051&lt;=1,2,0))</f>
        <v>0</v>
      </c>
      <c r="K7051">
        <v>0</v>
      </c>
      <c r="L7051">
        <f>IF(AND($J7051=0,$K7051=0),0,1)</f>
        <v>0</v>
      </c>
    </row>
    <row r="7052" spans="1:13" x14ac:dyDescent="0.2">
      <c r="A7052" t="s">
        <v>739</v>
      </c>
      <c r="B7052" t="s">
        <v>386</v>
      </c>
      <c r="C7052" t="s">
        <v>21</v>
      </c>
      <c r="D7052">
        <v>3004</v>
      </c>
      <c r="E7052">
        <v>2021</v>
      </c>
      <c r="F7052">
        <v>3</v>
      </c>
      <c r="G7052">
        <v>72</v>
      </c>
      <c r="H7052" s="1">
        <v>3</v>
      </c>
      <c r="I7052">
        <v>16</v>
      </c>
      <c r="J7052">
        <f>IF($H7052=0,1,IF($I7052&lt;=1,2,0))</f>
        <v>0</v>
      </c>
      <c r="K7052">
        <v>0</v>
      </c>
      <c r="L7052">
        <f>IF(AND($J7052=0,$K7052=0),0,1)</f>
        <v>0</v>
      </c>
    </row>
    <row r="7053" spans="1:13" x14ac:dyDescent="0.2">
      <c r="A7053" t="s">
        <v>739</v>
      </c>
      <c r="B7053" t="s">
        <v>386</v>
      </c>
      <c r="C7053" t="s">
        <v>21</v>
      </c>
      <c r="D7053">
        <v>3004</v>
      </c>
      <c r="E7053">
        <v>2021</v>
      </c>
      <c r="F7053">
        <v>2</v>
      </c>
      <c r="G7053">
        <v>71</v>
      </c>
      <c r="H7053" s="1">
        <v>3</v>
      </c>
      <c r="I7053">
        <v>14</v>
      </c>
      <c r="J7053">
        <f>IF($H7053=0,1,IF($I7053&lt;=1,2,0))</f>
        <v>0</v>
      </c>
      <c r="K7053">
        <v>0</v>
      </c>
      <c r="L7053">
        <f>IF(AND($J7053=0,$K7053=0),0,1)</f>
        <v>0</v>
      </c>
    </row>
    <row r="7054" spans="1:13" x14ac:dyDescent="0.2">
      <c r="A7054" t="s">
        <v>739</v>
      </c>
      <c r="B7054" t="s">
        <v>386</v>
      </c>
      <c r="C7054" t="s">
        <v>21</v>
      </c>
      <c r="D7054">
        <v>3004</v>
      </c>
      <c r="E7054">
        <v>2021</v>
      </c>
      <c r="F7054">
        <v>4</v>
      </c>
      <c r="G7054">
        <v>835</v>
      </c>
      <c r="H7054" s="1">
        <v>3</v>
      </c>
      <c r="I7054">
        <v>11</v>
      </c>
      <c r="J7054">
        <f>IF($H7054=0,1,IF($I7054&lt;=1,2,0))</f>
        <v>0</v>
      </c>
      <c r="K7054">
        <v>0</v>
      </c>
      <c r="L7054">
        <f>IF(AND($J7054=0,$K7054=0),0,1)</f>
        <v>0</v>
      </c>
    </row>
    <row r="7055" spans="1:13" x14ac:dyDescent="0.2">
      <c r="A7055" t="s">
        <v>739</v>
      </c>
      <c r="B7055" t="s">
        <v>386</v>
      </c>
      <c r="C7055" t="s">
        <v>21</v>
      </c>
      <c r="D7055">
        <v>3005</v>
      </c>
      <c r="E7055">
        <v>2021</v>
      </c>
      <c r="F7055">
        <v>4</v>
      </c>
      <c r="G7055">
        <v>76</v>
      </c>
      <c r="H7055" s="1">
        <v>3</v>
      </c>
      <c r="I7055">
        <v>12</v>
      </c>
      <c r="J7055">
        <f>IF($H7055=0,1,IF($I7055&lt;=1,2,0))</f>
        <v>0</v>
      </c>
      <c r="K7055">
        <v>0</v>
      </c>
      <c r="L7055">
        <f>IF(AND($J7055=0,$K7055=0),0,1)</f>
        <v>0</v>
      </c>
      <c r="M7055" t="s">
        <v>1817</v>
      </c>
    </row>
    <row r="7056" spans="1:13" x14ac:dyDescent="0.2">
      <c r="A7056" t="s">
        <v>739</v>
      </c>
      <c r="B7056" t="s">
        <v>386</v>
      </c>
      <c r="C7056" t="s">
        <v>21</v>
      </c>
      <c r="D7056">
        <v>3005</v>
      </c>
      <c r="E7056">
        <v>2021</v>
      </c>
      <c r="F7056">
        <v>5</v>
      </c>
      <c r="G7056">
        <v>77</v>
      </c>
      <c r="H7056" s="1">
        <v>3</v>
      </c>
      <c r="I7056">
        <v>12</v>
      </c>
      <c r="J7056">
        <f>IF($H7056=0,1,IF($I7056&lt;=1,2,0))</f>
        <v>0</v>
      </c>
      <c r="K7056">
        <v>0</v>
      </c>
      <c r="L7056">
        <f>IF(AND($J7056=0,$K7056=0),0,1)</f>
        <v>0</v>
      </c>
      <c r="M7056" t="s">
        <v>1817</v>
      </c>
    </row>
    <row r="7057" spans="1:13" x14ac:dyDescent="0.2">
      <c r="A7057" t="s">
        <v>739</v>
      </c>
      <c r="B7057" t="s">
        <v>386</v>
      </c>
      <c r="C7057" t="s">
        <v>21</v>
      </c>
      <c r="D7057">
        <v>3005</v>
      </c>
      <c r="E7057">
        <v>2021</v>
      </c>
      <c r="F7057">
        <v>3</v>
      </c>
      <c r="G7057">
        <v>75</v>
      </c>
      <c r="H7057" s="1">
        <v>3</v>
      </c>
      <c r="I7057">
        <v>8</v>
      </c>
      <c r="J7057">
        <f>IF($H7057=0,1,IF($I7057&lt;=1,2,0))</f>
        <v>0</v>
      </c>
      <c r="K7057">
        <v>0</v>
      </c>
      <c r="L7057">
        <f>IF(AND($J7057=0,$K7057=0),0,1)</f>
        <v>0</v>
      </c>
      <c r="M7057" t="s">
        <v>1817</v>
      </c>
    </row>
    <row r="7058" spans="1:13" x14ac:dyDescent="0.2">
      <c r="A7058" t="s">
        <v>739</v>
      </c>
      <c r="B7058" t="s">
        <v>386</v>
      </c>
      <c r="C7058" t="s">
        <v>21</v>
      </c>
      <c r="D7058">
        <v>3005</v>
      </c>
      <c r="E7058">
        <v>2021</v>
      </c>
      <c r="F7058">
        <v>2</v>
      </c>
      <c r="G7058">
        <v>74</v>
      </c>
      <c r="H7058" s="1">
        <v>3</v>
      </c>
      <c r="I7058">
        <v>5</v>
      </c>
      <c r="J7058">
        <f>IF($H7058=0,1,IF($I7058&lt;=1,2,0))</f>
        <v>0</v>
      </c>
      <c r="K7058">
        <v>0</v>
      </c>
      <c r="L7058">
        <f>IF(AND($J7058=0,$K7058=0),0,1)</f>
        <v>0</v>
      </c>
      <c r="M7058" t="s">
        <v>1817</v>
      </c>
    </row>
    <row r="7059" spans="1:13" x14ac:dyDescent="0.2">
      <c r="A7059" t="s">
        <v>739</v>
      </c>
      <c r="B7059" t="s">
        <v>386</v>
      </c>
      <c r="C7059" t="s">
        <v>21</v>
      </c>
      <c r="D7059">
        <v>3005</v>
      </c>
      <c r="E7059">
        <v>2021</v>
      </c>
      <c r="F7059">
        <v>1</v>
      </c>
      <c r="G7059">
        <v>73</v>
      </c>
      <c r="H7059" s="1">
        <v>3</v>
      </c>
      <c r="I7059">
        <v>4</v>
      </c>
      <c r="J7059">
        <f>IF($H7059=0,1,IF($I7059&lt;=1,2,0))</f>
        <v>0</v>
      </c>
      <c r="K7059">
        <v>0</v>
      </c>
      <c r="L7059">
        <f>IF(AND($J7059=0,$K7059=0),0,1)</f>
        <v>0</v>
      </c>
      <c r="M7059" t="s">
        <v>1817</v>
      </c>
    </row>
    <row r="7060" spans="1:13" x14ac:dyDescent="0.2">
      <c r="A7060" t="s">
        <v>739</v>
      </c>
      <c r="B7060" t="s">
        <v>386</v>
      </c>
      <c r="C7060" t="s">
        <v>21</v>
      </c>
      <c r="D7060">
        <v>3140</v>
      </c>
      <c r="E7060">
        <v>2021</v>
      </c>
      <c r="F7060">
        <v>1</v>
      </c>
      <c r="G7060">
        <v>78</v>
      </c>
      <c r="H7060" s="1">
        <v>4</v>
      </c>
      <c r="I7060">
        <v>8</v>
      </c>
      <c r="J7060">
        <f>IF($H7060=0,1,IF($I7060&lt;=1,2,0))</f>
        <v>0</v>
      </c>
      <c r="K7060">
        <v>0</v>
      </c>
      <c r="L7060">
        <f>IF(AND($J7060=0,$K7060=0),0,1)</f>
        <v>0</v>
      </c>
    </row>
    <row r="7061" spans="1:13" x14ac:dyDescent="0.2">
      <c r="A7061" t="s">
        <v>739</v>
      </c>
      <c r="B7061" t="s">
        <v>386</v>
      </c>
      <c r="C7061" t="s">
        <v>21</v>
      </c>
      <c r="D7061">
        <v>3150</v>
      </c>
      <c r="E7061">
        <v>2021</v>
      </c>
      <c r="F7061">
        <v>1</v>
      </c>
      <c r="G7061">
        <v>80</v>
      </c>
      <c r="H7061" s="1">
        <v>3</v>
      </c>
      <c r="I7061">
        <v>26</v>
      </c>
      <c r="J7061">
        <f>IF($H7061=0,1,IF($I7061&lt;=1,2,0))</f>
        <v>0</v>
      </c>
      <c r="K7061">
        <v>0</v>
      </c>
      <c r="L7061">
        <f>IF(AND($J7061=0,$K7061=0),0,1)</f>
        <v>0</v>
      </c>
    </row>
    <row r="7062" spans="1:13" x14ac:dyDescent="0.2">
      <c r="A7062" t="s">
        <v>739</v>
      </c>
      <c r="B7062" t="s">
        <v>386</v>
      </c>
      <c r="C7062" t="s">
        <v>21</v>
      </c>
      <c r="D7062">
        <v>3154</v>
      </c>
      <c r="E7062">
        <v>2021</v>
      </c>
      <c r="F7062">
        <v>1</v>
      </c>
      <c r="G7062">
        <v>81</v>
      </c>
      <c r="H7062" s="1">
        <v>3</v>
      </c>
      <c r="I7062">
        <v>42</v>
      </c>
      <c r="J7062">
        <f>IF($H7062=0,1,IF($I7062&lt;=1,2,0))</f>
        <v>0</v>
      </c>
      <c r="K7062">
        <v>0</v>
      </c>
      <c r="L7062">
        <f>IF(AND($J7062=0,$K7062=0),0,1)</f>
        <v>0</v>
      </c>
    </row>
    <row r="7063" spans="1:13" x14ac:dyDescent="0.2">
      <c r="A7063" t="s">
        <v>739</v>
      </c>
      <c r="B7063" t="s">
        <v>386</v>
      </c>
      <c r="C7063" t="s">
        <v>21</v>
      </c>
      <c r="D7063">
        <v>3160</v>
      </c>
      <c r="E7063">
        <v>2021</v>
      </c>
      <c r="F7063">
        <v>1</v>
      </c>
      <c r="G7063">
        <v>82</v>
      </c>
      <c r="H7063" s="1">
        <v>4</v>
      </c>
      <c r="I7063">
        <v>15</v>
      </c>
      <c r="J7063">
        <f>IF($H7063=0,1,IF($I7063&lt;=1,2,0))</f>
        <v>0</v>
      </c>
      <c r="K7063">
        <v>0</v>
      </c>
      <c r="L7063">
        <f>IF(AND($J7063=0,$K7063=0),0,1)</f>
        <v>0</v>
      </c>
    </row>
    <row r="7064" spans="1:13" x14ac:dyDescent="0.2">
      <c r="A7064" t="s">
        <v>739</v>
      </c>
      <c r="B7064" t="s">
        <v>386</v>
      </c>
      <c r="C7064" t="s">
        <v>21</v>
      </c>
      <c r="D7064">
        <v>3167</v>
      </c>
      <c r="E7064">
        <v>2021</v>
      </c>
      <c r="F7064">
        <v>1</v>
      </c>
      <c r="G7064">
        <v>83</v>
      </c>
      <c r="H7064" s="1">
        <v>4</v>
      </c>
      <c r="I7064">
        <v>12</v>
      </c>
      <c r="J7064">
        <f>IF($H7064=0,1,IF($I7064&lt;=1,2,0))</f>
        <v>0</v>
      </c>
      <c r="K7064">
        <v>0</v>
      </c>
      <c r="L7064">
        <f>IF(AND($J7064=0,$K7064=0),0,1)</f>
        <v>0</v>
      </c>
    </row>
    <row r="7065" spans="1:13" x14ac:dyDescent="0.2">
      <c r="A7065" t="s">
        <v>739</v>
      </c>
      <c r="B7065" t="s">
        <v>386</v>
      </c>
      <c r="C7065" t="s">
        <v>21</v>
      </c>
      <c r="D7065">
        <v>3200</v>
      </c>
      <c r="E7065">
        <v>2021</v>
      </c>
      <c r="F7065">
        <v>1</v>
      </c>
      <c r="G7065">
        <v>84</v>
      </c>
      <c r="H7065" s="1">
        <v>3</v>
      </c>
      <c r="I7065">
        <v>20</v>
      </c>
      <c r="J7065">
        <f>IF($H7065=0,1,IF($I7065&lt;=1,2,0))</f>
        <v>0</v>
      </c>
      <c r="K7065">
        <v>0</v>
      </c>
      <c r="L7065">
        <f>IF(AND($J7065=0,$K7065=0),0,1)</f>
        <v>0</v>
      </c>
    </row>
    <row r="7066" spans="1:13" x14ac:dyDescent="0.2">
      <c r="A7066" t="s">
        <v>739</v>
      </c>
      <c r="B7066" t="s">
        <v>386</v>
      </c>
      <c r="C7066" t="s">
        <v>21</v>
      </c>
      <c r="D7066">
        <v>3202</v>
      </c>
      <c r="E7066">
        <v>2021</v>
      </c>
      <c r="F7066">
        <v>1</v>
      </c>
      <c r="G7066">
        <v>85</v>
      </c>
      <c r="H7066" s="1">
        <v>4</v>
      </c>
      <c r="I7066">
        <v>3</v>
      </c>
      <c r="J7066">
        <f>IF($H7066=0,1,IF($I7066&lt;=1,2,0))</f>
        <v>0</v>
      </c>
      <c r="K7066">
        <v>0</v>
      </c>
      <c r="L7066">
        <f>IF(AND($J7066=0,$K7066=0),0,1)</f>
        <v>0</v>
      </c>
    </row>
    <row r="7067" spans="1:13" x14ac:dyDescent="0.2">
      <c r="A7067" t="s">
        <v>739</v>
      </c>
      <c r="B7067" t="s">
        <v>386</v>
      </c>
      <c r="C7067" t="s">
        <v>21</v>
      </c>
      <c r="D7067">
        <v>3300</v>
      </c>
      <c r="E7067">
        <v>2021</v>
      </c>
      <c r="F7067">
        <v>1</v>
      </c>
      <c r="G7067">
        <v>86</v>
      </c>
      <c r="H7067" s="1">
        <v>3</v>
      </c>
      <c r="I7067">
        <v>12</v>
      </c>
      <c r="J7067">
        <f>IF($H7067=0,1,IF($I7067&lt;=1,2,0))</f>
        <v>0</v>
      </c>
      <c r="K7067">
        <v>0</v>
      </c>
      <c r="L7067">
        <f>IF(AND($J7067=0,$K7067=0),0,1)</f>
        <v>0</v>
      </c>
    </row>
    <row r="7068" spans="1:13" x14ac:dyDescent="0.2">
      <c r="A7068" t="s">
        <v>739</v>
      </c>
      <c r="B7068" t="s">
        <v>386</v>
      </c>
      <c r="C7068" t="s">
        <v>21</v>
      </c>
      <c r="D7068">
        <v>3401</v>
      </c>
      <c r="E7068">
        <v>2021</v>
      </c>
      <c r="F7068">
        <v>1</v>
      </c>
      <c r="G7068">
        <v>87</v>
      </c>
      <c r="H7068" s="1">
        <v>3</v>
      </c>
      <c r="I7068">
        <v>10</v>
      </c>
      <c r="J7068">
        <f>IF($H7068=0,1,IF($I7068&lt;=1,2,0))</f>
        <v>0</v>
      </c>
      <c r="K7068">
        <v>0</v>
      </c>
      <c r="L7068">
        <f>IF(AND($J7068=0,$K7068=0),0,1)</f>
        <v>0</v>
      </c>
    </row>
    <row r="7069" spans="1:13" x14ac:dyDescent="0.2">
      <c r="A7069" t="s">
        <v>739</v>
      </c>
      <c r="B7069" t="s">
        <v>386</v>
      </c>
      <c r="C7069" t="s">
        <v>21</v>
      </c>
      <c r="D7069">
        <v>3404</v>
      </c>
      <c r="E7069">
        <v>2021</v>
      </c>
      <c r="F7069">
        <v>1</v>
      </c>
      <c r="G7069">
        <v>88</v>
      </c>
      <c r="H7069" s="1">
        <v>3</v>
      </c>
      <c r="I7069">
        <v>13</v>
      </c>
      <c r="J7069">
        <f>IF($H7069=0,1,IF($I7069&lt;=1,2,0))</f>
        <v>0</v>
      </c>
      <c r="K7069">
        <v>0</v>
      </c>
      <c r="L7069">
        <f>IF(AND($J7069=0,$K7069=0),0,1)</f>
        <v>0</v>
      </c>
    </row>
    <row r="7070" spans="1:13" x14ac:dyDescent="0.2">
      <c r="A7070" t="s">
        <v>739</v>
      </c>
      <c r="B7070" t="s">
        <v>386</v>
      </c>
      <c r="C7070" t="s">
        <v>21</v>
      </c>
      <c r="D7070">
        <v>3405</v>
      </c>
      <c r="E7070">
        <v>2021</v>
      </c>
      <c r="F7070">
        <v>1</v>
      </c>
      <c r="G7070">
        <v>89</v>
      </c>
      <c r="H7070" s="1">
        <v>3</v>
      </c>
      <c r="I7070">
        <v>6</v>
      </c>
      <c r="J7070">
        <f>IF($H7070=0,1,IF($I7070&lt;=1,2,0))</f>
        <v>0</v>
      </c>
      <c r="K7070">
        <v>0</v>
      </c>
      <c r="L7070">
        <f>IF(AND($J7070=0,$K7070=0),0,1)</f>
        <v>0</v>
      </c>
    </row>
    <row r="7071" spans="1:13" x14ac:dyDescent="0.2">
      <c r="A7071" t="s">
        <v>747</v>
      </c>
      <c r="B7071" t="s">
        <v>17</v>
      </c>
      <c r="C7071" t="s">
        <v>9</v>
      </c>
      <c r="D7071">
        <v>1410</v>
      </c>
      <c r="E7071">
        <v>2021</v>
      </c>
      <c r="F7071">
        <v>1</v>
      </c>
      <c r="G7071">
        <v>11026</v>
      </c>
      <c r="H7071" s="1">
        <v>4</v>
      </c>
      <c r="I7071">
        <v>6</v>
      </c>
      <c r="J7071">
        <f>IF($H7071=0,1,IF($I7071&lt;=1,2,0))</f>
        <v>0</v>
      </c>
      <c r="K7071">
        <v>0</v>
      </c>
      <c r="L7071">
        <f>IF(AND($J7071=0,$K7071=0),0,1)</f>
        <v>0</v>
      </c>
    </row>
    <row r="7072" spans="1:13" x14ac:dyDescent="0.2">
      <c r="A7072" t="s">
        <v>747</v>
      </c>
      <c r="B7072" t="s">
        <v>17</v>
      </c>
      <c r="C7072" t="s">
        <v>9</v>
      </c>
      <c r="D7072">
        <v>1600</v>
      </c>
      <c r="E7072">
        <v>2021</v>
      </c>
      <c r="F7072">
        <v>1</v>
      </c>
      <c r="G7072">
        <v>11029</v>
      </c>
      <c r="H7072" s="1">
        <v>5</v>
      </c>
      <c r="I7072">
        <v>6</v>
      </c>
      <c r="J7072">
        <f>IF($H7072=0,1,IF($I7072&lt;=1,2,0))</f>
        <v>0</v>
      </c>
      <c r="K7072">
        <v>0</v>
      </c>
      <c r="L7072">
        <f>IF(AND($J7072=0,$K7072=0),0,1)</f>
        <v>0</v>
      </c>
    </row>
    <row r="7073" spans="1:13" x14ac:dyDescent="0.2">
      <c r="A7073" t="s">
        <v>747</v>
      </c>
      <c r="B7073" t="s">
        <v>17</v>
      </c>
      <c r="C7073" t="s">
        <v>9</v>
      </c>
      <c r="D7073">
        <v>2603</v>
      </c>
      <c r="E7073">
        <v>2021</v>
      </c>
      <c r="F7073">
        <v>1</v>
      </c>
      <c r="G7073">
        <v>11030</v>
      </c>
      <c r="H7073" s="1">
        <v>4</v>
      </c>
      <c r="I7073">
        <v>3</v>
      </c>
      <c r="J7073">
        <f>IF($H7073=0,1,IF($I7073&lt;=1,2,0))</f>
        <v>0</v>
      </c>
      <c r="K7073">
        <v>0</v>
      </c>
      <c r="L7073">
        <f>IF(AND($J7073=0,$K7073=0),0,1)</f>
        <v>0</v>
      </c>
    </row>
    <row r="7074" spans="1:13" x14ac:dyDescent="0.2">
      <c r="A7074" t="s">
        <v>747</v>
      </c>
      <c r="B7074" t="s">
        <v>17</v>
      </c>
      <c r="C7074" t="s">
        <v>11</v>
      </c>
      <c r="D7074">
        <v>3611</v>
      </c>
      <c r="E7074">
        <v>2021</v>
      </c>
      <c r="F7074">
        <v>1</v>
      </c>
      <c r="G7074">
        <v>11031</v>
      </c>
      <c r="H7074" s="1">
        <v>4</v>
      </c>
      <c r="I7074">
        <v>2</v>
      </c>
      <c r="J7074">
        <f>IF($H7074=0,1,IF($I7074&lt;=1,2,0))</f>
        <v>0</v>
      </c>
      <c r="K7074">
        <v>0</v>
      </c>
      <c r="L7074">
        <f>IF(AND($J7074=0,$K7074=0),0,1)</f>
        <v>0</v>
      </c>
    </row>
    <row r="7075" spans="1:13" x14ac:dyDescent="0.2">
      <c r="A7075" t="s">
        <v>748</v>
      </c>
      <c r="B7075" t="s">
        <v>17</v>
      </c>
      <c r="C7075" t="s">
        <v>9</v>
      </c>
      <c r="D7075">
        <v>1101</v>
      </c>
      <c r="E7075">
        <v>2021</v>
      </c>
      <c r="F7075">
        <v>1</v>
      </c>
      <c r="G7075">
        <v>13343</v>
      </c>
      <c r="H7075" s="1">
        <v>4</v>
      </c>
      <c r="I7075">
        <v>3</v>
      </c>
      <c r="J7075">
        <f>IF($H7075=0,1,IF($I7075&lt;=1,2,0))</f>
        <v>0</v>
      </c>
      <c r="K7075">
        <v>0</v>
      </c>
      <c r="L7075">
        <f>IF(AND($J7075=0,$K7075=0),0,1)</f>
        <v>0</v>
      </c>
    </row>
    <row r="7076" spans="1:13" x14ac:dyDescent="0.2">
      <c r="A7076" t="s">
        <v>749</v>
      </c>
      <c r="B7076" t="s">
        <v>17</v>
      </c>
      <c r="C7076" t="s">
        <v>9</v>
      </c>
      <c r="D7076">
        <v>1101</v>
      </c>
      <c r="E7076">
        <v>2021</v>
      </c>
      <c r="F7076">
        <v>1</v>
      </c>
      <c r="G7076">
        <v>10149</v>
      </c>
      <c r="H7076" s="1">
        <v>4</v>
      </c>
      <c r="I7076">
        <v>4</v>
      </c>
      <c r="J7076">
        <f>IF($H7076=0,1,IF($I7076&lt;=1,2,0))</f>
        <v>0</v>
      </c>
      <c r="K7076">
        <v>0</v>
      </c>
      <c r="L7076">
        <f>IF(AND($J7076=0,$K7076=0),0,1)</f>
        <v>0</v>
      </c>
    </row>
    <row r="7077" spans="1:13" x14ac:dyDescent="0.2">
      <c r="A7077" t="s">
        <v>749</v>
      </c>
      <c r="B7077" t="s">
        <v>17</v>
      </c>
      <c r="C7077" t="s">
        <v>9</v>
      </c>
      <c r="D7077">
        <v>2101</v>
      </c>
      <c r="E7077">
        <v>2021</v>
      </c>
      <c r="F7077">
        <v>1</v>
      </c>
      <c r="G7077">
        <v>10157</v>
      </c>
      <c r="H7077" s="1">
        <v>4</v>
      </c>
      <c r="I7077">
        <v>3</v>
      </c>
      <c r="J7077">
        <f>IF($H7077=0,1,IF($I7077&lt;=1,2,0))</f>
        <v>0</v>
      </c>
      <c r="K7077">
        <v>0</v>
      </c>
      <c r="L7077">
        <f>IF(AND($J7077=0,$K7077=0),0,1)</f>
        <v>0</v>
      </c>
    </row>
    <row r="7078" spans="1:13" x14ac:dyDescent="0.2">
      <c r="A7078" t="s">
        <v>749</v>
      </c>
      <c r="B7078" t="s">
        <v>17</v>
      </c>
      <c r="C7078" t="s">
        <v>9</v>
      </c>
      <c r="D7078">
        <v>4006</v>
      </c>
      <c r="E7078">
        <v>2021</v>
      </c>
      <c r="F7078">
        <v>1</v>
      </c>
      <c r="G7078">
        <v>10166</v>
      </c>
      <c r="H7078" s="1">
        <v>3</v>
      </c>
      <c r="I7078">
        <v>4</v>
      </c>
      <c r="J7078">
        <f>IF($H7078=0,1,IF($I7078&lt;=1,2,0))</f>
        <v>0</v>
      </c>
      <c r="K7078">
        <v>0</v>
      </c>
      <c r="L7078">
        <f>IF(AND($J7078=0,$K7078=0),0,1)</f>
        <v>0</v>
      </c>
    </row>
    <row r="7079" spans="1:13" x14ac:dyDescent="0.2">
      <c r="A7079" t="s">
        <v>750</v>
      </c>
      <c r="B7079" t="s">
        <v>6</v>
      </c>
      <c r="C7079" t="s">
        <v>21</v>
      </c>
      <c r="D7079">
        <v>1515</v>
      </c>
      <c r="E7079">
        <v>2021</v>
      </c>
      <c r="F7079">
        <v>1</v>
      </c>
      <c r="G7079">
        <v>6</v>
      </c>
      <c r="H7079" s="1">
        <v>3</v>
      </c>
      <c r="I7079">
        <v>158</v>
      </c>
      <c r="J7079">
        <f>IF($H7079=0,1,IF($I7079&lt;=1,2,0))</f>
        <v>0</v>
      </c>
      <c r="K7079">
        <v>0</v>
      </c>
      <c r="L7079">
        <f>IF(AND($J7079=0,$K7079=0),0,1)</f>
        <v>0</v>
      </c>
      <c r="M7079" t="s">
        <v>1818</v>
      </c>
    </row>
    <row r="7080" spans="1:13" x14ac:dyDescent="0.2">
      <c r="A7080" t="s">
        <v>750</v>
      </c>
      <c r="B7080" t="s">
        <v>6</v>
      </c>
      <c r="C7080" t="s">
        <v>9</v>
      </c>
      <c r="D7080">
        <v>2200</v>
      </c>
      <c r="E7080">
        <v>2021</v>
      </c>
      <c r="F7080">
        <v>1</v>
      </c>
      <c r="G7080">
        <v>7</v>
      </c>
      <c r="H7080" s="1">
        <v>3</v>
      </c>
      <c r="I7080">
        <v>24</v>
      </c>
      <c r="J7080">
        <f>IF($H7080=0,1,IF($I7080&lt;=1,2,0))</f>
        <v>0</v>
      </c>
      <c r="K7080">
        <v>0</v>
      </c>
      <c r="L7080">
        <f>IF(AND($J7080=0,$K7080=0),0,1)</f>
        <v>0</v>
      </c>
    </row>
    <row r="7081" spans="1:13" x14ac:dyDescent="0.2">
      <c r="A7081" t="s">
        <v>750</v>
      </c>
      <c r="B7081" t="s">
        <v>6</v>
      </c>
      <c r="C7081" t="s">
        <v>21</v>
      </c>
      <c r="D7081">
        <v>3310</v>
      </c>
      <c r="E7081">
        <v>2021</v>
      </c>
      <c r="F7081">
        <v>1</v>
      </c>
      <c r="G7081">
        <v>529</v>
      </c>
      <c r="H7081" s="1">
        <v>3</v>
      </c>
      <c r="I7081">
        <v>31</v>
      </c>
      <c r="J7081">
        <f>IF($H7081=0,1,IF($I7081&lt;=1,2,0))</f>
        <v>0</v>
      </c>
      <c r="K7081">
        <v>0</v>
      </c>
      <c r="L7081">
        <f>IF(AND($J7081=0,$K7081=0),0,1)</f>
        <v>0</v>
      </c>
    </row>
    <row r="7082" spans="1:13" x14ac:dyDescent="0.2">
      <c r="A7082" t="s">
        <v>750</v>
      </c>
      <c r="B7082" t="s">
        <v>6</v>
      </c>
      <c r="C7082" t="s">
        <v>21</v>
      </c>
      <c r="D7082">
        <v>3440</v>
      </c>
      <c r="E7082">
        <v>2021</v>
      </c>
      <c r="F7082">
        <v>1</v>
      </c>
      <c r="G7082">
        <v>8</v>
      </c>
      <c r="H7082" s="1">
        <v>3</v>
      </c>
      <c r="I7082">
        <v>33</v>
      </c>
      <c r="J7082">
        <f>IF($H7082=0,1,IF($I7082&lt;=1,2,0))</f>
        <v>0</v>
      </c>
      <c r="K7082">
        <v>0</v>
      </c>
      <c r="L7082">
        <f>IF(AND($J7082=0,$K7082=0),0,1)</f>
        <v>0</v>
      </c>
    </row>
    <row r="7083" spans="1:13" x14ac:dyDescent="0.2">
      <c r="A7083" t="s">
        <v>750</v>
      </c>
      <c r="B7083" t="s">
        <v>6</v>
      </c>
      <c r="C7083" t="s">
        <v>21</v>
      </c>
      <c r="D7083">
        <v>3545</v>
      </c>
      <c r="E7083">
        <v>2021</v>
      </c>
      <c r="F7083">
        <v>5</v>
      </c>
      <c r="G7083">
        <v>456</v>
      </c>
      <c r="H7083" s="1">
        <v>4</v>
      </c>
      <c r="I7083">
        <v>12</v>
      </c>
      <c r="J7083">
        <f>IF($H7083=0,1,IF($I7083&lt;=1,2,0))</f>
        <v>0</v>
      </c>
      <c r="K7083">
        <v>0</v>
      </c>
      <c r="L7083">
        <f>IF(AND($J7083=0,$K7083=0),0,1)</f>
        <v>0</v>
      </c>
    </row>
    <row r="7084" spans="1:13" x14ac:dyDescent="0.2">
      <c r="A7084" t="s">
        <v>750</v>
      </c>
      <c r="B7084" t="s">
        <v>6</v>
      </c>
      <c r="C7084" t="s">
        <v>21</v>
      </c>
      <c r="D7084">
        <v>3545</v>
      </c>
      <c r="E7084">
        <v>2021</v>
      </c>
      <c r="F7084">
        <v>4</v>
      </c>
      <c r="G7084">
        <v>457</v>
      </c>
      <c r="H7084" s="1">
        <v>4</v>
      </c>
      <c r="I7084">
        <v>9</v>
      </c>
      <c r="J7084">
        <f>IF($H7084=0,1,IF($I7084&lt;=1,2,0))</f>
        <v>0</v>
      </c>
      <c r="K7084">
        <v>0</v>
      </c>
      <c r="L7084">
        <f>IF(AND($J7084=0,$K7084=0),0,1)</f>
        <v>0</v>
      </c>
    </row>
    <row r="7085" spans="1:13" x14ac:dyDescent="0.2">
      <c r="A7085" t="s">
        <v>750</v>
      </c>
      <c r="B7085" t="s">
        <v>6</v>
      </c>
      <c r="C7085" t="s">
        <v>21</v>
      </c>
      <c r="D7085">
        <v>3545</v>
      </c>
      <c r="E7085">
        <v>2021</v>
      </c>
      <c r="F7085">
        <v>6</v>
      </c>
      <c r="G7085">
        <v>458</v>
      </c>
      <c r="H7085" s="1">
        <v>4</v>
      </c>
      <c r="I7085">
        <v>6</v>
      </c>
      <c r="J7085">
        <f>IF($H7085=0,1,IF($I7085&lt;=1,2,0))</f>
        <v>0</v>
      </c>
      <c r="K7085">
        <v>0</v>
      </c>
      <c r="L7085">
        <f>IF(AND($J7085=0,$K7085=0),0,1)</f>
        <v>0</v>
      </c>
      <c r="M7085" t="s">
        <v>1819</v>
      </c>
    </row>
    <row r="7086" spans="1:13" x14ac:dyDescent="0.2">
      <c r="A7086" t="s">
        <v>750</v>
      </c>
      <c r="B7086" t="s">
        <v>6</v>
      </c>
      <c r="C7086" t="s">
        <v>21</v>
      </c>
      <c r="D7086">
        <v>3992</v>
      </c>
      <c r="E7086">
        <v>2021</v>
      </c>
      <c r="F7086">
        <v>1</v>
      </c>
      <c r="G7086">
        <v>11</v>
      </c>
      <c r="H7086" s="1">
        <v>4</v>
      </c>
      <c r="I7086">
        <v>14</v>
      </c>
      <c r="J7086">
        <f>IF($H7086=0,1,IF($I7086&lt;=1,2,0))</f>
        <v>0</v>
      </c>
      <c r="K7086">
        <v>0</v>
      </c>
      <c r="L7086">
        <f>IF(AND($J7086=0,$K7086=0),0,1)</f>
        <v>0</v>
      </c>
    </row>
    <row r="7087" spans="1:13" x14ac:dyDescent="0.2">
      <c r="A7087" t="s">
        <v>750</v>
      </c>
      <c r="B7087" t="s">
        <v>6</v>
      </c>
      <c r="C7087" t="s">
        <v>21</v>
      </c>
      <c r="D7087">
        <v>3992</v>
      </c>
      <c r="E7087">
        <v>2021</v>
      </c>
      <c r="F7087">
        <v>2</v>
      </c>
      <c r="G7087">
        <v>12</v>
      </c>
      <c r="H7087" s="1">
        <v>4</v>
      </c>
      <c r="I7087">
        <v>14</v>
      </c>
      <c r="J7087">
        <f>IF($H7087=0,1,IF($I7087&lt;=1,2,0))</f>
        <v>0</v>
      </c>
      <c r="K7087">
        <v>0</v>
      </c>
      <c r="L7087">
        <f>IF(AND($J7087=0,$K7087=0),0,1)</f>
        <v>0</v>
      </c>
    </row>
    <row r="7088" spans="1:13" x14ac:dyDescent="0.2">
      <c r="A7088" t="s">
        <v>750</v>
      </c>
      <c r="B7088" t="s">
        <v>6</v>
      </c>
      <c r="C7088" t="s">
        <v>21</v>
      </c>
      <c r="D7088">
        <v>3992</v>
      </c>
      <c r="E7088">
        <v>2021</v>
      </c>
      <c r="F7088">
        <v>3</v>
      </c>
      <c r="G7088">
        <v>14</v>
      </c>
      <c r="H7088" s="1">
        <v>4</v>
      </c>
      <c r="I7088">
        <v>11</v>
      </c>
      <c r="J7088">
        <f>IF($H7088=0,1,IF($I7088&lt;=1,2,0))</f>
        <v>0</v>
      </c>
      <c r="K7088">
        <v>0</v>
      </c>
      <c r="L7088">
        <f>IF(AND($J7088=0,$K7088=0),0,1)</f>
        <v>0</v>
      </c>
    </row>
    <row r="7089" spans="1:12" x14ac:dyDescent="0.2">
      <c r="A7089" t="s">
        <v>750</v>
      </c>
      <c r="B7089" t="s">
        <v>6</v>
      </c>
      <c r="C7089" t="s">
        <v>21</v>
      </c>
      <c r="D7089">
        <v>3994</v>
      </c>
      <c r="E7089">
        <v>2021</v>
      </c>
      <c r="F7089">
        <v>1</v>
      </c>
      <c r="G7089">
        <v>13</v>
      </c>
      <c r="H7089" s="1">
        <v>4</v>
      </c>
      <c r="I7089">
        <v>6</v>
      </c>
      <c r="J7089">
        <f>IF($H7089=0,1,IF($I7089&lt;=1,2,0))</f>
        <v>0</v>
      </c>
      <c r="K7089">
        <v>0</v>
      </c>
      <c r="L7089">
        <f>IF(AND($J7089=0,$K7089=0),0,1)</f>
        <v>0</v>
      </c>
    </row>
    <row r="7090" spans="1:12" x14ac:dyDescent="0.2">
      <c r="A7090" t="s">
        <v>759</v>
      </c>
      <c r="B7090" t="s">
        <v>386</v>
      </c>
      <c r="C7090" t="s">
        <v>407</v>
      </c>
      <c r="D7090">
        <v>1000</v>
      </c>
      <c r="E7090">
        <v>2021</v>
      </c>
      <c r="F7090">
        <v>2</v>
      </c>
      <c r="G7090">
        <v>13181</v>
      </c>
      <c r="H7090" s="1">
        <v>3</v>
      </c>
      <c r="I7090">
        <v>20</v>
      </c>
      <c r="J7090">
        <f>IF($H7090=0,1,IF($I7090&lt;=1,2,0))</f>
        <v>0</v>
      </c>
      <c r="K7090">
        <v>0</v>
      </c>
      <c r="L7090">
        <f>IF(AND($J7090=0,$K7090=0),0,1)</f>
        <v>0</v>
      </c>
    </row>
    <row r="7091" spans="1:12" x14ac:dyDescent="0.2">
      <c r="A7091" t="s">
        <v>759</v>
      </c>
      <c r="B7091" t="s">
        <v>386</v>
      </c>
      <c r="C7091" t="s">
        <v>407</v>
      </c>
      <c r="D7091">
        <v>1000</v>
      </c>
      <c r="E7091">
        <v>2021</v>
      </c>
      <c r="F7091">
        <v>1</v>
      </c>
      <c r="G7091">
        <v>13180</v>
      </c>
      <c r="H7091" s="1">
        <v>3</v>
      </c>
      <c r="I7091">
        <v>19</v>
      </c>
      <c r="J7091">
        <f>IF($H7091=0,1,IF($I7091&lt;=1,2,0))</f>
        <v>0</v>
      </c>
      <c r="K7091">
        <v>0</v>
      </c>
      <c r="L7091">
        <f>IF(AND($J7091=0,$K7091=0),0,1)</f>
        <v>0</v>
      </c>
    </row>
    <row r="7092" spans="1:12" x14ac:dyDescent="0.2">
      <c r="A7092" t="s">
        <v>759</v>
      </c>
      <c r="B7092" t="s">
        <v>386</v>
      </c>
      <c r="C7092" t="s">
        <v>407</v>
      </c>
      <c r="D7092">
        <v>1000</v>
      </c>
      <c r="E7092">
        <v>2021</v>
      </c>
      <c r="F7092">
        <v>3</v>
      </c>
      <c r="G7092">
        <v>13182</v>
      </c>
      <c r="H7092" s="1">
        <v>3</v>
      </c>
      <c r="I7092">
        <v>19</v>
      </c>
      <c r="J7092">
        <f>IF($H7092=0,1,IF($I7092&lt;=1,2,0))</f>
        <v>0</v>
      </c>
      <c r="K7092">
        <v>0</v>
      </c>
      <c r="L7092">
        <f>IF(AND($J7092=0,$K7092=0),0,1)</f>
        <v>0</v>
      </c>
    </row>
    <row r="7093" spans="1:12" x14ac:dyDescent="0.2">
      <c r="A7093" t="s">
        <v>759</v>
      </c>
      <c r="B7093" t="s">
        <v>386</v>
      </c>
      <c r="C7093" t="s">
        <v>407</v>
      </c>
      <c r="D7093">
        <v>1004</v>
      </c>
      <c r="E7093">
        <v>2021</v>
      </c>
      <c r="F7093">
        <v>1</v>
      </c>
      <c r="G7093">
        <v>13183</v>
      </c>
      <c r="H7093" s="1">
        <v>3</v>
      </c>
      <c r="I7093">
        <v>15</v>
      </c>
      <c r="J7093">
        <f>IF($H7093=0,1,IF($I7093&lt;=1,2,0))</f>
        <v>0</v>
      </c>
      <c r="K7093">
        <v>0</v>
      </c>
      <c r="L7093">
        <f>IF(AND($J7093=0,$K7093=0),0,1)</f>
        <v>0</v>
      </c>
    </row>
    <row r="7094" spans="1:12" x14ac:dyDescent="0.2">
      <c r="A7094" t="s">
        <v>759</v>
      </c>
      <c r="B7094" t="s">
        <v>386</v>
      </c>
      <c r="C7094" t="s">
        <v>407</v>
      </c>
      <c r="D7094">
        <v>1700</v>
      </c>
      <c r="E7094">
        <v>2021</v>
      </c>
      <c r="F7094">
        <v>1</v>
      </c>
      <c r="G7094">
        <v>13184</v>
      </c>
      <c r="H7094" s="1">
        <v>3</v>
      </c>
      <c r="I7094">
        <v>14</v>
      </c>
      <c r="J7094">
        <f>IF($H7094=0,1,IF($I7094&lt;=1,2,0))</f>
        <v>0</v>
      </c>
      <c r="K7094">
        <v>0</v>
      </c>
      <c r="L7094">
        <f>IF(AND($J7094=0,$K7094=0),0,1)</f>
        <v>0</v>
      </c>
    </row>
    <row r="7095" spans="1:12" x14ac:dyDescent="0.2">
      <c r="A7095" t="s">
        <v>759</v>
      </c>
      <c r="B7095" t="s">
        <v>386</v>
      </c>
      <c r="C7095" t="s">
        <v>407</v>
      </c>
      <c r="D7095">
        <v>1700</v>
      </c>
      <c r="E7095">
        <v>2021</v>
      </c>
      <c r="F7095">
        <v>2</v>
      </c>
      <c r="G7095">
        <v>13186</v>
      </c>
      <c r="H7095" s="1">
        <v>3</v>
      </c>
      <c r="I7095">
        <v>13</v>
      </c>
      <c r="J7095">
        <f>IF($H7095=0,1,IF($I7095&lt;=1,2,0))</f>
        <v>0</v>
      </c>
      <c r="K7095">
        <v>0</v>
      </c>
      <c r="L7095">
        <f>IF(AND($J7095=0,$K7095=0),0,1)</f>
        <v>0</v>
      </c>
    </row>
    <row r="7096" spans="1:12" x14ac:dyDescent="0.2">
      <c r="A7096" t="s">
        <v>759</v>
      </c>
      <c r="B7096" t="s">
        <v>386</v>
      </c>
      <c r="C7096" t="s">
        <v>407</v>
      </c>
      <c r="D7096">
        <v>2100</v>
      </c>
      <c r="E7096">
        <v>2021</v>
      </c>
      <c r="F7096">
        <v>2</v>
      </c>
      <c r="G7096">
        <v>13188</v>
      </c>
      <c r="H7096" s="1">
        <v>3</v>
      </c>
      <c r="I7096">
        <v>16</v>
      </c>
      <c r="J7096">
        <f>IF($H7096=0,1,IF($I7096&lt;=1,2,0))</f>
        <v>0</v>
      </c>
      <c r="K7096">
        <v>0</v>
      </c>
      <c r="L7096">
        <f>IF(AND($J7096=0,$K7096=0),0,1)</f>
        <v>0</v>
      </c>
    </row>
    <row r="7097" spans="1:12" x14ac:dyDescent="0.2">
      <c r="A7097" t="s">
        <v>759</v>
      </c>
      <c r="B7097" t="s">
        <v>386</v>
      </c>
      <c r="C7097" t="s">
        <v>407</v>
      </c>
      <c r="D7097">
        <v>2100</v>
      </c>
      <c r="E7097">
        <v>2021</v>
      </c>
      <c r="F7097">
        <v>1</v>
      </c>
      <c r="G7097">
        <v>13187</v>
      </c>
      <c r="H7097" s="1">
        <v>3</v>
      </c>
      <c r="I7097">
        <v>13</v>
      </c>
      <c r="J7097">
        <f>IF($H7097=0,1,IF($I7097&lt;=1,2,0))</f>
        <v>0</v>
      </c>
      <c r="K7097">
        <v>0</v>
      </c>
      <c r="L7097">
        <f>IF(AND($J7097=0,$K7097=0),0,1)</f>
        <v>0</v>
      </c>
    </row>
    <row r="7098" spans="1:12" x14ac:dyDescent="0.2">
      <c r="A7098" t="s">
        <v>759</v>
      </c>
      <c r="B7098" t="s">
        <v>386</v>
      </c>
      <c r="C7098" t="s">
        <v>407</v>
      </c>
      <c r="D7098">
        <v>2200</v>
      </c>
      <c r="E7098">
        <v>2021</v>
      </c>
      <c r="F7098">
        <v>1</v>
      </c>
      <c r="G7098">
        <v>13189</v>
      </c>
      <c r="H7098" s="1">
        <v>3</v>
      </c>
      <c r="I7098">
        <v>6</v>
      </c>
      <c r="J7098">
        <f>IF($H7098=0,1,IF($I7098&lt;=1,2,0))</f>
        <v>0</v>
      </c>
      <c r="K7098">
        <v>0</v>
      </c>
      <c r="L7098">
        <f>IF(AND($J7098=0,$K7098=0),0,1)</f>
        <v>0</v>
      </c>
    </row>
    <row r="7099" spans="1:12" x14ac:dyDescent="0.2">
      <c r="A7099" t="s">
        <v>759</v>
      </c>
      <c r="B7099" t="s">
        <v>386</v>
      </c>
      <c r="C7099" t="s">
        <v>407</v>
      </c>
      <c r="D7099">
        <v>2300</v>
      </c>
      <c r="E7099">
        <v>2021</v>
      </c>
      <c r="F7099">
        <v>1</v>
      </c>
      <c r="G7099">
        <v>13190</v>
      </c>
      <c r="H7099" s="1">
        <v>3</v>
      </c>
      <c r="I7099">
        <v>8</v>
      </c>
      <c r="J7099">
        <f>IF($H7099=0,1,IF($I7099&lt;=1,2,0))</f>
        <v>0</v>
      </c>
      <c r="K7099">
        <v>0</v>
      </c>
      <c r="L7099">
        <f>IF(AND($J7099=0,$K7099=0),0,1)</f>
        <v>0</v>
      </c>
    </row>
    <row r="7100" spans="1:12" x14ac:dyDescent="0.2">
      <c r="A7100" t="s">
        <v>759</v>
      </c>
      <c r="B7100" t="s">
        <v>386</v>
      </c>
      <c r="C7100" t="s">
        <v>407</v>
      </c>
      <c r="D7100">
        <v>2300</v>
      </c>
      <c r="E7100">
        <v>2021</v>
      </c>
      <c r="F7100">
        <v>2</v>
      </c>
      <c r="G7100">
        <v>13191</v>
      </c>
      <c r="H7100" s="1">
        <v>3</v>
      </c>
      <c r="I7100">
        <v>8</v>
      </c>
      <c r="J7100">
        <f>IF($H7100=0,1,IF($I7100&lt;=1,2,0))</f>
        <v>0</v>
      </c>
      <c r="K7100">
        <v>0</v>
      </c>
      <c r="L7100">
        <f>IF(AND($J7100=0,$K7100=0),0,1)</f>
        <v>0</v>
      </c>
    </row>
    <row r="7101" spans="1:12" x14ac:dyDescent="0.2">
      <c r="A7101" t="s">
        <v>759</v>
      </c>
      <c r="B7101" t="s">
        <v>386</v>
      </c>
      <c r="C7101" t="s">
        <v>407</v>
      </c>
      <c r="D7101">
        <v>2420</v>
      </c>
      <c r="E7101">
        <v>2021</v>
      </c>
      <c r="F7101">
        <v>1</v>
      </c>
      <c r="G7101">
        <v>13192</v>
      </c>
      <c r="H7101" s="1">
        <v>3</v>
      </c>
      <c r="I7101">
        <v>13</v>
      </c>
      <c r="J7101">
        <f>IF($H7101=0,1,IF($I7101&lt;=1,2,0))</f>
        <v>0</v>
      </c>
      <c r="K7101">
        <v>0</v>
      </c>
      <c r="L7101">
        <f>IF(AND($J7101=0,$K7101=0),0,1)</f>
        <v>0</v>
      </c>
    </row>
    <row r="7102" spans="1:12" x14ac:dyDescent="0.2">
      <c r="A7102" t="s">
        <v>759</v>
      </c>
      <c r="B7102" t="s">
        <v>386</v>
      </c>
      <c r="C7102" t="s">
        <v>407</v>
      </c>
      <c r="D7102">
        <v>2430</v>
      </c>
      <c r="E7102">
        <v>2021</v>
      </c>
      <c r="F7102">
        <v>1</v>
      </c>
      <c r="G7102">
        <v>13193</v>
      </c>
      <c r="H7102" s="1">
        <v>3</v>
      </c>
      <c r="I7102">
        <v>10</v>
      </c>
      <c r="J7102">
        <f>IF($H7102=0,1,IF($I7102&lt;=1,2,0))</f>
        <v>0</v>
      </c>
      <c r="K7102">
        <v>0</v>
      </c>
      <c r="L7102">
        <f>IF(AND($J7102=0,$K7102=0),0,1)</f>
        <v>0</v>
      </c>
    </row>
    <row r="7103" spans="1:12" x14ac:dyDescent="0.2">
      <c r="A7103" t="s">
        <v>759</v>
      </c>
      <c r="B7103" t="s">
        <v>386</v>
      </c>
      <c r="C7103" t="s">
        <v>407</v>
      </c>
      <c r="D7103">
        <v>2701</v>
      </c>
      <c r="E7103">
        <v>2021</v>
      </c>
      <c r="F7103">
        <v>1</v>
      </c>
      <c r="G7103">
        <v>13194</v>
      </c>
      <c r="H7103" s="1">
        <v>3</v>
      </c>
      <c r="I7103">
        <v>7</v>
      </c>
      <c r="J7103">
        <f>IF($H7103=0,1,IF($I7103&lt;=1,2,0))</f>
        <v>0</v>
      </c>
      <c r="K7103">
        <v>0</v>
      </c>
      <c r="L7103">
        <f>IF(AND($J7103=0,$K7103=0),0,1)</f>
        <v>0</v>
      </c>
    </row>
    <row r="7104" spans="1:12" x14ac:dyDescent="0.2">
      <c r="A7104" t="s">
        <v>759</v>
      </c>
      <c r="B7104" t="s">
        <v>386</v>
      </c>
      <c r="C7104" t="s">
        <v>407</v>
      </c>
      <c r="D7104">
        <v>3010</v>
      </c>
      <c r="E7104">
        <v>2021</v>
      </c>
      <c r="F7104">
        <v>1</v>
      </c>
      <c r="G7104">
        <v>13199</v>
      </c>
      <c r="H7104" s="1">
        <v>3</v>
      </c>
      <c r="I7104">
        <v>13</v>
      </c>
      <c r="J7104">
        <f>IF($H7104=0,1,IF($I7104&lt;=1,2,0))</f>
        <v>0</v>
      </c>
      <c r="K7104">
        <v>0</v>
      </c>
      <c r="L7104">
        <f>IF(AND($J7104=0,$K7104=0),0,1)</f>
        <v>0</v>
      </c>
    </row>
    <row r="7105" spans="1:13" x14ac:dyDescent="0.2">
      <c r="A7105" t="s">
        <v>759</v>
      </c>
      <c r="B7105" t="s">
        <v>386</v>
      </c>
      <c r="C7105" t="s">
        <v>34</v>
      </c>
      <c r="D7105">
        <v>3101</v>
      </c>
      <c r="E7105">
        <v>2021</v>
      </c>
      <c r="F7105">
        <v>1</v>
      </c>
      <c r="G7105">
        <v>13195</v>
      </c>
      <c r="H7105" s="1">
        <v>3</v>
      </c>
      <c r="I7105">
        <v>11</v>
      </c>
      <c r="J7105">
        <f>IF($H7105=0,1,IF($I7105&lt;=1,2,0))</f>
        <v>0</v>
      </c>
      <c r="K7105">
        <v>0</v>
      </c>
      <c r="L7105">
        <f>IF(AND($J7105=0,$K7105=0),0,1)</f>
        <v>0</v>
      </c>
    </row>
    <row r="7106" spans="1:13" x14ac:dyDescent="0.2">
      <c r="A7106" t="s">
        <v>759</v>
      </c>
      <c r="B7106" t="s">
        <v>386</v>
      </c>
      <c r="C7106" t="s">
        <v>407</v>
      </c>
      <c r="D7106">
        <v>3120</v>
      </c>
      <c r="E7106">
        <v>2021</v>
      </c>
      <c r="F7106">
        <v>1</v>
      </c>
      <c r="G7106">
        <v>13196</v>
      </c>
      <c r="H7106" s="1">
        <v>3</v>
      </c>
      <c r="I7106">
        <v>14</v>
      </c>
      <c r="J7106">
        <f>IF($H7106=0,1,IF($I7106&lt;=1,2,0))</f>
        <v>0</v>
      </c>
      <c r="K7106">
        <v>0</v>
      </c>
      <c r="L7106">
        <f>IF(AND($J7106=0,$K7106=0),0,1)</f>
        <v>0</v>
      </c>
    </row>
    <row r="7107" spans="1:13" x14ac:dyDescent="0.2">
      <c r="A7107" t="s">
        <v>759</v>
      </c>
      <c r="B7107" t="s">
        <v>386</v>
      </c>
      <c r="C7107" t="s">
        <v>407</v>
      </c>
      <c r="D7107">
        <v>3410</v>
      </c>
      <c r="E7107">
        <v>2021</v>
      </c>
      <c r="F7107">
        <v>1</v>
      </c>
      <c r="G7107">
        <v>13197</v>
      </c>
      <c r="H7107" s="1">
        <v>3</v>
      </c>
      <c r="I7107">
        <v>6</v>
      </c>
      <c r="J7107">
        <f>IF($H7107=0,1,IF($I7107&lt;=1,2,0))</f>
        <v>0</v>
      </c>
      <c r="K7107">
        <v>0</v>
      </c>
      <c r="L7107">
        <f>IF(AND($J7107=0,$K7107=0),0,1)</f>
        <v>0</v>
      </c>
    </row>
    <row r="7108" spans="1:13" x14ac:dyDescent="0.2">
      <c r="A7108" t="s">
        <v>759</v>
      </c>
      <c r="B7108" t="s">
        <v>386</v>
      </c>
      <c r="C7108" t="s">
        <v>34</v>
      </c>
      <c r="D7108">
        <v>3412</v>
      </c>
      <c r="E7108">
        <v>2021</v>
      </c>
      <c r="F7108">
        <v>1</v>
      </c>
      <c r="G7108">
        <v>13198</v>
      </c>
      <c r="H7108" s="1">
        <v>3</v>
      </c>
      <c r="I7108">
        <v>12</v>
      </c>
      <c r="J7108">
        <f>IF($H7108=0,1,IF($I7108&lt;=1,2,0))</f>
        <v>0</v>
      </c>
      <c r="K7108">
        <v>0</v>
      </c>
      <c r="L7108">
        <f>IF(AND($J7108=0,$K7108=0),0,1)</f>
        <v>0</v>
      </c>
    </row>
    <row r="7109" spans="1:13" x14ac:dyDescent="0.2">
      <c r="A7109" t="s">
        <v>759</v>
      </c>
      <c r="B7109" t="s">
        <v>386</v>
      </c>
      <c r="C7109" t="s">
        <v>407</v>
      </c>
      <c r="D7109">
        <v>3431</v>
      </c>
      <c r="E7109">
        <v>2021</v>
      </c>
      <c r="F7109">
        <v>1</v>
      </c>
      <c r="G7109">
        <v>13201</v>
      </c>
      <c r="H7109" s="1">
        <v>3</v>
      </c>
      <c r="I7109">
        <v>3</v>
      </c>
      <c r="J7109">
        <f>IF($H7109=0,1,IF($I7109&lt;=1,2,0))</f>
        <v>0</v>
      </c>
      <c r="K7109">
        <v>0</v>
      </c>
      <c r="L7109">
        <f>IF(AND($J7109=0,$K7109=0),0,1)</f>
        <v>0</v>
      </c>
    </row>
    <row r="7110" spans="1:13" x14ac:dyDescent="0.2">
      <c r="A7110" t="s">
        <v>759</v>
      </c>
      <c r="B7110" t="s">
        <v>386</v>
      </c>
      <c r="C7110" t="s">
        <v>407</v>
      </c>
      <c r="D7110">
        <v>3500</v>
      </c>
      <c r="E7110">
        <v>2021</v>
      </c>
      <c r="F7110">
        <v>1</v>
      </c>
      <c r="G7110">
        <v>13339</v>
      </c>
      <c r="H7110" s="1">
        <v>3</v>
      </c>
      <c r="I7110">
        <v>6</v>
      </c>
      <c r="J7110">
        <f>IF($H7110=0,1,IF($I7110&lt;=1,2,0))</f>
        <v>0</v>
      </c>
      <c r="K7110">
        <v>0</v>
      </c>
      <c r="L7110">
        <f>IF(AND($J7110=0,$K7110=0),0,1)</f>
        <v>0</v>
      </c>
    </row>
    <row r="7111" spans="1:13" x14ac:dyDescent="0.2">
      <c r="A7111" t="s">
        <v>759</v>
      </c>
      <c r="B7111" t="s">
        <v>386</v>
      </c>
      <c r="C7111" t="s">
        <v>407</v>
      </c>
      <c r="D7111">
        <v>3800</v>
      </c>
      <c r="E7111">
        <v>2021</v>
      </c>
      <c r="F7111">
        <v>1</v>
      </c>
      <c r="G7111">
        <v>13202</v>
      </c>
      <c r="H7111" s="1">
        <v>3</v>
      </c>
      <c r="I7111">
        <v>15</v>
      </c>
      <c r="J7111">
        <f>IF($H7111=0,1,IF($I7111&lt;=1,2,0))</f>
        <v>0</v>
      </c>
      <c r="K7111">
        <v>0</v>
      </c>
      <c r="L7111">
        <f>IF(AND($J7111=0,$K7111=0),0,1)</f>
        <v>0</v>
      </c>
    </row>
    <row r="7112" spans="1:13" x14ac:dyDescent="0.2">
      <c r="A7112" t="s">
        <v>759</v>
      </c>
      <c r="B7112" t="s">
        <v>386</v>
      </c>
      <c r="C7112" t="s">
        <v>407</v>
      </c>
      <c r="D7112">
        <v>3900</v>
      </c>
      <c r="E7112">
        <v>2021</v>
      </c>
      <c r="F7112">
        <v>1</v>
      </c>
      <c r="G7112">
        <v>13203</v>
      </c>
      <c r="H7112" s="1">
        <v>2</v>
      </c>
      <c r="I7112">
        <v>14</v>
      </c>
      <c r="J7112">
        <f>IF($H7112=0,1,IF($I7112&lt;=1,2,0))</f>
        <v>0</v>
      </c>
      <c r="K7112">
        <v>0</v>
      </c>
      <c r="L7112">
        <f>IF(AND($J7112=0,$K7112=0),0,1)</f>
        <v>0</v>
      </c>
      <c r="M7112" t="s">
        <v>761</v>
      </c>
    </row>
    <row r="7113" spans="1:13" x14ac:dyDescent="0.2">
      <c r="A7113" t="s">
        <v>759</v>
      </c>
      <c r="B7113" t="s">
        <v>386</v>
      </c>
      <c r="C7113" t="s">
        <v>407</v>
      </c>
      <c r="D7113">
        <v>3910</v>
      </c>
      <c r="E7113">
        <v>2021</v>
      </c>
      <c r="F7113">
        <v>1</v>
      </c>
      <c r="G7113">
        <v>13205</v>
      </c>
      <c r="H7113" s="1">
        <v>2</v>
      </c>
      <c r="I7113">
        <v>14</v>
      </c>
      <c r="J7113">
        <f>IF($H7113=0,1,IF($I7113&lt;=1,2,0))</f>
        <v>0</v>
      </c>
      <c r="K7113">
        <v>0</v>
      </c>
      <c r="L7113">
        <f>IF(AND($J7113=0,$K7113=0),0,1)</f>
        <v>0</v>
      </c>
      <c r="M7113" t="s">
        <v>761</v>
      </c>
    </row>
    <row r="7114" spans="1:13" x14ac:dyDescent="0.2">
      <c r="A7114" t="s">
        <v>759</v>
      </c>
      <c r="B7114" t="s">
        <v>386</v>
      </c>
      <c r="C7114" t="s">
        <v>9</v>
      </c>
      <c r="D7114">
        <v>4310</v>
      </c>
      <c r="E7114">
        <v>2021</v>
      </c>
      <c r="F7114">
        <v>1</v>
      </c>
      <c r="G7114">
        <v>13222</v>
      </c>
      <c r="H7114" s="1">
        <v>3</v>
      </c>
      <c r="I7114">
        <v>16</v>
      </c>
      <c r="J7114">
        <f>IF($H7114=0,1,IF($I7114&lt;=1,2,0))</f>
        <v>0</v>
      </c>
      <c r="K7114">
        <v>0</v>
      </c>
      <c r="L7114">
        <f>IF(AND($J7114=0,$K7114=0),0,1)</f>
        <v>0</v>
      </c>
    </row>
    <row r="7115" spans="1:13" x14ac:dyDescent="0.2">
      <c r="A7115" t="s">
        <v>759</v>
      </c>
      <c r="B7115" t="s">
        <v>386</v>
      </c>
      <c r="C7115" t="s">
        <v>407</v>
      </c>
      <c r="D7115">
        <v>5500</v>
      </c>
      <c r="E7115">
        <v>2021</v>
      </c>
      <c r="F7115">
        <v>1</v>
      </c>
      <c r="G7115">
        <v>13338</v>
      </c>
      <c r="H7115" s="1">
        <v>3</v>
      </c>
      <c r="I7115">
        <v>6</v>
      </c>
      <c r="J7115">
        <f>IF($H7115=0,1,IF($I7115&lt;=1,2,0))</f>
        <v>0</v>
      </c>
      <c r="K7115">
        <v>0</v>
      </c>
      <c r="L7115">
        <f>IF(AND($J7115=0,$K7115=0),0,1)</f>
        <v>0</v>
      </c>
    </row>
    <row r="7116" spans="1:13" x14ac:dyDescent="0.2">
      <c r="A7116" t="s">
        <v>759</v>
      </c>
      <c r="B7116" t="s">
        <v>386</v>
      </c>
      <c r="C7116" t="s">
        <v>407</v>
      </c>
      <c r="D7116">
        <v>5932</v>
      </c>
      <c r="E7116">
        <v>2021</v>
      </c>
      <c r="F7116">
        <v>5</v>
      </c>
      <c r="G7116">
        <v>13245</v>
      </c>
      <c r="H7116" s="1" t="s">
        <v>1827</v>
      </c>
      <c r="I7116">
        <v>3</v>
      </c>
      <c r="J7116">
        <f>IF($H7116=0,1,IF($I7116&lt;=1,2,0))</f>
        <v>0</v>
      </c>
      <c r="K7116">
        <v>0</v>
      </c>
      <c r="L7116">
        <f>IF(AND($J7116=0,$K7116=0),0,1)</f>
        <v>0</v>
      </c>
      <c r="M7116" t="s">
        <v>761</v>
      </c>
    </row>
    <row r="7117" spans="1:13" x14ac:dyDescent="0.2">
      <c r="A7117" t="s">
        <v>759</v>
      </c>
      <c r="B7117" t="s">
        <v>386</v>
      </c>
      <c r="C7117" t="s">
        <v>407</v>
      </c>
      <c r="D7117">
        <v>5932</v>
      </c>
      <c r="E7117">
        <v>2021</v>
      </c>
      <c r="F7117">
        <v>9</v>
      </c>
      <c r="G7117">
        <v>13250</v>
      </c>
      <c r="H7117" s="1" t="s">
        <v>1827</v>
      </c>
      <c r="I7117">
        <v>2</v>
      </c>
      <c r="J7117">
        <f>IF($H7117=0,1,IF($I7117&lt;=1,2,0))</f>
        <v>0</v>
      </c>
      <c r="K7117">
        <v>0</v>
      </c>
      <c r="L7117">
        <f>IF(AND($J7117=0,$K7117=0),0,1)</f>
        <v>0</v>
      </c>
      <c r="M7117" t="s">
        <v>761</v>
      </c>
    </row>
    <row r="7118" spans="1:13" x14ac:dyDescent="0.2">
      <c r="A7118" t="s">
        <v>759</v>
      </c>
      <c r="B7118" t="s">
        <v>386</v>
      </c>
      <c r="C7118" t="s">
        <v>407</v>
      </c>
      <c r="D7118">
        <v>5932</v>
      </c>
      <c r="E7118">
        <v>2021</v>
      </c>
      <c r="F7118">
        <v>10</v>
      </c>
      <c r="G7118">
        <v>13251</v>
      </c>
      <c r="H7118" s="1" t="s">
        <v>1827</v>
      </c>
      <c r="I7118">
        <v>2</v>
      </c>
      <c r="J7118">
        <f>IF($H7118=0,1,IF($I7118&lt;=1,2,0))</f>
        <v>0</v>
      </c>
      <c r="K7118">
        <v>0</v>
      </c>
      <c r="L7118">
        <f>IF(AND($J7118=0,$K7118=0),0,1)</f>
        <v>0</v>
      </c>
      <c r="M7118" t="s">
        <v>761</v>
      </c>
    </row>
    <row r="7119" spans="1:13" x14ac:dyDescent="0.2">
      <c r="A7119" t="s">
        <v>764</v>
      </c>
      <c r="B7119" t="s">
        <v>17</v>
      </c>
      <c r="C7119" t="s">
        <v>9</v>
      </c>
      <c r="D7119">
        <v>1101</v>
      </c>
      <c r="E7119">
        <v>2021</v>
      </c>
      <c r="F7119">
        <v>1</v>
      </c>
      <c r="G7119">
        <v>11032</v>
      </c>
      <c r="H7119" s="1">
        <v>5</v>
      </c>
      <c r="I7119">
        <v>9</v>
      </c>
      <c r="J7119">
        <f>IF($H7119=0,1,IF($I7119&lt;=1,2,0))</f>
        <v>0</v>
      </c>
      <c r="K7119">
        <v>0</v>
      </c>
      <c r="L7119">
        <f>IF(AND($J7119=0,$K7119=0),0,1)</f>
        <v>0</v>
      </c>
    </row>
    <row r="7120" spans="1:13" x14ac:dyDescent="0.2">
      <c r="A7120" t="s">
        <v>764</v>
      </c>
      <c r="B7120" t="s">
        <v>17</v>
      </c>
      <c r="C7120" t="s">
        <v>9</v>
      </c>
      <c r="D7120">
        <v>2101</v>
      </c>
      <c r="E7120">
        <v>2021</v>
      </c>
      <c r="F7120">
        <v>1</v>
      </c>
      <c r="G7120">
        <v>11033</v>
      </c>
      <c r="H7120" s="1">
        <v>5</v>
      </c>
      <c r="I7120">
        <v>4</v>
      </c>
      <c r="J7120">
        <f>IF($H7120=0,1,IF($I7120&lt;=1,2,0))</f>
        <v>0</v>
      </c>
      <c r="K7120">
        <v>0</v>
      </c>
      <c r="L7120">
        <f>IF(AND($J7120=0,$K7120=0),0,1)</f>
        <v>0</v>
      </c>
    </row>
    <row r="7121" spans="1:12" x14ac:dyDescent="0.2">
      <c r="A7121" t="s">
        <v>764</v>
      </c>
      <c r="B7121" t="s">
        <v>17</v>
      </c>
      <c r="C7121" t="s">
        <v>9</v>
      </c>
      <c r="D7121">
        <v>4101</v>
      </c>
      <c r="E7121">
        <v>2021</v>
      </c>
      <c r="F7121">
        <v>1</v>
      </c>
      <c r="G7121">
        <v>11035</v>
      </c>
      <c r="H7121" s="1">
        <v>4</v>
      </c>
      <c r="I7121">
        <v>2</v>
      </c>
      <c r="J7121">
        <f>IF($H7121=0,1,IF($I7121&lt;=1,2,0))</f>
        <v>0</v>
      </c>
      <c r="K7121">
        <v>0</v>
      </c>
      <c r="L7121">
        <f>IF(AND($J7121=0,$K7121=0),0,1)</f>
        <v>0</v>
      </c>
    </row>
    <row r="7122" spans="1:12" x14ac:dyDescent="0.2">
      <c r="A7122" t="s">
        <v>765</v>
      </c>
      <c r="B7122" t="s">
        <v>17</v>
      </c>
      <c r="C7122" t="s">
        <v>9</v>
      </c>
      <c r="D7122">
        <v>1101</v>
      </c>
      <c r="E7122">
        <v>2021</v>
      </c>
      <c r="F7122">
        <v>1</v>
      </c>
      <c r="G7122">
        <v>10653</v>
      </c>
      <c r="H7122" s="1">
        <v>4</v>
      </c>
      <c r="I7122">
        <v>9</v>
      </c>
      <c r="J7122">
        <f>IF($H7122=0,1,IF($I7122&lt;=1,2,0))</f>
        <v>0</v>
      </c>
      <c r="K7122">
        <v>0</v>
      </c>
      <c r="L7122">
        <f>IF(AND($J7122=0,$K7122=0),0,1)</f>
        <v>0</v>
      </c>
    </row>
    <row r="7123" spans="1:12" x14ac:dyDescent="0.2">
      <c r="A7123" t="s">
        <v>765</v>
      </c>
      <c r="B7123" t="s">
        <v>17</v>
      </c>
      <c r="C7123" t="s">
        <v>9</v>
      </c>
      <c r="D7123">
        <v>2101</v>
      </c>
      <c r="E7123">
        <v>2021</v>
      </c>
      <c r="F7123">
        <v>1</v>
      </c>
      <c r="G7123">
        <v>10654</v>
      </c>
      <c r="H7123" s="1">
        <v>4</v>
      </c>
      <c r="I7123">
        <v>4</v>
      </c>
      <c r="J7123">
        <f>IF($H7123=0,1,IF($I7123&lt;=1,2,0))</f>
        <v>0</v>
      </c>
      <c r="K7123">
        <v>0</v>
      </c>
      <c r="L7123">
        <f>IF(AND($J7123=0,$K7123=0),0,1)</f>
        <v>0</v>
      </c>
    </row>
    <row r="7124" spans="1:12" x14ac:dyDescent="0.2">
      <c r="A7124" t="s">
        <v>765</v>
      </c>
      <c r="B7124" t="s">
        <v>17</v>
      </c>
      <c r="C7124" t="s">
        <v>9</v>
      </c>
      <c r="D7124">
        <v>3301</v>
      </c>
      <c r="E7124">
        <v>2021</v>
      </c>
      <c r="F7124">
        <v>1</v>
      </c>
      <c r="G7124">
        <v>10655</v>
      </c>
      <c r="H7124" s="1">
        <v>4</v>
      </c>
      <c r="I7124">
        <v>2</v>
      </c>
      <c r="J7124">
        <f>IF($H7124=0,1,IF($I7124&lt;=1,2,0))</f>
        <v>0</v>
      </c>
      <c r="K7124">
        <v>0</v>
      </c>
      <c r="L7124">
        <f>IF(AND($J7124=0,$K7124=0),0,1)</f>
        <v>0</v>
      </c>
    </row>
    <row r="7125" spans="1:12" x14ac:dyDescent="0.2">
      <c r="A7125" t="s">
        <v>767</v>
      </c>
      <c r="B7125" t="s">
        <v>6</v>
      </c>
      <c r="C7125" t="s">
        <v>9</v>
      </c>
      <c r="D7125">
        <v>3125</v>
      </c>
      <c r="E7125">
        <v>2021</v>
      </c>
      <c r="F7125">
        <v>1</v>
      </c>
      <c r="G7125">
        <v>12725</v>
      </c>
      <c r="H7125" s="1">
        <v>3</v>
      </c>
      <c r="I7125">
        <v>79</v>
      </c>
      <c r="J7125">
        <f>IF($H7125=0,1,IF($I7125&lt;=1,2,0))</f>
        <v>0</v>
      </c>
      <c r="K7125">
        <v>0</v>
      </c>
      <c r="L7125">
        <f>IF(AND($J7125=0,$K7125=0),0,1)</f>
        <v>0</v>
      </c>
    </row>
    <row r="7126" spans="1:12" x14ac:dyDescent="0.2">
      <c r="A7126" t="s">
        <v>767</v>
      </c>
      <c r="B7126" t="s">
        <v>6</v>
      </c>
      <c r="C7126" t="s">
        <v>21</v>
      </c>
      <c r="D7126">
        <v>3521</v>
      </c>
      <c r="E7126">
        <v>2021</v>
      </c>
      <c r="F7126">
        <v>1</v>
      </c>
      <c r="G7126">
        <v>12726</v>
      </c>
      <c r="H7126" s="1">
        <v>4</v>
      </c>
      <c r="I7126">
        <v>2</v>
      </c>
      <c r="J7126">
        <f>IF($H7126=0,1,IF($I7126&lt;=1,2,0))</f>
        <v>0</v>
      </c>
      <c r="K7126">
        <v>0</v>
      </c>
      <c r="L7126">
        <f>IF(AND($J7126=0,$K7126=0),0,1)</f>
        <v>0</v>
      </c>
    </row>
    <row r="7127" spans="1:12" x14ac:dyDescent="0.2">
      <c r="A7127" t="s">
        <v>767</v>
      </c>
      <c r="B7127" t="s">
        <v>6</v>
      </c>
      <c r="C7127" t="s">
        <v>21</v>
      </c>
      <c r="D7127">
        <v>3525</v>
      </c>
      <c r="E7127">
        <v>2021</v>
      </c>
      <c r="F7127">
        <v>1</v>
      </c>
      <c r="G7127">
        <v>631</v>
      </c>
      <c r="H7127" s="1">
        <v>4</v>
      </c>
      <c r="I7127">
        <v>7</v>
      </c>
      <c r="J7127">
        <f>IF($H7127=0,1,IF($I7127&lt;=1,2,0))</f>
        <v>0</v>
      </c>
      <c r="K7127">
        <v>0</v>
      </c>
      <c r="L7127">
        <f>IF(AND($J7127=0,$K7127=0),0,1)</f>
        <v>0</v>
      </c>
    </row>
    <row r="7128" spans="1:12" x14ac:dyDescent="0.2">
      <c r="A7128" t="s">
        <v>767</v>
      </c>
      <c r="B7128" t="s">
        <v>6</v>
      </c>
      <c r="C7128" t="s">
        <v>11</v>
      </c>
      <c r="D7128">
        <v>4000</v>
      </c>
      <c r="E7128">
        <v>2021</v>
      </c>
      <c r="F7128">
        <v>1</v>
      </c>
      <c r="G7128">
        <v>12727</v>
      </c>
      <c r="H7128" s="1">
        <v>4</v>
      </c>
      <c r="I7128">
        <v>18</v>
      </c>
      <c r="J7128">
        <f>IF($H7128=0,1,IF($I7128&lt;=1,2,0))</f>
        <v>0</v>
      </c>
      <c r="K7128">
        <v>0</v>
      </c>
      <c r="L7128">
        <f>IF(AND($J7128=0,$K7128=0),0,1)</f>
        <v>0</v>
      </c>
    </row>
    <row r="7129" spans="1:12" x14ac:dyDescent="0.2">
      <c r="A7129" t="s">
        <v>767</v>
      </c>
      <c r="B7129" t="s">
        <v>6</v>
      </c>
      <c r="C7129" t="s">
        <v>21</v>
      </c>
      <c r="D7129">
        <v>4905</v>
      </c>
      <c r="E7129">
        <v>2021</v>
      </c>
      <c r="F7129">
        <v>1</v>
      </c>
      <c r="G7129">
        <v>632</v>
      </c>
      <c r="H7129" s="1">
        <v>4</v>
      </c>
      <c r="I7129">
        <v>14</v>
      </c>
      <c r="J7129">
        <f>IF($H7129=0,1,IF($I7129&lt;=1,2,0))</f>
        <v>0</v>
      </c>
      <c r="K7129">
        <v>0</v>
      </c>
      <c r="L7129">
        <f>IF(AND($J7129=0,$K7129=0),0,1)</f>
        <v>0</v>
      </c>
    </row>
    <row r="7130" spans="1:12" x14ac:dyDescent="0.2">
      <c r="A7130" t="s">
        <v>769</v>
      </c>
      <c r="B7130" t="s">
        <v>386</v>
      </c>
      <c r="C7130" t="s">
        <v>9</v>
      </c>
      <c r="D7130">
        <v>1100</v>
      </c>
      <c r="E7130">
        <v>2021</v>
      </c>
      <c r="F7130">
        <v>1</v>
      </c>
      <c r="G7130">
        <v>10413</v>
      </c>
      <c r="H7130" s="1">
        <v>3</v>
      </c>
      <c r="I7130">
        <v>15</v>
      </c>
      <c r="J7130">
        <f>IF($H7130=0,1,IF($I7130&lt;=1,2,0))</f>
        <v>0</v>
      </c>
      <c r="K7130">
        <v>0</v>
      </c>
      <c r="L7130">
        <f>IF(AND($J7130=0,$K7130=0),0,1)</f>
        <v>0</v>
      </c>
    </row>
    <row r="7131" spans="1:12" x14ac:dyDescent="0.2">
      <c r="A7131" t="s">
        <v>769</v>
      </c>
      <c r="B7131" t="s">
        <v>386</v>
      </c>
      <c r="C7131" t="s">
        <v>9</v>
      </c>
      <c r="D7131">
        <v>1100</v>
      </c>
      <c r="E7131">
        <v>2021</v>
      </c>
      <c r="F7131">
        <v>3</v>
      </c>
      <c r="G7131">
        <v>10415</v>
      </c>
      <c r="H7131" s="1">
        <v>3</v>
      </c>
      <c r="I7131">
        <v>15</v>
      </c>
      <c r="J7131">
        <f>IF($H7131=0,1,IF($I7131&lt;=1,2,0))</f>
        <v>0</v>
      </c>
      <c r="K7131">
        <v>0</v>
      </c>
      <c r="L7131">
        <f>IF(AND($J7131=0,$K7131=0),0,1)</f>
        <v>0</v>
      </c>
    </row>
    <row r="7132" spans="1:12" x14ac:dyDescent="0.2">
      <c r="A7132" t="s">
        <v>769</v>
      </c>
      <c r="B7132" t="s">
        <v>386</v>
      </c>
      <c r="C7132" t="s">
        <v>9</v>
      </c>
      <c r="D7132">
        <v>1100</v>
      </c>
      <c r="E7132">
        <v>2021</v>
      </c>
      <c r="F7132">
        <v>4</v>
      </c>
      <c r="G7132">
        <v>10416</v>
      </c>
      <c r="H7132" s="1">
        <v>3</v>
      </c>
      <c r="I7132">
        <v>15</v>
      </c>
      <c r="J7132">
        <f>IF($H7132=0,1,IF($I7132&lt;=1,2,0))</f>
        <v>0</v>
      </c>
      <c r="K7132">
        <v>0</v>
      </c>
      <c r="L7132">
        <f>IF(AND($J7132=0,$K7132=0),0,1)</f>
        <v>0</v>
      </c>
    </row>
    <row r="7133" spans="1:12" x14ac:dyDescent="0.2">
      <c r="A7133" t="s">
        <v>769</v>
      </c>
      <c r="B7133" t="s">
        <v>386</v>
      </c>
      <c r="C7133" t="s">
        <v>9</v>
      </c>
      <c r="D7133">
        <v>1100</v>
      </c>
      <c r="E7133">
        <v>2021</v>
      </c>
      <c r="F7133">
        <v>5</v>
      </c>
      <c r="G7133">
        <v>18368</v>
      </c>
      <c r="H7133" s="1">
        <v>3</v>
      </c>
      <c r="I7133">
        <v>14</v>
      </c>
      <c r="J7133">
        <f>IF($H7133=0,1,IF($I7133&lt;=1,2,0))</f>
        <v>0</v>
      </c>
      <c r="K7133">
        <v>0</v>
      </c>
      <c r="L7133">
        <f>IF(AND($J7133=0,$K7133=0),0,1)</f>
        <v>0</v>
      </c>
    </row>
    <row r="7134" spans="1:12" x14ac:dyDescent="0.2">
      <c r="A7134" t="s">
        <v>769</v>
      </c>
      <c r="B7134" t="s">
        <v>386</v>
      </c>
      <c r="C7134" t="s">
        <v>9</v>
      </c>
      <c r="D7134">
        <v>1100</v>
      </c>
      <c r="E7134">
        <v>2021</v>
      </c>
      <c r="F7134">
        <v>2</v>
      </c>
      <c r="G7134">
        <v>10414</v>
      </c>
      <c r="H7134" s="1">
        <v>3</v>
      </c>
      <c r="I7134">
        <v>10</v>
      </c>
      <c r="J7134">
        <f>IF($H7134=0,1,IF($I7134&lt;=1,2,0))</f>
        <v>0</v>
      </c>
      <c r="K7134">
        <v>0</v>
      </c>
      <c r="L7134">
        <f>IF(AND($J7134=0,$K7134=0),0,1)</f>
        <v>0</v>
      </c>
    </row>
    <row r="7135" spans="1:12" x14ac:dyDescent="0.2">
      <c r="A7135" t="s">
        <v>769</v>
      </c>
      <c r="B7135" t="s">
        <v>386</v>
      </c>
      <c r="C7135" t="s">
        <v>9</v>
      </c>
      <c r="D7135">
        <v>1200</v>
      </c>
      <c r="E7135">
        <v>2021</v>
      </c>
      <c r="F7135">
        <v>2</v>
      </c>
      <c r="G7135">
        <v>10418</v>
      </c>
      <c r="H7135" s="1">
        <v>3</v>
      </c>
      <c r="I7135">
        <v>15</v>
      </c>
      <c r="J7135">
        <f>IF($H7135=0,1,IF($I7135&lt;=1,2,0))</f>
        <v>0</v>
      </c>
      <c r="K7135">
        <v>0</v>
      </c>
      <c r="L7135">
        <f>IF(AND($J7135=0,$K7135=0),0,1)</f>
        <v>0</v>
      </c>
    </row>
    <row r="7136" spans="1:12" x14ac:dyDescent="0.2">
      <c r="A7136" t="s">
        <v>769</v>
      </c>
      <c r="B7136" t="s">
        <v>386</v>
      </c>
      <c r="C7136" t="s">
        <v>9</v>
      </c>
      <c r="D7136">
        <v>1200</v>
      </c>
      <c r="E7136">
        <v>2021</v>
      </c>
      <c r="F7136">
        <v>3</v>
      </c>
      <c r="G7136">
        <v>10419</v>
      </c>
      <c r="H7136" s="1">
        <v>3</v>
      </c>
      <c r="I7136">
        <v>13</v>
      </c>
      <c r="J7136">
        <f>IF($H7136=0,1,IF($I7136&lt;=1,2,0))</f>
        <v>0</v>
      </c>
      <c r="K7136">
        <v>0</v>
      </c>
      <c r="L7136">
        <f>IF(AND($J7136=0,$K7136=0),0,1)</f>
        <v>0</v>
      </c>
    </row>
    <row r="7137" spans="1:12" x14ac:dyDescent="0.2">
      <c r="A7137" t="s">
        <v>769</v>
      </c>
      <c r="B7137" t="s">
        <v>386</v>
      </c>
      <c r="C7137" t="s">
        <v>9</v>
      </c>
      <c r="D7137">
        <v>1200</v>
      </c>
      <c r="E7137">
        <v>2021</v>
      </c>
      <c r="F7137">
        <v>1</v>
      </c>
      <c r="G7137">
        <v>10417</v>
      </c>
      <c r="H7137" s="1">
        <v>3</v>
      </c>
      <c r="I7137">
        <v>12</v>
      </c>
      <c r="J7137">
        <f>IF($H7137=0,1,IF($I7137&lt;=1,2,0))</f>
        <v>0</v>
      </c>
      <c r="K7137">
        <v>0</v>
      </c>
      <c r="L7137">
        <f>IF(AND($J7137=0,$K7137=0),0,1)</f>
        <v>0</v>
      </c>
    </row>
    <row r="7138" spans="1:12" x14ac:dyDescent="0.2">
      <c r="A7138" t="s">
        <v>769</v>
      </c>
      <c r="B7138" t="s">
        <v>386</v>
      </c>
      <c r="C7138" t="s">
        <v>9</v>
      </c>
      <c r="D7138">
        <v>1300</v>
      </c>
      <c r="E7138">
        <v>2021</v>
      </c>
      <c r="F7138">
        <v>1</v>
      </c>
      <c r="G7138">
        <v>10420</v>
      </c>
      <c r="H7138" s="1">
        <v>3</v>
      </c>
      <c r="I7138">
        <v>14</v>
      </c>
      <c r="J7138">
        <f>IF($H7138=0,1,IF($I7138&lt;=1,2,0))</f>
        <v>0</v>
      </c>
      <c r="K7138">
        <v>0</v>
      </c>
      <c r="L7138">
        <f>IF(AND($J7138=0,$K7138=0),0,1)</f>
        <v>0</v>
      </c>
    </row>
    <row r="7139" spans="1:12" x14ac:dyDescent="0.2">
      <c r="A7139" t="s">
        <v>769</v>
      </c>
      <c r="B7139" t="s">
        <v>386</v>
      </c>
      <c r="C7139" t="s">
        <v>9</v>
      </c>
      <c r="D7139">
        <v>1300</v>
      </c>
      <c r="E7139">
        <v>2021</v>
      </c>
      <c r="F7139">
        <v>2</v>
      </c>
      <c r="G7139">
        <v>10421</v>
      </c>
      <c r="H7139" s="1">
        <v>3</v>
      </c>
      <c r="I7139">
        <v>14</v>
      </c>
      <c r="J7139">
        <f>IF($H7139=0,1,IF($I7139&lt;=1,2,0))</f>
        <v>0</v>
      </c>
      <c r="K7139">
        <v>0</v>
      </c>
      <c r="L7139">
        <f>IF(AND($J7139=0,$K7139=0),0,1)</f>
        <v>0</v>
      </c>
    </row>
    <row r="7140" spans="1:12" x14ac:dyDescent="0.2">
      <c r="A7140" t="s">
        <v>769</v>
      </c>
      <c r="B7140" t="s">
        <v>386</v>
      </c>
      <c r="C7140" t="s">
        <v>9</v>
      </c>
      <c r="D7140">
        <v>2100</v>
      </c>
      <c r="E7140">
        <v>2021</v>
      </c>
      <c r="F7140">
        <v>2</v>
      </c>
      <c r="G7140">
        <v>10423</v>
      </c>
      <c r="H7140" s="1">
        <v>3</v>
      </c>
      <c r="I7140">
        <v>16</v>
      </c>
      <c r="J7140">
        <f>IF($H7140=0,1,IF($I7140&lt;=1,2,0))</f>
        <v>0</v>
      </c>
      <c r="K7140">
        <v>0</v>
      </c>
      <c r="L7140">
        <f>IF(AND($J7140=0,$K7140=0),0,1)</f>
        <v>0</v>
      </c>
    </row>
    <row r="7141" spans="1:12" x14ac:dyDescent="0.2">
      <c r="A7141" t="s">
        <v>769</v>
      </c>
      <c r="B7141" t="s">
        <v>386</v>
      </c>
      <c r="C7141" t="s">
        <v>9</v>
      </c>
      <c r="D7141">
        <v>2100</v>
      </c>
      <c r="E7141">
        <v>2021</v>
      </c>
      <c r="F7141">
        <v>1</v>
      </c>
      <c r="G7141">
        <v>10422</v>
      </c>
      <c r="H7141" s="1">
        <v>3</v>
      </c>
      <c r="I7141">
        <v>13</v>
      </c>
      <c r="J7141">
        <f>IF($H7141=0,1,IF($I7141&lt;=1,2,0))</f>
        <v>0</v>
      </c>
      <c r="K7141">
        <v>0</v>
      </c>
      <c r="L7141">
        <f>IF(AND($J7141=0,$K7141=0),0,1)</f>
        <v>0</v>
      </c>
    </row>
    <row r="7142" spans="1:12" x14ac:dyDescent="0.2">
      <c r="A7142" t="s">
        <v>769</v>
      </c>
      <c r="B7142" t="s">
        <v>386</v>
      </c>
      <c r="C7142" t="s">
        <v>9</v>
      </c>
      <c r="D7142">
        <v>2200</v>
      </c>
      <c r="E7142">
        <v>2021</v>
      </c>
      <c r="F7142">
        <v>1</v>
      </c>
      <c r="G7142">
        <v>10424</v>
      </c>
      <c r="H7142" s="1">
        <v>3</v>
      </c>
      <c r="I7142">
        <v>10</v>
      </c>
      <c r="J7142">
        <f>IF($H7142=0,1,IF($I7142&lt;=1,2,0))</f>
        <v>0</v>
      </c>
      <c r="K7142">
        <v>0</v>
      </c>
      <c r="L7142">
        <f>IF(AND($J7142=0,$K7142=0),0,1)</f>
        <v>0</v>
      </c>
    </row>
    <row r="7143" spans="1:12" x14ac:dyDescent="0.2">
      <c r="A7143" t="s">
        <v>769</v>
      </c>
      <c r="B7143" t="s">
        <v>386</v>
      </c>
      <c r="C7143" t="s">
        <v>9</v>
      </c>
      <c r="D7143">
        <v>2211</v>
      </c>
      <c r="E7143">
        <v>2021</v>
      </c>
      <c r="F7143">
        <v>1</v>
      </c>
      <c r="G7143">
        <v>10584</v>
      </c>
      <c r="H7143" s="1">
        <v>3</v>
      </c>
      <c r="I7143">
        <v>11</v>
      </c>
      <c r="J7143">
        <f>IF($H7143=0,1,IF($I7143&lt;=1,2,0))</f>
        <v>0</v>
      </c>
      <c r="K7143">
        <v>0</v>
      </c>
      <c r="L7143">
        <f>IF(AND($J7143=0,$K7143=0),0,1)</f>
        <v>0</v>
      </c>
    </row>
    <row r="7144" spans="1:12" x14ac:dyDescent="0.2">
      <c r="A7144" t="s">
        <v>769</v>
      </c>
      <c r="B7144" t="s">
        <v>386</v>
      </c>
      <c r="C7144" t="s">
        <v>9</v>
      </c>
      <c r="D7144">
        <v>2300</v>
      </c>
      <c r="E7144">
        <v>2021</v>
      </c>
      <c r="F7144">
        <v>1</v>
      </c>
      <c r="G7144">
        <v>10425</v>
      </c>
      <c r="H7144" s="1">
        <v>3</v>
      </c>
      <c r="I7144">
        <v>12</v>
      </c>
      <c r="J7144">
        <f>IF($H7144=0,1,IF($I7144&lt;=1,2,0))</f>
        <v>0</v>
      </c>
      <c r="K7144">
        <v>0</v>
      </c>
      <c r="L7144">
        <f>IF(AND($J7144=0,$K7144=0),0,1)</f>
        <v>0</v>
      </c>
    </row>
    <row r="7145" spans="1:12" x14ac:dyDescent="0.2">
      <c r="A7145" t="s">
        <v>769</v>
      </c>
      <c r="B7145" t="s">
        <v>386</v>
      </c>
      <c r="C7145" t="s">
        <v>9</v>
      </c>
      <c r="D7145">
        <v>2310</v>
      </c>
      <c r="E7145">
        <v>2021</v>
      </c>
      <c r="F7145">
        <v>1</v>
      </c>
      <c r="G7145">
        <v>15012</v>
      </c>
      <c r="H7145" s="1">
        <v>3</v>
      </c>
      <c r="I7145">
        <v>12</v>
      </c>
      <c r="J7145">
        <f>IF($H7145=0,1,IF($I7145&lt;=1,2,0))</f>
        <v>0</v>
      </c>
      <c r="K7145">
        <v>0</v>
      </c>
      <c r="L7145">
        <f>IF(AND($J7145=0,$K7145=0),0,1)</f>
        <v>0</v>
      </c>
    </row>
    <row r="7146" spans="1:12" x14ac:dyDescent="0.2">
      <c r="A7146" t="s">
        <v>769</v>
      </c>
      <c r="B7146" t="s">
        <v>386</v>
      </c>
      <c r="C7146" t="s">
        <v>9</v>
      </c>
      <c r="D7146">
        <v>2311</v>
      </c>
      <c r="E7146">
        <v>2021</v>
      </c>
      <c r="F7146">
        <v>1</v>
      </c>
      <c r="G7146">
        <v>10585</v>
      </c>
      <c r="H7146" s="1">
        <v>3</v>
      </c>
      <c r="I7146">
        <v>12</v>
      </c>
      <c r="J7146">
        <f>IF($H7146=0,1,IF($I7146&lt;=1,2,0))</f>
        <v>0</v>
      </c>
      <c r="K7146">
        <v>0</v>
      </c>
      <c r="L7146">
        <f>IF(AND($J7146=0,$K7146=0),0,1)</f>
        <v>0</v>
      </c>
    </row>
    <row r="7147" spans="1:12" x14ac:dyDescent="0.2">
      <c r="A7147" t="s">
        <v>769</v>
      </c>
      <c r="B7147" t="s">
        <v>386</v>
      </c>
      <c r="C7147" t="s">
        <v>9</v>
      </c>
      <c r="D7147">
        <v>3011</v>
      </c>
      <c r="E7147">
        <v>2021</v>
      </c>
      <c r="F7147">
        <v>1</v>
      </c>
      <c r="G7147">
        <v>17480</v>
      </c>
      <c r="H7147" s="1">
        <v>3</v>
      </c>
      <c r="I7147">
        <v>5</v>
      </c>
      <c r="J7147">
        <f>IF($H7147=0,1,IF($I7147&lt;=1,2,0))</f>
        <v>0</v>
      </c>
      <c r="K7147">
        <v>0</v>
      </c>
      <c r="L7147">
        <f>IF(AND($J7147=0,$K7147=0),0,1)</f>
        <v>0</v>
      </c>
    </row>
    <row r="7148" spans="1:12" x14ac:dyDescent="0.2">
      <c r="A7148" t="s">
        <v>769</v>
      </c>
      <c r="B7148" t="s">
        <v>386</v>
      </c>
      <c r="C7148" t="s">
        <v>9</v>
      </c>
      <c r="D7148">
        <v>3014</v>
      </c>
      <c r="E7148">
        <v>2021</v>
      </c>
      <c r="F7148">
        <v>1</v>
      </c>
      <c r="G7148">
        <v>10586</v>
      </c>
      <c r="H7148" s="1">
        <v>3</v>
      </c>
      <c r="I7148">
        <v>15</v>
      </c>
      <c r="J7148">
        <f>IF($H7148=0,1,IF($I7148&lt;=1,2,0))</f>
        <v>0</v>
      </c>
      <c r="K7148">
        <v>0</v>
      </c>
      <c r="L7148">
        <f>IF(AND($J7148=0,$K7148=0),0,1)</f>
        <v>0</v>
      </c>
    </row>
    <row r="7149" spans="1:12" x14ac:dyDescent="0.2">
      <c r="A7149" t="s">
        <v>769</v>
      </c>
      <c r="B7149" t="s">
        <v>386</v>
      </c>
      <c r="C7149" t="s">
        <v>9</v>
      </c>
      <c r="D7149">
        <v>3016</v>
      </c>
      <c r="E7149">
        <v>2021</v>
      </c>
      <c r="F7149">
        <v>1</v>
      </c>
      <c r="G7149">
        <v>11927</v>
      </c>
      <c r="H7149" s="1">
        <v>3</v>
      </c>
      <c r="I7149">
        <v>16</v>
      </c>
      <c r="J7149">
        <f>IF($H7149=0,1,IF($I7149&lt;=1,2,0))</f>
        <v>0</v>
      </c>
      <c r="K7149">
        <v>0</v>
      </c>
      <c r="L7149">
        <f>IF(AND($J7149=0,$K7149=0),0,1)</f>
        <v>0</v>
      </c>
    </row>
    <row r="7150" spans="1:12" x14ac:dyDescent="0.2">
      <c r="A7150" t="s">
        <v>769</v>
      </c>
      <c r="B7150" t="s">
        <v>386</v>
      </c>
      <c r="C7150" t="s">
        <v>9</v>
      </c>
      <c r="D7150">
        <v>3019</v>
      </c>
      <c r="E7150">
        <v>2021</v>
      </c>
      <c r="F7150">
        <v>1</v>
      </c>
      <c r="G7150">
        <v>10588</v>
      </c>
      <c r="H7150" s="1">
        <v>3</v>
      </c>
      <c r="I7150">
        <v>13</v>
      </c>
      <c r="J7150">
        <f>IF($H7150=0,1,IF($I7150&lt;=1,2,0))</f>
        <v>0</v>
      </c>
      <c r="K7150">
        <v>0</v>
      </c>
      <c r="L7150">
        <f>IF(AND($J7150=0,$K7150=0),0,1)</f>
        <v>0</v>
      </c>
    </row>
    <row r="7151" spans="1:12" x14ac:dyDescent="0.2">
      <c r="A7151" t="s">
        <v>769</v>
      </c>
      <c r="B7151" t="s">
        <v>386</v>
      </c>
      <c r="C7151" t="s">
        <v>9</v>
      </c>
      <c r="D7151">
        <v>3023</v>
      </c>
      <c r="E7151">
        <v>2021</v>
      </c>
      <c r="F7151">
        <v>1</v>
      </c>
      <c r="G7151">
        <v>10587</v>
      </c>
      <c r="H7151" s="1">
        <v>3</v>
      </c>
      <c r="I7151">
        <v>15</v>
      </c>
      <c r="J7151">
        <f>IF($H7151=0,1,IF($I7151&lt;=1,2,0))</f>
        <v>0</v>
      </c>
      <c r="K7151">
        <v>0</v>
      </c>
      <c r="L7151">
        <f>IF(AND($J7151=0,$K7151=0),0,1)</f>
        <v>0</v>
      </c>
    </row>
    <row r="7152" spans="1:12" x14ac:dyDescent="0.2">
      <c r="A7152" t="s">
        <v>769</v>
      </c>
      <c r="B7152" t="s">
        <v>386</v>
      </c>
      <c r="C7152" t="s">
        <v>34</v>
      </c>
      <c r="D7152">
        <v>3100</v>
      </c>
      <c r="E7152">
        <v>2021</v>
      </c>
      <c r="F7152">
        <v>1</v>
      </c>
      <c r="G7152">
        <v>10426</v>
      </c>
      <c r="H7152" s="1">
        <v>3</v>
      </c>
      <c r="I7152">
        <v>13</v>
      </c>
      <c r="J7152">
        <f>IF($H7152=0,1,IF($I7152&lt;=1,2,0))</f>
        <v>0</v>
      </c>
      <c r="K7152">
        <v>0</v>
      </c>
      <c r="L7152">
        <f>IF(AND($J7152=0,$K7152=0),0,1)</f>
        <v>0</v>
      </c>
    </row>
    <row r="7153" spans="1:12" x14ac:dyDescent="0.2">
      <c r="A7153" t="s">
        <v>769</v>
      </c>
      <c r="B7153" t="s">
        <v>386</v>
      </c>
      <c r="C7153" t="s">
        <v>34</v>
      </c>
      <c r="D7153">
        <v>3100</v>
      </c>
      <c r="E7153">
        <v>2021</v>
      </c>
      <c r="F7153">
        <v>2</v>
      </c>
      <c r="G7153">
        <v>10427</v>
      </c>
      <c r="H7153" s="1">
        <v>3</v>
      </c>
      <c r="I7153">
        <v>13</v>
      </c>
      <c r="J7153">
        <f>IF($H7153=0,1,IF($I7153&lt;=1,2,0))</f>
        <v>0</v>
      </c>
      <c r="K7153">
        <v>0</v>
      </c>
      <c r="L7153">
        <f>IF(AND($J7153=0,$K7153=0),0,1)</f>
        <v>0</v>
      </c>
    </row>
    <row r="7154" spans="1:12" x14ac:dyDescent="0.2">
      <c r="A7154" t="s">
        <v>769</v>
      </c>
      <c r="B7154" t="s">
        <v>386</v>
      </c>
      <c r="C7154" t="s">
        <v>34</v>
      </c>
      <c r="D7154">
        <v>3101</v>
      </c>
      <c r="E7154">
        <v>2021</v>
      </c>
      <c r="F7154">
        <v>1</v>
      </c>
      <c r="G7154">
        <v>10428</v>
      </c>
      <c r="H7154" s="1">
        <v>4</v>
      </c>
      <c r="I7154">
        <v>13</v>
      </c>
      <c r="J7154">
        <f>IF($H7154=0,1,IF($I7154&lt;=1,2,0))</f>
        <v>0</v>
      </c>
      <c r="K7154">
        <v>0</v>
      </c>
      <c r="L7154">
        <f>IF(AND($J7154=0,$K7154=0),0,1)</f>
        <v>0</v>
      </c>
    </row>
    <row r="7155" spans="1:12" x14ac:dyDescent="0.2">
      <c r="A7155" t="s">
        <v>769</v>
      </c>
      <c r="B7155" t="s">
        <v>386</v>
      </c>
      <c r="C7155" t="s">
        <v>9</v>
      </c>
      <c r="D7155">
        <v>3114</v>
      </c>
      <c r="E7155">
        <v>2021</v>
      </c>
      <c r="F7155">
        <v>1</v>
      </c>
      <c r="G7155">
        <v>11714</v>
      </c>
      <c r="H7155" s="1">
        <v>3</v>
      </c>
      <c r="I7155">
        <v>15</v>
      </c>
      <c r="J7155">
        <f>IF($H7155=0,1,IF($I7155&lt;=1,2,0))</f>
        <v>0</v>
      </c>
      <c r="K7155">
        <v>0</v>
      </c>
      <c r="L7155">
        <f>IF(AND($J7155=0,$K7155=0),0,1)</f>
        <v>0</v>
      </c>
    </row>
    <row r="7156" spans="1:12" x14ac:dyDescent="0.2">
      <c r="A7156" t="s">
        <v>769</v>
      </c>
      <c r="B7156" t="s">
        <v>386</v>
      </c>
      <c r="C7156" t="s">
        <v>9</v>
      </c>
      <c r="D7156">
        <v>3115</v>
      </c>
      <c r="E7156">
        <v>2021</v>
      </c>
      <c r="F7156">
        <v>1</v>
      </c>
      <c r="G7156">
        <v>10583</v>
      </c>
      <c r="H7156" s="1">
        <v>3</v>
      </c>
      <c r="I7156">
        <v>17</v>
      </c>
      <c r="J7156">
        <f>IF($H7156=0,1,IF($I7156&lt;=1,2,0))</f>
        <v>0</v>
      </c>
      <c r="K7156">
        <v>0</v>
      </c>
      <c r="L7156">
        <f>IF(AND($J7156=0,$K7156=0),0,1)</f>
        <v>0</v>
      </c>
    </row>
    <row r="7157" spans="1:12" x14ac:dyDescent="0.2">
      <c r="A7157" t="s">
        <v>769</v>
      </c>
      <c r="B7157" t="s">
        <v>386</v>
      </c>
      <c r="C7157" t="s">
        <v>9</v>
      </c>
      <c r="D7157">
        <v>3122</v>
      </c>
      <c r="E7157">
        <v>2021</v>
      </c>
      <c r="F7157">
        <v>1</v>
      </c>
      <c r="G7157">
        <v>15011</v>
      </c>
      <c r="H7157" s="1">
        <v>3</v>
      </c>
      <c r="I7157">
        <v>14</v>
      </c>
      <c r="J7157">
        <f>IF($H7157=0,1,IF($I7157&lt;=1,2,0))</f>
        <v>0</v>
      </c>
      <c r="K7157">
        <v>0</v>
      </c>
      <c r="L7157">
        <f>IF(AND($J7157=0,$K7157=0),0,1)</f>
        <v>0</v>
      </c>
    </row>
    <row r="7158" spans="1:12" x14ac:dyDescent="0.2">
      <c r="A7158" t="s">
        <v>769</v>
      </c>
      <c r="B7158" t="s">
        <v>386</v>
      </c>
      <c r="C7158" t="s">
        <v>9</v>
      </c>
      <c r="D7158">
        <v>3126</v>
      </c>
      <c r="E7158">
        <v>2021</v>
      </c>
      <c r="F7158">
        <v>1</v>
      </c>
      <c r="G7158">
        <v>11718</v>
      </c>
      <c r="H7158" s="1">
        <v>3</v>
      </c>
      <c r="I7158">
        <v>15</v>
      </c>
      <c r="J7158">
        <f>IF($H7158=0,1,IF($I7158&lt;=1,2,0))</f>
        <v>0</v>
      </c>
      <c r="K7158">
        <v>0</v>
      </c>
      <c r="L7158">
        <f>IF(AND($J7158=0,$K7158=0),0,1)</f>
        <v>0</v>
      </c>
    </row>
    <row r="7159" spans="1:12" x14ac:dyDescent="0.2">
      <c r="A7159" t="s">
        <v>769</v>
      </c>
      <c r="B7159" t="s">
        <v>386</v>
      </c>
      <c r="C7159" t="s">
        <v>9</v>
      </c>
      <c r="D7159">
        <v>3200</v>
      </c>
      <c r="E7159">
        <v>2021</v>
      </c>
      <c r="F7159">
        <v>1</v>
      </c>
      <c r="G7159">
        <v>10429</v>
      </c>
      <c r="H7159" s="1">
        <v>3</v>
      </c>
      <c r="I7159">
        <v>12</v>
      </c>
      <c r="J7159">
        <f>IF($H7159=0,1,IF($I7159&lt;=1,2,0))</f>
        <v>0</v>
      </c>
      <c r="K7159">
        <v>0</v>
      </c>
      <c r="L7159">
        <f>IF(AND($J7159=0,$K7159=0),0,1)</f>
        <v>0</v>
      </c>
    </row>
    <row r="7160" spans="1:12" x14ac:dyDescent="0.2">
      <c r="A7160" t="s">
        <v>769</v>
      </c>
      <c r="B7160" t="s">
        <v>386</v>
      </c>
      <c r="C7160" t="s">
        <v>9</v>
      </c>
      <c r="D7160">
        <v>3214</v>
      </c>
      <c r="E7160">
        <v>2021</v>
      </c>
      <c r="F7160">
        <v>1</v>
      </c>
      <c r="G7160">
        <v>13736</v>
      </c>
      <c r="H7160" s="1">
        <v>3</v>
      </c>
      <c r="I7160">
        <v>15</v>
      </c>
      <c r="J7160">
        <f>IF($H7160=0,1,IF($I7160&lt;=1,2,0))</f>
        <v>0</v>
      </c>
      <c r="K7160">
        <v>0</v>
      </c>
      <c r="L7160">
        <f>IF(AND($J7160=0,$K7160=0),0,1)</f>
        <v>0</v>
      </c>
    </row>
    <row r="7161" spans="1:12" x14ac:dyDescent="0.2">
      <c r="A7161" t="s">
        <v>769</v>
      </c>
      <c r="B7161" t="s">
        <v>386</v>
      </c>
      <c r="C7161" t="s">
        <v>9</v>
      </c>
      <c r="D7161">
        <v>3300</v>
      </c>
      <c r="E7161">
        <v>2021</v>
      </c>
      <c r="F7161">
        <v>1</v>
      </c>
      <c r="G7161">
        <v>11721</v>
      </c>
      <c r="H7161" s="1">
        <v>3</v>
      </c>
      <c r="I7161">
        <v>15</v>
      </c>
      <c r="J7161">
        <f>IF($H7161=0,1,IF($I7161&lt;=1,2,0))</f>
        <v>0</v>
      </c>
      <c r="K7161">
        <v>0</v>
      </c>
      <c r="L7161">
        <f>IF(AND($J7161=0,$K7161=0),0,1)</f>
        <v>0</v>
      </c>
    </row>
    <row r="7162" spans="1:12" x14ac:dyDescent="0.2">
      <c r="A7162" t="s">
        <v>769</v>
      </c>
      <c r="B7162" t="s">
        <v>386</v>
      </c>
      <c r="C7162" t="s">
        <v>9</v>
      </c>
      <c r="D7162">
        <v>4310</v>
      </c>
      <c r="E7162">
        <v>2021</v>
      </c>
      <c r="F7162">
        <v>1</v>
      </c>
      <c r="G7162">
        <v>11735</v>
      </c>
      <c r="H7162" s="1">
        <v>3</v>
      </c>
      <c r="I7162">
        <v>15</v>
      </c>
      <c r="J7162">
        <f>IF($H7162=0,1,IF($I7162&lt;=1,2,0))</f>
        <v>0</v>
      </c>
      <c r="K7162">
        <v>0</v>
      </c>
      <c r="L7162">
        <f>IF(AND($J7162=0,$K7162=0),0,1)</f>
        <v>0</v>
      </c>
    </row>
    <row r="7163" spans="1:12" x14ac:dyDescent="0.2">
      <c r="A7163" t="s">
        <v>769</v>
      </c>
      <c r="B7163" t="s">
        <v>386</v>
      </c>
      <c r="C7163" t="s">
        <v>407</v>
      </c>
      <c r="D7163">
        <v>5100</v>
      </c>
      <c r="E7163">
        <v>2021</v>
      </c>
      <c r="F7163">
        <v>1</v>
      </c>
      <c r="G7163">
        <v>13737</v>
      </c>
      <c r="H7163" s="1">
        <v>6</v>
      </c>
      <c r="I7163">
        <v>12</v>
      </c>
      <c r="J7163">
        <f>IF($H7163=0,1,IF($I7163&lt;=1,2,0))</f>
        <v>0</v>
      </c>
      <c r="K7163">
        <v>0</v>
      </c>
      <c r="L7163">
        <f>IF(AND($J7163=0,$K7163=0),0,1)</f>
        <v>0</v>
      </c>
    </row>
    <row r="7164" spans="1:12" x14ac:dyDescent="0.2">
      <c r="A7164" t="s">
        <v>769</v>
      </c>
      <c r="B7164" t="s">
        <v>386</v>
      </c>
      <c r="C7164" t="s">
        <v>407</v>
      </c>
      <c r="D7164">
        <v>5100</v>
      </c>
      <c r="E7164">
        <v>2021</v>
      </c>
      <c r="F7164">
        <v>2</v>
      </c>
      <c r="G7164">
        <v>13738</v>
      </c>
      <c r="H7164" s="1">
        <v>6</v>
      </c>
      <c r="I7164">
        <v>12</v>
      </c>
      <c r="J7164">
        <f>IF($H7164=0,1,IF($I7164&lt;=1,2,0))</f>
        <v>0</v>
      </c>
      <c r="K7164">
        <v>0</v>
      </c>
      <c r="L7164">
        <f>IF(AND($J7164=0,$K7164=0),0,1)</f>
        <v>0</v>
      </c>
    </row>
    <row r="7165" spans="1:12" x14ac:dyDescent="0.2">
      <c r="A7165" t="s">
        <v>769</v>
      </c>
      <c r="B7165" t="s">
        <v>386</v>
      </c>
      <c r="C7165" t="s">
        <v>407</v>
      </c>
      <c r="D7165">
        <v>5100</v>
      </c>
      <c r="E7165">
        <v>2021</v>
      </c>
      <c r="F7165">
        <v>4</v>
      </c>
      <c r="G7165">
        <v>13740</v>
      </c>
      <c r="H7165" s="1">
        <v>6</v>
      </c>
      <c r="I7165">
        <v>12</v>
      </c>
      <c r="J7165">
        <f>IF($H7165=0,1,IF($I7165&lt;=1,2,0))</f>
        <v>0</v>
      </c>
      <c r="K7165">
        <v>0</v>
      </c>
      <c r="L7165">
        <f>IF(AND($J7165=0,$K7165=0),0,1)</f>
        <v>0</v>
      </c>
    </row>
    <row r="7166" spans="1:12" x14ac:dyDescent="0.2">
      <c r="A7166" t="s">
        <v>769</v>
      </c>
      <c r="B7166" t="s">
        <v>386</v>
      </c>
      <c r="C7166" t="s">
        <v>407</v>
      </c>
      <c r="D7166">
        <v>5100</v>
      </c>
      <c r="E7166">
        <v>2021</v>
      </c>
      <c r="F7166">
        <v>5</v>
      </c>
      <c r="G7166">
        <v>13741</v>
      </c>
      <c r="H7166" s="1">
        <v>6</v>
      </c>
      <c r="I7166">
        <v>12</v>
      </c>
      <c r="J7166">
        <f>IF($H7166=0,1,IF($I7166&lt;=1,2,0))</f>
        <v>0</v>
      </c>
      <c r="K7166">
        <v>0</v>
      </c>
      <c r="L7166">
        <f>IF(AND($J7166=0,$K7166=0),0,1)</f>
        <v>0</v>
      </c>
    </row>
    <row r="7167" spans="1:12" x14ac:dyDescent="0.2">
      <c r="A7167" t="s">
        <v>769</v>
      </c>
      <c r="B7167" t="s">
        <v>386</v>
      </c>
      <c r="C7167" t="s">
        <v>407</v>
      </c>
      <c r="D7167">
        <v>5100</v>
      </c>
      <c r="E7167">
        <v>2021</v>
      </c>
      <c r="F7167">
        <v>6</v>
      </c>
      <c r="G7167">
        <v>13742</v>
      </c>
      <c r="H7167" s="1">
        <v>6</v>
      </c>
      <c r="I7167">
        <v>12</v>
      </c>
      <c r="J7167">
        <f>IF($H7167=0,1,IF($I7167&lt;=1,2,0))</f>
        <v>0</v>
      </c>
      <c r="K7167">
        <v>0</v>
      </c>
      <c r="L7167">
        <f>IF(AND($J7167=0,$K7167=0),0,1)</f>
        <v>0</v>
      </c>
    </row>
    <row r="7168" spans="1:12" x14ac:dyDescent="0.2">
      <c r="A7168" t="s">
        <v>769</v>
      </c>
      <c r="B7168" t="s">
        <v>386</v>
      </c>
      <c r="C7168" t="s">
        <v>407</v>
      </c>
      <c r="D7168">
        <v>5100</v>
      </c>
      <c r="E7168">
        <v>2021</v>
      </c>
      <c r="F7168">
        <v>7</v>
      </c>
      <c r="G7168">
        <v>13743</v>
      </c>
      <c r="H7168" s="1">
        <v>6</v>
      </c>
      <c r="I7168">
        <v>12</v>
      </c>
      <c r="J7168">
        <f>IF($H7168=0,1,IF($I7168&lt;=1,2,0))</f>
        <v>0</v>
      </c>
      <c r="K7168">
        <v>0</v>
      </c>
      <c r="L7168">
        <f>IF(AND($J7168=0,$K7168=0),0,1)</f>
        <v>0</v>
      </c>
    </row>
    <row r="7169" spans="1:12" x14ac:dyDescent="0.2">
      <c r="A7169" t="s">
        <v>769</v>
      </c>
      <c r="B7169" t="s">
        <v>386</v>
      </c>
      <c r="C7169" t="s">
        <v>407</v>
      </c>
      <c r="D7169">
        <v>5100</v>
      </c>
      <c r="E7169">
        <v>2021</v>
      </c>
      <c r="F7169">
        <v>8</v>
      </c>
      <c r="G7169">
        <v>13744</v>
      </c>
      <c r="H7169" s="1">
        <v>6</v>
      </c>
      <c r="I7169">
        <v>12</v>
      </c>
      <c r="J7169">
        <f>IF($H7169=0,1,IF($I7169&lt;=1,2,0))</f>
        <v>0</v>
      </c>
      <c r="K7169">
        <v>0</v>
      </c>
      <c r="L7169">
        <f>IF(AND($J7169=0,$K7169=0),0,1)</f>
        <v>0</v>
      </c>
    </row>
    <row r="7170" spans="1:12" x14ac:dyDescent="0.2">
      <c r="A7170" t="s">
        <v>769</v>
      </c>
      <c r="B7170" t="s">
        <v>386</v>
      </c>
      <c r="C7170" t="s">
        <v>407</v>
      </c>
      <c r="D7170">
        <v>5100</v>
      </c>
      <c r="E7170">
        <v>2021</v>
      </c>
      <c r="F7170">
        <v>10</v>
      </c>
      <c r="G7170">
        <v>20171</v>
      </c>
      <c r="H7170" s="1">
        <v>6</v>
      </c>
      <c r="I7170">
        <v>12</v>
      </c>
      <c r="J7170">
        <f>IF($H7170=0,1,IF($I7170&lt;=1,2,0))</f>
        <v>0</v>
      </c>
      <c r="K7170">
        <v>0</v>
      </c>
      <c r="L7170">
        <f>IF(AND($J7170=0,$K7170=0),0,1)</f>
        <v>0</v>
      </c>
    </row>
    <row r="7171" spans="1:12" x14ac:dyDescent="0.2">
      <c r="A7171" t="s">
        <v>769</v>
      </c>
      <c r="B7171" t="s">
        <v>386</v>
      </c>
      <c r="C7171" t="s">
        <v>407</v>
      </c>
      <c r="D7171">
        <v>5100</v>
      </c>
      <c r="E7171">
        <v>2021</v>
      </c>
      <c r="F7171">
        <v>3</v>
      </c>
      <c r="G7171">
        <v>13739</v>
      </c>
      <c r="H7171" s="1">
        <v>6</v>
      </c>
      <c r="I7171">
        <v>11</v>
      </c>
      <c r="J7171">
        <f>IF($H7171=0,1,IF($I7171&lt;=1,2,0))</f>
        <v>0</v>
      </c>
      <c r="K7171">
        <v>0</v>
      </c>
      <c r="L7171">
        <f>IF(AND($J7171=0,$K7171=0),0,1)</f>
        <v>0</v>
      </c>
    </row>
    <row r="7172" spans="1:12" x14ac:dyDescent="0.2">
      <c r="A7172" t="s">
        <v>769</v>
      </c>
      <c r="B7172" t="s">
        <v>386</v>
      </c>
      <c r="C7172" t="s">
        <v>407</v>
      </c>
      <c r="D7172">
        <v>5100</v>
      </c>
      <c r="E7172">
        <v>2021</v>
      </c>
      <c r="F7172">
        <v>9</v>
      </c>
      <c r="G7172">
        <v>13745</v>
      </c>
      <c r="H7172" s="1">
        <v>6</v>
      </c>
      <c r="I7172">
        <v>11</v>
      </c>
      <c r="J7172">
        <f>IF($H7172=0,1,IF($I7172&lt;=1,2,0))</f>
        <v>0</v>
      </c>
      <c r="K7172">
        <v>0</v>
      </c>
      <c r="L7172">
        <f>IF(AND($J7172=0,$K7172=0),0,1)</f>
        <v>0</v>
      </c>
    </row>
    <row r="7173" spans="1:12" x14ac:dyDescent="0.2">
      <c r="A7173" t="s">
        <v>769</v>
      </c>
      <c r="B7173" t="s">
        <v>386</v>
      </c>
      <c r="C7173" t="s">
        <v>407</v>
      </c>
      <c r="D7173">
        <v>5200</v>
      </c>
      <c r="E7173">
        <v>2021</v>
      </c>
      <c r="F7173">
        <v>2</v>
      </c>
      <c r="G7173">
        <v>13747</v>
      </c>
      <c r="H7173" s="1">
        <v>6</v>
      </c>
      <c r="I7173">
        <v>11</v>
      </c>
      <c r="J7173">
        <f>IF($H7173=0,1,IF($I7173&lt;=1,2,0))</f>
        <v>0</v>
      </c>
      <c r="K7173">
        <v>0</v>
      </c>
      <c r="L7173">
        <f>IF(AND($J7173=0,$K7173=0),0,1)</f>
        <v>0</v>
      </c>
    </row>
    <row r="7174" spans="1:12" x14ac:dyDescent="0.2">
      <c r="A7174" t="s">
        <v>769</v>
      </c>
      <c r="B7174" t="s">
        <v>386</v>
      </c>
      <c r="C7174" t="s">
        <v>407</v>
      </c>
      <c r="D7174">
        <v>5200</v>
      </c>
      <c r="E7174">
        <v>2021</v>
      </c>
      <c r="F7174">
        <v>4</v>
      </c>
      <c r="G7174">
        <v>13749</v>
      </c>
      <c r="H7174" s="1">
        <v>6</v>
      </c>
      <c r="I7174">
        <v>11</v>
      </c>
      <c r="J7174">
        <f>IF($H7174=0,1,IF($I7174&lt;=1,2,0))</f>
        <v>0</v>
      </c>
      <c r="K7174">
        <v>0</v>
      </c>
      <c r="L7174">
        <f>IF(AND($J7174=0,$K7174=0),0,1)</f>
        <v>0</v>
      </c>
    </row>
    <row r="7175" spans="1:12" x14ac:dyDescent="0.2">
      <c r="A7175" t="s">
        <v>769</v>
      </c>
      <c r="B7175" t="s">
        <v>386</v>
      </c>
      <c r="C7175" t="s">
        <v>407</v>
      </c>
      <c r="D7175">
        <v>5200</v>
      </c>
      <c r="E7175">
        <v>2021</v>
      </c>
      <c r="F7175">
        <v>1</v>
      </c>
      <c r="G7175">
        <v>13746</v>
      </c>
      <c r="H7175" s="1">
        <v>6</v>
      </c>
      <c r="I7175">
        <v>9</v>
      </c>
      <c r="J7175">
        <f>IF($H7175=0,1,IF($I7175&lt;=1,2,0))</f>
        <v>0</v>
      </c>
      <c r="K7175">
        <v>0</v>
      </c>
      <c r="L7175">
        <f>IF(AND($J7175=0,$K7175=0),0,1)</f>
        <v>0</v>
      </c>
    </row>
    <row r="7176" spans="1:12" x14ac:dyDescent="0.2">
      <c r="A7176" t="s">
        <v>769</v>
      </c>
      <c r="B7176" t="s">
        <v>386</v>
      </c>
      <c r="C7176" t="s">
        <v>407</v>
      </c>
      <c r="D7176">
        <v>5200</v>
      </c>
      <c r="E7176">
        <v>2021</v>
      </c>
      <c r="F7176">
        <v>3</v>
      </c>
      <c r="G7176">
        <v>13748</v>
      </c>
      <c r="H7176" s="1">
        <v>6</v>
      </c>
      <c r="I7176">
        <v>7</v>
      </c>
      <c r="J7176">
        <f>IF($H7176=0,1,IF($I7176&lt;=1,2,0))</f>
        <v>0</v>
      </c>
      <c r="K7176">
        <v>0</v>
      </c>
      <c r="L7176">
        <f>IF(AND($J7176=0,$K7176=0),0,1)</f>
        <v>0</v>
      </c>
    </row>
    <row r="7177" spans="1:12" x14ac:dyDescent="0.2">
      <c r="A7177" t="s">
        <v>769</v>
      </c>
      <c r="B7177" t="s">
        <v>386</v>
      </c>
      <c r="C7177" t="s">
        <v>407</v>
      </c>
      <c r="D7177">
        <v>5300</v>
      </c>
      <c r="E7177">
        <v>2021</v>
      </c>
      <c r="F7177">
        <v>4</v>
      </c>
      <c r="G7177">
        <v>13753</v>
      </c>
      <c r="H7177" s="1">
        <v>6</v>
      </c>
      <c r="I7177">
        <v>9</v>
      </c>
      <c r="J7177">
        <f>IF($H7177=0,1,IF($I7177&lt;=1,2,0))</f>
        <v>0</v>
      </c>
      <c r="K7177">
        <v>0</v>
      </c>
      <c r="L7177">
        <f>IF(AND($J7177=0,$K7177=0),0,1)</f>
        <v>0</v>
      </c>
    </row>
    <row r="7178" spans="1:12" x14ac:dyDescent="0.2">
      <c r="A7178" t="s">
        <v>769</v>
      </c>
      <c r="B7178" t="s">
        <v>386</v>
      </c>
      <c r="C7178" t="s">
        <v>407</v>
      </c>
      <c r="D7178">
        <v>5300</v>
      </c>
      <c r="E7178">
        <v>2021</v>
      </c>
      <c r="F7178">
        <v>5</v>
      </c>
      <c r="G7178">
        <v>13754</v>
      </c>
      <c r="H7178" s="1">
        <v>6</v>
      </c>
      <c r="I7178">
        <v>9</v>
      </c>
      <c r="J7178">
        <f>IF($H7178=0,1,IF($I7178&lt;=1,2,0))</f>
        <v>0</v>
      </c>
      <c r="K7178">
        <v>0</v>
      </c>
      <c r="L7178">
        <f>IF(AND($J7178=0,$K7178=0),0,1)</f>
        <v>0</v>
      </c>
    </row>
    <row r="7179" spans="1:12" x14ac:dyDescent="0.2">
      <c r="A7179" t="s">
        <v>769</v>
      </c>
      <c r="B7179" t="s">
        <v>386</v>
      </c>
      <c r="C7179" t="s">
        <v>407</v>
      </c>
      <c r="D7179">
        <v>5300</v>
      </c>
      <c r="E7179">
        <v>2021</v>
      </c>
      <c r="F7179">
        <v>1</v>
      </c>
      <c r="G7179">
        <v>13750</v>
      </c>
      <c r="H7179" s="1">
        <v>6</v>
      </c>
      <c r="I7179">
        <v>8</v>
      </c>
      <c r="J7179">
        <f>IF($H7179=0,1,IF($I7179&lt;=1,2,0))</f>
        <v>0</v>
      </c>
      <c r="K7179">
        <v>0</v>
      </c>
      <c r="L7179">
        <f>IF(AND($J7179=0,$K7179=0),0,1)</f>
        <v>0</v>
      </c>
    </row>
    <row r="7180" spans="1:12" x14ac:dyDescent="0.2">
      <c r="A7180" t="s">
        <v>769</v>
      </c>
      <c r="B7180" t="s">
        <v>386</v>
      </c>
      <c r="C7180" t="s">
        <v>407</v>
      </c>
      <c r="D7180">
        <v>5300</v>
      </c>
      <c r="E7180">
        <v>2021</v>
      </c>
      <c r="F7180">
        <v>3</v>
      </c>
      <c r="G7180">
        <v>13752</v>
      </c>
      <c r="H7180" s="1">
        <v>6</v>
      </c>
      <c r="I7180">
        <v>8</v>
      </c>
      <c r="J7180">
        <f>IF($H7180=0,1,IF($I7180&lt;=1,2,0))</f>
        <v>0</v>
      </c>
      <c r="K7180">
        <v>0</v>
      </c>
      <c r="L7180">
        <f>IF(AND($J7180=0,$K7180=0),0,1)</f>
        <v>0</v>
      </c>
    </row>
    <row r="7181" spans="1:12" x14ac:dyDescent="0.2">
      <c r="A7181" t="s">
        <v>769</v>
      </c>
      <c r="B7181" t="s">
        <v>386</v>
      </c>
      <c r="C7181" t="s">
        <v>407</v>
      </c>
      <c r="D7181">
        <v>5300</v>
      </c>
      <c r="E7181">
        <v>2021</v>
      </c>
      <c r="F7181">
        <v>6</v>
      </c>
      <c r="G7181">
        <v>20172</v>
      </c>
      <c r="H7181" s="1">
        <v>6</v>
      </c>
      <c r="I7181">
        <v>8</v>
      </c>
      <c r="J7181">
        <f>IF($H7181=0,1,IF($I7181&lt;=1,2,0))</f>
        <v>0</v>
      </c>
      <c r="K7181">
        <v>0</v>
      </c>
      <c r="L7181">
        <f>IF(AND($J7181=0,$K7181=0),0,1)</f>
        <v>0</v>
      </c>
    </row>
    <row r="7182" spans="1:12" x14ac:dyDescent="0.2">
      <c r="A7182" t="s">
        <v>769</v>
      </c>
      <c r="B7182" t="s">
        <v>386</v>
      </c>
      <c r="C7182" t="s">
        <v>407</v>
      </c>
      <c r="D7182">
        <v>5300</v>
      </c>
      <c r="E7182">
        <v>2021</v>
      </c>
      <c r="F7182">
        <v>2</v>
      </c>
      <c r="G7182">
        <v>13751</v>
      </c>
      <c r="H7182" s="1">
        <v>6</v>
      </c>
      <c r="I7182">
        <v>7</v>
      </c>
      <c r="J7182">
        <f>IF($H7182=0,1,IF($I7182&lt;=1,2,0))</f>
        <v>0</v>
      </c>
      <c r="K7182">
        <v>0</v>
      </c>
      <c r="L7182">
        <f>IF(AND($J7182=0,$K7182=0),0,1)</f>
        <v>0</v>
      </c>
    </row>
    <row r="7183" spans="1:12" x14ac:dyDescent="0.2">
      <c r="A7183" t="s">
        <v>769</v>
      </c>
      <c r="B7183" t="s">
        <v>386</v>
      </c>
      <c r="C7183" t="s">
        <v>407</v>
      </c>
      <c r="D7183">
        <v>5500</v>
      </c>
      <c r="E7183">
        <v>2021</v>
      </c>
      <c r="F7183">
        <v>1</v>
      </c>
      <c r="G7183">
        <v>13755</v>
      </c>
      <c r="H7183" s="1">
        <v>6</v>
      </c>
      <c r="I7183">
        <v>6</v>
      </c>
      <c r="J7183">
        <f>IF($H7183=0,1,IF($I7183&lt;=1,2,0))</f>
        <v>0</v>
      </c>
      <c r="K7183">
        <v>0</v>
      </c>
      <c r="L7183">
        <f>IF(AND($J7183=0,$K7183=0),0,1)</f>
        <v>0</v>
      </c>
    </row>
    <row r="7184" spans="1:12" x14ac:dyDescent="0.2">
      <c r="A7184" t="s">
        <v>769</v>
      </c>
      <c r="B7184" t="s">
        <v>386</v>
      </c>
      <c r="C7184" t="s">
        <v>34</v>
      </c>
      <c r="D7184">
        <v>6010</v>
      </c>
      <c r="E7184">
        <v>2021</v>
      </c>
      <c r="F7184">
        <v>2</v>
      </c>
      <c r="G7184">
        <v>13759</v>
      </c>
      <c r="H7184" s="1">
        <v>3</v>
      </c>
      <c r="I7184">
        <v>22</v>
      </c>
      <c r="J7184">
        <f>IF($H7184=0,1,IF($I7184&lt;=1,2,0))</f>
        <v>0</v>
      </c>
      <c r="K7184">
        <v>0</v>
      </c>
      <c r="L7184">
        <f>IF(AND($J7184=0,$K7184=0),0,1)</f>
        <v>0</v>
      </c>
    </row>
    <row r="7185" spans="1:12" x14ac:dyDescent="0.2">
      <c r="A7185" t="s">
        <v>769</v>
      </c>
      <c r="B7185" t="s">
        <v>386</v>
      </c>
      <c r="C7185" t="s">
        <v>34</v>
      </c>
      <c r="D7185">
        <v>6010</v>
      </c>
      <c r="E7185">
        <v>2021</v>
      </c>
      <c r="F7185">
        <v>5</v>
      </c>
      <c r="G7185">
        <v>13762</v>
      </c>
      <c r="H7185" s="1">
        <v>3</v>
      </c>
      <c r="I7185">
        <v>21</v>
      </c>
      <c r="J7185">
        <f>IF($H7185=0,1,IF($I7185&lt;=1,2,0))</f>
        <v>0</v>
      </c>
      <c r="K7185">
        <v>0</v>
      </c>
      <c r="L7185">
        <f>IF(AND($J7185=0,$K7185=0),0,1)</f>
        <v>0</v>
      </c>
    </row>
    <row r="7186" spans="1:12" x14ac:dyDescent="0.2">
      <c r="A7186" t="s">
        <v>769</v>
      </c>
      <c r="B7186" t="s">
        <v>386</v>
      </c>
      <c r="C7186" t="s">
        <v>34</v>
      </c>
      <c r="D7186">
        <v>6010</v>
      </c>
      <c r="E7186">
        <v>2021</v>
      </c>
      <c r="F7186">
        <v>1</v>
      </c>
      <c r="G7186">
        <v>13758</v>
      </c>
      <c r="H7186" s="1">
        <v>3</v>
      </c>
      <c r="I7186">
        <v>16</v>
      </c>
      <c r="J7186">
        <f>IF($H7186=0,1,IF($I7186&lt;=1,2,0))</f>
        <v>0</v>
      </c>
      <c r="K7186">
        <v>0</v>
      </c>
      <c r="L7186">
        <f>IF(AND($J7186=0,$K7186=0),0,1)</f>
        <v>0</v>
      </c>
    </row>
    <row r="7187" spans="1:12" x14ac:dyDescent="0.2">
      <c r="A7187" t="s">
        <v>769</v>
      </c>
      <c r="B7187" t="s">
        <v>386</v>
      </c>
      <c r="C7187" t="s">
        <v>34</v>
      </c>
      <c r="D7187">
        <v>6010</v>
      </c>
      <c r="E7187">
        <v>2021</v>
      </c>
      <c r="F7187">
        <v>6</v>
      </c>
      <c r="G7187">
        <v>13763</v>
      </c>
      <c r="H7187" s="1">
        <v>3</v>
      </c>
      <c r="I7187">
        <v>15</v>
      </c>
      <c r="J7187">
        <f>IF($H7187=0,1,IF($I7187&lt;=1,2,0))</f>
        <v>0</v>
      </c>
      <c r="K7187">
        <v>0</v>
      </c>
      <c r="L7187">
        <f>IF(AND($J7187=0,$K7187=0),0,1)</f>
        <v>0</v>
      </c>
    </row>
    <row r="7188" spans="1:12" x14ac:dyDescent="0.2">
      <c r="A7188" t="s">
        <v>769</v>
      </c>
      <c r="B7188" t="s">
        <v>386</v>
      </c>
      <c r="C7188" t="s">
        <v>34</v>
      </c>
      <c r="D7188">
        <v>6010</v>
      </c>
      <c r="E7188">
        <v>2021</v>
      </c>
      <c r="F7188">
        <v>4</v>
      </c>
      <c r="G7188">
        <v>13761</v>
      </c>
      <c r="H7188" s="1">
        <v>3</v>
      </c>
      <c r="I7188">
        <v>14</v>
      </c>
      <c r="J7188">
        <f>IF($H7188=0,1,IF($I7188&lt;=1,2,0))</f>
        <v>0</v>
      </c>
      <c r="K7188">
        <v>0</v>
      </c>
      <c r="L7188">
        <f>IF(AND($J7188=0,$K7188=0),0,1)</f>
        <v>0</v>
      </c>
    </row>
    <row r="7189" spans="1:12" x14ac:dyDescent="0.2">
      <c r="A7189" t="s">
        <v>769</v>
      </c>
      <c r="B7189" t="s">
        <v>386</v>
      </c>
      <c r="C7189" t="s">
        <v>34</v>
      </c>
      <c r="D7189">
        <v>6010</v>
      </c>
      <c r="E7189">
        <v>2021</v>
      </c>
      <c r="F7189">
        <v>3</v>
      </c>
      <c r="G7189">
        <v>13760</v>
      </c>
      <c r="H7189" s="1">
        <v>3</v>
      </c>
      <c r="I7189">
        <v>10</v>
      </c>
      <c r="J7189">
        <f>IF($H7189=0,1,IF($I7189&lt;=1,2,0))</f>
        <v>0</v>
      </c>
      <c r="K7189">
        <v>0</v>
      </c>
      <c r="L7189">
        <f>IF(AND($J7189=0,$K7189=0),0,1)</f>
        <v>0</v>
      </c>
    </row>
    <row r="7190" spans="1:12" x14ac:dyDescent="0.2">
      <c r="A7190" t="s">
        <v>769</v>
      </c>
      <c r="B7190" t="s">
        <v>386</v>
      </c>
      <c r="C7190" t="s">
        <v>407</v>
      </c>
      <c r="D7190">
        <v>6110</v>
      </c>
      <c r="E7190">
        <v>2021</v>
      </c>
      <c r="F7190">
        <v>8</v>
      </c>
      <c r="G7190">
        <v>13771</v>
      </c>
      <c r="H7190" s="1">
        <v>3</v>
      </c>
      <c r="I7190">
        <v>22</v>
      </c>
      <c r="J7190">
        <f>IF($H7190=0,1,IF($I7190&lt;=1,2,0))</f>
        <v>0</v>
      </c>
      <c r="K7190">
        <v>0</v>
      </c>
      <c r="L7190">
        <f>IF(AND($J7190=0,$K7190=0),0,1)</f>
        <v>0</v>
      </c>
    </row>
    <row r="7191" spans="1:12" x14ac:dyDescent="0.2">
      <c r="A7191" t="s">
        <v>769</v>
      </c>
      <c r="B7191" t="s">
        <v>386</v>
      </c>
      <c r="C7191" t="s">
        <v>407</v>
      </c>
      <c r="D7191">
        <v>6110</v>
      </c>
      <c r="E7191">
        <v>2021</v>
      </c>
      <c r="F7191">
        <v>3</v>
      </c>
      <c r="G7191">
        <v>13766</v>
      </c>
      <c r="H7191" s="1">
        <v>3</v>
      </c>
      <c r="I7191">
        <v>21</v>
      </c>
      <c r="J7191">
        <f>IF($H7191=0,1,IF($I7191&lt;=1,2,0))</f>
        <v>0</v>
      </c>
      <c r="K7191">
        <v>0</v>
      </c>
      <c r="L7191">
        <f>IF(AND($J7191=0,$K7191=0),0,1)</f>
        <v>0</v>
      </c>
    </row>
    <row r="7192" spans="1:12" x14ac:dyDescent="0.2">
      <c r="A7192" t="s">
        <v>769</v>
      </c>
      <c r="B7192" t="s">
        <v>386</v>
      </c>
      <c r="C7192" t="s">
        <v>407</v>
      </c>
      <c r="D7192">
        <v>6110</v>
      </c>
      <c r="E7192">
        <v>2021</v>
      </c>
      <c r="F7192">
        <v>6</v>
      </c>
      <c r="G7192">
        <v>13769</v>
      </c>
      <c r="H7192" s="1">
        <v>3</v>
      </c>
      <c r="I7192">
        <v>19</v>
      </c>
      <c r="J7192">
        <f>IF($H7192=0,1,IF($I7192&lt;=1,2,0))</f>
        <v>0</v>
      </c>
      <c r="K7192">
        <v>0</v>
      </c>
      <c r="L7192">
        <f>IF(AND($J7192=0,$K7192=0),0,1)</f>
        <v>0</v>
      </c>
    </row>
    <row r="7193" spans="1:12" x14ac:dyDescent="0.2">
      <c r="A7193" t="s">
        <v>769</v>
      </c>
      <c r="B7193" t="s">
        <v>386</v>
      </c>
      <c r="C7193" t="s">
        <v>407</v>
      </c>
      <c r="D7193">
        <v>6110</v>
      </c>
      <c r="E7193">
        <v>2021</v>
      </c>
      <c r="F7193">
        <v>9</v>
      </c>
      <c r="G7193">
        <v>13772</v>
      </c>
      <c r="H7193" s="1">
        <v>3</v>
      </c>
      <c r="I7193">
        <v>19</v>
      </c>
      <c r="J7193">
        <f>IF($H7193=0,1,IF($I7193&lt;=1,2,0))</f>
        <v>0</v>
      </c>
      <c r="K7193">
        <v>0</v>
      </c>
      <c r="L7193">
        <f>IF(AND($J7193=0,$K7193=0),0,1)</f>
        <v>0</v>
      </c>
    </row>
    <row r="7194" spans="1:12" x14ac:dyDescent="0.2">
      <c r="A7194" t="s">
        <v>769</v>
      </c>
      <c r="B7194" t="s">
        <v>386</v>
      </c>
      <c r="C7194" t="s">
        <v>407</v>
      </c>
      <c r="D7194">
        <v>6110</v>
      </c>
      <c r="E7194">
        <v>2021</v>
      </c>
      <c r="F7194">
        <v>10</v>
      </c>
      <c r="G7194">
        <v>20173</v>
      </c>
      <c r="H7194" s="1">
        <v>3</v>
      </c>
      <c r="I7194">
        <v>18</v>
      </c>
      <c r="J7194">
        <f>IF($H7194=0,1,IF($I7194&lt;=1,2,0))</f>
        <v>0</v>
      </c>
      <c r="K7194">
        <v>0</v>
      </c>
      <c r="L7194">
        <f>IF(AND($J7194=0,$K7194=0),0,1)</f>
        <v>0</v>
      </c>
    </row>
    <row r="7195" spans="1:12" x14ac:dyDescent="0.2">
      <c r="A7195" t="s">
        <v>769</v>
      </c>
      <c r="B7195" t="s">
        <v>386</v>
      </c>
      <c r="C7195" t="s">
        <v>407</v>
      </c>
      <c r="D7195">
        <v>6110</v>
      </c>
      <c r="E7195">
        <v>2021</v>
      </c>
      <c r="F7195">
        <v>4</v>
      </c>
      <c r="G7195">
        <v>13767</v>
      </c>
      <c r="H7195" s="1">
        <v>3</v>
      </c>
      <c r="I7195">
        <v>17</v>
      </c>
      <c r="J7195">
        <f>IF($H7195=0,1,IF($I7195&lt;=1,2,0))</f>
        <v>0</v>
      </c>
      <c r="K7195">
        <v>0</v>
      </c>
      <c r="L7195">
        <f>IF(AND($J7195=0,$K7195=0),0,1)</f>
        <v>0</v>
      </c>
    </row>
    <row r="7196" spans="1:12" x14ac:dyDescent="0.2">
      <c r="A7196" t="s">
        <v>769</v>
      </c>
      <c r="B7196" t="s">
        <v>386</v>
      </c>
      <c r="C7196" t="s">
        <v>407</v>
      </c>
      <c r="D7196">
        <v>6110</v>
      </c>
      <c r="E7196">
        <v>2021</v>
      </c>
      <c r="F7196">
        <v>1</v>
      </c>
      <c r="G7196">
        <v>13764</v>
      </c>
      <c r="H7196" s="1">
        <v>3</v>
      </c>
      <c r="I7196">
        <v>16</v>
      </c>
      <c r="J7196">
        <f>IF($H7196=0,1,IF($I7196&lt;=1,2,0))</f>
        <v>0</v>
      </c>
      <c r="K7196">
        <v>0</v>
      </c>
      <c r="L7196">
        <f>IF(AND($J7196=0,$K7196=0),0,1)</f>
        <v>0</v>
      </c>
    </row>
    <row r="7197" spans="1:12" x14ac:dyDescent="0.2">
      <c r="A7197" t="s">
        <v>769</v>
      </c>
      <c r="B7197" t="s">
        <v>386</v>
      </c>
      <c r="C7197" t="s">
        <v>407</v>
      </c>
      <c r="D7197">
        <v>6110</v>
      </c>
      <c r="E7197">
        <v>2021</v>
      </c>
      <c r="F7197">
        <v>2</v>
      </c>
      <c r="G7197">
        <v>13765</v>
      </c>
      <c r="H7197" s="1">
        <v>3</v>
      </c>
      <c r="I7197">
        <v>16</v>
      </c>
      <c r="J7197">
        <f>IF($H7197=0,1,IF($I7197&lt;=1,2,0))</f>
        <v>0</v>
      </c>
      <c r="K7197">
        <v>0</v>
      </c>
      <c r="L7197">
        <f>IF(AND($J7197=0,$K7197=0),0,1)</f>
        <v>0</v>
      </c>
    </row>
    <row r="7198" spans="1:12" x14ac:dyDescent="0.2">
      <c r="A7198" t="s">
        <v>769</v>
      </c>
      <c r="B7198" t="s">
        <v>386</v>
      </c>
      <c r="C7198" t="s">
        <v>407</v>
      </c>
      <c r="D7198">
        <v>6110</v>
      </c>
      <c r="E7198">
        <v>2021</v>
      </c>
      <c r="F7198">
        <v>7</v>
      </c>
      <c r="G7198">
        <v>13770</v>
      </c>
      <c r="H7198" s="1">
        <v>3</v>
      </c>
      <c r="I7198">
        <v>16</v>
      </c>
      <c r="J7198">
        <f>IF($H7198=0,1,IF($I7198&lt;=1,2,0))</f>
        <v>0</v>
      </c>
      <c r="K7198">
        <v>0</v>
      </c>
      <c r="L7198">
        <f>IF(AND($J7198=0,$K7198=0),0,1)</f>
        <v>0</v>
      </c>
    </row>
    <row r="7199" spans="1:12" x14ac:dyDescent="0.2">
      <c r="A7199" t="s">
        <v>769</v>
      </c>
      <c r="B7199" t="s">
        <v>386</v>
      </c>
      <c r="C7199" t="s">
        <v>407</v>
      </c>
      <c r="D7199">
        <v>6110</v>
      </c>
      <c r="E7199">
        <v>2021</v>
      </c>
      <c r="F7199">
        <v>5</v>
      </c>
      <c r="G7199">
        <v>13768</v>
      </c>
      <c r="H7199" s="1">
        <v>3</v>
      </c>
      <c r="I7199">
        <v>14</v>
      </c>
      <c r="J7199">
        <f>IF($H7199=0,1,IF($I7199&lt;=1,2,0))</f>
        <v>0</v>
      </c>
      <c r="K7199">
        <v>0</v>
      </c>
      <c r="L7199">
        <f>IF(AND($J7199=0,$K7199=0),0,1)</f>
        <v>0</v>
      </c>
    </row>
    <row r="7200" spans="1:12" x14ac:dyDescent="0.2">
      <c r="A7200" t="s">
        <v>769</v>
      </c>
      <c r="B7200" t="s">
        <v>386</v>
      </c>
      <c r="C7200" t="s">
        <v>407</v>
      </c>
      <c r="D7200">
        <v>6210</v>
      </c>
      <c r="E7200">
        <v>2021</v>
      </c>
      <c r="F7200">
        <v>7</v>
      </c>
      <c r="G7200">
        <v>13779</v>
      </c>
      <c r="H7200" s="1">
        <v>3</v>
      </c>
      <c r="I7200">
        <v>24</v>
      </c>
      <c r="J7200">
        <f>IF($H7200=0,1,IF($I7200&lt;=1,2,0))</f>
        <v>0</v>
      </c>
      <c r="K7200">
        <v>0</v>
      </c>
      <c r="L7200">
        <f>IF(AND($J7200=0,$K7200=0),0,1)</f>
        <v>0</v>
      </c>
    </row>
    <row r="7201" spans="1:12" x14ac:dyDescent="0.2">
      <c r="A7201" t="s">
        <v>769</v>
      </c>
      <c r="B7201" t="s">
        <v>386</v>
      </c>
      <c r="C7201" t="s">
        <v>407</v>
      </c>
      <c r="D7201">
        <v>6210</v>
      </c>
      <c r="E7201">
        <v>2021</v>
      </c>
      <c r="F7201">
        <v>1</v>
      </c>
      <c r="G7201">
        <v>13773</v>
      </c>
      <c r="H7201" s="1">
        <v>3</v>
      </c>
      <c r="I7201">
        <v>18</v>
      </c>
      <c r="J7201">
        <f>IF($H7201=0,1,IF($I7201&lt;=1,2,0))</f>
        <v>0</v>
      </c>
      <c r="K7201">
        <v>0</v>
      </c>
      <c r="L7201">
        <f>IF(AND($J7201=0,$K7201=0),0,1)</f>
        <v>0</v>
      </c>
    </row>
    <row r="7202" spans="1:12" x14ac:dyDescent="0.2">
      <c r="A7202" t="s">
        <v>769</v>
      </c>
      <c r="B7202" t="s">
        <v>386</v>
      </c>
      <c r="C7202" t="s">
        <v>407</v>
      </c>
      <c r="D7202">
        <v>6210</v>
      </c>
      <c r="E7202">
        <v>2021</v>
      </c>
      <c r="F7202">
        <v>4</v>
      </c>
      <c r="G7202">
        <v>13776</v>
      </c>
      <c r="H7202" s="1">
        <v>3</v>
      </c>
      <c r="I7202">
        <v>17</v>
      </c>
      <c r="J7202">
        <f>IF($H7202=0,1,IF($I7202&lt;=1,2,0))</f>
        <v>0</v>
      </c>
      <c r="K7202">
        <v>0</v>
      </c>
      <c r="L7202">
        <f>IF(AND($J7202=0,$K7202=0),0,1)</f>
        <v>0</v>
      </c>
    </row>
    <row r="7203" spans="1:12" x14ac:dyDescent="0.2">
      <c r="A7203" t="s">
        <v>769</v>
      </c>
      <c r="B7203" t="s">
        <v>386</v>
      </c>
      <c r="C7203" t="s">
        <v>407</v>
      </c>
      <c r="D7203">
        <v>6210</v>
      </c>
      <c r="E7203">
        <v>2021</v>
      </c>
      <c r="F7203">
        <v>5</v>
      </c>
      <c r="G7203">
        <v>13777</v>
      </c>
      <c r="H7203" s="1">
        <v>3</v>
      </c>
      <c r="I7203">
        <v>17</v>
      </c>
      <c r="J7203">
        <f>IF($H7203=0,1,IF($I7203&lt;=1,2,0))</f>
        <v>0</v>
      </c>
      <c r="K7203">
        <v>0</v>
      </c>
      <c r="L7203">
        <f>IF(AND($J7203=0,$K7203=0),0,1)</f>
        <v>0</v>
      </c>
    </row>
    <row r="7204" spans="1:12" x14ac:dyDescent="0.2">
      <c r="A7204" t="s">
        <v>769</v>
      </c>
      <c r="B7204" t="s">
        <v>386</v>
      </c>
      <c r="C7204" t="s">
        <v>407</v>
      </c>
      <c r="D7204">
        <v>6210</v>
      </c>
      <c r="E7204">
        <v>2021</v>
      </c>
      <c r="F7204">
        <v>2</v>
      </c>
      <c r="G7204">
        <v>13774</v>
      </c>
      <c r="H7204" s="1">
        <v>3</v>
      </c>
      <c r="I7204">
        <v>16</v>
      </c>
      <c r="J7204">
        <f>IF($H7204=0,1,IF($I7204&lt;=1,2,0))</f>
        <v>0</v>
      </c>
      <c r="K7204">
        <v>0</v>
      </c>
      <c r="L7204">
        <f>IF(AND($J7204=0,$K7204=0),0,1)</f>
        <v>0</v>
      </c>
    </row>
    <row r="7205" spans="1:12" x14ac:dyDescent="0.2">
      <c r="A7205" t="s">
        <v>769</v>
      </c>
      <c r="B7205" t="s">
        <v>386</v>
      </c>
      <c r="C7205" t="s">
        <v>407</v>
      </c>
      <c r="D7205">
        <v>6210</v>
      </c>
      <c r="E7205">
        <v>2021</v>
      </c>
      <c r="F7205">
        <v>6</v>
      </c>
      <c r="G7205">
        <v>13778</v>
      </c>
      <c r="H7205" s="1">
        <v>3</v>
      </c>
      <c r="I7205">
        <v>15</v>
      </c>
      <c r="J7205">
        <f>IF($H7205=0,1,IF($I7205&lt;=1,2,0))</f>
        <v>0</v>
      </c>
      <c r="K7205">
        <v>0</v>
      </c>
      <c r="L7205">
        <f>IF(AND($J7205=0,$K7205=0),0,1)</f>
        <v>0</v>
      </c>
    </row>
    <row r="7206" spans="1:12" x14ac:dyDescent="0.2">
      <c r="A7206" t="s">
        <v>769</v>
      </c>
      <c r="B7206" t="s">
        <v>386</v>
      </c>
      <c r="C7206" t="s">
        <v>407</v>
      </c>
      <c r="D7206">
        <v>6210</v>
      </c>
      <c r="E7206">
        <v>2021</v>
      </c>
      <c r="F7206">
        <v>3</v>
      </c>
      <c r="G7206">
        <v>13775</v>
      </c>
      <c r="H7206" s="1">
        <v>3</v>
      </c>
      <c r="I7206">
        <v>12</v>
      </c>
      <c r="J7206">
        <f>IF($H7206=0,1,IF($I7206&lt;=1,2,0))</f>
        <v>0</v>
      </c>
      <c r="K7206">
        <v>0</v>
      </c>
      <c r="L7206">
        <f>IF(AND($J7206=0,$K7206=0),0,1)</f>
        <v>0</v>
      </c>
    </row>
    <row r="7207" spans="1:12" x14ac:dyDescent="0.2">
      <c r="A7207" t="s">
        <v>769</v>
      </c>
      <c r="B7207" t="s">
        <v>386</v>
      </c>
      <c r="C7207" t="s">
        <v>407</v>
      </c>
      <c r="D7207">
        <v>6310</v>
      </c>
      <c r="E7207">
        <v>2021</v>
      </c>
      <c r="F7207">
        <v>2</v>
      </c>
      <c r="G7207">
        <v>13781</v>
      </c>
      <c r="H7207" s="1">
        <v>3</v>
      </c>
      <c r="I7207">
        <v>19</v>
      </c>
      <c r="J7207">
        <f>IF($H7207=0,1,IF($I7207&lt;=1,2,0))</f>
        <v>0</v>
      </c>
      <c r="K7207">
        <v>0</v>
      </c>
      <c r="L7207">
        <f>IF(AND($J7207=0,$K7207=0),0,1)</f>
        <v>0</v>
      </c>
    </row>
    <row r="7208" spans="1:12" x14ac:dyDescent="0.2">
      <c r="A7208" t="s">
        <v>769</v>
      </c>
      <c r="B7208" t="s">
        <v>386</v>
      </c>
      <c r="C7208" t="s">
        <v>407</v>
      </c>
      <c r="D7208">
        <v>6310</v>
      </c>
      <c r="E7208">
        <v>2021</v>
      </c>
      <c r="F7208">
        <v>1</v>
      </c>
      <c r="G7208">
        <v>13780</v>
      </c>
      <c r="H7208" s="1">
        <v>3</v>
      </c>
      <c r="I7208">
        <v>18</v>
      </c>
      <c r="J7208">
        <f>IF($H7208=0,1,IF($I7208&lt;=1,2,0))</f>
        <v>0</v>
      </c>
      <c r="K7208">
        <v>0</v>
      </c>
      <c r="L7208">
        <f>IF(AND($J7208=0,$K7208=0),0,1)</f>
        <v>0</v>
      </c>
    </row>
    <row r="7209" spans="1:12" x14ac:dyDescent="0.2">
      <c r="A7209" t="s">
        <v>769</v>
      </c>
      <c r="B7209" t="s">
        <v>386</v>
      </c>
      <c r="C7209" t="s">
        <v>407</v>
      </c>
      <c r="D7209">
        <v>6310</v>
      </c>
      <c r="E7209">
        <v>2021</v>
      </c>
      <c r="F7209">
        <v>3</v>
      </c>
      <c r="G7209">
        <v>13782</v>
      </c>
      <c r="H7209" s="1">
        <v>3</v>
      </c>
      <c r="I7209">
        <v>18</v>
      </c>
      <c r="J7209">
        <f>IF($H7209=0,1,IF($I7209&lt;=1,2,0))</f>
        <v>0</v>
      </c>
      <c r="K7209">
        <v>0</v>
      </c>
      <c r="L7209">
        <f>IF(AND($J7209=0,$K7209=0),0,1)</f>
        <v>0</v>
      </c>
    </row>
    <row r="7210" spans="1:12" x14ac:dyDescent="0.2">
      <c r="A7210" t="s">
        <v>769</v>
      </c>
      <c r="B7210" t="s">
        <v>386</v>
      </c>
      <c r="C7210" t="s">
        <v>407</v>
      </c>
      <c r="D7210">
        <v>6310</v>
      </c>
      <c r="E7210">
        <v>2021</v>
      </c>
      <c r="F7210">
        <v>4</v>
      </c>
      <c r="G7210">
        <v>13783</v>
      </c>
      <c r="H7210" s="1">
        <v>3</v>
      </c>
      <c r="I7210">
        <v>7</v>
      </c>
      <c r="J7210">
        <f>IF($H7210=0,1,IF($I7210&lt;=1,2,0))</f>
        <v>0</v>
      </c>
      <c r="K7210">
        <v>0</v>
      </c>
      <c r="L7210">
        <f>IF(AND($J7210=0,$K7210=0),0,1)</f>
        <v>0</v>
      </c>
    </row>
    <row r="7211" spans="1:12" x14ac:dyDescent="0.2">
      <c r="A7211" t="s">
        <v>769</v>
      </c>
      <c r="B7211" t="s">
        <v>386</v>
      </c>
      <c r="C7211" t="s">
        <v>34</v>
      </c>
      <c r="D7211">
        <v>6400</v>
      </c>
      <c r="E7211">
        <v>2021</v>
      </c>
      <c r="F7211">
        <v>1</v>
      </c>
      <c r="G7211">
        <v>13784</v>
      </c>
      <c r="H7211" s="1">
        <v>3</v>
      </c>
      <c r="I7211">
        <v>12</v>
      </c>
      <c r="J7211">
        <f>IF($H7211=0,1,IF($I7211&lt;=1,2,0))</f>
        <v>0</v>
      </c>
      <c r="K7211">
        <v>0</v>
      </c>
      <c r="L7211">
        <f>IF(AND($J7211=0,$K7211=0),0,1)</f>
        <v>0</v>
      </c>
    </row>
    <row r="7212" spans="1:12" x14ac:dyDescent="0.2">
      <c r="A7212" t="s">
        <v>769</v>
      </c>
      <c r="B7212" t="s">
        <v>386</v>
      </c>
      <c r="C7212" t="s">
        <v>34</v>
      </c>
      <c r="D7212">
        <v>6400</v>
      </c>
      <c r="E7212">
        <v>2021</v>
      </c>
      <c r="F7212">
        <v>2</v>
      </c>
      <c r="G7212">
        <v>13785</v>
      </c>
      <c r="H7212" s="1">
        <v>3</v>
      </c>
      <c r="I7212">
        <v>12</v>
      </c>
      <c r="J7212">
        <f>IF($H7212=0,1,IF($I7212&lt;=1,2,0))</f>
        <v>0</v>
      </c>
      <c r="K7212">
        <v>0</v>
      </c>
      <c r="L7212">
        <f>IF(AND($J7212=0,$K7212=0),0,1)</f>
        <v>0</v>
      </c>
    </row>
    <row r="7213" spans="1:12" x14ac:dyDescent="0.2">
      <c r="A7213" t="s">
        <v>769</v>
      </c>
      <c r="B7213" t="s">
        <v>386</v>
      </c>
      <c r="C7213" t="s">
        <v>407</v>
      </c>
      <c r="D7213">
        <v>6410</v>
      </c>
      <c r="E7213">
        <v>2021</v>
      </c>
      <c r="F7213">
        <v>1</v>
      </c>
      <c r="G7213">
        <v>13786</v>
      </c>
      <c r="H7213" s="1">
        <v>3</v>
      </c>
      <c r="I7213">
        <v>19</v>
      </c>
      <c r="J7213">
        <f>IF($H7213=0,1,IF($I7213&lt;=1,2,0))</f>
        <v>0</v>
      </c>
      <c r="K7213">
        <v>0</v>
      </c>
      <c r="L7213">
        <f>IF(AND($J7213=0,$K7213=0),0,1)</f>
        <v>0</v>
      </c>
    </row>
    <row r="7214" spans="1:12" x14ac:dyDescent="0.2">
      <c r="A7214" t="s">
        <v>769</v>
      </c>
      <c r="B7214" t="s">
        <v>386</v>
      </c>
      <c r="C7214" t="s">
        <v>407</v>
      </c>
      <c r="D7214">
        <v>6410</v>
      </c>
      <c r="E7214">
        <v>2021</v>
      </c>
      <c r="F7214">
        <v>2</v>
      </c>
      <c r="G7214">
        <v>13787</v>
      </c>
      <c r="H7214" s="1">
        <v>3</v>
      </c>
      <c r="I7214">
        <v>7</v>
      </c>
      <c r="J7214">
        <f>IF($H7214=0,1,IF($I7214&lt;=1,2,0))</f>
        <v>0</v>
      </c>
      <c r="K7214">
        <v>0</v>
      </c>
      <c r="L7214">
        <f>IF(AND($J7214=0,$K7214=0),0,1)</f>
        <v>0</v>
      </c>
    </row>
    <row r="7215" spans="1:12" x14ac:dyDescent="0.2">
      <c r="A7215" t="s">
        <v>769</v>
      </c>
      <c r="B7215" t="s">
        <v>386</v>
      </c>
      <c r="C7215" t="s">
        <v>407</v>
      </c>
      <c r="D7215">
        <v>6510</v>
      </c>
      <c r="E7215">
        <v>2021</v>
      </c>
      <c r="F7215">
        <v>1</v>
      </c>
      <c r="G7215">
        <v>13788</v>
      </c>
      <c r="H7215" s="1">
        <v>3</v>
      </c>
      <c r="I7215">
        <v>38</v>
      </c>
      <c r="J7215">
        <f>IF($H7215=0,1,IF($I7215&lt;=1,2,0))</f>
        <v>0</v>
      </c>
      <c r="K7215">
        <v>0</v>
      </c>
      <c r="L7215">
        <f>IF(AND($J7215=0,$K7215=0),0,1)</f>
        <v>0</v>
      </c>
    </row>
    <row r="7216" spans="1:12" x14ac:dyDescent="0.2">
      <c r="A7216" t="s">
        <v>769</v>
      </c>
      <c r="B7216" t="s">
        <v>386</v>
      </c>
      <c r="C7216" t="s">
        <v>407</v>
      </c>
      <c r="D7216">
        <v>6520</v>
      </c>
      <c r="E7216">
        <v>2021</v>
      </c>
      <c r="F7216">
        <v>1</v>
      </c>
      <c r="G7216">
        <v>13984</v>
      </c>
      <c r="H7216" s="1">
        <v>3</v>
      </c>
      <c r="I7216">
        <v>30</v>
      </c>
      <c r="J7216">
        <f>IF($H7216=0,1,IF($I7216&lt;=1,2,0))</f>
        <v>0</v>
      </c>
      <c r="K7216">
        <v>0</v>
      </c>
      <c r="L7216">
        <f>IF(AND($J7216=0,$K7216=0),0,1)</f>
        <v>0</v>
      </c>
    </row>
    <row r="7217" spans="1:12" x14ac:dyDescent="0.2">
      <c r="A7217" t="s">
        <v>769</v>
      </c>
      <c r="B7217" t="s">
        <v>386</v>
      </c>
      <c r="C7217" t="s">
        <v>407</v>
      </c>
      <c r="D7217">
        <v>6530</v>
      </c>
      <c r="E7217">
        <v>2021</v>
      </c>
      <c r="F7217">
        <v>1</v>
      </c>
      <c r="G7217">
        <v>13789</v>
      </c>
      <c r="H7217" s="1">
        <v>3</v>
      </c>
      <c r="I7217">
        <v>33</v>
      </c>
      <c r="J7217">
        <f>IF($H7217=0,1,IF($I7217&lt;=1,2,0))</f>
        <v>0</v>
      </c>
      <c r="K7217">
        <v>0</v>
      </c>
      <c r="L7217">
        <f>IF(AND($J7217=0,$K7217=0),0,1)</f>
        <v>0</v>
      </c>
    </row>
    <row r="7218" spans="1:12" x14ac:dyDescent="0.2">
      <c r="A7218" t="s">
        <v>769</v>
      </c>
      <c r="B7218" t="s">
        <v>386</v>
      </c>
      <c r="C7218" t="s">
        <v>34</v>
      </c>
      <c r="D7218">
        <v>6610</v>
      </c>
      <c r="E7218">
        <v>2021</v>
      </c>
      <c r="F7218">
        <v>6</v>
      </c>
      <c r="G7218">
        <v>20179</v>
      </c>
      <c r="H7218" s="1">
        <v>1.5</v>
      </c>
      <c r="I7218">
        <v>19</v>
      </c>
      <c r="J7218">
        <f>IF($H7218=0,1,IF($I7218&lt;=1,2,0))</f>
        <v>0</v>
      </c>
      <c r="K7218">
        <v>0</v>
      </c>
      <c r="L7218">
        <f>IF(AND($J7218=0,$K7218=0),0,1)</f>
        <v>0</v>
      </c>
    </row>
    <row r="7219" spans="1:12" x14ac:dyDescent="0.2">
      <c r="A7219" t="s">
        <v>769</v>
      </c>
      <c r="B7219" t="s">
        <v>386</v>
      </c>
      <c r="C7219" t="s">
        <v>34</v>
      </c>
      <c r="D7219">
        <v>6610</v>
      </c>
      <c r="E7219">
        <v>2021</v>
      </c>
      <c r="F7219">
        <v>2</v>
      </c>
      <c r="G7219">
        <v>20175</v>
      </c>
      <c r="H7219" s="1">
        <v>1.5</v>
      </c>
      <c r="I7219">
        <v>18</v>
      </c>
      <c r="J7219">
        <f>IF($H7219=0,1,IF($I7219&lt;=1,2,0))</f>
        <v>0</v>
      </c>
      <c r="K7219">
        <v>0</v>
      </c>
      <c r="L7219">
        <f>IF(AND($J7219=0,$K7219=0),0,1)</f>
        <v>0</v>
      </c>
    </row>
    <row r="7220" spans="1:12" x14ac:dyDescent="0.2">
      <c r="A7220" t="s">
        <v>769</v>
      </c>
      <c r="B7220" t="s">
        <v>386</v>
      </c>
      <c r="C7220" t="s">
        <v>34</v>
      </c>
      <c r="D7220">
        <v>6610</v>
      </c>
      <c r="E7220">
        <v>2021</v>
      </c>
      <c r="F7220">
        <v>3</v>
      </c>
      <c r="G7220">
        <v>20176</v>
      </c>
      <c r="H7220" s="1">
        <v>1.5</v>
      </c>
      <c r="I7220">
        <v>18</v>
      </c>
      <c r="J7220">
        <f>IF($H7220=0,1,IF($I7220&lt;=1,2,0))</f>
        <v>0</v>
      </c>
      <c r="K7220">
        <v>0</v>
      </c>
      <c r="L7220">
        <f>IF(AND($J7220=0,$K7220=0),0,1)</f>
        <v>0</v>
      </c>
    </row>
    <row r="7221" spans="1:12" x14ac:dyDescent="0.2">
      <c r="A7221" t="s">
        <v>769</v>
      </c>
      <c r="B7221" t="s">
        <v>386</v>
      </c>
      <c r="C7221" t="s">
        <v>34</v>
      </c>
      <c r="D7221">
        <v>6610</v>
      </c>
      <c r="E7221">
        <v>2021</v>
      </c>
      <c r="F7221">
        <v>7</v>
      </c>
      <c r="G7221">
        <v>20180</v>
      </c>
      <c r="H7221" s="1">
        <v>1.5</v>
      </c>
      <c r="I7221">
        <v>17</v>
      </c>
      <c r="J7221">
        <f>IF($H7221=0,1,IF($I7221&lt;=1,2,0))</f>
        <v>0</v>
      </c>
      <c r="K7221">
        <v>0</v>
      </c>
      <c r="L7221">
        <f>IF(AND($J7221=0,$K7221=0),0,1)</f>
        <v>0</v>
      </c>
    </row>
    <row r="7222" spans="1:12" x14ac:dyDescent="0.2">
      <c r="A7222" t="s">
        <v>769</v>
      </c>
      <c r="B7222" t="s">
        <v>386</v>
      </c>
      <c r="C7222" t="s">
        <v>34</v>
      </c>
      <c r="D7222">
        <v>6610</v>
      </c>
      <c r="E7222">
        <v>2021</v>
      </c>
      <c r="F7222">
        <v>8</v>
      </c>
      <c r="G7222">
        <v>20181</v>
      </c>
      <c r="H7222" s="1">
        <v>1.5</v>
      </c>
      <c r="I7222">
        <v>16</v>
      </c>
      <c r="J7222">
        <f>IF($H7222=0,1,IF($I7222&lt;=1,2,0))</f>
        <v>0</v>
      </c>
      <c r="K7222">
        <v>0</v>
      </c>
      <c r="L7222">
        <f>IF(AND($J7222=0,$K7222=0),0,1)</f>
        <v>0</v>
      </c>
    </row>
    <row r="7223" spans="1:12" x14ac:dyDescent="0.2">
      <c r="A7223" t="s">
        <v>769</v>
      </c>
      <c r="B7223" t="s">
        <v>386</v>
      </c>
      <c r="C7223" t="s">
        <v>34</v>
      </c>
      <c r="D7223">
        <v>6610</v>
      </c>
      <c r="E7223">
        <v>2021</v>
      </c>
      <c r="F7223">
        <v>11</v>
      </c>
      <c r="G7223">
        <v>20184</v>
      </c>
      <c r="H7223" s="1">
        <v>1.5</v>
      </c>
      <c r="I7223">
        <v>16</v>
      </c>
      <c r="J7223">
        <f>IF($H7223=0,1,IF($I7223&lt;=1,2,0))</f>
        <v>0</v>
      </c>
      <c r="K7223">
        <v>0</v>
      </c>
      <c r="L7223">
        <f>IF(AND($J7223=0,$K7223=0),0,1)</f>
        <v>0</v>
      </c>
    </row>
    <row r="7224" spans="1:12" x14ac:dyDescent="0.2">
      <c r="A7224" t="s">
        <v>769</v>
      </c>
      <c r="B7224" t="s">
        <v>386</v>
      </c>
      <c r="C7224" t="s">
        <v>34</v>
      </c>
      <c r="D7224">
        <v>6610</v>
      </c>
      <c r="E7224">
        <v>2021</v>
      </c>
      <c r="F7224">
        <v>4</v>
      </c>
      <c r="G7224">
        <v>20177</v>
      </c>
      <c r="H7224" s="1">
        <v>1.5</v>
      </c>
      <c r="I7224">
        <v>13</v>
      </c>
      <c r="J7224">
        <f>IF($H7224=0,1,IF($I7224&lt;=1,2,0))</f>
        <v>0</v>
      </c>
      <c r="K7224">
        <v>0</v>
      </c>
      <c r="L7224">
        <f>IF(AND($J7224=0,$K7224=0),0,1)</f>
        <v>0</v>
      </c>
    </row>
    <row r="7225" spans="1:12" x14ac:dyDescent="0.2">
      <c r="A7225" t="s">
        <v>769</v>
      </c>
      <c r="B7225" t="s">
        <v>386</v>
      </c>
      <c r="C7225" t="s">
        <v>34</v>
      </c>
      <c r="D7225">
        <v>6610</v>
      </c>
      <c r="E7225">
        <v>2021</v>
      </c>
      <c r="F7225">
        <v>5</v>
      </c>
      <c r="G7225">
        <v>20178</v>
      </c>
      <c r="H7225" s="1">
        <v>1.5</v>
      </c>
      <c r="I7225">
        <v>11</v>
      </c>
      <c r="J7225">
        <f>IF($H7225=0,1,IF($I7225&lt;=1,2,0))</f>
        <v>0</v>
      </c>
      <c r="K7225">
        <v>0</v>
      </c>
      <c r="L7225">
        <f>IF(AND($J7225=0,$K7225=0),0,1)</f>
        <v>0</v>
      </c>
    </row>
    <row r="7226" spans="1:12" x14ac:dyDescent="0.2">
      <c r="A7226" t="s">
        <v>769</v>
      </c>
      <c r="B7226" t="s">
        <v>386</v>
      </c>
      <c r="C7226" t="s">
        <v>34</v>
      </c>
      <c r="D7226">
        <v>6610</v>
      </c>
      <c r="E7226">
        <v>2021</v>
      </c>
      <c r="F7226">
        <v>9</v>
      </c>
      <c r="G7226">
        <v>20182</v>
      </c>
      <c r="H7226" s="1">
        <v>1.5</v>
      </c>
      <c r="I7226">
        <v>10</v>
      </c>
      <c r="J7226">
        <f>IF($H7226=0,1,IF($I7226&lt;=1,2,0))</f>
        <v>0</v>
      </c>
      <c r="K7226">
        <v>0</v>
      </c>
      <c r="L7226">
        <f>IF(AND($J7226=0,$K7226=0),0,1)</f>
        <v>0</v>
      </c>
    </row>
    <row r="7227" spans="1:12" x14ac:dyDescent="0.2">
      <c r="A7227" t="s">
        <v>769</v>
      </c>
      <c r="B7227" t="s">
        <v>386</v>
      </c>
      <c r="C7227" t="s">
        <v>34</v>
      </c>
      <c r="D7227">
        <v>6610</v>
      </c>
      <c r="E7227">
        <v>2021</v>
      </c>
      <c r="F7227">
        <v>1</v>
      </c>
      <c r="G7227">
        <v>20174</v>
      </c>
      <c r="H7227" s="1">
        <v>1.5</v>
      </c>
      <c r="I7227">
        <v>7</v>
      </c>
      <c r="J7227">
        <f>IF($H7227=0,1,IF($I7227&lt;=1,2,0))</f>
        <v>0</v>
      </c>
      <c r="K7227">
        <v>0</v>
      </c>
      <c r="L7227">
        <f>IF(AND($J7227=0,$K7227=0),0,1)</f>
        <v>0</v>
      </c>
    </row>
    <row r="7228" spans="1:12" x14ac:dyDescent="0.2">
      <c r="A7228" t="s">
        <v>769</v>
      </c>
      <c r="B7228" t="s">
        <v>386</v>
      </c>
      <c r="C7228" t="s">
        <v>34</v>
      </c>
      <c r="D7228">
        <v>6610</v>
      </c>
      <c r="E7228">
        <v>2021</v>
      </c>
      <c r="F7228">
        <v>12</v>
      </c>
      <c r="G7228">
        <v>20909</v>
      </c>
      <c r="H7228" s="1">
        <v>1.5</v>
      </c>
      <c r="I7228">
        <v>7</v>
      </c>
      <c r="J7228">
        <f>IF($H7228=0,1,IF($I7228&lt;=1,2,0))</f>
        <v>0</v>
      </c>
      <c r="K7228">
        <v>0</v>
      </c>
      <c r="L7228">
        <f>IF(AND($J7228=0,$K7228=0),0,1)</f>
        <v>0</v>
      </c>
    </row>
    <row r="7229" spans="1:12" x14ac:dyDescent="0.2">
      <c r="A7229" t="s">
        <v>769</v>
      </c>
      <c r="B7229" t="s">
        <v>386</v>
      </c>
      <c r="C7229" t="s">
        <v>34</v>
      </c>
      <c r="D7229">
        <v>6610</v>
      </c>
      <c r="E7229">
        <v>2021</v>
      </c>
      <c r="F7229">
        <v>10</v>
      </c>
      <c r="G7229">
        <v>20183</v>
      </c>
      <c r="H7229" s="1">
        <v>1.5</v>
      </c>
      <c r="I7229">
        <v>6</v>
      </c>
      <c r="J7229">
        <f>IF($H7229=0,1,IF($I7229&lt;=1,2,0))</f>
        <v>0</v>
      </c>
      <c r="K7229">
        <v>0</v>
      </c>
      <c r="L7229">
        <f>IF(AND($J7229=0,$K7229=0),0,1)</f>
        <v>0</v>
      </c>
    </row>
    <row r="7230" spans="1:12" x14ac:dyDescent="0.2">
      <c r="A7230" t="s">
        <v>769</v>
      </c>
      <c r="B7230" t="s">
        <v>386</v>
      </c>
      <c r="C7230" t="s">
        <v>407</v>
      </c>
      <c r="D7230">
        <v>6611</v>
      </c>
      <c r="E7230">
        <v>2021</v>
      </c>
      <c r="F7230">
        <v>2</v>
      </c>
      <c r="G7230">
        <v>20186</v>
      </c>
      <c r="H7230" s="1">
        <v>1</v>
      </c>
      <c r="I7230">
        <v>21</v>
      </c>
      <c r="J7230">
        <f>IF($H7230=0,1,IF($I7230&lt;=1,2,0))</f>
        <v>0</v>
      </c>
      <c r="K7230">
        <v>0</v>
      </c>
      <c r="L7230">
        <f>IF(AND($J7230=0,$K7230=0),0,1)</f>
        <v>0</v>
      </c>
    </row>
    <row r="7231" spans="1:12" x14ac:dyDescent="0.2">
      <c r="A7231" t="s">
        <v>769</v>
      </c>
      <c r="B7231" t="s">
        <v>386</v>
      </c>
      <c r="C7231" t="s">
        <v>407</v>
      </c>
      <c r="D7231">
        <v>6611</v>
      </c>
      <c r="E7231">
        <v>2021</v>
      </c>
      <c r="F7231">
        <v>1</v>
      </c>
      <c r="G7231">
        <v>20185</v>
      </c>
      <c r="H7231" s="1">
        <v>1</v>
      </c>
      <c r="I7231">
        <v>17</v>
      </c>
      <c r="J7231">
        <f>IF($H7231=0,1,IF($I7231&lt;=1,2,0))</f>
        <v>0</v>
      </c>
      <c r="K7231">
        <v>0</v>
      </c>
      <c r="L7231">
        <f>IF(AND($J7231=0,$K7231=0),0,1)</f>
        <v>0</v>
      </c>
    </row>
    <row r="7232" spans="1:12" x14ac:dyDescent="0.2">
      <c r="A7232" t="s">
        <v>769</v>
      </c>
      <c r="B7232" t="s">
        <v>386</v>
      </c>
      <c r="C7232" t="s">
        <v>407</v>
      </c>
      <c r="D7232">
        <v>8200</v>
      </c>
      <c r="E7232">
        <v>2021</v>
      </c>
      <c r="F7232">
        <v>4</v>
      </c>
      <c r="G7232">
        <v>13793</v>
      </c>
      <c r="H7232" s="1">
        <v>9</v>
      </c>
      <c r="I7232">
        <v>9</v>
      </c>
      <c r="J7232">
        <f>IF($H7232=0,1,IF($I7232&lt;=1,2,0))</f>
        <v>0</v>
      </c>
      <c r="K7232">
        <v>0</v>
      </c>
      <c r="L7232">
        <f>IF(AND($J7232=0,$K7232=0),0,1)</f>
        <v>0</v>
      </c>
    </row>
    <row r="7233" spans="1:13" x14ac:dyDescent="0.2">
      <c r="A7233" t="s">
        <v>769</v>
      </c>
      <c r="B7233" t="s">
        <v>386</v>
      </c>
      <c r="C7233" t="s">
        <v>407</v>
      </c>
      <c r="D7233">
        <v>8200</v>
      </c>
      <c r="E7233">
        <v>2021</v>
      </c>
      <c r="F7233">
        <v>2</v>
      </c>
      <c r="G7233">
        <v>13791</v>
      </c>
      <c r="H7233" s="1">
        <v>9</v>
      </c>
      <c r="I7233">
        <v>8</v>
      </c>
      <c r="J7233">
        <f>IF($H7233=0,1,IF($I7233&lt;=1,2,0))</f>
        <v>0</v>
      </c>
      <c r="K7233">
        <v>0</v>
      </c>
      <c r="L7233">
        <f>IF(AND($J7233=0,$K7233=0),0,1)</f>
        <v>0</v>
      </c>
    </row>
    <row r="7234" spans="1:13" x14ac:dyDescent="0.2">
      <c r="A7234" t="s">
        <v>769</v>
      </c>
      <c r="B7234" t="s">
        <v>386</v>
      </c>
      <c r="C7234" t="s">
        <v>407</v>
      </c>
      <c r="D7234">
        <v>8200</v>
      </c>
      <c r="E7234">
        <v>2021</v>
      </c>
      <c r="F7234">
        <v>3</v>
      </c>
      <c r="G7234">
        <v>13792</v>
      </c>
      <c r="H7234" s="1">
        <v>9</v>
      </c>
      <c r="I7234">
        <v>8</v>
      </c>
      <c r="J7234">
        <f>IF($H7234=0,1,IF($I7234&lt;=1,2,0))</f>
        <v>0</v>
      </c>
      <c r="K7234">
        <v>0</v>
      </c>
      <c r="L7234">
        <f>IF(AND($J7234=0,$K7234=0),0,1)</f>
        <v>0</v>
      </c>
    </row>
    <row r="7235" spans="1:13" x14ac:dyDescent="0.2">
      <c r="A7235" t="s">
        <v>769</v>
      </c>
      <c r="B7235" t="s">
        <v>386</v>
      </c>
      <c r="C7235" t="s">
        <v>407</v>
      </c>
      <c r="D7235">
        <v>8200</v>
      </c>
      <c r="E7235">
        <v>2021</v>
      </c>
      <c r="F7235">
        <v>1</v>
      </c>
      <c r="G7235">
        <v>13790</v>
      </c>
      <c r="H7235" s="1">
        <v>9</v>
      </c>
      <c r="I7235">
        <v>7</v>
      </c>
      <c r="J7235">
        <f>IF($H7235=0,1,IF($I7235&lt;=1,2,0))</f>
        <v>0</v>
      </c>
      <c r="K7235">
        <v>0</v>
      </c>
      <c r="L7235">
        <f>IF(AND($J7235=0,$K7235=0),0,1)</f>
        <v>0</v>
      </c>
    </row>
    <row r="7236" spans="1:13" x14ac:dyDescent="0.2">
      <c r="A7236" t="s">
        <v>769</v>
      </c>
      <c r="B7236" t="s">
        <v>386</v>
      </c>
      <c r="C7236" t="s">
        <v>407</v>
      </c>
      <c r="D7236">
        <v>8200</v>
      </c>
      <c r="E7236">
        <v>2021</v>
      </c>
      <c r="F7236">
        <v>5</v>
      </c>
      <c r="G7236">
        <v>13795</v>
      </c>
      <c r="H7236" s="1">
        <v>9</v>
      </c>
      <c r="I7236">
        <v>5</v>
      </c>
      <c r="J7236">
        <f>IF($H7236=0,1,IF($I7236&lt;=1,2,0))</f>
        <v>0</v>
      </c>
      <c r="K7236">
        <v>0</v>
      </c>
      <c r="L7236">
        <f>IF(AND($J7236=0,$K7236=0),0,1)</f>
        <v>0</v>
      </c>
    </row>
    <row r="7237" spans="1:13" x14ac:dyDescent="0.2">
      <c r="A7237" t="s">
        <v>771</v>
      </c>
      <c r="B7237" t="s">
        <v>17</v>
      </c>
      <c r="C7237" t="s">
        <v>9</v>
      </c>
      <c r="D7237">
        <v>1101</v>
      </c>
      <c r="E7237">
        <v>2021</v>
      </c>
      <c r="F7237">
        <v>1</v>
      </c>
      <c r="G7237">
        <v>12760</v>
      </c>
      <c r="H7237" s="1">
        <v>4</v>
      </c>
      <c r="I7237">
        <v>11</v>
      </c>
      <c r="J7237">
        <f>IF($H7237=0,1,IF($I7237&lt;=1,2,0))</f>
        <v>0</v>
      </c>
      <c r="K7237">
        <v>0</v>
      </c>
      <c r="L7237">
        <f>IF(AND($J7237=0,$K7237=0),0,1)</f>
        <v>0</v>
      </c>
    </row>
    <row r="7238" spans="1:13" x14ac:dyDescent="0.2">
      <c r="A7238" t="s">
        <v>771</v>
      </c>
      <c r="B7238" t="s">
        <v>17</v>
      </c>
      <c r="C7238" t="s">
        <v>9</v>
      </c>
      <c r="D7238">
        <v>3333</v>
      </c>
      <c r="E7238">
        <v>2021</v>
      </c>
      <c r="F7238">
        <v>1</v>
      </c>
      <c r="G7238">
        <v>12762</v>
      </c>
      <c r="H7238" s="1">
        <v>3</v>
      </c>
      <c r="I7238">
        <v>5</v>
      </c>
      <c r="J7238">
        <f>IF($H7238=0,1,IF($I7238&lt;=1,2,0))</f>
        <v>0</v>
      </c>
      <c r="K7238">
        <v>0</v>
      </c>
      <c r="L7238">
        <f>IF(AND($J7238=0,$K7238=0),0,1)</f>
        <v>0</v>
      </c>
    </row>
    <row r="7239" spans="1:13" x14ac:dyDescent="0.2">
      <c r="A7239" t="s">
        <v>771</v>
      </c>
      <c r="B7239" t="s">
        <v>17</v>
      </c>
      <c r="C7239" t="s">
        <v>11</v>
      </c>
      <c r="D7239">
        <v>4675</v>
      </c>
      <c r="E7239">
        <v>2021</v>
      </c>
      <c r="F7239">
        <v>1</v>
      </c>
      <c r="G7239">
        <v>12809</v>
      </c>
      <c r="H7239" s="1">
        <v>3</v>
      </c>
      <c r="I7239">
        <v>6</v>
      </c>
      <c r="J7239">
        <f>IF($H7239=0,1,IF($I7239&lt;=1,2,0))</f>
        <v>0</v>
      </c>
      <c r="K7239">
        <v>0</v>
      </c>
      <c r="L7239">
        <f>IF(AND($J7239=0,$K7239=0),0,1)</f>
        <v>0</v>
      </c>
    </row>
    <row r="7240" spans="1:13" x14ac:dyDescent="0.2">
      <c r="A7240" t="s">
        <v>772</v>
      </c>
      <c r="B7240" t="s">
        <v>17</v>
      </c>
      <c r="C7240" t="s">
        <v>9</v>
      </c>
      <c r="D7240">
        <v>1101</v>
      </c>
      <c r="E7240">
        <v>2021</v>
      </c>
      <c r="F7240">
        <v>1</v>
      </c>
      <c r="G7240">
        <v>11730</v>
      </c>
      <c r="H7240" s="1">
        <v>4</v>
      </c>
      <c r="I7240">
        <v>4</v>
      </c>
      <c r="J7240">
        <f>IF($H7240=0,1,IF($I7240&lt;=1,2,0))</f>
        <v>0</v>
      </c>
      <c r="K7240">
        <v>0</v>
      </c>
      <c r="L7240">
        <f>IF(AND($J7240=0,$K7240=0),0,1)</f>
        <v>0</v>
      </c>
      <c r="M7240" t="s">
        <v>1307</v>
      </c>
    </row>
    <row r="7241" spans="1:13" x14ac:dyDescent="0.2">
      <c r="A7241" t="s">
        <v>772</v>
      </c>
      <c r="B7241" t="s">
        <v>17</v>
      </c>
      <c r="C7241" t="s">
        <v>9</v>
      </c>
      <c r="D7241">
        <v>2101</v>
      </c>
      <c r="E7241">
        <v>2021</v>
      </c>
      <c r="F7241">
        <v>1</v>
      </c>
      <c r="G7241">
        <v>11737</v>
      </c>
      <c r="H7241" s="1">
        <v>4</v>
      </c>
      <c r="I7241">
        <v>8</v>
      </c>
      <c r="J7241">
        <f>IF($H7241=0,1,IF($I7241&lt;=1,2,0))</f>
        <v>0</v>
      </c>
      <c r="K7241">
        <v>0</v>
      </c>
      <c r="L7241">
        <f>IF(AND($J7241=0,$K7241=0),0,1)</f>
        <v>0</v>
      </c>
      <c r="M7241" t="s">
        <v>773</v>
      </c>
    </row>
    <row r="7242" spans="1:13" x14ac:dyDescent="0.2">
      <c r="A7242" t="s">
        <v>772</v>
      </c>
      <c r="B7242" t="s">
        <v>17</v>
      </c>
      <c r="C7242" t="s">
        <v>9</v>
      </c>
      <c r="D7242">
        <v>3101</v>
      </c>
      <c r="E7242">
        <v>2021</v>
      </c>
      <c r="F7242">
        <v>1</v>
      </c>
      <c r="G7242">
        <v>11731</v>
      </c>
      <c r="H7242" s="1">
        <v>3</v>
      </c>
      <c r="I7242">
        <v>3</v>
      </c>
      <c r="J7242">
        <f>IF($H7242=0,1,IF($I7242&lt;=1,2,0))</f>
        <v>0</v>
      </c>
      <c r="K7242">
        <v>0</v>
      </c>
      <c r="L7242">
        <f>IF(AND($J7242=0,$K7242=0),0,1)</f>
        <v>0</v>
      </c>
      <c r="M7242" t="s">
        <v>181</v>
      </c>
    </row>
    <row r="7243" spans="1:13" x14ac:dyDescent="0.2">
      <c r="A7243" t="s">
        <v>774</v>
      </c>
      <c r="B7243" t="s">
        <v>17</v>
      </c>
      <c r="C7243" t="s">
        <v>9</v>
      </c>
      <c r="D7243">
        <v>1101</v>
      </c>
      <c r="E7243">
        <v>2021</v>
      </c>
      <c r="F7243">
        <v>1</v>
      </c>
      <c r="G7243">
        <v>11722</v>
      </c>
      <c r="H7243" s="1">
        <v>4</v>
      </c>
      <c r="I7243">
        <v>3</v>
      </c>
      <c r="J7243">
        <f>IF($H7243=0,1,IF($I7243&lt;=1,2,0))</f>
        <v>0</v>
      </c>
      <c r="K7243">
        <v>0</v>
      </c>
      <c r="L7243">
        <f>IF(AND($J7243=0,$K7243=0),0,1)</f>
        <v>0</v>
      </c>
      <c r="M7243" t="s">
        <v>181</v>
      </c>
    </row>
    <row r="7244" spans="1:13" x14ac:dyDescent="0.2">
      <c r="A7244" t="s">
        <v>0</v>
      </c>
      <c r="B7244" t="s">
        <v>1</v>
      </c>
      <c r="C7244" t="s">
        <v>2</v>
      </c>
      <c r="D7244">
        <v>3450</v>
      </c>
      <c r="E7244">
        <v>2019</v>
      </c>
      <c r="F7244">
        <v>2</v>
      </c>
      <c r="G7244">
        <v>6711</v>
      </c>
      <c r="H7244" s="1">
        <v>4</v>
      </c>
      <c r="I7244">
        <v>14</v>
      </c>
      <c r="J7244">
        <f>IF($H7244=0,1,IF($I7244&lt;=1,2,0))</f>
        <v>0</v>
      </c>
      <c r="K7244">
        <v>7</v>
      </c>
      <c r="L7244">
        <f>IF(AND($J7244=0,$K7244=0),0,1)</f>
        <v>1</v>
      </c>
      <c r="M7244" t="s">
        <v>3</v>
      </c>
    </row>
    <row r="7245" spans="1:13" x14ac:dyDescent="0.2">
      <c r="A7245" t="s">
        <v>0</v>
      </c>
      <c r="B7245" t="s">
        <v>1</v>
      </c>
      <c r="C7245" t="s">
        <v>2</v>
      </c>
      <c r="D7245">
        <v>3450</v>
      </c>
      <c r="E7245">
        <v>2019</v>
      </c>
      <c r="F7245">
        <v>1</v>
      </c>
      <c r="G7245">
        <v>6710</v>
      </c>
      <c r="H7245" s="1">
        <v>4</v>
      </c>
      <c r="I7245">
        <v>12</v>
      </c>
      <c r="J7245">
        <f>IF($H7245=0,1,IF($I7245&lt;=1,2,0))</f>
        <v>0</v>
      </c>
      <c r="K7245">
        <v>7</v>
      </c>
      <c r="L7245">
        <f>IF(AND($J7245=0,$K7245=0),0,1)</f>
        <v>1</v>
      </c>
      <c r="M7245" t="s">
        <v>3</v>
      </c>
    </row>
    <row r="7246" spans="1:13" x14ac:dyDescent="0.2">
      <c r="A7246" t="s">
        <v>0</v>
      </c>
      <c r="B7246" t="s">
        <v>1</v>
      </c>
      <c r="C7246" t="s">
        <v>2</v>
      </c>
      <c r="D7246">
        <v>3997</v>
      </c>
      <c r="E7246">
        <v>2019</v>
      </c>
      <c r="F7246">
        <v>1</v>
      </c>
      <c r="G7246">
        <v>6712</v>
      </c>
      <c r="H7246" s="1">
        <v>4</v>
      </c>
      <c r="I7246">
        <v>18</v>
      </c>
      <c r="J7246">
        <f>IF($H7246=0,1,IF($I7246&lt;=1,2,0))</f>
        <v>0</v>
      </c>
      <c r="K7246">
        <v>7</v>
      </c>
      <c r="L7246">
        <f>IF(AND($J7246=0,$K7246=0),0,1)</f>
        <v>1</v>
      </c>
      <c r="M7246" t="s">
        <v>4</v>
      </c>
    </row>
    <row r="7247" spans="1:13" x14ac:dyDescent="0.2">
      <c r="A7247" t="s">
        <v>0</v>
      </c>
      <c r="B7247" t="s">
        <v>1</v>
      </c>
      <c r="C7247" t="s">
        <v>2</v>
      </c>
      <c r="D7247">
        <v>3997</v>
      </c>
      <c r="E7247">
        <v>2019</v>
      </c>
      <c r="F7247">
        <v>2</v>
      </c>
      <c r="G7247">
        <v>6713</v>
      </c>
      <c r="H7247" s="1">
        <v>4</v>
      </c>
      <c r="I7247">
        <v>9</v>
      </c>
      <c r="J7247">
        <f>IF($H7247=0,1,IF($I7247&lt;=1,2,0))</f>
        <v>0</v>
      </c>
      <c r="K7247">
        <v>7</v>
      </c>
      <c r="L7247">
        <f>IF(AND($J7247=0,$K7247=0),0,1)</f>
        <v>1</v>
      </c>
      <c r="M7247" t="s">
        <v>4</v>
      </c>
    </row>
    <row r="7248" spans="1:13" x14ac:dyDescent="0.2">
      <c r="A7248" t="s">
        <v>5</v>
      </c>
      <c r="B7248" t="s">
        <v>6</v>
      </c>
      <c r="C7248" t="s">
        <v>7</v>
      </c>
      <c r="D7248">
        <v>1010</v>
      </c>
      <c r="E7248">
        <v>2019</v>
      </c>
      <c r="F7248">
        <v>1</v>
      </c>
      <c r="G7248">
        <v>13385</v>
      </c>
      <c r="H7248" s="1">
        <v>0</v>
      </c>
      <c r="I7248">
        <v>25</v>
      </c>
      <c r="J7248">
        <f>IF($H7248=0,1,IF($I7248&lt;=1,2,0))</f>
        <v>1</v>
      </c>
      <c r="K7248">
        <v>0</v>
      </c>
      <c r="L7248">
        <f>IF(AND($J7248=0,$K7248=0),0,1)</f>
        <v>1</v>
      </c>
      <c r="M7248" t="s">
        <v>8</v>
      </c>
    </row>
    <row r="7249" spans="1:13" x14ac:dyDescent="0.2">
      <c r="A7249" t="s">
        <v>5</v>
      </c>
      <c r="B7249" t="s">
        <v>6</v>
      </c>
      <c r="C7249" t="s">
        <v>7</v>
      </c>
      <c r="D7249">
        <v>1010</v>
      </c>
      <c r="E7249">
        <v>2019</v>
      </c>
      <c r="F7249">
        <v>4</v>
      </c>
      <c r="G7249">
        <v>17817</v>
      </c>
      <c r="H7249" s="1">
        <v>0</v>
      </c>
      <c r="I7249">
        <v>24</v>
      </c>
      <c r="J7249">
        <f>IF($H7249=0,1,IF($I7249&lt;=1,2,0))</f>
        <v>1</v>
      </c>
      <c r="K7249">
        <v>0</v>
      </c>
      <c r="L7249">
        <f>IF(AND($J7249=0,$K7249=0),0,1)</f>
        <v>1</v>
      </c>
    </row>
    <row r="7250" spans="1:13" x14ac:dyDescent="0.2">
      <c r="A7250" t="s">
        <v>5</v>
      </c>
      <c r="B7250" t="s">
        <v>6</v>
      </c>
      <c r="C7250" t="s">
        <v>7</v>
      </c>
      <c r="D7250">
        <v>1010</v>
      </c>
      <c r="E7250">
        <v>2019</v>
      </c>
      <c r="F7250">
        <v>2</v>
      </c>
      <c r="G7250">
        <v>13408</v>
      </c>
      <c r="H7250" s="1">
        <v>0</v>
      </c>
      <c r="I7250">
        <v>19</v>
      </c>
      <c r="J7250">
        <f>IF($H7250=0,1,IF($I7250&lt;=1,2,0))</f>
        <v>1</v>
      </c>
      <c r="K7250">
        <v>0</v>
      </c>
      <c r="L7250">
        <f>IF(AND($J7250=0,$K7250=0),0,1)</f>
        <v>1</v>
      </c>
      <c r="M7250" t="s">
        <v>1845</v>
      </c>
    </row>
    <row r="7251" spans="1:13" x14ac:dyDescent="0.2">
      <c r="A7251" t="s">
        <v>5</v>
      </c>
      <c r="B7251" t="s">
        <v>6</v>
      </c>
      <c r="C7251" t="s">
        <v>7</v>
      </c>
      <c r="D7251">
        <v>1010</v>
      </c>
      <c r="E7251">
        <v>2019</v>
      </c>
      <c r="F7251">
        <v>3</v>
      </c>
      <c r="G7251">
        <v>19999</v>
      </c>
      <c r="H7251" s="1">
        <v>0</v>
      </c>
      <c r="I7251">
        <v>18</v>
      </c>
      <c r="J7251">
        <f>IF($H7251=0,1,IF($I7251&lt;=1,2,0))</f>
        <v>1</v>
      </c>
      <c r="K7251">
        <v>0</v>
      </c>
      <c r="L7251">
        <f>IF(AND($J7251=0,$K7251=0),0,1)</f>
        <v>1</v>
      </c>
    </row>
    <row r="7252" spans="1:13" x14ac:dyDescent="0.2">
      <c r="A7252" t="s">
        <v>5</v>
      </c>
      <c r="B7252" t="s">
        <v>6</v>
      </c>
      <c r="C7252" t="s">
        <v>7</v>
      </c>
      <c r="D7252">
        <v>3997</v>
      </c>
      <c r="E7252">
        <v>2019</v>
      </c>
      <c r="F7252">
        <v>1</v>
      </c>
      <c r="G7252">
        <v>10517</v>
      </c>
      <c r="H7252" s="1" t="s">
        <v>1823</v>
      </c>
      <c r="I7252">
        <v>0</v>
      </c>
      <c r="J7252">
        <f>IF($H7252=0,1,IF($I7252&lt;=1,2,0))</f>
        <v>2</v>
      </c>
      <c r="K7252">
        <v>9</v>
      </c>
      <c r="L7252">
        <f>IF(AND($J7252=0,$K7252=0),0,1)</f>
        <v>1</v>
      </c>
    </row>
    <row r="7253" spans="1:13" x14ac:dyDescent="0.2">
      <c r="A7253" t="s">
        <v>5</v>
      </c>
      <c r="B7253" t="s">
        <v>6</v>
      </c>
      <c r="C7253" t="s">
        <v>11</v>
      </c>
      <c r="D7253">
        <v>4080</v>
      </c>
      <c r="E7253">
        <v>2019</v>
      </c>
      <c r="F7253">
        <v>2</v>
      </c>
      <c r="G7253">
        <v>57367</v>
      </c>
      <c r="H7253" s="1">
        <v>4</v>
      </c>
      <c r="I7253">
        <v>1</v>
      </c>
      <c r="J7253">
        <f>IF($H7253=0,1,IF($I7253&lt;=1,2,0))</f>
        <v>2</v>
      </c>
      <c r="K7253">
        <v>0</v>
      </c>
      <c r="L7253">
        <f>IF(AND($J7253=0,$K7253=0),0,1)</f>
        <v>1</v>
      </c>
    </row>
    <row r="7254" spans="1:13" x14ac:dyDescent="0.2">
      <c r="A7254" t="s">
        <v>5</v>
      </c>
      <c r="B7254" t="s">
        <v>6</v>
      </c>
      <c r="C7254" t="s">
        <v>11</v>
      </c>
      <c r="D7254">
        <v>6999</v>
      </c>
      <c r="E7254">
        <v>2019</v>
      </c>
      <c r="F7254">
        <v>1</v>
      </c>
      <c r="G7254">
        <v>10514</v>
      </c>
      <c r="H7254" s="1">
        <v>4</v>
      </c>
      <c r="I7254">
        <v>0</v>
      </c>
      <c r="J7254">
        <f>IF($H7254=0,1,IF($I7254&lt;=1,2,0))</f>
        <v>2</v>
      </c>
      <c r="K7254">
        <v>9</v>
      </c>
      <c r="L7254">
        <f>IF(AND($J7254=0,$K7254=0),0,1)</f>
        <v>1</v>
      </c>
    </row>
    <row r="7255" spans="1:13" x14ac:dyDescent="0.2">
      <c r="A7255" t="s">
        <v>5</v>
      </c>
      <c r="B7255" t="s">
        <v>6</v>
      </c>
      <c r="C7255" t="s">
        <v>11</v>
      </c>
      <c r="D7255">
        <v>9900</v>
      </c>
      <c r="E7255">
        <v>2019</v>
      </c>
      <c r="F7255">
        <v>3</v>
      </c>
      <c r="G7255">
        <v>10521</v>
      </c>
      <c r="H7255" s="1">
        <v>3</v>
      </c>
      <c r="I7255">
        <v>2</v>
      </c>
      <c r="J7255">
        <f>IF($H7255=0,1,IF($I7255&lt;=1,2,0))</f>
        <v>0</v>
      </c>
      <c r="K7255">
        <v>5</v>
      </c>
      <c r="L7255">
        <f>IF(AND($J7255=0,$K7255=0),0,1)</f>
        <v>1</v>
      </c>
    </row>
    <row r="7256" spans="1:13" x14ac:dyDescent="0.2">
      <c r="A7256" t="s">
        <v>5</v>
      </c>
      <c r="B7256" t="s">
        <v>6</v>
      </c>
      <c r="C7256" t="s">
        <v>11</v>
      </c>
      <c r="D7256">
        <v>9900</v>
      </c>
      <c r="E7256">
        <v>2019</v>
      </c>
      <c r="F7256">
        <v>1</v>
      </c>
      <c r="G7256">
        <v>10519</v>
      </c>
      <c r="H7256" s="1">
        <v>3</v>
      </c>
      <c r="I7256">
        <v>0</v>
      </c>
      <c r="J7256">
        <f>IF($H7256=0,1,IF($I7256&lt;=1,2,0))</f>
        <v>2</v>
      </c>
      <c r="K7256">
        <v>5</v>
      </c>
      <c r="L7256">
        <f>IF(AND($J7256=0,$K7256=0),0,1)</f>
        <v>1</v>
      </c>
    </row>
    <row r="7257" spans="1:13" x14ac:dyDescent="0.2">
      <c r="A7257" t="s">
        <v>5</v>
      </c>
      <c r="B7257" t="s">
        <v>6</v>
      </c>
      <c r="C7257" t="s">
        <v>11</v>
      </c>
      <c r="D7257">
        <v>9900</v>
      </c>
      <c r="E7257">
        <v>2019</v>
      </c>
      <c r="F7257">
        <v>2</v>
      </c>
      <c r="G7257">
        <v>10520</v>
      </c>
      <c r="H7257" s="1">
        <v>3</v>
      </c>
      <c r="I7257">
        <v>0</v>
      </c>
      <c r="J7257">
        <f>IF($H7257=0,1,IF($I7257&lt;=1,2,0))</f>
        <v>2</v>
      </c>
      <c r="K7257">
        <v>5</v>
      </c>
      <c r="L7257">
        <f>IF(AND($J7257=0,$K7257=0),0,1)</f>
        <v>1</v>
      </c>
    </row>
    <row r="7258" spans="1:13" x14ac:dyDescent="0.2">
      <c r="A7258" t="s">
        <v>5</v>
      </c>
      <c r="B7258" t="s">
        <v>6</v>
      </c>
      <c r="C7258" t="s">
        <v>11</v>
      </c>
      <c r="D7258">
        <v>9900</v>
      </c>
      <c r="E7258">
        <v>2019</v>
      </c>
      <c r="F7258">
        <v>4</v>
      </c>
      <c r="G7258">
        <v>10522</v>
      </c>
      <c r="H7258" s="1">
        <v>3</v>
      </c>
      <c r="I7258">
        <v>0</v>
      </c>
      <c r="J7258">
        <f>IF($H7258=0,1,IF($I7258&lt;=1,2,0))</f>
        <v>2</v>
      </c>
      <c r="K7258">
        <v>5</v>
      </c>
      <c r="L7258">
        <f>IF(AND($J7258=0,$K7258=0),0,1)</f>
        <v>1</v>
      </c>
    </row>
    <row r="7259" spans="1:13" x14ac:dyDescent="0.2">
      <c r="A7259" t="s">
        <v>5</v>
      </c>
      <c r="B7259" t="s">
        <v>6</v>
      </c>
      <c r="C7259" t="s">
        <v>11</v>
      </c>
      <c r="D7259">
        <v>9900</v>
      </c>
      <c r="E7259">
        <v>2019</v>
      </c>
      <c r="F7259">
        <v>5</v>
      </c>
      <c r="G7259">
        <v>10523</v>
      </c>
      <c r="H7259" s="1">
        <v>3</v>
      </c>
      <c r="I7259">
        <v>0</v>
      </c>
      <c r="J7259">
        <f>IF($H7259=0,1,IF($I7259&lt;=1,2,0))</f>
        <v>2</v>
      </c>
      <c r="K7259">
        <v>5</v>
      </c>
      <c r="L7259">
        <f>IF(AND($J7259=0,$K7259=0),0,1)</f>
        <v>1</v>
      </c>
    </row>
    <row r="7260" spans="1:13" x14ac:dyDescent="0.2">
      <c r="A7260" t="s">
        <v>5</v>
      </c>
      <c r="B7260" t="s">
        <v>6</v>
      </c>
      <c r="C7260" t="s">
        <v>11</v>
      </c>
      <c r="D7260">
        <v>9900</v>
      </c>
      <c r="E7260">
        <v>2019</v>
      </c>
      <c r="F7260">
        <v>6</v>
      </c>
      <c r="G7260">
        <v>10525</v>
      </c>
      <c r="H7260" s="1">
        <v>3</v>
      </c>
      <c r="I7260">
        <v>0</v>
      </c>
      <c r="J7260">
        <f>IF($H7260=0,1,IF($I7260&lt;=1,2,0))</f>
        <v>2</v>
      </c>
      <c r="K7260">
        <v>5</v>
      </c>
      <c r="L7260">
        <f>IF(AND($J7260=0,$K7260=0),0,1)</f>
        <v>1</v>
      </c>
    </row>
    <row r="7261" spans="1:13" x14ac:dyDescent="0.2">
      <c r="A7261" t="s">
        <v>14</v>
      </c>
      <c r="B7261" t="s">
        <v>1</v>
      </c>
      <c r="C7261" t="s">
        <v>2</v>
      </c>
      <c r="D7261">
        <v>3253</v>
      </c>
      <c r="E7261">
        <v>2019</v>
      </c>
      <c r="F7261">
        <v>1</v>
      </c>
      <c r="G7261">
        <v>6763</v>
      </c>
      <c r="H7261" s="1">
        <v>4</v>
      </c>
      <c r="I7261">
        <v>20</v>
      </c>
      <c r="J7261">
        <f>IF($H7261=0,1,IF($I7261&lt;=1,2,0))</f>
        <v>0</v>
      </c>
      <c r="K7261">
        <v>7</v>
      </c>
      <c r="L7261">
        <f>IF(AND($J7261=0,$K7261=0),0,1)</f>
        <v>1</v>
      </c>
    </row>
    <row r="7262" spans="1:13" x14ac:dyDescent="0.2">
      <c r="A7262" t="s">
        <v>14</v>
      </c>
      <c r="B7262" t="s">
        <v>1</v>
      </c>
      <c r="C7262" t="s">
        <v>2</v>
      </c>
      <c r="D7262">
        <v>3815</v>
      </c>
      <c r="E7262">
        <v>2019</v>
      </c>
      <c r="F7262">
        <v>1</v>
      </c>
      <c r="G7262">
        <v>6751</v>
      </c>
      <c r="H7262" s="1">
        <v>4</v>
      </c>
      <c r="I7262">
        <v>12</v>
      </c>
      <c r="J7262">
        <f>IF($H7262=0,1,IF($I7262&lt;=1,2,0))</f>
        <v>0</v>
      </c>
      <c r="K7262">
        <v>7</v>
      </c>
      <c r="L7262">
        <f>IF(AND($J7262=0,$K7262=0),0,1)</f>
        <v>1</v>
      </c>
    </row>
    <row r="7263" spans="1:13" x14ac:dyDescent="0.2">
      <c r="A7263" t="s">
        <v>15</v>
      </c>
      <c r="B7263" t="s">
        <v>1</v>
      </c>
      <c r="C7263" t="s">
        <v>2</v>
      </c>
      <c r="D7263">
        <v>2004</v>
      </c>
      <c r="E7263">
        <v>2019</v>
      </c>
      <c r="F7263">
        <v>1</v>
      </c>
      <c r="G7263">
        <v>6762</v>
      </c>
      <c r="H7263" s="1">
        <v>3</v>
      </c>
      <c r="I7263">
        <v>30</v>
      </c>
      <c r="J7263">
        <f>IF($H7263=0,1,IF($I7263&lt;=1,2,0))</f>
        <v>0</v>
      </c>
      <c r="K7263">
        <v>7</v>
      </c>
      <c r="L7263">
        <f>IF(AND($J7263=0,$K7263=0),0,1)</f>
        <v>1</v>
      </c>
    </row>
    <row r="7264" spans="1:13" x14ac:dyDescent="0.2">
      <c r="A7264" t="s">
        <v>15</v>
      </c>
      <c r="B7264" t="s">
        <v>1</v>
      </c>
      <c r="C7264" t="s">
        <v>2</v>
      </c>
      <c r="D7264">
        <v>3110</v>
      </c>
      <c r="E7264">
        <v>2019</v>
      </c>
      <c r="F7264">
        <v>1</v>
      </c>
      <c r="G7264">
        <v>6754</v>
      </c>
      <c r="H7264" s="1">
        <v>4</v>
      </c>
      <c r="I7264">
        <v>7</v>
      </c>
      <c r="J7264">
        <f>IF($H7264=0,1,IF($I7264&lt;=1,2,0))</f>
        <v>0</v>
      </c>
      <c r="K7264">
        <v>7</v>
      </c>
      <c r="L7264">
        <f>IF(AND($J7264=0,$K7264=0),0,1)</f>
        <v>1</v>
      </c>
    </row>
    <row r="7265" spans="1:13" x14ac:dyDescent="0.2">
      <c r="A7265" t="s">
        <v>15</v>
      </c>
      <c r="B7265" t="s">
        <v>1</v>
      </c>
      <c r="C7265" t="s">
        <v>2</v>
      </c>
      <c r="D7265">
        <v>3567</v>
      </c>
      <c r="E7265">
        <v>2019</v>
      </c>
      <c r="F7265">
        <v>1</v>
      </c>
      <c r="G7265">
        <v>6761</v>
      </c>
      <c r="H7265" s="1">
        <v>4</v>
      </c>
      <c r="I7265">
        <v>8</v>
      </c>
      <c r="J7265">
        <f>IF($H7265=0,1,IF($I7265&lt;=1,2,0))</f>
        <v>0</v>
      </c>
      <c r="K7265">
        <v>7</v>
      </c>
      <c r="L7265">
        <f>IF(AND($J7265=0,$K7265=0),0,1)</f>
        <v>1</v>
      </c>
    </row>
    <row r="7266" spans="1:13" x14ac:dyDescent="0.2">
      <c r="A7266" t="s">
        <v>15</v>
      </c>
      <c r="B7266" t="s">
        <v>1</v>
      </c>
      <c r="C7266" t="s">
        <v>2</v>
      </c>
      <c r="D7266">
        <v>3585</v>
      </c>
      <c r="E7266">
        <v>2019</v>
      </c>
      <c r="F7266">
        <v>1</v>
      </c>
      <c r="G7266">
        <v>6756</v>
      </c>
      <c r="H7266" s="1">
        <v>4</v>
      </c>
      <c r="I7266">
        <v>10</v>
      </c>
      <c r="J7266">
        <f>IF($H7266=0,1,IF($I7266&lt;=1,2,0))</f>
        <v>0</v>
      </c>
      <c r="K7266">
        <v>7</v>
      </c>
      <c r="L7266">
        <f>IF(AND($J7266=0,$K7266=0),0,1)</f>
        <v>1</v>
      </c>
    </row>
    <row r="7267" spans="1:13" x14ac:dyDescent="0.2">
      <c r="A7267" t="s">
        <v>15</v>
      </c>
      <c r="B7267" t="s">
        <v>1</v>
      </c>
      <c r="C7267" t="s">
        <v>2</v>
      </c>
      <c r="D7267">
        <v>3998</v>
      </c>
      <c r="E7267">
        <v>2019</v>
      </c>
      <c r="F7267">
        <v>1</v>
      </c>
      <c r="G7267">
        <v>6757</v>
      </c>
      <c r="H7267" s="1">
        <v>4</v>
      </c>
      <c r="I7267">
        <v>6</v>
      </c>
      <c r="J7267">
        <f>IF($H7267=0,1,IF($I7267&lt;=1,2,0))</f>
        <v>0</v>
      </c>
      <c r="K7267">
        <v>7</v>
      </c>
      <c r="L7267">
        <f>IF(AND($J7267=0,$K7267=0),0,1)</f>
        <v>1</v>
      </c>
    </row>
    <row r="7268" spans="1:13" x14ac:dyDescent="0.2">
      <c r="A7268" t="s">
        <v>16</v>
      </c>
      <c r="B7268" t="s">
        <v>17</v>
      </c>
      <c r="C7268" t="s">
        <v>2</v>
      </c>
      <c r="D7268">
        <v>1001</v>
      </c>
      <c r="E7268">
        <v>2019</v>
      </c>
      <c r="F7268">
        <v>1</v>
      </c>
      <c r="G7268">
        <v>7005</v>
      </c>
      <c r="H7268" s="1">
        <v>4</v>
      </c>
      <c r="I7268">
        <v>111</v>
      </c>
      <c r="J7268">
        <f>IF($H7268=0,1,IF($I7268&lt;=1,2,0))</f>
        <v>0</v>
      </c>
      <c r="K7268">
        <v>7</v>
      </c>
      <c r="L7268">
        <f>IF(AND($J7268=0,$K7268=0),0,1)</f>
        <v>1</v>
      </c>
      <c r="M7268" t="s">
        <v>18</v>
      </c>
    </row>
    <row r="7269" spans="1:13" x14ac:dyDescent="0.2">
      <c r="A7269" t="s">
        <v>16</v>
      </c>
      <c r="B7269" t="s">
        <v>17</v>
      </c>
      <c r="C7269" t="s">
        <v>2</v>
      </c>
      <c r="D7269">
        <v>1001</v>
      </c>
      <c r="E7269">
        <v>2019</v>
      </c>
      <c r="F7269">
        <v>2</v>
      </c>
      <c r="G7269">
        <v>230</v>
      </c>
      <c r="H7269" s="1">
        <v>4</v>
      </c>
      <c r="I7269">
        <v>0</v>
      </c>
      <c r="J7269">
        <f>IF($H7269=0,1,IF($I7269&lt;=1,2,0))</f>
        <v>2</v>
      </c>
      <c r="K7269">
        <v>7</v>
      </c>
      <c r="L7269">
        <f>IF(AND($J7269=0,$K7269=0),0,1)</f>
        <v>1</v>
      </c>
    </row>
    <row r="7270" spans="1:13" x14ac:dyDescent="0.2">
      <c r="A7270" t="s">
        <v>16</v>
      </c>
      <c r="B7270" t="s">
        <v>17</v>
      </c>
      <c r="C7270" t="s">
        <v>7</v>
      </c>
      <c r="D7270">
        <v>1008</v>
      </c>
      <c r="E7270">
        <v>2019</v>
      </c>
      <c r="F7270">
        <v>2</v>
      </c>
      <c r="G7270">
        <v>41649</v>
      </c>
      <c r="H7270" s="1">
        <v>0</v>
      </c>
      <c r="I7270">
        <v>15</v>
      </c>
      <c r="J7270">
        <f>IF($H7270=0,1,IF($I7270&lt;=1,2,0))</f>
        <v>1</v>
      </c>
      <c r="K7270">
        <v>0</v>
      </c>
      <c r="L7270">
        <f>IF(AND($J7270=0,$K7270=0),0,1)</f>
        <v>1</v>
      </c>
    </row>
    <row r="7271" spans="1:13" x14ac:dyDescent="0.2">
      <c r="A7271" t="s">
        <v>16</v>
      </c>
      <c r="B7271" t="s">
        <v>17</v>
      </c>
      <c r="C7271" t="s">
        <v>7</v>
      </c>
      <c r="D7271">
        <v>1008</v>
      </c>
      <c r="E7271">
        <v>2019</v>
      </c>
      <c r="F7271">
        <v>1</v>
      </c>
      <c r="G7271">
        <v>41648</v>
      </c>
      <c r="H7271" s="1">
        <v>0</v>
      </c>
      <c r="I7271">
        <v>14</v>
      </c>
      <c r="J7271">
        <f>IF($H7271=0,1,IF($I7271&lt;=1,2,0))</f>
        <v>1</v>
      </c>
      <c r="K7271">
        <v>0</v>
      </c>
      <c r="L7271">
        <f>IF(AND($J7271=0,$K7271=0),0,1)</f>
        <v>1</v>
      </c>
    </row>
    <row r="7272" spans="1:13" x14ac:dyDescent="0.2">
      <c r="A7272" t="s">
        <v>16</v>
      </c>
      <c r="B7272" t="s">
        <v>17</v>
      </c>
      <c r="C7272" t="s">
        <v>7</v>
      </c>
      <c r="D7272">
        <v>1008</v>
      </c>
      <c r="E7272">
        <v>2019</v>
      </c>
      <c r="F7272">
        <v>4</v>
      </c>
      <c r="G7272">
        <v>41651</v>
      </c>
      <c r="H7272" s="1">
        <v>0</v>
      </c>
      <c r="I7272">
        <v>13</v>
      </c>
      <c r="J7272">
        <f>IF($H7272=0,1,IF($I7272&lt;=1,2,0))</f>
        <v>1</v>
      </c>
      <c r="K7272">
        <v>0</v>
      </c>
      <c r="L7272">
        <f>IF(AND($J7272=0,$K7272=0),0,1)</f>
        <v>1</v>
      </c>
    </row>
    <row r="7273" spans="1:13" x14ac:dyDescent="0.2">
      <c r="A7273" t="s">
        <v>16</v>
      </c>
      <c r="B7273" t="s">
        <v>17</v>
      </c>
      <c r="C7273" t="s">
        <v>7</v>
      </c>
      <c r="D7273">
        <v>1008</v>
      </c>
      <c r="E7273">
        <v>2019</v>
      </c>
      <c r="F7273">
        <v>3</v>
      </c>
      <c r="G7273">
        <v>41650</v>
      </c>
      <c r="H7273" s="1">
        <v>0</v>
      </c>
      <c r="I7273">
        <v>11</v>
      </c>
      <c r="J7273">
        <f>IF($H7273=0,1,IF($I7273&lt;=1,2,0))</f>
        <v>1</v>
      </c>
      <c r="K7273">
        <v>0</v>
      </c>
      <c r="L7273">
        <f>IF(AND($J7273=0,$K7273=0),0,1)</f>
        <v>1</v>
      </c>
    </row>
    <row r="7274" spans="1:13" x14ac:dyDescent="0.2">
      <c r="A7274" t="s">
        <v>16</v>
      </c>
      <c r="B7274" t="s">
        <v>17</v>
      </c>
      <c r="C7274" t="s">
        <v>7</v>
      </c>
      <c r="D7274">
        <v>1008</v>
      </c>
      <c r="E7274">
        <v>2019</v>
      </c>
      <c r="F7274">
        <v>6</v>
      </c>
      <c r="G7274">
        <v>18035</v>
      </c>
      <c r="H7274" s="1">
        <v>0</v>
      </c>
      <c r="I7274">
        <v>10</v>
      </c>
      <c r="J7274">
        <f>IF($H7274=0,1,IF($I7274&lt;=1,2,0))</f>
        <v>1</v>
      </c>
      <c r="K7274">
        <v>0</v>
      </c>
      <c r="L7274">
        <f>IF(AND($J7274=0,$K7274=0),0,1)</f>
        <v>1</v>
      </c>
    </row>
    <row r="7275" spans="1:13" x14ac:dyDescent="0.2">
      <c r="A7275" t="s">
        <v>16</v>
      </c>
      <c r="B7275" t="s">
        <v>17</v>
      </c>
      <c r="C7275" t="s">
        <v>7</v>
      </c>
      <c r="D7275">
        <v>1008</v>
      </c>
      <c r="E7275">
        <v>2019</v>
      </c>
      <c r="F7275">
        <v>5</v>
      </c>
      <c r="G7275">
        <v>18034</v>
      </c>
      <c r="H7275" s="1">
        <v>0</v>
      </c>
      <c r="I7275">
        <v>3</v>
      </c>
      <c r="J7275">
        <f>IF($H7275=0,1,IF($I7275&lt;=1,2,0))</f>
        <v>1</v>
      </c>
      <c r="K7275">
        <v>0</v>
      </c>
      <c r="L7275">
        <f>IF(AND($J7275=0,$K7275=0),0,1)</f>
        <v>1</v>
      </c>
    </row>
    <row r="7276" spans="1:13" x14ac:dyDescent="0.2">
      <c r="A7276" t="s">
        <v>16</v>
      </c>
      <c r="B7276" t="s">
        <v>17</v>
      </c>
      <c r="C7276" t="s">
        <v>2</v>
      </c>
      <c r="D7276">
        <v>2001</v>
      </c>
      <c r="E7276">
        <v>2019</v>
      </c>
      <c r="F7276">
        <v>1</v>
      </c>
      <c r="G7276">
        <v>7025</v>
      </c>
      <c r="H7276" s="1">
        <v>3</v>
      </c>
      <c r="I7276">
        <v>10</v>
      </c>
      <c r="J7276">
        <f>IF($H7276=0,1,IF($I7276&lt;=1,2,0))</f>
        <v>0</v>
      </c>
      <c r="K7276">
        <v>7</v>
      </c>
      <c r="L7276">
        <f>IF(AND($J7276=0,$K7276=0),0,1)</f>
        <v>1</v>
      </c>
      <c r="M7276" t="s">
        <v>20</v>
      </c>
    </row>
    <row r="7277" spans="1:13" x14ac:dyDescent="0.2">
      <c r="A7277" t="s">
        <v>16</v>
      </c>
      <c r="B7277" t="s">
        <v>17</v>
      </c>
      <c r="C7277" t="s">
        <v>2</v>
      </c>
      <c r="D7277">
        <v>2005</v>
      </c>
      <c r="E7277">
        <v>2019</v>
      </c>
      <c r="F7277">
        <v>1</v>
      </c>
      <c r="G7277">
        <v>7022</v>
      </c>
      <c r="H7277" s="1">
        <v>3</v>
      </c>
      <c r="I7277">
        <v>15</v>
      </c>
      <c r="J7277">
        <f>IF($H7277=0,1,IF($I7277&lt;=1,2,0))</f>
        <v>0</v>
      </c>
      <c r="K7277">
        <v>7</v>
      </c>
      <c r="L7277">
        <f>IF(AND($J7277=0,$K7277=0),0,1)</f>
        <v>1</v>
      </c>
      <c r="M7277" t="s">
        <v>20</v>
      </c>
    </row>
    <row r="7278" spans="1:13" x14ac:dyDescent="0.2">
      <c r="A7278" t="s">
        <v>16</v>
      </c>
      <c r="B7278" t="s">
        <v>17</v>
      </c>
      <c r="C7278" t="s">
        <v>2</v>
      </c>
      <c r="D7278">
        <v>2007</v>
      </c>
      <c r="E7278">
        <v>2019</v>
      </c>
      <c r="F7278">
        <v>1</v>
      </c>
      <c r="G7278">
        <v>7024</v>
      </c>
      <c r="H7278" s="1">
        <v>3</v>
      </c>
      <c r="I7278">
        <v>3</v>
      </c>
      <c r="J7278">
        <f>IF($H7278=0,1,IF($I7278&lt;=1,2,0))</f>
        <v>0</v>
      </c>
      <c r="K7278">
        <v>7</v>
      </c>
      <c r="L7278">
        <f>IF(AND($J7278=0,$K7278=0),0,1)</f>
        <v>1</v>
      </c>
      <c r="M7278" t="s">
        <v>20</v>
      </c>
    </row>
    <row r="7279" spans="1:13" x14ac:dyDescent="0.2">
      <c r="A7279" t="s">
        <v>16</v>
      </c>
      <c r="B7279" t="s">
        <v>17</v>
      </c>
      <c r="C7279" t="s">
        <v>9</v>
      </c>
      <c r="D7279">
        <v>2428</v>
      </c>
      <c r="E7279">
        <v>2019</v>
      </c>
      <c r="F7279">
        <v>1</v>
      </c>
      <c r="G7279">
        <v>16455</v>
      </c>
      <c r="H7279" s="1">
        <v>0</v>
      </c>
      <c r="I7279">
        <v>19</v>
      </c>
      <c r="J7279">
        <f>IF($H7279=0,1,IF($I7279&lt;=1,2,0))</f>
        <v>1</v>
      </c>
      <c r="K7279">
        <v>0</v>
      </c>
      <c r="L7279">
        <f>IF(AND($J7279=0,$K7279=0),0,1)</f>
        <v>1</v>
      </c>
    </row>
    <row r="7280" spans="1:13" x14ac:dyDescent="0.2">
      <c r="A7280" t="s">
        <v>16</v>
      </c>
      <c r="B7280" t="s">
        <v>17</v>
      </c>
      <c r="C7280" t="s">
        <v>9</v>
      </c>
      <c r="D7280">
        <v>2428</v>
      </c>
      <c r="E7280">
        <v>2019</v>
      </c>
      <c r="F7280">
        <v>3</v>
      </c>
      <c r="G7280">
        <v>16457</v>
      </c>
      <c r="H7280" s="1">
        <v>0</v>
      </c>
      <c r="I7280">
        <v>17</v>
      </c>
      <c r="J7280">
        <f>IF($H7280=0,1,IF($I7280&lt;=1,2,0))</f>
        <v>1</v>
      </c>
      <c r="K7280">
        <v>0</v>
      </c>
      <c r="L7280">
        <f>IF(AND($J7280=0,$K7280=0),0,1)</f>
        <v>1</v>
      </c>
    </row>
    <row r="7281" spans="1:13" x14ac:dyDescent="0.2">
      <c r="A7281" t="s">
        <v>16</v>
      </c>
      <c r="B7281" t="s">
        <v>17</v>
      </c>
      <c r="C7281" t="s">
        <v>9</v>
      </c>
      <c r="D7281">
        <v>2428</v>
      </c>
      <c r="E7281">
        <v>2019</v>
      </c>
      <c r="F7281">
        <v>2</v>
      </c>
      <c r="G7281">
        <v>16456</v>
      </c>
      <c r="H7281" s="1">
        <v>0</v>
      </c>
      <c r="I7281">
        <v>8</v>
      </c>
      <c r="J7281">
        <f>IF($H7281=0,1,IF($I7281&lt;=1,2,0))</f>
        <v>1</v>
      </c>
      <c r="K7281">
        <v>0</v>
      </c>
      <c r="L7281">
        <f>IF(AND($J7281=0,$K7281=0),0,1)</f>
        <v>1</v>
      </c>
    </row>
    <row r="7282" spans="1:13" x14ac:dyDescent="0.2">
      <c r="A7282" t="s">
        <v>16</v>
      </c>
      <c r="B7282" t="s">
        <v>17</v>
      </c>
      <c r="C7282" t="s">
        <v>9</v>
      </c>
      <c r="D7282">
        <v>2428</v>
      </c>
      <c r="E7282">
        <v>2019</v>
      </c>
      <c r="F7282">
        <v>4</v>
      </c>
      <c r="G7282">
        <v>16458</v>
      </c>
      <c r="H7282" s="1">
        <v>0</v>
      </c>
      <c r="I7282">
        <v>5</v>
      </c>
      <c r="J7282">
        <f>IF($H7282=0,1,IF($I7282&lt;=1,2,0))</f>
        <v>1</v>
      </c>
      <c r="K7282">
        <v>0</v>
      </c>
      <c r="L7282">
        <f>IF(AND($J7282=0,$K7282=0),0,1)</f>
        <v>1</v>
      </c>
    </row>
    <row r="7283" spans="1:13" x14ac:dyDescent="0.2">
      <c r="A7283" t="s">
        <v>16</v>
      </c>
      <c r="B7283" t="s">
        <v>17</v>
      </c>
      <c r="C7283" t="s">
        <v>2</v>
      </c>
      <c r="D7283">
        <v>3003</v>
      </c>
      <c r="E7283">
        <v>2019</v>
      </c>
      <c r="F7283">
        <v>1</v>
      </c>
      <c r="G7283">
        <v>7001</v>
      </c>
      <c r="H7283" s="1">
        <v>3</v>
      </c>
      <c r="I7283">
        <v>20</v>
      </c>
      <c r="J7283">
        <f>IF($H7283=0,1,IF($I7283&lt;=1,2,0))</f>
        <v>0</v>
      </c>
      <c r="K7283">
        <v>7</v>
      </c>
      <c r="L7283">
        <f>IF(AND($J7283=0,$K7283=0),0,1)</f>
        <v>1</v>
      </c>
      <c r="M7283" t="s">
        <v>20</v>
      </c>
    </row>
    <row r="7284" spans="1:13" x14ac:dyDescent="0.2">
      <c r="A7284" t="s">
        <v>16</v>
      </c>
      <c r="B7284" t="s">
        <v>17</v>
      </c>
      <c r="C7284" t="s">
        <v>2</v>
      </c>
      <c r="D7284">
        <v>3099</v>
      </c>
      <c r="E7284">
        <v>2019</v>
      </c>
      <c r="F7284">
        <v>4</v>
      </c>
      <c r="G7284">
        <v>262</v>
      </c>
      <c r="H7284" s="1" t="s">
        <v>1823</v>
      </c>
      <c r="I7284">
        <v>2</v>
      </c>
      <c r="J7284">
        <f>IF($H7284=0,1,IF($I7284&lt;=1,2,0))</f>
        <v>0</v>
      </c>
      <c r="K7284">
        <v>7</v>
      </c>
      <c r="L7284">
        <f>IF(AND($J7284=0,$K7284=0),0,1)</f>
        <v>1</v>
      </c>
    </row>
    <row r="7285" spans="1:13" x14ac:dyDescent="0.2">
      <c r="A7285" t="s">
        <v>16</v>
      </c>
      <c r="B7285" t="s">
        <v>17</v>
      </c>
      <c r="C7285" t="s">
        <v>2</v>
      </c>
      <c r="D7285">
        <v>3099</v>
      </c>
      <c r="E7285">
        <v>2019</v>
      </c>
      <c r="F7285">
        <v>1</v>
      </c>
      <c r="G7285">
        <v>7003</v>
      </c>
      <c r="H7285" s="1" t="s">
        <v>1824</v>
      </c>
      <c r="I7285">
        <v>1</v>
      </c>
      <c r="J7285">
        <f>IF($H7285=0,1,IF($I7285&lt;=1,2,0))</f>
        <v>2</v>
      </c>
      <c r="K7285">
        <v>7</v>
      </c>
      <c r="L7285">
        <f>IF(AND($J7285=0,$K7285=0),0,1)</f>
        <v>1</v>
      </c>
    </row>
    <row r="7286" spans="1:13" x14ac:dyDescent="0.2">
      <c r="A7286" t="s">
        <v>16</v>
      </c>
      <c r="B7286" t="s">
        <v>17</v>
      </c>
      <c r="C7286" t="s">
        <v>2</v>
      </c>
      <c r="D7286">
        <v>3099</v>
      </c>
      <c r="E7286">
        <v>2019</v>
      </c>
      <c r="F7286">
        <v>3</v>
      </c>
      <c r="G7286">
        <v>250</v>
      </c>
      <c r="H7286" s="1" t="s">
        <v>1823</v>
      </c>
      <c r="I7286">
        <v>1</v>
      </c>
      <c r="J7286">
        <f>IF($H7286=0,1,IF($I7286&lt;=1,2,0))</f>
        <v>2</v>
      </c>
      <c r="K7286">
        <v>7</v>
      </c>
      <c r="L7286">
        <f>IF(AND($J7286=0,$K7286=0),0,1)</f>
        <v>1</v>
      </c>
    </row>
    <row r="7287" spans="1:13" x14ac:dyDescent="0.2">
      <c r="A7287" t="s">
        <v>16</v>
      </c>
      <c r="B7287" t="s">
        <v>17</v>
      </c>
      <c r="C7287" t="s">
        <v>2</v>
      </c>
      <c r="D7287">
        <v>3099</v>
      </c>
      <c r="E7287">
        <v>2019</v>
      </c>
      <c r="F7287">
        <v>5</v>
      </c>
      <c r="G7287">
        <v>266</v>
      </c>
      <c r="H7287" s="1" t="s">
        <v>1823</v>
      </c>
      <c r="I7287">
        <v>1</v>
      </c>
      <c r="J7287">
        <f>IF($H7287=0,1,IF($I7287&lt;=1,2,0))</f>
        <v>2</v>
      </c>
      <c r="K7287">
        <v>7</v>
      </c>
      <c r="L7287">
        <f>IF(AND($J7287=0,$K7287=0),0,1)</f>
        <v>1</v>
      </c>
    </row>
    <row r="7288" spans="1:13" x14ac:dyDescent="0.2">
      <c r="A7288" t="s">
        <v>16</v>
      </c>
      <c r="B7288" t="s">
        <v>17</v>
      </c>
      <c r="C7288" t="s">
        <v>2</v>
      </c>
      <c r="D7288">
        <v>3173</v>
      </c>
      <c r="E7288">
        <v>2019</v>
      </c>
      <c r="F7288">
        <v>1</v>
      </c>
      <c r="G7288">
        <v>232</v>
      </c>
      <c r="H7288" s="1">
        <v>0</v>
      </c>
      <c r="I7288">
        <v>14</v>
      </c>
      <c r="J7288">
        <f>IF($H7288=0,1,IF($I7288&lt;=1,2,0))</f>
        <v>1</v>
      </c>
      <c r="K7288">
        <v>7</v>
      </c>
      <c r="L7288">
        <f>IF(AND($J7288=0,$K7288=0),0,1)</f>
        <v>1</v>
      </c>
    </row>
    <row r="7289" spans="1:13" x14ac:dyDescent="0.2">
      <c r="A7289" t="s">
        <v>16</v>
      </c>
      <c r="B7289" t="s">
        <v>17</v>
      </c>
      <c r="C7289" t="s">
        <v>2</v>
      </c>
      <c r="D7289">
        <v>3173</v>
      </c>
      <c r="E7289">
        <v>2019</v>
      </c>
      <c r="F7289">
        <v>6</v>
      </c>
      <c r="G7289">
        <v>237</v>
      </c>
      <c r="H7289" s="1">
        <v>0</v>
      </c>
      <c r="I7289">
        <v>13</v>
      </c>
      <c r="J7289">
        <f>IF($H7289=0,1,IF($I7289&lt;=1,2,0))</f>
        <v>1</v>
      </c>
      <c r="K7289">
        <v>7</v>
      </c>
      <c r="L7289">
        <f>IF(AND($J7289=0,$K7289=0),0,1)</f>
        <v>1</v>
      </c>
    </row>
    <row r="7290" spans="1:13" x14ac:dyDescent="0.2">
      <c r="A7290" t="s">
        <v>16</v>
      </c>
      <c r="B7290" t="s">
        <v>17</v>
      </c>
      <c r="C7290" t="s">
        <v>2</v>
      </c>
      <c r="D7290">
        <v>3173</v>
      </c>
      <c r="E7290">
        <v>2019</v>
      </c>
      <c r="F7290">
        <v>2</v>
      </c>
      <c r="G7290">
        <v>233</v>
      </c>
      <c r="H7290" s="1">
        <v>0</v>
      </c>
      <c r="I7290">
        <v>8</v>
      </c>
      <c r="J7290">
        <f>IF($H7290=0,1,IF($I7290&lt;=1,2,0))</f>
        <v>1</v>
      </c>
      <c r="K7290">
        <v>7</v>
      </c>
      <c r="L7290">
        <f>IF(AND($J7290=0,$K7290=0),0,1)</f>
        <v>1</v>
      </c>
    </row>
    <row r="7291" spans="1:13" x14ac:dyDescent="0.2">
      <c r="A7291" t="s">
        <v>16</v>
      </c>
      <c r="B7291" t="s">
        <v>17</v>
      </c>
      <c r="C7291" t="s">
        <v>2</v>
      </c>
      <c r="D7291">
        <v>3173</v>
      </c>
      <c r="E7291">
        <v>2019</v>
      </c>
      <c r="F7291">
        <v>3</v>
      </c>
      <c r="G7291">
        <v>234</v>
      </c>
      <c r="H7291" s="1">
        <v>0</v>
      </c>
      <c r="I7291">
        <v>8</v>
      </c>
      <c r="J7291">
        <f>IF($H7291=0,1,IF($I7291&lt;=1,2,0))</f>
        <v>1</v>
      </c>
      <c r="K7291">
        <v>7</v>
      </c>
      <c r="L7291">
        <f>IF(AND($J7291=0,$K7291=0),0,1)</f>
        <v>1</v>
      </c>
    </row>
    <row r="7292" spans="1:13" x14ac:dyDescent="0.2">
      <c r="A7292" t="s">
        <v>16</v>
      </c>
      <c r="B7292" t="s">
        <v>17</v>
      </c>
      <c r="C7292" t="s">
        <v>2</v>
      </c>
      <c r="D7292">
        <v>3173</v>
      </c>
      <c r="E7292">
        <v>2019</v>
      </c>
      <c r="F7292">
        <v>5</v>
      </c>
      <c r="G7292">
        <v>236</v>
      </c>
      <c r="H7292" s="1">
        <v>0</v>
      </c>
      <c r="I7292">
        <v>8</v>
      </c>
      <c r="J7292">
        <f>IF($H7292=0,1,IF($I7292&lt;=1,2,0))</f>
        <v>1</v>
      </c>
      <c r="K7292">
        <v>7</v>
      </c>
      <c r="L7292">
        <f>IF(AND($J7292=0,$K7292=0),0,1)</f>
        <v>1</v>
      </c>
    </row>
    <row r="7293" spans="1:13" x14ac:dyDescent="0.2">
      <c r="A7293" t="s">
        <v>16</v>
      </c>
      <c r="B7293" t="s">
        <v>17</v>
      </c>
      <c r="C7293" t="s">
        <v>2</v>
      </c>
      <c r="D7293">
        <v>3173</v>
      </c>
      <c r="E7293">
        <v>2019</v>
      </c>
      <c r="F7293">
        <v>4</v>
      </c>
      <c r="G7293">
        <v>235</v>
      </c>
      <c r="H7293" s="1">
        <v>0</v>
      </c>
      <c r="I7293">
        <v>6</v>
      </c>
      <c r="J7293">
        <f>IF($H7293=0,1,IF($I7293&lt;=1,2,0))</f>
        <v>1</v>
      </c>
      <c r="K7293">
        <v>7</v>
      </c>
      <c r="L7293">
        <f>IF(AND($J7293=0,$K7293=0),0,1)</f>
        <v>1</v>
      </c>
    </row>
    <row r="7294" spans="1:13" x14ac:dyDescent="0.2">
      <c r="A7294" t="s">
        <v>16</v>
      </c>
      <c r="B7294" t="s">
        <v>17</v>
      </c>
      <c r="C7294" t="s">
        <v>2</v>
      </c>
      <c r="D7294">
        <v>3530</v>
      </c>
      <c r="E7294">
        <v>2019</v>
      </c>
      <c r="F7294">
        <v>1</v>
      </c>
      <c r="G7294">
        <v>7009</v>
      </c>
      <c r="H7294" s="1">
        <v>4</v>
      </c>
      <c r="I7294">
        <v>17</v>
      </c>
      <c r="J7294">
        <f>IF($H7294=0,1,IF($I7294&lt;=1,2,0))</f>
        <v>0</v>
      </c>
      <c r="K7294">
        <v>7</v>
      </c>
      <c r="L7294">
        <f>IF(AND($J7294=0,$K7294=0),0,1)</f>
        <v>1</v>
      </c>
      <c r="M7294" t="s">
        <v>28</v>
      </c>
    </row>
    <row r="7295" spans="1:13" x14ac:dyDescent="0.2">
      <c r="A7295" t="s">
        <v>16</v>
      </c>
      <c r="B7295" t="s">
        <v>17</v>
      </c>
      <c r="C7295" t="s">
        <v>2</v>
      </c>
      <c r="D7295">
        <v>3654</v>
      </c>
      <c r="E7295">
        <v>2019</v>
      </c>
      <c r="F7295">
        <v>1</v>
      </c>
      <c r="G7295">
        <v>111</v>
      </c>
      <c r="H7295" s="1">
        <v>3</v>
      </c>
      <c r="I7295">
        <v>23</v>
      </c>
      <c r="J7295">
        <f>IF($H7295=0,1,IF($I7295&lt;=1,2,0))</f>
        <v>0</v>
      </c>
      <c r="K7295">
        <v>7</v>
      </c>
      <c r="L7295">
        <f>IF(AND($J7295=0,$K7295=0),0,1)</f>
        <v>1</v>
      </c>
      <c r="M7295" t="s">
        <v>1847</v>
      </c>
    </row>
    <row r="7296" spans="1:13" x14ac:dyDescent="0.2">
      <c r="A7296" t="s">
        <v>16</v>
      </c>
      <c r="B7296" t="s">
        <v>17</v>
      </c>
      <c r="C7296" t="s">
        <v>2</v>
      </c>
      <c r="D7296">
        <v>3673</v>
      </c>
      <c r="E7296">
        <v>2019</v>
      </c>
      <c r="F7296">
        <v>3</v>
      </c>
      <c r="G7296">
        <v>7027</v>
      </c>
      <c r="H7296" s="1">
        <v>4</v>
      </c>
      <c r="I7296">
        <v>60</v>
      </c>
      <c r="J7296">
        <f>IF($H7296=0,1,IF($I7296&lt;=1,2,0))</f>
        <v>0</v>
      </c>
      <c r="K7296">
        <v>7</v>
      </c>
      <c r="L7296">
        <f>IF(AND($J7296=0,$K7296=0),0,1)</f>
        <v>1</v>
      </c>
      <c r="M7296" t="s">
        <v>29</v>
      </c>
    </row>
    <row r="7297" spans="1:13" x14ac:dyDescent="0.2">
      <c r="A7297" t="s">
        <v>16</v>
      </c>
      <c r="B7297" t="s">
        <v>17</v>
      </c>
      <c r="C7297" t="s">
        <v>2</v>
      </c>
      <c r="D7297">
        <v>3910</v>
      </c>
      <c r="E7297">
        <v>2019</v>
      </c>
      <c r="F7297">
        <v>1</v>
      </c>
      <c r="G7297">
        <v>7008</v>
      </c>
      <c r="H7297" s="1">
        <v>4</v>
      </c>
      <c r="I7297">
        <v>12</v>
      </c>
      <c r="J7297">
        <f>IF($H7297=0,1,IF($I7297&lt;=1,2,0))</f>
        <v>0</v>
      </c>
      <c r="K7297">
        <v>7</v>
      </c>
      <c r="L7297">
        <f>IF(AND($J7297=0,$K7297=0),0,1)</f>
        <v>1</v>
      </c>
      <c r="M7297" t="s">
        <v>30</v>
      </c>
    </row>
    <row r="7298" spans="1:13" x14ac:dyDescent="0.2">
      <c r="A7298" t="s">
        <v>16</v>
      </c>
      <c r="B7298" t="s">
        <v>17</v>
      </c>
      <c r="C7298" t="s">
        <v>2</v>
      </c>
      <c r="D7298">
        <v>3959</v>
      </c>
      <c r="E7298">
        <v>2019</v>
      </c>
      <c r="F7298">
        <v>1</v>
      </c>
      <c r="G7298">
        <v>7010</v>
      </c>
      <c r="H7298" s="1">
        <v>3</v>
      </c>
      <c r="I7298">
        <v>19</v>
      </c>
      <c r="J7298">
        <f>IF($H7298=0,1,IF($I7298&lt;=1,2,0))</f>
        <v>0</v>
      </c>
      <c r="K7298">
        <v>7</v>
      </c>
      <c r="L7298">
        <f>IF(AND($J7298=0,$K7298=0),0,1)</f>
        <v>1</v>
      </c>
    </row>
    <row r="7299" spans="1:13" x14ac:dyDescent="0.2">
      <c r="A7299" t="s">
        <v>16</v>
      </c>
      <c r="B7299" t="s">
        <v>17</v>
      </c>
      <c r="C7299" t="s">
        <v>2</v>
      </c>
      <c r="D7299">
        <v>3968</v>
      </c>
      <c r="E7299">
        <v>2019</v>
      </c>
      <c r="F7299">
        <v>1</v>
      </c>
      <c r="G7299">
        <v>7020</v>
      </c>
      <c r="H7299" s="1">
        <v>4</v>
      </c>
      <c r="I7299">
        <v>10</v>
      </c>
      <c r="J7299">
        <f>IF($H7299=0,1,IF($I7299&lt;=1,2,0))</f>
        <v>0</v>
      </c>
      <c r="K7299">
        <v>7</v>
      </c>
      <c r="L7299">
        <f>IF(AND($J7299=0,$K7299=0),0,1)</f>
        <v>1</v>
      </c>
      <c r="M7299" t="s">
        <v>31</v>
      </c>
    </row>
    <row r="7300" spans="1:13" x14ac:dyDescent="0.2">
      <c r="A7300" t="s">
        <v>16</v>
      </c>
      <c r="B7300" t="s">
        <v>17</v>
      </c>
      <c r="C7300" t="s">
        <v>2</v>
      </c>
      <c r="D7300">
        <v>3970</v>
      </c>
      <c r="E7300">
        <v>2019</v>
      </c>
      <c r="F7300">
        <v>1</v>
      </c>
      <c r="G7300">
        <v>7011</v>
      </c>
      <c r="H7300" s="1">
        <v>4</v>
      </c>
      <c r="I7300">
        <v>12</v>
      </c>
      <c r="J7300">
        <f>IF($H7300=0,1,IF($I7300&lt;=1,2,0))</f>
        <v>0</v>
      </c>
      <c r="K7300">
        <v>7</v>
      </c>
      <c r="L7300">
        <f>IF(AND($J7300=0,$K7300=0),0,1)</f>
        <v>1</v>
      </c>
    </row>
    <row r="7301" spans="1:13" x14ac:dyDescent="0.2">
      <c r="A7301" t="s">
        <v>16</v>
      </c>
      <c r="B7301" t="s">
        <v>17</v>
      </c>
      <c r="C7301" t="s">
        <v>2</v>
      </c>
      <c r="D7301">
        <v>3970</v>
      </c>
      <c r="E7301">
        <v>2019</v>
      </c>
      <c r="F7301">
        <v>2</v>
      </c>
      <c r="G7301">
        <v>7012</v>
      </c>
      <c r="H7301" s="1">
        <v>4</v>
      </c>
      <c r="I7301">
        <v>11</v>
      </c>
      <c r="J7301">
        <f>IF($H7301=0,1,IF($I7301&lt;=1,2,0))</f>
        <v>0</v>
      </c>
      <c r="K7301">
        <v>7</v>
      </c>
      <c r="L7301">
        <f>IF(AND($J7301=0,$K7301=0),0,1)</f>
        <v>1</v>
      </c>
    </row>
    <row r="7302" spans="1:13" x14ac:dyDescent="0.2">
      <c r="A7302" t="s">
        <v>16</v>
      </c>
      <c r="B7302" t="s">
        <v>17</v>
      </c>
      <c r="C7302" t="s">
        <v>2</v>
      </c>
      <c r="D7302">
        <v>3977</v>
      </c>
      <c r="E7302">
        <v>2019</v>
      </c>
      <c r="F7302">
        <v>1</v>
      </c>
      <c r="G7302">
        <v>126</v>
      </c>
      <c r="H7302" s="1">
        <v>4</v>
      </c>
      <c r="I7302">
        <v>10</v>
      </c>
      <c r="J7302">
        <f>IF($H7302=0,1,IF($I7302&lt;=1,2,0))</f>
        <v>0</v>
      </c>
      <c r="K7302">
        <v>7</v>
      </c>
      <c r="L7302">
        <f>IF(AND($J7302=0,$K7302=0),0,1)</f>
        <v>1</v>
      </c>
      <c r="M7302" t="s">
        <v>32</v>
      </c>
    </row>
    <row r="7303" spans="1:13" x14ac:dyDescent="0.2">
      <c r="A7303" t="s">
        <v>16</v>
      </c>
      <c r="B7303" t="s">
        <v>17</v>
      </c>
      <c r="C7303" t="s">
        <v>33</v>
      </c>
      <c r="D7303">
        <v>3997</v>
      </c>
      <c r="E7303">
        <v>2019</v>
      </c>
      <c r="F7303">
        <v>2</v>
      </c>
      <c r="G7303">
        <v>19299</v>
      </c>
      <c r="H7303" s="1">
        <v>4</v>
      </c>
      <c r="I7303">
        <v>1</v>
      </c>
      <c r="J7303">
        <f>IF($H7303=0,1,IF($I7303&lt;=1,2,0))</f>
        <v>2</v>
      </c>
      <c r="K7303">
        <v>9</v>
      </c>
      <c r="L7303">
        <f>IF(AND($J7303=0,$K7303=0),0,1)</f>
        <v>1</v>
      </c>
    </row>
    <row r="7304" spans="1:13" x14ac:dyDescent="0.2">
      <c r="A7304" t="s">
        <v>16</v>
      </c>
      <c r="B7304" t="s">
        <v>17</v>
      </c>
      <c r="C7304" t="s">
        <v>33</v>
      </c>
      <c r="D7304">
        <v>3997</v>
      </c>
      <c r="E7304">
        <v>2019</v>
      </c>
      <c r="F7304">
        <v>4</v>
      </c>
      <c r="G7304">
        <v>19300</v>
      </c>
      <c r="H7304" s="1">
        <v>4</v>
      </c>
      <c r="I7304">
        <v>1</v>
      </c>
      <c r="J7304">
        <f>IF($H7304=0,1,IF($I7304&lt;=1,2,0))</f>
        <v>2</v>
      </c>
      <c r="K7304">
        <v>9</v>
      </c>
      <c r="L7304">
        <f>IF(AND($J7304=0,$K7304=0),0,1)</f>
        <v>1</v>
      </c>
    </row>
    <row r="7305" spans="1:13" x14ac:dyDescent="0.2">
      <c r="A7305" t="s">
        <v>16</v>
      </c>
      <c r="B7305" t="s">
        <v>17</v>
      </c>
      <c r="C7305" t="s">
        <v>34</v>
      </c>
      <c r="D7305">
        <v>3999</v>
      </c>
      <c r="E7305">
        <v>2019</v>
      </c>
      <c r="F7305">
        <v>2</v>
      </c>
      <c r="G7305">
        <v>99138</v>
      </c>
      <c r="H7305" s="1">
        <v>3</v>
      </c>
      <c r="I7305">
        <v>0</v>
      </c>
      <c r="J7305">
        <f>IF($H7305=0,1,IF($I7305&lt;=1,2,0))</f>
        <v>2</v>
      </c>
      <c r="K7305">
        <v>9</v>
      </c>
      <c r="L7305">
        <f>IF(AND($J7305=0,$K7305=0),0,1)</f>
        <v>1</v>
      </c>
    </row>
    <row r="7306" spans="1:13" x14ac:dyDescent="0.2">
      <c r="A7306" t="s">
        <v>16</v>
      </c>
      <c r="B7306" t="s">
        <v>17</v>
      </c>
      <c r="C7306" t="s">
        <v>34</v>
      </c>
      <c r="D7306">
        <v>3999</v>
      </c>
      <c r="E7306">
        <v>2019</v>
      </c>
      <c r="F7306">
        <v>3</v>
      </c>
      <c r="G7306">
        <v>99137</v>
      </c>
      <c r="H7306" s="1">
        <v>3</v>
      </c>
      <c r="I7306">
        <v>0</v>
      </c>
      <c r="J7306">
        <f>IF($H7306=0,1,IF($I7306&lt;=1,2,0))</f>
        <v>2</v>
      </c>
      <c r="K7306">
        <v>9</v>
      </c>
      <c r="L7306">
        <f>IF(AND($J7306=0,$K7306=0),0,1)</f>
        <v>1</v>
      </c>
    </row>
    <row r="7307" spans="1:13" x14ac:dyDescent="0.2">
      <c r="A7307" t="s">
        <v>16</v>
      </c>
      <c r="B7307" t="s">
        <v>17</v>
      </c>
      <c r="C7307" t="s">
        <v>34</v>
      </c>
      <c r="D7307">
        <v>3999</v>
      </c>
      <c r="E7307">
        <v>2019</v>
      </c>
      <c r="F7307">
        <v>4</v>
      </c>
      <c r="G7307">
        <v>99136</v>
      </c>
      <c r="H7307" s="1">
        <v>3</v>
      </c>
      <c r="I7307">
        <v>0</v>
      </c>
      <c r="J7307">
        <f>IF($H7307=0,1,IF($I7307&lt;=1,2,0))</f>
        <v>2</v>
      </c>
      <c r="K7307">
        <v>9</v>
      </c>
      <c r="L7307">
        <f>IF(AND($J7307=0,$K7307=0),0,1)</f>
        <v>1</v>
      </c>
    </row>
    <row r="7308" spans="1:13" x14ac:dyDescent="0.2">
      <c r="A7308" t="s">
        <v>16</v>
      </c>
      <c r="B7308" t="s">
        <v>17</v>
      </c>
      <c r="C7308" t="s">
        <v>34</v>
      </c>
      <c r="D7308">
        <v>3999</v>
      </c>
      <c r="E7308">
        <v>2019</v>
      </c>
      <c r="F7308">
        <v>5</v>
      </c>
      <c r="G7308">
        <v>99135</v>
      </c>
      <c r="H7308" s="1">
        <v>3</v>
      </c>
      <c r="I7308">
        <v>0</v>
      </c>
      <c r="J7308">
        <f>IF($H7308=0,1,IF($I7308&lt;=1,2,0))</f>
        <v>2</v>
      </c>
      <c r="K7308">
        <v>9</v>
      </c>
      <c r="L7308">
        <f>IF(AND($J7308=0,$K7308=0),0,1)</f>
        <v>1</v>
      </c>
    </row>
    <row r="7309" spans="1:13" x14ac:dyDescent="0.2">
      <c r="A7309" t="s">
        <v>16</v>
      </c>
      <c r="B7309" t="s">
        <v>17</v>
      </c>
      <c r="C7309" t="s">
        <v>34</v>
      </c>
      <c r="D7309">
        <v>3999</v>
      </c>
      <c r="E7309">
        <v>2019</v>
      </c>
      <c r="F7309">
        <v>6</v>
      </c>
      <c r="G7309">
        <v>99134</v>
      </c>
      <c r="H7309" s="1">
        <v>3</v>
      </c>
      <c r="I7309">
        <v>0</v>
      </c>
      <c r="J7309">
        <f>IF($H7309=0,1,IF($I7309&lt;=1,2,0))</f>
        <v>2</v>
      </c>
      <c r="K7309">
        <v>9</v>
      </c>
      <c r="L7309">
        <f>IF(AND($J7309=0,$K7309=0),0,1)</f>
        <v>1</v>
      </c>
    </row>
    <row r="7310" spans="1:13" x14ac:dyDescent="0.2">
      <c r="A7310" t="s">
        <v>16</v>
      </c>
      <c r="B7310" t="s">
        <v>17</v>
      </c>
      <c r="C7310" t="s">
        <v>34</v>
      </c>
      <c r="D7310">
        <v>3999</v>
      </c>
      <c r="E7310">
        <v>2019</v>
      </c>
      <c r="F7310">
        <v>7</v>
      </c>
      <c r="G7310">
        <v>99133</v>
      </c>
      <c r="H7310" s="1">
        <v>3</v>
      </c>
      <c r="I7310">
        <v>0</v>
      </c>
      <c r="J7310">
        <f>IF($H7310=0,1,IF($I7310&lt;=1,2,0))</f>
        <v>2</v>
      </c>
      <c r="K7310">
        <v>9</v>
      </c>
      <c r="L7310">
        <f>IF(AND($J7310=0,$K7310=0),0,1)</f>
        <v>1</v>
      </c>
    </row>
    <row r="7311" spans="1:13" x14ac:dyDescent="0.2">
      <c r="A7311" t="s">
        <v>16</v>
      </c>
      <c r="B7311" t="s">
        <v>17</v>
      </c>
      <c r="C7311" t="s">
        <v>34</v>
      </c>
      <c r="D7311">
        <v>3999</v>
      </c>
      <c r="E7311">
        <v>2019</v>
      </c>
      <c r="F7311">
        <v>8</v>
      </c>
      <c r="G7311">
        <v>99132</v>
      </c>
      <c r="H7311" s="1">
        <v>3</v>
      </c>
      <c r="I7311">
        <v>0</v>
      </c>
      <c r="J7311">
        <f>IF($H7311=0,1,IF($I7311&lt;=1,2,0))</f>
        <v>2</v>
      </c>
      <c r="K7311">
        <v>9</v>
      </c>
      <c r="L7311">
        <f>IF(AND($J7311=0,$K7311=0),0,1)</f>
        <v>1</v>
      </c>
    </row>
    <row r="7312" spans="1:13" x14ac:dyDescent="0.2">
      <c r="A7312" t="s">
        <v>16</v>
      </c>
      <c r="B7312" t="s">
        <v>17</v>
      </c>
      <c r="C7312" t="s">
        <v>34</v>
      </c>
      <c r="D7312">
        <v>3999</v>
      </c>
      <c r="E7312">
        <v>2019</v>
      </c>
      <c r="F7312">
        <v>9</v>
      </c>
      <c r="G7312">
        <v>99131</v>
      </c>
      <c r="H7312" s="1">
        <v>3</v>
      </c>
      <c r="I7312">
        <v>0</v>
      </c>
      <c r="J7312">
        <f>IF($H7312=0,1,IF($I7312&lt;=1,2,0))</f>
        <v>2</v>
      </c>
      <c r="K7312">
        <v>9</v>
      </c>
      <c r="L7312">
        <f>IF(AND($J7312=0,$K7312=0),0,1)</f>
        <v>1</v>
      </c>
    </row>
    <row r="7313" spans="1:13" x14ac:dyDescent="0.2">
      <c r="A7313" t="s">
        <v>16</v>
      </c>
      <c r="B7313" t="s">
        <v>17</v>
      </c>
      <c r="C7313" t="s">
        <v>34</v>
      </c>
      <c r="D7313">
        <v>3999</v>
      </c>
      <c r="E7313">
        <v>2019</v>
      </c>
      <c r="F7313">
        <v>10</v>
      </c>
      <c r="G7313">
        <v>99130</v>
      </c>
      <c r="H7313" s="1">
        <v>3</v>
      </c>
      <c r="I7313">
        <v>0</v>
      </c>
      <c r="J7313">
        <f>IF($H7313=0,1,IF($I7313&lt;=1,2,0))</f>
        <v>2</v>
      </c>
      <c r="K7313">
        <v>9</v>
      </c>
      <c r="L7313">
        <f>IF(AND($J7313=0,$K7313=0),0,1)</f>
        <v>1</v>
      </c>
    </row>
    <row r="7314" spans="1:13" x14ac:dyDescent="0.2">
      <c r="A7314" t="s">
        <v>16</v>
      </c>
      <c r="B7314" t="s">
        <v>17</v>
      </c>
      <c r="C7314" t="s">
        <v>34</v>
      </c>
      <c r="D7314">
        <v>3999</v>
      </c>
      <c r="E7314">
        <v>2019</v>
      </c>
      <c r="F7314">
        <v>12</v>
      </c>
      <c r="G7314">
        <v>99129</v>
      </c>
      <c r="H7314" s="1">
        <v>3</v>
      </c>
      <c r="I7314">
        <v>0</v>
      </c>
      <c r="J7314">
        <f>IF($H7314=0,1,IF($I7314&lt;=1,2,0))</f>
        <v>2</v>
      </c>
      <c r="K7314">
        <v>9</v>
      </c>
      <c r="L7314">
        <f>IF(AND($J7314=0,$K7314=0),0,1)</f>
        <v>1</v>
      </c>
    </row>
    <row r="7315" spans="1:13" x14ac:dyDescent="0.2">
      <c r="A7315" t="s">
        <v>16</v>
      </c>
      <c r="B7315" t="s">
        <v>17</v>
      </c>
      <c r="C7315" t="s">
        <v>34</v>
      </c>
      <c r="D7315">
        <v>3999</v>
      </c>
      <c r="E7315">
        <v>2019</v>
      </c>
      <c r="F7315">
        <v>13</v>
      </c>
      <c r="G7315">
        <v>99128</v>
      </c>
      <c r="H7315" s="1">
        <v>3</v>
      </c>
      <c r="I7315">
        <v>0</v>
      </c>
      <c r="J7315">
        <f>IF($H7315=0,1,IF($I7315&lt;=1,2,0))</f>
        <v>2</v>
      </c>
      <c r="K7315">
        <v>9</v>
      </c>
      <c r="L7315">
        <f>IF(AND($J7315=0,$K7315=0),0,1)</f>
        <v>1</v>
      </c>
    </row>
    <row r="7316" spans="1:13" x14ac:dyDescent="0.2">
      <c r="A7316" t="s">
        <v>16</v>
      </c>
      <c r="B7316" t="s">
        <v>17</v>
      </c>
      <c r="C7316" t="s">
        <v>34</v>
      </c>
      <c r="D7316">
        <v>3999</v>
      </c>
      <c r="E7316">
        <v>2019</v>
      </c>
      <c r="F7316">
        <v>14</v>
      </c>
      <c r="G7316">
        <v>99127</v>
      </c>
      <c r="H7316" s="1">
        <v>3</v>
      </c>
      <c r="I7316">
        <v>0</v>
      </c>
      <c r="J7316">
        <f>IF($H7316=0,1,IF($I7316&lt;=1,2,0))</f>
        <v>2</v>
      </c>
      <c r="K7316">
        <v>9</v>
      </c>
      <c r="L7316">
        <f>IF(AND($J7316=0,$K7316=0),0,1)</f>
        <v>1</v>
      </c>
    </row>
    <row r="7317" spans="1:13" x14ac:dyDescent="0.2">
      <c r="A7317" t="s">
        <v>16</v>
      </c>
      <c r="B7317" t="s">
        <v>17</v>
      </c>
      <c r="C7317" t="s">
        <v>34</v>
      </c>
      <c r="D7317">
        <v>3999</v>
      </c>
      <c r="E7317">
        <v>2019</v>
      </c>
      <c r="F7317">
        <v>15</v>
      </c>
      <c r="G7317">
        <v>99126</v>
      </c>
      <c r="H7317" s="1">
        <v>3</v>
      </c>
      <c r="I7317">
        <v>0</v>
      </c>
      <c r="J7317">
        <f>IF($H7317=0,1,IF($I7317&lt;=1,2,0))</f>
        <v>2</v>
      </c>
      <c r="K7317">
        <v>9</v>
      </c>
      <c r="L7317">
        <f>IF(AND($J7317=0,$K7317=0),0,1)</f>
        <v>1</v>
      </c>
    </row>
    <row r="7318" spans="1:13" x14ac:dyDescent="0.2">
      <c r="A7318" t="s">
        <v>16</v>
      </c>
      <c r="B7318" t="s">
        <v>17</v>
      </c>
      <c r="C7318" t="s">
        <v>34</v>
      </c>
      <c r="D7318">
        <v>3999</v>
      </c>
      <c r="E7318">
        <v>2019</v>
      </c>
      <c r="F7318">
        <v>18</v>
      </c>
      <c r="G7318">
        <v>99125</v>
      </c>
      <c r="H7318" s="1">
        <v>3</v>
      </c>
      <c r="I7318">
        <v>0</v>
      </c>
      <c r="J7318">
        <f>IF($H7318=0,1,IF($I7318&lt;=1,2,0))</f>
        <v>2</v>
      </c>
      <c r="K7318">
        <v>9</v>
      </c>
      <c r="L7318">
        <f>IF(AND($J7318=0,$K7318=0),0,1)</f>
        <v>1</v>
      </c>
    </row>
    <row r="7319" spans="1:13" x14ac:dyDescent="0.2">
      <c r="A7319" t="s">
        <v>16</v>
      </c>
      <c r="B7319" t="s">
        <v>17</v>
      </c>
      <c r="C7319" t="s">
        <v>34</v>
      </c>
      <c r="D7319">
        <v>3999</v>
      </c>
      <c r="E7319">
        <v>2019</v>
      </c>
      <c r="F7319">
        <v>19</v>
      </c>
      <c r="G7319">
        <v>99124</v>
      </c>
      <c r="H7319" s="1">
        <v>3</v>
      </c>
      <c r="I7319">
        <v>0</v>
      </c>
      <c r="J7319">
        <f>IF($H7319=0,1,IF($I7319&lt;=1,2,0))</f>
        <v>2</v>
      </c>
      <c r="K7319">
        <v>9</v>
      </c>
      <c r="L7319">
        <f>IF(AND($J7319=0,$K7319=0),0,1)</f>
        <v>1</v>
      </c>
    </row>
    <row r="7320" spans="1:13" x14ac:dyDescent="0.2">
      <c r="A7320" t="s">
        <v>16</v>
      </c>
      <c r="B7320" t="s">
        <v>17</v>
      </c>
      <c r="C7320" t="s">
        <v>34</v>
      </c>
      <c r="D7320">
        <v>3999</v>
      </c>
      <c r="E7320">
        <v>2019</v>
      </c>
      <c r="F7320">
        <v>20</v>
      </c>
      <c r="G7320">
        <v>99123</v>
      </c>
      <c r="H7320" s="1">
        <v>3</v>
      </c>
      <c r="I7320">
        <v>0</v>
      </c>
      <c r="J7320">
        <f>IF($H7320=0,1,IF($I7320&lt;=1,2,0))</f>
        <v>2</v>
      </c>
      <c r="K7320">
        <v>9</v>
      </c>
      <c r="L7320">
        <f>IF(AND($J7320=0,$K7320=0),0,1)</f>
        <v>1</v>
      </c>
    </row>
    <row r="7321" spans="1:13" x14ac:dyDescent="0.2">
      <c r="A7321" t="s">
        <v>16</v>
      </c>
      <c r="B7321" t="s">
        <v>17</v>
      </c>
      <c r="C7321" t="s">
        <v>34</v>
      </c>
      <c r="D7321">
        <v>3999</v>
      </c>
      <c r="E7321">
        <v>2019</v>
      </c>
      <c r="F7321">
        <v>21</v>
      </c>
      <c r="G7321">
        <v>99122</v>
      </c>
      <c r="H7321" s="1">
        <v>3</v>
      </c>
      <c r="I7321">
        <v>0</v>
      </c>
      <c r="J7321">
        <f>IF($H7321=0,1,IF($I7321&lt;=1,2,0))</f>
        <v>2</v>
      </c>
      <c r="K7321">
        <v>9</v>
      </c>
      <c r="L7321">
        <f>IF(AND($J7321=0,$K7321=0),0,1)</f>
        <v>1</v>
      </c>
    </row>
    <row r="7322" spans="1:13" x14ac:dyDescent="0.2">
      <c r="A7322" t="s">
        <v>16</v>
      </c>
      <c r="B7322" t="s">
        <v>17</v>
      </c>
      <c r="C7322" t="s">
        <v>34</v>
      </c>
      <c r="D7322">
        <v>3999</v>
      </c>
      <c r="E7322">
        <v>2019</v>
      </c>
      <c r="F7322">
        <v>22</v>
      </c>
      <c r="G7322">
        <v>99121</v>
      </c>
      <c r="H7322" s="1">
        <v>3</v>
      </c>
      <c r="I7322">
        <v>0</v>
      </c>
      <c r="J7322">
        <f>IF($H7322=0,1,IF($I7322&lt;=1,2,0))</f>
        <v>2</v>
      </c>
      <c r="K7322">
        <v>9</v>
      </c>
      <c r="L7322">
        <f>IF(AND($J7322=0,$K7322=0),0,1)</f>
        <v>1</v>
      </c>
    </row>
    <row r="7323" spans="1:13" x14ac:dyDescent="0.2">
      <c r="A7323" t="s">
        <v>16</v>
      </c>
      <c r="B7323" t="s">
        <v>17</v>
      </c>
      <c r="C7323" t="s">
        <v>34</v>
      </c>
      <c r="D7323">
        <v>3999</v>
      </c>
      <c r="E7323">
        <v>2019</v>
      </c>
      <c r="F7323">
        <v>23</v>
      </c>
      <c r="G7323">
        <v>99120</v>
      </c>
      <c r="H7323" s="1">
        <v>3</v>
      </c>
      <c r="I7323">
        <v>0</v>
      </c>
      <c r="J7323">
        <f>IF($H7323=0,1,IF($I7323&lt;=1,2,0))</f>
        <v>2</v>
      </c>
      <c r="K7323">
        <v>9</v>
      </c>
      <c r="L7323">
        <f>IF(AND($J7323=0,$K7323=0),0,1)</f>
        <v>1</v>
      </c>
    </row>
    <row r="7324" spans="1:13" x14ac:dyDescent="0.2">
      <c r="A7324" t="s">
        <v>16</v>
      </c>
      <c r="B7324" t="s">
        <v>17</v>
      </c>
      <c r="C7324" t="s">
        <v>34</v>
      </c>
      <c r="D7324">
        <v>3999</v>
      </c>
      <c r="E7324">
        <v>2019</v>
      </c>
      <c r="F7324">
        <v>25</v>
      </c>
      <c r="G7324">
        <v>99119</v>
      </c>
      <c r="H7324" s="1">
        <v>3</v>
      </c>
      <c r="I7324">
        <v>0</v>
      </c>
      <c r="J7324">
        <f>IF($H7324=0,1,IF($I7324&lt;=1,2,0))</f>
        <v>2</v>
      </c>
      <c r="K7324">
        <v>9</v>
      </c>
      <c r="L7324">
        <f>IF(AND($J7324=0,$K7324=0),0,1)</f>
        <v>1</v>
      </c>
    </row>
    <row r="7325" spans="1:13" x14ac:dyDescent="0.2">
      <c r="A7325" t="s">
        <v>16</v>
      </c>
      <c r="B7325" t="s">
        <v>17</v>
      </c>
      <c r="C7325" t="s">
        <v>34</v>
      </c>
      <c r="D7325">
        <v>3999</v>
      </c>
      <c r="E7325">
        <v>2019</v>
      </c>
      <c r="F7325">
        <v>26</v>
      </c>
      <c r="G7325">
        <v>99118</v>
      </c>
      <c r="H7325" s="1">
        <v>3</v>
      </c>
      <c r="I7325">
        <v>0</v>
      </c>
      <c r="J7325">
        <f>IF($H7325=0,1,IF($I7325&lt;=1,2,0))</f>
        <v>2</v>
      </c>
      <c r="K7325">
        <v>9</v>
      </c>
      <c r="L7325">
        <f>IF(AND($J7325=0,$K7325=0),0,1)</f>
        <v>1</v>
      </c>
    </row>
    <row r="7326" spans="1:13" x14ac:dyDescent="0.2">
      <c r="A7326" t="s">
        <v>16</v>
      </c>
      <c r="B7326" t="s">
        <v>17</v>
      </c>
      <c r="C7326" t="s">
        <v>11</v>
      </c>
      <c r="D7326">
        <v>5000</v>
      </c>
      <c r="E7326">
        <v>2019</v>
      </c>
      <c r="F7326">
        <v>1</v>
      </c>
      <c r="G7326">
        <v>99113</v>
      </c>
      <c r="H7326" s="1">
        <v>4</v>
      </c>
      <c r="I7326">
        <v>13</v>
      </c>
      <c r="J7326">
        <f>IF($H7326=0,1,IF($I7326&lt;=1,2,0))</f>
        <v>0</v>
      </c>
      <c r="K7326">
        <v>4</v>
      </c>
      <c r="L7326">
        <f>IF(AND($J7326=0,$K7326=0),0,1)</f>
        <v>1</v>
      </c>
      <c r="M7326" t="s">
        <v>35</v>
      </c>
    </row>
    <row r="7327" spans="1:13" x14ac:dyDescent="0.2">
      <c r="A7327" t="s">
        <v>16</v>
      </c>
      <c r="B7327" t="s">
        <v>17</v>
      </c>
      <c r="C7327" t="s">
        <v>11</v>
      </c>
      <c r="D7327">
        <v>5002</v>
      </c>
      <c r="E7327">
        <v>2019</v>
      </c>
      <c r="F7327">
        <v>1</v>
      </c>
      <c r="G7327">
        <v>99112</v>
      </c>
      <c r="H7327" s="1">
        <v>4</v>
      </c>
      <c r="I7327">
        <v>9</v>
      </c>
      <c r="J7327">
        <f>IF($H7327=0,1,IF($I7327&lt;=1,2,0))</f>
        <v>0</v>
      </c>
      <c r="K7327">
        <v>4</v>
      </c>
      <c r="L7327">
        <f>IF(AND($J7327=0,$K7327=0),0,1)</f>
        <v>1</v>
      </c>
      <c r="M7327" t="s">
        <v>36</v>
      </c>
    </row>
    <row r="7328" spans="1:13" x14ac:dyDescent="0.2">
      <c r="A7328" t="s">
        <v>16</v>
      </c>
      <c r="B7328" t="s">
        <v>17</v>
      </c>
      <c r="C7328" t="s">
        <v>11</v>
      </c>
      <c r="D7328">
        <v>5004</v>
      </c>
      <c r="E7328">
        <v>2019</v>
      </c>
      <c r="F7328">
        <v>1</v>
      </c>
      <c r="G7328">
        <v>18785</v>
      </c>
      <c r="H7328" s="1">
        <v>3</v>
      </c>
      <c r="I7328">
        <v>1</v>
      </c>
      <c r="J7328">
        <f>IF($H7328=0,1,IF($I7328&lt;=1,2,0))</f>
        <v>2</v>
      </c>
      <c r="K7328">
        <v>0</v>
      </c>
      <c r="L7328">
        <f>IF(AND($J7328=0,$K7328=0),0,1)</f>
        <v>1</v>
      </c>
    </row>
    <row r="7329" spans="1:13" x14ac:dyDescent="0.2">
      <c r="A7329" t="s">
        <v>16</v>
      </c>
      <c r="B7329" t="s">
        <v>17</v>
      </c>
      <c r="C7329" t="s">
        <v>11</v>
      </c>
      <c r="D7329">
        <v>5004</v>
      </c>
      <c r="E7329">
        <v>2019</v>
      </c>
      <c r="F7329">
        <v>3</v>
      </c>
      <c r="G7329">
        <v>18787</v>
      </c>
      <c r="H7329" s="1">
        <v>3</v>
      </c>
      <c r="I7329">
        <v>1</v>
      </c>
      <c r="J7329">
        <f>IF($H7329=0,1,IF($I7329&lt;=1,2,0))</f>
        <v>2</v>
      </c>
      <c r="K7329">
        <v>0</v>
      </c>
      <c r="L7329">
        <f>IF(AND($J7329=0,$K7329=0),0,1)</f>
        <v>1</v>
      </c>
    </row>
    <row r="7330" spans="1:13" x14ac:dyDescent="0.2">
      <c r="A7330" t="s">
        <v>16</v>
      </c>
      <c r="B7330" t="s">
        <v>17</v>
      </c>
      <c r="C7330" t="s">
        <v>11</v>
      </c>
      <c r="D7330">
        <v>5004</v>
      </c>
      <c r="E7330">
        <v>2019</v>
      </c>
      <c r="F7330">
        <v>5</v>
      </c>
      <c r="G7330">
        <v>18794</v>
      </c>
      <c r="H7330" s="1">
        <v>3</v>
      </c>
      <c r="I7330">
        <v>1</v>
      </c>
      <c r="J7330">
        <f>IF($H7330=0,1,IF($I7330&lt;=1,2,0))</f>
        <v>2</v>
      </c>
      <c r="K7330">
        <v>0</v>
      </c>
      <c r="L7330">
        <f>IF(AND($J7330=0,$K7330=0),0,1)</f>
        <v>1</v>
      </c>
    </row>
    <row r="7331" spans="1:13" x14ac:dyDescent="0.2">
      <c r="A7331" t="s">
        <v>16</v>
      </c>
      <c r="B7331" t="s">
        <v>17</v>
      </c>
      <c r="C7331" t="s">
        <v>11</v>
      </c>
      <c r="D7331">
        <v>5004</v>
      </c>
      <c r="E7331">
        <v>2019</v>
      </c>
      <c r="F7331">
        <v>4</v>
      </c>
      <c r="G7331">
        <v>18788</v>
      </c>
      <c r="H7331" s="1">
        <v>3</v>
      </c>
      <c r="I7331">
        <v>0</v>
      </c>
      <c r="J7331">
        <f>IF($H7331=0,1,IF($I7331&lt;=1,2,0))</f>
        <v>2</v>
      </c>
      <c r="K7331">
        <v>0</v>
      </c>
      <c r="L7331">
        <f>IF(AND($J7331=0,$K7331=0),0,1)</f>
        <v>1</v>
      </c>
    </row>
    <row r="7332" spans="1:13" x14ac:dyDescent="0.2">
      <c r="A7332" t="s">
        <v>16</v>
      </c>
      <c r="B7332" t="s">
        <v>17</v>
      </c>
      <c r="C7332" t="s">
        <v>11</v>
      </c>
      <c r="D7332">
        <v>8000</v>
      </c>
      <c r="E7332">
        <v>2019</v>
      </c>
      <c r="F7332">
        <v>1</v>
      </c>
      <c r="G7332">
        <v>99111</v>
      </c>
      <c r="H7332" s="1">
        <v>4</v>
      </c>
      <c r="I7332">
        <v>16</v>
      </c>
      <c r="J7332">
        <f>IF($H7332=0,1,IF($I7332&lt;=1,2,0))</f>
        <v>0</v>
      </c>
      <c r="K7332">
        <v>4</v>
      </c>
      <c r="L7332">
        <f>IF(AND($J7332=0,$K7332=0),0,1)</f>
        <v>1</v>
      </c>
      <c r="M7332" t="s">
        <v>38</v>
      </c>
    </row>
    <row r="7333" spans="1:13" x14ac:dyDescent="0.2">
      <c r="A7333" t="s">
        <v>16</v>
      </c>
      <c r="B7333" t="s">
        <v>17</v>
      </c>
      <c r="C7333" t="s">
        <v>11</v>
      </c>
      <c r="D7333">
        <v>9000</v>
      </c>
      <c r="E7333">
        <v>2019</v>
      </c>
      <c r="F7333">
        <v>20</v>
      </c>
      <c r="G7333">
        <v>99153</v>
      </c>
      <c r="H7333" s="1">
        <v>4</v>
      </c>
      <c r="I7333">
        <v>2</v>
      </c>
      <c r="J7333">
        <f>IF($H7333=0,1,IF($I7333&lt;=1,2,0))</f>
        <v>0</v>
      </c>
      <c r="K7333">
        <v>5</v>
      </c>
      <c r="L7333">
        <f>IF(AND($J7333=0,$K7333=0),0,1)</f>
        <v>1</v>
      </c>
    </row>
    <row r="7334" spans="1:13" x14ac:dyDescent="0.2">
      <c r="A7334" t="s">
        <v>16</v>
      </c>
      <c r="B7334" t="s">
        <v>17</v>
      </c>
      <c r="C7334" t="s">
        <v>11</v>
      </c>
      <c r="D7334">
        <v>9000</v>
      </c>
      <c r="E7334">
        <v>2019</v>
      </c>
      <c r="F7334">
        <v>23</v>
      </c>
      <c r="G7334">
        <v>99150</v>
      </c>
      <c r="H7334" s="1">
        <v>4</v>
      </c>
      <c r="I7334">
        <v>2</v>
      </c>
      <c r="J7334">
        <f>IF($H7334=0,1,IF($I7334&lt;=1,2,0))</f>
        <v>0</v>
      </c>
      <c r="K7334">
        <v>5</v>
      </c>
      <c r="L7334">
        <f>IF(AND($J7334=0,$K7334=0),0,1)</f>
        <v>1</v>
      </c>
    </row>
    <row r="7335" spans="1:13" x14ac:dyDescent="0.2">
      <c r="A7335" t="s">
        <v>16</v>
      </c>
      <c r="B7335" t="s">
        <v>17</v>
      </c>
      <c r="C7335" t="s">
        <v>11</v>
      </c>
      <c r="D7335">
        <v>9000</v>
      </c>
      <c r="E7335">
        <v>2019</v>
      </c>
      <c r="F7335">
        <v>1</v>
      </c>
      <c r="G7335">
        <v>99172</v>
      </c>
      <c r="H7335" s="1">
        <v>4</v>
      </c>
      <c r="I7335">
        <v>1</v>
      </c>
      <c r="J7335">
        <f>IF($H7335=0,1,IF($I7335&lt;=1,2,0))</f>
        <v>2</v>
      </c>
      <c r="K7335">
        <v>5</v>
      </c>
      <c r="L7335">
        <f>IF(AND($J7335=0,$K7335=0),0,1)</f>
        <v>1</v>
      </c>
    </row>
    <row r="7336" spans="1:13" x14ac:dyDescent="0.2">
      <c r="A7336" t="s">
        <v>16</v>
      </c>
      <c r="B7336" t="s">
        <v>17</v>
      </c>
      <c r="C7336" t="s">
        <v>11</v>
      </c>
      <c r="D7336">
        <v>9000</v>
      </c>
      <c r="E7336">
        <v>2019</v>
      </c>
      <c r="F7336">
        <v>2</v>
      </c>
      <c r="G7336">
        <v>99171</v>
      </c>
      <c r="H7336" s="1">
        <v>4</v>
      </c>
      <c r="I7336">
        <v>1</v>
      </c>
      <c r="J7336">
        <f>IF($H7336=0,1,IF($I7336&lt;=1,2,0))</f>
        <v>2</v>
      </c>
      <c r="K7336">
        <v>5</v>
      </c>
      <c r="L7336">
        <f>IF(AND($J7336=0,$K7336=0),0,1)</f>
        <v>1</v>
      </c>
    </row>
    <row r="7337" spans="1:13" x14ac:dyDescent="0.2">
      <c r="A7337" t="s">
        <v>16</v>
      </c>
      <c r="B7337" t="s">
        <v>17</v>
      </c>
      <c r="C7337" t="s">
        <v>11</v>
      </c>
      <c r="D7337">
        <v>9000</v>
      </c>
      <c r="E7337">
        <v>2019</v>
      </c>
      <c r="F7337">
        <v>3</v>
      </c>
      <c r="G7337">
        <v>99170</v>
      </c>
      <c r="H7337" s="1">
        <v>4</v>
      </c>
      <c r="I7337">
        <v>1</v>
      </c>
      <c r="J7337">
        <f>IF($H7337=0,1,IF($I7337&lt;=1,2,0))</f>
        <v>2</v>
      </c>
      <c r="K7337">
        <v>5</v>
      </c>
      <c r="L7337">
        <f>IF(AND($J7337=0,$K7337=0),0,1)</f>
        <v>1</v>
      </c>
    </row>
    <row r="7338" spans="1:13" x14ac:dyDescent="0.2">
      <c r="A7338" t="s">
        <v>16</v>
      </c>
      <c r="B7338" t="s">
        <v>17</v>
      </c>
      <c r="C7338" t="s">
        <v>11</v>
      </c>
      <c r="D7338">
        <v>9000</v>
      </c>
      <c r="E7338">
        <v>2019</v>
      </c>
      <c r="F7338">
        <v>4</v>
      </c>
      <c r="G7338">
        <v>99169</v>
      </c>
      <c r="H7338" s="1">
        <v>4</v>
      </c>
      <c r="I7338">
        <v>1</v>
      </c>
      <c r="J7338">
        <f>IF($H7338=0,1,IF($I7338&lt;=1,2,0))</f>
        <v>2</v>
      </c>
      <c r="K7338">
        <v>5</v>
      </c>
      <c r="L7338">
        <f>IF(AND($J7338=0,$K7338=0),0,1)</f>
        <v>1</v>
      </c>
    </row>
    <row r="7339" spans="1:13" x14ac:dyDescent="0.2">
      <c r="A7339" t="s">
        <v>16</v>
      </c>
      <c r="B7339" t="s">
        <v>17</v>
      </c>
      <c r="C7339" t="s">
        <v>11</v>
      </c>
      <c r="D7339">
        <v>9000</v>
      </c>
      <c r="E7339">
        <v>2019</v>
      </c>
      <c r="F7339">
        <v>9</v>
      </c>
      <c r="G7339">
        <v>99164</v>
      </c>
      <c r="H7339" s="1">
        <v>4</v>
      </c>
      <c r="I7339">
        <v>1</v>
      </c>
      <c r="J7339">
        <f>IF($H7339=0,1,IF($I7339&lt;=1,2,0))</f>
        <v>2</v>
      </c>
      <c r="K7339">
        <v>5</v>
      </c>
      <c r="L7339">
        <f>IF(AND($J7339=0,$K7339=0),0,1)</f>
        <v>1</v>
      </c>
    </row>
    <row r="7340" spans="1:13" x14ac:dyDescent="0.2">
      <c r="A7340" t="s">
        <v>16</v>
      </c>
      <c r="B7340" t="s">
        <v>17</v>
      </c>
      <c r="C7340" t="s">
        <v>11</v>
      </c>
      <c r="D7340">
        <v>9000</v>
      </c>
      <c r="E7340">
        <v>2019</v>
      </c>
      <c r="F7340">
        <v>13</v>
      </c>
      <c r="G7340">
        <v>99160</v>
      </c>
      <c r="H7340" s="1">
        <v>4</v>
      </c>
      <c r="I7340">
        <v>1</v>
      </c>
      <c r="J7340">
        <f>IF($H7340=0,1,IF($I7340&lt;=1,2,0))</f>
        <v>2</v>
      </c>
      <c r="K7340">
        <v>5</v>
      </c>
      <c r="L7340">
        <f>IF(AND($J7340=0,$K7340=0),0,1)</f>
        <v>1</v>
      </c>
    </row>
    <row r="7341" spans="1:13" x14ac:dyDescent="0.2">
      <c r="A7341" t="s">
        <v>16</v>
      </c>
      <c r="B7341" t="s">
        <v>17</v>
      </c>
      <c r="C7341" t="s">
        <v>11</v>
      </c>
      <c r="D7341">
        <v>9000</v>
      </c>
      <c r="E7341">
        <v>2019</v>
      </c>
      <c r="F7341">
        <v>15</v>
      </c>
      <c r="G7341">
        <v>99158</v>
      </c>
      <c r="H7341" s="1">
        <v>4</v>
      </c>
      <c r="I7341">
        <v>1</v>
      </c>
      <c r="J7341">
        <f>IF($H7341=0,1,IF($I7341&lt;=1,2,0))</f>
        <v>2</v>
      </c>
      <c r="K7341">
        <v>5</v>
      </c>
      <c r="L7341">
        <f>IF(AND($J7341=0,$K7341=0),0,1)</f>
        <v>1</v>
      </c>
    </row>
    <row r="7342" spans="1:13" x14ac:dyDescent="0.2">
      <c r="A7342" t="s">
        <v>16</v>
      </c>
      <c r="B7342" t="s">
        <v>17</v>
      </c>
      <c r="C7342" t="s">
        <v>11</v>
      </c>
      <c r="D7342">
        <v>9000</v>
      </c>
      <c r="E7342">
        <v>2019</v>
      </c>
      <c r="F7342">
        <v>19</v>
      </c>
      <c r="G7342">
        <v>99154</v>
      </c>
      <c r="H7342" s="1">
        <v>4</v>
      </c>
      <c r="I7342">
        <v>1</v>
      </c>
      <c r="J7342">
        <f>IF($H7342=0,1,IF($I7342&lt;=1,2,0))</f>
        <v>2</v>
      </c>
      <c r="K7342">
        <v>5</v>
      </c>
      <c r="L7342">
        <f>IF(AND($J7342=0,$K7342=0),0,1)</f>
        <v>1</v>
      </c>
    </row>
    <row r="7343" spans="1:13" x14ac:dyDescent="0.2">
      <c r="A7343" t="s">
        <v>16</v>
      </c>
      <c r="B7343" t="s">
        <v>17</v>
      </c>
      <c r="C7343" t="s">
        <v>11</v>
      </c>
      <c r="D7343">
        <v>9000</v>
      </c>
      <c r="E7343">
        <v>2019</v>
      </c>
      <c r="F7343">
        <v>25</v>
      </c>
      <c r="G7343">
        <v>99148</v>
      </c>
      <c r="H7343" s="1">
        <v>4</v>
      </c>
      <c r="I7343">
        <v>1</v>
      </c>
      <c r="J7343">
        <f>IF($H7343=0,1,IF($I7343&lt;=1,2,0))</f>
        <v>2</v>
      </c>
      <c r="K7343">
        <v>5</v>
      </c>
      <c r="L7343">
        <f>IF(AND($J7343=0,$K7343=0),0,1)</f>
        <v>1</v>
      </c>
    </row>
    <row r="7344" spans="1:13" x14ac:dyDescent="0.2">
      <c r="A7344" t="s">
        <v>16</v>
      </c>
      <c r="B7344" t="s">
        <v>17</v>
      </c>
      <c r="C7344" t="s">
        <v>11</v>
      </c>
      <c r="D7344">
        <v>9000</v>
      </c>
      <c r="E7344">
        <v>2019</v>
      </c>
      <c r="F7344">
        <v>28</v>
      </c>
      <c r="G7344">
        <v>99145</v>
      </c>
      <c r="H7344" s="1">
        <v>4</v>
      </c>
      <c r="I7344">
        <v>1</v>
      </c>
      <c r="J7344">
        <f>IF($H7344=0,1,IF($I7344&lt;=1,2,0))</f>
        <v>2</v>
      </c>
      <c r="K7344">
        <v>5</v>
      </c>
      <c r="L7344">
        <f>IF(AND($J7344=0,$K7344=0),0,1)</f>
        <v>1</v>
      </c>
    </row>
    <row r="7345" spans="1:12" x14ac:dyDescent="0.2">
      <c r="A7345" t="s">
        <v>16</v>
      </c>
      <c r="B7345" t="s">
        <v>17</v>
      </c>
      <c r="C7345" t="s">
        <v>11</v>
      </c>
      <c r="D7345">
        <v>9000</v>
      </c>
      <c r="E7345">
        <v>2019</v>
      </c>
      <c r="F7345">
        <v>30</v>
      </c>
      <c r="G7345">
        <v>99143</v>
      </c>
      <c r="H7345" s="1">
        <v>4</v>
      </c>
      <c r="I7345">
        <v>1</v>
      </c>
      <c r="J7345">
        <f>IF($H7345=0,1,IF($I7345&lt;=1,2,0))</f>
        <v>2</v>
      </c>
      <c r="K7345">
        <v>5</v>
      </c>
      <c r="L7345">
        <f>IF(AND($J7345=0,$K7345=0),0,1)</f>
        <v>1</v>
      </c>
    </row>
    <row r="7346" spans="1:12" x14ac:dyDescent="0.2">
      <c r="A7346" t="s">
        <v>16</v>
      </c>
      <c r="B7346" t="s">
        <v>17</v>
      </c>
      <c r="C7346" t="s">
        <v>11</v>
      </c>
      <c r="D7346">
        <v>9000</v>
      </c>
      <c r="E7346">
        <v>2019</v>
      </c>
      <c r="F7346">
        <v>31</v>
      </c>
      <c r="G7346">
        <v>99142</v>
      </c>
      <c r="H7346" s="1">
        <v>4</v>
      </c>
      <c r="I7346">
        <v>1</v>
      </c>
      <c r="J7346">
        <f>IF($H7346=0,1,IF($I7346&lt;=1,2,0))</f>
        <v>2</v>
      </c>
      <c r="K7346">
        <v>5</v>
      </c>
      <c r="L7346">
        <f>IF(AND($J7346=0,$K7346=0),0,1)</f>
        <v>1</v>
      </c>
    </row>
    <row r="7347" spans="1:12" x14ac:dyDescent="0.2">
      <c r="A7347" t="s">
        <v>16</v>
      </c>
      <c r="B7347" t="s">
        <v>17</v>
      </c>
      <c r="C7347" t="s">
        <v>11</v>
      </c>
      <c r="D7347">
        <v>9000</v>
      </c>
      <c r="E7347">
        <v>2019</v>
      </c>
      <c r="F7347">
        <v>5</v>
      </c>
      <c r="G7347">
        <v>99168</v>
      </c>
      <c r="H7347" s="1">
        <v>4</v>
      </c>
      <c r="I7347">
        <v>0</v>
      </c>
      <c r="J7347">
        <f>IF($H7347=0,1,IF($I7347&lt;=1,2,0))</f>
        <v>2</v>
      </c>
      <c r="K7347">
        <v>5</v>
      </c>
      <c r="L7347">
        <f>IF(AND($J7347=0,$K7347=0),0,1)</f>
        <v>1</v>
      </c>
    </row>
    <row r="7348" spans="1:12" x14ac:dyDescent="0.2">
      <c r="A7348" t="s">
        <v>16</v>
      </c>
      <c r="B7348" t="s">
        <v>17</v>
      </c>
      <c r="C7348" t="s">
        <v>11</v>
      </c>
      <c r="D7348">
        <v>9000</v>
      </c>
      <c r="E7348">
        <v>2019</v>
      </c>
      <c r="F7348">
        <v>6</v>
      </c>
      <c r="G7348">
        <v>99167</v>
      </c>
      <c r="H7348" s="1">
        <v>4</v>
      </c>
      <c r="I7348">
        <v>0</v>
      </c>
      <c r="J7348">
        <f>IF($H7348=0,1,IF($I7348&lt;=1,2,0))</f>
        <v>2</v>
      </c>
      <c r="K7348">
        <v>5</v>
      </c>
      <c r="L7348">
        <f>IF(AND($J7348=0,$K7348=0),0,1)</f>
        <v>1</v>
      </c>
    </row>
    <row r="7349" spans="1:12" x14ac:dyDescent="0.2">
      <c r="A7349" t="s">
        <v>16</v>
      </c>
      <c r="B7349" t="s">
        <v>17</v>
      </c>
      <c r="C7349" t="s">
        <v>11</v>
      </c>
      <c r="D7349">
        <v>9000</v>
      </c>
      <c r="E7349">
        <v>2019</v>
      </c>
      <c r="F7349">
        <v>7</v>
      </c>
      <c r="G7349">
        <v>99166</v>
      </c>
      <c r="H7349" s="1">
        <v>4</v>
      </c>
      <c r="I7349">
        <v>0</v>
      </c>
      <c r="J7349">
        <f>IF($H7349=0,1,IF($I7349&lt;=1,2,0))</f>
        <v>2</v>
      </c>
      <c r="K7349">
        <v>5</v>
      </c>
      <c r="L7349">
        <f>IF(AND($J7349=0,$K7349=0),0,1)</f>
        <v>1</v>
      </c>
    </row>
    <row r="7350" spans="1:12" x14ac:dyDescent="0.2">
      <c r="A7350" t="s">
        <v>16</v>
      </c>
      <c r="B7350" t="s">
        <v>17</v>
      </c>
      <c r="C7350" t="s">
        <v>11</v>
      </c>
      <c r="D7350">
        <v>9000</v>
      </c>
      <c r="E7350">
        <v>2019</v>
      </c>
      <c r="F7350">
        <v>8</v>
      </c>
      <c r="G7350">
        <v>99165</v>
      </c>
      <c r="H7350" s="1">
        <v>4</v>
      </c>
      <c r="I7350">
        <v>0</v>
      </c>
      <c r="J7350">
        <f>IF($H7350=0,1,IF($I7350&lt;=1,2,0))</f>
        <v>2</v>
      </c>
      <c r="K7350">
        <v>5</v>
      </c>
      <c r="L7350">
        <f>IF(AND($J7350=0,$K7350=0),0,1)</f>
        <v>1</v>
      </c>
    </row>
    <row r="7351" spans="1:12" x14ac:dyDescent="0.2">
      <c r="A7351" t="s">
        <v>16</v>
      </c>
      <c r="B7351" t="s">
        <v>17</v>
      </c>
      <c r="C7351" t="s">
        <v>11</v>
      </c>
      <c r="D7351">
        <v>9000</v>
      </c>
      <c r="E7351">
        <v>2019</v>
      </c>
      <c r="F7351">
        <v>10</v>
      </c>
      <c r="G7351">
        <v>99163</v>
      </c>
      <c r="H7351" s="1">
        <v>4</v>
      </c>
      <c r="I7351">
        <v>0</v>
      </c>
      <c r="J7351">
        <f>IF($H7351=0,1,IF($I7351&lt;=1,2,0))</f>
        <v>2</v>
      </c>
      <c r="K7351">
        <v>5</v>
      </c>
      <c r="L7351">
        <f>IF(AND($J7351=0,$K7351=0),0,1)</f>
        <v>1</v>
      </c>
    </row>
    <row r="7352" spans="1:12" x14ac:dyDescent="0.2">
      <c r="A7352" t="s">
        <v>16</v>
      </c>
      <c r="B7352" t="s">
        <v>17</v>
      </c>
      <c r="C7352" t="s">
        <v>11</v>
      </c>
      <c r="D7352">
        <v>9000</v>
      </c>
      <c r="E7352">
        <v>2019</v>
      </c>
      <c r="F7352">
        <v>11</v>
      </c>
      <c r="G7352">
        <v>99162</v>
      </c>
      <c r="H7352" s="1">
        <v>4</v>
      </c>
      <c r="I7352">
        <v>0</v>
      </c>
      <c r="J7352">
        <f>IF($H7352=0,1,IF($I7352&lt;=1,2,0))</f>
        <v>2</v>
      </c>
      <c r="K7352">
        <v>5</v>
      </c>
      <c r="L7352">
        <f>IF(AND($J7352=0,$K7352=0),0,1)</f>
        <v>1</v>
      </c>
    </row>
    <row r="7353" spans="1:12" x14ac:dyDescent="0.2">
      <c r="A7353" t="s">
        <v>16</v>
      </c>
      <c r="B7353" t="s">
        <v>17</v>
      </c>
      <c r="C7353" t="s">
        <v>11</v>
      </c>
      <c r="D7353">
        <v>9000</v>
      </c>
      <c r="E7353">
        <v>2019</v>
      </c>
      <c r="F7353">
        <v>12</v>
      </c>
      <c r="G7353">
        <v>99161</v>
      </c>
      <c r="H7353" s="1">
        <v>4</v>
      </c>
      <c r="I7353">
        <v>0</v>
      </c>
      <c r="J7353">
        <f>IF($H7353=0,1,IF($I7353&lt;=1,2,0))</f>
        <v>2</v>
      </c>
      <c r="K7353">
        <v>5</v>
      </c>
      <c r="L7353">
        <f>IF(AND($J7353=0,$K7353=0),0,1)</f>
        <v>1</v>
      </c>
    </row>
    <row r="7354" spans="1:12" x14ac:dyDescent="0.2">
      <c r="A7354" t="s">
        <v>16</v>
      </c>
      <c r="B7354" t="s">
        <v>17</v>
      </c>
      <c r="C7354" t="s">
        <v>11</v>
      </c>
      <c r="D7354">
        <v>9000</v>
      </c>
      <c r="E7354">
        <v>2019</v>
      </c>
      <c r="F7354">
        <v>14</v>
      </c>
      <c r="G7354">
        <v>99159</v>
      </c>
      <c r="H7354" s="1">
        <v>4</v>
      </c>
      <c r="I7354">
        <v>0</v>
      </c>
      <c r="J7354">
        <f>IF($H7354=0,1,IF($I7354&lt;=1,2,0))</f>
        <v>2</v>
      </c>
      <c r="K7354">
        <v>5</v>
      </c>
      <c r="L7354">
        <f>IF(AND($J7354=0,$K7354=0),0,1)</f>
        <v>1</v>
      </c>
    </row>
    <row r="7355" spans="1:12" x14ac:dyDescent="0.2">
      <c r="A7355" t="s">
        <v>16</v>
      </c>
      <c r="B7355" t="s">
        <v>17</v>
      </c>
      <c r="C7355" t="s">
        <v>11</v>
      </c>
      <c r="D7355">
        <v>9000</v>
      </c>
      <c r="E7355">
        <v>2019</v>
      </c>
      <c r="F7355">
        <v>16</v>
      </c>
      <c r="G7355">
        <v>99157</v>
      </c>
      <c r="H7355" s="1">
        <v>4</v>
      </c>
      <c r="I7355">
        <v>0</v>
      </c>
      <c r="J7355">
        <f>IF($H7355=0,1,IF($I7355&lt;=1,2,0))</f>
        <v>2</v>
      </c>
      <c r="K7355">
        <v>5</v>
      </c>
      <c r="L7355">
        <f>IF(AND($J7355=0,$K7355=0),0,1)</f>
        <v>1</v>
      </c>
    </row>
    <row r="7356" spans="1:12" x14ac:dyDescent="0.2">
      <c r="A7356" t="s">
        <v>16</v>
      </c>
      <c r="B7356" t="s">
        <v>17</v>
      </c>
      <c r="C7356" t="s">
        <v>11</v>
      </c>
      <c r="D7356">
        <v>9000</v>
      </c>
      <c r="E7356">
        <v>2019</v>
      </c>
      <c r="F7356">
        <v>17</v>
      </c>
      <c r="G7356">
        <v>99156</v>
      </c>
      <c r="H7356" s="1">
        <v>4</v>
      </c>
      <c r="I7356">
        <v>0</v>
      </c>
      <c r="J7356">
        <f>IF($H7356=0,1,IF($I7356&lt;=1,2,0))</f>
        <v>2</v>
      </c>
      <c r="K7356">
        <v>5</v>
      </c>
      <c r="L7356">
        <f>IF(AND($J7356=0,$K7356=0),0,1)</f>
        <v>1</v>
      </c>
    </row>
    <row r="7357" spans="1:12" x14ac:dyDescent="0.2">
      <c r="A7357" t="s">
        <v>16</v>
      </c>
      <c r="B7357" t="s">
        <v>17</v>
      </c>
      <c r="C7357" t="s">
        <v>11</v>
      </c>
      <c r="D7357">
        <v>9000</v>
      </c>
      <c r="E7357">
        <v>2019</v>
      </c>
      <c r="F7357">
        <v>18</v>
      </c>
      <c r="G7357">
        <v>99155</v>
      </c>
      <c r="H7357" s="1">
        <v>4</v>
      </c>
      <c r="I7357">
        <v>0</v>
      </c>
      <c r="J7357">
        <f>IF($H7357=0,1,IF($I7357&lt;=1,2,0))</f>
        <v>2</v>
      </c>
      <c r="K7357">
        <v>5</v>
      </c>
      <c r="L7357">
        <f>IF(AND($J7357=0,$K7357=0),0,1)</f>
        <v>1</v>
      </c>
    </row>
    <row r="7358" spans="1:12" x14ac:dyDescent="0.2">
      <c r="A7358" t="s">
        <v>16</v>
      </c>
      <c r="B7358" t="s">
        <v>17</v>
      </c>
      <c r="C7358" t="s">
        <v>11</v>
      </c>
      <c r="D7358">
        <v>9000</v>
      </c>
      <c r="E7358">
        <v>2019</v>
      </c>
      <c r="F7358">
        <v>21</v>
      </c>
      <c r="G7358">
        <v>99152</v>
      </c>
      <c r="H7358" s="1">
        <v>4</v>
      </c>
      <c r="I7358">
        <v>0</v>
      </c>
      <c r="J7358">
        <f>IF($H7358=0,1,IF($I7358&lt;=1,2,0))</f>
        <v>2</v>
      </c>
      <c r="K7358">
        <v>5</v>
      </c>
      <c r="L7358">
        <f>IF(AND($J7358=0,$K7358=0),0,1)</f>
        <v>1</v>
      </c>
    </row>
    <row r="7359" spans="1:12" x14ac:dyDescent="0.2">
      <c r="A7359" t="s">
        <v>16</v>
      </c>
      <c r="B7359" t="s">
        <v>17</v>
      </c>
      <c r="C7359" t="s">
        <v>11</v>
      </c>
      <c r="D7359">
        <v>9000</v>
      </c>
      <c r="E7359">
        <v>2019</v>
      </c>
      <c r="F7359">
        <v>22</v>
      </c>
      <c r="G7359">
        <v>99151</v>
      </c>
      <c r="H7359" s="1">
        <v>4</v>
      </c>
      <c r="I7359">
        <v>0</v>
      </c>
      <c r="J7359">
        <f>IF($H7359=0,1,IF($I7359&lt;=1,2,0))</f>
        <v>2</v>
      </c>
      <c r="K7359">
        <v>5</v>
      </c>
      <c r="L7359">
        <f>IF(AND($J7359=0,$K7359=0),0,1)</f>
        <v>1</v>
      </c>
    </row>
    <row r="7360" spans="1:12" x14ac:dyDescent="0.2">
      <c r="A7360" t="s">
        <v>16</v>
      </c>
      <c r="B7360" t="s">
        <v>17</v>
      </c>
      <c r="C7360" t="s">
        <v>11</v>
      </c>
      <c r="D7360">
        <v>9000</v>
      </c>
      <c r="E7360">
        <v>2019</v>
      </c>
      <c r="F7360">
        <v>24</v>
      </c>
      <c r="G7360">
        <v>99149</v>
      </c>
      <c r="H7360" s="1">
        <v>4</v>
      </c>
      <c r="I7360">
        <v>0</v>
      </c>
      <c r="J7360">
        <f>IF($H7360=0,1,IF($I7360&lt;=1,2,0))</f>
        <v>2</v>
      </c>
      <c r="K7360">
        <v>5</v>
      </c>
      <c r="L7360">
        <f>IF(AND($J7360=0,$K7360=0),0,1)</f>
        <v>1</v>
      </c>
    </row>
    <row r="7361" spans="1:12" x14ac:dyDescent="0.2">
      <c r="A7361" t="s">
        <v>16</v>
      </c>
      <c r="B7361" t="s">
        <v>17</v>
      </c>
      <c r="C7361" t="s">
        <v>11</v>
      </c>
      <c r="D7361">
        <v>9000</v>
      </c>
      <c r="E7361">
        <v>2019</v>
      </c>
      <c r="F7361">
        <v>26</v>
      </c>
      <c r="G7361">
        <v>99147</v>
      </c>
      <c r="H7361" s="1">
        <v>4</v>
      </c>
      <c r="I7361">
        <v>0</v>
      </c>
      <c r="J7361">
        <f>IF($H7361=0,1,IF($I7361&lt;=1,2,0))</f>
        <v>2</v>
      </c>
      <c r="K7361">
        <v>5</v>
      </c>
      <c r="L7361">
        <f>IF(AND($J7361=0,$K7361=0),0,1)</f>
        <v>1</v>
      </c>
    </row>
    <row r="7362" spans="1:12" x14ac:dyDescent="0.2">
      <c r="A7362" t="s">
        <v>16</v>
      </c>
      <c r="B7362" t="s">
        <v>17</v>
      </c>
      <c r="C7362" t="s">
        <v>11</v>
      </c>
      <c r="D7362">
        <v>9000</v>
      </c>
      <c r="E7362">
        <v>2019</v>
      </c>
      <c r="F7362">
        <v>27</v>
      </c>
      <c r="G7362">
        <v>99146</v>
      </c>
      <c r="H7362" s="1">
        <v>4</v>
      </c>
      <c r="I7362">
        <v>0</v>
      </c>
      <c r="J7362">
        <f>IF($H7362=0,1,IF($I7362&lt;=1,2,0))</f>
        <v>2</v>
      </c>
      <c r="K7362">
        <v>5</v>
      </c>
      <c r="L7362">
        <f>IF(AND($J7362=0,$K7362=0),0,1)</f>
        <v>1</v>
      </c>
    </row>
    <row r="7363" spans="1:12" x14ac:dyDescent="0.2">
      <c r="A7363" t="s">
        <v>16</v>
      </c>
      <c r="B7363" t="s">
        <v>17</v>
      </c>
      <c r="C7363" t="s">
        <v>11</v>
      </c>
      <c r="D7363">
        <v>9000</v>
      </c>
      <c r="E7363">
        <v>2019</v>
      </c>
      <c r="F7363">
        <v>29</v>
      </c>
      <c r="G7363">
        <v>99144</v>
      </c>
      <c r="H7363" s="1">
        <v>4</v>
      </c>
      <c r="I7363">
        <v>0</v>
      </c>
      <c r="J7363">
        <f>IF($H7363=0,1,IF($I7363&lt;=1,2,0))</f>
        <v>2</v>
      </c>
      <c r="K7363">
        <v>5</v>
      </c>
      <c r="L7363">
        <f>IF(AND($J7363=0,$K7363=0),0,1)</f>
        <v>1</v>
      </c>
    </row>
    <row r="7364" spans="1:12" x14ac:dyDescent="0.2">
      <c r="A7364" t="s">
        <v>16</v>
      </c>
      <c r="B7364" t="s">
        <v>17</v>
      </c>
      <c r="C7364" t="s">
        <v>11</v>
      </c>
      <c r="D7364">
        <v>9000</v>
      </c>
      <c r="E7364">
        <v>2019</v>
      </c>
      <c r="F7364">
        <v>32</v>
      </c>
      <c r="G7364">
        <v>99141</v>
      </c>
      <c r="H7364" s="1">
        <v>4</v>
      </c>
      <c r="I7364">
        <v>0</v>
      </c>
      <c r="J7364">
        <f>IF($H7364=0,1,IF($I7364&lt;=1,2,0))</f>
        <v>2</v>
      </c>
      <c r="K7364">
        <v>5</v>
      </c>
      <c r="L7364">
        <f>IF(AND($J7364=0,$K7364=0),0,1)</f>
        <v>1</v>
      </c>
    </row>
    <row r="7365" spans="1:12" x14ac:dyDescent="0.2">
      <c r="A7365" t="s">
        <v>16</v>
      </c>
      <c r="B7365" t="s">
        <v>17</v>
      </c>
      <c r="C7365" t="s">
        <v>11</v>
      </c>
      <c r="D7365">
        <v>9000</v>
      </c>
      <c r="E7365">
        <v>2019</v>
      </c>
      <c r="F7365">
        <v>33</v>
      </c>
      <c r="G7365">
        <v>99140</v>
      </c>
      <c r="H7365" s="1">
        <v>4</v>
      </c>
      <c r="I7365">
        <v>0</v>
      </c>
      <c r="J7365">
        <f>IF($H7365=0,1,IF($I7365&lt;=1,2,0))</f>
        <v>2</v>
      </c>
      <c r="K7365">
        <v>5</v>
      </c>
      <c r="L7365">
        <f>IF(AND($J7365=0,$K7365=0),0,1)</f>
        <v>1</v>
      </c>
    </row>
    <row r="7366" spans="1:12" x14ac:dyDescent="0.2">
      <c r="A7366" t="s">
        <v>16</v>
      </c>
      <c r="B7366" t="s">
        <v>17</v>
      </c>
      <c r="C7366" t="s">
        <v>11</v>
      </c>
      <c r="D7366">
        <v>9000</v>
      </c>
      <c r="E7366">
        <v>2019</v>
      </c>
      <c r="F7366">
        <v>34</v>
      </c>
      <c r="G7366">
        <v>99139</v>
      </c>
      <c r="H7366" s="1">
        <v>4</v>
      </c>
      <c r="I7366">
        <v>0</v>
      </c>
      <c r="J7366">
        <f>IF($H7366=0,1,IF($I7366&lt;=1,2,0))</f>
        <v>2</v>
      </c>
      <c r="K7366">
        <v>5</v>
      </c>
      <c r="L7366">
        <f>IF(AND($J7366=0,$K7366=0),0,1)</f>
        <v>1</v>
      </c>
    </row>
    <row r="7367" spans="1:12" x14ac:dyDescent="0.2">
      <c r="A7367" t="s">
        <v>16</v>
      </c>
      <c r="B7367" t="s">
        <v>17</v>
      </c>
      <c r="C7367" t="s">
        <v>11</v>
      </c>
      <c r="D7367">
        <v>9001</v>
      </c>
      <c r="E7367">
        <v>2019</v>
      </c>
      <c r="F7367">
        <v>8</v>
      </c>
      <c r="G7367">
        <v>99069</v>
      </c>
      <c r="H7367" s="1">
        <v>3</v>
      </c>
      <c r="I7367">
        <v>4</v>
      </c>
      <c r="J7367">
        <f>IF($H7367=0,1,IF($I7367&lt;=1,2,0))</f>
        <v>0</v>
      </c>
      <c r="K7367">
        <v>5</v>
      </c>
      <c r="L7367">
        <f>IF(AND($J7367=0,$K7367=0),0,1)</f>
        <v>1</v>
      </c>
    </row>
    <row r="7368" spans="1:12" x14ac:dyDescent="0.2">
      <c r="A7368" t="s">
        <v>16</v>
      </c>
      <c r="B7368" t="s">
        <v>17</v>
      </c>
      <c r="C7368" t="s">
        <v>11</v>
      </c>
      <c r="D7368">
        <v>9001</v>
      </c>
      <c r="E7368">
        <v>2019</v>
      </c>
      <c r="F7368">
        <v>11</v>
      </c>
      <c r="G7368">
        <v>99066</v>
      </c>
      <c r="H7368" s="1">
        <v>3</v>
      </c>
      <c r="I7368">
        <v>1</v>
      </c>
      <c r="J7368">
        <f>IF($H7368=0,1,IF($I7368&lt;=1,2,0))</f>
        <v>2</v>
      </c>
      <c r="K7368">
        <v>5</v>
      </c>
      <c r="L7368">
        <f>IF(AND($J7368=0,$K7368=0),0,1)</f>
        <v>1</v>
      </c>
    </row>
    <row r="7369" spans="1:12" x14ac:dyDescent="0.2">
      <c r="A7369" t="s">
        <v>16</v>
      </c>
      <c r="B7369" t="s">
        <v>17</v>
      </c>
      <c r="C7369" t="s">
        <v>11</v>
      </c>
      <c r="D7369">
        <v>9001</v>
      </c>
      <c r="E7369">
        <v>2019</v>
      </c>
      <c r="F7369">
        <v>15</v>
      </c>
      <c r="G7369">
        <v>99062</v>
      </c>
      <c r="H7369" s="1">
        <v>3</v>
      </c>
      <c r="I7369">
        <v>1</v>
      </c>
      <c r="J7369">
        <f>IF($H7369=0,1,IF($I7369&lt;=1,2,0))</f>
        <v>2</v>
      </c>
      <c r="K7369">
        <v>5</v>
      </c>
      <c r="L7369">
        <f>IF(AND($J7369=0,$K7369=0),0,1)</f>
        <v>1</v>
      </c>
    </row>
    <row r="7370" spans="1:12" x14ac:dyDescent="0.2">
      <c r="A7370" t="s">
        <v>16</v>
      </c>
      <c r="B7370" t="s">
        <v>17</v>
      </c>
      <c r="C7370" t="s">
        <v>11</v>
      </c>
      <c r="D7370">
        <v>9001</v>
      </c>
      <c r="E7370">
        <v>2019</v>
      </c>
      <c r="F7370">
        <v>20</v>
      </c>
      <c r="G7370">
        <v>99057</v>
      </c>
      <c r="H7370" s="1">
        <v>3</v>
      </c>
      <c r="I7370">
        <v>1</v>
      </c>
      <c r="J7370">
        <f>IF($H7370=0,1,IF($I7370&lt;=1,2,0))</f>
        <v>2</v>
      </c>
      <c r="K7370">
        <v>5</v>
      </c>
      <c r="L7370">
        <f>IF(AND($J7370=0,$K7370=0),0,1)</f>
        <v>1</v>
      </c>
    </row>
    <row r="7371" spans="1:12" x14ac:dyDescent="0.2">
      <c r="A7371" t="s">
        <v>16</v>
      </c>
      <c r="B7371" t="s">
        <v>17</v>
      </c>
      <c r="C7371" t="s">
        <v>11</v>
      </c>
      <c r="D7371">
        <v>9001</v>
      </c>
      <c r="E7371">
        <v>2019</v>
      </c>
      <c r="F7371">
        <v>32</v>
      </c>
      <c r="G7371">
        <v>99045</v>
      </c>
      <c r="H7371" s="1">
        <v>3</v>
      </c>
      <c r="I7371">
        <v>1</v>
      </c>
      <c r="J7371">
        <f>IF($H7371=0,1,IF($I7371&lt;=1,2,0))</f>
        <v>2</v>
      </c>
      <c r="K7371">
        <v>5</v>
      </c>
      <c r="L7371">
        <f>IF(AND($J7371=0,$K7371=0),0,1)</f>
        <v>1</v>
      </c>
    </row>
    <row r="7372" spans="1:12" x14ac:dyDescent="0.2">
      <c r="A7372" t="s">
        <v>16</v>
      </c>
      <c r="B7372" t="s">
        <v>17</v>
      </c>
      <c r="C7372" t="s">
        <v>11</v>
      </c>
      <c r="D7372">
        <v>9001</v>
      </c>
      <c r="E7372">
        <v>2019</v>
      </c>
      <c r="F7372">
        <v>1</v>
      </c>
      <c r="G7372">
        <v>99076</v>
      </c>
      <c r="H7372" s="1">
        <v>3</v>
      </c>
      <c r="I7372">
        <v>0</v>
      </c>
      <c r="J7372">
        <f>IF($H7372=0,1,IF($I7372&lt;=1,2,0))</f>
        <v>2</v>
      </c>
      <c r="K7372">
        <v>5</v>
      </c>
      <c r="L7372">
        <f>IF(AND($J7372=0,$K7372=0),0,1)</f>
        <v>1</v>
      </c>
    </row>
    <row r="7373" spans="1:12" x14ac:dyDescent="0.2">
      <c r="A7373" t="s">
        <v>16</v>
      </c>
      <c r="B7373" t="s">
        <v>17</v>
      </c>
      <c r="C7373" t="s">
        <v>11</v>
      </c>
      <c r="D7373">
        <v>9001</v>
      </c>
      <c r="E7373">
        <v>2019</v>
      </c>
      <c r="F7373">
        <v>2</v>
      </c>
      <c r="G7373">
        <v>99075</v>
      </c>
      <c r="H7373" s="1">
        <v>3</v>
      </c>
      <c r="I7373">
        <v>0</v>
      </c>
      <c r="J7373">
        <f>IF($H7373=0,1,IF($I7373&lt;=1,2,0))</f>
        <v>2</v>
      </c>
      <c r="K7373">
        <v>5</v>
      </c>
      <c r="L7373">
        <f>IF(AND($J7373=0,$K7373=0),0,1)</f>
        <v>1</v>
      </c>
    </row>
    <row r="7374" spans="1:12" x14ac:dyDescent="0.2">
      <c r="A7374" t="s">
        <v>16</v>
      </c>
      <c r="B7374" t="s">
        <v>17</v>
      </c>
      <c r="C7374" t="s">
        <v>11</v>
      </c>
      <c r="D7374">
        <v>9001</v>
      </c>
      <c r="E7374">
        <v>2019</v>
      </c>
      <c r="F7374">
        <v>3</v>
      </c>
      <c r="G7374">
        <v>99074</v>
      </c>
      <c r="H7374" s="1">
        <v>3</v>
      </c>
      <c r="I7374">
        <v>0</v>
      </c>
      <c r="J7374">
        <f>IF($H7374=0,1,IF($I7374&lt;=1,2,0))</f>
        <v>2</v>
      </c>
      <c r="K7374">
        <v>5</v>
      </c>
      <c r="L7374">
        <f>IF(AND($J7374=0,$K7374=0),0,1)</f>
        <v>1</v>
      </c>
    </row>
    <row r="7375" spans="1:12" x14ac:dyDescent="0.2">
      <c r="A7375" t="s">
        <v>16</v>
      </c>
      <c r="B7375" t="s">
        <v>17</v>
      </c>
      <c r="C7375" t="s">
        <v>11</v>
      </c>
      <c r="D7375">
        <v>9001</v>
      </c>
      <c r="E7375">
        <v>2019</v>
      </c>
      <c r="F7375">
        <v>4</v>
      </c>
      <c r="G7375">
        <v>99073</v>
      </c>
      <c r="H7375" s="1">
        <v>3</v>
      </c>
      <c r="I7375">
        <v>0</v>
      </c>
      <c r="J7375">
        <f>IF($H7375=0,1,IF($I7375&lt;=1,2,0))</f>
        <v>2</v>
      </c>
      <c r="K7375">
        <v>5</v>
      </c>
      <c r="L7375">
        <f>IF(AND($J7375=0,$K7375=0),0,1)</f>
        <v>1</v>
      </c>
    </row>
    <row r="7376" spans="1:12" x14ac:dyDescent="0.2">
      <c r="A7376" t="s">
        <v>16</v>
      </c>
      <c r="B7376" t="s">
        <v>17</v>
      </c>
      <c r="C7376" t="s">
        <v>11</v>
      </c>
      <c r="D7376">
        <v>9001</v>
      </c>
      <c r="E7376">
        <v>2019</v>
      </c>
      <c r="F7376">
        <v>5</v>
      </c>
      <c r="G7376">
        <v>99072</v>
      </c>
      <c r="H7376" s="1">
        <v>3</v>
      </c>
      <c r="I7376">
        <v>0</v>
      </c>
      <c r="J7376">
        <f>IF($H7376=0,1,IF($I7376&lt;=1,2,0))</f>
        <v>2</v>
      </c>
      <c r="K7376">
        <v>5</v>
      </c>
      <c r="L7376">
        <f>IF(AND($J7376=0,$K7376=0),0,1)</f>
        <v>1</v>
      </c>
    </row>
    <row r="7377" spans="1:12" x14ac:dyDescent="0.2">
      <c r="A7377" t="s">
        <v>16</v>
      </c>
      <c r="B7377" t="s">
        <v>17</v>
      </c>
      <c r="C7377" t="s">
        <v>11</v>
      </c>
      <c r="D7377">
        <v>9001</v>
      </c>
      <c r="E7377">
        <v>2019</v>
      </c>
      <c r="F7377">
        <v>6</v>
      </c>
      <c r="G7377">
        <v>99071</v>
      </c>
      <c r="H7377" s="1">
        <v>3</v>
      </c>
      <c r="I7377">
        <v>0</v>
      </c>
      <c r="J7377">
        <f>IF($H7377=0,1,IF($I7377&lt;=1,2,0))</f>
        <v>2</v>
      </c>
      <c r="K7377">
        <v>5</v>
      </c>
      <c r="L7377">
        <f>IF(AND($J7377=0,$K7377=0),0,1)</f>
        <v>1</v>
      </c>
    </row>
    <row r="7378" spans="1:12" x14ac:dyDescent="0.2">
      <c r="A7378" t="s">
        <v>16</v>
      </c>
      <c r="B7378" t="s">
        <v>17</v>
      </c>
      <c r="C7378" t="s">
        <v>11</v>
      </c>
      <c r="D7378">
        <v>9001</v>
      </c>
      <c r="E7378">
        <v>2019</v>
      </c>
      <c r="F7378">
        <v>7</v>
      </c>
      <c r="G7378">
        <v>99070</v>
      </c>
      <c r="H7378" s="1">
        <v>3</v>
      </c>
      <c r="I7378">
        <v>0</v>
      </c>
      <c r="J7378">
        <f>IF($H7378=0,1,IF($I7378&lt;=1,2,0))</f>
        <v>2</v>
      </c>
      <c r="K7378">
        <v>5</v>
      </c>
      <c r="L7378">
        <f>IF(AND($J7378=0,$K7378=0),0,1)</f>
        <v>1</v>
      </c>
    </row>
    <row r="7379" spans="1:12" x14ac:dyDescent="0.2">
      <c r="A7379" t="s">
        <v>16</v>
      </c>
      <c r="B7379" t="s">
        <v>17</v>
      </c>
      <c r="C7379" t="s">
        <v>11</v>
      </c>
      <c r="D7379">
        <v>9001</v>
      </c>
      <c r="E7379">
        <v>2019</v>
      </c>
      <c r="F7379">
        <v>9</v>
      </c>
      <c r="G7379">
        <v>99068</v>
      </c>
      <c r="H7379" s="1">
        <v>3</v>
      </c>
      <c r="I7379">
        <v>0</v>
      </c>
      <c r="J7379">
        <f>IF($H7379=0,1,IF($I7379&lt;=1,2,0))</f>
        <v>2</v>
      </c>
      <c r="K7379">
        <v>5</v>
      </c>
      <c r="L7379">
        <f>IF(AND($J7379=0,$K7379=0),0,1)</f>
        <v>1</v>
      </c>
    </row>
    <row r="7380" spans="1:12" x14ac:dyDescent="0.2">
      <c r="A7380" t="s">
        <v>16</v>
      </c>
      <c r="B7380" t="s">
        <v>17</v>
      </c>
      <c r="C7380" t="s">
        <v>11</v>
      </c>
      <c r="D7380">
        <v>9001</v>
      </c>
      <c r="E7380">
        <v>2019</v>
      </c>
      <c r="F7380">
        <v>10</v>
      </c>
      <c r="G7380">
        <v>99067</v>
      </c>
      <c r="H7380" s="1">
        <v>3</v>
      </c>
      <c r="I7380">
        <v>0</v>
      </c>
      <c r="J7380">
        <f>IF($H7380=0,1,IF($I7380&lt;=1,2,0))</f>
        <v>2</v>
      </c>
      <c r="K7380">
        <v>5</v>
      </c>
      <c r="L7380">
        <f>IF(AND($J7380=0,$K7380=0),0,1)</f>
        <v>1</v>
      </c>
    </row>
    <row r="7381" spans="1:12" x14ac:dyDescent="0.2">
      <c r="A7381" t="s">
        <v>16</v>
      </c>
      <c r="B7381" t="s">
        <v>17</v>
      </c>
      <c r="C7381" t="s">
        <v>11</v>
      </c>
      <c r="D7381">
        <v>9001</v>
      </c>
      <c r="E7381">
        <v>2019</v>
      </c>
      <c r="F7381">
        <v>12</v>
      </c>
      <c r="G7381">
        <v>99065</v>
      </c>
      <c r="H7381" s="1">
        <v>3</v>
      </c>
      <c r="I7381">
        <v>0</v>
      </c>
      <c r="J7381">
        <f>IF($H7381=0,1,IF($I7381&lt;=1,2,0))</f>
        <v>2</v>
      </c>
      <c r="K7381">
        <v>5</v>
      </c>
      <c r="L7381">
        <f>IF(AND($J7381=0,$K7381=0),0,1)</f>
        <v>1</v>
      </c>
    </row>
    <row r="7382" spans="1:12" x14ac:dyDescent="0.2">
      <c r="A7382" t="s">
        <v>16</v>
      </c>
      <c r="B7382" t="s">
        <v>17</v>
      </c>
      <c r="C7382" t="s">
        <v>11</v>
      </c>
      <c r="D7382">
        <v>9001</v>
      </c>
      <c r="E7382">
        <v>2019</v>
      </c>
      <c r="F7382">
        <v>13</v>
      </c>
      <c r="G7382">
        <v>99064</v>
      </c>
      <c r="H7382" s="1">
        <v>3</v>
      </c>
      <c r="I7382">
        <v>0</v>
      </c>
      <c r="J7382">
        <f>IF($H7382=0,1,IF($I7382&lt;=1,2,0))</f>
        <v>2</v>
      </c>
      <c r="K7382">
        <v>5</v>
      </c>
      <c r="L7382">
        <f>IF(AND($J7382=0,$K7382=0),0,1)</f>
        <v>1</v>
      </c>
    </row>
    <row r="7383" spans="1:12" x14ac:dyDescent="0.2">
      <c r="A7383" t="s">
        <v>16</v>
      </c>
      <c r="B7383" t="s">
        <v>17</v>
      </c>
      <c r="C7383" t="s">
        <v>11</v>
      </c>
      <c r="D7383">
        <v>9001</v>
      </c>
      <c r="E7383">
        <v>2019</v>
      </c>
      <c r="F7383">
        <v>14</v>
      </c>
      <c r="G7383">
        <v>99063</v>
      </c>
      <c r="H7383" s="1">
        <v>3</v>
      </c>
      <c r="I7383">
        <v>0</v>
      </c>
      <c r="J7383">
        <f>IF($H7383=0,1,IF($I7383&lt;=1,2,0))</f>
        <v>2</v>
      </c>
      <c r="K7383">
        <v>5</v>
      </c>
      <c r="L7383">
        <f>IF(AND($J7383=0,$K7383=0),0,1)</f>
        <v>1</v>
      </c>
    </row>
    <row r="7384" spans="1:12" x14ac:dyDescent="0.2">
      <c r="A7384" t="s">
        <v>16</v>
      </c>
      <c r="B7384" t="s">
        <v>17</v>
      </c>
      <c r="C7384" t="s">
        <v>11</v>
      </c>
      <c r="D7384">
        <v>9001</v>
      </c>
      <c r="E7384">
        <v>2019</v>
      </c>
      <c r="F7384">
        <v>16</v>
      </c>
      <c r="G7384">
        <v>99061</v>
      </c>
      <c r="H7384" s="1">
        <v>3</v>
      </c>
      <c r="I7384">
        <v>0</v>
      </c>
      <c r="J7384">
        <f>IF($H7384=0,1,IF($I7384&lt;=1,2,0))</f>
        <v>2</v>
      </c>
      <c r="K7384">
        <v>5</v>
      </c>
      <c r="L7384">
        <f>IF(AND($J7384=0,$K7384=0),0,1)</f>
        <v>1</v>
      </c>
    </row>
    <row r="7385" spans="1:12" x14ac:dyDescent="0.2">
      <c r="A7385" t="s">
        <v>16</v>
      </c>
      <c r="B7385" t="s">
        <v>17</v>
      </c>
      <c r="C7385" t="s">
        <v>11</v>
      </c>
      <c r="D7385">
        <v>9001</v>
      </c>
      <c r="E7385">
        <v>2019</v>
      </c>
      <c r="F7385">
        <v>17</v>
      </c>
      <c r="G7385">
        <v>99060</v>
      </c>
      <c r="H7385" s="1">
        <v>3</v>
      </c>
      <c r="I7385">
        <v>0</v>
      </c>
      <c r="J7385">
        <f>IF($H7385=0,1,IF($I7385&lt;=1,2,0))</f>
        <v>2</v>
      </c>
      <c r="K7385">
        <v>5</v>
      </c>
      <c r="L7385">
        <f>IF(AND($J7385=0,$K7385=0),0,1)</f>
        <v>1</v>
      </c>
    </row>
    <row r="7386" spans="1:12" x14ac:dyDescent="0.2">
      <c r="A7386" t="s">
        <v>16</v>
      </c>
      <c r="B7386" t="s">
        <v>17</v>
      </c>
      <c r="C7386" t="s">
        <v>11</v>
      </c>
      <c r="D7386">
        <v>9001</v>
      </c>
      <c r="E7386">
        <v>2019</v>
      </c>
      <c r="F7386">
        <v>18</v>
      </c>
      <c r="G7386">
        <v>99059</v>
      </c>
      <c r="H7386" s="1">
        <v>3</v>
      </c>
      <c r="I7386">
        <v>0</v>
      </c>
      <c r="J7386">
        <f>IF($H7386=0,1,IF($I7386&lt;=1,2,0))</f>
        <v>2</v>
      </c>
      <c r="K7386">
        <v>5</v>
      </c>
      <c r="L7386">
        <f>IF(AND($J7386=0,$K7386=0),0,1)</f>
        <v>1</v>
      </c>
    </row>
    <row r="7387" spans="1:12" x14ac:dyDescent="0.2">
      <c r="A7387" t="s">
        <v>16</v>
      </c>
      <c r="B7387" t="s">
        <v>17</v>
      </c>
      <c r="C7387" t="s">
        <v>11</v>
      </c>
      <c r="D7387">
        <v>9001</v>
      </c>
      <c r="E7387">
        <v>2019</v>
      </c>
      <c r="F7387">
        <v>19</v>
      </c>
      <c r="G7387">
        <v>99058</v>
      </c>
      <c r="H7387" s="1">
        <v>3</v>
      </c>
      <c r="I7387">
        <v>0</v>
      </c>
      <c r="J7387">
        <f>IF($H7387=0,1,IF($I7387&lt;=1,2,0))</f>
        <v>2</v>
      </c>
      <c r="K7387">
        <v>5</v>
      </c>
      <c r="L7387">
        <f>IF(AND($J7387=0,$K7387=0),0,1)</f>
        <v>1</v>
      </c>
    </row>
    <row r="7388" spans="1:12" x14ac:dyDescent="0.2">
      <c r="A7388" t="s">
        <v>16</v>
      </c>
      <c r="B7388" t="s">
        <v>17</v>
      </c>
      <c r="C7388" t="s">
        <v>11</v>
      </c>
      <c r="D7388">
        <v>9001</v>
      </c>
      <c r="E7388">
        <v>2019</v>
      </c>
      <c r="F7388">
        <v>21</v>
      </c>
      <c r="G7388">
        <v>99056</v>
      </c>
      <c r="H7388" s="1">
        <v>3</v>
      </c>
      <c r="I7388">
        <v>0</v>
      </c>
      <c r="J7388">
        <f>IF($H7388=0,1,IF($I7388&lt;=1,2,0))</f>
        <v>2</v>
      </c>
      <c r="K7388">
        <v>5</v>
      </c>
      <c r="L7388">
        <f>IF(AND($J7388=0,$K7388=0),0,1)</f>
        <v>1</v>
      </c>
    </row>
    <row r="7389" spans="1:12" x14ac:dyDescent="0.2">
      <c r="A7389" t="s">
        <v>16</v>
      </c>
      <c r="B7389" t="s">
        <v>17</v>
      </c>
      <c r="C7389" t="s">
        <v>11</v>
      </c>
      <c r="D7389">
        <v>9001</v>
      </c>
      <c r="E7389">
        <v>2019</v>
      </c>
      <c r="F7389">
        <v>22</v>
      </c>
      <c r="G7389">
        <v>99055</v>
      </c>
      <c r="H7389" s="1">
        <v>3</v>
      </c>
      <c r="I7389">
        <v>0</v>
      </c>
      <c r="J7389">
        <f>IF($H7389=0,1,IF($I7389&lt;=1,2,0))</f>
        <v>2</v>
      </c>
      <c r="K7389">
        <v>5</v>
      </c>
      <c r="L7389">
        <f>IF(AND($J7389=0,$K7389=0),0,1)</f>
        <v>1</v>
      </c>
    </row>
    <row r="7390" spans="1:12" x14ac:dyDescent="0.2">
      <c r="A7390" t="s">
        <v>16</v>
      </c>
      <c r="B7390" t="s">
        <v>17</v>
      </c>
      <c r="C7390" t="s">
        <v>11</v>
      </c>
      <c r="D7390">
        <v>9001</v>
      </c>
      <c r="E7390">
        <v>2019</v>
      </c>
      <c r="F7390">
        <v>23</v>
      </c>
      <c r="G7390">
        <v>99054</v>
      </c>
      <c r="H7390" s="1">
        <v>3</v>
      </c>
      <c r="I7390">
        <v>0</v>
      </c>
      <c r="J7390">
        <f>IF($H7390=0,1,IF($I7390&lt;=1,2,0))</f>
        <v>2</v>
      </c>
      <c r="K7390">
        <v>5</v>
      </c>
      <c r="L7390">
        <f>IF(AND($J7390=0,$K7390=0),0,1)</f>
        <v>1</v>
      </c>
    </row>
    <row r="7391" spans="1:12" x14ac:dyDescent="0.2">
      <c r="A7391" t="s">
        <v>16</v>
      </c>
      <c r="B7391" t="s">
        <v>17</v>
      </c>
      <c r="C7391" t="s">
        <v>11</v>
      </c>
      <c r="D7391">
        <v>9001</v>
      </c>
      <c r="E7391">
        <v>2019</v>
      </c>
      <c r="F7391">
        <v>24</v>
      </c>
      <c r="G7391">
        <v>99053</v>
      </c>
      <c r="H7391" s="1">
        <v>3</v>
      </c>
      <c r="I7391">
        <v>0</v>
      </c>
      <c r="J7391">
        <f>IF($H7391=0,1,IF($I7391&lt;=1,2,0))</f>
        <v>2</v>
      </c>
      <c r="K7391">
        <v>5</v>
      </c>
      <c r="L7391">
        <f>IF(AND($J7391=0,$K7391=0),0,1)</f>
        <v>1</v>
      </c>
    </row>
    <row r="7392" spans="1:12" x14ac:dyDescent="0.2">
      <c r="A7392" t="s">
        <v>16</v>
      </c>
      <c r="B7392" t="s">
        <v>17</v>
      </c>
      <c r="C7392" t="s">
        <v>11</v>
      </c>
      <c r="D7392">
        <v>9001</v>
      </c>
      <c r="E7392">
        <v>2019</v>
      </c>
      <c r="F7392">
        <v>25</v>
      </c>
      <c r="G7392">
        <v>99052</v>
      </c>
      <c r="H7392" s="1">
        <v>3</v>
      </c>
      <c r="I7392">
        <v>0</v>
      </c>
      <c r="J7392">
        <f>IF($H7392=0,1,IF($I7392&lt;=1,2,0))</f>
        <v>2</v>
      </c>
      <c r="K7392">
        <v>5</v>
      </c>
      <c r="L7392">
        <f>IF(AND($J7392=0,$K7392=0),0,1)</f>
        <v>1</v>
      </c>
    </row>
    <row r="7393" spans="1:13" x14ac:dyDescent="0.2">
      <c r="A7393" t="s">
        <v>16</v>
      </c>
      <c r="B7393" t="s">
        <v>17</v>
      </c>
      <c r="C7393" t="s">
        <v>11</v>
      </c>
      <c r="D7393">
        <v>9001</v>
      </c>
      <c r="E7393">
        <v>2019</v>
      </c>
      <c r="F7393">
        <v>26</v>
      </c>
      <c r="G7393">
        <v>99051</v>
      </c>
      <c r="H7393" s="1">
        <v>3</v>
      </c>
      <c r="I7393">
        <v>0</v>
      </c>
      <c r="J7393">
        <f>IF($H7393=0,1,IF($I7393&lt;=1,2,0))</f>
        <v>2</v>
      </c>
      <c r="K7393">
        <v>5</v>
      </c>
      <c r="L7393">
        <f>IF(AND($J7393=0,$K7393=0),0,1)</f>
        <v>1</v>
      </c>
    </row>
    <row r="7394" spans="1:13" x14ac:dyDescent="0.2">
      <c r="A7394" t="s">
        <v>16</v>
      </c>
      <c r="B7394" t="s">
        <v>17</v>
      </c>
      <c r="C7394" t="s">
        <v>11</v>
      </c>
      <c r="D7394">
        <v>9001</v>
      </c>
      <c r="E7394">
        <v>2019</v>
      </c>
      <c r="F7394">
        <v>27</v>
      </c>
      <c r="G7394">
        <v>99050</v>
      </c>
      <c r="H7394" s="1">
        <v>3</v>
      </c>
      <c r="I7394">
        <v>0</v>
      </c>
      <c r="J7394">
        <f>IF($H7394=0,1,IF($I7394&lt;=1,2,0))</f>
        <v>2</v>
      </c>
      <c r="K7394">
        <v>5</v>
      </c>
      <c r="L7394">
        <f>IF(AND($J7394=0,$K7394=0),0,1)</f>
        <v>1</v>
      </c>
    </row>
    <row r="7395" spans="1:13" x14ac:dyDescent="0.2">
      <c r="A7395" t="s">
        <v>16</v>
      </c>
      <c r="B7395" t="s">
        <v>17</v>
      </c>
      <c r="C7395" t="s">
        <v>11</v>
      </c>
      <c r="D7395">
        <v>9001</v>
      </c>
      <c r="E7395">
        <v>2019</v>
      </c>
      <c r="F7395">
        <v>28</v>
      </c>
      <c r="G7395">
        <v>99049</v>
      </c>
      <c r="H7395" s="1">
        <v>3</v>
      </c>
      <c r="I7395">
        <v>0</v>
      </c>
      <c r="J7395">
        <f>IF($H7395=0,1,IF($I7395&lt;=1,2,0))</f>
        <v>2</v>
      </c>
      <c r="K7395">
        <v>5</v>
      </c>
      <c r="L7395">
        <f>IF(AND($J7395=0,$K7395=0),0,1)</f>
        <v>1</v>
      </c>
    </row>
    <row r="7396" spans="1:13" x14ac:dyDescent="0.2">
      <c r="A7396" t="s">
        <v>16</v>
      </c>
      <c r="B7396" t="s">
        <v>17</v>
      </c>
      <c r="C7396" t="s">
        <v>11</v>
      </c>
      <c r="D7396">
        <v>9001</v>
      </c>
      <c r="E7396">
        <v>2019</v>
      </c>
      <c r="F7396">
        <v>29</v>
      </c>
      <c r="G7396">
        <v>99048</v>
      </c>
      <c r="H7396" s="1">
        <v>3</v>
      </c>
      <c r="I7396">
        <v>0</v>
      </c>
      <c r="J7396">
        <f>IF($H7396=0,1,IF($I7396&lt;=1,2,0))</f>
        <v>2</v>
      </c>
      <c r="K7396">
        <v>5</v>
      </c>
      <c r="L7396">
        <f>IF(AND($J7396=0,$K7396=0),0,1)</f>
        <v>1</v>
      </c>
    </row>
    <row r="7397" spans="1:13" x14ac:dyDescent="0.2">
      <c r="A7397" t="s">
        <v>16</v>
      </c>
      <c r="B7397" t="s">
        <v>17</v>
      </c>
      <c r="C7397" t="s">
        <v>11</v>
      </c>
      <c r="D7397">
        <v>9001</v>
      </c>
      <c r="E7397">
        <v>2019</v>
      </c>
      <c r="F7397">
        <v>30</v>
      </c>
      <c r="G7397">
        <v>99047</v>
      </c>
      <c r="H7397" s="1">
        <v>3</v>
      </c>
      <c r="I7397">
        <v>0</v>
      </c>
      <c r="J7397">
        <f>IF($H7397=0,1,IF($I7397&lt;=1,2,0))</f>
        <v>2</v>
      </c>
      <c r="K7397">
        <v>5</v>
      </c>
      <c r="L7397">
        <f>IF(AND($J7397=0,$K7397=0),0,1)</f>
        <v>1</v>
      </c>
    </row>
    <row r="7398" spans="1:13" x14ac:dyDescent="0.2">
      <c r="A7398" t="s">
        <v>16</v>
      </c>
      <c r="B7398" t="s">
        <v>17</v>
      </c>
      <c r="C7398" t="s">
        <v>11</v>
      </c>
      <c r="D7398">
        <v>9001</v>
      </c>
      <c r="E7398">
        <v>2019</v>
      </c>
      <c r="F7398">
        <v>31</v>
      </c>
      <c r="G7398">
        <v>99046</v>
      </c>
      <c r="H7398" s="1">
        <v>3</v>
      </c>
      <c r="I7398">
        <v>0</v>
      </c>
      <c r="J7398">
        <f>IF($H7398=0,1,IF($I7398&lt;=1,2,0))</f>
        <v>2</v>
      </c>
      <c r="K7398">
        <v>5</v>
      </c>
      <c r="L7398">
        <f>IF(AND($J7398=0,$K7398=0),0,1)</f>
        <v>1</v>
      </c>
    </row>
    <row r="7399" spans="1:13" x14ac:dyDescent="0.2">
      <c r="A7399" t="s">
        <v>16</v>
      </c>
      <c r="B7399" t="s">
        <v>17</v>
      </c>
      <c r="C7399" t="s">
        <v>11</v>
      </c>
      <c r="D7399">
        <v>9001</v>
      </c>
      <c r="E7399">
        <v>2019</v>
      </c>
      <c r="F7399">
        <v>33</v>
      </c>
      <c r="G7399">
        <v>99044</v>
      </c>
      <c r="H7399" s="1">
        <v>3</v>
      </c>
      <c r="I7399">
        <v>0</v>
      </c>
      <c r="J7399">
        <f>IF($H7399=0,1,IF($I7399&lt;=1,2,0))</f>
        <v>2</v>
      </c>
      <c r="K7399">
        <v>5</v>
      </c>
      <c r="L7399">
        <f>IF(AND($J7399=0,$K7399=0),0,1)</f>
        <v>1</v>
      </c>
    </row>
    <row r="7400" spans="1:13" x14ac:dyDescent="0.2">
      <c r="A7400" t="s">
        <v>16</v>
      </c>
      <c r="B7400" t="s">
        <v>17</v>
      </c>
      <c r="C7400" t="s">
        <v>11</v>
      </c>
      <c r="D7400">
        <v>9001</v>
      </c>
      <c r="E7400">
        <v>2019</v>
      </c>
      <c r="F7400">
        <v>34</v>
      </c>
      <c r="G7400">
        <v>99043</v>
      </c>
      <c r="H7400" s="1">
        <v>3</v>
      </c>
      <c r="I7400">
        <v>0</v>
      </c>
      <c r="J7400">
        <f>IF($H7400=0,1,IF($I7400&lt;=1,2,0))</f>
        <v>2</v>
      </c>
      <c r="K7400">
        <v>5</v>
      </c>
      <c r="L7400">
        <f>IF(AND($J7400=0,$K7400=0),0,1)</f>
        <v>1</v>
      </c>
    </row>
    <row r="7401" spans="1:13" x14ac:dyDescent="0.2">
      <c r="A7401" t="s">
        <v>42</v>
      </c>
      <c r="B7401" t="s">
        <v>17</v>
      </c>
      <c r="C7401" t="s">
        <v>21</v>
      </c>
      <c r="D7401">
        <v>2902</v>
      </c>
      <c r="E7401">
        <v>2019</v>
      </c>
      <c r="F7401">
        <v>1</v>
      </c>
      <c r="G7401">
        <v>99105</v>
      </c>
      <c r="H7401" s="1">
        <v>0</v>
      </c>
      <c r="I7401">
        <v>16</v>
      </c>
      <c r="J7401">
        <f>IF($H7401=0,1,IF($I7401&lt;=1,2,0))</f>
        <v>1</v>
      </c>
      <c r="K7401">
        <v>0</v>
      </c>
      <c r="L7401">
        <f>IF(AND($J7401=0,$K7401=0),0,1)</f>
        <v>1</v>
      </c>
    </row>
    <row r="7402" spans="1:13" x14ac:dyDescent="0.2">
      <c r="A7402" t="s">
        <v>42</v>
      </c>
      <c r="B7402" t="s">
        <v>17</v>
      </c>
      <c r="C7402" t="s">
        <v>21</v>
      </c>
      <c r="D7402">
        <v>2902</v>
      </c>
      <c r="E7402">
        <v>2019</v>
      </c>
      <c r="F7402">
        <v>3</v>
      </c>
      <c r="G7402">
        <v>99103</v>
      </c>
      <c r="H7402" s="1">
        <v>0</v>
      </c>
      <c r="I7402">
        <v>16</v>
      </c>
      <c r="J7402">
        <f>IF($H7402=0,1,IF($I7402&lt;=1,2,0))</f>
        <v>1</v>
      </c>
      <c r="K7402">
        <v>0</v>
      </c>
      <c r="L7402">
        <f>IF(AND($J7402=0,$K7402=0),0,1)</f>
        <v>1</v>
      </c>
    </row>
    <row r="7403" spans="1:13" x14ac:dyDescent="0.2">
      <c r="A7403" t="s">
        <v>42</v>
      </c>
      <c r="B7403" t="s">
        <v>17</v>
      </c>
      <c r="C7403" t="s">
        <v>21</v>
      </c>
      <c r="D7403">
        <v>2902</v>
      </c>
      <c r="E7403">
        <v>2019</v>
      </c>
      <c r="F7403">
        <v>4</v>
      </c>
      <c r="G7403">
        <v>18233</v>
      </c>
      <c r="H7403" s="1">
        <v>0</v>
      </c>
      <c r="I7403">
        <v>14</v>
      </c>
      <c r="J7403">
        <f>IF($H7403=0,1,IF($I7403&lt;=1,2,0))</f>
        <v>1</v>
      </c>
      <c r="K7403">
        <v>0</v>
      </c>
      <c r="L7403">
        <f>IF(AND($J7403=0,$K7403=0),0,1)</f>
        <v>1</v>
      </c>
    </row>
    <row r="7404" spans="1:13" x14ac:dyDescent="0.2">
      <c r="A7404" t="s">
        <v>42</v>
      </c>
      <c r="B7404" t="s">
        <v>17</v>
      </c>
      <c r="C7404" t="s">
        <v>21</v>
      </c>
      <c r="D7404">
        <v>2902</v>
      </c>
      <c r="E7404">
        <v>2019</v>
      </c>
      <c r="F7404">
        <v>2</v>
      </c>
      <c r="G7404">
        <v>99104</v>
      </c>
      <c r="H7404" s="1">
        <v>0</v>
      </c>
      <c r="I7404">
        <v>11</v>
      </c>
      <c r="J7404">
        <f>IF($H7404=0,1,IF($I7404&lt;=1,2,0))</f>
        <v>1</v>
      </c>
      <c r="K7404">
        <v>0</v>
      </c>
      <c r="L7404">
        <f>IF(AND($J7404=0,$K7404=0),0,1)</f>
        <v>1</v>
      </c>
    </row>
    <row r="7405" spans="1:13" x14ac:dyDescent="0.2">
      <c r="A7405" t="s">
        <v>44</v>
      </c>
      <c r="B7405" t="s">
        <v>6</v>
      </c>
      <c r="C7405" t="s">
        <v>2</v>
      </c>
      <c r="D7405">
        <v>1041</v>
      </c>
      <c r="E7405">
        <v>2019</v>
      </c>
      <c r="F7405">
        <v>1</v>
      </c>
      <c r="G7405">
        <v>121</v>
      </c>
      <c r="H7405" s="1">
        <v>4</v>
      </c>
      <c r="I7405">
        <v>19</v>
      </c>
      <c r="J7405">
        <f>IF($H7405=0,1,IF($I7405&lt;=1,2,0))</f>
        <v>0</v>
      </c>
      <c r="K7405">
        <v>7</v>
      </c>
      <c r="L7405">
        <f>IF(AND($J7405=0,$K7405=0),0,1)</f>
        <v>1</v>
      </c>
    </row>
    <row r="7406" spans="1:13" x14ac:dyDescent="0.2">
      <c r="A7406" t="s">
        <v>44</v>
      </c>
      <c r="B7406" t="s">
        <v>6</v>
      </c>
      <c r="C7406" t="s">
        <v>2</v>
      </c>
      <c r="D7406">
        <v>3401</v>
      </c>
      <c r="E7406">
        <v>2019</v>
      </c>
      <c r="F7406">
        <v>1</v>
      </c>
      <c r="G7406">
        <v>6830</v>
      </c>
      <c r="H7406" s="1">
        <v>4</v>
      </c>
      <c r="I7406">
        <v>15</v>
      </c>
      <c r="J7406">
        <f>IF($H7406=0,1,IF($I7406&lt;=1,2,0))</f>
        <v>0</v>
      </c>
      <c r="K7406">
        <v>7</v>
      </c>
      <c r="L7406">
        <f>IF(AND($J7406=0,$K7406=0),0,1)</f>
        <v>1</v>
      </c>
      <c r="M7406" t="s">
        <v>45</v>
      </c>
    </row>
    <row r="7407" spans="1:13" x14ac:dyDescent="0.2">
      <c r="A7407" t="s">
        <v>44</v>
      </c>
      <c r="B7407" t="s">
        <v>6</v>
      </c>
      <c r="C7407" t="s">
        <v>2</v>
      </c>
      <c r="D7407">
        <v>3401</v>
      </c>
      <c r="E7407">
        <v>2019</v>
      </c>
      <c r="F7407">
        <v>2</v>
      </c>
      <c r="G7407">
        <v>6831</v>
      </c>
      <c r="H7407" s="1">
        <v>4</v>
      </c>
      <c r="I7407">
        <v>10</v>
      </c>
      <c r="J7407">
        <f>IF($H7407=0,1,IF($I7407&lt;=1,2,0))</f>
        <v>0</v>
      </c>
      <c r="K7407">
        <v>7</v>
      </c>
      <c r="L7407">
        <f>IF(AND($J7407=0,$K7407=0),0,1)</f>
        <v>1</v>
      </c>
      <c r="M7407" t="s">
        <v>45</v>
      </c>
    </row>
    <row r="7408" spans="1:13" x14ac:dyDescent="0.2">
      <c r="A7408" t="s">
        <v>44</v>
      </c>
      <c r="B7408" t="s">
        <v>6</v>
      </c>
      <c r="C7408" t="s">
        <v>2</v>
      </c>
      <c r="D7408">
        <v>3703</v>
      </c>
      <c r="E7408">
        <v>2019</v>
      </c>
      <c r="F7408">
        <v>3</v>
      </c>
      <c r="G7408">
        <v>6834</v>
      </c>
      <c r="H7408" s="1">
        <v>4</v>
      </c>
      <c r="I7408">
        <v>11</v>
      </c>
      <c r="J7408">
        <f>IF($H7408=0,1,IF($I7408&lt;=1,2,0))</f>
        <v>0</v>
      </c>
      <c r="K7408">
        <v>7</v>
      </c>
      <c r="L7408">
        <f>IF(AND($J7408=0,$K7408=0),0,1)</f>
        <v>1</v>
      </c>
    </row>
    <row r="7409" spans="1:12" x14ac:dyDescent="0.2">
      <c r="A7409" t="s">
        <v>44</v>
      </c>
      <c r="B7409" t="s">
        <v>6</v>
      </c>
      <c r="C7409" t="s">
        <v>2</v>
      </c>
      <c r="D7409">
        <v>3703</v>
      </c>
      <c r="E7409">
        <v>2019</v>
      </c>
      <c r="F7409">
        <v>2</v>
      </c>
      <c r="G7409">
        <v>6827</v>
      </c>
      <c r="H7409" s="1">
        <v>4</v>
      </c>
      <c r="I7409">
        <v>6</v>
      </c>
      <c r="J7409">
        <f>IF($H7409=0,1,IF($I7409&lt;=1,2,0))</f>
        <v>0</v>
      </c>
      <c r="K7409">
        <v>7</v>
      </c>
      <c r="L7409">
        <f>IF(AND($J7409=0,$K7409=0),0,1)</f>
        <v>1</v>
      </c>
    </row>
    <row r="7410" spans="1:12" x14ac:dyDescent="0.2">
      <c r="A7410" t="s">
        <v>50</v>
      </c>
      <c r="B7410" t="s">
        <v>6</v>
      </c>
      <c r="C7410" t="s">
        <v>21</v>
      </c>
      <c r="D7410">
        <v>3997</v>
      </c>
      <c r="E7410">
        <v>2019</v>
      </c>
      <c r="F7410">
        <v>1</v>
      </c>
      <c r="G7410">
        <v>48642</v>
      </c>
      <c r="H7410" s="1">
        <v>3</v>
      </c>
      <c r="I7410">
        <v>0</v>
      </c>
      <c r="J7410">
        <f>IF($H7410=0,1,IF($I7410&lt;=1,2,0))</f>
        <v>2</v>
      </c>
      <c r="K7410">
        <v>9</v>
      </c>
      <c r="L7410">
        <f>IF(AND($J7410=0,$K7410=0),0,1)</f>
        <v>1</v>
      </c>
    </row>
    <row r="7411" spans="1:12" x14ac:dyDescent="0.2">
      <c r="A7411" t="s">
        <v>50</v>
      </c>
      <c r="B7411" t="s">
        <v>6</v>
      </c>
      <c r="C7411" t="s">
        <v>21</v>
      </c>
      <c r="D7411">
        <v>3997</v>
      </c>
      <c r="E7411">
        <v>2019</v>
      </c>
      <c r="F7411">
        <v>2</v>
      </c>
      <c r="G7411">
        <v>48643</v>
      </c>
      <c r="H7411" s="1">
        <v>3</v>
      </c>
      <c r="I7411">
        <v>0</v>
      </c>
      <c r="J7411">
        <f>IF($H7411=0,1,IF($I7411&lt;=1,2,0))</f>
        <v>2</v>
      </c>
      <c r="K7411">
        <v>9</v>
      </c>
      <c r="L7411">
        <f>IF(AND($J7411=0,$K7411=0),0,1)</f>
        <v>1</v>
      </c>
    </row>
    <row r="7412" spans="1:12" x14ac:dyDescent="0.2">
      <c r="A7412" t="s">
        <v>50</v>
      </c>
      <c r="B7412" t="s">
        <v>6</v>
      </c>
      <c r="C7412" t="s">
        <v>21</v>
      </c>
      <c r="D7412">
        <v>3997</v>
      </c>
      <c r="E7412">
        <v>2019</v>
      </c>
      <c r="F7412">
        <v>3</v>
      </c>
      <c r="G7412">
        <v>48644</v>
      </c>
      <c r="H7412" s="1">
        <v>3</v>
      </c>
      <c r="I7412">
        <v>0</v>
      </c>
      <c r="J7412">
        <f>IF($H7412=0,1,IF($I7412&lt;=1,2,0))</f>
        <v>2</v>
      </c>
      <c r="K7412">
        <v>9</v>
      </c>
      <c r="L7412">
        <f>IF(AND($J7412=0,$K7412=0),0,1)</f>
        <v>1</v>
      </c>
    </row>
    <row r="7413" spans="1:12" x14ac:dyDescent="0.2">
      <c r="A7413" t="s">
        <v>50</v>
      </c>
      <c r="B7413" t="s">
        <v>6</v>
      </c>
      <c r="C7413" t="s">
        <v>21</v>
      </c>
      <c r="D7413">
        <v>3997</v>
      </c>
      <c r="E7413">
        <v>2019</v>
      </c>
      <c r="F7413">
        <v>4</v>
      </c>
      <c r="G7413">
        <v>48645</v>
      </c>
      <c r="H7413" s="1">
        <v>3</v>
      </c>
      <c r="I7413">
        <v>0</v>
      </c>
      <c r="J7413">
        <f>IF($H7413=0,1,IF($I7413&lt;=1,2,0))</f>
        <v>2</v>
      </c>
      <c r="K7413">
        <v>9</v>
      </c>
      <c r="L7413">
        <f>IF(AND($J7413=0,$K7413=0),0,1)</f>
        <v>1</v>
      </c>
    </row>
    <row r="7414" spans="1:12" x14ac:dyDescent="0.2">
      <c r="A7414" t="s">
        <v>50</v>
      </c>
      <c r="B7414" t="s">
        <v>6</v>
      </c>
      <c r="C7414" t="s">
        <v>21</v>
      </c>
      <c r="D7414">
        <v>3997</v>
      </c>
      <c r="E7414">
        <v>2019</v>
      </c>
      <c r="F7414">
        <v>5</v>
      </c>
      <c r="G7414">
        <v>48646</v>
      </c>
      <c r="H7414" s="1">
        <v>3</v>
      </c>
      <c r="I7414">
        <v>0</v>
      </c>
      <c r="J7414">
        <f>IF($H7414=0,1,IF($I7414&lt;=1,2,0))</f>
        <v>2</v>
      </c>
      <c r="K7414">
        <v>9</v>
      </c>
      <c r="L7414">
        <f>IF(AND($J7414=0,$K7414=0),0,1)</f>
        <v>1</v>
      </c>
    </row>
    <row r="7415" spans="1:12" x14ac:dyDescent="0.2">
      <c r="A7415" t="s">
        <v>50</v>
      </c>
      <c r="B7415" t="s">
        <v>6</v>
      </c>
      <c r="C7415" t="s">
        <v>21</v>
      </c>
      <c r="D7415">
        <v>3997</v>
      </c>
      <c r="E7415">
        <v>2019</v>
      </c>
      <c r="F7415">
        <v>6</v>
      </c>
      <c r="G7415">
        <v>48647</v>
      </c>
      <c r="H7415" s="1">
        <v>3</v>
      </c>
      <c r="I7415">
        <v>0</v>
      </c>
      <c r="J7415">
        <f>IF($H7415=0,1,IF($I7415&lt;=1,2,0))</f>
        <v>2</v>
      </c>
      <c r="K7415">
        <v>9</v>
      </c>
      <c r="L7415">
        <f>IF(AND($J7415=0,$K7415=0),0,1)</f>
        <v>1</v>
      </c>
    </row>
    <row r="7416" spans="1:12" x14ac:dyDescent="0.2">
      <c r="A7416" t="s">
        <v>50</v>
      </c>
      <c r="B7416" t="s">
        <v>6</v>
      </c>
      <c r="C7416" t="s">
        <v>21</v>
      </c>
      <c r="D7416">
        <v>3997</v>
      </c>
      <c r="E7416">
        <v>2019</v>
      </c>
      <c r="F7416">
        <v>7</v>
      </c>
      <c r="G7416">
        <v>48648</v>
      </c>
      <c r="H7416" s="1">
        <v>3</v>
      </c>
      <c r="I7416">
        <v>0</v>
      </c>
      <c r="J7416">
        <f>IF($H7416=0,1,IF($I7416&lt;=1,2,0))</f>
        <v>2</v>
      </c>
      <c r="K7416">
        <v>9</v>
      </c>
      <c r="L7416">
        <f>IF(AND($J7416=0,$K7416=0),0,1)</f>
        <v>1</v>
      </c>
    </row>
    <row r="7417" spans="1:12" x14ac:dyDescent="0.2">
      <c r="A7417" t="s">
        <v>50</v>
      </c>
      <c r="B7417" t="s">
        <v>6</v>
      </c>
      <c r="C7417" t="s">
        <v>21</v>
      </c>
      <c r="D7417">
        <v>3997</v>
      </c>
      <c r="E7417">
        <v>2019</v>
      </c>
      <c r="F7417">
        <v>8</v>
      </c>
      <c r="G7417">
        <v>48649</v>
      </c>
      <c r="H7417" s="1">
        <v>3</v>
      </c>
      <c r="I7417">
        <v>0</v>
      </c>
      <c r="J7417">
        <f>IF($H7417=0,1,IF($I7417&lt;=1,2,0))</f>
        <v>2</v>
      </c>
      <c r="K7417">
        <v>9</v>
      </c>
      <c r="L7417">
        <f>IF(AND($J7417=0,$K7417=0),0,1)</f>
        <v>1</v>
      </c>
    </row>
    <row r="7418" spans="1:12" x14ac:dyDescent="0.2">
      <c r="A7418" t="s">
        <v>50</v>
      </c>
      <c r="B7418" t="s">
        <v>6</v>
      </c>
      <c r="C7418" t="s">
        <v>21</v>
      </c>
      <c r="D7418">
        <v>3997</v>
      </c>
      <c r="E7418">
        <v>2019</v>
      </c>
      <c r="F7418">
        <v>9</v>
      </c>
      <c r="G7418">
        <v>48650</v>
      </c>
      <c r="H7418" s="1">
        <v>3</v>
      </c>
      <c r="I7418">
        <v>0</v>
      </c>
      <c r="J7418">
        <f>IF($H7418=0,1,IF($I7418&lt;=1,2,0))</f>
        <v>2</v>
      </c>
      <c r="K7418">
        <v>9</v>
      </c>
      <c r="L7418">
        <f>IF(AND($J7418=0,$K7418=0),0,1)</f>
        <v>1</v>
      </c>
    </row>
    <row r="7419" spans="1:12" x14ac:dyDescent="0.2">
      <c r="A7419" t="s">
        <v>50</v>
      </c>
      <c r="B7419" t="s">
        <v>6</v>
      </c>
      <c r="C7419" t="s">
        <v>21</v>
      </c>
      <c r="D7419">
        <v>3997</v>
      </c>
      <c r="E7419">
        <v>2019</v>
      </c>
      <c r="F7419">
        <v>10</v>
      </c>
      <c r="G7419">
        <v>48651</v>
      </c>
      <c r="H7419" s="1">
        <v>3</v>
      </c>
      <c r="I7419">
        <v>0</v>
      </c>
      <c r="J7419">
        <f>IF($H7419=0,1,IF($I7419&lt;=1,2,0))</f>
        <v>2</v>
      </c>
      <c r="K7419">
        <v>9</v>
      </c>
      <c r="L7419">
        <f>IF(AND($J7419=0,$K7419=0),0,1)</f>
        <v>1</v>
      </c>
    </row>
    <row r="7420" spans="1:12" x14ac:dyDescent="0.2">
      <c r="A7420" t="s">
        <v>50</v>
      </c>
      <c r="B7420" t="s">
        <v>6</v>
      </c>
      <c r="C7420" t="s">
        <v>21</v>
      </c>
      <c r="D7420">
        <v>3998</v>
      </c>
      <c r="E7420">
        <v>2019</v>
      </c>
      <c r="F7420">
        <v>1</v>
      </c>
      <c r="G7420">
        <v>48685</v>
      </c>
      <c r="H7420" s="1">
        <v>3</v>
      </c>
      <c r="I7420">
        <v>0</v>
      </c>
      <c r="J7420">
        <f>IF($H7420=0,1,IF($I7420&lt;=1,2,0))</f>
        <v>2</v>
      </c>
      <c r="K7420">
        <v>9</v>
      </c>
      <c r="L7420">
        <f>IF(AND($J7420=0,$K7420=0),0,1)</f>
        <v>1</v>
      </c>
    </row>
    <row r="7421" spans="1:12" x14ac:dyDescent="0.2">
      <c r="A7421" t="s">
        <v>50</v>
      </c>
      <c r="B7421" t="s">
        <v>6</v>
      </c>
      <c r="C7421" t="s">
        <v>21</v>
      </c>
      <c r="D7421">
        <v>3998</v>
      </c>
      <c r="E7421">
        <v>2019</v>
      </c>
      <c r="F7421">
        <v>2</v>
      </c>
      <c r="G7421">
        <v>48686</v>
      </c>
      <c r="H7421" s="1">
        <v>3</v>
      </c>
      <c r="I7421">
        <v>0</v>
      </c>
      <c r="J7421">
        <f>IF($H7421=0,1,IF($I7421&lt;=1,2,0))</f>
        <v>2</v>
      </c>
      <c r="K7421">
        <v>9</v>
      </c>
      <c r="L7421">
        <f>IF(AND($J7421=0,$K7421=0),0,1)</f>
        <v>1</v>
      </c>
    </row>
    <row r="7422" spans="1:12" x14ac:dyDescent="0.2">
      <c r="A7422" t="s">
        <v>50</v>
      </c>
      <c r="B7422" t="s">
        <v>6</v>
      </c>
      <c r="C7422" t="s">
        <v>21</v>
      </c>
      <c r="D7422">
        <v>3998</v>
      </c>
      <c r="E7422">
        <v>2019</v>
      </c>
      <c r="F7422">
        <v>3</v>
      </c>
      <c r="G7422">
        <v>48687</v>
      </c>
      <c r="H7422" s="1">
        <v>3</v>
      </c>
      <c r="I7422">
        <v>0</v>
      </c>
      <c r="J7422">
        <f>IF($H7422=0,1,IF($I7422&lt;=1,2,0))</f>
        <v>2</v>
      </c>
      <c r="K7422">
        <v>9</v>
      </c>
      <c r="L7422">
        <f>IF(AND($J7422=0,$K7422=0),0,1)</f>
        <v>1</v>
      </c>
    </row>
    <row r="7423" spans="1:12" x14ac:dyDescent="0.2">
      <c r="A7423" t="s">
        <v>50</v>
      </c>
      <c r="B7423" t="s">
        <v>6</v>
      </c>
      <c r="C7423" t="s">
        <v>21</v>
      </c>
      <c r="D7423">
        <v>3998</v>
      </c>
      <c r="E7423">
        <v>2019</v>
      </c>
      <c r="F7423">
        <v>4</v>
      </c>
      <c r="G7423">
        <v>29217</v>
      </c>
      <c r="H7423" s="1">
        <v>3</v>
      </c>
      <c r="I7423">
        <v>0</v>
      </c>
      <c r="J7423">
        <f>IF($H7423=0,1,IF($I7423&lt;=1,2,0))</f>
        <v>2</v>
      </c>
      <c r="K7423">
        <v>9</v>
      </c>
      <c r="L7423">
        <f>IF(AND($J7423=0,$K7423=0),0,1)</f>
        <v>1</v>
      </c>
    </row>
    <row r="7424" spans="1:12" x14ac:dyDescent="0.2">
      <c r="A7424" t="s">
        <v>50</v>
      </c>
      <c r="B7424" t="s">
        <v>6</v>
      </c>
      <c r="C7424" t="s">
        <v>21</v>
      </c>
      <c r="D7424">
        <v>3998</v>
      </c>
      <c r="E7424">
        <v>2019</v>
      </c>
      <c r="F7424">
        <v>5</v>
      </c>
      <c r="G7424">
        <v>48689</v>
      </c>
      <c r="H7424" s="1">
        <v>3</v>
      </c>
      <c r="I7424">
        <v>0</v>
      </c>
      <c r="J7424">
        <f>IF($H7424=0,1,IF($I7424&lt;=1,2,0))</f>
        <v>2</v>
      </c>
      <c r="K7424">
        <v>9</v>
      </c>
      <c r="L7424">
        <f>IF(AND($J7424=0,$K7424=0),0,1)</f>
        <v>1</v>
      </c>
    </row>
    <row r="7425" spans="1:12" x14ac:dyDescent="0.2">
      <c r="A7425" t="s">
        <v>50</v>
      </c>
      <c r="B7425" t="s">
        <v>6</v>
      </c>
      <c r="C7425" t="s">
        <v>21</v>
      </c>
      <c r="D7425">
        <v>3998</v>
      </c>
      <c r="E7425">
        <v>2019</v>
      </c>
      <c r="F7425">
        <v>7</v>
      </c>
      <c r="G7425">
        <v>48691</v>
      </c>
      <c r="H7425" s="1">
        <v>3</v>
      </c>
      <c r="I7425">
        <v>0</v>
      </c>
      <c r="J7425">
        <f>IF($H7425=0,1,IF($I7425&lt;=1,2,0))</f>
        <v>2</v>
      </c>
      <c r="K7425">
        <v>9</v>
      </c>
      <c r="L7425">
        <f>IF(AND($J7425=0,$K7425=0),0,1)</f>
        <v>1</v>
      </c>
    </row>
    <row r="7426" spans="1:12" x14ac:dyDescent="0.2">
      <c r="A7426" t="s">
        <v>50</v>
      </c>
      <c r="B7426" t="s">
        <v>6</v>
      </c>
      <c r="C7426" t="s">
        <v>21</v>
      </c>
      <c r="D7426">
        <v>3998</v>
      </c>
      <c r="E7426">
        <v>2019</v>
      </c>
      <c r="F7426">
        <v>8</v>
      </c>
      <c r="G7426">
        <v>48692</v>
      </c>
      <c r="H7426" s="1">
        <v>3</v>
      </c>
      <c r="I7426">
        <v>0</v>
      </c>
      <c r="J7426">
        <f>IF($H7426=0,1,IF($I7426&lt;=1,2,0))</f>
        <v>2</v>
      </c>
      <c r="K7426">
        <v>9</v>
      </c>
      <c r="L7426">
        <f>IF(AND($J7426=0,$K7426=0),0,1)</f>
        <v>1</v>
      </c>
    </row>
    <row r="7427" spans="1:12" x14ac:dyDescent="0.2">
      <c r="A7427" t="s">
        <v>50</v>
      </c>
      <c r="B7427" t="s">
        <v>6</v>
      </c>
      <c r="C7427" t="s">
        <v>21</v>
      </c>
      <c r="D7427">
        <v>3998</v>
      </c>
      <c r="E7427">
        <v>2019</v>
      </c>
      <c r="F7427">
        <v>9</v>
      </c>
      <c r="G7427">
        <v>48693</v>
      </c>
      <c r="H7427" s="1">
        <v>3</v>
      </c>
      <c r="I7427">
        <v>0</v>
      </c>
      <c r="J7427">
        <f>IF($H7427=0,1,IF($I7427&lt;=1,2,0))</f>
        <v>2</v>
      </c>
      <c r="K7427">
        <v>9</v>
      </c>
      <c r="L7427">
        <f>IF(AND($J7427=0,$K7427=0),0,1)</f>
        <v>1</v>
      </c>
    </row>
    <row r="7428" spans="1:12" x14ac:dyDescent="0.2">
      <c r="A7428" t="s">
        <v>50</v>
      </c>
      <c r="B7428" t="s">
        <v>6</v>
      </c>
      <c r="C7428" t="s">
        <v>21</v>
      </c>
      <c r="D7428">
        <v>3998</v>
      </c>
      <c r="E7428">
        <v>2019</v>
      </c>
      <c r="F7428">
        <v>11</v>
      </c>
      <c r="G7428">
        <v>48695</v>
      </c>
      <c r="H7428" s="1">
        <v>3</v>
      </c>
      <c r="I7428">
        <v>0</v>
      </c>
      <c r="J7428">
        <f>IF($H7428=0,1,IF($I7428&lt;=1,2,0))</f>
        <v>2</v>
      </c>
      <c r="K7428">
        <v>9</v>
      </c>
      <c r="L7428">
        <f>IF(AND($J7428=0,$K7428=0),0,1)</f>
        <v>1</v>
      </c>
    </row>
    <row r="7429" spans="1:12" x14ac:dyDescent="0.2">
      <c r="A7429" t="s">
        <v>50</v>
      </c>
      <c r="B7429" t="s">
        <v>6</v>
      </c>
      <c r="C7429" t="s">
        <v>21</v>
      </c>
      <c r="D7429">
        <v>3998</v>
      </c>
      <c r="E7429">
        <v>2019</v>
      </c>
      <c r="F7429">
        <v>16</v>
      </c>
      <c r="G7429">
        <v>48698</v>
      </c>
      <c r="H7429" s="1">
        <v>3</v>
      </c>
      <c r="I7429">
        <v>0</v>
      </c>
      <c r="J7429">
        <f>IF($H7429=0,1,IF($I7429&lt;=1,2,0))</f>
        <v>2</v>
      </c>
      <c r="K7429">
        <v>9</v>
      </c>
      <c r="L7429">
        <f>IF(AND($J7429=0,$K7429=0),0,1)</f>
        <v>1</v>
      </c>
    </row>
    <row r="7430" spans="1:12" x14ac:dyDescent="0.2">
      <c r="A7430" t="s">
        <v>51</v>
      </c>
      <c r="B7430" t="s">
        <v>6</v>
      </c>
      <c r="C7430" t="s">
        <v>9</v>
      </c>
      <c r="D7430">
        <v>4016</v>
      </c>
      <c r="E7430">
        <v>2019</v>
      </c>
      <c r="F7430">
        <v>1</v>
      </c>
      <c r="G7430">
        <v>18806</v>
      </c>
      <c r="H7430" s="1">
        <v>0</v>
      </c>
      <c r="I7430">
        <v>9</v>
      </c>
      <c r="J7430">
        <f>IF($H7430=0,1,IF($I7430&lt;=1,2,0))</f>
        <v>1</v>
      </c>
      <c r="K7430">
        <v>0</v>
      </c>
      <c r="L7430">
        <f>IF(AND($J7430=0,$K7430=0),0,1)</f>
        <v>1</v>
      </c>
    </row>
    <row r="7431" spans="1:12" x14ac:dyDescent="0.2">
      <c r="A7431" t="s">
        <v>51</v>
      </c>
      <c r="B7431" t="s">
        <v>6</v>
      </c>
      <c r="C7431" t="s">
        <v>9</v>
      </c>
      <c r="D7431">
        <v>4016</v>
      </c>
      <c r="E7431">
        <v>2019</v>
      </c>
      <c r="F7431">
        <v>5</v>
      </c>
      <c r="G7431">
        <v>18811</v>
      </c>
      <c r="H7431" s="1">
        <v>0</v>
      </c>
      <c r="I7431">
        <v>9</v>
      </c>
      <c r="J7431">
        <f>IF($H7431=0,1,IF($I7431&lt;=1,2,0))</f>
        <v>1</v>
      </c>
      <c r="K7431">
        <v>0</v>
      </c>
      <c r="L7431">
        <f>IF(AND($J7431=0,$K7431=0),0,1)</f>
        <v>1</v>
      </c>
    </row>
    <row r="7432" spans="1:12" x14ac:dyDescent="0.2">
      <c r="A7432" t="s">
        <v>51</v>
      </c>
      <c r="B7432" t="s">
        <v>6</v>
      </c>
      <c r="C7432" t="s">
        <v>9</v>
      </c>
      <c r="D7432">
        <v>4016</v>
      </c>
      <c r="E7432">
        <v>2019</v>
      </c>
      <c r="F7432">
        <v>7</v>
      </c>
      <c r="G7432">
        <v>18815</v>
      </c>
      <c r="H7432" s="1">
        <v>0</v>
      </c>
      <c r="I7432">
        <v>9</v>
      </c>
      <c r="J7432">
        <f>IF($H7432=0,1,IF($I7432&lt;=1,2,0))</f>
        <v>1</v>
      </c>
      <c r="K7432">
        <v>0</v>
      </c>
      <c r="L7432">
        <f>IF(AND($J7432=0,$K7432=0),0,1)</f>
        <v>1</v>
      </c>
    </row>
    <row r="7433" spans="1:12" x14ac:dyDescent="0.2">
      <c r="A7433" t="s">
        <v>51</v>
      </c>
      <c r="B7433" t="s">
        <v>6</v>
      </c>
      <c r="C7433" t="s">
        <v>9</v>
      </c>
      <c r="D7433">
        <v>4016</v>
      </c>
      <c r="E7433">
        <v>2019</v>
      </c>
      <c r="F7433">
        <v>4</v>
      </c>
      <c r="G7433">
        <v>18810</v>
      </c>
      <c r="H7433" s="1">
        <v>0</v>
      </c>
      <c r="I7433">
        <v>8</v>
      </c>
      <c r="J7433">
        <f>IF($H7433=0,1,IF($I7433&lt;=1,2,0))</f>
        <v>1</v>
      </c>
      <c r="K7433">
        <v>0</v>
      </c>
      <c r="L7433">
        <f>IF(AND($J7433=0,$K7433=0),0,1)</f>
        <v>1</v>
      </c>
    </row>
    <row r="7434" spans="1:12" x14ac:dyDescent="0.2">
      <c r="A7434" t="s">
        <v>51</v>
      </c>
      <c r="B7434" t="s">
        <v>6</v>
      </c>
      <c r="C7434" t="s">
        <v>9</v>
      </c>
      <c r="D7434">
        <v>4016</v>
      </c>
      <c r="E7434">
        <v>2019</v>
      </c>
      <c r="F7434">
        <v>6</v>
      </c>
      <c r="G7434">
        <v>18812</v>
      </c>
      <c r="H7434" s="1">
        <v>0</v>
      </c>
      <c r="I7434">
        <v>8</v>
      </c>
      <c r="J7434">
        <f>IF($H7434=0,1,IF($I7434&lt;=1,2,0))</f>
        <v>1</v>
      </c>
      <c r="K7434">
        <v>0</v>
      </c>
      <c r="L7434">
        <f>IF(AND($J7434=0,$K7434=0),0,1)</f>
        <v>1</v>
      </c>
    </row>
    <row r="7435" spans="1:12" x14ac:dyDescent="0.2">
      <c r="A7435" t="s">
        <v>51</v>
      </c>
      <c r="B7435" t="s">
        <v>6</v>
      </c>
      <c r="C7435" t="s">
        <v>9</v>
      </c>
      <c r="D7435">
        <v>4016</v>
      </c>
      <c r="E7435">
        <v>2019</v>
      </c>
      <c r="F7435">
        <v>3</v>
      </c>
      <c r="G7435">
        <v>18809</v>
      </c>
      <c r="H7435" s="1">
        <v>0</v>
      </c>
      <c r="I7435">
        <v>4</v>
      </c>
      <c r="J7435">
        <f>IF($H7435=0,1,IF($I7435&lt;=1,2,0))</f>
        <v>1</v>
      </c>
      <c r="K7435">
        <v>0</v>
      </c>
      <c r="L7435">
        <f>IF(AND($J7435=0,$K7435=0),0,1)</f>
        <v>1</v>
      </c>
    </row>
    <row r="7436" spans="1:12" x14ac:dyDescent="0.2">
      <c r="A7436" t="s">
        <v>51</v>
      </c>
      <c r="B7436" t="s">
        <v>6</v>
      </c>
      <c r="C7436" t="s">
        <v>9</v>
      </c>
      <c r="D7436">
        <v>4016</v>
      </c>
      <c r="E7436">
        <v>2019</v>
      </c>
      <c r="F7436">
        <v>8</v>
      </c>
      <c r="G7436">
        <v>18816</v>
      </c>
      <c r="H7436" s="1">
        <v>0</v>
      </c>
      <c r="I7436">
        <v>4</v>
      </c>
      <c r="J7436">
        <f>IF($H7436=0,1,IF($I7436&lt;=1,2,0))</f>
        <v>1</v>
      </c>
      <c r="K7436">
        <v>0</v>
      </c>
      <c r="L7436">
        <f>IF(AND($J7436=0,$K7436=0),0,1)</f>
        <v>1</v>
      </c>
    </row>
    <row r="7437" spans="1:12" x14ac:dyDescent="0.2">
      <c r="A7437" t="s">
        <v>51</v>
      </c>
      <c r="B7437" t="s">
        <v>6</v>
      </c>
      <c r="C7437" t="s">
        <v>9</v>
      </c>
      <c r="D7437">
        <v>4016</v>
      </c>
      <c r="E7437">
        <v>2019</v>
      </c>
      <c r="F7437">
        <v>2</v>
      </c>
      <c r="G7437">
        <v>18807</v>
      </c>
      <c r="H7437" s="1">
        <v>0</v>
      </c>
      <c r="I7437">
        <v>3</v>
      </c>
      <c r="J7437">
        <f>IF($H7437=0,1,IF($I7437&lt;=1,2,0))</f>
        <v>1</v>
      </c>
      <c r="K7437">
        <v>0</v>
      </c>
      <c r="L7437">
        <f>IF(AND($J7437=0,$K7437=0),0,1)</f>
        <v>1</v>
      </c>
    </row>
    <row r="7438" spans="1:12" x14ac:dyDescent="0.2">
      <c r="A7438" t="s">
        <v>54</v>
      </c>
      <c r="B7438" t="s">
        <v>6</v>
      </c>
      <c r="C7438" t="s">
        <v>21</v>
      </c>
      <c r="D7438">
        <v>1012</v>
      </c>
      <c r="E7438">
        <v>2019</v>
      </c>
      <c r="F7438">
        <v>1</v>
      </c>
      <c r="G7438">
        <v>45161</v>
      </c>
      <c r="H7438" s="1">
        <v>0</v>
      </c>
      <c r="I7438">
        <v>19</v>
      </c>
      <c r="J7438">
        <f>IF($H7438=0,1,IF($I7438&lt;=1,2,0))</f>
        <v>1</v>
      </c>
      <c r="K7438">
        <v>0</v>
      </c>
      <c r="L7438">
        <f>IF(AND($J7438=0,$K7438=0),0,1)</f>
        <v>1</v>
      </c>
    </row>
    <row r="7439" spans="1:12" x14ac:dyDescent="0.2">
      <c r="A7439" t="s">
        <v>54</v>
      </c>
      <c r="B7439" t="s">
        <v>6</v>
      </c>
      <c r="C7439" t="s">
        <v>21</v>
      </c>
      <c r="D7439">
        <v>1012</v>
      </c>
      <c r="E7439">
        <v>2019</v>
      </c>
      <c r="F7439">
        <v>6</v>
      </c>
      <c r="G7439">
        <v>18833</v>
      </c>
      <c r="H7439" s="1">
        <v>0</v>
      </c>
      <c r="I7439">
        <v>18</v>
      </c>
      <c r="J7439">
        <f>IF($H7439=0,1,IF($I7439&lt;=1,2,0))</f>
        <v>1</v>
      </c>
      <c r="K7439">
        <v>0</v>
      </c>
      <c r="L7439">
        <f>IF(AND($J7439=0,$K7439=0),0,1)</f>
        <v>1</v>
      </c>
    </row>
    <row r="7440" spans="1:12" x14ac:dyDescent="0.2">
      <c r="A7440" t="s">
        <v>54</v>
      </c>
      <c r="B7440" t="s">
        <v>6</v>
      </c>
      <c r="C7440" t="s">
        <v>21</v>
      </c>
      <c r="D7440">
        <v>1012</v>
      </c>
      <c r="E7440">
        <v>2019</v>
      </c>
      <c r="F7440">
        <v>5</v>
      </c>
      <c r="G7440">
        <v>18830</v>
      </c>
      <c r="H7440" s="1">
        <v>0</v>
      </c>
      <c r="I7440">
        <v>16</v>
      </c>
      <c r="J7440">
        <f>IF($H7440=0,1,IF($I7440&lt;=1,2,0))</f>
        <v>1</v>
      </c>
      <c r="K7440">
        <v>0</v>
      </c>
      <c r="L7440">
        <f>IF(AND($J7440=0,$K7440=0),0,1)</f>
        <v>1</v>
      </c>
    </row>
    <row r="7441" spans="1:13" x14ac:dyDescent="0.2">
      <c r="A7441" t="s">
        <v>54</v>
      </c>
      <c r="B7441" t="s">
        <v>6</v>
      </c>
      <c r="C7441" t="s">
        <v>21</v>
      </c>
      <c r="D7441">
        <v>1012</v>
      </c>
      <c r="E7441">
        <v>2019</v>
      </c>
      <c r="F7441">
        <v>2</v>
      </c>
      <c r="G7441">
        <v>45162</v>
      </c>
      <c r="H7441" s="1">
        <v>0</v>
      </c>
      <c r="I7441">
        <v>15</v>
      </c>
      <c r="J7441">
        <f>IF($H7441=0,1,IF($I7441&lt;=1,2,0))</f>
        <v>1</v>
      </c>
      <c r="K7441">
        <v>0</v>
      </c>
      <c r="L7441">
        <f>IF(AND($J7441=0,$K7441=0),0,1)</f>
        <v>1</v>
      </c>
    </row>
    <row r="7442" spans="1:13" x14ac:dyDescent="0.2">
      <c r="A7442" t="s">
        <v>54</v>
      </c>
      <c r="B7442" t="s">
        <v>6</v>
      </c>
      <c r="C7442" t="s">
        <v>21</v>
      </c>
      <c r="D7442">
        <v>1012</v>
      </c>
      <c r="E7442">
        <v>2019</v>
      </c>
      <c r="F7442">
        <v>8</v>
      </c>
      <c r="G7442">
        <v>18832</v>
      </c>
      <c r="H7442" s="1">
        <v>0</v>
      </c>
      <c r="I7442">
        <v>15</v>
      </c>
      <c r="J7442">
        <f>IF($H7442=0,1,IF($I7442&lt;=1,2,0))</f>
        <v>1</v>
      </c>
      <c r="K7442">
        <v>0</v>
      </c>
      <c r="L7442">
        <f>IF(AND($J7442=0,$K7442=0),0,1)</f>
        <v>1</v>
      </c>
    </row>
    <row r="7443" spans="1:13" x14ac:dyDescent="0.2">
      <c r="A7443" t="s">
        <v>54</v>
      </c>
      <c r="B7443" t="s">
        <v>6</v>
      </c>
      <c r="C7443" t="s">
        <v>21</v>
      </c>
      <c r="D7443">
        <v>1012</v>
      </c>
      <c r="E7443">
        <v>2019</v>
      </c>
      <c r="F7443">
        <v>4</v>
      </c>
      <c r="G7443">
        <v>45164</v>
      </c>
      <c r="H7443" s="1">
        <v>0</v>
      </c>
      <c r="I7443">
        <v>5</v>
      </c>
      <c r="J7443">
        <f>IF($H7443=0,1,IF($I7443&lt;=1,2,0))</f>
        <v>1</v>
      </c>
      <c r="K7443">
        <v>0</v>
      </c>
      <c r="L7443">
        <f>IF(AND($J7443=0,$K7443=0),0,1)</f>
        <v>1</v>
      </c>
    </row>
    <row r="7444" spans="1:13" x14ac:dyDescent="0.2">
      <c r="A7444" t="s">
        <v>54</v>
      </c>
      <c r="B7444" t="s">
        <v>6</v>
      </c>
      <c r="C7444" t="s">
        <v>2</v>
      </c>
      <c r="D7444">
        <v>3871</v>
      </c>
      <c r="E7444">
        <v>2019</v>
      </c>
      <c r="F7444">
        <v>1</v>
      </c>
      <c r="G7444">
        <v>6912</v>
      </c>
      <c r="H7444" s="1">
        <v>4</v>
      </c>
      <c r="I7444">
        <v>15</v>
      </c>
      <c r="J7444">
        <f>IF($H7444=0,1,IF($I7444&lt;=1,2,0))</f>
        <v>0</v>
      </c>
      <c r="K7444">
        <v>7</v>
      </c>
      <c r="L7444">
        <f>IF(AND($J7444=0,$K7444=0),0,1)</f>
        <v>1</v>
      </c>
    </row>
    <row r="7445" spans="1:13" x14ac:dyDescent="0.2">
      <c r="A7445" t="s">
        <v>54</v>
      </c>
      <c r="B7445" t="s">
        <v>6</v>
      </c>
      <c r="C7445" t="s">
        <v>2</v>
      </c>
      <c r="D7445">
        <v>3911</v>
      </c>
      <c r="E7445">
        <v>2019</v>
      </c>
      <c r="F7445">
        <v>1</v>
      </c>
      <c r="G7445">
        <v>6902</v>
      </c>
      <c r="H7445" s="1">
        <v>4</v>
      </c>
      <c r="I7445">
        <v>19</v>
      </c>
      <c r="J7445">
        <f>IF($H7445=0,1,IF($I7445&lt;=1,2,0))</f>
        <v>0</v>
      </c>
      <c r="K7445">
        <v>7</v>
      </c>
      <c r="L7445">
        <f>IF(AND($J7445=0,$K7445=0),0,1)</f>
        <v>1</v>
      </c>
      <c r="M7445" t="s">
        <v>57</v>
      </c>
    </row>
    <row r="7446" spans="1:13" x14ac:dyDescent="0.2">
      <c r="A7446" t="s">
        <v>54</v>
      </c>
      <c r="B7446" t="s">
        <v>6</v>
      </c>
      <c r="C7446" t="s">
        <v>2</v>
      </c>
      <c r="D7446">
        <v>3932</v>
      </c>
      <c r="E7446">
        <v>2019</v>
      </c>
      <c r="F7446">
        <v>1</v>
      </c>
      <c r="G7446">
        <v>6908</v>
      </c>
      <c r="H7446" s="1">
        <v>4</v>
      </c>
      <c r="I7446">
        <v>22</v>
      </c>
      <c r="J7446">
        <f>IF($H7446=0,1,IF($I7446&lt;=1,2,0))</f>
        <v>0</v>
      </c>
      <c r="K7446">
        <v>7</v>
      </c>
      <c r="L7446">
        <f>IF(AND($J7446=0,$K7446=0),0,1)</f>
        <v>1</v>
      </c>
    </row>
    <row r="7447" spans="1:13" x14ac:dyDescent="0.2">
      <c r="A7447" t="s">
        <v>54</v>
      </c>
      <c r="B7447" t="s">
        <v>6</v>
      </c>
      <c r="C7447" t="s">
        <v>21</v>
      </c>
      <c r="D7447">
        <v>3952</v>
      </c>
      <c r="E7447">
        <v>2019</v>
      </c>
      <c r="F7447" t="s">
        <v>60</v>
      </c>
      <c r="G7447">
        <v>19015</v>
      </c>
      <c r="H7447" s="1">
        <v>0</v>
      </c>
      <c r="I7447">
        <v>2</v>
      </c>
      <c r="J7447">
        <f>IF($H7447=0,1,IF($I7447&lt;=1,2,0))</f>
        <v>1</v>
      </c>
      <c r="K7447">
        <v>0</v>
      </c>
      <c r="L7447">
        <f>IF(AND($J7447=0,$K7447=0),0,1)</f>
        <v>1</v>
      </c>
    </row>
    <row r="7448" spans="1:13" x14ac:dyDescent="0.2">
      <c r="A7448" t="s">
        <v>54</v>
      </c>
      <c r="B7448" t="s">
        <v>6</v>
      </c>
      <c r="C7448" t="s">
        <v>21</v>
      </c>
      <c r="D7448">
        <v>3952</v>
      </c>
      <c r="E7448">
        <v>2019</v>
      </c>
      <c r="F7448" t="s">
        <v>59</v>
      </c>
      <c r="G7448">
        <v>19014</v>
      </c>
      <c r="H7448" s="1">
        <v>0</v>
      </c>
      <c r="I7448">
        <v>0</v>
      </c>
      <c r="J7448">
        <f>IF($H7448=0,1,IF($I7448&lt;=1,2,0))</f>
        <v>1</v>
      </c>
      <c r="K7448">
        <v>0</v>
      </c>
      <c r="L7448">
        <f>IF(AND($J7448=0,$K7448=0),0,1)</f>
        <v>1</v>
      </c>
    </row>
    <row r="7449" spans="1:13" x14ac:dyDescent="0.2">
      <c r="A7449" t="s">
        <v>54</v>
      </c>
      <c r="B7449" t="s">
        <v>6</v>
      </c>
      <c r="C7449" t="s">
        <v>61</v>
      </c>
      <c r="D7449">
        <v>3991</v>
      </c>
      <c r="E7449">
        <v>2019</v>
      </c>
      <c r="F7449">
        <v>1</v>
      </c>
      <c r="G7449">
        <v>19270</v>
      </c>
      <c r="H7449" s="1">
        <v>3</v>
      </c>
      <c r="I7449">
        <v>1</v>
      </c>
      <c r="J7449">
        <f>IF($H7449=0,1,IF($I7449&lt;=1,2,0))</f>
        <v>2</v>
      </c>
      <c r="K7449">
        <v>0</v>
      </c>
      <c r="L7449">
        <f>IF(AND($J7449=0,$K7449=0),0,1)</f>
        <v>1</v>
      </c>
    </row>
    <row r="7450" spans="1:13" x14ac:dyDescent="0.2">
      <c r="A7450" t="s">
        <v>54</v>
      </c>
      <c r="B7450" t="s">
        <v>6</v>
      </c>
      <c r="C7450" t="s">
        <v>9</v>
      </c>
      <c r="D7450">
        <v>3997</v>
      </c>
      <c r="E7450">
        <v>2019</v>
      </c>
      <c r="F7450">
        <v>6</v>
      </c>
      <c r="G7450">
        <v>45220</v>
      </c>
      <c r="H7450" s="1" t="s">
        <v>1825</v>
      </c>
      <c r="I7450">
        <v>2</v>
      </c>
      <c r="J7450">
        <f>IF($H7450=0,1,IF($I7450&lt;=1,2,0))</f>
        <v>0</v>
      </c>
      <c r="K7450">
        <v>9</v>
      </c>
      <c r="L7450">
        <f>IF(AND($J7450=0,$K7450=0),0,1)</f>
        <v>1</v>
      </c>
    </row>
    <row r="7451" spans="1:13" x14ac:dyDescent="0.2">
      <c r="A7451" t="s">
        <v>54</v>
      </c>
      <c r="B7451" t="s">
        <v>6</v>
      </c>
      <c r="C7451" t="s">
        <v>9</v>
      </c>
      <c r="D7451">
        <v>3997</v>
      </c>
      <c r="E7451">
        <v>2019</v>
      </c>
      <c r="F7451">
        <v>24</v>
      </c>
      <c r="G7451">
        <v>45233</v>
      </c>
      <c r="H7451" s="1" t="s">
        <v>1825</v>
      </c>
      <c r="I7451">
        <v>2</v>
      </c>
      <c r="J7451">
        <f>IF($H7451=0,1,IF($I7451&lt;=1,2,0))</f>
        <v>0</v>
      </c>
      <c r="K7451">
        <v>9</v>
      </c>
      <c r="L7451">
        <f>IF(AND($J7451=0,$K7451=0),0,1)</f>
        <v>1</v>
      </c>
    </row>
    <row r="7452" spans="1:13" x14ac:dyDescent="0.2">
      <c r="A7452" t="s">
        <v>54</v>
      </c>
      <c r="B7452" t="s">
        <v>6</v>
      </c>
      <c r="C7452" t="s">
        <v>61</v>
      </c>
      <c r="D7452">
        <v>3997</v>
      </c>
      <c r="E7452">
        <v>2019</v>
      </c>
      <c r="F7452">
        <v>1</v>
      </c>
      <c r="G7452">
        <v>19301</v>
      </c>
      <c r="H7452" s="1">
        <v>4</v>
      </c>
      <c r="I7452">
        <v>1</v>
      </c>
      <c r="J7452">
        <f>IF($H7452=0,1,IF($I7452&lt;=1,2,0))</f>
        <v>2</v>
      </c>
      <c r="K7452">
        <v>9</v>
      </c>
      <c r="L7452">
        <f>IF(AND($J7452=0,$K7452=0),0,1)</f>
        <v>1</v>
      </c>
    </row>
    <row r="7453" spans="1:13" x14ac:dyDescent="0.2">
      <c r="A7453" t="s">
        <v>54</v>
      </c>
      <c r="B7453" t="s">
        <v>6</v>
      </c>
      <c r="C7453" t="s">
        <v>9</v>
      </c>
      <c r="D7453">
        <v>3997</v>
      </c>
      <c r="E7453">
        <v>2019</v>
      </c>
      <c r="F7453">
        <v>5</v>
      </c>
      <c r="G7453">
        <v>45219</v>
      </c>
      <c r="H7453" s="1" t="s">
        <v>1825</v>
      </c>
      <c r="I7453">
        <v>1</v>
      </c>
      <c r="J7453">
        <f>IF($H7453=0,1,IF($I7453&lt;=1,2,0))</f>
        <v>2</v>
      </c>
      <c r="K7453">
        <v>9</v>
      </c>
      <c r="L7453">
        <f>IF(AND($J7453=0,$K7453=0),0,1)</f>
        <v>1</v>
      </c>
    </row>
    <row r="7454" spans="1:13" x14ac:dyDescent="0.2">
      <c r="A7454" t="s">
        <v>54</v>
      </c>
      <c r="B7454" t="s">
        <v>6</v>
      </c>
      <c r="C7454" t="s">
        <v>9</v>
      </c>
      <c r="D7454">
        <v>3997</v>
      </c>
      <c r="E7454">
        <v>2019</v>
      </c>
      <c r="F7454">
        <v>7</v>
      </c>
      <c r="G7454">
        <v>45221</v>
      </c>
      <c r="H7454" s="1" t="s">
        <v>1825</v>
      </c>
      <c r="I7454">
        <v>1</v>
      </c>
      <c r="J7454">
        <f>IF($H7454=0,1,IF($I7454&lt;=1,2,0))</f>
        <v>2</v>
      </c>
      <c r="K7454">
        <v>9</v>
      </c>
      <c r="L7454">
        <f>IF(AND($J7454=0,$K7454=0),0,1)</f>
        <v>1</v>
      </c>
    </row>
    <row r="7455" spans="1:13" x14ac:dyDescent="0.2">
      <c r="A7455" t="s">
        <v>54</v>
      </c>
      <c r="B7455" t="s">
        <v>6</v>
      </c>
      <c r="C7455" t="s">
        <v>9</v>
      </c>
      <c r="D7455">
        <v>3997</v>
      </c>
      <c r="E7455">
        <v>2019</v>
      </c>
      <c r="F7455">
        <v>14</v>
      </c>
      <c r="G7455">
        <v>45224</v>
      </c>
      <c r="H7455" s="1" t="s">
        <v>1825</v>
      </c>
      <c r="I7455">
        <v>1</v>
      </c>
      <c r="J7455">
        <f>IF($H7455=0,1,IF($I7455&lt;=1,2,0))</f>
        <v>2</v>
      </c>
      <c r="K7455">
        <v>9</v>
      </c>
      <c r="L7455">
        <f>IF(AND($J7455=0,$K7455=0),0,1)</f>
        <v>1</v>
      </c>
    </row>
    <row r="7456" spans="1:13" x14ac:dyDescent="0.2">
      <c r="A7456" t="s">
        <v>54</v>
      </c>
      <c r="B7456" t="s">
        <v>6</v>
      </c>
      <c r="C7456" t="s">
        <v>9</v>
      </c>
      <c r="D7456">
        <v>3997</v>
      </c>
      <c r="E7456">
        <v>2019</v>
      </c>
      <c r="F7456">
        <v>1</v>
      </c>
      <c r="G7456">
        <v>45215</v>
      </c>
      <c r="H7456" s="1" t="s">
        <v>1825</v>
      </c>
      <c r="I7456">
        <v>0</v>
      </c>
      <c r="J7456">
        <f>IF($H7456=0,1,IF($I7456&lt;=1,2,0))</f>
        <v>2</v>
      </c>
      <c r="K7456">
        <v>9</v>
      </c>
      <c r="L7456">
        <f>IF(AND($J7456=0,$K7456=0),0,1)</f>
        <v>1</v>
      </c>
    </row>
    <row r="7457" spans="1:12" x14ac:dyDescent="0.2">
      <c r="A7457" t="s">
        <v>54</v>
      </c>
      <c r="B7457" t="s">
        <v>6</v>
      </c>
      <c r="C7457" t="s">
        <v>9</v>
      </c>
      <c r="D7457">
        <v>3997</v>
      </c>
      <c r="E7457">
        <v>2019</v>
      </c>
      <c r="F7457">
        <v>2</v>
      </c>
      <c r="G7457">
        <v>45216</v>
      </c>
      <c r="H7457" s="1" t="s">
        <v>1825</v>
      </c>
      <c r="I7457">
        <v>0</v>
      </c>
      <c r="J7457">
        <f>IF($H7457=0,1,IF($I7457&lt;=1,2,0))</f>
        <v>2</v>
      </c>
      <c r="K7457">
        <v>9</v>
      </c>
      <c r="L7457">
        <f>IF(AND($J7457=0,$K7457=0),0,1)</f>
        <v>1</v>
      </c>
    </row>
    <row r="7458" spans="1:12" x14ac:dyDescent="0.2">
      <c r="A7458" t="s">
        <v>54</v>
      </c>
      <c r="B7458" t="s">
        <v>6</v>
      </c>
      <c r="C7458" t="s">
        <v>9</v>
      </c>
      <c r="D7458">
        <v>3997</v>
      </c>
      <c r="E7458">
        <v>2019</v>
      </c>
      <c r="F7458">
        <v>3</v>
      </c>
      <c r="G7458">
        <v>45217</v>
      </c>
      <c r="H7458" s="1" t="s">
        <v>1825</v>
      </c>
      <c r="I7458">
        <v>0</v>
      </c>
      <c r="J7458">
        <f>IF($H7458=0,1,IF($I7458&lt;=1,2,0))</f>
        <v>2</v>
      </c>
      <c r="K7458">
        <v>9</v>
      </c>
      <c r="L7458">
        <f>IF(AND($J7458=0,$K7458=0),0,1)</f>
        <v>1</v>
      </c>
    </row>
    <row r="7459" spans="1:12" x14ac:dyDescent="0.2">
      <c r="A7459" t="s">
        <v>54</v>
      </c>
      <c r="B7459" t="s">
        <v>6</v>
      </c>
      <c r="C7459" t="s">
        <v>9</v>
      </c>
      <c r="D7459">
        <v>3997</v>
      </c>
      <c r="E7459">
        <v>2019</v>
      </c>
      <c r="F7459">
        <v>4</v>
      </c>
      <c r="G7459">
        <v>45218</v>
      </c>
      <c r="H7459" s="1" t="s">
        <v>1825</v>
      </c>
      <c r="I7459">
        <v>0</v>
      </c>
      <c r="J7459">
        <f>IF($H7459=0,1,IF($I7459&lt;=1,2,0))</f>
        <v>2</v>
      </c>
      <c r="K7459">
        <v>9</v>
      </c>
      <c r="L7459">
        <f>IF(AND($J7459=0,$K7459=0),0,1)</f>
        <v>1</v>
      </c>
    </row>
    <row r="7460" spans="1:12" x14ac:dyDescent="0.2">
      <c r="A7460" t="s">
        <v>54</v>
      </c>
      <c r="B7460" t="s">
        <v>6</v>
      </c>
      <c r="C7460" t="s">
        <v>9</v>
      </c>
      <c r="D7460">
        <v>3997</v>
      </c>
      <c r="E7460">
        <v>2019</v>
      </c>
      <c r="F7460">
        <v>8</v>
      </c>
      <c r="G7460">
        <v>45222</v>
      </c>
      <c r="H7460" s="1" t="s">
        <v>1825</v>
      </c>
      <c r="I7460">
        <v>0</v>
      </c>
      <c r="J7460">
        <f>IF($H7460=0,1,IF($I7460&lt;=1,2,0))</f>
        <v>2</v>
      </c>
      <c r="K7460">
        <v>9</v>
      </c>
      <c r="L7460">
        <f>IF(AND($J7460=0,$K7460=0),0,1)</f>
        <v>1</v>
      </c>
    </row>
    <row r="7461" spans="1:12" x14ac:dyDescent="0.2">
      <c r="A7461" t="s">
        <v>54</v>
      </c>
      <c r="B7461" t="s">
        <v>6</v>
      </c>
      <c r="C7461" t="s">
        <v>9</v>
      </c>
      <c r="D7461">
        <v>3997</v>
      </c>
      <c r="E7461">
        <v>2019</v>
      </c>
      <c r="F7461">
        <v>10</v>
      </c>
      <c r="G7461">
        <v>45223</v>
      </c>
      <c r="H7461" s="1" t="s">
        <v>1825</v>
      </c>
      <c r="I7461">
        <v>0</v>
      </c>
      <c r="J7461">
        <f>IF($H7461=0,1,IF($I7461&lt;=1,2,0))</f>
        <v>2</v>
      </c>
      <c r="K7461">
        <v>9</v>
      </c>
      <c r="L7461">
        <f>IF(AND($J7461=0,$K7461=0),0,1)</f>
        <v>1</v>
      </c>
    </row>
    <row r="7462" spans="1:12" x14ac:dyDescent="0.2">
      <c r="A7462" t="s">
        <v>54</v>
      </c>
      <c r="B7462" t="s">
        <v>6</v>
      </c>
      <c r="C7462" t="s">
        <v>9</v>
      </c>
      <c r="D7462">
        <v>3997</v>
      </c>
      <c r="E7462">
        <v>2019</v>
      </c>
      <c r="F7462">
        <v>15</v>
      </c>
      <c r="G7462">
        <v>45225</v>
      </c>
      <c r="H7462" s="1" t="s">
        <v>1825</v>
      </c>
      <c r="I7462">
        <v>0</v>
      </c>
      <c r="J7462">
        <f>IF($H7462=0,1,IF($I7462&lt;=1,2,0))</f>
        <v>2</v>
      </c>
      <c r="K7462">
        <v>9</v>
      </c>
      <c r="L7462">
        <f>IF(AND($J7462=0,$K7462=0),0,1)</f>
        <v>1</v>
      </c>
    </row>
    <row r="7463" spans="1:12" x14ac:dyDescent="0.2">
      <c r="A7463" t="s">
        <v>54</v>
      </c>
      <c r="B7463" t="s">
        <v>6</v>
      </c>
      <c r="C7463" t="s">
        <v>9</v>
      </c>
      <c r="D7463">
        <v>3997</v>
      </c>
      <c r="E7463">
        <v>2019</v>
      </c>
      <c r="F7463">
        <v>16</v>
      </c>
      <c r="G7463">
        <v>45226</v>
      </c>
      <c r="H7463" s="1" t="s">
        <v>1825</v>
      </c>
      <c r="I7463">
        <v>0</v>
      </c>
      <c r="J7463">
        <f>IF($H7463=0,1,IF($I7463&lt;=1,2,0))</f>
        <v>2</v>
      </c>
      <c r="K7463">
        <v>9</v>
      </c>
      <c r="L7463">
        <f>IF(AND($J7463=0,$K7463=0),0,1)</f>
        <v>1</v>
      </c>
    </row>
    <row r="7464" spans="1:12" x14ac:dyDescent="0.2">
      <c r="A7464" t="s">
        <v>54</v>
      </c>
      <c r="B7464" t="s">
        <v>6</v>
      </c>
      <c r="C7464" t="s">
        <v>9</v>
      </c>
      <c r="D7464">
        <v>3997</v>
      </c>
      <c r="E7464">
        <v>2019</v>
      </c>
      <c r="F7464">
        <v>17</v>
      </c>
      <c r="G7464">
        <v>45227</v>
      </c>
      <c r="H7464" s="1" t="s">
        <v>1825</v>
      </c>
      <c r="I7464">
        <v>0</v>
      </c>
      <c r="J7464">
        <f>IF($H7464=0,1,IF($I7464&lt;=1,2,0))</f>
        <v>2</v>
      </c>
      <c r="K7464">
        <v>9</v>
      </c>
      <c r="L7464">
        <f>IF(AND($J7464=0,$K7464=0),0,1)</f>
        <v>1</v>
      </c>
    </row>
    <row r="7465" spans="1:12" x14ac:dyDescent="0.2">
      <c r="A7465" t="s">
        <v>54</v>
      </c>
      <c r="B7465" t="s">
        <v>6</v>
      </c>
      <c r="C7465" t="s">
        <v>9</v>
      </c>
      <c r="D7465">
        <v>3997</v>
      </c>
      <c r="E7465">
        <v>2019</v>
      </c>
      <c r="F7465">
        <v>18</v>
      </c>
      <c r="G7465">
        <v>45228</v>
      </c>
      <c r="H7465" s="1" t="s">
        <v>1825</v>
      </c>
      <c r="I7465">
        <v>0</v>
      </c>
      <c r="J7465">
        <f>IF($H7465=0,1,IF($I7465&lt;=1,2,0))</f>
        <v>2</v>
      </c>
      <c r="K7465">
        <v>9</v>
      </c>
      <c r="L7465">
        <f>IF(AND($J7465=0,$K7465=0),0,1)</f>
        <v>1</v>
      </c>
    </row>
    <row r="7466" spans="1:12" x14ac:dyDescent="0.2">
      <c r="A7466" t="s">
        <v>54</v>
      </c>
      <c r="B7466" t="s">
        <v>6</v>
      </c>
      <c r="C7466" t="s">
        <v>9</v>
      </c>
      <c r="D7466">
        <v>3997</v>
      </c>
      <c r="E7466">
        <v>2019</v>
      </c>
      <c r="F7466">
        <v>19</v>
      </c>
      <c r="G7466">
        <v>45229</v>
      </c>
      <c r="H7466" s="1" t="s">
        <v>1825</v>
      </c>
      <c r="I7466">
        <v>0</v>
      </c>
      <c r="J7466">
        <f>IF($H7466=0,1,IF($I7466&lt;=1,2,0))</f>
        <v>2</v>
      </c>
      <c r="K7466">
        <v>9</v>
      </c>
      <c r="L7466">
        <f>IF(AND($J7466=0,$K7466=0),0,1)</f>
        <v>1</v>
      </c>
    </row>
    <row r="7467" spans="1:12" x14ac:dyDescent="0.2">
      <c r="A7467" t="s">
        <v>54</v>
      </c>
      <c r="B7467" t="s">
        <v>6</v>
      </c>
      <c r="C7467" t="s">
        <v>9</v>
      </c>
      <c r="D7467">
        <v>3997</v>
      </c>
      <c r="E7467">
        <v>2019</v>
      </c>
      <c r="F7467">
        <v>21</v>
      </c>
      <c r="G7467">
        <v>45230</v>
      </c>
      <c r="H7467" s="1" t="s">
        <v>1825</v>
      </c>
      <c r="I7467">
        <v>0</v>
      </c>
      <c r="J7467">
        <f>IF($H7467=0,1,IF($I7467&lt;=1,2,0))</f>
        <v>2</v>
      </c>
      <c r="K7467">
        <v>9</v>
      </c>
      <c r="L7467">
        <f>IF(AND($J7467=0,$K7467=0),0,1)</f>
        <v>1</v>
      </c>
    </row>
    <row r="7468" spans="1:12" x14ac:dyDescent="0.2">
      <c r="A7468" t="s">
        <v>54</v>
      </c>
      <c r="B7468" t="s">
        <v>6</v>
      </c>
      <c r="C7468" t="s">
        <v>9</v>
      </c>
      <c r="D7468">
        <v>3997</v>
      </c>
      <c r="E7468">
        <v>2019</v>
      </c>
      <c r="F7468">
        <v>22</v>
      </c>
      <c r="G7468">
        <v>45231</v>
      </c>
      <c r="H7468" s="1" t="s">
        <v>1825</v>
      </c>
      <c r="I7468">
        <v>0</v>
      </c>
      <c r="J7468">
        <f>IF($H7468=0,1,IF($I7468&lt;=1,2,0))</f>
        <v>2</v>
      </c>
      <c r="K7468">
        <v>9</v>
      </c>
      <c r="L7468">
        <f>IF(AND($J7468=0,$K7468=0),0,1)</f>
        <v>1</v>
      </c>
    </row>
    <row r="7469" spans="1:12" x14ac:dyDescent="0.2">
      <c r="A7469" t="s">
        <v>54</v>
      </c>
      <c r="B7469" t="s">
        <v>6</v>
      </c>
      <c r="C7469" t="s">
        <v>9</v>
      </c>
      <c r="D7469">
        <v>3997</v>
      </c>
      <c r="E7469">
        <v>2019</v>
      </c>
      <c r="F7469">
        <v>23</v>
      </c>
      <c r="G7469">
        <v>45232</v>
      </c>
      <c r="H7469" s="1" t="s">
        <v>1825</v>
      </c>
      <c r="I7469">
        <v>0</v>
      </c>
      <c r="J7469">
        <f>IF($H7469=0,1,IF($I7469&lt;=1,2,0))</f>
        <v>2</v>
      </c>
      <c r="K7469">
        <v>9</v>
      </c>
      <c r="L7469">
        <f>IF(AND($J7469=0,$K7469=0),0,1)</f>
        <v>1</v>
      </c>
    </row>
    <row r="7470" spans="1:12" x14ac:dyDescent="0.2">
      <c r="A7470" t="s">
        <v>54</v>
      </c>
      <c r="B7470" t="s">
        <v>6</v>
      </c>
      <c r="C7470" t="s">
        <v>9</v>
      </c>
      <c r="D7470">
        <v>3997</v>
      </c>
      <c r="E7470">
        <v>2019</v>
      </c>
      <c r="F7470">
        <v>26</v>
      </c>
      <c r="G7470">
        <v>45234</v>
      </c>
      <c r="H7470" s="1" t="s">
        <v>1825</v>
      </c>
      <c r="I7470">
        <v>0</v>
      </c>
      <c r="J7470">
        <f>IF($H7470=0,1,IF($I7470&lt;=1,2,0))</f>
        <v>2</v>
      </c>
      <c r="K7470">
        <v>9</v>
      </c>
      <c r="L7470">
        <f>IF(AND($J7470=0,$K7470=0),0,1)</f>
        <v>1</v>
      </c>
    </row>
    <row r="7471" spans="1:12" x14ac:dyDescent="0.2">
      <c r="A7471" t="s">
        <v>54</v>
      </c>
      <c r="B7471" t="s">
        <v>6</v>
      </c>
      <c r="C7471" t="s">
        <v>9</v>
      </c>
      <c r="D7471">
        <v>3997</v>
      </c>
      <c r="E7471">
        <v>2019</v>
      </c>
      <c r="F7471">
        <v>29</v>
      </c>
      <c r="G7471">
        <v>45235</v>
      </c>
      <c r="H7471" s="1" t="s">
        <v>1825</v>
      </c>
      <c r="I7471">
        <v>0</v>
      </c>
      <c r="J7471">
        <f>IF($H7471=0,1,IF($I7471&lt;=1,2,0))</f>
        <v>2</v>
      </c>
      <c r="K7471">
        <v>9</v>
      </c>
      <c r="L7471">
        <f>IF(AND($J7471=0,$K7471=0),0,1)</f>
        <v>1</v>
      </c>
    </row>
    <row r="7472" spans="1:12" x14ac:dyDescent="0.2">
      <c r="A7472" t="s">
        <v>54</v>
      </c>
      <c r="B7472" t="s">
        <v>6</v>
      </c>
      <c r="C7472" t="s">
        <v>9</v>
      </c>
      <c r="D7472">
        <v>3997</v>
      </c>
      <c r="E7472">
        <v>2019</v>
      </c>
      <c r="F7472">
        <v>31</v>
      </c>
      <c r="G7472">
        <v>45236</v>
      </c>
      <c r="H7472" s="1" t="s">
        <v>1825</v>
      </c>
      <c r="I7472">
        <v>0</v>
      </c>
      <c r="J7472">
        <f>IF($H7472=0,1,IF($I7472&lt;=1,2,0))</f>
        <v>2</v>
      </c>
      <c r="K7472">
        <v>9</v>
      </c>
      <c r="L7472">
        <f>IF(AND($J7472=0,$K7472=0),0,1)</f>
        <v>1</v>
      </c>
    </row>
    <row r="7473" spans="1:13" x14ac:dyDescent="0.2">
      <c r="A7473" t="s">
        <v>54</v>
      </c>
      <c r="B7473" t="s">
        <v>6</v>
      </c>
      <c r="C7473" t="s">
        <v>9</v>
      </c>
      <c r="D7473">
        <v>3997</v>
      </c>
      <c r="E7473">
        <v>2019</v>
      </c>
      <c r="F7473">
        <v>32</v>
      </c>
      <c r="G7473">
        <v>45237</v>
      </c>
      <c r="H7473" s="1" t="s">
        <v>1825</v>
      </c>
      <c r="I7473">
        <v>0</v>
      </c>
      <c r="J7473">
        <f>IF($H7473=0,1,IF($I7473&lt;=1,2,0))</f>
        <v>2</v>
      </c>
      <c r="K7473">
        <v>9</v>
      </c>
      <c r="L7473">
        <f>IF(AND($J7473=0,$K7473=0),0,1)</f>
        <v>1</v>
      </c>
    </row>
    <row r="7474" spans="1:13" x14ac:dyDescent="0.2">
      <c r="A7474" t="s">
        <v>54</v>
      </c>
      <c r="B7474" t="s">
        <v>6</v>
      </c>
      <c r="C7474" t="s">
        <v>9</v>
      </c>
      <c r="D7474">
        <v>3997</v>
      </c>
      <c r="E7474">
        <v>2019</v>
      </c>
      <c r="F7474">
        <v>33</v>
      </c>
      <c r="G7474">
        <v>45238</v>
      </c>
      <c r="H7474" s="1" t="s">
        <v>1825</v>
      </c>
      <c r="I7474">
        <v>0</v>
      </c>
      <c r="J7474">
        <f>IF($H7474=0,1,IF($I7474&lt;=1,2,0))</f>
        <v>2</v>
      </c>
      <c r="K7474">
        <v>9</v>
      </c>
      <c r="L7474">
        <f>IF(AND($J7474=0,$K7474=0),0,1)</f>
        <v>1</v>
      </c>
    </row>
    <row r="7475" spans="1:13" x14ac:dyDescent="0.2">
      <c r="A7475" t="s">
        <v>54</v>
      </c>
      <c r="B7475" t="s">
        <v>6</v>
      </c>
      <c r="C7475" t="s">
        <v>9</v>
      </c>
      <c r="D7475">
        <v>3997</v>
      </c>
      <c r="E7475">
        <v>2019</v>
      </c>
      <c r="F7475">
        <v>34</v>
      </c>
      <c r="G7475">
        <v>45239</v>
      </c>
      <c r="H7475" s="1" t="s">
        <v>1825</v>
      </c>
      <c r="I7475">
        <v>0</v>
      </c>
      <c r="J7475">
        <f>IF($H7475=0,1,IF($I7475&lt;=1,2,0))</f>
        <v>2</v>
      </c>
      <c r="K7475">
        <v>9</v>
      </c>
      <c r="L7475">
        <f>IF(AND($J7475=0,$K7475=0),0,1)</f>
        <v>1</v>
      </c>
    </row>
    <row r="7476" spans="1:13" x14ac:dyDescent="0.2">
      <c r="A7476" t="s">
        <v>54</v>
      </c>
      <c r="B7476" t="s">
        <v>6</v>
      </c>
      <c r="C7476" t="s">
        <v>9</v>
      </c>
      <c r="D7476">
        <v>3997</v>
      </c>
      <c r="E7476">
        <v>2019</v>
      </c>
      <c r="F7476">
        <v>35</v>
      </c>
      <c r="G7476">
        <v>45240</v>
      </c>
      <c r="H7476" s="1" t="s">
        <v>1825</v>
      </c>
      <c r="I7476">
        <v>0</v>
      </c>
      <c r="J7476">
        <f>IF($H7476=0,1,IF($I7476&lt;=1,2,0))</f>
        <v>2</v>
      </c>
      <c r="K7476">
        <v>9</v>
      </c>
      <c r="L7476">
        <f>IF(AND($J7476=0,$K7476=0),0,1)</f>
        <v>1</v>
      </c>
    </row>
    <row r="7477" spans="1:13" x14ac:dyDescent="0.2">
      <c r="A7477" t="s">
        <v>54</v>
      </c>
      <c r="B7477" t="s">
        <v>6</v>
      </c>
      <c r="C7477" t="s">
        <v>9</v>
      </c>
      <c r="D7477">
        <v>3997</v>
      </c>
      <c r="E7477">
        <v>2019</v>
      </c>
      <c r="F7477">
        <v>36</v>
      </c>
      <c r="G7477">
        <v>45241</v>
      </c>
      <c r="H7477" s="1" t="s">
        <v>1825</v>
      </c>
      <c r="I7477">
        <v>0</v>
      </c>
      <c r="J7477">
        <f>IF($H7477=0,1,IF($I7477&lt;=1,2,0))</f>
        <v>2</v>
      </c>
      <c r="K7477">
        <v>9</v>
      </c>
      <c r="L7477">
        <f>IF(AND($J7477=0,$K7477=0),0,1)</f>
        <v>1</v>
      </c>
    </row>
    <row r="7478" spans="1:13" x14ac:dyDescent="0.2">
      <c r="A7478" t="s">
        <v>54</v>
      </c>
      <c r="B7478" t="s">
        <v>6</v>
      </c>
      <c r="C7478" t="s">
        <v>9</v>
      </c>
      <c r="D7478">
        <v>3997</v>
      </c>
      <c r="E7478">
        <v>2019</v>
      </c>
      <c r="F7478">
        <v>44</v>
      </c>
      <c r="G7478">
        <v>45242</v>
      </c>
      <c r="H7478" s="1" t="s">
        <v>1825</v>
      </c>
      <c r="I7478">
        <v>0</v>
      </c>
      <c r="J7478">
        <f>IF($H7478=0,1,IF($I7478&lt;=1,2,0))</f>
        <v>2</v>
      </c>
      <c r="K7478">
        <v>9</v>
      </c>
      <c r="L7478">
        <f>IF(AND($J7478=0,$K7478=0),0,1)</f>
        <v>1</v>
      </c>
    </row>
    <row r="7479" spans="1:13" x14ac:dyDescent="0.2">
      <c r="A7479" t="s">
        <v>54</v>
      </c>
      <c r="B7479" t="s">
        <v>6</v>
      </c>
      <c r="C7479" t="s">
        <v>9</v>
      </c>
      <c r="D7479">
        <v>3997</v>
      </c>
      <c r="E7479">
        <v>2019</v>
      </c>
      <c r="F7479">
        <v>45</v>
      </c>
      <c r="G7479">
        <v>45243</v>
      </c>
      <c r="H7479" s="1" t="s">
        <v>1825</v>
      </c>
      <c r="I7479">
        <v>0</v>
      </c>
      <c r="J7479">
        <f>IF($H7479=0,1,IF($I7479&lt;=1,2,0))</f>
        <v>2</v>
      </c>
      <c r="K7479">
        <v>9</v>
      </c>
      <c r="L7479">
        <f>IF(AND($J7479=0,$K7479=0),0,1)</f>
        <v>1</v>
      </c>
    </row>
    <row r="7480" spans="1:13" x14ac:dyDescent="0.2">
      <c r="A7480" t="s">
        <v>54</v>
      </c>
      <c r="B7480" t="s">
        <v>6</v>
      </c>
      <c r="C7480" t="s">
        <v>2</v>
      </c>
      <c r="D7480">
        <v>3999</v>
      </c>
      <c r="E7480">
        <v>2019</v>
      </c>
      <c r="F7480">
        <v>1</v>
      </c>
      <c r="G7480">
        <v>258</v>
      </c>
      <c r="H7480" s="1" t="s">
        <v>1824</v>
      </c>
      <c r="I7480">
        <v>2</v>
      </c>
      <c r="J7480">
        <f>IF($H7480=0,1,IF($I7480&lt;=1,2,0))</f>
        <v>0</v>
      </c>
      <c r="K7480">
        <v>7</v>
      </c>
      <c r="L7480">
        <f>IF(AND($J7480=0,$K7480=0),0,1)</f>
        <v>1</v>
      </c>
    </row>
    <row r="7481" spans="1:13" x14ac:dyDescent="0.2">
      <c r="A7481" t="s">
        <v>54</v>
      </c>
      <c r="B7481" t="s">
        <v>6</v>
      </c>
      <c r="C7481" t="s">
        <v>11</v>
      </c>
      <c r="D7481">
        <v>6173</v>
      </c>
      <c r="E7481">
        <v>2019</v>
      </c>
      <c r="F7481">
        <v>1</v>
      </c>
      <c r="G7481">
        <v>16315</v>
      </c>
      <c r="H7481" s="1">
        <v>3</v>
      </c>
      <c r="I7481">
        <v>12</v>
      </c>
      <c r="J7481">
        <f>IF($H7481=0,1,IF($I7481&lt;=1,2,0))</f>
        <v>0</v>
      </c>
      <c r="K7481">
        <v>4</v>
      </c>
      <c r="L7481">
        <f>IF(AND($J7481=0,$K7481=0),0,1)</f>
        <v>1</v>
      </c>
      <c r="M7481" t="s">
        <v>64</v>
      </c>
    </row>
    <row r="7482" spans="1:13" x14ac:dyDescent="0.2">
      <c r="A7482" t="s">
        <v>54</v>
      </c>
      <c r="B7482" t="s">
        <v>6</v>
      </c>
      <c r="C7482" t="s">
        <v>11</v>
      </c>
      <c r="D7482">
        <v>6601</v>
      </c>
      <c r="E7482">
        <v>2019</v>
      </c>
      <c r="F7482">
        <v>1</v>
      </c>
      <c r="G7482">
        <v>45158</v>
      </c>
      <c r="H7482" s="1">
        <v>3</v>
      </c>
      <c r="I7482">
        <v>10</v>
      </c>
      <c r="J7482">
        <f>IF($H7482=0,1,IF($I7482&lt;=1,2,0))</f>
        <v>0</v>
      </c>
      <c r="K7482">
        <v>4</v>
      </c>
      <c r="L7482">
        <f>IF(AND($J7482=0,$K7482=0),0,1)</f>
        <v>1</v>
      </c>
      <c r="M7482" t="s">
        <v>67</v>
      </c>
    </row>
    <row r="7483" spans="1:13" x14ac:dyDescent="0.2">
      <c r="A7483" t="s">
        <v>54</v>
      </c>
      <c r="B7483" t="s">
        <v>6</v>
      </c>
      <c r="C7483" t="s">
        <v>11</v>
      </c>
      <c r="D7483">
        <v>9101</v>
      </c>
      <c r="E7483">
        <v>2019</v>
      </c>
      <c r="F7483">
        <v>1</v>
      </c>
      <c r="G7483">
        <v>45173</v>
      </c>
      <c r="H7483" s="1" t="s">
        <v>1826</v>
      </c>
      <c r="I7483">
        <v>2</v>
      </c>
      <c r="J7483">
        <f>IF($H7483=0,1,IF($I7483&lt;=1,2,0))</f>
        <v>0</v>
      </c>
      <c r="K7483">
        <v>5</v>
      </c>
      <c r="L7483">
        <f>IF(AND($J7483=0,$K7483=0),0,1)</f>
        <v>1</v>
      </c>
    </row>
    <row r="7484" spans="1:13" x14ac:dyDescent="0.2">
      <c r="A7484" t="s">
        <v>54</v>
      </c>
      <c r="B7484" t="s">
        <v>6</v>
      </c>
      <c r="C7484" t="s">
        <v>11</v>
      </c>
      <c r="D7484">
        <v>9101</v>
      </c>
      <c r="E7484">
        <v>2019</v>
      </c>
      <c r="F7484">
        <v>10</v>
      </c>
      <c r="G7484">
        <v>45182</v>
      </c>
      <c r="H7484" s="1" t="s">
        <v>1826</v>
      </c>
      <c r="I7484">
        <v>2</v>
      </c>
      <c r="J7484">
        <f>IF($H7484=0,1,IF($I7484&lt;=1,2,0))</f>
        <v>0</v>
      </c>
      <c r="K7484">
        <v>5</v>
      </c>
      <c r="L7484">
        <f>IF(AND($J7484=0,$K7484=0),0,1)</f>
        <v>1</v>
      </c>
    </row>
    <row r="7485" spans="1:13" x14ac:dyDescent="0.2">
      <c r="A7485" t="s">
        <v>54</v>
      </c>
      <c r="B7485" t="s">
        <v>6</v>
      </c>
      <c r="C7485" t="s">
        <v>11</v>
      </c>
      <c r="D7485">
        <v>9101</v>
      </c>
      <c r="E7485">
        <v>2019</v>
      </c>
      <c r="F7485">
        <v>12</v>
      </c>
      <c r="G7485">
        <v>45184</v>
      </c>
      <c r="H7485" s="1" t="s">
        <v>1826</v>
      </c>
      <c r="I7485">
        <v>2</v>
      </c>
      <c r="J7485">
        <f>IF($H7485=0,1,IF($I7485&lt;=1,2,0))</f>
        <v>0</v>
      </c>
      <c r="K7485">
        <v>5</v>
      </c>
      <c r="L7485">
        <f>IF(AND($J7485=0,$K7485=0),0,1)</f>
        <v>1</v>
      </c>
    </row>
    <row r="7486" spans="1:13" x14ac:dyDescent="0.2">
      <c r="A7486" t="s">
        <v>54</v>
      </c>
      <c r="B7486" t="s">
        <v>6</v>
      </c>
      <c r="C7486" t="s">
        <v>11</v>
      </c>
      <c r="D7486">
        <v>9101</v>
      </c>
      <c r="E7486">
        <v>2019</v>
      </c>
      <c r="F7486">
        <v>7</v>
      </c>
      <c r="G7486">
        <v>45179</v>
      </c>
      <c r="H7486" s="1" t="s">
        <v>1826</v>
      </c>
      <c r="I7486">
        <v>1</v>
      </c>
      <c r="J7486">
        <f>IF($H7486=0,1,IF($I7486&lt;=1,2,0))</f>
        <v>2</v>
      </c>
      <c r="K7486">
        <v>5</v>
      </c>
      <c r="L7486">
        <f>IF(AND($J7486=0,$K7486=0),0,1)</f>
        <v>1</v>
      </c>
    </row>
    <row r="7487" spans="1:13" x14ac:dyDescent="0.2">
      <c r="A7487" t="s">
        <v>54</v>
      </c>
      <c r="B7487" t="s">
        <v>6</v>
      </c>
      <c r="C7487" t="s">
        <v>11</v>
      </c>
      <c r="D7487">
        <v>9101</v>
      </c>
      <c r="E7487">
        <v>2019</v>
      </c>
      <c r="F7487">
        <v>15</v>
      </c>
      <c r="G7487">
        <v>45187</v>
      </c>
      <c r="H7487" s="1" t="s">
        <v>1826</v>
      </c>
      <c r="I7487">
        <v>1</v>
      </c>
      <c r="J7487">
        <f>IF($H7487=0,1,IF($I7487&lt;=1,2,0))</f>
        <v>2</v>
      </c>
      <c r="K7487">
        <v>5</v>
      </c>
      <c r="L7487">
        <f>IF(AND($J7487=0,$K7487=0),0,1)</f>
        <v>1</v>
      </c>
    </row>
    <row r="7488" spans="1:13" x14ac:dyDescent="0.2">
      <c r="A7488" t="s">
        <v>54</v>
      </c>
      <c r="B7488" t="s">
        <v>6</v>
      </c>
      <c r="C7488" t="s">
        <v>11</v>
      </c>
      <c r="D7488">
        <v>9101</v>
      </c>
      <c r="E7488">
        <v>2019</v>
      </c>
      <c r="F7488">
        <v>20</v>
      </c>
      <c r="G7488">
        <v>45192</v>
      </c>
      <c r="H7488" s="1" t="s">
        <v>1826</v>
      </c>
      <c r="I7488">
        <v>1</v>
      </c>
      <c r="J7488">
        <f>IF($H7488=0,1,IF($I7488&lt;=1,2,0))</f>
        <v>2</v>
      </c>
      <c r="K7488">
        <v>5</v>
      </c>
      <c r="L7488">
        <f>IF(AND($J7488=0,$K7488=0),0,1)</f>
        <v>1</v>
      </c>
    </row>
    <row r="7489" spans="1:12" x14ac:dyDescent="0.2">
      <c r="A7489" t="s">
        <v>54</v>
      </c>
      <c r="B7489" t="s">
        <v>6</v>
      </c>
      <c r="C7489" t="s">
        <v>11</v>
      </c>
      <c r="D7489">
        <v>9101</v>
      </c>
      <c r="E7489">
        <v>2019</v>
      </c>
      <c r="F7489">
        <v>31</v>
      </c>
      <c r="G7489">
        <v>45199</v>
      </c>
      <c r="H7489" s="1" t="s">
        <v>1826</v>
      </c>
      <c r="I7489">
        <v>1</v>
      </c>
      <c r="J7489">
        <f>IF($H7489=0,1,IF($I7489&lt;=1,2,0))</f>
        <v>2</v>
      </c>
      <c r="K7489">
        <v>5</v>
      </c>
      <c r="L7489">
        <f>IF(AND($J7489=0,$K7489=0),0,1)</f>
        <v>1</v>
      </c>
    </row>
    <row r="7490" spans="1:12" x14ac:dyDescent="0.2">
      <c r="A7490" t="s">
        <v>54</v>
      </c>
      <c r="B7490" t="s">
        <v>6</v>
      </c>
      <c r="C7490" t="s">
        <v>11</v>
      </c>
      <c r="D7490">
        <v>9101</v>
      </c>
      <c r="E7490">
        <v>2019</v>
      </c>
      <c r="F7490">
        <v>32</v>
      </c>
      <c r="G7490">
        <v>18829</v>
      </c>
      <c r="H7490" s="1" t="s">
        <v>1826</v>
      </c>
      <c r="I7490">
        <v>1</v>
      </c>
      <c r="J7490">
        <f>IF($H7490=0,1,IF($I7490&lt;=1,2,0))</f>
        <v>2</v>
      </c>
      <c r="K7490">
        <v>5</v>
      </c>
      <c r="L7490">
        <f>IF(AND($J7490=0,$K7490=0),0,1)</f>
        <v>1</v>
      </c>
    </row>
    <row r="7491" spans="1:12" x14ac:dyDescent="0.2">
      <c r="A7491" t="s">
        <v>54</v>
      </c>
      <c r="B7491" t="s">
        <v>6</v>
      </c>
      <c r="C7491" t="s">
        <v>11</v>
      </c>
      <c r="D7491">
        <v>9101</v>
      </c>
      <c r="E7491">
        <v>2019</v>
      </c>
      <c r="F7491">
        <v>2</v>
      </c>
      <c r="G7491">
        <v>45174</v>
      </c>
      <c r="H7491" s="1" t="s">
        <v>1826</v>
      </c>
      <c r="I7491">
        <v>0</v>
      </c>
      <c r="J7491">
        <f>IF($H7491=0,1,IF($I7491&lt;=1,2,0))</f>
        <v>2</v>
      </c>
      <c r="K7491">
        <v>5</v>
      </c>
      <c r="L7491">
        <f>IF(AND($J7491=0,$K7491=0),0,1)</f>
        <v>1</v>
      </c>
    </row>
    <row r="7492" spans="1:12" x14ac:dyDescent="0.2">
      <c r="A7492" t="s">
        <v>54</v>
      </c>
      <c r="B7492" t="s">
        <v>6</v>
      </c>
      <c r="C7492" t="s">
        <v>11</v>
      </c>
      <c r="D7492">
        <v>9101</v>
      </c>
      <c r="E7492">
        <v>2019</v>
      </c>
      <c r="F7492">
        <v>3</v>
      </c>
      <c r="G7492">
        <v>45175</v>
      </c>
      <c r="H7492" s="1" t="s">
        <v>1826</v>
      </c>
      <c r="I7492">
        <v>0</v>
      </c>
      <c r="J7492">
        <f>IF($H7492=0,1,IF($I7492&lt;=1,2,0))</f>
        <v>2</v>
      </c>
      <c r="K7492">
        <v>5</v>
      </c>
      <c r="L7492">
        <f>IF(AND($J7492=0,$K7492=0),0,1)</f>
        <v>1</v>
      </c>
    </row>
    <row r="7493" spans="1:12" x14ac:dyDescent="0.2">
      <c r="A7493" t="s">
        <v>54</v>
      </c>
      <c r="B7493" t="s">
        <v>6</v>
      </c>
      <c r="C7493" t="s">
        <v>11</v>
      </c>
      <c r="D7493">
        <v>9101</v>
      </c>
      <c r="E7493">
        <v>2019</v>
      </c>
      <c r="F7493">
        <v>4</v>
      </c>
      <c r="G7493">
        <v>45176</v>
      </c>
      <c r="H7493" s="1" t="s">
        <v>1826</v>
      </c>
      <c r="I7493">
        <v>0</v>
      </c>
      <c r="J7493">
        <f>IF($H7493=0,1,IF($I7493&lt;=1,2,0))</f>
        <v>2</v>
      </c>
      <c r="K7493">
        <v>5</v>
      </c>
      <c r="L7493">
        <f>IF(AND($J7493=0,$K7493=0),0,1)</f>
        <v>1</v>
      </c>
    </row>
    <row r="7494" spans="1:12" x14ac:dyDescent="0.2">
      <c r="A7494" t="s">
        <v>54</v>
      </c>
      <c r="B7494" t="s">
        <v>6</v>
      </c>
      <c r="C7494" t="s">
        <v>11</v>
      </c>
      <c r="D7494">
        <v>9101</v>
      </c>
      <c r="E7494">
        <v>2019</v>
      </c>
      <c r="F7494">
        <v>5</v>
      </c>
      <c r="G7494">
        <v>45177</v>
      </c>
      <c r="H7494" s="1" t="s">
        <v>1826</v>
      </c>
      <c r="I7494">
        <v>0</v>
      </c>
      <c r="J7494">
        <f>IF($H7494=0,1,IF($I7494&lt;=1,2,0))</f>
        <v>2</v>
      </c>
      <c r="K7494">
        <v>5</v>
      </c>
      <c r="L7494">
        <f>IF(AND($J7494=0,$K7494=0),0,1)</f>
        <v>1</v>
      </c>
    </row>
    <row r="7495" spans="1:12" x14ac:dyDescent="0.2">
      <c r="A7495" t="s">
        <v>54</v>
      </c>
      <c r="B7495" t="s">
        <v>6</v>
      </c>
      <c r="C7495" t="s">
        <v>11</v>
      </c>
      <c r="D7495">
        <v>9101</v>
      </c>
      <c r="E7495">
        <v>2019</v>
      </c>
      <c r="F7495">
        <v>6</v>
      </c>
      <c r="G7495">
        <v>45178</v>
      </c>
      <c r="H7495" s="1" t="s">
        <v>1826</v>
      </c>
      <c r="I7495">
        <v>0</v>
      </c>
      <c r="J7495">
        <f>IF($H7495=0,1,IF($I7495&lt;=1,2,0))</f>
        <v>2</v>
      </c>
      <c r="K7495">
        <v>5</v>
      </c>
      <c r="L7495">
        <f>IF(AND($J7495=0,$K7495=0),0,1)</f>
        <v>1</v>
      </c>
    </row>
    <row r="7496" spans="1:12" x14ac:dyDescent="0.2">
      <c r="A7496" t="s">
        <v>54</v>
      </c>
      <c r="B7496" t="s">
        <v>6</v>
      </c>
      <c r="C7496" t="s">
        <v>11</v>
      </c>
      <c r="D7496">
        <v>9101</v>
      </c>
      <c r="E7496">
        <v>2019</v>
      </c>
      <c r="F7496">
        <v>8</v>
      </c>
      <c r="G7496">
        <v>45180</v>
      </c>
      <c r="H7496" s="1" t="s">
        <v>1826</v>
      </c>
      <c r="I7496">
        <v>0</v>
      </c>
      <c r="J7496">
        <f>IF($H7496=0,1,IF($I7496&lt;=1,2,0))</f>
        <v>2</v>
      </c>
      <c r="K7496">
        <v>5</v>
      </c>
      <c r="L7496">
        <f>IF(AND($J7496=0,$K7496=0),0,1)</f>
        <v>1</v>
      </c>
    </row>
    <row r="7497" spans="1:12" x14ac:dyDescent="0.2">
      <c r="A7497" t="s">
        <v>54</v>
      </c>
      <c r="B7497" t="s">
        <v>6</v>
      </c>
      <c r="C7497" t="s">
        <v>11</v>
      </c>
      <c r="D7497">
        <v>9101</v>
      </c>
      <c r="E7497">
        <v>2019</v>
      </c>
      <c r="F7497">
        <v>9</v>
      </c>
      <c r="G7497">
        <v>45181</v>
      </c>
      <c r="H7497" s="1" t="s">
        <v>1826</v>
      </c>
      <c r="I7497">
        <v>0</v>
      </c>
      <c r="J7497">
        <f>IF($H7497=0,1,IF($I7497&lt;=1,2,0))</f>
        <v>2</v>
      </c>
      <c r="K7497">
        <v>5</v>
      </c>
      <c r="L7497">
        <f>IF(AND($J7497=0,$K7497=0),0,1)</f>
        <v>1</v>
      </c>
    </row>
    <row r="7498" spans="1:12" x14ac:dyDescent="0.2">
      <c r="A7498" t="s">
        <v>54</v>
      </c>
      <c r="B7498" t="s">
        <v>6</v>
      </c>
      <c r="C7498" t="s">
        <v>11</v>
      </c>
      <c r="D7498">
        <v>9101</v>
      </c>
      <c r="E7498">
        <v>2019</v>
      </c>
      <c r="F7498">
        <v>11</v>
      </c>
      <c r="G7498">
        <v>45183</v>
      </c>
      <c r="H7498" s="1" t="s">
        <v>1826</v>
      </c>
      <c r="I7498">
        <v>0</v>
      </c>
      <c r="J7498">
        <f>IF($H7498=0,1,IF($I7498&lt;=1,2,0))</f>
        <v>2</v>
      </c>
      <c r="K7498">
        <v>5</v>
      </c>
      <c r="L7498">
        <f>IF(AND($J7498=0,$K7498=0),0,1)</f>
        <v>1</v>
      </c>
    </row>
    <row r="7499" spans="1:12" x14ac:dyDescent="0.2">
      <c r="A7499" t="s">
        <v>54</v>
      </c>
      <c r="B7499" t="s">
        <v>6</v>
      </c>
      <c r="C7499" t="s">
        <v>11</v>
      </c>
      <c r="D7499">
        <v>9101</v>
      </c>
      <c r="E7499">
        <v>2019</v>
      </c>
      <c r="F7499">
        <v>13</v>
      </c>
      <c r="G7499">
        <v>45185</v>
      </c>
      <c r="H7499" s="1" t="s">
        <v>1826</v>
      </c>
      <c r="I7499">
        <v>0</v>
      </c>
      <c r="J7499">
        <f>IF($H7499=0,1,IF($I7499&lt;=1,2,0))</f>
        <v>2</v>
      </c>
      <c r="K7499">
        <v>5</v>
      </c>
      <c r="L7499">
        <f>IF(AND($J7499=0,$K7499=0),0,1)</f>
        <v>1</v>
      </c>
    </row>
    <row r="7500" spans="1:12" x14ac:dyDescent="0.2">
      <c r="A7500" t="s">
        <v>54</v>
      </c>
      <c r="B7500" t="s">
        <v>6</v>
      </c>
      <c r="C7500" t="s">
        <v>11</v>
      </c>
      <c r="D7500">
        <v>9101</v>
      </c>
      <c r="E7500">
        <v>2019</v>
      </c>
      <c r="F7500">
        <v>14</v>
      </c>
      <c r="G7500">
        <v>45186</v>
      </c>
      <c r="H7500" s="1" t="s">
        <v>1826</v>
      </c>
      <c r="I7500">
        <v>0</v>
      </c>
      <c r="J7500">
        <f>IF($H7500=0,1,IF($I7500&lt;=1,2,0))</f>
        <v>2</v>
      </c>
      <c r="K7500">
        <v>5</v>
      </c>
      <c r="L7500">
        <f>IF(AND($J7500=0,$K7500=0),0,1)</f>
        <v>1</v>
      </c>
    </row>
    <row r="7501" spans="1:12" x14ac:dyDescent="0.2">
      <c r="A7501" t="s">
        <v>54</v>
      </c>
      <c r="B7501" t="s">
        <v>6</v>
      </c>
      <c r="C7501" t="s">
        <v>11</v>
      </c>
      <c r="D7501">
        <v>9101</v>
      </c>
      <c r="E7501">
        <v>2019</v>
      </c>
      <c r="F7501">
        <v>16</v>
      </c>
      <c r="G7501">
        <v>45188</v>
      </c>
      <c r="H7501" s="1" t="s">
        <v>1826</v>
      </c>
      <c r="I7501">
        <v>0</v>
      </c>
      <c r="J7501">
        <f>IF($H7501=0,1,IF($I7501&lt;=1,2,0))</f>
        <v>2</v>
      </c>
      <c r="K7501">
        <v>5</v>
      </c>
      <c r="L7501">
        <f>IF(AND($J7501=0,$K7501=0),0,1)</f>
        <v>1</v>
      </c>
    </row>
    <row r="7502" spans="1:12" x14ac:dyDescent="0.2">
      <c r="A7502" t="s">
        <v>54</v>
      </c>
      <c r="B7502" t="s">
        <v>6</v>
      </c>
      <c r="C7502" t="s">
        <v>11</v>
      </c>
      <c r="D7502">
        <v>9101</v>
      </c>
      <c r="E7502">
        <v>2019</v>
      </c>
      <c r="F7502">
        <v>17</v>
      </c>
      <c r="G7502">
        <v>45189</v>
      </c>
      <c r="H7502" s="1" t="s">
        <v>1826</v>
      </c>
      <c r="I7502">
        <v>0</v>
      </c>
      <c r="J7502">
        <f>IF($H7502=0,1,IF($I7502&lt;=1,2,0))</f>
        <v>2</v>
      </c>
      <c r="K7502">
        <v>5</v>
      </c>
      <c r="L7502">
        <f>IF(AND($J7502=0,$K7502=0),0,1)</f>
        <v>1</v>
      </c>
    </row>
    <row r="7503" spans="1:12" x14ac:dyDescent="0.2">
      <c r="A7503" t="s">
        <v>54</v>
      </c>
      <c r="B7503" t="s">
        <v>6</v>
      </c>
      <c r="C7503" t="s">
        <v>11</v>
      </c>
      <c r="D7503">
        <v>9101</v>
      </c>
      <c r="E7503">
        <v>2019</v>
      </c>
      <c r="F7503">
        <v>18</v>
      </c>
      <c r="G7503">
        <v>45190</v>
      </c>
      <c r="H7503" s="1" t="s">
        <v>1826</v>
      </c>
      <c r="I7503">
        <v>0</v>
      </c>
      <c r="J7503">
        <f>IF($H7503=0,1,IF($I7503&lt;=1,2,0))</f>
        <v>2</v>
      </c>
      <c r="K7503">
        <v>5</v>
      </c>
      <c r="L7503">
        <f>IF(AND($J7503=0,$K7503=0),0,1)</f>
        <v>1</v>
      </c>
    </row>
    <row r="7504" spans="1:12" x14ac:dyDescent="0.2">
      <c r="A7504" t="s">
        <v>54</v>
      </c>
      <c r="B7504" t="s">
        <v>6</v>
      </c>
      <c r="C7504" t="s">
        <v>11</v>
      </c>
      <c r="D7504">
        <v>9101</v>
      </c>
      <c r="E7504">
        <v>2019</v>
      </c>
      <c r="F7504">
        <v>19</v>
      </c>
      <c r="G7504">
        <v>45191</v>
      </c>
      <c r="H7504" s="1" t="s">
        <v>1826</v>
      </c>
      <c r="I7504">
        <v>0</v>
      </c>
      <c r="J7504">
        <f>IF($H7504=0,1,IF($I7504&lt;=1,2,0))</f>
        <v>2</v>
      </c>
      <c r="K7504">
        <v>5</v>
      </c>
      <c r="L7504">
        <f>IF(AND($J7504=0,$K7504=0),0,1)</f>
        <v>1</v>
      </c>
    </row>
    <row r="7505" spans="1:12" x14ac:dyDescent="0.2">
      <c r="A7505" t="s">
        <v>54</v>
      </c>
      <c r="B7505" t="s">
        <v>6</v>
      </c>
      <c r="C7505" t="s">
        <v>11</v>
      </c>
      <c r="D7505">
        <v>9101</v>
      </c>
      <c r="E7505">
        <v>2019</v>
      </c>
      <c r="F7505">
        <v>21</v>
      </c>
      <c r="G7505">
        <v>45193</v>
      </c>
      <c r="H7505" s="1" t="s">
        <v>1826</v>
      </c>
      <c r="I7505">
        <v>0</v>
      </c>
      <c r="J7505">
        <f>IF($H7505=0,1,IF($I7505&lt;=1,2,0))</f>
        <v>2</v>
      </c>
      <c r="K7505">
        <v>5</v>
      </c>
      <c r="L7505">
        <f>IF(AND($J7505=0,$K7505=0),0,1)</f>
        <v>1</v>
      </c>
    </row>
    <row r="7506" spans="1:12" x14ac:dyDescent="0.2">
      <c r="A7506" t="s">
        <v>54</v>
      </c>
      <c r="B7506" t="s">
        <v>6</v>
      </c>
      <c r="C7506" t="s">
        <v>11</v>
      </c>
      <c r="D7506">
        <v>9101</v>
      </c>
      <c r="E7506">
        <v>2019</v>
      </c>
      <c r="F7506">
        <v>23</v>
      </c>
      <c r="G7506">
        <v>45194</v>
      </c>
      <c r="H7506" s="1" t="s">
        <v>1826</v>
      </c>
      <c r="I7506">
        <v>0</v>
      </c>
      <c r="J7506">
        <f>IF($H7506=0,1,IF($I7506&lt;=1,2,0))</f>
        <v>2</v>
      </c>
      <c r="K7506">
        <v>5</v>
      </c>
      <c r="L7506">
        <f>IF(AND($J7506=0,$K7506=0),0,1)</f>
        <v>1</v>
      </c>
    </row>
    <row r="7507" spans="1:12" x14ac:dyDescent="0.2">
      <c r="A7507" t="s">
        <v>54</v>
      </c>
      <c r="B7507" t="s">
        <v>6</v>
      </c>
      <c r="C7507" t="s">
        <v>11</v>
      </c>
      <c r="D7507">
        <v>9101</v>
      </c>
      <c r="E7507">
        <v>2019</v>
      </c>
      <c r="F7507">
        <v>24</v>
      </c>
      <c r="G7507">
        <v>45195</v>
      </c>
      <c r="H7507" s="1" t="s">
        <v>1826</v>
      </c>
      <c r="I7507">
        <v>0</v>
      </c>
      <c r="J7507">
        <f>IF($H7507=0,1,IF($I7507&lt;=1,2,0))</f>
        <v>2</v>
      </c>
      <c r="K7507">
        <v>5</v>
      </c>
      <c r="L7507">
        <f>IF(AND($J7507=0,$K7507=0),0,1)</f>
        <v>1</v>
      </c>
    </row>
    <row r="7508" spans="1:12" x14ac:dyDescent="0.2">
      <c r="A7508" t="s">
        <v>54</v>
      </c>
      <c r="B7508" t="s">
        <v>6</v>
      </c>
      <c r="C7508" t="s">
        <v>11</v>
      </c>
      <c r="D7508">
        <v>9101</v>
      </c>
      <c r="E7508">
        <v>2019</v>
      </c>
      <c r="F7508">
        <v>25</v>
      </c>
      <c r="G7508">
        <v>45196</v>
      </c>
      <c r="H7508" s="1" t="s">
        <v>1826</v>
      </c>
      <c r="I7508">
        <v>0</v>
      </c>
      <c r="J7508">
        <f>IF($H7508=0,1,IF($I7508&lt;=1,2,0))</f>
        <v>2</v>
      </c>
      <c r="K7508">
        <v>5</v>
      </c>
      <c r="L7508">
        <f>IF(AND($J7508=0,$K7508=0),0,1)</f>
        <v>1</v>
      </c>
    </row>
    <row r="7509" spans="1:12" x14ac:dyDescent="0.2">
      <c r="A7509" t="s">
        <v>54</v>
      </c>
      <c r="B7509" t="s">
        <v>6</v>
      </c>
      <c r="C7509" t="s">
        <v>11</v>
      </c>
      <c r="D7509">
        <v>9101</v>
      </c>
      <c r="E7509">
        <v>2019</v>
      </c>
      <c r="F7509">
        <v>27</v>
      </c>
      <c r="G7509">
        <v>45197</v>
      </c>
      <c r="H7509" s="1" t="s">
        <v>1826</v>
      </c>
      <c r="I7509">
        <v>0</v>
      </c>
      <c r="J7509">
        <f>IF($H7509=0,1,IF($I7509&lt;=1,2,0))</f>
        <v>2</v>
      </c>
      <c r="K7509">
        <v>5</v>
      </c>
      <c r="L7509">
        <f>IF(AND($J7509=0,$K7509=0),0,1)</f>
        <v>1</v>
      </c>
    </row>
    <row r="7510" spans="1:12" x14ac:dyDescent="0.2">
      <c r="A7510" t="s">
        <v>54</v>
      </c>
      <c r="B7510" t="s">
        <v>6</v>
      </c>
      <c r="C7510" t="s">
        <v>11</v>
      </c>
      <c r="D7510">
        <v>9101</v>
      </c>
      <c r="E7510">
        <v>2019</v>
      </c>
      <c r="F7510">
        <v>30</v>
      </c>
      <c r="G7510">
        <v>45198</v>
      </c>
      <c r="H7510" s="1" t="s">
        <v>1826</v>
      </c>
      <c r="I7510">
        <v>0</v>
      </c>
      <c r="J7510">
        <f>IF($H7510=0,1,IF($I7510&lt;=1,2,0))</f>
        <v>2</v>
      </c>
      <c r="K7510">
        <v>5</v>
      </c>
      <c r="L7510">
        <f>IF(AND($J7510=0,$K7510=0),0,1)</f>
        <v>1</v>
      </c>
    </row>
    <row r="7511" spans="1:12" x14ac:dyDescent="0.2">
      <c r="A7511" t="s">
        <v>54</v>
      </c>
      <c r="B7511" t="s">
        <v>6</v>
      </c>
      <c r="C7511" t="s">
        <v>11</v>
      </c>
      <c r="D7511">
        <v>9102</v>
      </c>
      <c r="E7511">
        <v>2019</v>
      </c>
      <c r="F7511">
        <v>1</v>
      </c>
      <c r="G7511">
        <v>45256</v>
      </c>
      <c r="H7511" s="1" t="s">
        <v>1826</v>
      </c>
      <c r="I7511">
        <v>0</v>
      </c>
      <c r="J7511">
        <f>IF($H7511=0,1,IF($I7511&lt;=1,2,0))</f>
        <v>2</v>
      </c>
      <c r="K7511">
        <v>5</v>
      </c>
      <c r="L7511">
        <f>IF(AND($J7511=0,$K7511=0),0,1)</f>
        <v>1</v>
      </c>
    </row>
    <row r="7512" spans="1:12" x14ac:dyDescent="0.2">
      <c r="A7512" t="s">
        <v>54</v>
      </c>
      <c r="B7512" t="s">
        <v>6</v>
      </c>
      <c r="C7512" t="s">
        <v>11</v>
      </c>
      <c r="D7512">
        <v>9102</v>
      </c>
      <c r="E7512">
        <v>2019</v>
      </c>
      <c r="F7512">
        <v>3</v>
      </c>
      <c r="G7512">
        <v>45257</v>
      </c>
      <c r="H7512" s="1" t="s">
        <v>1826</v>
      </c>
      <c r="I7512">
        <v>0</v>
      </c>
      <c r="J7512">
        <f>IF($H7512=0,1,IF($I7512&lt;=1,2,0))</f>
        <v>2</v>
      </c>
      <c r="K7512">
        <v>5</v>
      </c>
      <c r="L7512">
        <f>IF(AND($J7512=0,$K7512=0),0,1)</f>
        <v>1</v>
      </c>
    </row>
    <row r="7513" spans="1:12" x14ac:dyDescent="0.2">
      <c r="A7513" t="s">
        <v>54</v>
      </c>
      <c r="B7513" t="s">
        <v>6</v>
      </c>
      <c r="C7513" t="s">
        <v>11</v>
      </c>
      <c r="D7513">
        <v>9102</v>
      </c>
      <c r="E7513">
        <v>2019</v>
      </c>
      <c r="F7513">
        <v>4</v>
      </c>
      <c r="G7513">
        <v>45258</v>
      </c>
      <c r="H7513" s="1" t="s">
        <v>1826</v>
      </c>
      <c r="I7513">
        <v>0</v>
      </c>
      <c r="J7513">
        <f>IF($H7513=0,1,IF($I7513&lt;=1,2,0))</f>
        <v>2</v>
      </c>
      <c r="K7513">
        <v>5</v>
      </c>
      <c r="L7513">
        <f>IF(AND($J7513=0,$K7513=0),0,1)</f>
        <v>1</v>
      </c>
    </row>
    <row r="7514" spans="1:12" x14ac:dyDescent="0.2">
      <c r="A7514" t="s">
        <v>54</v>
      </c>
      <c r="B7514" t="s">
        <v>6</v>
      </c>
      <c r="C7514" t="s">
        <v>11</v>
      </c>
      <c r="D7514">
        <v>9102</v>
      </c>
      <c r="E7514">
        <v>2019</v>
      </c>
      <c r="F7514">
        <v>5</v>
      </c>
      <c r="G7514">
        <v>13502</v>
      </c>
      <c r="H7514" s="1" t="s">
        <v>1826</v>
      </c>
      <c r="I7514">
        <v>0</v>
      </c>
      <c r="J7514">
        <f>IF($H7514=0,1,IF($I7514&lt;=1,2,0))</f>
        <v>2</v>
      </c>
      <c r="K7514">
        <v>5</v>
      </c>
      <c r="L7514">
        <f>IF(AND($J7514=0,$K7514=0),0,1)</f>
        <v>1</v>
      </c>
    </row>
    <row r="7515" spans="1:12" x14ac:dyDescent="0.2">
      <c r="A7515" t="s">
        <v>54</v>
      </c>
      <c r="B7515" t="s">
        <v>6</v>
      </c>
      <c r="C7515" t="s">
        <v>11</v>
      </c>
      <c r="D7515">
        <v>9103</v>
      </c>
      <c r="E7515">
        <v>2019</v>
      </c>
      <c r="F7515">
        <v>1</v>
      </c>
      <c r="G7515">
        <v>45130</v>
      </c>
      <c r="H7515" s="1" t="s">
        <v>1826</v>
      </c>
      <c r="I7515">
        <v>0</v>
      </c>
      <c r="J7515">
        <f>IF($H7515=0,1,IF($I7515&lt;=1,2,0))</f>
        <v>2</v>
      </c>
      <c r="K7515">
        <v>5</v>
      </c>
      <c r="L7515">
        <f>IF(AND($J7515=0,$K7515=0),0,1)</f>
        <v>1</v>
      </c>
    </row>
    <row r="7516" spans="1:12" x14ac:dyDescent="0.2">
      <c r="A7516" t="s">
        <v>54</v>
      </c>
      <c r="B7516" t="s">
        <v>6</v>
      </c>
      <c r="C7516" t="s">
        <v>11</v>
      </c>
      <c r="D7516">
        <v>9105</v>
      </c>
      <c r="E7516">
        <v>2019</v>
      </c>
      <c r="F7516">
        <v>30</v>
      </c>
      <c r="G7516">
        <v>45154</v>
      </c>
      <c r="H7516" s="1" t="s">
        <v>1826</v>
      </c>
      <c r="I7516">
        <v>2</v>
      </c>
      <c r="J7516">
        <f>IF($H7516=0,1,IF($I7516&lt;=1,2,0))</f>
        <v>0</v>
      </c>
      <c r="K7516">
        <v>5</v>
      </c>
      <c r="L7516">
        <f>IF(AND($J7516=0,$K7516=0),0,1)</f>
        <v>1</v>
      </c>
    </row>
    <row r="7517" spans="1:12" x14ac:dyDescent="0.2">
      <c r="A7517" t="s">
        <v>54</v>
      </c>
      <c r="B7517" t="s">
        <v>6</v>
      </c>
      <c r="C7517" t="s">
        <v>11</v>
      </c>
      <c r="D7517">
        <v>9105</v>
      </c>
      <c r="E7517">
        <v>2019</v>
      </c>
      <c r="F7517">
        <v>10</v>
      </c>
      <c r="G7517">
        <v>45139</v>
      </c>
      <c r="H7517" s="1" t="s">
        <v>1826</v>
      </c>
      <c r="I7517">
        <v>1</v>
      </c>
      <c r="J7517">
        <f>IF($H7517=0,1,IF($I7517&lt;=1,2,0))</f>
        <v>2</v>
      </c>
      <c r="K7517">
        <v>5</v>
      </c>
      <c r="L7517">
        <f>IF(AND($J7517=0,$K7517=0),0,1)</f>
        <v>1</v>
      </c>
    </row>
    <row r="7518" spans="1:12" x14ac:dyDescent="0.2">
      <c r="A7518" t="s">
        <v>54</v>
      </c>
      <c r="B7518" t="s">
        <v>6</v>
      </c>
      <c r="C7518" t="s">
        <v>11</v>
      </c>
      <c r="D7518">
        <v>9105</v>
      </c>
      <c r="E7518">
        <v>2019</v>
      </c>
      <c r="F7518">
        <v>23</v>
      </c>
      <c r="G7518">
        <v>45149</v>
      </c>
      <c r="H7518" s="1" t="s">
        <v>1826</v>
      </c>
      <c r="I7518">
        <v>1</v>
      </c>
      <c r="J7518">
        <f>IF($H7518=0,1,IF($I7518&lt;=1,2,0))</f>
        <v>2</v>
      </c>
      <c r="K7518">
        <v>5</v>
      </c>
      <c r="L7518">
        <f>IF(AND($J7518=0,$K7518=0),0,1)</f>
        <v>1</v>
      </c>
    </row>
    <row r="7519" spans="1:12" x14ac:dyDescent="0.2">
      <c r="A7519" t="s">
        <v>54</v>
      </c>
      <c r="B7519" t="s">
        <v>6</v>
      </c>
      <c r="C7519" t="s">
        <v>11</v>
      </c>
      <c r="D7519">
        <v>9105</v>
      </c>
      <c r="E7519">
        <v>2019</v>
      </c>
      <c r="F7519">
        <v>1</v>
      </c>
      <c r="G7519">
        <v>45131</v>
      </c>
      <c r="H7519" s="1" t="s">
        <v>1826</v>
      </c>
      <c r="I7519">
        <v>0</v>
      </c>
      <c r="J7519">
        <f>IF($H7519=0,1,IF($I7519&lt;=1,2,0))</f>
        <v>2</v>
      </c>
      <c r="K7519">
        <v>5</v>
      </c>
      <c r="L7519">
        <f>IF(AND($J7519=0,$K7519=0),0,1)</f>
        <v>1</v>
      </c>
    </row>
    <row r="7520" spans="1:12" x14ac:dyDescent="0.2">
      <c r="A7520" t="s">
        <v>54</v>
      </c>
      <c r="B7520" t="s">
        <v>6</v>
      </c>
      <c r="C7520" t="s">
        <v>11</v>
      </c>
      <c r="D7520">
        <v>9105</v>
      </c>
      <c r="E7520">
        <v>2019</v>
      </c>
      <c r="F7520">
        <v>2</v>
      </c>
      <c r="G7520">
        <v>45132</v>
      </c>
      <c r="H7520" s="1" t="s">
        <v>1826</v>
      </c>
      <c r="I7520">
        <v>0</v>
      </c>
      <c r="J7520">
        <f>IF($H7520=0,1,IF($I7520&lt;=1,2,0))</f>
        <v>2</v>
      </c>
      <c r="K7520">
        <v>5</v>
      </c>
      <c r="L7520">
        <f>IF(AND($J7520=0,$K7520=0),0,1)</f>
        <v>1</v>
      </c>
    </row>
    <row r="7521" spans="1:12" x14ac:dyDescent="0.2">
      <c r="A7521" t="s">
        <v>54</v>
      </c>
      <c r="B7521" t="s">
        <v>6</v>
      </c>
      <c r="C7521" t="s">
        <v>11</v>
      </c>
      <c r="D7521">
        <v>9105</v>
      </c>
      <c r="E7521">
        <v>2019</v>
      </c>
      <c r="F7521">
        <v>3</v>
      </c>
      <c r="G7521">
        <v>45133</v>
      </c>
      <c r="H7521" s="1" t="s">
        <v>1826</v>
      </c>
      <c r="I7521">
        <v>0</v>
      </c>
      <c r="J7521">
        <f>IF($H7521=0,1,IF($I7521&lt;=1,2,0))</f>
        <v>2</v>
      </c>
      <c r="K7521">
        <v>5</v>
      </c>
      <c r="L7521">
        <f>IF(AND($J7521=0,$K7521=0),0,1)</f>
        <v>1</v>
      </c>
    </row>
    <row r="7522" spans="1:12" x14ac:dyDescent="0.2">
      <c r="A7522" t="s">
        <v>54</v>
      </c>
      <c r="B7522" t="s">
        <v>6</v>
      </c>
      <c r="C7522" t="s">
        <v>11</v>
      </c>
      <c r="D7522">
        <v>9105</v>
      </c>
      <c r="E7522">
        <v>2019</v>
      </c>
      <c r="F7522">
        <v>4</v>
      </c>
      <c r="G7522">
        <v>45134</v>
      </c>
      <c r="H7522" s="1" t="s">
        <v>1826</v>
      </c>
      <c r="I7522">
        <v>0</v>
      </c>
      <c r="J7522">
        <f>IF($H7522=0,1,IF($I7522&lt;=1,2,0))</f>
        <v>2</v>
      </c>
      <c r="K7522">
        <v>5</v>
      </c>
      <c r="L7522">
        <f>IF(AND($J7522=0,$K7522=0),0,1)</f>
        <v>1</v>
      </c>
    </row>
    <row r="7523" spans="1:12" x14ac:dyDescent="0.2">
      <c r="A7523" t="s">
        <v>54</v>
      </c>
      <c r="B7523" t="s">
        <v>6</v>
      </c>
      <c r="C7523" t="s">
        <v>11</v>
      </c>
      <c r="D7523">
        <v>9105</v>
      </c>
      <c r="E7523">
        <v>2019</v>
      </c>
      <c r="F7523">
        <v>5</v>
      </c>
      <c r="G7523">
        <v>45135</v>
      </c>
      <c r="H7523" s="1" t="s">
        <v>1826</v>
      </c>
      <c r="I7523">
        <v>0</v>
      </c>
      <c r="J7523">
        <f>IF($H7523=0,1,IF($I7523&lt;=1,2,0))</f>
        <v>2</v>
      </c>
      <c r="K7523">
        <v>5</v>
      </c>
      <c r="L7523">
        <f>IF(AND($J7523=0,$K7523=0),0,1)</f>
        <v>1</v>
      </c>
    </row>
    <row r="7524" spans="1:12" x14ac:dyDescent="0.2">
      <c r="A7524" t="s">
        <v>54</v>
      </c>
      <c r="B7524" t="s">
        <v>6</v>
      </c>
      <c r="C7524" t="s">
        <v>11</v>
      </c>
      <c r="D7524">
        <v>9105</v>
      </c>
      <c r="E7524">
        <v>2019</v>
      </c>
      <c r="F7524">
        <v>6</v>
      </c>
      <c r="G7524">
        <v>45136</v>
      </c>
      <c r="H7524" s="1" t="s">
        <v>1826</v>
      </c>
      <c r="I7524">
        <v>0</v>
      </c>
      <c r="J7524">
        <f>IF($H7524=0,1,IF($I7524&lt;=1,2,0))</f>
        <v>2</v>
      </c>
      <c r="K7524">
        <v>5</v>
      </c>
      <c r="L7524">
        <f>IF(AND($J7524=0,$K7524=0),0,1)</f>
        <v>1</v>
      </c>
    </row>
    <row r="7525" spans="1:12" x14ac:dyDescent="0.2">
      <c r="A7525" t="s">
        <v>54</v>
      </c>
      <c r="B7525" t="s">
        <v>6</v>
      </c>
      <c r="C7525" t="s">
        <v>11</v>
      </c>
      <c r="D7525">
        <v>9105</v>
      </c>
      <c r="E7525">
        <v>2019</v>
      </c>
      <c r="F7525">
        <v>7</v>
      </c>
      <c r="G7525">
        <v>45137</v>
      </c>
      <c r="H7525" s="1" t="s">
        <v>1826</v>
      </c>
      <c r="I7525">
        <v>0</v>
      </c>
      <c r="J7525">
        <f>IF($H7525=0,1,IF($I7525&lt;=1,2,0))</f>
        <v>2</v>
      </c>
      <c r="K7525">
        <v>5</v>
      </c>
      <c r="L7525">
        <f>IF(AND($J7525=0,$K7525=0),0,1)</f>
        <v>1</v>
      </c>
    </row>
    <row r="7526" spans="1:12" x14ac:dyDescent="0.2">
      <c r="A7526" t="s">
        <v>54</v>
      </c>
      <c r="B7526" t="s">
        <v>6</v>
      </c>
      <c r="C7526" t="s">
        <v>11</v>
      </c>
      <c r="D7526">
        <v>9105</v>
      </c>
      <c r="E7526">
        <v>2019</v>
      </c>
      <c r="F7526">
        <v>9</v>
      </c>
      <c r="G7526">
        <v>45138</v>
      </c>
      <c r="H7526" s="1" t="s">
        <v>1826</v>
      </c>
      <c r="I7526">
        <v>0</v>
      </c>
      <c r="J7526">
        <f>IF($H7526=0,1,IF($I7526&lt;=1,2,0))</f>
        <v>2</v>
      </c>
      <c r="K7526">
        <v>5</v>
      </c>
      <c r="L7526">
        <f>IF(AND($J7526=0,$K7526=0),0,1)</f>
        <v>1</v>
      </c>
    </row>
    <row r="7527" spans="1:12" x14ac:dyDescent="0.2">
      <c r="A7527" t="s">
        <v>54</v>
      </c>
      <c r="B7527" t="s">
        <v>6</v>
      </c>
      <c r="C7527" t="s">
        <v>11</v>
      </c>
      <c r="D7527">
        <v>9105</v>
      </c>
      <c r="E7527">
        <v>2019</v>
      </c>
      <c r="F7527">
        <v>12</v>
      </c>
      <c r="G7527">
        <v>45140</v>
      </c>
      <c r="H7527" s="1" t="s">
        <v>1826</v>
      </c>
      <c r="I7527">
        <v>0</v>
      </c>
      <c r="J7527">
        <f>IF($H7527=0,1,IF($I7527&lt;=1,2,0))</f>
        <v>2</v>
      </c>
      <c r="K7527">
        <v>5</v>
      </c>
      <c r="L7527">
        <f>IF(AND($J7527=0,$K7527=0),0,1)</f>
        <v>1</v>
      </c>
    </row>
    <row r="7528" spans="1:12" x14ac:dyDescent="0.2">
      <c r="A7528" t="s">
        <v>54</v>
      </c>
      <c r="B7528" t="s">
        <v>6</v>
      </c>
      <c r="C7528" t="s">
        <v>11</v>
      </c>
      <c r="D7528">
        <v>9105</v>
      </c>
      <c r="E7528">
        <v>2019</v>
      </c>
      <c r="F7528">
        <v>13</v>
      </c>
      <c r="G7528">
        <v>45141</v>
      </c>
      <c r="H7528" s="1" t="s">
        <v>1826</v>
      </c>
      <c r="I7528">
        <v>0</v>
      </c>
      <c r="J7528">
        <f>IF($H7528=0,1,IF($I7528&lt;=1,2,0))</f>
        <v>2</v>
      </c>
      <c r="K7528">
        <v>5</v>
      </c>
      <c r="L7528">
        <f>IF(AND($J7528=0,$K7528=0),0,1)</f>
        <v>1</v>
      </c>
    </row>
    <row r="7529" spans="1:12" x14ac:dyDescent="0.2">
      <c r="A7529" t="s">
        <v>54</v>
      </c>
      <c r="B7529" t="s">
        <v>6</v>
      </c>
      <c r="C7529" t="s">
        <v>11</v>
      </c>
      <c r="D7529">
        <v>9105</v>
      </c>
      <c r="E7529">
        <v>2019</v>
      </c>
      <c r="F7529">
        <v>14</v>
      </c>
      <c r="G7529">
        <v>45142</v>
      </c>
      <c r="H7529" s="1" t="s">
        <v>1826</v>
      </c>
      <c r="I7529">
        <v>0</v>
      </c>
      <c r="J7529">
        <f>IF($H7529=0,1,IF($I7529&lt;=1,2,0))</f>
        <v>2</v>
      </c>
      <c r="K7529">
        <v>5</v>
      </c>
      <c r="L7529">
        <f>IF(AND($J7529=0,$K7529=0),0,1)</f>
        <v>1</v>
      </c>
    </row>
    <row r="7530" spans="1:12" x14ac:dyDescent="0.2">
      <c r="A7530" t="s">
        <v>54</v>
      </c>
      <c r="B7530" t="s">
        <v>6</v>
      </c>
      <c r="C7530" t="s">
        <v>11</v>
      </c>
      <c r="D7530">
        <v>9105</v>
      </c>
      <c r="E7530">
        <v>2019</v>
      </c>
      <c r="F7530">
        <v>15</v>
      </c>
      <c r="G7530">
        <v>45143</v>
      </c>
      <c r="H7530" s="1" t="s">
        <v>1826</v>
      </c>
      <c r="I7530">
        <v>0</v>
      </c>
      <c r="J7530">
        <f>IF($H7530=0,1,IF($I7530&lt;=1,2,0))</f>
        <v>2</v>
      </c>
      <c r="K7530">
        <v>5</v>
      </c>
      <c r="L7530">
        <f>IF(AND($J7530=0,$K7530=0),0,1)</f>
        <v>1</v>
      </c>
    </row>
    <row r="7531" spans="1:12" x14ac:dyDescent="0.2">
      <c r="A7531" t="s">
        <v>54</v>
      </c>
      <c r="B7531" t="s">
        <v>6</v>
      </c>
      <c r="C7531" t="s">
        <v>11</v>
      </c>
      <c r="D7531">
        <v>9105</v>
      </c>
      <c r="E7531">
        <v>2019</v>
      </c>
      <c r="F7531">
        <v>16</v>
      </c>
      <c r="G7531">
        <v>45144</v>
      </c>
      <c r="H7531" s="1" t="s">
        <v>1826</v>
      </c>
      <c r="I7531">
        <v>0</v>
      </c>
      <c r="J7531">
        <f>IF($H7531=0,1,IF($I7531&lt;=1,2,0))</f>
        <v>2</v>
      </c>
      <c r="K7531">
        <v>5</v>
      </c>
      <c r="L7531">
        <f>IF(AND($J7531=0,$K7531=0),0,1)</f>
        <v>1</v>
      </c>
    </row>
    <row r="7532" spans="1:12" x14ac:dyDescent="0.2">
      <c r="A7532" t="s">
        <v>54</v>
      </c>
      <c r="B7532" t="s">
        <v>6</v>
      </c>
      <c r="C7532" t="s">
        <v>11</v>
      </c>
      <c r="D7532">
        <v>9105</v>
      </c>
      <c r="E7532">
        <v>2019</v>
      </c>
      <c r="F7532">
        <v>17</v>
      </c>
      <c r="G7532">
        <v>45145</v>
      </c>
      <c r="H7532" s="1" t="s">
        <v>1826</v>
      </c>
      <c r="I7532">
        <v>0</v>
      </c>
      <c r="J7532">
        <f>IF($H7532=0,1,IF($I7532&lt;=1,2,0))</f>
        <v>2</v>
      </c>
      <c r="K7532">
        <v>5</v>
      </c>
      <c r="L7532">
        <f>IF(AND($J7532=0,$K7532=0),0,1)</f>
        <v>1</v>
      </c>
    </row>
    <row r="7533" spans="1:12" x14ac:dyDescent="0.2">
      <c r="A7533" t="s">
        <v>54</v>
      </c>
      <c r="B7533" t="s">
        <v>6</v>
      </c>
      <c r="C7533" t="s">
        <v>11</v>
      </c>
      <c r="D7533">
        <v>9105</v>
      </c>
      <c r="E7533">
        <v>2019</v>
      </c>
      <c r="F7533">
        <v>18</v>
      </c>
      <c r="G7533">
        <v>45146</v>
      </c>
      <c r="H7533" s="1" t="s">
        <v>1826</v>
      </c>
      <c r="I7533">
        <v>0</v>
      </c>
      <c r="J7533">
        <f>IF($H7533=0,1,IF($I7533&lt;=1,2,0))</f>
        <v>2</v>
      </c>
      <c r="K7533">
        <v>5</v>
      </c>
      <c r="L7533">
        <f>IF(AND($J7533=0,$K7533=0),0,1)</f>
        <v>1</v>
      </c>
    </row>
    <row r="7534" spans="1:12" x14ac:dyDescent="0.2">
      <c r="A7534" t="s">
        <v>54</v>
      </c>
      <c r="B7534" t="s">
        <v>6</v>
      </c>
      <c r="C7534" t="s">
        <v>11</v>
      </c>
      <c r="D7534">
        <v>9105</v>
      </c>
      <c r="E7534">
        <v>2019</v>
      </c>
      <c r="F7534">
        <v>19</v>
      </c>
      <c r="G7534">
        <v>45147</v>
      </c>
      <c r="H7534" s="1" t="s">
        <v>1826</v>
      </c>
      <c r="I7534">
        <v>0</v>
      </c>
      <c r="J7534">
        <f>IF($H7534=0,1,IF($I7534&lt;=1,2,0))</f>
        <v>2</v>
      </c>
      <c r="K7534">
        <v>5</v>
      </c>
      <c r="L7534">
        <f>IF(AND($J7534=0,$K7534=0),0,1)</f>
        <v>1</v>
      </c>
    </row>
    <row r="7535" spans="1:12" x14ac:dyDescent="0.2">
      <c r="A7535" t="s">
        <v>54</v>
      </c>
      <c r="B7535" t="s">
        <v>6</v>
      </c>
      <c r="C7535" t="s">
        <v>11</v>
      </c>
      <c r="D7535">
        <v>9105</v>
      </c>
      <c r="E7535">
        <v>2019</v>
      </c>
      <c r="F7535">
        <v>22</v>
      </c>
      <c r="G7535">
        <v>45148</v>
      </c>
      <c r="H7535" s="1" t="s">
        <v>1826</v>
      </c>
      <c r="I7535">
        <v>0</v>
      </c>
      <c r="J7535">
        <f>IF($H7535=0,1,IF($I7535&lt;=1,2,0))</f>
        <v>2</v>
      </c>
      <c r="K7535">
        <v>5</v>
      </c>
      <c r="L7535">
        <f>IF(AND($J7535=0,$K7535=0),0,1)</f>
        <v>1</v>
      </c>
    </row>
    <row r="7536" spans="1:12" x14ac:dyDescent="0.2">
      <c r="A7536" t="s">
        <v>54</v>
      </c>
      <c r="B7536" t="s">
        <v>6</v>
      </c>
      <c r="C7536" t="s">
        <v>11</v>
      </c>
      <c r="D7536">
        <v>9105</v>
      </c>
      <c r="E7536">
        <v>2019</v>
      </c>
      <c r="F7536">
        <v>24</v>
      </c>
      <c r="G7536">
        <v>45150</v>
      </c>
      <c r="H7536" s="1" t="s">
        <v>1826</v>
      </c>
      <c r="I7536">
        <v>0</v>
      </c>
      <c r="J7536">
        <f>IF($H7536=0,1,IF($I7536&lt;=1,2,0))</f>
        <v>2</v>
      </c>
      <c r="K7536">
        <v>5</v>
      </c>
      <c r="L7536">
        <f>IF(AND($J7536=0,$K7536=0),0,1)</f>
        <v>1</v>
      </c>
    </row>
    <row r="7537" spans="1:13" x14ac:dyDescent="0.2">
      <c r="A7537" t="s">
        <v>54</v>
      </c>
      <c r="B7537" t="s">
        <v>6</v>
      </c>
      <c r="C7537" t="s">
        <v>11</v>
      </c>
      <c r="D7537">
        <v>9105</v>
      </c>
      <c r="E7537">
        <v>2019</v>
      </c>
      <c r="F7537">
        <v>26</v>
      </c>
      <c r="G7537">
        <v>45151</v>
      </c>
      <c r="H7537" s="1" t="s">
        <v>1826</v>
      </c>
      <c r="I7537">
        <v>0</v>
      </c>
      <c r="J7537">
        <f>IF($H7537=0,1,IF($I7537&lt;=1,2,0))</f>
        <v>2</v>
      </c>
      <c r="K7537">
        <v>5</v>
      </c>
      <c r="L7537">
        <f>IF(AND($J7537=0,$K7537=0),0,1)</f>
        <v>1</v>
      </c>
    </row>
    <row r="7538" spans="1:13" x14ac:dyDescent="0.2">
      <c r="A7538" t="s">
        <v>54</v>
      </c>
      <c r="B7538" t="s">
        <v>6</v>
      </c>
      <c r="C7538" t="s">
        <v>11</v>
      </c>
      <c r="D7538">
        <v>9105</v>
      </c>
      <c r="E7538">
        <v>2019</v>
      </c>
      <c r="F7538">
        <v>28</v>
      </c>
      <c r="G7538">
        <v>45152</v>
      </c>
      <c r="H7538" s="1" t="s">
        <v>1826</v>
      </c>
      <c r="I7538">
        <v>0</v>
      </c>
      <c r="J7538">
        <f>IF($H7538=0,1,IF($I7538&lt;=1,2,0))</f>
        <v>2</v>
      </c>
      <c r="K7538">
        <v>5</v>
      </c>
      <c r="L7538">
        <f>IF(AND($J7538=0,$K7538=0),0,1)</f>
        <v>1</v>
      </c>
    </row>
    <row r="7539" spans="1:13" x14ac:dyDescent="0.2">
      <c r="A7539" t="s">
        <v>54</v>
      </c>
      <c r="B7539" t="s">
        <v>6</v>
      </c>
      <c r="C7539" t="s">
        <v>11</v>
      </c>
      <c r="D7539">
        <v>9105</v>
      </c>
      <c r="E7539">
        <v>2019</v>
      </c>
      <c r="F7539">
        <v>29</v>
      </c>
      <c r="G7539">
        <v>45153</v>
      </c>
      <c r="H7539" s="1" t="s">
        <v>1826</v>
      </c>
      <c r="I7539">
        <v>0</v>
      </c>
      <c r="J7539">
        <f>IF($H7539=0,1,IF($I7539&lt;=1,2,0))</f>
        <v>2</v>
      </c>
      <c r="K7539">
        <v>5</v>
      </c>
      <c r="L7539">
        <f>IF(AND($J7539=0,$K7539=0),0,1)</f>
        <v>1</v>
      </c>
    </row>
    <row r="7540" spans="1:13" x14ac:dyDescent="0.2">
      <c r="A7540" t="s">
        <v>54</v>
      </c>
      <c r="B7540" t="s">
        <v>6</v>
      </c>
      <c r="C7540" t="s">
        <v>11</v>
      </c>
      <c r="D7540">
        <v>9105</v>
      </c>
      <c r="E7540">
        <v>2019</v>
      </c>
      <c r="F7540">
        <v>31</v>
      </c>
      <c r="G7540">
        <v>45155</v>
      </c>
      <c r="H7540" s="1" t="s">
        <v>1826</v>
      </c>
      <c r="I7540">
        <v>0</v>
      </c>
      <c r="J7540">
        <f>IF($H7540=0,1,IF($I7540&lt;=1,2,0))</f>
        <v>2</v>
      </c>
      <c r="K7540">
        <v>5</v>
      </c>
      <c r="L7540">
        <f>IF(AND($J7540=0,$K7540=0),0,1)</f>
        <v>1</v>
      </c>
    </row>
    <row r="7541" spans="1:13" x14ac:dyDescent="0.2">
      <c r="A7541" t="s">
        <v>54</v>
      </c>
      <c r="B7541" t="s">
        <v>6</v>
      </c>
      <c r="C7541" t="s">
        <v>11</v>
      </c>
      <c r="D7541">
        <v>9105</v>
      </c>
      <c r="E7541">
        <v>2019</v>
      </c>
      <c r="F7541">
        <v>35</v>
      </c>
      <c r="G7541">
        <v>45156</v>
      </c>
      <c r="H7541" s="1" t="s">
        <v>1826</v>
      </c>
      <c r="I7541">
        <v>0</v>
      </c>
      <c r="J7541">
        <f>IF($H7541=0,1,IF($I7541&lt;=1,2,0))</f>
        <v>2</v>
      </c>
      <c r="K7541">
        <v>5</v>
      </c>
      <c r="L7541">
        <f>IF(AND($J7541=0,$K7541=0),0,1)</f>
        <v>1</v>
      </c>
    </row>
    <row r="7542" spans="1:13" x14ac:dyDescent="0.2">
      <c r="A7542" t="s">
        <v>54</v>
      </c>
      <c r="B7542" t="s">
        <v>6</v>
      </c>
      <c r="C7542" t="s">
        <v>11</v>
      </c>
      <c r="D7542">
        <v>9105</v>
      </c>
      <c r="E7542">
        <v>2019</v>
      </c>
      <c r="F7542">
        <v>36</v>
      </c>
      <c r="G7542">
        <v>45157</v>
      </c>
      <c r="H7542" s="1" t="s">
        <v>1826</v>
      </c>
      <c r="I7542">
        <v>0</v>
      </c>
      <c r="J7542">
        <f>IF($H7542=0,1,IF($I7542&lt;=1,2,0))</f>
        <v>2</v>
      </c>
      <c r="K7542">
        <v>5</v>
      </c>
      <c r="L7542">
        <f>IF(AND($J7542=0,$K7542=0),0,1)</f>
        <v>1</v>
      </c>
    </row>
    <row r="7543" spans="1:13" x14ac:dyDescent="0.2">
      <c r="A7543" t="s">
        <v>54</v>
      </c>
      <c r="B7543" t="s">
        <v>6</v>
      </c>
      <c r="C7543" t="s">
        <v>11</v>
      </c>
      <c r="D7543">
        <v>9110</v>
      </c>
      <c r="E7543">
        <v>2019</v>
      </c>
      <c r="F7543">
        <v>1</v>
      </c>
      <c r="G7543">
        <v>45200</v>
      </c>
      <c r="H7543" s="1" t="s">
        <v>1826</v>
      </c>
      <c r="I7543">
        <v>1</v>
      </c>
      <c r="J7543">
        <f>IF($H7543=0,1,IF($I7543&lt;=1,2,0))</f>
        <v>2</v>
      </c>
      <c r="K7543">
        <v>5</v>
      </c>
      <c r="L7543">
        <f>IF(AND($J7543=0,$K7543=0),0,1)</f>
        <v>1</v>
      </c>
    </row>
    <row r="7544" spans="1:13" x14ac:dyDescent="0.2">
      <c r="A7544" t="s">
        <v>54</v>
      </c>
      <c r="B7544" t="s">
        <v>6</v>
      </c>
      <c r="C7544" t="s">
        <v>11</v>
      </c>
      <c r="D7544">
        <v>9111</v>
      </c>
      <c r="E7544">
        <v>2019</v>
      </c>
      <c r="F7544">
        <v>1</v>
      </c>
      <c r="G7544">
        <v>45201</v>
      </c>
      <c r="H7544" s="1" t="s">
        <v>1826</v>
      </c>
      <c r="I7544">
        <v>0</v>
      </c>
      <c r="J7544">
        <f>IF($H7544=0,1,IF($I7544&lt;=1,2,0))</f>
        <v>2</v>
      </c>
      <c r="K7544">
        <v>5</v>
      </c>
      <c r="L7544">
        <f>IF(AND($J7544=0,$K7544=0),0,1)</f>
        <v>1</v>
      </c>
    </row>
    <row r="7545" spans="1:13" x14ac:dyDescent="0.2">
      <c r="A7545" t="s">
        <v>54</v>
      </c>
      <c r="B7545" t="s">
        <v>6</v>
      </c>
      <c r="C7545" t="s">
        <v>11</v>
      </c>
      <c r="D7545">
        <v>9112</v>
      </c>
      <c r="E7545">
        <v>2019</v>
      </c>
      <c r="F7545">
        <v>1</v>
      </c>
      <c r="G7545">
        <v>45259</v>
      </c>
      <c r="H7545" s="1" t="s">
        <v>1826</v>
      </c>
      <c r="I7545">
        <v>0</v>
      </c>
      <c r="J7545">
        <f>IF($H7545=0,1,IF($I7545&lt;=1,2,0))</f>
        <v>2</v>
      </c>
      <c r="K7545">
        <v>5</v>
      </c>
      <c r="L7545">
        <f>IF(AND($J7545=0,$K7545=0),0,1)</f>
        <v>1</v>
      </c>
    </row>
    <row r="7546" spans="1:13" x14ac:dyDescent="0.2">
      <c r="A7546" t="s">
        <v>54</v>
      </c>
      <c r="B7546" t="s">
        <v>6</v>
      </c>
      <c r="C7546" t="s">
        <v>11</v>
      </c>
      <c r="D7546">
        <v>9112</v>
      </c>
      <c r="E7546">
        <v>2019</v>
      </c>
      <c r="F7546">
        <v>3</v>
      </c>
      <c r="G7546">
        <v>45260</v>
      </c>
      <c r="H7546" s="1" t="s">
        <v>1826</v>
      </c>
      <c r="I7546">
        <v>0</v>
      </c>
      <c r="J7546">
        <f>IF($H7546=0,1,IF($I7546&lt;=1,2,0))</f>
        <v>2</v>
      </c>
      <c r="K7546">
        <v>5</v>
      </c>
      <c r="L7546">
        <f>IF(AND($J7546=0,$K7546=0),0,1)</f>
        <v>1</v>
      </c>
    </row>
    <row r="7547" spans="1:13" x14ac:dyDescent="0.2">
      <c r="A7547" t="s">
        <v>54</v>
      </c>
      <c r="B7547" t="s">
        <v>6</v>
      </c>
      <c r="C7547" t="s">
        <v>11</v>
      </c>
      <c r="D7547">
        <v>9112</v>
      </c>
      <c r="E7547">
        <v>2019</v>
      </c>
      <c r="F7547">
        <v>4</v>
      </c>
      <c r="G7547">
        <v>45261</v>
      </c>
      <c r="H7547" s="1" t="s">
        <v>1826</v>
      </c>
      <c r="I7547">
        <v>0</v>
      </c>
      <c r="J7547">
        <f>IF($H7547=0,1,IF($I7547&lt;=1,2,0))</f>
        <v>2</v>
      </c>
      <c r="K7547">
        <v>5</v>
      </c>
      <c r="L7547">
        <f>IF(AND($J7547=0,$K7547=0),0,1)</f>
        <v>1</v>
      </c>
    </row>
    <row r="7548" spans="1:13" x14ac:dyDescent="0.2">
      <c r="A7548" t="s">
        <v>54</v>
      </c>
      <c r="B7548" t="s">
        <v>6</v>
      </c>
      <c r="C7548" t="s">
        <v>11</v>
      </c>
      <c r="D7548">
        <v>9112</v>
      </c>
      <c r="E7548">
        <v>2019</v>
      </c>
      <c r="F7548">
        <v>5</v>
      </c>
      <c r="G7548">
        <v>45262</v>
      </c>
      <c r="H7548" s="1" t="s">
        <v>1826</v>
      </c>
      <c r="I7548">
        <v>0</v>
      </c>
      <c r="J7548">
        <f>IF($H7548=0,1,IF($I7548&lt;=1,2,0))</f>
        <v>2</v>
      </c>
      <c r="K7548">
        <v>5</v>
      </c>
      <c r="L7548">
        <f>IF(AND($J7548=0,$K7548=0),0,1)</f>
        <v>1</v>
      </c>
    </row>
    <row r="7549" spans="1:13" x14ac:dyDescent="0.2">
      <c r="A7549" t="s">
        <v>54</v>
      </c>
      <c r="B7549" t="s">
        <v>6</v>
      </c>
      <c r="C7549" t="s">
        <v>11</v>
      </c>
      <c r="D7549">
        <v>9999</v>
      </c>
      <c r="E7549">
        <v>2019</v>
      </c>
      <c r="F7549">
        <v>1</v>
      </c>
      <c r="G7549">
        <v>45202</v>
      </c>
      <c r="H7549" s="1">
        <v>0</v>
      </c>
      <c r="I7549">
        <v>18</v>
      </c>
      <c r="J7549">
        <f>IF($H7549=0,1,IF($I7549&lt;=1,2,0))</f>
        <v>1</v>
      </c>
      <c r="K7549">
        <v>5</v>
      </c>
      <c r="L7549">
        <f>IF(AND($J7549=0,$K7549=0),0,1)</f>
        <v>1</v>
      </c>
      <c r="M7549" t="s">
        <v>69</v>
      </c>
    </row>
    <row r="7550" spans="1:13" x14ac:dyDescent="0.2">
      <c r="A7550" t="s">
        <v>70</v>
      </c>
      <c r="B7550" t="s">
        <v>71</v>
      </c>
      <c r="C7550" t="s">
        <v>72</v>
      </c>
      <c r="D7550">
        <v>4999</v>
      </c>
      <c r="E7550">
        <v>2019</v>
      </c>
      <c r="F7550">
        <v>1</v>
      </c>
      <c r="G7550">
        <v>18650</v>
      </c>
      <c r="H7550" s="1" t="s">
        <v>1827</v>
      </c>
      <c r="I7550">
        <v>1</v>
      </c>
      <c r="J7550">
        <f>IF($H7550=0,1,IF($I7550&lt;=1,2,0))</f>
        <v>2</v>
      </c>
      <c r="K7550">
        <v>9</v>
      </c>
      <c r="L7550">
        <f>IF(AND($J7550=0,$K7550=0),0,1)</f>
        <v>1</v>
      </c>
    </row>
    <row r="7551" spans="1:13" x14ac:dyDescent="0.2">
      <c r="A7551" t="s">
        <v>70</v>
      </c>
      <c r="B7551" t="s">
        <v>71</v>
      </c>
      <c r="C7551" t="s">
        <v>72</v>
      </c>
      <c r="D7551">
        <v>6650</v>
      </c>
      <c r="E7551">
        <v>2019</v>
      </c>
      <c r="F7551">
        <v>10</v>
      </c>
      <c r="G7551">
        <v>99884</v>
      </c>
      <c r="H7551" s="1" t="s">
        <v>1828</v>
      </c>
      <c r="I7551">
        <v>1</v>
      </c>
      <c r="J7551">
        <f>IF($H7551=0,1,IF($I7551&lt;=1,2,0))</f>
        <v>2</v>
      </c>
      <c r="K7551">
        <v>0</v>
      </c>
      <c r="L7551">
        <f>IF(AND($J7551=0,$K7551=0),0,1)</f>
        <v>1</v>
      </c>
    </row>
    <row r="7552" spans="1:13" x14ac:dyDescent="0.2">
      <c r="A7552" t="s">
        <v>70</v>
      </c>
      <c r="B7552" t="s">
        <v>71</v>
      </c>
      <c r="C7552" t="s">
        <v>72</v>
      </c>
      <c r="D7552">
        <v>6650</v>
      </c>
      <c r="E7552">
        <v>2019</v>
      </c>
      <c r="F7552">
        <v>31</v>
      </c>
      <c r="G7552">
        <v>99863</v>
      </c>
      <c r="H7552" s="1" t="s">
        <v>1828</v>
      </c>
      <c r="I7552">
        <v>1</v>
      </c>
      <c r="J7552">
        <f>IF($H7552=0,1,IF($I7552&lt;=1,2,0))</f>
        <v>2</v>
      </c>
      <c r="K7552">
        <v>0</v>
      </c>
      <c r="L7552">
        <f>IF(AND($J7552=0,$K7552=0),0,1)</f>
        <v>1</v>
      </c>
    </row>
    <row r="7553" spans="1:12" x14ac:dyDescent="0.2">
      <c r="A7553" t="s">
        <v>70</v>
      </c>
      <c r="B7553" t="s">
        <v>71</v>
      </c>
      <c r="C7553" t="s">
        <v>72</v>
      </c>
      <c r="D7553">
        <v>9301</v>
      </c>
      <c r="E7553">
        <v>2019</v>
      </c>
      <c r="F7553">
        <v>34</v>
      </c>
      <c r="G7553">
        <v>20125</v>
      </c>
      <c r="H7553" s="1" t="s">
        <v>1829</v>
      </c>
      <c r="I7553">
        <v>7</v>
      </c>
      <c r="J7553">
        <f>IF($H7553=0,1,IF($I7553&lt;=1,2,0))</f>
        <v>0</v>
      </c>
      <c r="K7553">
        <v>5</v>
      </c>
      <c r="L7553">
        <f>IF(AND($J7553=0,$K7553=0),0,1)</f>
        <v>1</v>
      </c>
    </row>
    <row r="7554" spans="1:12" x14ac:dyDescent="0.2">
      <c r="A7554" t="s">
        <v>70</v>
      </c>
      <c r="B7554" t="s">
        <v>71</v>
      </c>
      <c r="C7554" t="s">
        <v>72</v>
      </c>
      <c r="D7554">
        <v>9301</v>
      </c>
      <c r="E7554">
        <v>2019</v>
      </c>
      <c r="F7554">
        <v>17</v>
      </c>
      <c r="G7554">
        <v>20142</v>
      </c>
      <c r="H7554" s="1" t="s">
        <v>1829</v>
      </c>
      <c r="I7554">
        <v>6</v>
      </c>
      <c r="J7554">
        <f>IF($H7554=0,1,IF($I7554&lt;=1,2,0))</f>
        <v>0</v>
      </c>
      <c r="K7554">
        <v>5</v>
      </c>
      <c r="L7554">
        <f>IF(AND($J7554=0,$K7554=0),0,1)</f>
        <v>1</v>
      </c>
    </row>
    <row r="7555" spans="1:12" x14ac:dyDescent="0.2">
      <c r="A7555" t="s">
        <v>70</v>
      </c>
      <c r="B7555" t="s">
        <v>71</v>
      </c>
      <c r="C7555" t="s">
        <v>72</v>
      </c>
      <c r="D7555">
        <v>9301</v>
      </c>
      <c r="E7555">
        <v>2019</v>
      </c>
      <c r="F7555">
        <v>9</v>
      </c>
      <c r="G7555">
        <v>20150</v>
      </c>
      <c r="H7555" s="1" t="s">
        <v>1829</v>
      </c>
      <c r="I7555">
        <v>5</v>
      </c>
      <c r="J7555">
        <f>IF($H7555=0,1,IF($I7555&lt;=1,2,0))</f>
        <v>0</v>
      </c>
      <c r="K7555">
        <v>5</v>
      </c>
      <c r="L7555">
        <f>IF(AND($J7555=0,$K7555=0),0,1)</f>
        <v>1</v>
      </c>
    </row>
    <row r="7556" spans="1:12" x14ac:dyDescent="0.2">
      <c r="A7556" t="s">
        <v>70</v>
      </c>
      <c r="B7556" t="s">
        <v>71</v>
      </c>
      <c r="C7556" t="s">
        <v>72</v>
      </c>
      <c r="D7556">
        <v>9301</v>
      </c>
      <c r="E7556">
        <v>2019</v>
      </c>
      <c r="F7556">
        <v>10</v>
      </c>
      <c r="G7556">
        <v>20149</v>
      </c>
      <c r="H7556" s="1" t="s">
        <v>1829</v>
      </c>
      <c r="I7556">
        <v>5</v>
      </c>
      <c r="J7556">
        <f>IF($H7556=0,1,IF($I7556&lt;=1,2,0))</f>
        <v>0</v>
      </c>
      <c r="K7556">
        <v>5</v>
      </c>
      <c r="L7556">
        <f>IF(AND($J7556=0,$K7556=0),0,1)</f>
        <v>1</v>
      </c>
    </row>
    <row r="7557" spans="1:12" x14ac:dyDescent="0.2">
      <c r="A7557" t="s">
        <v>70</v>
      </c>
      <c r="B7557" t="s">
        <v>71</v>
      </c>
      <c r="C7557" t="s">
        <v>72</v>
      </c>
      <c r="D7557">
        <v>9301</v>
      </c>
      <c r="E7557">
        <v>2019</v>
      </c>
      <c r="F7557">
        <v>15</v>
      </c>
      <c r="G7557">
        <v>20144</v>
      </c>
      <c r="H7557" s="1" t="s">
        <v>1829</v>
      </c>
      <c r="I7557">
        <v>3</v>
      </c>
      <c r="J7557">
        <f>IF($H7557=0,1,IF($I7557&lt;=1,2,0))</f>
        <v>0</v>
      </c>
      <c r="K7557">
        <v>5</v>
      </c>
      <c r="L7557">
        <f>IF(AND($J7557=0,$K7557=0),0,1)</f>
        <v>1</v>
      </c>
    </row>
    <row r="7558" spans="1:12" x14ac:dyDescent="0.2">
      <c r="A7558" t="s">
        <v>70</v>
      </c>
      <c r="B7558" t="s">
        <v>71</v>
      </c>
      <c r="C7558" t="s">
        <v>72</v>
      </c>
      <c r="D7558">
        <v>9301</v>
      </c>
      <c r="E7558">
        <v>2019</v>
      </c>
      <c r="F7558">
        <v>26</v>
      </c>
      <c r="G7558">
        <v>20133</v>
      </c>
      <c r="H7558" s="1" t="s">
        <v>1829</v>
      </c>
      <c r="I7558">
        <v>3</v>
      </c>
      <c r="J7558">
        <f>IF($H7558=0,1,IF($I7558&lt;=1,2,0))</f>
        <v>0</v>
      </c>
      <c r="K7558">
        <v>5</v>
      </c>
      <c r="L7558">
        <f>IF(AND($J7558=0,$K7558=0),0,1)</f>
        <v>1</v>
      </c>
    </row>
    <row r="7559" spans="1:12" x14ac:dyDescent="0.2">
      <c r="A7559" t="s">
        <v>70</v>
      </c>
      <c r="B7559" t="s">
        <v>71</v>
      </c>
      <c r="C7559" t="s">
        <v>72</v>
      </c>
      <c r="D7559">
        <v>9301</v>
      </c>
      <c r="E7559">
        <v>2019</v>
      </c>
      <c r="F7559">
        <v>29</v>
      </c>
      <c r="G7559">
        <v>20130</v>
      </c>
      <c r="H7559" s="1" t="s">
        <v>1829</v>
      </c>
      <c r="I7559">
        <v>3</v>
      </c>
      <c r="J7559">
        <f>IF($H7559=0,1,IF($I7559&lt;=1,2,0))</f>
        <v>0</v>
      </c>
      <c r="K7559">
        <v>5</v>
      </c>
      <c r="L7559">
        <f>IF(AND($J7559=0,$K7559=0),0,1)</f>
        <v>1</v>
      </c>
    </row>
    <row r="7560" spans="1:12" x14ac:dyDescent="0.2">
      <c r="A7560" t="s">
        <v>70</v>
      </c>
      <c r="B7560" t="s">
        <v>71</v>
      </c>
      <c r="C7560" t="s">
        <v>72</v>
      </c>
      <c r="D7560">
        <v>9301</v>
      </c>
      <c r="E7560">
        <v>2019</v>
      </c>
      <c r="F7560">
        <v>16</v>
      </c>
      <c r="G7560">
        <v>20143</v>
      </c>
      <c r="H7560" s="1" t="s">
        <v>1829</v>
      </c>
      <c r="I7560">
        <v>2</v>
      </c>
      <c r="J7560">
        <f>IF($H7560=0,1,IF($I7560&lt;=1,2,0))</f>
        <v>0</v>
      </c>
      <c r="K7560">
        <v>5</v>
      </c>
      <c r="L7560">
        <f>IF(AND($J7560=0,$K7560=0),0,1)</f>
        <v>1</v>
      </c>
    </row>
    <row r="7561" spans="1:12" x14ac:dyDescent="0.2">
      <c r="A7561" t="s">
        <v>70</v>
      </c>
      <c r="B7561" t="s">
        <v>71</v>
      </c>
      <c r="C7561" t="s">
        <v>72</v>
      </c>
      <c r="D7561">
        <v>9301</v>
      </c>
      <c r="E7561">
        <v>2019</v>
      </c>
      <c r="F7561">
        <v>18</v>
      </c>
      <c r="G7561">
        <v>20141</v>
      </c>
      <c r="H7561" s="1" t="s">
        <v>1829</v>
      </c>
      <c r="I7561">
        <v>2</v>
      </c>
      <c r="J7561">
        <f>IF($H7561=0,1,IF($I7561&lt;=1,2,0))</f>
        <v>0</v>
      </c>
      <c r="K7561">
        <v>5</v>
      </c>
      <c r="L7561">
        <f>IF(AND($J7561=0,$K7561=0),0,1)</f>
        <v>1</v>
      </c>
    </row>
    <row r="7562" spans="1:12" x14ac:dyDescent="0.2">
      <c r="A7562" t="s">
        <v>70</v>
      </c>
      <c r="B7562" t="s">
        <v>71</v>
      </c>
      <c r="C7562" t="s">
        <v>72</v>
      </c>
      <c r="D7562">
        <v>9301</v>
      </c>
      <c r="E7562">
        <v>2019</v>
      </c>
      <c r="F7562">
        <v>22</v>
      </c>
      <c r="G7562">
        <v>20137</v>
      </c>
      <c r="H7562" s="1" t="s">
        <v>1829</v>
      </c>
      <c r="I7562">
        <v>2</v>
      </c>
      <c r="J7562">
        <f>IF($H7562=0,1,IF($I7562&lt;=1,2,0))</f>
        <v>0</v>
      </c>
      <c r="K7562">
        <v>5</v>
      </c>
      <c r="L7562">
        <f>IF(AND($J7562=0,$K7562=0),0,1)</f>
        <v>1</v>
      </c>
    </row>
    <row r="7563" spans="1:12" x14ac:dyDescent="0.2">
      <c r="A7563" t="s">
        <v>70</v>
      </c>
      <c r="B7563" t="s">
        <v>71</v>
      </c>
      <c r="C7563" t="s">
        <v>72</v>
      </c>
      <c r="D7563">
        <v>9301</v>
      </c>
      <c r="E7563">
        <v>2019</v>
      </c>
      <c r="F7563">
        <v>32</v>
      </c>
      <c r="G7563">
        <v>20127</v>
      </c>
      <c r="H7563" s="1" t="s">
        <v>1829</v>
      </c>
      <c r="I7563">
        <v>2</v>
      </c>
      <c r="J7563">
        <f>IF($H7563=0,1,IF($I7563&lt;=1,2,0))</f>
        <v>0</v>
      </c>
      <c r="K7563">
        <v>5</v>
      </c>
      <c r="L7563">
        <f>IF(AND($J7563=0,$K7563=0),0,1)</f>
        <v>1</v>
      </c>
    </row>
    <row r="7564" spans="1:12" x14ac:dyDescent="0.2">
      <c r="A7564" t="s">
        <v>70</v>
      </c>
      <c r="B7564" t="s">
        <v>71</v>
      </c>
      <c r="C7564" t="s">
        <v>72</v>
      </c>
      <c r="D7564">
        <v>9301</v>
      </c>
      <c r="E7564">
        <v>2019</v>
      </c>
      <c r="F7564">
        <v>33</v>
      </c>
      <c r="G7564">
        <v>20126</v>
      </c>
      <c r="H7564" s="1" t="s">
        <v>1829</v>
      </c>
      <c r="I7564">
        <v>2</v>
      </c>
      <c r="J7564">
        <f>IF($H7564=0,1,IF($I7564&lt;=1,2,0))</f>
        <v>0</v>
      </c>
      <c r="K7564">
        <v>5</v>
      </c>
      <c r="L7564">
        <f>IF(AND($J7564=0,$K7564=0),0,1)</f>
        <v>1</v>
      </c>
    </row>
    <row r="7565" spans="1:12" x14ac:dyDescent="0.2">
      <c r="A7565" t="s">
        <v>70</v>
      </c>
      <c r="B7565" t="s">
        <v>71</v>
      </c>
      <c r="C7565" t="s">
        <v>72</v>
      </c>
      <c r="D7565">
        <v>9301</v>
      </c>
      <c r="E7565">
        <v>2019</v>
      </c>
      <c r="F7565">
        <v>4</v>
      </c>
      <c r="G7565">
        <v>20155</v>
      </c>
      <c r="H7565" s="1" t="s">
        <v>1829</v>
      </c>
      <c r="I7565">
        <v>1</v>
      </c>
      <c r="J7565">
        <f>IF($H7565=0,1,IF($I7565&lt;=1,2,0))</f>
        <v>2</v>
      </c>
      <c r="K7565">
        <v>5</v>
      </c>
      <c r="L7565">
        <f>IF(AND($J7565=0,$K7565=0),0,1)</f>
        <v>1</v>
      </c>
    </row>
    <row r="7566" spans="1:12" x14ac:dyDescent="0.2">
      <c r="A7566" t="s">
        <v>70</v>
      </c>
      <c r="B7566" t="s">
        <v>71</v>
      </c>
      <c r="C7566" t="s">
        <v>72</v>
      </c>
      <c r="D7566">
        <v>9301</v>
      </c>
      <c r="E7566">
        <v>2019</v>
      </c>
      <c r="F7566">
        <v>5</v>
      </c>
      <c r="G7566">
        <v>20154</v>
      </c>
      <c r="H7566" s="1" t="s">
        <v>1829</v>
      </c>
      <c r="I7566">
        <v>1</v>
      </c>
      <c r="J7566">
        <f>IF($H7566=0,1,IF($I7566&lt;=1,2,0))</f>
        <v>2</v>
      </c>
      <c r="K7566">
        <v>5</v>
      </c>
      <c r="L7566">
        <f>IF(AND($J7566=0,$K7566=0),0,1)</f>
        <v>1</v>
      </c>
    </row>
    <row r="7567" spans="1:12" x14ac:dyDescent="0.2">
      <c r="A7567" t="s">
        <v>70</v>
      </c>
      <c r="B7567" t="s">
        <v>71</v>
      </c>
      <c r="C7567" t="s">
        <v>72</v>
      </c>
      <c r="D7567">
        <v>9301</v>
      </c>
      <c r="E7567">
        <v>2019</v>
      </c>
      <c r="F7567">
        <v>12</v>
      </c>
      <c r="G7567">
        <v>20147</v>
      </c>
      <c r="H7567" s="1" t="s">
        <v>1829</v>
      </c>
      <c r="I7567">
        <v>1</v>
      </c>
      <c r="J7567">
        <f>IF($H7567=0,1,IF($I7567&lt;=1,2,0))</f>
        <v>2</v>
      </c>
      <c r="K7567">
        <v>5</v>
      </c>
      <c r="L7567">
        <f>IF(AND($J7567=0,$K7567=0),0,1)</f>
        <v>1</v>
      </c>
    </row>
    <row r="7568" spans="1:12" x14ac:dyDescent="0.2">
      <c r="A7568" t="s">
        <v>70</v>
      </c>
      <c r="B7568" t="s">
        <v>71</v>
      </c>
      <c r="C7568" t="s">
        <v>72</v>
      </c>
      <c r="D7568">
        <v>9301</v>
      </c>
      <c r="E7568">
        <v>2019</v>
      </c>
      <c r="F7568">
        <v>13</v>
      </c>
      <c r="G7568">
        <v>20146</v>
      </c>
      <c r="H7568" s="1" t="s">
        <v>1829</v>
      </c>
      <c r="I7568">
        <v>1</v>
      </c>
      <c r="J7568">
        <f>IF($H7568=0,1,IF($I7568&lt;=1,2,0))</f>
        <v>2</v>
      </c>
      <c r="K7568">
        <v>5</v>
      </c>
      <c r="L7568">
        <f>IF(AND($J7568=0,$K7568=0),0,1)</f>
        <v>1</v>
      </c>
    </row>
    <row r="7569" spans="1:12" x14ac:dyDescent="0.2">
      <c r="A7569" t="s">
        <v>70</v>
      </c>
      <c r="B7569" t="s">
        <v>71</v>
      </c>
      <c r="C7569" t="s">
        <v>72</v>
      </c>
      <c r="D7569">
        <v>9301</v>
      </c>
      <c r="E7569">
        <v>2019</v>
      </c>
      <c r="F7569">
        <v>24</v>
      </c>
      <c r="G7569">
        <v>20135</v>
      </c>
      <c r="H7569" s="1" t="s">
        <v>1829</v>
      </c>
      <c r="I7569">
        <v>1</v>
      </c>
      <c r="J7569">
        <f>IF($H7569=0,1,IF($I7569&lt;=1,2,0))</f>
        <v>2</v>
      </c>
      <c r="K7569">
        <v>5</v>
      </c>
      <c r="L7569">
        <f>IF(AND($J7569=0,$K7569=0),0,1)</f>
        <v>1</v>
      </c>
    </row>
    <row r="7570" spans="1:12" x14ac:dyDescent="0.2">
      <c r="A7570" t="s">
        <v>70</v>
      </c>
      <c r="B7570" t="s">
        <v>71</v>
      </c>
      <c r="C7570" t="s">
        <v>72</v>
      </c>
      <c r="D7570">
        <v>9301</v>
      </c>
      <c r="E7570">
        <v>2019</v>
      </c>
      <c r="F7570">
        <v>25</v>
      </c>
      <c r="G7570">
        <v>20134</v>
      </c>
      <c r="H7570" s="1" t="s">
        <v>1829</v>
      </c>
      <c r="I7570">
        <v>1</v>
      </c>
      <c r="J7570">
        <f>IF($H7570=0,1,IF($I7570&lt;=1,2,0))</f>
        <v>2</v>
      </c>
      <c r="K7570">
        <v>5</v>
      </c>
      <c r="L7570">
        <f>IF(AND($J7570=0,$K7570=0),0,1)</f>
        <v>1</v>
      </c>
    </row>
    <row r="7571" spans="1:12" x14ac:dyDescent="0.2">
      <c r="A7571" t="s">
        <v>70</v>
      </c>
      <c r="B7571" t="s">
        <v>71</v>
      </c>
      <c r="C7571" t="s">
        <v>72</v>
      </c>
      <c r="D7571">
        <v>9301</v>
      </c>
      <c r="E7571">
        <v>2019</v>
      </c>
      <c r="F7571">
        <v>30</v>
      </c>
      <c r="G7571">
        <v>20129</v>
      </c>
      <c r="H7571" s="1" t="s">
        <v>1829</v>
      </c>
      <c r="I7571">
        <v>1</v>
      </c>
      <c r="J7571">
        <f>IF($H7571=0,1,IF($I7571&lt;=1,2,0))</f>
        <v>2</v>
      </c>
      <c r="K7571">
        <v>5</v>
      </c>
      <c r="L7571">
        <f>IF(AND($J7571=0,$K7571=0),0,1)</f>
        <v>1</v>
      </c>
    </row>
    <row r="7572" spans="1:12" x14ac:dyDescent="0.2">
      <c r="A7572" t="s">
        <v>70</v>
      </c>
      <c r="B7572" t="s">
        <v>71</v>
      </c>
      <c r="C7572" t="s">
        <v>72</v>
      </c>
      <c r="D7572">
        <v>9301</v>
      </c>
      <c r="E7572">
        <v>2019</v>
      </c>
      <c r="F7572">
        <v>31</v>
      </c>
      <c r="G7572">
        <v>20128</v>
      </c>
      <c r="H7572" s="1" t="s">
        <v>1829</v>
      </c>
      <c r="I7572">
        <v>1</v>
      </c>
      <c r="J7572">
        <f>IF($H7572=0,1,IF($I7572&lt;=1,2,0))</f>
        <v>2</v>
      </c>
      <c r="K7572">
        <v>5</v>
      </c>
      <c r="L7572">
        <f>IF(AND($J7572=0,$K7572=0),0,1)</f>
        <v>1</v>
      </c>
    </row>
    <row r="7573" spans="1:12" x14ac:dyDescent="0.2">
      <c r="A7573" t="s">
        <v>70</v>
      </c>
      <c r="B7573" t="s">
        <v>71</v>
      </c>
      <c r="C7573" t="s">
        <v>72</v>
      </c>
      <c r="D7573">
        <v>9301</v>
      </c>
      <c r="E7573">
        <v>2019</v>
      </c>
      <c r="F7573">
        <v>35</v>
      </c>
      <c r="G7573">
        <v>20124</v>
      </c>
      <c r="H7573" s="1" t="s">
        <v>1829</v>
      </c>
      <c r="I7573">
        <v>1</v>
      </c>
      <c r="J7573">
        <f>IF($H7573=0,1,IF($I7573&lt;=1,2,0))</f>
        <v>2</v>
      </c>
      <c r="K7573">
        <v>5</v>
      </c>
      <c r="L7573">
        <f>IF(AND($J7573=0,$K7573=0),0,1)</f>
        <v>1</v>
      </c>
    </row>
    <row r="7574" spans="1:12" x14ac:dyDescent="0.2">
      <c r="A7574" t="s">
        <v>70</v>
      </c>
      <c r="B7574" t="s">
        <v>71</v>
      </c>
      <c r="C7574" t="s">
        <v>72</v>
      </c>
      <c r="D7574">
        <v>9301</v>
      </c>
      <c r="E7574">
        <v>2019</v>
      </c>
      <c r="F7574">
        <v>36</v>
      </c>
      <c r="G7574">
        <v>20123</v>
      </c>
      <c r="H7574" s="1" t="s">
        <v>1829</v>
      </c>
      <c r="I7574">
        <v>1</v>
      </c>
      <c r="J7574">
        <f>IF($H7574=0,1,IF($I7574&lt;=1,2,0))</f>
        <v>2</v>
      </c>
      <c r="K7574">
        <v>5</v>
      </c>
      <c r="L7574">
        <f>IF(AND($J7574=0,$K7574=0),0,1)</f>
        <v>1</v>
      </c>
    </row>
    <row r="7575" spans="1:12" x14ac:dyDescent="0.2">
      <c r="A7575" t="s">
        <v>70</v>
      </c>
      <c r="B7575" t="s">
        <v>71</v>
      </c>
      <c r="C7575" t="s">
        <v>72</v>
      </c>
      <c r="D7575">
        <v>9301</v>
      </c>
      <c r="E7575">
        <v>2019</v>
      </c>
      <c r="F7575">
        <v>1</v>
      </c>
      <c r="G7575">
        <v>20158</v>
      </c>
      <c r="H7575" s="1" t="s">
        <v>1829</v>
      </c>
      <c r="I7575">
        <v>0</v>
      </c>
      <c r="J7575">
        <f>IF($H7575=0,1,IF($I7575&lt;=1,2,0))</f>
        <v>2</v>
      </c>
      <c r="K7575">
        <v>5</v>
      </c>
      <c r="L7575">
        <f>IF(AND($J7575=0,$K7575=0),0,1)</f>
        <v>1</v>
      </c>
    </row>
    <row r="7576" spans="1:12" x14ac:dyDescent="0.2">
      <c r="A7576" t="s">
        <v>70</v>
      </c>
      <c r="B7576" t="s">
        <v>71</v>
      </c>
      <c r="C7576" t="s">
        <v>72</v>
      </c>
      <c r="D7576">
        <v>9301</v>
      </c>
      <c r="E7576">
        <v>2019</v>
      </c>
      <c r="F7576">
        <v>2</v>
      </c>
      <c r="G7576">
        <v>20157</v>
      </c>
      <c r="H7576" s="1" t="s">
        <v>1829</v>
      </c>
      <c r="I7576">
        <v>0</v>
      </c>
      <c r="J7576">
        <f>IF($H7576=0,1,IF($I7576&lt;=1,2,0))</f>
        <v>2</v>
      </c>
      <c r="K7576">
        <v>5</v>
      </c>
      <c r="L7576">
        <f>IF(AND($J7576=0,$K7576=0),0,1)</f>
        <v>1</v>
      </c>
    </row>
    <row r="7577" spans="1:12" x14ac:dyDescent="0.2">
      <c r="A7577" t="s">
        <v>70</v>
      </c>
      <c r="B7577" t="s">
        <v>71</v>
      </c>
      <c r="C7577" t="s">
        <v>72</v>
      </c>
      <c r="D7577">
        <v>9301</v>
      </c>
      <c r="E7577">
        <v>2019</v>
      </c>
      <c r="F7577">
        <v>3</v>
      </c>
      <c r="G7577">
        <v>20156</v>
      </c>
      <c r="H7577" s="1" t="s">
        <v>1829</v>
      </c>
      <c r="I7577">
        <v>0</v>
      </c>
      <c r="J7577">
        <f>IF($H7577=0,1,IF($I7577&lt;=1,2,0))</f>
        <v>2</v>
      </c>
      <c r="K7577">
        <v>5</v>
      </c>
      <c r="L7577">
        <f>IF(AND($J7577=0,$K7577=0),0,1)</f>
        <v>1</v>
      </c>
    </row>
    <row r="7578" spans="1:12" x14ac:dyDescent="0.2">
      <c r="A7578" t="s">
        <v>70</v>
      </c>
      <c r="B7578" t="s">
        <v>71</v>
      </c>
      <c r="C7578" t="s">
        <v>72</v>
      </c>
      <c r="D7578">
        <v>9301</v>
      </c>
      <c r="E7578">
        <v>2019</v>
      </c>
      <c r="F7578">
        <v>6</v>
      </c>
      <c r="G7578">
        <v>20153</v>
      </c>
      <c r="H7578" s="1" t="s">
        <v>1829</v>
      </c>
      <c r="I7578">
        <v>0</v>
      </c>
      <c r="J7578">
        <f>IF($H7578=0,1,IF($I7578&lt;=1,2,0))</f>
        <v>2</v>
      </c>
      <c r="K7578">
        <v>5</v>
      </c>
      <c r="L7578">
        <f>IF(AND($J7578=0,$K7578=0),0,1)</f>
        <v>1</v>
      </c>
    </row>
    <row r="7579" spans="1:12" x14ac:dyDescent="0.2">
      <c r="A7579" t="s">
        <v>70</v>
      </c>
      <c r="B7579" t="s">
        <v>71</v>
      </c>
      <c r="C7579" t="s">
        <v>72</v>
      </c>
      <c r="D7579">
        <v>9301</v>
      </c>
      <c r="E7579">
        <v>2019</v>
      </c>
      <c r="F7579">
        <v>7</v>
      </c>
      <c r="G7579">
        <v>20152</v>
      </c>
      <c r="H7579" s="1" t="s">
        <v>1829</v>
      </c>
      <c r="I7579">
        <v>0</v>
      </c>
      <c r="J7579">
        <f>IF($H7579=0,1,IF($I7579&lt;=1,2,0))</f>
        <v>2</v>
      </c>
      <c r="K7579">
        <v>5</v>
      </c>
      <c r="L7579">
        <f>IF(AND($J7579=0,$K7579=0),0,1)</f>
        <v>1</v>
      </c>
    </row>
    <row r="7580" spans="1:12" x14ac:dyDescent="0.2">
      <c r="A7580" t="s">
        <v>70</v>
      </c>
      <c r="B7580" t="s">
        <v>71</v>
      </c>
      <c r="C7580" t="s">
        <v>72</v>
      </c>
      <c r="D7580">
        <v>9301</v>
      </c>
      <c r="E7580">
        <v>2019</v>
      </c>
      <c r="F7580">
        <v>8</v>
      </c>
      <c r="G7580">
        <v>20151</v>
      </c>
      <c r="H7580" s="1" t="s">
        <v>1829</v>
      </c>
      <c r="I7580">
        <v>0</v>
      </c>
      <c r="J7580">
        <f>IF($H7580=0,1,IF($I7580&lt;=1,2,0))</f>
        <v>2</v>
      </c>
      <c r="K7580">
        <v>5</v>
      </c>
      <c r="L7580">
        <f>IF(AND($J7580=0,$K7580=0),0,1)</f>
        <v>1</v>
      </c>
    </row>
    <row r="7581" spans="1:12" x14ac:dyDescent="0.2">
      <c r="A7581" t="s">
        <v>70</v>
      </c>
      <c r="B7581" t="s">
        <v>71</v>
      </c>
      <c r="C7581" t="s">
        <v>72</v>
      </c>
      <c r="D7581">
        <v>9301</v>
      </c>
      <c r="E7581">
        <v>2019</v>
      </c>
      <c r="F7581">
        <v>11</v>
      </c>
      <c r="G7581">
        <v>20148</v>
      </c>
      <c r="H7581" s="1" t="s">
        <v>1829</v>
      </c>
      <c r="I7581">
        <v>0</v>
      </c>
      <c r="J7581">
        <f>IF($H7581=0,1,IF($I7581&lt;=1,2,0))</f>
        <v>2</v>
      </c>
      <c r="K7581">
        <v>5</v>
      </c>
      <c r="L7581">
        <f>IF(AND($J7581=0,$K7581=0),0,1)</f>
        <v>1</v>
      </c>
    </row>
    <row r="7582" spans="1:12" x14ac:dyDescent="0.2">
      <c r="A7582" t="s">
        <v>70</v>
      </c>
      <c r="B7582" t="s">
        <v>71</v>
      </c>
      <c r="C7582" t="s">
        <v>72</v>
      </c>
      <c r="D7582">
        <v>9301</v>
      </c>
      <c r="E7582">
        <v>2019</v>
      </c>
      <c r="F7582">
        <v>14</v>
      </c>
      <c r="G7582">
        <v>20145</v>
      </c>
      <c r="H7582" s="1" t="s">
        <v>1829</v>
      </c>
      <c r="I7582">
        <v>0</v>
      </c>
      <c r="J7582">
        <f>IF($H7582=0,1,IF($I7582&lt;=1,2,0))</f>
        <v>2</v>
      </c>
      <c r="K7582">
        <v>5</v>
      </c>
      <c r="L7582">
        <f>IF(AND($J7582=0,$K7582=0),0,1)</f>
        <v>1</v>
      </c>
    </row>
    <row r="7583" spans="1:12" x14ac:dyDescent="0.2">
      <c r="A7583" t="s">
        <v>70</v>
      </c>
      <c r="B7583" t="s">
        <v>71</v>
      </c>
      <c r="C7583" t="s">
        <v>72</v>
      </c>
      <c r="D7583">
        <v>9301</v>
      </c>
      <c r="E7583">
        <v>2019</v>
      </c>
      <c r="F7583">
        <v>19</v>
      </c>
      <c r="G7583">
        <v>20140</v>
      </c>
      <c r="H7583" s="1" t="s">
        <v>1829</v>
      </c>
      <c r="I7583">
        <v>0</v>
      </c>
      <c r="J7583">
        <f>IF($H7583=0,1,IF($I7583&lt;=1,2,0))</f>
        <v>2</v>
      </c>
      <c r="K7583">
        <v>5</v>
      </c>
      <c r="L7583">
        <f>IF(AND($J7583=0,$K7583=0),0,1)</f>
        <v>1</v>
      </c>
    </row>
    <row r="7584" spans="1:12" x14ac:dyDescent="0.2">
      <c r="A7584" t="s">
        <v>70</v>
      </c>
      <c r="B7584" t="s">
        <v>71</v>
      </c>
      <c r="C7584" t="s">
        <v>72</v>
      </c>
      <c r="D7584">
        <v>9301</v>
      </c>
      <c r="E7584">
        <v>2019</v>
      </c>
      <c r="F7584">
        <v>20</v>
      </c>
      <c r="G7584">
        <v>20139</v>
      </c>
      <c r="H7584" s="1" t="s">
        <v>1829</v>
      </c>
      <c r="I7584">
        <v>0</v>
      </c>
      <c r="J7584">
        <f>IF($H7584=0,1,IF($I7584&lt;=1,2,0))</f>
        <v>2</v>
      </c>
      <c r="K7584">
        <v>5</v>
      </c>
      <c r="L7584">
        <f>IF(AND($J7584=0,$K7584=0),0,1)</f>
        <v>1</v>
      </c>
    </row>
    <row r="7585" spans="1:13" x14ac:dyDescent="0.2">
      <c r="A7585" t="s">
        <v>70</v>
      </c>
      <c r="B7585" t="s">
        <v>71</v>
      </c>
      <c r="C7585" t="s">
        <v>72</v>
      </c>
      <c r="D7585">
        <v>9301</v>
      </c>
      <c r="E7585">
        <v>2019</v>
      </c>
      <c r="F7585">
        <v>21</v>
      </c>
      <c r="G7585">
        <v>20138</v>
      </c>
      <c r="H7585" s="1" t="s">
        <v>1829</v>
      </c>
      <c r="I7585">
        <v>0</v>
      </c>
      <c r="J7585">
        <f>IF($H7585=0,1,IF($I7585&lt;=1,2,0))</f>
        <v>2</v>
      </c>
      <c r="K7585">
        <v>5</v>
      </c>
      <c r="L7585">
        <f>IF(AND($J7585=0,$K7585=0),0,1)</f>
        <v>1</v>
      </c>
    </row>
    <row r="7586" spans="1:13" x14ac:dyDescent="0.2">
      <c r="A7586" t="s">
        <v>70</v>
      </c>
      <c r="B7586" t="s">
        <v>71</v>
      </c>
      <c r="C7586" t="s">
        <v>72</v>
      </c>
      <c r="D7586">
        <v>9301</v>
      </c>
      <c r="E7586">
        <v>2019</v>
      </c>
      <c r="F7586">
        <v>23</v>
      </c>
      <c r="G7586">
        <v>20136</v>
      </c>
      <c r="H7586" s="1" t="s">
        <v>1829</v>
      </c>
      <c r="I7586">
        <v>0</v>
      </c>
      <c r="J7586">
        <f>IF($H7586=0,1,IF($I7586&lt;=1,2,0))</f>
        <v>2</v>
      </c>
      <c r="K7586">
        <v>5</v>
      </c>
      <c r="L7586">
        <f>IF(AND($J7586=0,$K7586=0),0,1)</f>
        <v>1</v>
      </c>
    </row>
    <row r="7587" spans="1:13" x14ac:dyDescent="0.2">
      <c r="A7587" t="s">
        <v>70</v>
      </c>
      <c r="B7587" t="s">
        <v>71</v>
      </c>
      <c r="C7587" t="s">
        <v>72</v>
      </c>
      <c r="D7587">
        <v>9301</v>
      </c>
      <c r="E7587">
        <v>2019</v>
      </c>
      <c r="F7587">
        <v>27</v>
      </c>
      <c r="G7587">
        <v>20132</v>
      </c>
      <c r="H7587" s="1" t="s">
        <v>1829</v>
      </c>
      <c r="I7587">
        <v>0</v>
      </c>
      <c r="J7587">
        <f>IF($H7587=0,1,IF($I7587&lt;=1,2,0))</f>
        <v>2</v>
      </c>
      <c r="K7587">
        <v>5</v>
      </c>
      <c r="L7587">
        <f>IF(AND($J7587=0,$K7587=0),0,1)</f>
        <v>1</v>
      </c>
    </row>
    <row r="7588" spans="1:13" x14ac:dyDescent="0.2">
      <c r="A7588" t="s">
        <v>70</v>
      </c>
      <c r="B7588" t="s">
        <v>71</v>
      </c>
      <c r="C7588" t="s">
        <v>72</v>
      </c>
      <c r="D7588">
        <v>9301</v>
      </c>
      <c r="E7588">
        <v>2019</v>
      </c>
      <c r="F7588">
        <v>28</v>
      </c>
      <c r="G7588">
        <v>20131</v>
      </c>
      <c r="H7588" s="1" t="s">
        <v>1829</v>
      </c>
      <c r="I7588">
        <v>0</v>
      </c>
      <c r="J7588">
        <f>IF($H7588=0,1,IF($I7588&lt;=1,2,0))</f>
        <v>2</v>
      </c>
      <c r="K7588">
        <v>5</v>
      </c>
      <c r="L7588">
        <f>IF(AND($J7588=0,$K7588=0),0,1)</f>
        <v>1</v>
      </c>
    </row>
    <row r="7589" spans="1:13" x14ac:dyDescent="0.2">
      <c r="A7589" t="s">
        <v>75</v>
      </c>
      <c r="B7589" t="s">
        <v>71</v>
      </c>
      <c r="C7589" t="s">
        <v>72</v>
      </c>
      <c r="D7589">
        <v>2001</v>
      </c>
      <c r="E7589">
        <v>2019</v>
      </c>
      <c r="F7589" t="s">
        <v>79</v>
      </c>
      <c r="G7589">
        <v>20083</v>
      </c>
      <c r="H7589" s="1">
        <v>0</v>
      </c>
      <c r="I7589">
        <v>29</v>
      </c>
      <c r="J7589">
        <f>IF($H7589=0,1,IF($I7589&lt;=1,2,0))</f>
        <v>1</v>
      </c>
      <c r="K7589">
        <v>0</v>
      </c>
      <c r="L7589">
        <f>IF(AND($J7589=0,$K7589=0),0,1)</f>
        <v>1</v>
      </c>
    </row>
    <row r="7590" spans="1:13" x14ac:dyDescent="0.2">
      <c r="A7590" t="s">
        <v>75</v>
      </c>
      <c r="B7590" t="s">
        <v>71</v>
      </c>
      <c r="C7590" t="s">
        <v>72</v>
      </c>
      <c r="D7590">
        <v>2001</v>
      </c>
      <c r="E7590">
        <v>2019</v>
      </c>
      <c r="F7590" t="s">
        <v>59</v>
      </c>
      <c r="G7590">
        <v>20087</v>
      </c>
      <c r="H7590" s="1">
        <v>0</v>
      </c>
      <c r="I7590">
        <v>28</v>
      </c>
      <c r="J7590">
        <f>IF($H7590=0,1,IF($I7590&lt;=1,2,0))</f>
        <v>1</v>
      </c>
      <c r="K7590">
        <v>0</v>
      </c>
      <c r="L7590">
        <f>IF(AND($J7590=0,$K7590=0),0,1)</f>
        <v>1</v>
      </c>
    </row>
    <row r="7591" spans="1:13" x14ac:dyDescent="0.2">
      <c r="A7591" t="s">
        <v>75</v>
      </c>
      <c r="B7591" t="s">
        <v>71</v>
      </c>
      <c r="C7591" t="s">
        <v>72</v>
      </c>
      <c r="D7591">
        <v>2001</v>
      </c>
      <c r="E7591">
        <v>2019</v>
      </c>
      <c r="F7591" t="s">
        <v>77</v>
      </c>
      <c r="G7591">
        <v>20085</v>
      </c>
      <c r="H7591" s="1">
        <v>0</v>
      </c>
      <c r="I7591">
        <v>27</v>
      </c>
      <c r="J7591">
        <f>IF($H7591=0,1,IF($I7591&lt;=1,2,0))</f>
        <v>1</v>
      </c>
      <c r="K7591">
        <v>0</v>
      </c>
      <c r="L7591">
        <f>IF(AND($J7591=0,$K7591=0),0,1)</f>
        <v>1</v>
      </c>
    </row>
    <row r="7592" spans="1:13" x14ac:dyDescent="0.2">
      <c r="A7592" t="s">
        <v>75</v>
      </c>
      <c r="B7592" t="s">
        <v>71</v>
      </c>
      <c r="C7592" t="s">
        <v>72</v>
      </c>
      <c r="D7592">
        <v>2001</v>
      </c>
      <c r="E7592">
        <v>2019</v>
      </c>
      <c r="F7592" t="s">
        <v>80</v>
      </c>
      <c r="G7592">
        <v>20082</v>
      </c>
      <c r="H7592" s="1">
        <v>0</v>
      </c>
      <c r="I7592">
        <v>27</v>
      </c>
      <c r="J7592">
        <f>IF($H7592=0,1,IF($I7592&lt;=1,2,0))</f>
        <v>1</v>
      </c>
      <c r="K7592">
        <v>0</v>
      </c>
      <c r="L7592">
        <f>IF(AND($J7592=0,$K7592=0),0,1)</f>
        <v>1</v>
      </c>
    </row>
    <row r="7593" spans="1:13" x14ac:dyDescent="0.2">
      <c r="A7593" t="s">
        <v>75</v>
      </c>
      <c r="B7593" t="s">
        <v>71</v>
      </c>
      <c r="C7593" t="s">
        <v>72</v>
      </c>
      <c r="D7593">
        <v>2001</v>
      </c>
      <c r="E7593">
        <v>2019</v>
      </c>
      <c r="F7593" t="s">
        <v>60</v>
      </c>
      <c r="G7593">
        <v>20086</v>
      </c>
      <c r="H7593" s="1">
        <v>0</v>
      </c>
      <c r="I7593">
        <v>26</v>
      </c>
      <c r="J7593">
        <f>IF($H7593=0,1,IF($I7593&lt;=1,2,0))</f>
        <v>1</v>
      </c>
      <c r="K7593">
        <v>0</v>
      </c>
      <c r="L7593">
        <f>IF(AND($J7593=0,$K7593=0),0,1)</f>
        <v>1</v>
      </c>
    </row>
    <row r="7594" spans="1:13" x14ac:dyDescent="0.2">
      <c r="A7594" t="s">
        <v>75</v>
      </c>
      <c r="B7594" t="s">
        <v>71</v>
      </c>
      <c r="C7594" t="s">
        <v>72</v>
      </c>
      <c r="D7594">
        <v>2001</v>
      </c>
      <c r="E7594">
        <v>2019</v>
      </c>
      <c r="F7594" t="s">
        <v>83</v>
      </c>
      <c r="G7594">
        <v>20079</v>
      </c>
      <c r="H7594" s="1">
        <v>0</v>
      </c>
      <c r="I7594">
        <v>25</v>
      </c>
      <c r="J7594">
        <f>IF($H7594=0,1,IF($I7594&lt;=1,2,0))</f>
        <v>1</v>
      </c>
      <c r="K7594">
        <v>0</v>
      </c>
      <c r="L7594">
        <f>IF(AND($J7594=0,$K7594=0),0,1)</f>
        <v>1</v>
      </c>
    </row>
    <row r="7595" spans="1:13" x14ac:dyDescent="0.2">
      <c r="A7595" t="s">
        <v>75</v>
      </c>
      <c r="B7595" t="s">
        <v>71</v>
      </c>
      <c r="C7595" t="s">
        <v>72</v>
      </c>
      <c r="D7595">
        <v>2001</v>
      </c>
      <c r="E7595">
        <v>2019</v>
      </c>
      <c r="F7595" t="s">
        <v>81</v>
      </c>
      <c r="G7595">
        <v>20081</v>
      </c>
      <c r="H7595" s="1">
        <v>0</v>
      </c>
      <c r="I7595">
        <v>23</v>
      </c>
      <c r="J7595">
        <f>IF($H7595=0,1,IF($I7595&lt;=1,2,0))</f>
        <v>1</v>
      </c>
      <c r="K7595">
        <v>0</v>
      </c>
      <c r="L7595">
        <f>IF(AND($J7595=0,$K7595=0),0,1)</f>
        <v>1</v>
      </c>
    </row>
    <row r="7596" spans="1:13" x14ac:dyDescent="0.2">
      <c r="A7596" t="s">
        <v>75</v>
      </c>
      <c r="B7596" t="s">
        <v>71</v>
      </c>
      <c r="C7596" t="s">
        <v>72</v>
      </c>
      <c r="D7596">
        <v>2001</v>
      </c>
      <c r="E7596">
        <v>2019</v>
      </c>
      <c r="F7596" t="s">
        <v>78</v>
      </c>
      <c r="G7596">
        <v>20084</v>
      </c>
      <c r="H7596" s="1">
        <v>0</v>
      </c>
      <c r="I7596">
        <v>20</v>
      </c>
      <c r="J7596">
        <f>IF($H7596=0,1,IF($I7596&lt;=1,2,0))</f>
        <v>1</v>
      </c>
      <c r="K7596">
        <v>0</v>
      </c>
      <c r="L7596">
        <f>IF(AND($J7596=0,$K7596=0),0,1)</f>
        <v>1</v>
      </c>
    </row>
    <row r="7597" spans="1:13" x14ac:dyDescent="0.2">
      <c r="A7597" t="s">
        <v>75</v>
      </c>
      <c r="B7597" t="s">
        <v>71</v>
      </c>
      <c r="C7597" t="s">
        <v>72</v>
      </c>
      <c r="D7597">
        <v>2001</v>
      </c>
      <c r="E7597">
        <v>2019</v>
      </c>
      <c r="F7597" t="s">
        <v>82</v>
      </c>
      <c r="G7597">
        <v>20080</v>
      </c>
      <c r="H7597" s="1">
        <v>0</v>
      </c>
      <c r="I7597">
        <v>15</v>
      </c>
      <c r="J7597">
        <f>IF($H7597=0,1,IF($I7597&lt;=1,2,0))</f>
        <v>1</v>
      </c>
      <c r="K7597">
        <v>0</v>
      </c>
      <c r="L7597">
        <f>IF(AND($J7597=0,$K7597=0),0,1)</f>
        <v>1</v>
      </c>
    </row>
    <row r="7598" spans="1:13" x14ac:dyDescent="0.2">
      <c r="A7598" t="s">
        <v>75</v>
      </c>
      <c r="B7598" t="s">
        <v>71</v>
      </c>
      <c r="C7598" t="s">
        <v>72</v>
      </c>
      <c r="D7598">
        <v>3900</v>
      </c>
      <c r="E7598">
        <v>2019</v>
      </c>
      <c r="F7598">
        <v>5</v>
      </c>
      <c r="G7598">
        <v>99973</v>
      </c>
      <c r="H7598" s="1" t="s">
        <v>1830</v>
      </c>
      <c r="I7598">
        <v>3</v>
      </c>
      <c r="J7598">
        <f>IF($H7598=0,1,IF($I7598&lt;=1,2,0))</f>
        <v>0</v>
      </c>
      <c r="K7598">
        <v>9</v>
      </c>
      <c r="L7598">
        <f>IF(AND($J7598=0,$K7598=0),0,1)</f>
        <v>1</v>
      </c>
    </row>
    <row r="7599" spans="1:13" x14ac:dyDescent="0.2">
      <c r="A7599" t="s">
        <v>75</v>
      </c>
      <c r="B7599" t="s">
        <v>71</v>
      </c>
      <c r="C7599" t="s">
        <v>72</v>
      </c>
      <c r="D7599">
        <v>3900</v>
      </c>
      <c r="E7599">
        <v>2019</v>
      </c>
      <c r="F7599">
        <v>14</v>
      </c>
      <c r="G7599">
        <v>17798</v>
      </c>
      <c r="H7599" s="1" t="s">
        <v>1830</v>
      </c>
      <c r="I7599">
        <v>0</v>
      </c>
      <c r="J7599">
        <f>IF($H7599=0,1,IF($I7599&lt;=1,2,0))</f>
        <v>2</v>
      </c>
      <c r="K7599">
        <v>9</v>
      </c>
      <c r="L7599">
        <f>IF(AND($J7599=0,$K7599=0),0,1)</f>
        <v>1</v>
      </c>
    </row>
    <row r="7600" spans="1:13" x14ac:dyDescent="0.2">
      <c r="A7600" t="s">
        <v>75</v>
      </c>
      <c r="B7600" t="s">
        <v>71</v>
      </c>
      <c r="C7600" t="s">
        <v>72</v>
      </c>
      <c r="D7600">
        <v>4150</v>
      </c>
      <c r="E7600">
        <v>2019</v>
      </c>
      <c r="F7600" t="s">
        <v>84</v>
      </c>
      <c r="G7600">
        <v>17800</v>
      </c>
      <c r="H7600" s="1">
        <v>3</v>
      </c>
      <c r="I7600">
        <v>1</v>
      </c>
      <c r="J7600">
        <f>IF($H7600=0,1,IF($I7600&lt;=1,2,0))</f>
        <v>2</v>
      </c>
      <c r="K7600">
        <v>0</v>
      </c>
      <c r="L7600">
        <f>IF(AND($J7600=0,$K7600=0),0,1)</f>
        <v>1</v>
      </c>
      <c r="M7600" t="s">
        <v>85</v>
      </c>
    </row>
    <row r="7601" spans="1:13" x14ac:dyDescent="0.2">
      <c r="A7601" t="s">
        <v>75</v>
      </c>
      <c r="B7601" t="s">
        <v>71</v>
      </c>
      <c r="C7601" t="s">
        <v>72</v>
      </c>
      <c r="D7601">
        <v>9810</v>
      </c>
      <c r="E7601">
        <v>2019</v>
      </c>
      <c r="F7601">
        <v>1</v>
      </c>
      <c r="G7601">
        <v>20076</v>
      </c>
      <c r="H7601" s="1">
        <v>0</v>
      </c>
      <c r="I7601">
        <v>0</v>
      </c>
      <c r="J7601">
        <f>IF($H7601=0,1,IF($I7601&lt;=1,2,0))</f>
        <v>1</v>
      </c>
      <c r="K7601">
        <v>5</v>
      </c>
      <c r="L7601">
        <f>IF(AND($J7601=0,$K7601=0),0,1)</f>
        <v>1</v>
      </c>
    </row>
    <row r="7602" spans="1:13" x14ac:dyDescent="0.2">
      <c r="A7602" t="s">
        <v>86</v>
      </c>
      <c r="B7602" t="s">
        <v>71</v>
      </c>
      <c r="C7602" t="s">
        <v>72</v>
      </c>
      <c r="D7602">
        <v>3900</v>
      </c>
      <c r="E7602">
        <v>2019</v>
      </c>
      <c r="F7602">
        <v>14</v>
      </c>
      <c r="G7602">
        <v>20061</v>
      </c>
      <c r="H7602" s="1" t="s">
        <v>1830</v>
      </c>
      <c r="I7602">
        <v>1</v>
      </c>
      <c r="J7602">
        <f>IF($H7602=0,1,IF($I7602&lt;=1,2,0))</f>
        <v>2</v>
      </c>
      <c r="K7602">
        <v>9</v>
      </c>
      <c r="L7602">
        <f>IF(AND($J7602=0,$K7602=0),0,1)</f>
        <v>1</v>
      </c>
    </row>
    <row r="7603" spans="1:13" x14ac:dyDescent="0.2">
      <c r="A7603" t="s">
        <v>93</v>
      </c>
      <c r="B7603" t="s">
        <v>17</v>
      </c>
      <c r="C7603" t="s">
        <v>21</v>
      </c>
      <c r="D7603">
        <v>3997</v>
      </c>
      <c r="E7603">
        <v>2019</v>
      </c>
      <c r="F7603">
        <v>2</v>
      </c>
      <c r="G7603">
        <v>6949</v>
      </c>
      <c r="H7603" s="1" t="s">
        <v>1832</v>
      </c>
      <c r="I7603">
        <v>3</v>
      </c>
      <c r="J7603">
        <f>IF($H7603=0,1,IF($I7603&lt;=1,2,0))</f>
        <v>0</v>
      </c>
      <c r="K7603">
        <v>9</v>
      </c>
      <c r="L7603">
        <f>IF(AND($J7603=0,$K7603=0),0,1)</f>
        <v>1</v>
      </c>
      <c r="M7603" t="s">
        <v>101</v>
      </c>
    </row>
    <row r="7604" spans="1:13" x14ac:dyDescent="0.2">
      <c r="A7604" t="s">
        <v>93</v>
      </c>
      <c r="B7604" t="s">
        <v>17</v>
      </c>
      <c r="C7604" t="s">
        <v>21</v>
      </c>
      <c r="D7604">
        <v>3997</v>
      </c>
      <c r="E7604">
        <v>2019</v>
      </c>
      <c r="F7604">
        <v>1</v>
      </c>
      <c r="G7604">
        <v>6959</v>
      </c>
      <c r="H7604" s="1" t="s">
        <v>1832</v>
      </c>
      <c r="I7604">
        <v>2</v>
      </c>
      <c r="J7604">
        <f>IF($H7604=0,1,IF($I7604&lt;=1,2,0))</f>
        <v>0</v>
      </c>
      <c r="K7604">
        <v>9</v>
      </c>
      <c r="L7604">
        <f>IF(AND($J7604=0,$K7604=0),0,1)</f>
        <v>1</v>
      </c>
      <c r="M7604" t="s">
        <v>101</v>
      </c>
    </row>
    <row r="7605" spans="1:13" x14ac:dyDescent="0.2">
      <c r="A7605" t="s">
        <v>93</v>
      </c>
      <c r="B7605" t="s">
        <v>17</v>
      </c>
      <c r="C7605" t="s">
        <v>21</v>
      </c>
      <c r="D7605">
        <v>3997</v>
      </c>
      <c r="E7605">
        <v>2019</v>
      </c>
      <c r="F7605">
        <v>3</v>
      </c>
      <c r="G7605">
        <v>6950</v>
      </c>
      <c r="H7605" s="1" t="s">
        <v>1832</v>
      </c>
      <c r="I7605">
        <v>1</v>
      </c>
      <c r="J7605">
        <f>IF($H7605=0,1,IF($I7605&lt;=1,2,0))</f>
        <v>2</v>
      </c>
      <c r="K7605">
        <v>9</v>
      </c>
      <c r="L7605">
        <f>IF(AND($J7605=0,$K7605=0),0,1)</f>
        <v>1</v>
      </c>
      <c r="M7605" t="s">
        <v>101</v>
      </c>
    </row>
    <row r="7606" spans="1:13" x14ac:dyDescent="0.2">
      <c r="A7606" t="s">
        <v>93</v>
      </c>
      <c r="B7606" t="s">
        <v>17</v>
      </c>
      <c r="C7606" t="s">
        <v>102</v>
      </c>
      <c r="D7606">
        <v>4000</v>
      </c>
      <c r="E7606">
        <v>2019</v>
      </c>
      <c r="F7606">
        <v>1</v>
      </c>
      <c r="G7606">
        <v>41498</v>
      </c>
      <c r="H7606" s="1">
        <v>3</v>
      </c>
      <c r="I7606">
        <v>16</v>
      </c>
      <c r="J7606">
        <f>IF($H7606=0,1,IF($I7606&lt;=1,2,0))</f>
        <v>0</v>
      </c>
      <c r="K7606">
        <v>6</v>
      </c>
      <c r="L7606">
        <f>IF(AND($J7606=0,$K7606=0),0,1)</f>
        <v>1</v>
      </c>
      <c r="M7606" t="s">
        <v>1864</v>
      </c>
    </row>
    <row r="7607" spans="1:13" x14ac:dyDescent="0.2">
      <c r="A7607" t="s">
        <v>93</v>
      </c>
      <c r="B7607" t="s">
        <v>17</v>
      </c>
      <c r="C7607" t="s">
        <v>102</v>
      </c>
      <c r="D7607">
        <v>4001</v>
      </c>
      <c r="E7607">
        <v>2019</v>
      </c>
      <c r="F7607">
        <v>1</v>
      </c>
      <c r="G7607">
        <v>41477</v>
      </c>
      <c r="H7607" s="1">
        <v>9</v>
      </c>
      <c r="I7607">
        <v>84</v>
      </c>
      <c r="J7607">
        <f>IF($H7607=0,1,IF($I7607&lt;=1,2,0))</f>
        <v>0</v>
      </c>
      <c r="K7607">
        <v>6</v>
      </c>
      <c r="L7607">
        <f>IF(AND($J7607=0,$K7607=0),0,1)</f>
        <v>1</v>
      </c>
      <c r="M7607" t="s">
        <v>1865</v>
      </c>
    </row>
    <row r="7608" spans="1:13" x14ac:dyDescent="0.2">
      <c r="A7608" t="s">
        <v>93</v>
      </c>
      <c r="B7608" t="s">
        <v>17</v>
      </c>
      <c r="C7608" t="s">
        <v>102</v>
      </c>
      <c r="D7608">
        <v>4003</v>
      </c>
      <c r="E7608">
        <v>2019</v>
      </c>
      <c r="F7608">
        <v>1</v>
      </c>
      <c r="G7608">
        <v>41536</v>
      </c>
      <c r="H7608" s="1">
        <v>9</v>
      </c>
      <c r="I7608">
        <v>84</v>
      </c>
      <c r="J7608">
        <f>IF($H7608=0,1,IF($I7608&lt;=1,2,0))</f>
        <v>0</v>
      </c>
      <c r="K7608">
        <v>6</v>
      </c>
      <c r="L7608">
        <f>IF(AND($J7608=0,$K7608=0),0,1)</f>
        <v>1</v>
      </c>
      <c r="M7608" t="s">
        <v>1865</v>
      </c>
    </row>
    <row r="7609" spans="1:13" x14ac:dyDescent="0.2">
      <c r="A7609" t="s">
        <v>93</v>
      </c>
      <c r="B7609" t="s">
        <v>17</v>
      </c>
      <c r="C7609" t="s">
        <v>102</v>
      </c>
      <c r="D7609">
        <v>4005</v>
      </c>
      <c r="E7609">
        <v>2019</v>
      </c>
      <c r="F7609">
        <v>1</v>
      </c>
      <c r="G7609">
        <v>41375</v>
      </c>
      <c r="H7609" s="1">
        <v>9</v>
      </c>
      <c r="I7609">
        <v>190</v>
      </c>
      <c r="J7609">
        <f>IF($H7609=0,1,IF($I7609&lt;=1,2,0))</f>
        <v>0</v>
      </c>
      <c r="K7609">
        <v>6</v>
      </c>
      <c r="L7609">
        <f>IF(AND($J7609=0,$K7609=0),0,1)</f>
        <v>1</v>
      </c>
      <c r="M7609" t="s">
        <v>1865</v>
      </c>
    </row>
    <row r="7610" spans="1:13" x14ac:dyDescent="0.2">
      <c r="A7610" t="s">
        <v>93</v>
      </c>
      <c r="B7610" t="s">
        <v>17</v>
      </c>
      <c r="C7610" t="s">
        <v>102</v>
      </c>
      <c r="D7610">
        <v>4023</v>
      </c>
      <c r="E7610">
        <v>2019</v>
      </c>
      <c r="F7610">
        <v>1</v>
      </c>
      <c r="G7610">
        <v>41499</v>
      </c>
      <c r="H7610" s="1">
        <v>3</v>
      </c>
      <c r="I7610">
        <v>84</v>
      </c>
      <c r="J7610">
        <f>IF($H7610=0,1,IF($I7610&lt;=1,2,0))</f>
        <v>0</v>
      </c>
      <c r="K7610">
        <v>6</v>
      </c>
      <c r="L7610">
        <f>IF(AND($J7610=0,$K7610=0),0,1)</f>
        <v>1</v>
      </c>
      <c r="M7610" t="s">
        <v>103</v>
      </c>
    </row>
    <row r="7611" spans="1:13" x14ac:dyDescent="0.2">
      <c r="A7611" t="s">
        <v>93</v>
      </c>
      <c r="B7611" t="s">
        <v>17</v>
      </c>
      <c r="C7611" t="s">
        <v>102</v>
      </c>
      <c r="D7611">
        <v>4027</v>
      </c>
      <c r="E7611">
        <v>2019</v>
      </c>
      <c r="F7611">
        <v>1</v>
      </c>
      <c r="G7611">
        <v>41478</v>
      </c>
      <c r="H7611" s="1">
        <v>3</v>
      </c>
      <c r="I7611">
        <v>17</v>
      </c>
      <c r="J7611">
        <f>IF($H7611=0,1,IF($I7611&lt;=1,2,0))</f>
        <v>0</v>
      </c>
      <c r="K7611">
        <v>6</v>
      </c>
      <c r="L7611">
        <f>IF(AND($J7611=0,$K7611=0),0,1)</f>
        <v>1</v>
      </c>
      <c r="M7611" t="s">
        <v>1864</v>
      </c>
    </row>
    <row r="7612" spans="1:13" x14ac:dyDescent="0.2">
      <c r="A7612" t="s">
        <v>93</v>
      </c>
      <c r="B7612" t="s">
        <v>17</v>
      </c>
      <c r="C7612" t="s">
        <v>102</v>
      </c>
      <c r="D7612">
        <v>4028</v>
      </c>
      <c r="E7612">
        <v>2019</v>
      </c>
      <c r="F7612">
        <v>1</v>
      </c>
      <c r="G7612">
        <v>41376</v>
      </c>
      <c r="H7612" s="1">
        <v>3</v>
      </c>
      <c r="I7612">
        <v>19</v>
      </c>
      <c r="J7612">
        <f>IF($H7612=0,1,IF($I7612&lt;=1,2,0))</f>
        <v>0</v>
      </c>
      <c r="K7612">
        <v>6</v>
      </c>
      <c r="L7612">
        <f>IF(AND($J7612=0,$K7612=0),0,1)</f>
        <v>1</v>
      </c>
      <c r="M7612" t="s">
        <v>1864</v>
      </c>
    </row>
    <row r="7613" spans="1:13" x14ac:dyDescent="0.2">
      <c r="A7613" t="s">
        <v>93</v>
      </c>
      <c r="B7613" t="s">
        <v>17</v>
      </c>
      <c r="C7613" t="s">
        <v>102</v>
      </c>
      <c r="D7613">
        <v>4032</v>
      </c>
      <c r="E7613">
        <v>2019</v>
      </c>
      <c r="F7613">
        <v>1</v>
      </c>
      <c r="G7613">
        <v>41537</v>
      </c>
      <c r="H7613" s="1">
        <v>3</v>
      </c>
      <c r="I7613">
        <v>8</v>
      </c>
      <c r="J7613">
        <f>IF($H7613=0,1,IF($I7613&lt;=1,2,0))</f>
        <v>0</v>
      </c>
      <c r="K7613">
        <v>6</v>
      </c>
      <c r="L7613">
        <f>IF(AND($J7613=0,$K7613=0),0,1)</f>
        <v>1</v>
      </c>
      <c r="M7613" t="s">
        <v>104</v>
      </c>
    </row>
    <row r="7614" spans="1:13" x14ac:dyDescent="0.2">
      <c r="A7614" t="s">
        <v>93</v>
      </c>
      <c r="B7614" t="s">
        <v>17</v>
      </c>
      <c r="C7614" t="s">
        <v>102</v>
      </c>
      <c r="D7614">
        <v>4040</v>
      </c>
      <c r="E7614">
        <v>2019</v>
      </c>
      <c r="F7614">
        <v>1</v>
      </c>
      <c r="G7614">
        <v>41479</v>
      </c>
      <c r="H7614" s="1">
        <v>9</v>
      </c>
      <c r="I7614">
        <v>9</v>
      </c>
      <c r="J7614">
        <f>IF($H7614=0,1,IF($I7614&lt;=1,2,0))</f>
        <v>0</v>
      </c>
      <c r="K7614">
        <v>6</v>
      </c>
      <c r="L7614">
        <f>IF(AND($J7614=0,$K7614=0),0,1)</f>
        <v>1</v>
      </c>
      <c r="M7614" t="s">
        <v>104</v>
      </c>
    </row>
    <row r="7615" spans="1:13" x14ac:dyDescent="0.2">
      <c r="A7615" t="s">
        <v>93</v>
      </c>
      <c r="B7615" t="s">
        <v>17</v>
      </c>
      <c r="C7615" t="s">
        <v>102</v>
      </c>
      <c r="D7615">
        <v>4043</v>
      </c>
      <c r="E7615">
        <v>2019</v>
      </c>
      <c r="F7615">
        <v>1</v>
      </c>
      <c r="G7615">
        <v>41511</v>
      </c>
      <c r="H7615" s="1">
        <v>3</v>
      </c>
      <c r="I7615">
        <v>3</v>
      </c>
      <c r="J7615">
        <f>IF($H7615=0,1,IF($I7615&lt;=1,2,0))</f>
        <v>0</v>
      </c>
      <c r="K7615">
        <v>6</v>
      </c>
      <c r="L7615">
        <f>IF(AND($J7615=0,$K7615=0),0,1)</f>
        <v>1</v>
      </c>
      <c r="M7615" t="s">
        <v>1864</v>
      </c>
    </row>
    <row r="7616" spans="1:13" x14ac:dyDescent="0.2">
      <c r="A7616" t="s">
        <v>93</v>
      </c>
      <c r="B7616" t="s">
        <v>17</v>
      </c>
      <c r="C7616" t="s">
        <v>102</v>
      </c>
      <c r="D7616">
        <v>4050</v>
      </c>
      <c r="E7616">
        <v>2019</v>
      </c>
      <c r="F7616">
        <v>1</v>
      </c>
      <c r="G7616">
        <v>41480</v>
      </c>
      <c r="H7616" s="1">
        <v>1.5</v>
      </c>
      <c r="I7616">
        <v>1</v>
      </c>
      <c r="J7616">
        <f>IF($H7616=0,1,IF($I7616&lt;=1,2,0))</f>
        <v>2</v>
      </c>
      <c r="K7616">
        <v>6</v>
      </c>
      <c r="L7616">
        <f>IF(AND($J7616=0,$K7616=0),0,1)</f>
        <v>1</v>
      </c>
      <c r="M7616" t="s">
        <v>1866</v>
      </c>
    </row>
    <row r="7617" spans="1:13" x14ac:dyDescent="0.2">
      <c r="A7617" t="s">
        <v>93</v>
      </c>
      <c r="B7617" t="s">
        <v>17</v>
      </c>
      <c r="C7617" t="s">
        <v>102</v>
      </c>
      <c r="D7617">
        <v>4080</v>
      </c>
      <c r="E7617">
        <v>2019</v>
      </c>
      <c r="F7617">
        <v>1</v>
      </c>
      <c r="G7617">
        <v>41377</v>
      </c>
      <c r="H7617" s="1">
        <v>1.5</v>
      </c>
      <c r="I7617">
        <v>1</v>
      </c>
      <c r="J7617">
        <f>IF($H7617=0,1,IF($I7617&lt;=1,2,0))</f>
        <v>2</v>
      </c>
      <c r="K7617">
        <v>6</v>
      </c>
      <c r="L7617">
        <f>IF(AND($J7617=0,$K7617=0),0,1)</f>
        <v>1</v>
      </c>
      <c r="M7617" t="s">
        <v>105</v>
      </c>
    </row>
    <row r="7618" spans="1:13" x14ac:dyDescent="0.2">
      <c r="A7618" t="s">
        <v>93</v>
      </c>
      <c r="B7618" t="s">
        <v>17</v>
      </c>
      <c r="C7618" t="s">
        <v>102</v>
      </c>
      <c r="D7618">
        <v>4101</v>
      </c>
      <c r="E7618">
        <v>2019</v>
      </c>
      <c r="F7618">
        <v>1</v>
      </c>
      <c r="G7618">
        <v>41500</v>
      </c>
      <c r="H7618" s="1">
        <v>0</v>
      </c>
      <c r="I7618">
        <v>11</v>
      </c>
      <c r="J7618">
        <f>IF($H7618=0,1,IF($I7618&lt;=1,2,0))</f>
        <v>1</v>
      </c>
      <c r="K7618">
        <v>6</v>
      </c>
      <c r="L7618">
        <f>IF(AND($J7618=0,$K7618=0),0,1)</f>
        <v>1</v>
      </c>
    </row>
    <row r="7619" spans="1:13" x14ac:dyDescent="0.2">
      <c r="A7619" t="s">
        <v>93</v>
      </c>
      <c r="B7619" t="s">
        <v>17</v>
      </c>
      <c r="C7619" t="s">
        <v>102</v>
      </c>
      <c r="D7619">
        <v>4101</v>
      </c>
      <c r="E7619">
        <v>2019</v>
      </c>
      <c r="F7619">
        <v>6</v>
      </c>
      <c r="G7619">
        <v>41505</v>
      </c>
      <c r="H7619" s="1">
        <v>0</v>
      </c>
      <c r="I7619">
        <v>11</v>
      </c>
      <c r="J7619">
        <f>IF($H7619=0,1,IF($I7619&lt;=1,2,0))</f>
        <v>1</v>
      </c>
      <c r="K7619">
        <v>6</v>
      </c>
      <c r="L7619">
        <f>IF(AND($J7619=0,$K7619=0),0,1)</f>
        <v>1</v>
      </c>
    </row>
    <row r="7620" spans="1:13" x14ac:dyDescent="0.2">
      <c r="A7620" t="s">
        <v>93</v>
      </c>
      <c r="B7620" t="s">
        <v>17</v>
      </c>
      <c r="C7620" t="s">
        <v>102</v>
      </c>
      <c r="D7620">
        <v>4101</v>
      </c>
      <c r="E7620">
        <v>2019</v>
      </c>
      <c r="F7620">
        <v>2</v>
      </c>
      <c r="G7620">
        <v>41501</v>
      </c>
      <c r="H7620" s="1">
        <v>0</v>
      </c>
      <c r="I7620">
        <v>10</v>
      </c>
      <c r="J7620">
        <f>IF($H7620=0,1,IF($I7620&lt;=1,2,0))</f>
        <v>1</v>
      </c>
      <c r="K7620">
        <v>6</v>
      </c>
      <c r="L7620">
        <f>IF(AND($J7620=0,$K7620=0),0,1)</f>
        <v>1</v>
      </c>
    </row>
    <row r="7621" spans="1:13" x14ac:dyDescent="0.2">
      <c r="A7621" t="s">
        <v>93</v>
      </c>
      <c r="B7621" t="s">
        <v>17</v>
      </c>
      <c r="C7621" t="s">
        <v>102</v>
      </c>
      <c r="D7621">
        <v>4101</v>
      </c>
      <c r="E7621">
        <v>2019</v>
      </c>
      <c r="F7621">
        <v>4</v>
      </c>
      <c r="G7621">
        <v>41503</v>
      </c>
      <c r="H7621" s="1">
        <v>0</v>
      </c>
      <c r="I7621">
        <v>10</v>
      </c>
      <c r="J7621">
        <f>IF($H7621=0,1,IF($I7621&lt;=1,2,0))</f>
        <v>1</v>
      </c>
      <c r="K7621">
        <v>6</v>
      </c>
      <c r="L7621">
        <f>IF(AND($J7621=0,$K7621=0),0,1)</f>
        <v>1</v>
      </c>
    </row>
    <row r="7622" spans="1:13" x14ac:dyDescent="0.2">
      <c r="A7622" t="s">
        <v>93</v>
      </c>
      <c r="B7622" t="s">
        <v>17</v>
      </c>
      <c r="C7622" t="s">
        <v>102</v>
      </c>
      <c r="D7622">
        <v>4101</v>
      </c>
      <c r="E7622">
        <v>2019</v>
      </c>
      <c r="F7622">
        <v>5</v>
      </c>
      <c r="G7622">
        <v>41504</v>
      </c>
      <c r="H7622" s="1">
        <v>0</v>
      </c>
      <c r="I7622">
        <v>10</v>
      </c>
      <c r="J7622">
        <f>IF($H7622=0,1,IF($I7622&lt;=1,2,0))</f>
        <v>1</v>
      </c>
      <c r="K7622">
        <v>6</v>
      </c>
      <c r="L7622">
        <f>IF(AND($J7622=0,$K7622=0),0,1)</f>
        <v>1</v>
      </c>
    </row>
    <row r="7623" spans="1:13" x14ac:dyDescent="0.2">
      <c r="A7623" t="s">
        <v>93</v>
      </c>
      <c r="B7623" t="s">
        <v>17</v>
      </c>
      <c r="C7623" t="s">
        <v>102</v>
      </c>
      <c r="D7623">
        <v>4101</v>
      </c>
      <c r="E7623">
        <v>2019</v>
      </c>
      <c r="F7623">
        <v>7</v>
      </c>
      <c r="G7623">
        <v>41506</v>
      </c>
      <c r="H7623" s="1">
        <v>0</v>
      </c>
      <c r="I7623">
        <v>10</v>
      </c>
      <c r="J7623">
        <f>IF($H7623=0,1,IF($I7623&lt;=1,2,0))</f>
        <v>1</v>
      </c>
      <c r="K7623">
        <v>6</v>
      </c>
      <c r="L7623">
        <f>IF(AND($J7623=0,$K7623=0),0,1)</f>
        <v>1</v>
      </c>
    </row>
    <row r="7624" spans="1:13" x14ac:dyDescent="0.2">
      <c r="A7624" t="s">
        <v>93</v>
      </c>
      <c r="B7624" t="s">
        <v>17</v>
      </c>
      <c r="C7624" t="s">
        <v>102</v>
      </c>
      <c r="D7624">
        <v>4101</v>
      </c>
      <c r="E7624">
        <v>2019</v>
      </c>
      <c r="F7624">
        <v>8</v>
      </c>
      <c r="G7624">
        <v>41507</v>
      </c>
      <c r="H7624" s="1">
        <v>0</v>
      </c>
      <c r="I7624">
        <v>10</v>
      </c>
      <c r="J7624">
        <f>IF($H7624=0,1,IF($I7624&lt;=1,2,0))</f>
        <v>1</v>
      </c>
      <c r="K7624">
        <v>6</v>
      </c>
      <c r="L7624">
        <f>IF(AND($J7624=0,$K7624=0),0,1)</f>
        <v>1</v>
      </c>
    </row>
    <row r="7625" spans="1:13" x14ac:dyDescent="0.2">
      <c r="A7625" t="s">
        <v>93</v>
      </c>
      <c r="B7625" t="s">
        <v>17</v>
      </c>
      <c r="C7625" t="s">
        <v>102</v>
      </c>
      <c r="D7625">
        <v>4101</v>
      </c>
      <c r="E7625">
        <v>2019</v>
      </c>
      <c r="F7625">
        <v>3</v>
      </c>
      <c r="G7625">
        <v>41502</v>
      </c>
      <c r="H7625" s="1">
        <v>0</v>
      </c>
      <c r="I7625">
        <v>9</v>
      </c>
      <c r="J7625">
        <f>IF($H7625=0,1,IF($I7625&lt;=1,2,0))</f>
        <v>1</v>
      </c>
      <c r="K7625">
        <v>6</v>
      </c>
      <c r="L7625">
        <f>IF(AND($J7625=0,$K7625=0),0,1)</f>
        <v>1</v>
      </c>
    </row>
    <row r="7626" spans="1:13" x14ac:dyDescent="0.2">
      <c r="A7626" t="s">
        <v>93</v>
      </c>
      <c r="B7626" t="s">
        <v>17</v>
      </c>
      <c r="C7626" t="s">
        <v>102</v>
      </c>
      <c r="D7626">
        <v>4103</v>
      </c>
      <c r="E7626">
        <v>2019</v>
      </c>
      <c r="F7626">
        <v>2</v>
      </c>
      <c r="G7626">
        <v>41379</v>
      </c>
      <c r="H7626" s="1">
        <v>0</v>
      </c>
      <c r="I7626">
        <v>13</v>
      </c>
      <c r="J7626">
        <f>IF($H7626=0,1,IF($I7626&lt;=1,2,0))</f>
        <v>1</v>
      </c>
      <c r="K7626">
        <v>6</v>
      </c>
      <c r="L7626">
        <f>IF(AND($J7626=0,$K7626=0),0,1)</f>
        <v>1</v>
      </c>
    </row>
    <row r="7627" spans="1:13" x14ac:dyDescent="0.2">
      <c r="A7627" t="s">
        <v>93</v>
      </c>
      <c r="B7627" t="s">
        <v>17</v>
      </c>
      <c r="C7627" t="s">
        <v>102</v>
      </c>
      <c r="D7627">
        <v>4103</v>
      </c>
      <c r="E7627">
        <v>2019</v>
      </c>
      <c r="F7627">
        <v>3</v>
      </c>
      <c r="G7627">
        <v>41380</v>
      </c>
      <c r="H7627" s="1">
        <v>0</v>
      </c>
      <c r="I7627">
        <v>12</v>
      </c>
      <c r="J7627">
        <f>IF($H7627=0,1,IF($I7627&lt;=1,2,0))</f>
        <v>1</v>
      </c>
      <c r="K7627">
        <v>6</v>
      </c>
      <c r="L7627">
        <f>IF(AND($J7627=0,$K7627=0),0,1)</f>
        <v>1</v>
      </c>
    </row>
    <row r="7628" spans="1:13" x14ac:dyDescent="0.2">
      <c r="A7628" t="s">
        <v>93</v>
      </c>
      <c r="B7628" t="s">
        <v>17</v>
      </c>
      <c r="C7628" t="s">
        <v>102</v>
      </c>
      <c r="D7628">
        <v>4103</v>
      </c>
      <c r="E7628">
        <v>2019</v>
      </c>
      <c r="F7628">
        <v>5</v>
      </c>
      <c r="G7628">
        <v>41382</v>
      </c>
      <c r="H7628" s="1">
        <v>0</v>
      </c>
      <c r="I7628">
        <v>12</v>
      </c>
      <c r="J7628">
        <f>IF($H7628=0,1,IF($I7628&lt;=1,2,0))</f>
        <v>1</v>
      </c>
      <c r="K7628">
        <v>6</v>
      </c>
      <c r="L7628">
        <f>IF(AND($J7628=0,$K7628=0),0,1)</f>
        <v>1</v>
      </c>
    </row>
    <row r="7629" spans="1:13" x14ac:dyDescent="0.2">
      <c r="A7629" t="s">
        <v>93</v>
      </c>
      <c r="B7629" t="s">
        <v>17</v>
      </c>
      <c r="C7629" t="s">
        <v>102</v>
      </c>
      <c r="D7629">
        <v>4103</v>
      </c>
      <c r="E7629">
        <v>2019</v>
      </c>
      <c r="F7629">
        <v>7</v>
      </c>
      <c r="G7629">
        <v>41384</v>
      </c>
      <c r="H7629" s="1">
        <v>0</v>
      </c>
      <c r="I7629">
        <v>12</v>
      </c>
      <c r="J7629">
        <f>IF($H7629=0,1,IF($I7629&lt;=1,2,0))</f>
        <v>1</v>
      </c>
      <c r="K7629">
        <v>6</v>
      </c>
      <c r="L7629">
        <f>IF(AND($J7629=0,$K7629=0),0,1)</f>
        <v>1</v>
      </c>
    </row>
    <row r="7630" spans="1:13" x14ac:dyDescent="0.2">
      <c r="A7630" t="s">
        <v>93</v>
      </c>
      <c r="B7630" t="s">
        <v>17</v>
      </c>
      <c r="C7630" t="s">
        <v>102</v>
      </c>
      <c r="D7630">
        <v>4103</v>
      </c>
      <c r="E7630">
        <v>2019</v>
      </c>
      <c r="F7630">
        <v>4</v>
      </c>
      <c r="G7630">
        <v>41381</v>
      </c>
      <c r="H7630" s="1">
        <v>0</v>
      </c>
      <c r="I7630">
        <v>10</v>
      </c>
      <c r="J7630">
        <f>IF($H7630=0,1,IF($I7630&lt;=1,2,0))</f>
        <v>1</v>
      </c>
      <c r="K7630">
        <v>6</v>
      </c>
      <c r="L7630">
        <f>IF(AND($J7630=0,$K7630=0),0,1)</f>
        <v>1</v>
      </c>
    </row>
    <row r="7631" spans="1:13" x14ac:dyDescent="0.2">
      <c r="A7631" t="s">
        <v>93</v>
      </c>
      <c r="B7631" t="s">
        <v>17</v>
      </c>
      <c r="C7631" t="s">
        <v>102</v>
      </c>
      <c r="D7631">
        <v>4103</v>
      </c>
      <c r="E7631">
        <v>2019</v>
      </c>
      <c r="F7631">
        <v>1</v>
      </c>
      <c r="G7631">
        <v>41378</v>
      </c>
      <c r="H7631" s="1">
        <v>0</v>
      </c>
      <c r="I7631">
        <v>9</v>
      </c>
      <c r="J7631">
        <f>IF($H7631=0,1,IF($I7631&lt;=1,2,0))</f>
        <v>1</v>
      </c>
      <c r="K7631">
        <v>6</v>
      </c>
      <c r="L7631">
        <f>IF(AND($J7631=0,$K7631=0),0,1)</f>
        <v>1</v>
      </c>
    </row>
    <row r="7632" spans="1:13" x14ac:dyDescent="0.2">
      <c r="A7632" t="s">
        <v>93</v>
      </c>
      <c r="B7632" t="s">
        <v>17</v>
      </c>
      <c r="C7632" t="s">
        <v>102</v>
      </c>
      <c r="D7632">
        <v>4103</v>
      </c>
      <c r="E7632">
        <v>2019</v>
      </c>
      <c r="F7632">
        <v>8</v>
      </c>
      <c r="G7632">
        <v>41385</v>
      </c>
      <c r="H7632" s="1">
        <v>0</v>
      </c>
      <c r="I7632">
        <v>8</v>
      </c>
      <c r="J7632">
        <f>IF($H7632=0,1,IF($I7632&lt;=1,2,0))</f>
        <v>1</v>
      </c>
      <c r="K7632">
        <v>6</v>
      </c>
      <c r="L7632">
        <f>IF(AND($J7632=0,$K7632=0),0,1)</f>
        <v>1</v>
      </c>
    </row>
    <row r="7633" spans="1:12" x14ac:dyDescent="0.2">
      <c r="A7633" t="s">
        <v>93</v>
      </c>
      <c r="B7633" t="s">
        <v>17</v>
      </c>
      <c r="C7633" t="s">
        <v>102</v>
      </c>
      <c r="D7633">
        <v>4103</v>
      </c>
      <c r="E7633">
        <v>2019</v>
      </c>
      <c r="F7633">
        <v>6</v>
      </c>
      <c r="G7633">
        <v>41383</v>
      </c>
      <c r="H7633" s="1">
        <v>0</v>
      </c>
      <c r="I7633">
        <v>5</v>
      </c>
      <c r="J7633">
        <f>IF($H7633=0,1,IF($I7633&lt;=1,2,0))</f>
        <v>1</v>
      </c>
      <c r="K7633">
        <v>6</v>
      </c>
      <c r="L7633">
        <f>IF(AND($J7633=0,$K7633=0),0,1)</f>
        <v>1</v>
      </c>
    </row>
    <row r="7634" spans="1:12" x14ac:dyDescent="0.2">
      <c r="A7634" t="s">
        <v>93</v>
      </c>
      <c r="B7634" t="s">
        <v>17</v>
      </c>
      <c r="C7634" t="s">
        <v>102</v>
      </c>
      <c r="D7634">
        <v>4105</v>
      </c>
      <c r="E7634">
        <v>2019</v>
      </c>
      <c r="F7634">
        <v>2</v>
      </c>
      <c r="G7634">
        <v>41434</v>
      </c>
      <c r="H7634" s="1">
        <v>0</v>
      </c>
      <c r="I7634">
        <v>13</v>
      </c>
      <c r="J7634">
        <f>IF($H7634=0,1,IF($I7634&lt;=1,2,0))</f>
        <v>1</v>
      </c>
      <c r="K7634">
        <v>6</v>
      </c>
      <c r="L7634">
        <f>IF(AND($J7634=0,$K7634=0),0,1)</f>
        <v>1</v>
      </c>
    </row>
    <row r="7635" spans="1:12" x14ac:dyDescent="0.2">
      <c r="A7635" t="s">
        <v>93</v>
      </c>
      <c r="B7635" t="s">
        <v>17</v>
      </c>
      <c r="C7635" t="s">
        <v>102</v>
      </c>
      <c r="D7635">
        <v>4105</v>
      </c>
      <c r="E7635">
        <v>2019</v>
      </c>
      <c r="F7635">
        <v>1</v>
      </c>
      <c r="G7635">
        <v>41433</v>
      </c>
      <c r="H7635" s="1">
        <v>0</v>
      </c>
      <c r="I7635">
        <v>12</v>
      </c>
      <c r="J7635">
        <f>IF($H7635=0,1,IF($I7635&lt;=1,2,0))</f>
        <v>1</v>
      </c>
      <c r="K7635">
        <v>6</v>
      </c>
      <c r="L7635">
        <f>IF(AND($J7635=0,$K7635=0),0,1)</f>
        <v>1</v>
      </c>
    </row>
    <row r="7636" spans="1:12" x14ac:dyDescent="0.2">
      <c r="A7636" t="s">
        <v>93</v>
      </c>
      <c r="B7636" t="s">
        <v>17</v>
      </c>
      <c r="C7636" t="s">
        <v>102</v>
      </c>
      <c r="D7636">
        <v>4105</v>
      </c>
      <c r="E7636">
        <v>2019</v>
      </c>
      <c r="F7636">
        <v>3</v>
      </c>
      <c r="G7636">
        <v>41435</v>
      </c>
      <c r="H7636" s="1">
        <v>0</v>
      </c>
      <c r="I7636">
        <v>12</v>
      </c>
      <c r="J7636">
        <f>IF($H7636=0,1,IF($I7636&lt;=1,2,0))</f>
        <v>1</v>
      </c>
      <c r="K7636">
        <v>6</v>
      </c>
      <c r="L7636">
        <f>IF(AND($J7636=0,$K7636=0),0,1)</f>
        <v>1</v>
      </c>
    </row>
    <row r="7637" spans="1:12" x14ac:dyDescent="0.2">
      <c r="A7637" t="s">
        <v>93</v>
      </c>
      <c r="B7637" t="s">
        <v>17</v>
      </c>
      <c r="C7637" t="s">
        <v>102</v>
      </c>
      <c r="D7637">
        <v>4105</v>
      </c>
      <c r="E7637">
        <v>2019</v>
      </c>
      <c r="F7637">
        <v>9</v>
      </c>
      <c r="G7637">
        <v>41441</v>
      </c>
      <c r="H7637" s="1">
        <v>0</v>
      </c>
      <c r="I7637">
        <v>12</v>
      </c>
      <c r="J7637">
        <f>IF($H7637=0,1,IF($I7637&lt;=1,2,0))</f>
        <v>1</v>
      </c>
      <c r="K7637">
        <v>6</v>
      </c>
      <c r="L7637">
        <f>IF(AND($J7637=0,$K7637=0),0,1)</f>
        <v>1</v>
      </c>
    </row>
    <row r="7638" spans="1:12" x14ac:dyDescent="0.2">
      <c r="A7638" t="s">
        <v>93</v>
      </c>
      <c r="B7638" t="s">
        <v>17</v>
      </c>
      <c r="C7638" t="s">
        <v>102</v>
      </c>
      <c r="D7638">
        <v>4105</v>
      </c>
      <c r="E7638">
        <v>2019</v>
      </c>
      <c r="F7638">
        <v>10</v>
      </c>
      <c r="G7638">
        <v>41442</v>
      </c>
      <c r="H7638" s="1">
        <v>0</v>
      </c>
      <c r="I7638">
        <v>12</v>
      </c>
      <c r="J7638">
        <f>IF($H7638=0,1,IF($I7638&lt;=1,2,0))</f>
        <v>1</v>
      </c>
      <c r="K7638">
        <v>6</v>
      </c>
      <c r="L7638">
        <f>IF(AND($J7638=0,$K7638=0),0,1)</f>
        <v>1</v>
      </c>
    </row>
    <row r="7639" spans="1:12" x14ac:dyDescent="0.2">
      <c r="A7639" t="s">
        <v>93</v>
      </c>
      <c r="B7639" t="s">
        <v>17</v>
      </c>
      <c r="C7639" t="s">
        <v>102</v>
      </c>
      <c r="D7639">
        <v>4105</v>
      </c>
      <c r="E7639">
        <v>2019</v>
      </c>
      <c r="F7639">
        <v>11</v>
      </c>
      <c r="G7639">
        <v>41443</v>
      </c>
      <c r="H7639" s="1">
        <v>0</v>
      </c>
      <c r="I7639">
        <v>12</v>
      </c>
      <c r="J7639">
        <f>IF($H7639=0,1,IF($I7639&lt;=1,2,0))</f>
        <v>1</v>
      </c>
      <c r="K7639">
        <v>6</v>
      </c>
      <c r="L7639">
        <f>IF(AND($J7639=0,$K7639=0),0,1)</f>
        <v>1</v>
      </c>
    </row>
    <row r="7640" spans="1:12" x14ac:dyDescent="0.2">
      <c r="A7640" t="s">
        <v>93</v>
      </c>
      <c r="B7640" t="s">
        <v>17</v>
      </c>
      <c r="C7640" t="s">
        <v>102</v>
      </c>
      <c r="D7640">
        <v>4105</v>
      </c>
      <c r="E7640">
        <v>2019</v>
      </c>
      <c r="F7640">
        <v>14</v>
      </c>
      <c r="G7640">
        <v>41446</v>
      </c>
      <c r="H7640" s="1">
        <v>0</v>
      </c>
      <c r="I7640">
        <v>12</v>
      </c>
      <c r="J7640">
        <f>IF($H7640=0,1,IF($I7640&lt;=1,2,0))</f>
        <v>1</v>
      </c>
      <c r="K7640">
        <v>6</v>
      </c>
      <c r="L7640">
        <f>IF(AND($J7640=0,$K7640=0),0,1)</f>
        <v>1</v>
      </c>
    </row>
    <row r="7641" spans="1:12" x14ac:dyDescent="0.2">
      <c r="A7641" t="s">
        <v>93</v>
      </c>
      <c r="B7641" t="s">
        <v>17</v>
      </c>
      <c r="C7641" t="s">
        <v>102</v>
      </c>
      <c r="D7641">
        <v>4105</v>
      </c>
      <c r="E7641">
        <v>2019</v>
      </c>
      <c r="F7641">
        <v>15</v>
      </c>
      <c r="G7641">
        <v>41447</v>
      </c>
      <c r="H7641" s="1">
        <v>0</v>
      </c>
      <c r="I7641">
        <v>12</v>
      </c>
      <c r="J7641">
        <f>IF($H7641=0,1,IF($I7641&lt;=1,2,0))</f>
        <v>1</v>
      </c>
      <c r="K7641">
        <v>6</v>
      </c>
      <c r="L7641">
        <f>IF(AND($J7641=0,$K7641=0),0,1)</f>
        <v>1</v>
      </c>
    </row>
    <row r="7642" spans="1:12" x14ac:dyDescent="0.2">
      <c r="A7642" t="s">
        <v>93</v>
      </c>
      <c r="B7642" t="s">
        <v>17</v>
      </c>
      <c r="C7642" t="s">
        <v>102</v>
      </c>
      <c r="D7642">
        <v>4105</v>
      </c>
      <c r="E7642">
        <v>2019</v>
      </c>
      <c r="F7642">
        <v>16</v>
      </c>
      <c r="G7642">
        <v>41448</v>
      </c>
      <c r="H7642" s="1">
        <v>0</v>
      </c>
      <c r="I7642">
        <v>12</v>
      </c>
      <c r="J7642">
        <f>IF($H7642=0,1,IF($I7642&lt;=1,2,0))</f>
        <v>1</v>
      </c>
      <c r="K7642">
        <v>6</v>
      </c>
      <c r="L7642">
        <f>IF(AND($J7642=0,$K7642=0),0,1)</f>
        <v>1</v>
      </c>
    </row>
    <row r="7643" spans="1:12" x14ac:dyDescent="0.2">
      <c r="A7643" t="s">
        <v>93</v>
      </c>
      <c r="B7643" t="s">
        <v>17</v>
      </c>
      <c r="C7643" t="s">
        <v>102</v>
      </c>
      <c r="D7643">
        <v>4105</v>
      </c>
      <c r="E7643">
        <v>2019</v>
      </c>
      <c r="F7643">
        <v>18</v>
      </c>
      <c r="G7643">
        <v>41450</v>
      </c>
      <c r="H7643" s="1">
        <v>0</v>
      </c>
      <c r="I7643">
        <v>12</v>
      </c>
      <c r="J7643">
        <f>IF($H7643=0,1,IF($I7643&lt;=1,2,0))</f>
        <v>1</v>
      </c>
      <c r="K7643">
        <v>6</v>
      </c>
      <c r="L7643">
        <f>IF(AND($J7643=0,$K7643=0),0,1)</f>
        <v>1</v>
      </c>
    </row>
    <row r="7644" spans="1:12" x14ac:dyDescent="0.2">
      <c r="A7644" t="s">
        <v>93</v>
      </c>
      <c r="B7644" t="s">
        <v>17</v>
      </c>
      <c r="C7644" t="s">
        <v>102</v>
      </c>
      <c r="D7644">
        <v>4105</v>
      </c>
      <c r="E7644">
        <v>2019</v>
      </c>
      <c r="F7644">
        <v>7</v>
      </c>
      <c r="G7644">
        <v>41439</v>
      </c>
      <c r="H7644" s="1">
        <v>0</v>
      </c>
      <c r="I7644">
        <v>10</v>
      </c>
      <c r="J7644">
        <f>IF($H7644=0,1,IF($I7644&lt;=1,2,0))</f>
        <v>1</v>
      </c>
      <c r="K7644">
        <v>6</v>
      </c>
      <c r="L7644">
        <f>IF(AND($J7644=0,$K7644=0),0,1)</f>
        <v>1</v>
      </c>
    </row>
    <row r="7645" spans="1:12" x14ac:dyDescent="0.2">
      <c r="A7645" t="s">
        <v>93</v>
      </c>
      <c r="B7645" t="s">
        <v>17</v>
      </c>
      <c r="C7645" t="s">
        <v>102</v>
      </c>
      <c r="D7645">
        <v>4105</v>
      </c>
      <c r="E7645">
        <v>2019</v>
      </c>
      <c r="F7645">
        <v>4</v>
      </c>
      <c r="G7645">
        <v>41436</v>
      </c>
      <c r="H7645" s="1">
        <v>0</v>
      </c>
      <c r="I7645">
        <v>9</v>
      </c>
      <c r="J7645">
        <f>IF($H7645=0,1,IF($I7645&lt;=1,2,0))</f>
        <v>1</v>
      </c>
      <c r="K7645">
        <v>6</v>
      </c>
      <c r="L7645">
        <f>IF(AND($J7645=0,$K7645=0),0,1)</f>
        <v>1</v>
      </c>
    </row>
    <row r="7646" spans="1:12" x14ac:dyDescent="0.2">
      <c r="A7646" t="s">
        <v>93</v>
      </c>
      <c r="B7646" t="s">
        <v>17</v>
      </c>
      <c r="C7646" t="s">
        <v>102</v>
      </c>
      <c r="D7646">
        <v>4105</v>
      </c>
      <c r="E7646">
        <v>2019</v>
      </c>
      <c r="F7646">
        <v>13</v>
      </c>
      <c r="G7646">
        <v>41445</v>
      </c>
      <c r="H7646" s="1">
        <v>0</v>
      </c>
      <c r="I7646">
        <v>9</v>
      </c>
      <c r="J7646">
        <f>IF($H7646=0,1,IF($I7646&lt;=1,2,0))</f>
        <v>1</v>
      </c>
      <c r="K7646">
        <v>6</v>
      </c>
      <c r="L7646">
        <f>IF(AND($J7646=0,$K7646=0),0,1)</f>
        <v>1</v>
      </c>
    </row>
    <row r="7647" spans="1:12" x14ac:dyDescent="0.2">
      <c r="A7647" t="s">
        <v>93</v>
      </c>
      <c r="B7647" t="s">
        <v>17</v>
      </c>
      <c r="C7647" t="s">
        <v>102</v>
      </c>
      <c r="D7647">
        <v>4105</v>
      </c>
      <c r="E7647">
        <v>2019</v>
      </c>
      <c r="F7647">
        <v>6</v>
      </c>
      <c r="G7647">
        <v>41438</v>
      </c>
      <c r="H7647" s="1">
        <v>0</v>
      </c>
      <c r="I7647">
        <v>8</v>
      </c>
      <c r="J7647">
        <f>IF($H7647=0,1,IF($I7647&lt;=1,2,0))</f>
        <v>1</v>
      </c>
      <c r="K7647">
        <v>6</v>
      </c>
      <c r="L7647">
        <f>IF(AND($J7647=0,$K7647=0),0,1)</f>
        <v>1</v>
      </c>
    </row>
    <row r="7648" spans="1:12" x14ac:dyDescent="0.2">
      <c r="A7648" t="s">
        <v>93</v>
      </c>
      <c r="B7648" t="s">
        <v>17</v>
      </c>
      <c r="C7648" t="s">
        <v>102</v>
      </c>
      <c r="D7648">
        <v>4105</v>
      </c>
      <c r="E7648">
        <v>2019</v>
      </c>
      <c r="F7648">
        <v>8</v>
      </c>
      <c r="G7648">
        <v>41440</v>
      </c>
      <c r="H7648" s="1">
        <v>0</v>
      </c>
      <c r="I7648">
        <v>8</v>
      </c>
      <c r="J7648">
        <f>IF($H7648=0,1,IF($I7648&lt;=1,2,0))</f>
        <v>1</v>
      </c>
      <c r="K7648">
        <v>6</v>
      </c>
      <c r="L7648">
        <f>IF(AND($J7648=0,$K7648=0),0,1)</f>
        <v>1</v>
      </c>
    </row>
    <row r="7649" spans="1:13" x14ac:dyDescent="0.2">
      <c r="A7649" t="s">
        <v>93</v>
      </c>
      <c r="B7649" t="s">
        <v>17</v>
      </c>
      <c r="C7649" t="s">
        <v>102</v>
      </c>
      <c r="D7649">
        <v>4105</v>
      </c>
      <c r="E7649">
        <v>2019</v>
      </c>
      <c r="F7649">
        <v>5</v>
      </c>
      <c r="G7649">
        <v>41437</v>
      </c>
      <c r="H7649" s="1">
        <v>0</v>
      </c>
      <c r="I7649">
        <v>7</v>
      </c>
      <c r="J7649">
        <f>IF($H7649=0,1,IF($I7649&lt;=1,2,0))</f>
        <v>1</v>
      </c>
      <c r="K7649">
        <v>6</v>
      </c>
      <c r="L7649">
        <f>IF(AND($J7649=0,$K7649=0),0,1)</f>
        <v>1</v>
      </c>
    </row>
    <row r="7650" spans="1:13" x14ac:dyDescent="0.2">
      <c r="A7650" t="s">
        <v>93</v>
      </c>
      <c r="B7650" t="s">
        <v>17</v>
      </c>
      <c r="C7650" t="s">
        <v>102</v>
      </c>
      <c r="D7650">
        <v>4105</v>
      </c>
      <c r="E7650">
        <v>2019</v>
      </c>
      <c r="F7650">
        <v>17</v>
      </c>
      <c r="G7650">
        <v>41449</v>
      </c>
      <c r="H7650" s="1">
        <v>0</v>
      </c>
      <c r="I7650">
        <v>7</v>
      </c>
      <c r="J7650">
        <f>IF($H7650=0,1,IF($I7650&lt;=1,2,0))</f>
        <v>1</v>
      </c>
      <c r="K7650">
        <v>6</v>
      </c>
      <c r="L7650">
        <f>IF(AND($J7650=0,$K7650=0),0,1)</f>
        <v>1</v>
      </c>
    </row>
    <row r="7651" spans="1:13" x14ac:dyDescent="0.2">
      <c r="A7651" t="s">
        <v>93</v>
      </c>
      <c r="B7651" t="s">
        <v>17</v>
      </c>
      <c r="C7651" t="s">
        <v>102</v>
      </c>
      <c r="D7651">
        <v>4105</v>
      </c>
      <c r="E7651">
        <v>2019</v>
      </c>
      <c r="F7651">
        <v>12</v>
      </c>
      <c r="G7651">
        <v>41444</v>
      </c>
      <c r="H7651" s="1">
        <v>0</v>
      </c>
      <c r="I7651">
        <v>6</v>
      </c>
      <c r="J7651">
        <f>IF($H7651=0,1,IF($I7651&lt;=1,2,0))</f>
        <v>1</v>
      </c>
      <c r="K7651">
        <v>6</v>
      </c>
      <c r="L7651">
        <f>IF(AND($J7651=0,$K7651=0),0,1)</f>
        <v>1</v>
      </c>
    </row>
    <row r="7652" spans="1:13" x14ac:dyDescent="0.2">
      <c r="A7652" t="s">
        <v>93</v>
      </c>
      <c r="B7652" t="s">
        <v>17</v>
      </c>
      <c r="C7652" t="s">
        <v>102</v>
      </c>
      <c r="D7652">
        <v>4111</v>
      </c>
      <c r="E7652">
        <v>2019</v>
      </c>
      <c r="F7652">
        <v>1</v>
      </c>
      <c r="G7652">
        <v>41451</v>
      </c>
      <c r="H7652" s="1">
        <v>3</v>
      </c>
      <c r="I7652">
        <v>53</v>
      </c>
      <c r="J7652">
        <f>IF($H7652=0,1,IF($I7652&lt;=1,2,0))</f>
        <v>0</v>
      </c>
      <c r="K7652">
        <v>6</v>
      </c>
      <c r="L7652">
        <f>IF(AND($J7652=0,$K7652=0),0,1)</f>
        <v>1</v>
      </c>
      <c r="M7652" t="s">
        <v>106</v>
      </c>
    </row>
    <row r="7653" spans="1:13" x14ac:dyDescent="0.2">
      <c r="A7653" t="s">
        <v>93</v>
      </c>
      <c r="B7653" t="s">
        <v>17</v>
      </c>
      <c r="C7653" t="s">
        <v>102</v>
      </c>
      <c r="D7653">
        <v>4113</v>
      </c>
      <c r="E7653">
        <v>2019</v>
      </c>
      <c r="F7653">
        <v>1</v>
      </c>
      <c r="G7653">
        <v>41538</v>
      </c>
      <c r="H7653" s="1">
        <v>3</v>
      </c>
      <c r="I7653">
        <v>81</v>
      </c>
      <c r="J7653">
        <f>IF($H7653=0,1,IF($I7653&lt;=1,2,0))</f>
        <v>0</v>
      </c>
      <c r="K7653">
        <v>6</v>
      </c>
      <c r="L7653">
        <f>IF(AND($J7653=0,$K7653=0),0,1)</f>
        <v>1</v>
      </c>
      <c r="M7653" t="s">
        <v>106</v>
      </c>
    </row>
    <row r="7654" spans="1:13" x14ac:dyDescent="0.2">
      <c r="A7654" t="s">
        <v>93</v>
      </c>
      <c r="B7654" t="s">
        <v>17</v>
      </c>
      <c r="C7654" t="s">
        <v>102</v>
      </c>
      <c r="D7654">
        <v>4114</v>
      </c>
      <c r="E7654">
        <v>2019</v>
      </c>
      <c r="F7654">
        <v>1</v>
      </c>
      <c r="G7654">
        <v>41452</v>
      </c>
      <c r="H7654" s="1">
        <v>3</v>
      </c>
      <c r="I7654">
        <v>80</v>
      </c>
      <c r="J7654">
        <f>IF($H7654=0,1,IF($I7654&lt;=1,2,0))</f>
        <v>0</v>
      </c>
      <c r="K7654">
        <v>6</v>
      </c>
      <c r="L7654">
        <f>IF(AND($J7654=0,$K7654=0),0,1)</f>
        <v>1</v>
      </c>
      <c r="M7654" t="s">
        <v>106</v>
      </c>
    </row>
    <row r="7655" spans="1:13" x14ac:dyDescent="0.2">
      <c r="A7655" t="s">
        <v>93</v>
      </c>
      <c r="B7655" t="s">
        <v>17</v>
      </c>
      <c r="C7655" t="s">
        <v>102</v>
      </c>
      <c r="D7655">
        <v>4341</v>
      </c>
      <c r="E7655">
        <v>2019</v>
      </c>
      <c r="F7655">
        <v>1</v>
      </c>
      <c r="G7655">
        <v>41454</v>
      </c>
      <c r="H7655" s="1">
        <v>3</v>
      </c>
      <c r="I7655">
        <v>16</v>
      </c>
      <c r="J7655">
        <f>IF($H7655=0,1,IF($I7655&lt;=1,2,0))</f>
        <v>0</v>
      </c>
      <c r="K7655">
        <v>6</v>
      </c>
      <c r="L7655">
        <f>IF(AND($J7655=0,$K7655=0),0,1)</f>
        <v>1</v>
      </c>
      <c r="M7655" t="s">
        <v>1867</v>
      </c>
    </row>
    <row r="7656" spans="1:13" x14ac:dyDescent="0.2">
      <c r="A7656" t="s">
        <v>93</v>
      </c>
      <c r="B7656" t="s">
        <v>17</v>
      </c>
      <c r="C7656" t="s">
        <v>102</v>
      </c>
      <c r="D7656">
        <v>4348</v>
      </c>
      <c r="E7656">
        <v>2019</v>
      </c>
      <c r="F7656">
        <v>3</v>
      </c>
      <c r="G7656">
        <v>41389</v>
      </c>
      <c r="H7656" s="1">
        <v>3</v>
      </c>
      <c r="I7656">
        <v>30</v>
      </c>
      <c r="J7656">
        <f>IF($H7656=0,1,IF($I7656&lt;=1,2,0))</f>
        <v>0</v>
      </c>
      <c r="K7656">
        <v>6</v>
      </c>
      <c r="L7656">
        <f>IF(AND($J7656=0,$K7656=0),0,1)</f>
        <v>1</v>
      </c>
      <c r="M7656" t="s">
        <v>108</v>
      </c>
    </row>
    <row r="7657" spans="1:13" x14ac:dyDescent="0.2">
      <c r="A7657" t="s">
        <v>93</v>
      </c>
      <c r="B7657" t="s">
        <v>17</v>
      </c>
      <c r="C7657" t="s">
        <v>102</v>
      </c>
      <c r="D7657">
        <v>4348</v>
      </c>
      <c r="E7657">
        <v>2019</v>
      </c>
      <c r="F7657">
        <v>2</v>
      </c>
      <c r="G7657">
        <v>41388</v>
      </c>
      <c r="H7657" s="1">
        <v>3</v>
      </c>
      <c r="I7657">
        <v>29</v>
      </c>
      <c r="J7657">
        <f>IF($H7657=0,1,IF($I7657&lt;=1,2,0))</f>
        <v>0</v>
      </c>
      <c r="K7657">
        <v>6</v>
      </c>
      <c r="L7657">
        <f>IF(AND($J7657=0,$K7657=0),0,1)</f>
        <v>1</v>
      </c>
      <c r="M7657" t="s">
        <v>108</v>
      </c>
    </row>
    <row r="7658" spans="1:13" x14ac:dyDescent="0.2">
      <c r="A7658" t="s">
        <v>93</v>
      </c>
      <c r="B7658" t="s">
        <v>17</v>
      </c>
      <c r="C7658" t="s">
        <v>102</v>
      </c>
      <c r="D7658">
        <v>4348</v>
      </c>
      <c r="E7658">
        <v>2019</v>
      </c>
      <c r="F7658">
        <v>1</v>
      </c>
      <c r="G7658">
        <v>41387</v>
      </c>
      <c r="H7658" s="1">
        <v>3</v>
      </c>
      <c r="I7658">
        <v>26</v>
      </c>
      <c r="J7658">
        <f>IF($H7658=0,1,IF($I7658&lt;=1,2,0))</f>
        <v>0</v>
      </c>
      <c r="K7658">
        <v>6</v>
      </c>
      <c r="L7658">
        <f>IF(AND($J7658=0,$K7658=0),0,1)</f>
        <v>1</v>
      </c>
      <c r="M7658" t="s">
        <v>107</v>
      </c>
    </row>
    <row r="7659" spans="1:13" x14ac:dyDescent="0.2">
      <c r="A7659" t="s">
        <v>93</v>
      </c>
      <c r="B7659" t="s">
        <v>17</v>
      </c>
      <c r="C7659" t="s">
        <v>102</v>
      </c>
      <c r="D7659">
        <v>4399</v>
      </c>
      <c r="E7659">
        <v>2019</v>
      </c>
      <c r="F7659">
        <v>1</v>
      </c>
      <c r="G7659">
        <v>41456</v>
      </c>
      <c r="H7659" s="1">
        <v>3</v>
      </c>
      <c r="I7659">
        <v>5</v>
      </c>
      <c r="J7659">
        <f>IF($H7659=0,1,IF($I7659&lt;=1,2,0))</f>
        <v>0</v>
      </c>
      <c r="K7659">
        <v>6</v>
      </c>
      <c r="L7659">
        <f>IF(AND($J7659=0,$K7659=0),0,1)</f>
        <v>1</v>
      </c>
      <c r="M7659" t="s">
        <v>109</v>
      </c>
    </row>
    <row r="7660" spans="1:13" x14ac:dyDescent="0.2">
      <c r="A7660" t="s">
        <v>93</v>
      </c>
      <c r="B7660" t="s">
        <v>17</v>
      </c>
      <c r="C7660" t="s">
        <v>102</v>
      </c>
      <c r="D7660">
        <v>4429</v>
      </c>
      <c r="E7660">
        <v>2019</v>
      </c>
      <c r="F7660">
        <v>1</v>
      </c>
      <c r="G7660">
        <v>41458</v>
      </c>
      <c r="H7660" s="1">
        <v>3</v>
      </c>
      <c r="I7660">
        <v>19</v>
      </c>
      <c r="J7660">
        <f>IF($H7660=0,1,IF($I7660&lt;=1,2,0))</f>
        <v>0</v>
      </c>
      <c r="K7660">
        <v>6</v>
      </c>
      <c r="L7660">
        <f>IF(AND($J7660=0,$K7660=0),0,1)</f>
        <v>1</v>
      </c>
      <c r="M7660" t="s">
        <v>1868</v>
      </c>
    </row>
    <row r="7661" spans="1:13" x14ac:dyDescent="0.2">
      <c r="A7661" t="s">
        <v>93</v>
      </c>
      <c r="B7661" t="s">
        <v>17</v>
      </c>
      <c r="C7661" t="s">
        <v>102</v>
      </c>
      <c r="D7661">
        <v>4469</v>
      </c>
      <c r="E7661">
        <v>2019</v>
      </c>
      <c r="F7661">
        <v>1</v>
      </c>
      <c r="G7661">
        <v>41558</v>
      </c>
      <c r="H7661" s="1">
        <v>3</v>
      </c>
      <c r="I7661">
        <v>84</v>
      </c>
      <c r="J7661">
        <f>IF($H7661=0,1,IF($I7661&lt;=1,2,0))</f>
        <v>0</v>
      </c>
      <c r="K7661">
        <v>6</v>
      </c>
      <c r="L7661">
        <f>IF(AND($J7661=0,$K7661=0),0,1)</f>
        <v>1</v>
      </c>
      <c r="M7661" t="s">
        <v>1869</v>
      </c>
    </row>
    <row r="7662" spans="1:13" x14ac:dyDescent="0.2">
      <c r="A7662" t="s">
        <v>93</v>
      </c>
      <c r="B7662" t="s">
        <v>17</v>
      </c>
      <c r="C7662" t="s">
        <v>102</v>
      </c>
      <c r="D7662">
        <v>4510</v>
      </c>
      <c r="E7662">
        <v>2019</v>
      </c>
      <c r="F7662">
        <v>1</v>
      </c>
      <c r="G7662">
        <v>41392</v>
      </c>
      <c r="H7662" s="1">
        <v>6</v>
      </c>
      <c r="I7662">
        <v>11</v>
      </c>
      <c r="J7662">
        <f>IF($H7662=0,1,IF($I7662&lt;=1,2,0))</f>
        <v>0</v>
      </c>
      <c r="K7662">
        <v>6</v>
      </c>
      <c r="L7662">
        <f>IF(AND($J7662=0,$K7662=0),0,1)</f>
        <v>1</v>
      </c>
      <c r="M7662" t="s">
        <v>110</v>
      </c>
    </row>
    <row r="7663" spans="1:13" x14ac:dyDescent="0.2">
      <c r="A7663" t="s">
        <v>93</v>
      </c>
      <c r="B7663" t="s">
        <v>17</v>
      </c>
      <c r="C7663" t="s">
        <v>102</v>
      </c>
      <c r="D7663">
        <v>4534</v>
      </c>
      <c r="E7663">
        <v>2019</v>
      </c>
      <c r="F7663">
        <v>1</v>
      </c>
      <c r="G7663">
        <v>41460</v>
      </c>
      <c r="H7663" s="1">
        <v>3</v>
      </c>
      <c r="I7663">
        <v>39</v>
      </c>
      <c r="J7663">
        <f>IF($H7663=0,1,IF($I7663&lt;=1,2,0))</f>
        <v>0</v>
      </c>
      <c r="K7663">
        <v>6</v>
      </c>
      <c r="L7663">
        <f>IF(AND($J7663=0,$K7663=0),0,1)</f>
        <v>1</v>
      </c>
      <c r="M7663" t="s">
        <v>1870</v>
      </c>
    </row>
    <row r="7664" spans="1:13" x14ac:dyDescent="0.2">
      <c r="A7664" t="s">
        <v>93</v>
      </c>
      <c r="B7664" t="s">
        <v>17</v>
      </c>
      <c r="C7664" t="s">
        <v>102</v>
      </c>
      <c r="D7664">
        <v>4535</v>
      </c>
      <c r="E7664">
        <v>2019</v>
      </c>
      <c r="F7664">
        <v>1</v>
      </c>
      <c r="G7664">
        <v>41393</v>
      </c>
      <c r="H7664" s="1">
        <v>3</v>
      </c>
      <c r="I7664">
        <v>5</v>
      </c>
      <c r="J7664">
        <f>IF($H7664=0,1,IF($I7664&lt;=1,2,0))</f>
        <v>0</v>
      </c>
      <c r="K7664">
        <v>6</v>
      </c>
      <c r="L7664">
        <f>IF(AND($J7664=0,$K7664=0),0,1)</f>
        <v>1</v>
      </c>
      <c r="M7664" t="s">
        <v>111</v>
      </c>
    </row>
    <row r="7665" spans="1:13" x14ac:dyDescent="0.2">
      <c r="A7665" t="s">
        <v>93</v>
      </c>
      <c r="B7665" t="s">
        <v>17</v>
      </c>
      <c r="C7665" t="s">
        <v>102</v>
      </c>
      <c r="D7665">
        <v>4560</v>
      </c>
      <c r="E7665">
        <v>2019</v>
      </c>
      <c r="F7665">
        <v>1</v>
      </c>
      <c r="G7665">
        <v>41481</v>
      </c>
      <c r="H7665" s="1">
        <v>3</v>
      </c>
      <c r="I7665">
        <v>61</v>
      </c>
      <c r="J7665">
        <f>IF($H7665=0,1,IF($I7665&lt;=1,2,0))</f>
        <v>0</v>
      </c>
      <c r="K7665">
        <v>6</v>
      </c>
      <c r="L7665">
        <f>IF(AND($J7665=0,$K7665=0),0,1)</f>
        <v>1</v>
      </c>
      <c r="M7665" t="s">
        <v>112</v>
      </c>
    </row>
    <row r="7666" spans="1:13" x14ac:dyDescent="0.2">
      <c r="A7666" t="s">
        <v>93</v>
      </c>
      <c r="B7666" t="s">
        <v>17</v>
      </c>
      <c r="C7666" t="s">
        <v>102</v>
      </c>
      <c r="D7666">
        <v>4560</v>
      </c>
      <c r="E7666">
        <v>2019</v>
      </c>
      <c r="F7666">
        <v>2</v>
      </c>
      <c r="G7666">
        <v>41482</v>
      </c>
      <c r="H7666" s="1">
        <v>3</v>
      </c>
      <c r="I7666">
        <v>27</v>
      </c>
      <c r="J7666">
        <f>IF($H7666=0,1,IF($I7666&lt;=1,2,0))</f>
        <v>0</v>
      </c>
      <c r="K7666">
        <v>6</v>
      </c>
      <c r="L7666">
        <f>IF(AND($J7666=0,$K7666=0),0,1)</f>
        <v>1</v>
      </c>
      <c r="M7666" t="s">
        <v>112</v>
      </c>
    </row>
    <row r="7667" spans="1:13" x14ac:dyDescent="0.2">
      <c r="A7667" t="s">
        <v>93</v>
      </c>
      <c r="B7667" t="s">
        <v>17</v>
      </c>
      <c r="C7667" t="s">
        <v>102</v>
      </c>
      <c r="D7667">
        <v>4566</v>
      </c>
      <c r="E7667">
        <v>2019</v>
      </c>
      <c r="F7667">
        <v>1</v>
      </c>
      <c r="G7667">
        <v>41559</v>
      </c>
      <c r="H7667" s="1">
        <v>3</v>
      </c>
      <c r="I7667">
        <v>8</v>
      </c>
      <c r="J7667">
        <f>IF($H7667=0,1,IF($I7667&lt;=1,2,0))</f>
        <v>0</v>
      </c>
      <c r="K7667">
        <v>6</v>
      </c>
      <c r="L7667">
        <f>IF(AND($J7667=0,$K7667=0),0,1)</f>
        <v>1</v>
      </c>
      <c r="M7667" t="s">
        <v>1871</v>
      </c>
    </row>
    <row r="7668" spans="1:13" x14ac:dyDescent="0.2">
      <c r="A7668" t="s">
        <v>93</v>
      </c>
      <c r="B7668" t="s">
        <v>17</v>
      </c>
      <c r="C7668" t="s">
        <v>102</v>
      </c>
      <c r="D7668">
        <v>4597</v>
      </c>
      <c r="E7668">
        <v>2019</v>
      </c>
      <c r="F7668">
        <v>1</v>
      </c>
      <c r="G7668">
        <v>15363</v>
      </c>
      <c r="H7668" s="1">
        <v>3</v>
      </c>
      <c r="I7668">
        <v>19</v>
      </c>
      <c r="J7668">
        <f>IF($H7668=0,1,IF($I7668&lt;=1,2,0))</f>
        <v>0</v>
      </c>
      <c r="K7668">
        <v>6</v>
      </c>
      <c r="L7668">
        <f>IF(AND($J7668=0,$K7668=0),0,1)</f>
        <v>1</v>
      </c>
      <c r="M7668" t="s">
        <v>113</v>
      </c>
    </row>
    <row r="7669" spans="1:13" x14ac:dyDescent="0.2">
      <c r="A7669" t="s">
        <v>93</v>
      </c>
      <c r="B7669" t="s">
        <v>17</v>
      </c>
      <c r="C7669" t="s">
        <v>102</v>
      </c>
      <c r="D7669">
        <v>4620</v>
      </c>
      <c r="E7669">
        <v>2019</v>
      </c>
      <c r="F7669">
        <v>1</v>
      </c>
      <c r="G7669">
        <v>41353</v>
      </c>
      <c r="H7669" s="1">
        <v>3</v>
      </c>
      <c r="I7669">
        <v>4</v>
      </c>
      <c r="J7669">
        <f>IF($H7669=0,1,IF($I7669&lt;=1,2,0))</f>
        <v>0</v>
      </c>
      <c r="K7669">
        <v>6</v>
      </c>
      <c r="L7669">
        <f>IF(AND($J7669=0,$K7669=0),0,1)</f>
        <v>1</v>
      </c>
      <c r="M7669" t="s">
        <v>1872</v>
      </c>
    </row>
    <row r="7670" spans="1:13" x14ac:dyDescent="0.2">
      <c r="A7670" t="s">
        <v>93</v>
      </c>
      <c r="B7670" t="s">
        <v>17</v>
      </c>
      <c r="C7670" t="s">
        <v>102</v>
      </c>
      <c r="D7670">
        <v>4625</v>
      </c>
      <c r="E7670">
        <v>2019</v>
      </c>
      <c r="F7670">
        <v>1</v>
      </c>
      <c r="G7670">
        <v>41484</v>
      </c>
      <c r="H7670" s="1">
        <v>3</v>
      </c>
      <c r="I7670">
        <v>14</v>
      </c>
      <c r="J7670">
        <f>IF($H7670=0,1,IF($I7670&lt;=1,2,0))</f>
        <v>0</v>
      </c>
      <c r="K7670">
        <v>6</v>
      </c>
      <c r="L7670">
        <f>IF(AND($J7670=0,$K7670=0),0,1)</f>
        <v>1</v>
      </c>
      <c r="M7670" t="s">
        <v>114</v>
      </c>
    </row>
    <row r="7671" spans="1:13" x14ac:dyDescent="0.2">
      <c r="A7671" t="s">
        <v>93</v>
      </c>
      <c r="B7671" t="s">
        <v>17</v>
      </c>
      <c r="C7671" t="s">
        <v>102</v>
      </c>
      <c r="D7671">
        <v>4684</v>
      </c>
      <c r="E7671">
        <v>2019</v>
      </c>
      <c r="F7671">
        <v>1</v>
      </c>
      <c r="G7671">
        <v>41486</v>
      </c>
      <c r="H7671" s="1">
        <v>3</v>
      </c>
      <c r="I7671">
        <v>16</v>
      </c>
      <c r="J7671">
        <f>IF($H7671=0,1,IF($I7671&lt;=1,2,0))</f>
        <v>0</v>
      </c>
      <c r="K7671">
        <v>6</v>
      </c>
      <c r="L7671">
        <f>IF(AND($J7671=0,$K7671=0),0,1)</f>
        <v>1</v>
      </c>
      <c r="M7671" t="s">
        <v>114</v>
      </c>
    </row>
    <row r="7672" spans="1:13" x14ac:dyDescent="0.2">
      <c r="A7672" t="s">
        <v>93</v>
      </c>
      <c r="B7672" t="s">
        <v>17</v>
      </c>
      <c r="C7672" t="s">
        <v>102</v>
      </c>
      <c r="D7672">
        <v>4715</v>
      </c>
      <c r="E7672">
        <v>2019</v>
      </c>
      <c r="F7672">
        <v>1</v>
      </c>
      <c r="G7672">
        <v>41394</v>
      </c>
      <c r="H7672" s="1">
        <v>3</v>
      </c>
      <c r="I7672">
        <v>19</v>
      </c>
      <c r="J7672">
        <f>IF($H7672=0,1,IF($I7672&lt;=1,2,0))</f>
        <v>0</v>
      </c>
      <c r="K7672">
        <v>6</v>
      </c>
      <c r="L7672">
        <f>IF(AND($J7672=0,$K7672=0),0,1)</f>
        <v>1</v>
      </c>
      <c r="M7672" t="s">
        <v>115</v>
      </c>
    </row>
    <row r="7673" spans="1:13" x14ac:dyDescent="0.2">
      <c r="A7673" t="s">
        <v>93</v>
      </c>
      <c r="B7673" t="s">
        <v>17</v>
      </c>
      <c r="C7673" t="s">
        <v>102</v>
      </c>
      <c r="D7673">
        <v>4716</v>
      </c>
      <c r="E7673">
        <v>2019</v>
      </c>
      <c r="F7673">
        <v>1</v>
      </c>
      <c r="G7673">
        <v>41487</v>
      </c>
      <c r="H7673" s="1">
        <v>3</v>
      </c>
      <c r="I7673">
        <v>9</v>
      </c>
      <c r="J7673">
        <f>IF($H7673=0,1,IF($I7673&lt;=1,2,0))</f>
        <v>0</v>
      </c>
      <c r="K7673">
        <v>6</v>
      </c>
      <c r="L7673">
        <f>IF(AND($J7673=0,$K7673=0),0,1)</f>
        <v>1</v>
      </c>
      <c r="M7673" t="s">
        <v>1870</v>
      </c>
    </row>
    <row r="7674" spans="1:13" x14ac:dyDescent="0.2">
      <c r="A7674" t="s">
        <v>93</v>
      </c>
      <c r="B7674" t="s">
        <v>17</v>
      </c>
      <c r="C7674" t="s">
        <v>102</v>
      </c>
      <c r="D7674">
        <v>4726</v>
      </c>
      <c r="E7674">
        <v>2019</v>
      </c>
      <c r="F7674">
        <v>1</v>
      </c>
      <c r="G7674">
        <v>41354</v>
      </c>
      <c r="H7674" s="1">
        <v>3</v>
      </c>
      <c r="I7674">
        <v>13</v>
      </c>
      <c r="J7674">
        <f>IF($H7674=0,1,IF($I7674&lt;=1,2,0))</f>
        <v>0</v>
      </c>
      <c r="K7674">
        <v>6</v>
      </c>
      <c r="L7674">
        <f>IF(AND($J7674=0,$K7674=0),0,1)</f>
        <v>1</v>
      </c>
      <c r="M7674" t="s">
        <v>1870</v>
      </c>
    </row>
    <row r="7675" spans="1:13" x14ac:dyDescent="0.2">
      <c r="A7675" t="s">
        <v>93</v>
      </c>
      <c r="B7675" t="s">
        <v>17</v>
      </c>
      <c r="C7675" t="s">
        <v>102</v>
      </c>
      <c r="D7675">
        <v>4776</v>
      </c>
      <c r="E7675">
        <v>2019</v>
      </c>
      <c r="F7675">
        <v>1</v>
      </c>
      <c r="G7675">
        <v>41540</v>
      </c>
      <c r="H7675" s="1">
        <v>3</v>
      </c>
      <c r="I7675">
        <v>9</v>
      </c>
      <c r="J7675">
        <f>IF($H7675=0,1,IF($I7675&lt;=1,2,0))</f>
        <v>0</v>
      </c>
      <c r="K7675">
        <v>6</v>
      </c>
      <c r="L7675">
        <f>IF(AND($J7675=0,$K7675=0),0,1)</f>
        <v>1</v>
      </c>
      <c r="M7675" t="s">
        <v>114</v>
      </c>
    </row>
    <row r="7676" spans="1:13" x14ac:dyDescent="0.2">
      <c r="A7676" t="s">
        <v>93</v>
      </c>
      <c r="B7676" t="s">
        <v>17</v>
      </c>
      <c r="C7676" t="s">
        <v>102</v>
      </c>
      <c r="D7676">
        <v>4778</v>
      </c>
      <c r="E7676">
        <v>2019</v>
      </c>
      <c r="F7676">
        <v>1</v>
      </c>
      <c r="G7676">
        <v>41395</v>
      </c>
      <c r="H7676" s="1">
        <v>3</v>
      </c>
      <c r="I7676">
        <v>31</v>
      </c>
      <c r="J7676">
        <f>IF($H7676=0,1,IF($I7676&lt;=1,2,0))</f>
        <v>0</v>
      </c>
      <c r="K7676">
        <v>6</v>
      </c>
      <c r="L7676">
        <f>IF(AND($J7676=0,$K7676=0),0,1)</f>
        <v>1</v>
      </c>
      <c r="M7676" t="s">
        <v>1870</v>
      </c>
    </row>
    <row r="7677" spans="1:13" x14ac:dyDescent="0.2">
      <c r="A7677" t="s">
        <v>93</v>
      </c>
      <c r="B7677" t="s">
        <v>17</v>
      </c>
      <c r="C7677" t="s">
        <v>102</v>
      </c>
      <c r="D7677">
        <v>4780</v>
      </c>
      <c r="E7677">
        <v>2019</v>
      </c>
      <c r="F7677">
        <v>1</v>
      </c>
      <c r="G7677">
        <v>41488</v>
      </c>
      <c r="H7677" s="1">
        <v>3</v>
      </c>
      <c r="I7677">
        <v>15</v>
      </c>
      <c r="J7677">
        <f>IF($H7677=0,1,IF($I7677&lt;=1,2,0))</f>
        <v>0</v>
      </c>
      <c r="K7677">
        <v>6</v>
      </c>
      <c r="L7677">
        <f>IF(AND($J7677=0,$K7677=0),0,1)</f>
        <v>1</v>
      </c>
      <c r="M7677" t="s">
        <v>1868</v>
      </c>
    </row>
    <row r="7678" spans="1:13" x14ac:dyDescent="0.2">
      <c r="A7678" t="s">
        <v>93</v>
      </c>
      <c r="B7678" t="s">
        <v>17</v>
      </c>
      <c r="C7678" t="s">
        <v>102</v>
      </c>
      <c r="D7678">
        <v>4804</v>
      </c>
      <c r="E7678">
        <v>2019</v>
      </c>
      <c r="F7678">
        <v>1</v>
      </c>
      <c r="G7678">
        <v>41560</v>
      </c>
      <c r="H7678" s="1">
        <v>3</v>
      </c>
      <c r="I7678">
        <v>11</v>
      </c>
      <c r="J7678">
        <f>IF($H7678=0,1,IF($I7678&lt;=1,2,0))</f>
        <v>0</v>
      </c>
      <c r="K7678">
        <v>6</v>
      </c>
      <c r="L7678">
        <f>IF(AND($J7678=0,$K7678=0),0,1)</f>
        <v>1</v>
      </c>
      <c r="M7678" t="s">
        <v>1871</v>
      </c>
    </row>
    <row r="7679" spans="1:13" x14ac:dyDescent="0.2">
      <c r="A7679" t="s">
        <v>93</v>
      </c>
      <c r="B7679" t="s">
        <v>17</v>
      </c>
      <c r="C7679" t="s">
        <v>102</v>
      </c>
      <c r="D7679">
        <v>4814</v>
      </c>
      <c r="E7679">
        <v>2019</v>
      </c>
      <c r="F7679">
        <v>1</v>
      </c>
      <c r="G7679">
        <v>41396</v>
      </c>
      <c r="H7679" s="1">
        <v>1.5</v>
      </c>
      <c r="I7679">
        <v>6</v>
      </c>
      <c r="J7679">
        <f>IF($H7679=0,1,IF($I7679&lt;=1,2,0))</f>
        <v>0</v>
      </c>
      <c r="K7679">
        <v>6</v>
      </c>
      <c r="L7679">
        <f>IF(AND($J7679=0,$K7679=0),0,1)</f>
        <v>1</v>
      </c>
      <c r="M7679" t="s">
        <v>1873</v>
      </c>
    </row>
    <row r="7680" spans="1:13" x14ac:dyDescent="0.2">
      <c r="A7680" t="s">
        <v>93</v>
      </c>
      <c r="B7680" t="s">
        <v>17</v>
      </c>
      <c r="C7680" t="s">
        <v>102</v>
      </c>
      <c r="D7680">
        <v>4824</v>
      </c>
      <c r="E7680">
        <v>2019</v>
      </c>
      <c r="F7680">
        <v>1</v>
      </c>
      <c r="G7680">
        <v>41463</v>
      </c>
      <c r="H7680" s="1">
        <v>3</v>
      </c>
      <c r="I7680">
        <v>6</v>
      </c>
      <c r="J7680">
        <f>IF($H7680=0,1,IF($I7680&lt;=1,2,0))</f>
        <v>0</v>
      </c>
      <c r="K7680">
        <v>6</v>
      </c>
      <c r="L7680">
        <f>IF(AND($J7680=0,$K7680=0),0,1)</f>
        <v>1</v>
      </c>
      <c r="M7680" t="s">
        <v>1874</v>
      </c>
    </row>
    <row r="7681" spans="1:13" x14ac:dyDescent="0.2">
      <c r="A7681" t="s">
        <v>93</v>
      </c>
      <c r="B7681" t="s">
        <v>17</v>
      </c>
      <c r="C7681" t="s">
        <v>102</v>
      </c>
      <c r="D7681">
        <v>4832</v>
      </c>
      <c r="E7681">
        <v>2019</v>
      </c>
      <c r="F7681">
        <v>1</v>
      </c>
      <c r="G7681">
        <v>41355</v>
      </c>
      <c r="H7681" s="1">
        <v>3</v>
      </c>
      <c r="I7681">
        <v>26</v>
      </c>
      <c r="J7681">
        <f>IF($H7681=0,1,IF($I7681&lt;=1,2,0))</f>
        <v>0</v>
      </c>
      <c r="K7681">
        <v>6</v>
      </c>
      <c r="L7681">
        <f>IF(AND($J7681=0,$K7681=0),0,1)</f>
        <v>1</v>
      </c>
      <c r="M7681" t="s">
        <v>1870</v>
      </c>
    </row>
    <row r="7682" spans="1:13" x14ac:dyDescent="0.2">
      <c r="A7682" t="s">
        <v>93</v>
      </c>
      <c r="B7682" t="s">
        <v>17</v>
      </c>
      <c r="C7682" t="s">
        <v>102</v>
      </c>
      <c r="D7682">
        <v>4834</v>
      </c>
      <c r="E7682">
        <v>2019</v>
      </c>
      <c r="F7682">
        <v>1</v>
      </c>
      <c r="G7682">
        <v>41397</v>
      </c>
      <c r="H7682" s="1">
        <v>3</v>
      </c>
      <c r="I7682">
        <v>21</v>
      </c>
      <c r="J7682">
        <f>IF($H7682=0,1,IF($I7682&lt;=1,2,0))</f>
        <v>0</v>
      </c>
      <c r="K7682">
        <v>6</v>
      </c>
      <c r="L7682">
        <f>IF(AND($J7682=0,$K7682=0),0,1)</f>
        <v>1</v>
      </c>
      <c r="M7682" t="s">
        <v>1870</v>
      </c>
    </row>
    <row r="7683" spans="1:13" x14ac:dyDescent="0.2">
      <c r="A7683" t="s">
        <v>93</v>
      </c>
      <c r="B7683" t="s">
        <v>17</v>
      </c>
      <c r="C7683" t="s">
        <v>102</v>
      </c>
      <c r="D7683">
        <v>4847</v>
      </c>
      <c r="E7683">
        <v>2019</v>
      </c>
      <c r="F7683">
        <v>1</v>
      </c>
      <c r="G7683">
        <v>41398</v>
      </c>
      <c r="H7683" s="1">
        <v>1.5</v>
      </c>
      <c r="I7683">
        <v>5</v>
      </c>
      <c r="J7683">
        <f>IF($H7683=0,1,IF($I7683&lt;=1,2,0))</f>
        <v>0</v>
      </c>
      <c r="K7683">
        <v>6</v>
      </c>
      <c r="L7683">
        <f>IF(AND($J7683=0,$K7683=0),0,1)</f>
        <v>1</v>
      </c>
      <c r="M7683" t="s">
        <v>1875</v>
      </c>
    </row>
    <row r="7684" spans="1:13" x14ac:dyDescent="0.2">
      <c r="A7684" t="s">
        <v>93</v>
      </c>
      <c r="B7684" t="s">
        <v>17</v>
      </c>
      <c r="C7684" t="s">
        <v>102</v>
      </c>
      <c r="D7684">
        <v>4856</v>
      </c>
      <c r="E7684">
        <v>2019</v>
      </c>
      <c r="F7684">
        <v>1</v>
      </c>
      <c r="G7684">
        <v>41399</v>
      </c>
      <c r="H7684" s="1">
        <v>3</v>
      </c>
      <c r="I7684">
        <v>21</v>
      </c>
      <c r="J7684">
        <f>IF($H7684=0,1,IF($I7684&lt;=1,2,0))</f>
        <v>0</v>
      </c>
      <c r="K7684">
        <v>6</v>
      </c>
      <c r="L7684">
        <f>IF(AND($J7684=0,$K7684=0),0,1)</f>
        <v>1</v>
      </c>
      <c r="M7684" t="s">
        <v>1874</v>
      </c>
    </row>
    <row r="7685" spans="1:13" x14ac:dyDescent="0.2">
      <c r="A7685" t="s">
        <v>93</v>
      </c>
      <c r="B7685" t="s">
        <v>17</v>
      </c>
      <c r="C7685" t="s">
        <v>102</v>
      </c>
      <c r="D7685">
        <v>4861</v>
      </c>
      <c r="E7685">
        <v>2019</v>
      </c>
      <c r="F7685">
        <v>1</v>
      </c>
      <c r="G7685">
        <v>17879</v>
      </c>
      <c r="H7685" s="1">
        <v>3</v>
      </c>
      <c r="I7685">
        <v>23</v>
      </c>
      <c r="J7685">
        <f>IF($H7685=0,1,IF($I7685&lt;=1,2,0))</f>
        <v>0</v>
      </c>
      <c r="K7685">
        <v>6</v>
      </c>
      <c r="L7685">
        <f>IF(AND($J7685=0,$K7685=0),0,1)</f>
        <v>1</v>
      </c>
      <c r="M7685" t="s">
        <v>116</v>
      </c>
    </row>
    <row r="7686" spans="1:13" x14ac:dyDescent="0.2">
      <c r="A7686" t="s">
        <v>93</v>
      </c>
      <c r="B7686" t="s">
        <v>17</v>
      </c>
      <c r="C7686" t="s">
        <v>102</v>
      </c>
      <c r="D7686">
        <v>4863</v>
      </c>
      <c r="E7686">
        <v>2019</v>
      </c>
      <c r="F7686">
        <v>1</v>
      </c>
      <c r="G7686">
        <v>10164</v>
      </c>
      <c r="H7686" s="1">
        <v>3</v>
      </c>
      <c r="I7686">
        <v>3</v>
      </c>
      <c r="J7686">
        <f>IF($H7686=0,1,IF($I7686&lt;=1,2,0))</f>
        <v>0</v>
      </c>
      <c r="K7686">
        <v>6</v>
      </c>
      <c r="L7686">
        <f>IF(AND($J7686=0,$K7686=0),0,1)</f>
        <v>1</v>
      </c>
      <c r="M7686" t="s">
        <v>114</v>
      </c>
    </row>
    <row r="7687" spans="1:13" x14ac:dyDescent="0.2">
      <c r="A7687" t="s">
        <v>93</v>
      </c>
      <c r="B7687" t="s">
        <v>17</v>
      </c>
      <c r="C7687" t="s">
        <v>102</v>
      </c>
      <c r="D7687">
        <v>4892</v>
      </c>
      <c r="E7687">
        <v>2019</v>
      </c>
      <c r="F7687">
        <v>1</v>
      </c>
      <c r="G7687">
        <v>15270</v>
      </c>
      <c r="H7687" s="1">
        <v>3</v>
      </c>
      <c r="I7687">
        <v>8</v>
      </c>
      <c r="J7687">
        <f>IF($H7687=0,1,IF($I7687&lt;=1,2,0))</f>
        <v>0</v>
      </c>
      <c r="K7687">
        <v>6</v>
      </c>
      <c r="L7687">
        <f>IF(AND($J7687=0,$K7687=0),0,1)</f>
        <v>1</v>
      </c>
      <c r="M7687" t="s">
        <v>117</v>
      </c>
    </row>
    <row r="7688" spans="1:13" x14ac:dyDescent="0.2">
      <c r="A7688" t="s">
        <v>93</v>
      </c>
      <c r="B7688" t="s">
        <v>17</v>
      </c>
      <c r="C7688" t="s">
        <v>102</v>
      </c>
      <c r="D7688">
        <v>4951</v>
      </c>
      <c r="E7688">
        <v>2019</v>
      </c>
      <c r="F7688">
        <v>1</v>
      </c>
      <c r="G7688">
        <v>41466</v>
      </c>
      <c r="H7688" s="1">
        <v>1.5</v>
      </c>
      <c r="I7688">
        <v>7</v>
      </c>
      <c r="J7688">
        <f>IF($H7688=0,1,IF($I7688&lt;=1,2,0))</f>
        <v>0</v>
      </c>
      <c r="K7688">
        <v>6</v>
      </c>
      <c r="L7688">
        <f>IF(AND($J7688=0,$K7688=0),0,1)</f>
        <v>1</v>
      </c>
    </row>
    <row r="7689" spans="1:13" x14ac:dyDescent="0.2">
      <c r="A7689" t="s">
        <v>93</v>
      </c>
      <c r="B7689" t="s">
        <v>17</v>
      </c>
      <c r="C7689" t="s">
        <v>102</v>
      </c>
      <c r="D7689">
        <v>4987</v>
      </c>
      <c r="E7689">
        <v>2019</v>
      </c>
      <c r="F7689">
        <v>1</v>
      </c>
      <c r="G7689">
        <v>10172</v>
      </c>
      <c r="H7689" s="1">
        <v>3</v>
      </c>
      <c r="I7689">
        <v>28</v>
      </c>
      <c r="J7689">
        <f>IF($H7689=0,1,IF($I7689&lt;=1,2,0))</f>
        <v>0</v>
      </c>
      <c r="K7689">
        <v>6</v>
      </c>
      <c r="L7689">
        <f>IF(AND($J7689=0,$K7689=0),0,1)</f>
        <v>1</v>
      </c>
      <c r="M7689" t="s">
        <v>1870</v>
      </c>
    </row>
    <row r="7690" spans="1:13" x14ac:dyDescent="0.2">
      <c r="A7690" t="s">
        <v>93</v>
      </c>
      <c r="B7690" t="s">
        <v>17</v>
      </c>
      <c r="C7690" t="s">
        <v>102</v>
      </c>
      <c r="D7690">
        <v>4989</v>
      </c>
      <c r="E7690">
        <v>2019</v>
      </c>
      <c r="F7690">
        <v>1</v>
      </c>
      <c r="G7690">
        <v>15482</v>
      </c>
      <c r="H7690" s="1">
        <v>3</v>
      </c>
      <c r="I7690">
        <v>8</v>
      </c>
      <c r="J7690">
        <f>IF($H7690=0,1,IF($I7690&lt;=1,2,0))</f>
        <v>0</v>
      </c>
      <c r="K7690">
        <v>6</v>
      </c>
      <c r="L7690">
        <f>IF(AND($J7690=0,$K7690=0),0,1)</f>
        <v>1</v>
      </c>
      <c r="M7690" t="s">
        <v>118</v>
      </c>
    </row>
    <row r="7691" spans="1:13" x14ac:dyDescent="0.2">
      <c r="A7691" t="s">
        <v>93</v>
      </c>
      <c r="B7691" t="s">
        <v>17</v>
      </c>
      <c r="C7691" t="s">
        <v>102</v>
      </c>
      <c r="D7691">
        <v>6305</v>
      </c>
      <c r="E7691">
        <v>2019</v>
      </c>
      <c r="F7691">
        <v>1</v>
      </c>
      <c r="G7691">
        <v>41468</v>
      </c>
      <c r="H7691" s="1">
        <v>9</v>
      </c>
      <c r="I7691">
        <v>7</v>
      </c>
      <c r="J7691">
        <f>IF($H7691=0,1,IF($I7691&lt;=1,2,0))</f>
        <v>0</v>
      </c>
      <c r="K7691">
        <v>6</v>
      </c>
      <c r="L7691">
        <f>IF(AND($J7691=0,$K7691=0),0,1)</f>
        <v>1</v>
      </c>
      <c r="M7691" t="s">
        <v>1876</v>
      </c>
    </row>
    <row r="7692" spans="1:13" x14ac:dyDescent="0.2">
      <c r="A7692" t="s">
        <v>93</v>
      </c>
      <c r="B7692" t="s">
        <v>17</v>
      </c>
      <c r="C7692" t="s">
        <v>102</v>
      </c>
      <c r="D7692">
        <v>6307</v>
      </c>
      <c r="E7692">
        <v>2019</v>
      </c>
      <c r="F7692">
        <v>1</v>
      </c>
      <c r="G7692">
        <v>41400</v>
      </c>
      <c r="H7692" s="1">
        <v>6</v>
      </c>
      <c r="I7692">
        <v>10</v>
      </c>
      <c r="J7692">
        <f>IF($H7692=0,1,IF($I7692&lt;=1,2,0))</f>
        <v>0</v>
      </c>
      <c r="K7692">
        <v>6</v>
      </c>
      <c r="L7692">
        <f>IF(AND($J7692=0,$K7692=0),0,1)</f>
        <v>1</v>
      </c>
      <c r="M7692" t="s">
        <v>1877</v>
      </c>
    </row>
    <row r="7693" spans="1:13" x14ac:dyDescent="0.2">
      <c r="A7693" t="s">
        <v>93</v>
      </c>
      <c r="B7693" t="s">
        <v>17</v>
      </c>
      <c r="C7693" t="s">
        <v>102</v>
      </c>
      <c r="D7693">
        <v>6448</v>
      </c>
      <c r="E7693">
        <v>2019</v>
      </c>
      <c r="F7693">
        <v>1</v>
      </c>
      <c r="G7693">
        <v>41561</v>
      </c>
      <c r="H7693" s="1">
        <v>3</v>
      </c>
      <c r="I7693">
        <v>11</v>
      </c>
      <c r="J7693">
        <f>IF($H7693=0,1,IF($I7693&lt;=1,2,0))</f>
        <v>0</v>
      </c>
      <c r="K7693">
        <v>6</v>
      </c>
      <c r="L7693">
        <f>IF(AND($J7693=0,$K7693=0),0,1)</f>
        <v>1</v>
      </c>
      <c r="M7693" t="s">
        <v>1871</v>
      </c>
    </row>
    <row r="7694" spans="1:13" x14ac:dyDescent="0.2">
      <c r="A7694" t="s">
        <v>93</v>
      </c>
      <c r="B7694" t="s">
        <v>17</v>
      </c>
      <c r="C7694" t="s">
        <v>102</v>
      </c>
      <c r="D7694">
        <v>6451</v>
      </c>
      <c r="E7694">
        <v>2019</v>
      </c>
      <c r="F7694">
        <v>1</v>
      </c>
      <c r="G7694">
        <v>41469</v>
      </c>
      <c r="H7694" s="1">
        <v>3</v>
      </c>
      <c r="I7694">
        <v>17</v>
      </c>
      <c r="J7694">
        <f>IF($H7694=0,1,IF($I7694&lt;=1,2,0))</f>
        <v>0</v>
      </c>
      <c r="K7694">
        <v>6</v>
      </c>
      <c r="L7694">
        <f>IF(AND($J7694=0,$K7694=0),0,1)</f>
        <v>1</v>
      </c>
      <c r="M7694" t="s">
        <v>1878</v>
      </c>
    </row>
    <row r="7695" spans="1:13" x14ac:dyDescent="0.2">
      <c r="A7695" t="s">
        <v>93</v>
      </c>
      <c r="B7695" t="s">
        <v>17</v>
      </c>
      <c r="C7695" t="s">
        <v>102</v>
      </c>
      <c r="D7695">
        <v>6455</v>
      </c>
      <c r="E7695">
        <v>2019</v>
      </c>
      <c r="F7695">
        <v>1</v>
      </c>
      <c r="G7695">
        <v>41401</v>
      </c>
      <c r="H7695" s="1">
        <v>3</v>
      </c>
      <c r="I7695">
        <v>21</v>
      </c>
      <c r="J7695">
        <f>IF($H7695=0,1,IF($I7695&lt;=1,2,0))</f>
        <v>0</v>
      </c>
      <c r="K7695">
        <v>6</v>
      </c>
      <c r="L7695">
        <f>IF(AND($J7695=0,$K7695=0),0,1)</f>
        <v>1</v>
      </c>
      <c r="M7695" t="s">
        <v>1879</v>
      </c>
    </row>
    <row r="7696" spans="1:13" x14ac:dyDescent="0.2">
      <c r="A7696" t="s">
        <v>93</v>
      </c>
      <c r="B7696" t="s">
        <v>17</v>
      </c>
      <c r="C7696" t="s">
        <v>102</v>
      </c>
      <c r="D7696">
        <v>6510</v>
      </c>
      <c r="E7696">
        <v>2019</v>
      </c>
      <c r="F7696">
        <v>1</v>
      </c>
      <c r="G7696">
        <v>41544</v>
      </c>
      <c r="H7696" s="1">
        <v>1.5</v>
      </c>
      <c r="I7696">
        <v>13</v>
      </c>
      <c r="J7696">
        <f>IF($H7696=0,1,IF($I7696&lt;=1,2,0))</f>
        <v>0</v>
      </c>
      <c r="K7696">
        <v>6</v>
      </c>
      <c r="L7696">
        <f>IF(AND($J7696=0,$K7696=0),0,1)</f>
        <v>1</v>
      </c>
      <c r="M7696" t="s">
        <v>119</v>
      </c>
    </row>
    <row r="7697" spans="1:13" x14ac:dyDescent="0.2">
      <c r="A7697" t="s">
        <v>93</v>
      </c>
      <c r="B7697" t="s">
        <v>17</v>
      </c>
      <c r="C7697" t="s">
        <v>102</v>
      </c>
      <c r="D7697">
        <v>6708</v>
      </c>
      <c r="E7697">
        <v>2019</v>
      </c>
      <c r="F7697">
        <v>1</v>
      </c>
      <c r="G7697">
        <v>41470</v>
      </c>
      <c r="H7697" s="1">
        <v>1.5</v>
      </c>
      <c r="I7697">
        <v>8</v>
      </c>
      <c r="J7697">
        <f>IF($H7697=0,1,IF($I7697&lt;=1,2,0))</f>
        <v>0</v>
      </c>
      <c r="K7697">
        <v>6</v>
      </c>
      <c r="L7697">
        <f>IF(AND($J7697=0,$K7697=0),0,1)</f>
        <v>1</v>
      </c>
      <c r="M7697" t="s">
        <v>120</v>
      </c>
    </row>
    <row r="7698" spans="1:13" x14ac:dyDescent="0.2">
      <c r="A7698" t="s">
        <v>93</v>
      </c>
      <c r="B7698" t="s">
        <v>17</v>
      </c>
      <c r="C7698" t="s">
        <v>102</v>
      </c>
      <c r="D7698">
        <v>6727</v>
      </c>
      <c r="E7698">
        <v>2019</v>
      </c>
      <c r="F7698">
        <v>1</v>
      </c>
      <c r="G7698">
        <v>10231</v>
      </c>
      <c r="H7698" s="1">
        <v>3</v>
      </c>
      <c r="I7698">
        <v>8</v>
      </c>
      <c r="J7698">
        <f>IF($H7698=0,1,IF($I7698&lt;=1,2,0))</f>
        <v>0</v>
      </c>
      <c r="K7698">
        <v>6</v>
      </c>
      <c r="L7698">
        <f>IF(AND($J7698=0,$K7698=0),0,1)</f>
        <v>1</v>
      </c>
      <c r="M7698" t="s">
        <v>121</v>
      </c>
    </row>
    <row r="7699" spans="1:13" x14ac:dyDescent="0.2">
      <c r="A7699" t="s">
        <v>93</v>
      </c>
      <c r="B7699" t="s">
        <v>17</v>
      </c>
      <c r="C7699" t="s">
        <v>102</v>
      </c>
      <c r="D7699">
        <v>6740</v>
      </c>
      <c r="E7699">
        <v>2019</v>
      </c>
      <c r="F7699">
        <v>1</v>
      </c>
      <c r="G7699">
        <v>41471</v>
      </c>
      <c r="H7699" s="1">
        <v>3</v>
      </c>
      <c r="I7699">
        <v>12</v>
      </c>
      <c r="J7699">
        <f>IF($H7699=0,1,IF($I7699&lt;=1,2,0))</f>
        <v>0</v>
      </c>
      <c r="K7699">
        <v>6</v>
      </c>
      <c r="L7699">
        <f>IF(AND($J7699=0,$K7699=0),0,1)</f>
        <v>1</v>
      </c>
      <c r="M7699" t="s">
        <v>122</v>
      </c>
    </row>
    <row r="7700" spans="1:13" x14ac:dyDescent="0.2">
      <c r="A7700" t="s">
        <v>93</v>
      </c>
      <c r="B7700" t="s">
        <v>17</v>
      </c>
      <c r="C7700" t="s">
        <v>102</v>
      </c>
      <c r="D7700">
        <v>6756</v>
      </c>
      <c r="E7700">
        <v>2019</v>
      </c>
      <c r="F7700">
        <v>1</v>
      </c>
      <c r="G7700">
        <v>41411</v>
      </c>
      <c r="H7700" s="1">
        <v>3</v>
      </c>
      <c r="I7700">
        <v>7</v>
      </c>
      <c r="J7700">
        <f>IF($H7700=0,1,IF($I7700&lt;=1,2,0))</f>
        <v>0</v>
      </c>
      <c r="K7700">
        <v>6</v>
      </c>
      <c r="L7700">
        <f>IF(AND($J7700=0,$K7700=0),0,1)</f>
        <v>1</v>
      </c>
      <c r="M7700" t="s">
        <v>123</v>
      </c>
    </row>
    <row r="7701" spans="1:13" x14ac:dyDescent="0.2">
      <c r="A7701" t="s">
        <v>93</v>
      </c>
      <c r="B7701" t="s">
        <v>17</v>
      </c>
      <c r="C7701" t="s">
        <v>102</v>
      </c>
      <c r="D7701">
        <v>6767</v>
      </c>
      <c r="E7701">
        <v>2019</v>
      </c>
      <c r="F7701">
        <v>1</v>
      </c>
      <c r="G7701">
        <v>41472</v>
      </c>
      <c r="H7701" s="1">
        <v>3</v>
      </c>
      <c r="I7701">
        <v>14</v>
      </c>
      <c r="J7701">
        <f>IF($H7701=0,1,IF($I7701&lt;=1,2,0))</f>
        <v>0</v>
      </c>
      <c r="K7701">
        <v>6</v>
      </c>
      <c r="L7701">
        <f>IF(AND($J7701=0,$K7701=0),0,1)</f>
        <v>1</v>
      </c>
      <c r="M7701" t="s">
        <v>124</v>
      </c>
    </row>
    <row r="7702" spans="1:13" x14ac:dyDescent="0.2">
      <c r="A7702" t="s">
        <v>93</v>
      </c>
      <c r="B7702" t="s">
        <v>17</v>
      </c>
      <c r="C7702" t="s">
        <v>102</v>
      </c>
      <c r="D7702">
        <v>6768</v>
      </c>
      <c r="E7702">
        <v>2019</v>
      </c>
      <c r="F7702">
        <v>1</v>
      </c>
      <c r="G7702">
        <v>41404</v>
      </c>
      <c r="H7702" s="1">
        <v>1.5</v>
      </c>
      <c r="I7702">
        <v>14</v>
      </c>
      <c r="J7702">
        <f>IF($H7702=0,1,IF($I7702&lt;=1,2,0))</f>
        <v>0</v>
      </c>
      <c r="K7702">
        <v>6</v>
      </c>
      <c r="L7702">
        <f>IF(AND($J7702=0,$K7702=0),0,1)</f>
        <v>1</v>
      </c>
      <c r="M7702" t="s">
        <v>1880</v>
      </c>
    </row>
    <row r="7703" spans="1:13" x14ac:dyDescent="0.2">
      <c r="A7703" t="s">
        <v>93</v>
      </c>
      <c r="B7703" t="s">
        <v>17</v>
      </c>
      <c r="C7703" t="s">
        <v>102</v>
      </c>
      <c r="D7703">
        <v>6769</v>
      </c>
      <c r="E7703">
        <v>2019</v>
      </c>
      <c r="F7703">
        <v>1</v>
      </c>
      <c r="G7703">
        <v>41546</v>
      </c>
      <c r="H7703" s="1">
        <v>3</v>
      </c>
      <c r="I7703">
        <v>46</v>
      </c>
      <c r="J7703">
        <f>IF($H7703=0,1,IF($I7703&lt;=1,2,0))</f>
        <v>0</v>
      </c>
      <c r="K7703">
        <v>6</v>
      </c>
      <c r="L7703">
        <f>IF(AND($J7703=0,$K7703=0),0,1)</f>
        <v>1</v>
      </c>
      <c r="M7703" t="s">
        <v>1881</v>
      </c>
    </row>
    <row r="7704" spans="1:13" x14ac:dyDescent="0.2">
      <c r="A7704" t="s">
        <v>93</v>
      </c>
      <c r="B7704" t="s">
        <v>17</v>
      </c>
      <c r="C7704" t="s">
        <v>102</v>
      </c>
      <c r="D7704">
        <v>6783</v>
      </c>
      <c r="E7704">
        <v>2019</v>
      </c>
      <c r="F7704">
        <v>1</v>
      </c>
      <c r="G7704">
        <v>41474</v>
      </c>
      <c r="H7704" s="1">
        <v>3</v>
      </c>
      <c r="I7704">
        <v>14</v>
      </c>
      <c r="J7704">
        <f>IF($H7704=0,1,IF($I7704&lt;=1,2,0))</f>
        <v>0</v>
      </c>
      <c r="K7704">
        <v>6</v>
      </c>
      <c r="L7704">
        <f>IF(AND($J7704=0,$K7704=0),0,1)</f>
        <v>1</v>
      </c>
      <c r="M7704" t="s">
        <v>1882</v>
      </c>
    </row>
    <row r="7705" spans="1:13" x14ac:dyDescent="0.2">
      <c r="A7705" t="s">
        <v>93</v>
      </c>
      <c r="B7705" t="s">
        <v>17</v>
      </c>
      <c r="C7705" t="s">
        <v>102</v>
      </c>
      <c r="D7705">
        <v>6785</v>
      </c>
      <c r="E7705">
        <v>2019</v>
      </c>
      <c r="F7705">
        <v>1</v>
      </c>
      <c r="G7705">
        <v>41412</v>
      </c>
      <c r="H7705" s="1">
        <v>3</v>
      </c>
      <c r="I7705">
        <v>50</v>
      </c>
      <c r="J7705">
        <f>IF($H7705=0,1,IF($I7705&lt;=1,2,0))</f>
        <v>0</v>
      </c>
      <c r="K7705">
        <v>6</v>
      </c>
      <c r="L7705">
        <f>IF(AND($J7705=0,$K7705=0),0,1)</f>
        <v>1</v>
      </c>
      <c r="M7705" t="s">
        <v>1883</v>
      </c>
    </row>
    <row r="7706" spans="1:13" x14ac:dyDescent="0.2">
      <c r="A7706" t="s">
        <v>93</v>
      </c>
      <c r="B7706" t="s">
        <v>17</v>
      </c>
      <c r="C7706" t="s">
        <v>102</v>
      </c>
      <c r="D7706">
        <v>6786</v>
      </c>
      <c r="E7706">
        <v>2019</v>
      </c>
      <c r="F7706">
        <v>1</v>
      </c>
      <c r="G7706">
        <v>41475</v>
      </c>
      <c r="H7706" s="1">
        <v>1.5</v>
      </c>
      <c r="I7706">
        <v>11</v>
      </c>
      <c r="J7706">
        <f>IF($H7706=0,1,IF($I7706&lt;=1,2,0))</f>
        <v>0</v>
      </c>
      <c r="K7706">
        <v>6</v>
      </c>
      <c r="L7706">
        <f>IF(AND($J7706=0,$K7706=0),0,1)</f>
        <v>1</v>
      </c>
      <c r="M7706" t="s">
        <v>1884</v>
      </c>
    </row>
    <row r="7707" spans="1:13" x14ac:dyDescent="0.2">
      <c r="A7707" t="s">
        <v>93</v>
      </c>
      <c r="B7707" t="s">
        <v>17</v>
      </c>
      <c r="C7707" t="s">
        <v>102</v>
      </c>
      <c r="D7707">
        <v>6790</v>
      </c>
      <c r="E7707">
        <v>2019</v>
      </c>
      <c r="F7707">
        <v>1</v>
      </c>
      <c r="G7707">
        <v>41476</v>
      </c>
      <c r="H7707" s="1">
        <v>3</v>
      </c>
      <c r="I7707">
        <v>25</v>
      </c>
      <c r="J7707">
        <f>IF($H7707=0,1,IF($I7707&lt;=1,2,0))</f>
        <v>0</v>
      </c>
      <c r="K7707">
        <v>6</v>
      </c>
      <c r="L7707">
        <f>IF(AND($J7707=0,$K7707=0),0,1)</f>
        <v>1</v>
      </c>
      <c r="M7707" t="s">
        <v>125</v>
      </c>
    </row>
    <row r="7708" spans="1:13" x14ac:dyDescent="0.2">
      <c r="A7708" t="s">
        <v>93</v>
      </c>
      <c r="B7708" t="s">
        <v>17</v>
      </c>
      <c r="C7708" t="s">
        <v>102</v>
      </c>
      <c r="D7708">
        <v>6813</v>
      </c>
      <c r="E7708">
        <v>2019</v>
      </c>
      <c r="F7708">
        <v>1</v>
      </c>
      <c r="G7708">
        <v>41549</v>
      </c>
      <c r="H7708" s="1">
        <v>3</v>
      </c>
      <c r="I7708">
        <v>18</v>
      </c>
      <c r="J7708">
        <f>IF($H7708=0,1,IF($I7708&lt;=1,2,0))</f>
        <v>0</v>
      </c>
      <c r="K7708">
        <v>6</v>
      </c>
      <c r="L7708">
        <f>IF(AND($J7708=0,$K7708=0),0,1)</f>
        <v>1</v>
      </c>
      <c r="M7708" t="s">
        <v>1885</v>
      </c>
    </row>
    <row r="7709" spans="1:13" x14ac:dyDescent="0.2">
      <c r="A7709" t="s">
        <v>93</v>
      </c>
      <c r="B7709" t="s">
        <v>17</v>
      </c>
      <c r="C7709" t="s">
        <v>102</v>
      </c>
      <c r="D7709">
        <v>6830</v>
      </c>
      <c r="E7709">
        <v>2019</v>
      </c>
      <c r="F7709">
        <v>1</v>
      </c>
      <c r="G7709">
        <v>41489</v>
      </c>
      <c r="H7709" s="1">
        <v>3</v>
      </c>
      <c r="I7709">
        <v>12</v>
      </c>
      <c r="J7709">
        <f>IF($H7709=0,1,IF($I7709&lt;=1,2,0))</f>
        <v>0</v>
      </c>
      <c r="K7709">
        <v>6</v>
      </c>
      <c r="L7709">
        <f>IF(AND($J7709=0,$K7709=0),0,1)</f>
        <v>1</v>
      </c>
      <c r="M7709" t="s">
        <v>126</v>
      </c>
    </row>
    <row r="7710" spans="1:13" x14ac:dyDescent="0.2">
      <c r="A7710" t="s">
        <v>93</v>
      </c>
      <c r="B7710" t="s">
        <v>17</v>
      </c>
      <c r="C7710" t="s">
        <v>102</v>
      </c>
      <c r="D7710">
        <v>6832</v>
      </c>
      <c r="E7710">
        <v>2019</v>
      </c>
      <c r="F7710">
        <v>1</v>
      </c>
      <c r="G7710">
        <v>41490</v>
      </c>
      <c r="H7710" s="1">
        <v>3</v>
      </c>
      <c r="I7710">
        <v>18</v>
      </c>
      <c r="J7710">
        <f>IF($H7710=0,1,IF($I7710&lt;=1,2,0))</f>
        <v>0</v>
      </c>
      <c r="K7710">
        <v>6</v>
      </c>
      <c r="L7710">
        <f>IF(AND($J7710=0,$K7710=0),0,1)</f>
        <v>1</v>
      </c>
      <c r="M7710" t="s">
        <v>126</v>
      </c>
    </row>
    <row r="7711" spans="1:13" x14ac:dyDescent="0.2">
      <c r="A7711" t="s">
        <v>93</v>
      </c>
      <c r="B7711" t="s">
        <v>17</v>
      </c>
      <c r="C7711" t="s">
        <v>102</v>
      </c>
      <c r="D7711">
        <v>6837</v>
      </c>
      <c r="E7711">
        <v>2019</v>
      </c>
      <c r="F7711">
        <v>1</v>
      </c>
      <c r="G7711">
        <v>41491</v>
      </c>
      <c r="H7711" s="1">
        <v>3</v>
      </c>
      <c r="I7711">
        <v>12</v>
      </c>
      <c r="J7711">
        <f>IF($H7711=0,1,IF($I7711&lt;=1,2,0))</f>
        <v>0</v>
      </c>
      <c r="K7711">
        <v>6</v>
      </c>
      <c r="L7711">
        <f>IF(AND($J7711=0,$K7711=0),0,1)</f>
        <v>1</v>
      </c>
      <c r="M7711" t="s">
        <v>1886</v>
      </c>
    </row>
    <row r="7712" spans="1:13" x14ac:dyDescent="0.2">
      <c r="A7712" t="s">
        <v>93</v>
      </c>
      <c r="B7712" t="s">
        <v>17</v>
      </c>
      <c r="C7712" t="s">
        <v>102</v>
      </c>
      <c r="D7712">
        <v>6850</v>
      </c>
      <c r="E7712">
        <v>2019</v>
      </c>
      <c r="F7712">
        <v>1</v>
      </c>
      <c r="G7712">
        <v>41408</v>
      </c>
      <c r="H7712" s="1">
        <v>9</v>
      </c>
      <c r="I7712">
        <v>56</v>
      </c>
      <c r="J7712">
        <f>IF($H7712=0,1,IF($I7712&lt;=1,2,0))</f>
        <v>0</v>
      </c>
      <c r="K7712">
        <v>6</v>
      </c>
      <c r="L7712">
        <f>IF(AND($J7712=0,$K7712=0),0,1)</f>
        <v>1</v>
      </c>
      <c r="M7712" t="s">
        <v>127</v>
      </c>
    </row>
    <row r="7713" spans="1:13" x14ac:dyDescent="0.2">
      <c r="A7713" t="s">
        <v>93</v>
      </c>
      <c r="B7713" t="s">
        <v>17</v>
      </c>
      <c r="C7713" t="s">
        <v>102</v>
      </c>
      <c r="D7713">
        <v>6857</v>
      </c>
      <c r="E7713">
        <v>2019</v>
      </c>
      <c r="F7713">
        <v>1</v>
      </c>
      <c r="G7713">
        <v>10459</v>
      </c>
      <c r="H7713" s="1">
        <v>3</v>
      </c>
      <c r="I7713">
        <v>11</v>
      </c>
      <c r="J7713">
        <f>IF($H7713=0,1,IF($I7713&lt;=1,2,0))</f>
        <v>0</v>
      </c>
      <c r="K7713">
        <v>6</v>
      </c>
      <c r="L7713">
        <f>IF(AND($J7713=0,$K7713=0),0,1)</f>
        <v>1</v>
      </c>
      <c r="M7713" t="s">
        <v>114</v>
      </c>
    </row>
    <row r="7714" spans="1:13" x14ac:dyDescent="0.2">
      <c r="A7714" t="s">
        <v>93</v>
      </c>
      <c r="B7714" t="s">
        <v>17</v>
      </c>
      <c r="C7714" t="s">
        <v>102</v>
      </c>
      <c r="D7714">
        <v>6861</v>
      </c>
      <c r="E7714">
        <v>2019</v>
      </c>
      <c r="F7714">
        <v>1</v>
      </c>
      <c r="G7714">
        <v>10162</v>
      </c>
      <c r="H7714" s="1">
        <v>3</v>
      </c>
      <c r="I7714">
        <v>11</v>
      </c>
      <c r="J7714">
        <f>IF($H7714=0,1,IF($I7714&lt;=1,2,0))</f>
        <v>0</v>
      </c>
      <c r="K7714">
        <v>6</v>
      </c>
      <c r="L7714">
        <f>IF(AND($J7714=0,$K7714=0),0,1)</f>
        <v>1</v>
      </c>
      <c r="M7714" t="s">
        <v>1887</v>
      </c>
    </row>
    <row r="7715" spans="1:13" x14ac:dyDescent="0.2">
      <c r="A7715" t="s">
        <v>93</v>
      </c>
      <c r="B7715" t="s">
        <v>17</v>
      </c>
      <c r="C7715" t="s">
        <v>102</v>
      </c>
      <c r="D7715">
        <v>6867</v>
      </c>
      <c r="E7715">
        <v>2019</v>
      </c>
      <c r="F7715">
        <v>1</v>
      </c>
      <c r="G7715">
        <v>15294</v>
      </c>
      <c r="H7715" s="1">
        <v>3</v>
      </c>
      <c r="I7715">
        <v>8</v>
      </c>
      <c r="J7715">
        <f>IF($H7715=0,1,IF($I7715&lt;=1,2,0))</f>
        <v>0</v>
      </c>
      <c r="K7715">
        <v>6</v>
      </c>
      <c r="L7715">
        <f>IF(AND($J7715=0,$K7715=0),0,1)</f>
        <v>1</v>
      </c>
      <c r="M7715" t="s">
        <v>1888</v>
      </c>
    </row>
    <row r="7716" spans="1:13" x14ac:dyDescent="0.2">
      <c r="A7716" t="s">
        <v>93</v>
      </c>
      <c r="B7716" t="s">
        <v>17</v>
      </c>
      <c r="C7716" t="s">
        <v>102</v>
      </c>
      <c r="D7716">
        <v>6872</v>
      </c>
      <c r="E7716">
        <v>2019</v>
      </c>
      <c r="F7716">
        <v>1</v>
      </c>
      <c r="G7716">
        <v>17324</v>
      </c>
      <c r="H7716" s="1">
        <v>3</v>
      </c>
      <c r="I7716">
        <v>4</v>
      </c>
      <c r="J7716">
        <f>IF($H7716=0,1,IF($I7716&lt;=1,2,0))</f>
        <v>0</v>
      </c>
      <c r="K7716">
        <v>6</v>
      </c>
      <c r="L7716">
        <f>IF(AND($J7716=0,$K7716=0),0,1)</f>
        <v>1</v>
      </c>
      <c r="M7716" t="s">
        <v>1889</v>
      </c>
    </row>
    <row r="7717" spans="1:13" x14ac:dyDescent="0.2">
      <c r="A7717" t="s">
        <v>93</v>
      </c>
      <c r="B7717" t="s">
        <v>17</v>
      </c>
      <c r="C7717" t="s">
        <v>102</v>
      </c>
      <c r="D7717">
        <v>6900</v>
      </c>
      <c r="E7717">
        <v>2019</v>
      </c>
      <c r="F7717">
        <v>1</v>
      </c>
      <c r="G7717">
        <v>41550</v>
      </c>
      <c r="H7717" s="1" t="s">
        <v>1833</v>
      </c>
      <c r="I7717">
        <v>0</v>
      </c>
      <c r="J7717">
        <f>IF($H7717=0,1,IF($I7717&lt;=1,2,0))</f>
        <v>2</v>
      </c>
      <c r="K7717">
        <v>6</v>
      </c>
      <c r="L7717">
        <f>IF(AND($J7717=0,$K7717=0),0,1)</f>
        <v>1</v>
      </c>
      <c r="M7717" t="s">
        <v>128</v>
      </c>
    </row>
    <row r="7718" spans="1:13" x14ac:dyDescent="0.2">
      <c r="A7718" t="s">
        <v>93</v>
      </c>
      <c r="B7718" t="s">
        <v>17</v>
      </c>
      <c r="C7718" t="s">
        <v>102</v>
      </c>
      <c r="D7718">
        <v>6934</v>
      </c>
      <c r="E7718">
        <v>2019</v>
      </c>
      <c r="F7718">
        <v>1</v>
      </c>
      <c r="G7718">
        <v>41492</v>
      </c>
      <c r="H7718" s="1">
        <v>3</v>
      </c>
      <c r="I7718">
        <v>12</v>
      </c>
      <c r="J7718">
        <f>IF($H7718=0,1,IF($I7718&lt;=1,2,0))</f>
        <v>0</v>
      </c>
      <c r="K7718">
        <v>6</v>
      </c>
      <c r="L7718">
        <f>IF(AND($J7718=0,$K7718=0),0,1)</f>
        <v>1</v>
      </c>
      <c r="M7718" t="s">
        <v>1890</v>
      </c>
    </row>
    <row r="7719" spans="1:13" x14ac:dyDescent="0.2">
      <c r="A7719" t="s">
        <v>93</v>
      </c>
      <c r="B7719" t="s">
        <v>17</v>
      </c>
      <c r="C7719" t="s">
        <v>102</v>
      </c>
      <c r="D7719">
        <v>8904</v>
      </c>
      <c r="E7719">
        <v>2019</v>
      </c>
      <c r="F7719">
        <v>1</v>
      </c>
      <c r="G7719">
        <v>41410</v>
      </c>
      <c r="H7719" s="1">
        <v>3</v>
      </c>
      <c r="I7719">
        <v>11</v>
      </c>
      <c r="J7719">
        <f>IF($H7719=0,1,IF($I7719&lt;=1,2,0))</f>
        <v>0</v>
      </c>
      <c r="K7719">
        <v>6</v>
      </c>
      <c r="L7719">
        <f>IF(AND($J7719=0,$K7719=0),0,1)</f>
        <v>1</v>
      </c>
    </row>
    <row r="7720" spans="1:13" x14ac:dyDescent="0.2">
      <c r="A7720" t="s">
        <v>129</v>
      </c>
      <c r="B7720" t="s">
        <v>6</v>
      </c>
      <c r="C7720" t="s">
        <v>21</v>
      </c>
      <c r="D7720">
        <v>1360</v>
      </c>
      <c r="E7720">
        <v>2019</v>
      </c>
      <c r="F7720">
        <v>1</v>
      </c>
      <c r="G7720">
        <v>16316</v>
      </c>
      <c r="H7720" s="1">
        <v>0</v>
      </c>
      <c r="I7720">
        <v>14</v>
      </c>
      <c r="J7720">
        <f>IF($H7720=0,1,IF($I7720&lt;=1,2,0))</f>
        <v>1</v>
      </c>
      <c r="K7720">
        <v>0</v>
      </c>
      <c r="L7720">
        <f>IF(AND($J7720=0,$K7720=0),0,1)</f>
        <v>1</v>
      </c>
    </row>
    <row r="7721" spans="1:13" x14ac:dyDescent="0.2">
      <c r="A7721" t="s">
        <v>129</v>
      </c>
      <c r="B7721" t="s">
        <v>6</v>
      </c>
      <c r="C7721" t="s">
        <v>21</v>
      </c>
      <c r="D7721">
        <v>1360</v>
      </c>
      <c r="E7721">
        <v>2019</v>
      </c>
      <c r="F7721">
        <v>2</v>
      </c>
      <c r="G7721">
        <v>16317</v>
      </c>
      <c r="H7721" s="1">
        <v>0</v>
      </c>
      <c r="I7721">
        <v>14</v>
      </c>
      <c r="J7721">
        <f>IF($H7721=0,1,IF($I7721&lt;=1,2,0))</f>
        <v>1</v>
      </c>
      <c r="K7721">
        <v>0</v>
      </c>
      <c r="L7721">
        <f>IF(AND($J7721=0,$K7721=0),0,1)</f>
        <v>1</v>
      </c>
    </row>
    <row r="7722" spans="1:13" x14ac:dyDescent="0.2">
      <c r="A7722" t="s">
        <v>129</v>
      </c>
      <c r="B7722" t="s">
        <v>6</v>
      </c>
      <c r="C7722" t="s">
        <v>21</v>
      </c>
      <c r="D7722">
        <v>1360</v>
      </c>
      <c r="E7722">
        <v>2019</v>
      </c>
      <c r="F7722">
        <v>3</v>
      </c>
      <c r="G7722">
        <v>16318</v>
      </c>
      <c r="H7722" s="1">
        <v>0</v>
      </c>
      <c r="I7722">
        <v>11</v>
      </c>
      <c r="J7722">
        <f>IF($H7722=0,1,IF($I7722&lt;=1,2,0))</f>
        <v>1</v>
      </c>
      <c r="K7722">
        <v>0</v>
      </c>
      <c r="L7722">
        <f>IF(AND($J7722=0,$K7722=0),0,1)</f>
        <v>1</v>
      </c>
    </row>
    <row r="7723" spans="1:13" x14ac:dyDescent="0.2">
      <c r="A7723" t="s">
        <v>129</v>
      </c>
      <c r="B7723" t="s">
        <v>6</v>
      </c>
      <c r="C7723" t="s">
        <v>21</v>
      </c>
      <c r="D7723">
        <v>1360</v>
      </c>
      <c r="E7723">
        <v>2019</v>
      </c>
      <c r="F7723">
        <v>4</v>
      </c>
      <c r="G7723">
        <v>16319</v>
      </c>
      <c r="H7723" s="1">
        <v>0</v>
      </c>
      <c r="I7723">
        <v>11</v>
      </c>
      <c r="J7723">
        <f>IF($H7723=0,1,IF($I7723&lt;=1,2,0))</f>
        <v>1</v>
      </c>
      <c r="K7723">
        <v>0</v>
      </c>
      <c r="L7723">
        <f>IF(AND($J7723=0,$K7723=0),0,1)</f>
        <v>1</v>
      </c>
    </row>
    <row r="7724" spans="1:13" x14ac:dyDescent="0.2">
      <c r="A7724" t="s">
        <v>129</v>
      </c>
      <c r="B7724" t="s">
        <v>6</v>
      </c>
      <c r="C7724" t="s">
        <v>21</v>
      </c>
      <c r="D7724">
        <v>1360</v>
      </c>
      <c r="E7724">
        <v>2019</v>
      </c>
      <c r="F7724">
        <v>5</v>
      </c>
      <c r="G7724">
        <v>16320</v>
      </c>
      <c r="H7724" s="1">
        <v>0</v>
      </c>
      <c r="I7724">
        <v>10</v>
      </c>
      <c r="J7724">
        <f>IF($H7724=0,1,IF($I7724&lt;=1,2,0))</f>
        <v>1</v>
      </c>
      <c r="K7724">
        <v>0</v>
      </c>
      <c r="L7724">
        <f>IF(AND($J7724=0,$K7724=0),0,1)</f>
        <v>1</v>
      </c>
    </row>
    <row r="7725" spans="1:13" x14ac:dyDescent="0.2">
      <c r="A7725" t="s">
        <v>129</v>
      </c>
      <c r="B7725" t="s">
        <v>6</v>
      </c>
      <c r="C7725" t="s">
        <v>21</v>
      </c>
      <c r="D7725">
        <v>1360</v>
      </c>
      <c r="E7725">
        <v>2019</v>
      </c>
      <c r="F7725">
        <v>6</v>
      </c>
      <c r="G7725">
        <v>16321</v>
      </c>
      <c r="H7725" s="1">
        <v>0</v>
      </c>
      <c r="I7725">
        <v>10</v>
      </c>
      <c r="J7725">
        <f>IF($H7725=0,1,IF($I7725&lt;=1,2,0))</f>
        <v>1</v>
      </c>
      <c r="K7725">
        <v>0</v>
      </c>
      <c r="L7725">
        <f>IF(AND($J7725=0,$K7725=0),0,1)</f>
        <v>1</v>
      </c>
    </row>
    <row r="7726" spans="1:13" x14ac:dyDescent="0.2">
      <c r="A7726" t="s">
        <v>129</v>
      </c>
      <c r="B7726" t="s">
        <v>6</v>
      </c>
      <c r="C7726" t="s">
        <v>21</v>
      </c>
      <c r="D7726">
        <v>1360</v>
      </c>
      <c r="E7726">
        <v>2019</v>
      </c>
      <c r="F7726">
        <v>7</v>
      </c>
      <c r="G7726">
        <v>18229</v>
      </c>
      <c r="H7726" s="1">
        <v>0</v>
      </c>
      <c r="I7726">
        <v>7</v>
      </c>
      <c r="J7726">
        <f>IF($H7726=0,1,IF($I7726&lt;=1,2,0))</f>
        <v>1</v>
      </c>
      <c r="K7726">
        <v>0</v>
      </c>
      <c r="L7726">
        <f>IF(AND($J7726=0,$K7726=0),0,1)</f>
        <v>1</v>
      </c>
    </row>
    <row r="7727" spans="1:13" x14ac:dyDescent="0.2">
      <c r="A7727" t="s">
        <v>129</v>
      </c>
      <c r="B7727" t="s">
        <v>6</v>
      </c>
      <c r="C7727" t="s">
        <v>21</v>
      </c>
      <c r="D7727">
        <v>1360</v>
      </c>
      <c r="E7727">
        <v>2019</v>
      </c>
      <c r="F7727">
        <v>8</v>
      </c>
      <c r="G7727">
        <v>18230</v>
      </c>
      <c r="H7727" s="1">
        <v>0</v>
      </c>
      <c r="I7727">
        <v>5</v>
      </c>
      <c r="J7727">
        <f>IF($H7727=0,1,IF($I7727&lt;=1,2,0))</f>
        <v>1</v>
      </c>
      <c r="K7727">
        <v>0</v>
      </c>
      <c r="L7727">
        <f>IF(AND($J7727=0,$K7727=0),0,1)</f>
        <v>1</v>
      </c>
    </row>
    <row r="7728" spans="1:13" x14ac:dyDescent="0.2">
      <c r="A7728" t="s">
        <v>129</v>
      </c>
      <c r="B7728" t="s">
        <v>6</v>
      </c>
      <c r="C7728" t="s">
        <v>21</v>
      </c>
      <c r="D7728">
        <v>1371</v>
      </c>
      <c r="E7728">
        <v>2019</v>
      </c>
      <c r="F7728">
        <v>1</v>
      </c>
      <c r="G7728">
        <v>15100</v>
      </c>
      <c r="H7728" s="1">
        <v>0</v>
      </c>
      <c r="I7728">
        <v>15</v>
      </c>
      <c r="J7728">
        <f>IF($H7728=0,1,IF($I7728&lt;=1,2,0))</f>
        <v>1</v>
      </c>
      <c r="K7728">
        <v>0</v>
      </c>
      <c r="L7728">
        <f>IF(AND($J7728=0,$K7728=0),0,1)</f>
        <v>1</v>
      </c>
    </row>
    <row r="7729" spans="1:12" x14ac:dyDescent="0.2">
      <c r="A7729" t="s">
        <v>129</v>
      </c>
      <c r="B7729" t="s">
        <v>6</v>
      </c>
      <c r="C7729" t="s">
        <v>21</v>
      </c>
      <c r="D7729">
        <v>1371</v>
      </c>
      <c r="E7729">
        <v>2019</v>
      </c>
      <c r="F7729">
        <v>2</v>
      </c>
      <c r="G7729">
        <v>15101</v>
      </c>
      <c r="H7729" s="1">
        <v>0</v>
      </c>
      <c r="I7729">
        <v>13</v>
      </c>
      <c r="J7729">
        <f>IF($H7729=0,1,IF($I7729&lt;=1,2,0))</f>
        <v>1</v>
      </c>
      <c r="K7729">
        <v>0</v>
      </c>
      <c r="L7729">
        <f>IF(AND($J7729=0,$K7729=0),0,1)</f>
        <v>1</v>
      </c>
    </row>
    <row r="7730" spans="1:12" x14ac:dyDescent="0.2">
      <c r="A7730" t="s">
        <v>129</v>
      </c>
      <c r="B7730" t="s">
        <v>6</v>
      </c>
      <c r="C7730" t="s">
        <v>21</v>
      </c>
      <c r="D7730">
        <v>1371</v>
      </c>
      <c r="E7730">
        <v>2019</v>
      </c>
      <c r="F7730">
        <v>3</v>
      </c>
      <c r="G7730">
        <v>15103</v>
      </c>
      <c r="H7730" s="1">
        <v>0</v>
      </c>
      <c r="I7730">
        <v>13</v>
      </c>
      <c r="J7730">
        <f>IF($H7730=0,1,IF($I7730&lt;=1,2,0))</f>
        <v>1</v>
      </c>
      <c r="K7730">
        <v>0</v>
      </c>
      <c r="L7730">
        <f>IF(AND($J7730=0,$K7730=0),0,1)</f>
        <v>1</v>
      </c>
    </row>
    <row r="7731" spans="1:12" x14ac:dyDescent="0.2">
      <c r="A7731" t="s">
        <v>129</v>
      </c>
      <c r="B7731" t="s">
        <v>6</v>
      </c>
      <c r="C7731" t="s">
        <v>21</v>
      </c>
      <c r="D7731">
        <v>1371</v>
      </c>
      <c r="E7731">
        <v>2019</v>
      </c>
      <c r="F7731">
        <v>4</v>
      </c>
      <c r="G7731">
        <v>15104</v>
      </c>
      <c r="H7731" s="1">
        <v>0</v>
      </c>
      <c r="I7731">
        <v>13</v>
      </c>
      <c r="J7731">
        <f>IF($H7731=0,1,IF($I7731&lt;=1,2,0))</f>
        <v>1</v>
      </c>
      <c r="K7731">
        <v>0</v>
      </c>
      <c r="L7731">
        <f>IF(AND($J7731=0,$K7731=0),0,1)</f>
        <v>1</v>
      </c>
    </row>
    <row r="7732" spans="1:12" x14ac:dyDescent="0.2">
      <c r="A7732" t="s">
        <v>129</v>
      </c>
      <c r="B7732" t="s">
        <v>6</v>
      </c>
      <c r="C7732" t="s">
        <v>21</v>
      </c>
      <c r="D7732">
        <v>1371</v>
      </c>
      <c r="E7732">
        <v>2019</v>
      </c>
      <c r="F7732">
        <v>6</v>
      </c>
      <c r="G7732">
        <v>15106</v>
      </c>
      <c r="H7732" s="1">
        <v>0</v>
      </c>
      <c r="I7732">
        <v>11</v>
      </c>
      <c r="J7732">
        <f>IF($H7732=0,1,IF($I7732&lt;=1,2,0))</f>
        <v>1</v>
      </c>
      <c r="K7732">
        <v>0</v>
      </c>
      <c r="L7732">
        <f>IF(AND($J7732=0,$K7732=0),0,1)</f>
        <v>1</v>
      </c>
    </row>
    <row r="7733" spans="1:12" x14ac:dyDescent="0.2">
      <c r="A7733" t="s">
        <v>129</v>
      </c>
      <c r="B7733" t="s">
        <v>6</v>
      </c>
      <c r="C7733" t="s">
        <v>21</v>
      </c>
      <c r="D7733">
        <v>1371</v>
      </c>
      <c r="E7733">
        <v>2019</v>
      </c>
      <c r="F7733">
        <v>5</v>
      </c>
      <c r="G7733">
        <v>15105</v>
      </c>
      <c r="H7733" s="1">
        <v>0</v>
      </c>
      <c r="I7733">
        <v>9</v>
      </c>
      <c r="J7733">
        <f>IF($H7733=0,1,IF($I7733&lt;=1,2,0))</f>
        <v>1</v>
      </c>
      <c r="K7733">
        <v>0</v>
      </c>
      <c r="L7733">
        <f>IF(AND($J7733=0,$K7733=0),0,1)</f>
        <v>1</v>
      </c>
    </row>
    <row r="7734" spans="1:12" x14ac:dyDescent="0.2">
      <c r="A7734" t="s">
        <v>129</v>
      </c>
      <c r="B7734" t="s">
        <v>6</v>
      </c>
      <c r="C7734" t="s">
        <v>21</v>
      </c>
      <c r="D7734">
        <v>1375</v>
      </c>
      <c r="E7734">
        <v>2019</v>
      </c>
      <c r="F7734">
        <v>2</v>
      </c>
      <c r="G7734">
        <v>17960</v>
      </c>
      <c r="H7734" s="1">
        <v>0</v>
      </c>
      <c r="I7734">
        <v>19</v>
      </c>
      <c r="J7734">
        <f>IF($H7734=0,1,IF($I7734&lt;=1,2,0))</f>
        <v>1</v>
      </c>
      <c r="K7734">
        <v>0</v>
      </c>
      <c r="L7734">
        <f>IF(AND($J7734=0,$K7734=0),0,1)</f>
        <v>1</v>
      </c>
    </row>
    <row r="7735" spans="1:12" x14ac:dyDescent="0.2">
      <c r="A7735" t="s">
        <v>129</v>
      </c>
      <c r="B7735" t="s">
        <v>6</v>
      </c>
      <c r="C7735" t="s">
        <v>21</v>
      </c>
      <c r="D7735">
        <v>1375</v>
      </c>
      <c r="E7735">
        <v>2019</v>
      </c>
      <c r="F7735">
        <v>1</v>
      </c>
      <c r="G7735">
        <v>17958</v>
      </c>
      <c r="H7735" s="1">
        <v>0</v>
      </c>
      <c r="I7735">
        <v>18</v>
      </c>
      <c r="J7735">
        <f>IF($H7735=0,1,IF($I7735&lt;=1,2,0))</f>
        <v>1</v>
      </c>
      <c r="K7735">
        <v>0</v>
      </c>
      <c r="L7735">
        <f>IF(AND($J7735=0,$K7735=0),0,1)</f>
        <v>1</v>
      </c>
    </row>
    <row r="7736" spans="1:12" x14ac:dyDescent="0.2">
      <c r="A7736" t="s">
        <v>129</v>
      </c>
      <c r="B7736" t="s">
        <v>6</v>
      </c>
      <c r="C7736" t="s">
        <v>21</v>
      </c>
      <c r="D7736">
        <v>1375</v>
      </c>
      <c r="E7736">
        <v>2019</v>
      </c>
      <c r="F7736">
        <v>4</v>
      </c>
      <c r="G7736">
        <v>17961</v>
      </c>
      <c r="H7736" s="1">
        <v>0</v>
      </c>
      <c r="I7736">
        <v>17</v>
      </c>
      <c r="J7736">
        <f>IF($H7736=0,1,IF($I7736&lt;=1,2,0))</f>
        <v>1</v>
      </c>
      <c r="K7736">
        <v>0</v>
      </c>
      <c r="L7736">
        <f>IF(AND($J7736=0,$K7736=0),0,1)</f>
        <v>1</v>
      </c>
    </row>
    <row r="7737" spans="1:12" x14ac:dyDescent="0.2">
      <c r="A7737" t="s">
        <v>129</v>
      </c>
      <c r="B7737" t="s">
        <v>6</v>
      </c>
      <c r="C7737" t="s">
        <v>21</v>
      </c>
      <c r="D7737">
        <v>1375</v>
      </c>
      <c r="E7737">
        <v>2019</v>
      </c>
      <c r="F7737">
        <v>3</v>
      </c>
      <c r="G7737">
        <v>17959</v>
      </c>
      <c r="H7737" s="1">
        <v>0</v>
      </c>
      <c r="I7737">
        <v>16</v>
      </c>
      <c r="J7737">
        <f>IF($H7737=0,1,IF($I7737&lt;=1,2,0))</f>
        <v>1</v>
      </c>
      <c r="K7737">
        <v>0</v>
      </c>
      <c r="L7737">
        <f>IF(AND($J7737=0,$K7737=0),0,1)</f>
        <v>1</v>
      </c>
    </row>
    <row r="7738" spans="1:12" x14ac:dyDescent="0.2">
      <c r="A7738" t="s">
        <v>129</v>
      </c>
      <c r="B7738" t="s">
        <v>6</v>
      </c>
      <c r="C7738" t="s">
        <v>21</v>
      </c>
      <c r="D7738">
        <v>1375</v>
      </c>
      <c r="E7738">
        <v>2019</v>
      </c>
      <c r="F7738">
        <v>6</v>
      </c>
      <c r="G7738">
        <v>17963</v>
      </c>
      <c r="H7738" s="1">
        <v>0</v>
      </c>
      <c r="I7738">
        <v>13</v>
      </c>
      <c r="J7738">
        <f>IF($H7738=0,1,IF($I7738&lt;=1,2,0))</f>
        <v>1</v>
      </c>
      <c r="K7738">
        <v>0</v>
      </c>
      <c r="L7738">
        <f>IF(AND($J7738=0,$K7738=0),0,1)</f>
        <v>1</v>
      </c>
    </row>
    <row r="7739" spans="1:12" x14ac:dyDescent="0.2">
      <c r="A7739" t="s">
        <v>129</v>
      </c>
      <c r="B7739" t="s">
        <v>6</v>
      </c>
      <c r="C7739" t="s">
        <v>21</v>
      </c>
      <c r="D7739">
        <v>1375</v>
      </c>
      <c r="E7739">
        <v>2019</v>
      </c>
      <c r="F7739">
        <v>5</v>
      </c>
      <c r="G7739">
        <v>17962</v>
      </c>
      <c r="H7739" s="1">
        <v>0</v>
      </c>
      <c r="I7739">
        <v>6</v>
      </c>
      <c r="J7739">
        <f>IF($H7739=0,1,IF($I7739&lt;=1,2,0))</f>
        <v>1</v>
      </c>
      <c r="K7739">
        <v>0</v>
      </c>
      <c r="L7739">
        <f>IF(AND($J7739=0,$K7739=0),0,1)</f>
        <v>1</v>
      </c>
    </row>
    <row r="7740" spans="1:12" x14ac:dyDescent="0.2">
      <c r="A7740" t="s">
        <v>129</v>
      </c>
      <c r="B7740" t="s">
        <v>6</v>
      </c>
      <c r="C7740" t="s">
        <v>9</v>
      </c>
      <c r="D7740">
        <v>1377</v>
      </c>
      <c r="E7740">
        <v>2019</v>
      </c>
      <c r="F7740">
        <v>1</v>
      </c>
      <c r="G7740">
        <v>17826</v>
      </c>
      <c r="H7740" s="1">
        <v>0</v>
      </c>
      <c r="I7740">
        <v>19</v>
      </c>
      <c r="J7740">
        <f>IF($H7740=0,1,IF($I7740&lt;=1,2,0))</f>
        <v>1</v>
      </c>
      <c r="K7740">
        <v>0</v>
      </c>
      <c r="L7740">
        <f>IF(AND($J7740=0,$K7740=0),0,1)</f>
        <v>1</v>
      </c>
    </row>
    <row r="7741" spans="1:12" x14ac:dyDescent="0.2">
      <c r="A7741" t="s">
        <v>129</v>
      </c>
      <c r="B7741" t="s">
        <v>6</v>
      </c>
      <c r="C7741" t="s">
        <v>9</v>
      </c>
      <c r="D7741">
        <v>1377</v>
      </c>
      <c r="E7741">
        <v>2019</v>
      </c>
      <c r="F7741">
        <v>4</v>
      </c>
      <c r="G7741">
        <v>17930</v>
      </c>
      <c r="H7741" s="1">
        <v>0</v>
      </c>
      <c r="I7741">
        <v>14</v>
      </c>
      <c r="J7741">
        <f>IF($H7741=0,1,IF($I7741&lt;=1,2,0))</f>
        <v>1</v>
      </c>
      <c r="K7741">
        <v>0</v>
      </c>
      <c r="L7741">
        <f>IF(AND($J7741=0,$K7741=0),0,1)</f>
        <v>1</v>
      </c>
    </row>
    <row r="7742" spans="1:12" x14ac:dyDescent="0.2">
      <c r="A7742" t="s">
        <v>129</v>
      </c>
      <c r="B7742" t="s">
        <v>6</v>
      </c>
      <c r="C7742" t="s">
        <v>9</v>
      </c>
      <c r="D7742">
        <v>1377</v>
      </c>
      <c r="E7742">
        <v>2019</v>
      </c>
      <c r="F7742">
        <v>2</v>
      </c>
      <c r="G7742">
        <v>17843</v>
      </c>
      <c r="H7742" s="1">
        <v>0</v>
      </c>
      <c r="I7742">
        <v>12</v>
      </c>
      <c r="J7742">
        <f>IF($H7742=0,1,IF($I7742&lt;=1,2,0))</f>
        <v>1</v>
      </c>
      <c r="K7742">
        <v>0</v>
      </c>
      <c r="L7742">
        <f>IF(AND($J7742=0,$K7742=0),0,1)</f>
        <v>1</v>
      </c>
    </row>
    <row r="7743" spans="1:12" x14ac:dyDescent="0.2">
      <c r="A7743" t="s">
        <v>129</v>
      </c>
      <c r="B7743" t="s">
        <v>6</v>
      </c>
      <c r="C7743" t="s">
        <v>9</v>
      </c>
      <c r="D7743">
        <v>1377</v>
      </c>
      <c r="E7743">
        <v>2019</v>
      </c>
      <c r="F7743">
        <v>3</v>
      </c>
      <c r="G7743">
        <v>17844</v>
      </c>
      <c r="H7743" s="1">
        <v>0</v>
      </c>
      <c r="I7743">
        <v>8</v>
      </c>
      <c r="J7743">
        <f>IF($H7743=0,1,IF($I7743&lt;=1,2,0))</f>
        <v>1</v>
      </c>
      <c r="K7743">
        <v>0</v>
      </c>
      <c r="L7743">
        <f>IF(AND($J7743=0,$K7743=0),0,1)</f>
        <v>1</v>
      </c>
    </row>
    <row r="7744" spans="1:12" x14ac:dyDescent="0.2">
      <c r="A7744" t="s">
        <v>130</v>
      </c>
      <c r="B7744" t="s">
        <v>6</v>
      </c>
      <c r="C7744" t="s">
        <v>21</v>
      </c>
      <c r="D7744">
        <v>2113</v>
      </c>
      <c r="E7744">
        <v>2019</v>
      </c>
      <c r="F7744">
        <v>3</v>
      </c>
      <c r="G7744">
        <v>41150</v>
      </c>
      <c r="H7744" s="1">
        <v>0</v>
      </c>
      <c r="I7744">
        <v>9</v>
      </c>
      <c r="J7744">
        <f>IF($H7744=0,1,IF($I7744&lt;=1,2,0))</f>
        <v>1</v>
      </c>
      <c r="K7744">
        <v>0</v>
      </c>
      <c r="L7744">
        <f>IF(AND($J7744=0,$K7744=0),0,1)</f>
        <v>1</v>
      </c>
    </row>
    <row r="7745" spans="1:12" x14ac:dyDescent="0.2">
      <c r="A7745" t="s">
        <v>130</v>
      </c>
      <c r="B7745" t="s">
        <v>6</v>
      </c>
      <c r="C7745" t="s">
        <v>21</v>
      </c>
      <c r="D7745">
        <v>2113</v>
      </c>
      <c r="E7745">
        <v>2019</v>
      </c>
      <c r="F7745">
        <v>1</v>
      </c>
      <c r="G7745">
        <v>41148</v>
      </c>
      <c r="H7745" s="1">
        <v>0</v>
      </c>
      <c r="I7745">
        <v>8</v>
      </c>
      <c r="J7745">
        <f>IF($H7745=0,1,IF($I7745&lt;=1,2,0))</f>
        <v>1</v>
      </c>
      <c r="K7745">
        <v>0</v>
      </c>
      <c r="L7745">
        <f>IF(AND($J7745=0,$K7745=0),0,1)</f>
        <v>1</v>
      </c>
    </row>
    <row r="7746" spans="1:12" x14ac:dyDescent="0.2">
      <c r="A7746" t="s">
        <v>130</v>
      </c>
      <c r="B7746" t="s">
        <v>6</v>
      </c>
      <c r="C7746" t="s">
        <v>21</v>
      </c>
      <c r="D7746">
        <v>2113</v>
      </c>
      <c r="E7746">
        <v>2019</v>
      </c>
      <c r="F7746">
        <v>2</v>
      </c>
      <c r="G7746">
        <v>41149</v>
      </c>
      <c r="H7746" s="1">
        <v>0</v>
      </c>
      <c r="I7746">
        <v>5</v>
      </c>
      <c r="J7746">
        <f>IF($H7746=0,1,IF($I7746&lt;=1,2,0))</f>
        <v>1</v>
      </c>
      <c r="K7746">
        <v>0</v>
      </c>
      <c r="L7746">
        <f>IF(AND($J7746=0,$K7746=0),0,1)</f>
        <v>1</v>
      </c>
    </row>
    <row r="7747" spans="1:12" x14ac:dyDescent="0.2">
      <c r="A7747" t="s">
        <v>130</v>
      </c>
      <c r="B7747" t="s">
        <v>6</v>
      </c>
      <c r="C7747" t="s">
        <v>21</v>
      </c>
      <c r="D7747">
        <v>2113</v>
      </c>
      <c r="E7747">
        <v>2019</v>
      </c>
      <c r="F7747">
        <v>5</v>
      </c>
      <c r="G7747">
        <v>41152</v>
      </c>
      <c r="H7747" s="1">
        <v>0</v>
      </c>
      <c r="I7747">
        <v>5</v>
      </c>
      <c r="J7747">
        <f>IF($H7747=0,1,IF($I7747&lt;=1,2,0))</f>
        <v>1</v>
      </c>
      <c r="K7747">
        <v>0</v>
      </c>
      <c r="L7747">
        <f>IF(AND($J7747=0,$K7747=0),0,1)</f>
        <v>1</v>
      </c>
    </row>
    <row r="7748" spans="1:12" x14ac:dyDescent="0.2">
      <c r="A7748" t="s">
        <v>130</v>
      </c>
      <c r="B7748" t="s">
        <v>6</v>
      </c>
      <c r="C7748" t="s">
        <v>21</v>
      </c>
      <c r="D7748">
        <v>2113</v>
      </c>
      <c r="E7748">
        <v>2019</v>
      </c>
      <c r="F7748">
        <v>6</v>
      </c>
      <c r="G7748">
        <v>41153</v>
      </c>
      <c r="H7748" s="1">
        <v>0</v>
      </c>
      <c r="I7748">
        <v>5</v>
      </c>
      <c r="J7748">
        <f>IF($H7748=0,1,IF($I7748&lt;=1,2,0))</f>
        <v>1</v>
      </c>
      <c r="K7748">
        <v>0</v>
      </c>
      <c r="L7748">
        <f>IF(AND($J7748=0,$K7748=0),0,1)</f>
        <v>1</v>
      </c>
    </row>
    <row r="7749" spans="1:12" x14ac:dyDescent="0.2">
      <c r="A7749" t="s">
        <v>130</v>
      </c>
      <c r="B7749" t="s">
        <v>6</v>
      </c>
      <c r="C7749" t="s">
        <v>21</v>
      </c>
      <c r="D7749">
        <v>2113</v>
      </c>
      <c r="E7749">
        <v>2019</v>
      </c>
      <c r="F7749">
        <v>4</v>
      </c>
      <c r="G7749">
        <v>41151</v>
      </c>
      <c r="H7749" s="1">
        <v>0</v>
      </c>
      <c r="I7749">
        <v>2</v>
      </c>
      <c r="J7749">
        <f>IF($H7749=0,1,IF($I7749&lt;=1,2,0))</f>
        <v>1</v>
      </c>
      <c r="K7749">
        <v>0</v>
      </c>
      <c r="L7749">
        <f>IF(AND($J7749=0,$K7749=0),0,1)</f>
        <v>1</v>
      </c>
    </row>
    <row r="7750" spans="1:12" x14ac:dyDescent="0.2">
      <c r="A7750" t="s">
        <v>131</v>
      </c>
      <c r="B7750" t="s">
        <v>1</v>
      </c>
      <c r="C7750" t="s">
        <v>2</v>
      </c>
      <c r="D7750">
        <v>3999</v>
      </c>
      <c r="E7750">
        <v>2019</v>
      </c>
      <c r="F7750">
        <v>6</v>
      </c>
      <c r="G7750">
        <v>7122</v>
      </c>
      <c r="H7750" s="1">
        <v>4</v>
      </c>
      <c r="I7750">
        <v>2</v>
      </c>
      <c r="J7750">
        <f>IF($H7750=0,1,IF($I7750&lt;=1,2,0))</f>
        <v>0</v>
      </c>
      <c r="K7750">
        <v>7</v>
      </c>
      <c r="L7750">
        <f>IF(AND($J7750=0,$K7750=0),0,1)</f>
        <v>1</v>
      </c>
    </row>
    <row r="7751" spans="1:12" x14ac:dyDescent="0.2">
      <c r="A7751" t="s">
        <v>131</v>
      </c>
      <c r="B7751" t="s">
        <v>1</v>
      </c>
      <c r="C7751" t="s">
        <v>2</v>
      </c>
      <c r="D7751">
        <v>3999</v>
      </c>
      <c r="E7751">
        <v>2019</v>
      </c>
      <c r="F7751">
        <v>2</v>
      </c>
      <c r="G7751">
        <v>7115</v>
      </c>
      <c r="H7751" s="1">
        <v>4</v>
      </c>
      <c r="I7751">
        <v>0</v>
      </c>
      <c r="J7751">
        <f>IF($H7751=0,1,IF($I7751&lt;=1,2,0))</f>
        <v>2</v>
      </c>
      <c r="K7751">
        <v>7</v>
      </c>
      <c r="L7751">
        <f>IF(AND($J7751=0,$K7751=0),0,1)</f>
        <v>1</v>
      </c>
    </row>
    <row r="7752" spans="1:12" x14ac:dyDescent="0.2">
      <c r="A7752" t="s">
        <v>131</v>
      </c>
      <c r="B7752" t="s">
        <v>1</v>
      </c>
      <c r="C7752" t="s">
        <v>2</v>
      </c>
      <c r="D7752">
        <v>3999</v>
      </c>
      <c r="E7752">
        <v>2019</v>
      </c>
      <c r="F7752">
        <v>3</v>
      </c>
      <c r="G7752">
        <v>7116</v>
      </c>
      <c r="H7752" s="1">
        <v>4</v>
      </c>
      <c r="I7752">
        <v>0</v>
      </c>
      <c r="J7752">
        <f>IF($H7752=0,1,IF($I7752&lt;=1,2,0))</f>
        <v>2</v>
      </c>
      <c r="K7752">
        <v>7</v>
      </c>
      <c r="L7752">
        <f>IF(AND($J7752=0,$K7752=0),0,1)</f>
        <v>1</v>
      </c>
    </row>
    <row r="7753" spans="1:12" x14ac:dyDescent="0.2">
      <c r="A7753" t="s">
        <v>131</v>
      </c>
      <c r="B7753" t="s">
        <v>1</v>
      </c>
      <c r="C7753" t="s">
        <v>2</v>
      </c>
      <c r="D7753">
        <v>3999</v>
      </c>
      <c r="E7753">
        <v>2019</v>
      </c>
      <c r="F7753">
        <v>4</v>
      </c>
      <c r="G7753">
        <v>7117</v>
      </c>
      <c r="H7753" s="1">
        <v>4</v>
      </c>
      <c r="I7753">
        <v>0</v>
      </c>
      <c r="J7753">
        <f>IF($H7753=0,1,IF($I7753&lt;=1,2,0))</f>
        <v>2</v>
      </c>
      <c r="K7753">
        <v>7</v>
      </c>
      <c r="L7753">
        <f>IF(AND($J7753=0,$K7753=0),0,1)</f>
        <v>1</v>
      </c>
    </row>
    <row r="7754" spans="1:12" x14ac:dyDescent="0.2">
      <c r="A7754" t="s">
        <v>131</v>
      </c>
      <c r="B7754" t="s">
        <v>1</v>
      </c>
      <c r="C7754" t="s">
        <v>2</v>
      </c>
      <c r="D7754">
        <v>3999</v>
      </c>
      <c r="E7754">
        <v>2019</v>
      </c>
      <c r="F7754">
        <v>5</v>
      </c>
      <c r="G7754">
        <v>7118</v>
      </c>
      <c r="H7754" s="1">
        <v>4</v>
      </c>
      <c r="I7754">
        <v>0</v>
      </c>
      <c r="J7754">
        <f>IF($H7754=0,1,IF($I7754&lt;=1,2,0))</f>
        <v>2</v>
      </c>
      <c r="K7754">
        <v>7</v>
      </c>
      <c r="L7754">
        <f>IF(AND($J7754=0,$K7754=0),0,1)</f>
        <v>1</v>
      </c>
    </row>
    <row r="7755" spans="1:12" x14ac:dyDescent="0.2">
      <c r="A7755" t="s">
        <v>132</v>
      </c>
      <c r="B7755" t="s">
        <v>133</v>
      </c>
      <c r="C7755" t="s">
        <v>2</v>
      </c>
      <c r="D7755">
        <v>1753</v>
      </c>
      <c r="E7755">
        <v>2019</v>
      </c>
      <c r="F7755">
        <v>1</v>
      </c>
      <c r="G7755">
        <v>9072</v>
      </c>
      <c r="H7755" s="1">
        <v>3</v>
      </c>
      <c r="I7755">
        <v>90</v>
      </c>
      <c r="J7755">
        <f>IF($H7755=0,1,IF($I7755&lt;=1,2,0))</f>
        <v>0</v>
      </c>
      <c r="K7755">
        <v>7</v>
      </c>
      <c r="L7755">
        <f>IF(AND($J7755=0,$K7755=0),0,1)</f>
        <v>1</v>
      </c>
    </row>
    <row r="7756" spans="1:12" x14ac:dyDescent="0.2">
      <c r="A7756" t="s">
        <v>132</v>
      </c>
      <c r="B7756" t="s">
        <v>133</v>
      </c>
      <c r="C7756" t="s">
        <v>9</v>
      </c>
      <c r="D7756">
        <v>3996</v>
      </c>
      <c r="E7756">
        <v>2019</v>
      </c>
      <c r="F7756">
        <v>1</v>
      </c>
      <c r="G7756">
        <v>60264</v>
      </c>
      <c r="H7756" s="1">
        <v>1</v>
      </c>
      <c r="I7756">
        <v>1</v>
      </c>
      <c r="J7756">
        <f>IF($H7756=0,1,IF($I7756&lt;=1,2,0))</f>
        <v>2</v>
      </c>
      <c r="K7756">
        <v>0</v>
      </c>
      <c r="L7756">
        <f>IF(AND($J7756=0,$K7756=0),0,1)</f>
        <v>1</v>
      </c>
    </row>
    <row r="7757" spans="1:12" x14ac:dyDescent="0.2">
      <c r="A7757" t="s">
        <v>132</v>
      </c>
      <c r="B7757" t="s">
        <v>133</v>
      </c>
      <c r="C7757" t="s">
        <v>9</v>
      </c>
      <c r="D7757">
        <v>3997</v>
      </c>
      <c r="E7757">
        <v>2019</v>
      </c>
      <c r="F7757">
        <v>1</v>
      </c>
      <c r="G7757">
        <v>60268</v>
      </c>
      <c r="H7757" s="1">
        <v>3</v>
      </c>
      <c r="I7757">
        <v>5</v>
      </c>
      <c r="J7757">
        <f>IF($H7757=0,1,IF($I7757&lt;=1,2,0))</f>
        <v>0</v>
      </c>
      <c r="K7757">
        <v>9</v>
      </c>
      <c r="L7757">
        <f>IF(AND($J7757=0,$K7757=0),0,1)</f>
        <v>1</v>
      </c>
    </row>
    <row r="7758" spans="1:12" x14ac:dyDescent="0.2">
      <c r="A7758" t="s">
        <v>132</v>
      </c>
      <c r="B7758" t="s">
        <v>133</v>
      </c>
      <c r="C7758" t="s">
        <v>11</v>
      </c>
      <c r="D7758">
        <v>9001</v>
      </c>
      <c r="E7758">
        <v>2019</v>
      </c>
      <c r="F7758">
        <v>1</v>
      </c>
      <c r="G7758">
        <v>60273</v>
      </c>
      <c r="H7758" s="1">
        <v>3</v>
      </c>
      <c r="I7758">
        <v>0</v>
      </c>
      <c r="J7758">
        <f>IF($H7758=0,1,IF($I7758&lt;=1,2,0))</f>
        <v>2</v>
      </c>
      <c r="K7758">
        <v>5</v>
      </c>
      <c r="L7758">
        <f>IF(AND($J7758=0,$K7758=0),0,1)</f>
        <v>1</v>
      </c>
    </row>
    <row r="7759" spans="1:12" x14ac:dyDescent="0.2">
      <c r="A7759" t="s">
        <v>132</v>
      </c>
      <c r="B7759" t="s">
        <v>133</v>
      </c>
      <c r="C7759" t="s">
        <v>11</v>
      </c>
      <c r="D7759">
        <v>9003</v>
      </c>
      <c r="E7759">
        <v>2019</v>
      </c>
      <c r="F7759">
        <v>1</v>
      </c>
      <c r="G7759">
        <v>60266</v>
      </c>
      <c r="H7759" s="1">
        <v>3</v>
      </c>
      <c r="I7759">
        <v>7</v>
      </c>
      <c r="J7759">
        <f>IF($H7759=0,1,IF($I7759&lt;=1,2,0))</f>
        <v>0</v>
      </c>
      <c r="K7759">
        <v>5</v>
      </c>
      <c r="L7759">
        <f>IF(AND($J7759=0,$K7759=0),0,1)</f>
        <v>1</v>
      </c>
    </row>
    <row r="7760" spans="1:12" x14ac:dyDescent="0.2">
      <c r="A7760" t="s">
        <v>134</v>
      </c>
      <c r="B7760" t="s">
        <v>133</v>
      </c>
      <c r="C7760" t="s">
        <v>7</v>
      </c>
      <c r="D7760">
        <v>3511</v>
      </c>
      <c r="E7760">
        <v>2019</v>
      </c>
      <c r="F7760">
        <v>1</v>
      </c>
      <c r="G7760">
        <v>52795</v>
      </c>
      <c r="H7760" s="1">
        <v>0</v>
      </c>
      <c r="I7760">
        <v>30</v>
      </c>
      <c r="J7760">
        <f>IF($H7760=0,1,IF($I7760&lt;=1,2,0))</f>
        <v>1</v>
      </c>
      <c r="K7760">
        <v>0</v>
      </c>
      <c r="L7760">
        <f>IF(AND($J7760=0,$K7760=0),0,1)</f>
        <v>1</v>
      </c>
    </row>
    <row r="7761" spans="1:13" x14ac:dyDescent="0.2">
      <c r="A7761" t="s">
        <v>134</v>
      </c>
      <c r="B7761" t="s">
        <v>133</v>
      </c>
      <c r="C7761" t="s">
        <v>7</v>
      </c>
      <c r="D7761">
        <v>3511</v>
      </c>
      <c r="E7761">
        <v>2019</v>
      </c>
      <c r="F7761">
        <v>3</v>
      </c>
      <c r="G7761">
        <v>52797</v>
      </c>
      <c r="H7761" s="1">
        <v>0</v>
      </c>
      <c r="I7761">
        <v>30</v>
      </c>
      <c r="J7761">
        <f>IF($H7761=0,1,IF($I7761&lt;=1,2,0))</f>
        <v>1</v>
      </c>
      <c r="K7761">
        <v>0</v>
      </c>
      <c r="L7761">
        <f>IF(AND($J7761=0,$K7761=0),0,1)</f>
        <v>1</v>
      </c>
    </row>
    <row r="7762" spans="1:13" x14ac:dyDescent="0.2">
      <c r="A7762" t="s">
        <v>134</v>
      </c>
      <c r="B7762" t="s">
        <v>133</v>
      </c>
      <c r="C7762" t="s">
        <v>7</v>
      </c>
      <c r="D7762">
        <v>3511</v>
      </c>
      <c r="E7762">
        <v>2019</v>
      </c>
      <c r="F7762">
        <v>4</v>
      </c>
      <c r="G7762">
        <v>52798</v>
      </c>
      <c r="H7762" s="1">
        <v>0</v>
      </c>
      <c r="I7762">
        <v>22</v>
      </c>
      <c r="J7762">
        <f>IF($H7762=0,1,IF($I7762&lt;=1,2,0))</f>
        <v>1</v>
      </c>
      <c r="K7762">
        <v>0</v>
      </c>
      <c r="L7762">
        <f>IF(AND($J7762=0,$K7762=0),0,1)</f>
        <v>1</v>
      </c>
    </row>
    <row r="7763" spans="1:13" x14ac:dyDescent="0.2">
      <c r="A7763" t="s">
        <v>134</v>
      </c>
      <c r="B7763" t="s">
        <v>133</v>
      </c>
      <c r="C7763" t="s">
        <v>7</v>
      </c>
      <c r="D7763">
        <v>3511</v>
      </c>
      <c r="E7763">
        <v>2019</v>
      </c>
      <c r="F7763">
        <v>2</v>
      </c>
      <c r="G7763">
        <v>52796</v>
      </c>
      <c r="H7763" s="1">
        <v>0</v>
      </c>
      <c r="I7763">
        <v>21</v>
      </c>
      <c r="J7763">
        <f>IF($H7763=0,1,IF($I7763&lt;=1,2,0))</f>
        <v>1</v>
      </c>
      <c r="K7763">
        <v>0</v>
      </c>
      <c r="L7763">
        <f>IF(AND($J7763=0,$K7763=0),0,1)</f>
        <v>1</v>
      </c>
    </row>
    <row r="7764" spans="1:13" x14ac:dyDescent="0.2">
      <c r="A7764" t="s">
        <v>134</v>
      </c>
      <c r="B7764" t="s">
        <v>133</v>
      </c>
      <c r="C7764" t="s">
        <v>11</v>
      </c>
      <c r="D7764">
        <v>4250</v>
      </c>
      <c r="E7764">
        <v>2019</v>
      </c>
      <c r="F7764">
        <v>1</v>
      </c>
      <c r="G7764">
        <v>17744</v>
      </c>
      <c r="H7764" s="1">
        <v>4.5</v>
      </c>
      <c r="I7764">
        <v>0</v>
      </c>
      <c r="J7764">
        <f>IF($H7764=0,1,IF($I7764&lt;=1,2,0))</f>
        <v>2</v>
      </c>
      <c r="K7764">
        <v>0</v>
      </c>
      <c r="L7764">
        <f>IF(AND($J7764=0,$K7764=0),0,1)</f>
        <v>1</v>
      </c>
      <c r="M7764" t="s">
        <v>136</v>
      </c>
    </row>
    <row r="7765" spans="1:13" x14ac:dyDescent="0.2">
      <c r="A7765" t="s">
        <v>140</v>
      </c>
      <c r="B7765" t="s">
        <v>133</v>
      </c>
      <c r="C7765" t="s">
        <v>11</v>
      </c>
      <c r="D7765">
        <v>4000</v>
      </c>
      <c r="E7765">
        <v>2019</v>
      </c>
      <c r="F7765">
        <v>1</v>
      </c>
      <c r="G7765">
        <v>53585</v>
      </c>
      <c r="H7765" s="1">
        <v>3</v>
      </c>
      <c r="I7765">
        <v>15</v>
      </c>
      <c r="J7765">
        <f>IF($H7765=0,1,IF($I7765&lt;=1,2,0))</f>
        <v>0</v>
      </c>
      <c r="K7765">
        <v>4</v>
      </c>
      <c r="L7765">
        <f>IF(AND($J7765=0,$K7765=0),0,1)</f>
        <v>1</v>
      </c>
      <c r="M7765" t="s">
        <v>141</v>
      </c>
    </row>
    <row r="7766" spans="1:13" x14ac:dyDescent="0.2">
      <c r="A7766" t="s">
        <v>140</v>
      </c>
      <c r="B7766" t="s">
        <v>133</v>
      </c>
      <c r="C7766" t="s">
        <v>11</v>
      </c>
      <c r="D7766">
        <v>4099</v>
      </c>
      <c r="E7766">
        <v>2019</v>
      </c>
      <c r="F7766">
        <v>1</v>
      </c>
      <c r="G7766">
        <v>53631</v>
      </c>
      <c r="H7766" s="1">
        <v>1</v>
      </c>
      <c r="I7766">
        <v>41</v>
      </c>
      <c r="J7766">
        <f>IF($H7766=0,1,IF($I7766&lt;=1,2,0))</f>
        <v>0</v>
      </c>
      <c r="K7766">
        <v>4</v>
      </c>
      <c r="L7766">
        <f>IF(AND($J7766=0,$K7766=0),0,1)</f>
        <v>1</v>
      </c>
      <c r="M7766" t="s">
        <v>141</v>
      </c>
    </row>
    <row r="7767" spans="1:13" x14ac:dyDescent="0.2">
      <c r="A7767" t="s">
        <v>140</v>
      </c>
      <c r="B7767" t="s">
        <v>133</v>
      </c>
      <c r="C7767" t="s">
        <v>11</v>
      </c>
      <c r="D7767">
        <v>6001</v>
      </c>
      <c r="E7767">
        <v>2019</v>
      </c>
      <c r="F7767">
        <v>7</v>
      </c>
      <c r="G7767">
        <v>53611</v>
      </c>
      <c r="H7767" s="1" t="s">
        <v>1834</v>
      </c>
      <c r="I7767">
        <v>1</v>
      </c>
      <c r="J7767">
        <f>IF($H7767=0,1,IF($I7767&lt;=1,2,0))</f>
        <v>2</v>
      </c>
      <c r="K7767">
        <v>0</v>
      </c>
      <c r="L7767">
        <f>IF(AND($J7767=0,$K7767=0),0,1)</f>
        <v>1</v>
      </c>
    </row>
    <row r="7768" spans="1:13" x14ac:dyDescent="0.2">
      <c r="A7768" t="s">
        <v>140</v>
      </c>
      <c r="B7768" t="s">
        <v>133</v>
      </c>
      <c r="C7768" t="s">
        <v>11</v>
      </c>
      <c r="D7768">
        <v>6001</v>
      </c>
      <c r="E7768">
        <v>2019</v>
      </c>
      <c r="F7768">
        <v>14</v>
      </c>
      <c r="G7768">
        <v>53618</v>
      </c>
      <c r="H7768" s="1" t="s">
        <v>1834</v>
      </c>
      <c r="I7768">
        <v>1</v>
      </c>
      <c r="J7768">
        <f>IF($H7768=0,1,IF($I7768&lt;=1,2,0))</f>
        <v>2</v>
      </c>
      <c r="K7768">
        <v>0</v>
      </c>
      <c r="L7768">
        <f>IF(AND($J7768=0,$K7768=0),0,1)</f>
        <v>1</v>
      </c>
    </row>
    <row r="7769" spans="1:13" x14ac:dyDescent="0.2">
      <c r="A7769" t="s">
        <v>140</v>
      </c>
      <c r="B7769" t="s">
        <v>133</v>
      </c>
      <c r="C7769" t="s">
        <v>11</v>
      </c>
      <c r="D7769">
        <v>6001</v>
      </c>
      <c r="E7769">
        <v>2019</v>
      </c>
      <c r="F7769">
        <v>18</v>
      </c>
      <c r="G7769">
        <v>53622</v>
      </c>
      <c r="H7769" s="1" t="s">
        <v>1834</v>
      </c>
      <c r="I7769">
        <v>1</v>
      </c>
      <c r="J7769">
        <f>IF($H7769=0,1,IF($I7769&lt;=1,2,0))</f>
        <v>2</v>
      </c>
      <c r="K7769">
        <v>0</v>
      </c>
      <c r="L7769">
        <f>IF(AND($J7769=0,$K7769=0),0,1)</f>
        <v>1</v>
      </c>
    </row>
    <row r="7770" spans="1:13" x14ac:dyDescent="0.2">
      <c r="A7770" t="s">
        <v>140</v>
      </c>
      <c r="B7770" t="s">
        <v>133</v>
      </c>
      <c r="C7770" t="s">
        <v>11</v>
      </c>
      <c r="D7770">
        <v>6001</v>
      </c>
      <c r="E7770">
        <v>2019</v>
      </c>
      <c r="F7770">
        <v>1</v>
      </c>
      <c r="G7770">
        <v>53605</v>
      </c>
      <c r="H7770" s="1" t="s">
        <v>1834</v>
      </c>
      <c r="I7770">
        <v>0</v>
      </c>
      <c r="J7770">
        <f>IF($H7770=0,1,IF($I7770&lt;=1,2,0))</f>
        <v>2</v>
      </c>
      <c r="K7770">
        <v>0</v>
      </c>
      <c r="L7770">
        <f>IF(AND($J7770=0,$K7770=0),0,1)</f>
        <v>1</v>
      </c>
    </row>
    <row r="7771" spans="1:13" x14ac:dyDescent="0.2">
      <c r="A7771" t="s">
        <v>140</v>
      </c>
      <c r="B7771" t="s">
        <v>133</v>
      </c>
      <c r="C7771" t="s">
        <v>11</v>
      </c>
      <c r="D7771">
        <v>6001</v>
      </c>
      <c r="E7771">
        <v>2019</v>
      </c>
      <c r="F7771">
        <v>8</v>
      </c>
      <c r="G7771">
        <v>53612</v>
      </c>
      <c r="H7771" s="1" t="s">
        <v>1834</v>
      </c>
      <c r="I7771">
        <v>0</v>
      </c>
      <c r="J7771">
        <f>IF($H7771=0,1,IF($I7771&lt;=1,2,0))</f>
        <v>2</v>
      </c>
      <c r="K7771">
        <v>0</v>
      </c>
      <c r="L7771">
        <f>IF(AND($J7771=0,$K7771=0),0,1)</f>
        <v>1</v>
      </c>
    </row>
    <row r="7772" spans="1:13" x14ac:dyDescent="0.2">
      <c r="A7772" t="s">
        <v>140</v>
      </c>
      <c r="B7772" t="s">
        <v>133</v>
      </c>
      <c r="C7772" t="s">
        <v>11</v>
      </c>
      <c r="D7772">
        <v>6001</v>
      </c>
      <c r="E7772">
        <v>2019</v>
      </c>
      <c r="F7772">
        <v>10</v>
      </c>
      <c r="G7772">
        <v>53614</v>
      </c>
      <c r="H7772" s="1" t="s">
        <v>1834</v>
      </c>
      <c r="I7772">
        <v>0</v>
      </c>
      <c r="J7772">
        <f>IF($H7772=0,1,IF($I7772&lt;=1,2,0))</f>
        <v>2</v>
      </c>
      <c r="K7772">
        <v>0</v>
      </c>
      <c r="L7772">
        <f>IF(AND($J7772=0,$K7772=0),0,1)</f>
        <v>1</v>
      </c>
    </row>
    <row r="7773" spans="1:13" x14ac:dyDescent="0.2">
      <c r="A7773" t="s">
        <v>140</v>
      </c>
      <c r="B7773" t="s">
        <v>133</v>
      </c>
      <c r="C7773" t="s">
        <v>11</v>
      </c>
      <c r="D7773">
        <v>6001</v>
      </c>
      <c r="E7773">
        <v>2019</v>
      </c>
      <c r="F7773">
        <v>11</v>
      </c>
      <c r="G7773">
        <v>53615</v>
      </c>
      <c r="H7773" s="1" t="s">
        <v>1834</v>
      </c>
      <c r="I7773">
        <v>0</v>
      </c>
      <c r="J7773">
        <f>IF($H7773=0,1,IF($I7773&lt;=1,2,0))</f>
        <v>2</v>
      </c>
      <c r="K7773">
        <v>0</v>
      </c>
      <c r="L7773">
        <f>IF(AND($J7773=0,$K7773=0),0,1)</f>
        <v>1</v>
      </c>
    </row>
    <row r="7774" spans="1:13" x14ac:dyDescent="0.2">
      <c r="A7774" t="s">
        <v>140</v>
      </c>
      <c r="B7774" t="s">
        <v>133</v>
      </c>
      <c r="C7774" t="s">
        <v>11</v>
      </c>
      <c r="D7774">
        <v>6001</v>
      </c>
      <c r="E7774">
        <v>2019</v>
      </c>
      <c r="F7774">
        <v>12</v>
      </c>
      <c r="G7774">
        <v>53616</v>
      </c>
      <c r="H7774" s="1" t="s">
        <v>1834</v>
      </c>
      <c r="I7774">
        <v>0</v>
      </c>
      <c r="J7774">
        <f>IF($H7774=0,1,IF($I7774&lt;=1,2,0))</f>
        <v>2</v>
      </c>
      <c r="K7774">
        <v>0</v>
      </c>
      <c r="L7774">
        <f>IF(AND($J7774=0,$K7774=0),0,1)</f>
        <v>1</v>
      </c>
    </row>
    <row r="7775" spans="1:13" x14ac:dyDescent="0.2">
      <c r="A7775" t="s">
        <v>140</v>
      </c>
      <c r="B7775" t="s">
        <v>133</v>
      </c>
      <c r="C7775" t="s">
        <v>11</v>
      </c>
      <c r="D7775">
        <v>6001</v>
      </c>
      <c r="E7775">
        <v>2019</v>
      </c>
      <c r="F7775">
        <v>20</v>
      </c>
      <c r="G7775">
        <v>53624</v>
      </c>
      <c r="H7775" s="1" t="s">
        <v>1834</v>
      </c>
      <c r="I7775">
        <v>0</v>
      </c>
      <c r="J7775">
        <f>IF($H7775=0,1,IF($I7775&lt;=1,2,0))</f>
        <v>2</v>
      </c>
      <c r="K7775">
        <v>0</v>
      </c>
      <c r="L7775">
        <f>IF(AND($J7775=0,$K7775=0),0,1)</f>
        <v>1</v>
      </c>
    </row>
    <row r="7776" spans="1:13" x14ac:dyDescent="0.2">
      <c r="A7776" t="s">
        <v>140</v>
      </c>
      <c r="B7776" t="s">
        <v>133</v>
      </c>
      <c r="C7776" t="s">
        <v>11</v>
      </c>
      <c r="D7776">
        <v>8001</v>
      </c>
      <c r="E7776">
        <v>2019</v>
      </c>
      <c r="F7776">
        <v>6</v>
      </c>
      <c r="G7776">
        <v>18727</v>
      </c>
      <c r="H7776" s="1" t="s">
        <v>1834</v>
      </c>
      <c r="I7776">
        <v>1</v>
      </c>
      <c r="J7776">
        <f>IF($H7776=0,1,IF($I7776&lt;=1,2,0))</f>
        <v>2</v>
      </c>
      <c r="K7776">
        <v>0</v>
      </c>
      <c r="L7776">
        <f>IF(AND($J7776=0,$K7776=0),0,1)</f>
        <v>1</v>
      </c>
    </row>
    <row r="7777" spans="1:12" x14ac:dyDescent="0.2">
      <c r="A7777" t="s">
        <v>140</v>
      </c>
      <c r="B7777" t="s">
        <v>133</v>
      </c>
      <c r="C7777" t="s">
        <v>11</v>
      </c>
      <c r="D7777">
        <v>8001</v>
      </c>
      <c r="E7777">
        <v>2019</v>
      </c>
      <c r="F7777">
        <v>1</v>
      </c>
      <c r="G7777">
        <v>53625</v>
      </c>
      <c r="H7777" s="1" t="s">
        <v>1834</v>
      </c>
      <c r="I7777">
        <v>0</v>
      </c>
      <c r="J7777">
        <f>IF($H7777=0,1,IF($I7777&lt;=1,2,0))</f>
        <v>2</v>
      </c>
      <c r="K7777">
        <v>0</v>
      </c>
      <c r="L7777">
        <f>IF(AND($J7777=0,$K7777=0),0,1)</f>
        <v>1</v>
      </c>
    </row>
    <row r="7778" spans="1:12" x14ac:dyDescent="0.2">
      <c r="A7778" t="s">
        <v>140</v>
      </c>
      <c r="B7778" t="s">
        <v>133</v>
      </c>
      <c r="C7778" t="s">
        <v>11</v>
      </c>
      <c r="D7778">
        <v>8001</v>
      </c>
      <c r="E7778">
        <v>2019</v>
      </c>
      <c r="F7778">
        <v>2</v>
      </c>
      <c r="G7778">
        <v>53626</v>
      </c>
      <c r="H7778" s="1" t="s">
        <v>1834</v>
      </c>
      <c r="I7778">
        <v>0</v>
      </c>
      <c r="J7778">
        <f>IF($H7778=0,1,IF($I7778&lt;=1,2,0))</f>
        <v>2</v>
      </c>
      <c r="K7778">
        <v>0</v>
      </c>
      <c r="L7778">
        <f>IF(AND($J7778=0,$K7778=0),0,1)</f>
        <v>1</v>
      </c>
    </row>
    <row r="7779" spans="1:12" x14ac:dyDescent="0.2">
      <c r="A7779" t="s">
        <v>140</v>
      </c>
      <c r="B7779" t="s">
        <v>133</v>
      </c>
      <c r="C7779" t="s">
        <v>11</v>
      </c>
      <c r="D7779">
        <v>8001</v>
      </c>
      <c r="E7779">
        <v>2019</v>
      </c>
      <c r="F7779">
        <v>3</v>
      </c>
      <c r="G7779">
        <v>53627</v>
      </c>
      <c r="H7779" s="1" t="s">
        <v>1834</v>
      </c>
      <c r="I7779">
        <v>0</v>
      </c>
      <c r="J7779">
        <f>IF($H7779=0,1,IF($I7779&lt;=1,2,0))</f>
        <v>2</v>
      </c>
      <c r="K7779">
        <v>0</v>
      </c>
      <c r="L7779">
        <f>IF(AND($J7779=0,$K7779=0),0,1)</f>
        <v>1</v>
      </c>
    </row>
    <row r="7780" spans="1:12" x14ac:dyDescent="0.2">
      <c r="A7780" t="s">
        <v>140</v>
      </c>
      <c r="B7780" t="s">
        <v>133</v>
      </c>
      <c r="C7780" t="s">
        <v>11</v>
      </c>
      <c r="D7780">
        <v>8001</v>
      </c>
      <c r="E7780">
        <v>2019</v>
      </c>
      <c r="F7780">
        <v>4</v>
      </c>
      <c r="G7780">
        <v>53628</v>
      </c>
      <c r="H7780" s="1" t="s">
        <v>1834</v>
      </c>
      <c r="I7780">
        <v>0</v>
      </c>
      <c r="J7780">
        <f>IF($H7780=0,1,IF($I7780&lt;=1,2,0))</f>
        <v>2</v>
      </c>
      <c r="K7780">
        <v>0</v>
      </c>
      <c r="L7780">
        <f>IF(AND($J7780=0,$K7780=0),0,1)</f>
        <v>1</v>
      </c>
    </row>
    <row r="7781" spans="1:12" x14ac:dyDescent="0.2">
      <c r="A7781" t="s">
        <v>140</v>
      </c>
      <c r="B7781" t="s">
        <v>133</v>
      </c>
      <c r="C7781" t="s">
        <v>11</v>
      </c>
      <c r="D7781">
        <v>8010</v>
      </c>
      <c r="E7781">
        <v>2019</v>
      </c>
      <c r="F7781">
        <v>4</v>
      </c>
      <c r="G7781">
        <v>53592</v>
      </c>
      <c r="H7781" s="1">
        <v>2</v>
      </c>
      <c r="I7781">
        <v>1</v>
      </c>
      <c r="J7781">
        <f>IF($H7781=0,1,IF($I7781&lt;=1,2,0))</f>
        <v>2</v>
      </c>
      <c r="K7781">
        <v>0</v>
      </c>
      <c r="L7781">
        <f>IF(AND($J7781=0,$K7781=0),0,1)</f>
        <v>1</v>
      </c>
    </row>
    <row r="7782" spans="1:12" x14ac:dyDescent="0.2">
      <c r="A7782" t="s">
        <v>140</v>
      </c>
      <c r="B7782" t="s">
        <v>133</v>
      </c>
      <c r="C7782" t="s">
        <v>11</v>
      </c>
      <c r="D7782">
        <v>8010</v>
      </c>
      <c r="E7782">
        <v>2019</v>
      </c>
      <c r="F7782">
        <v>5</v>
      </c>
      <c r="G7782">
        <v>53593</v>
      </c>
      <c r="H7782" s="1">
        <v>2</v>
      </c>
      <c r="I7782">
        <v>0</v>
      </c>
      <c r="J7782">
        <f>IF($H7782=0,1,IF($I7782&lt;=1,2,0))</f>
        <v>2</v>
      </c>
      <c r="K7782">
        <v>0</v>
      </c>
      <c r="L7782">
        <f>IF(AND($J7782=0,$K7782=0),0,1)</f>
        <v>1</v>
      </c>
    </row>
    <row r="7783" spans="1:12" x14ac:dyDescent="0.2">
      <c r="A7783" t="s">
        <v>140</v>
      </c>
      <c r="B7783" t="s">
        <v>133</v>
      </c>
      <c r="C7783" t="s">
        <v>11</v>
      </c>
      <c r="D7783">
        <v>9001</v>
      </c>
      <c r="E7783">
        <v>2019</v>
      </c>
      <c r="F7783">
        <v>1</v>
      </c>
      <c r="G7783">
        <v>53594</v>
      </c>
      <c r="H7783" s="1" t="s">
        <v>1834</v>
      </c>
      <c r="I7783">
        <v>2</v>
      </c>
      <c r="J7783">
        <f>IF($H7783=0,1,IF($I7783&lt;=1,2,0))</f>
        <v>0</v>
      </c>
      <c r="K7783">
        <v>5</v>
      </c>
      <c r="L7783">
        <f>IF(AND($J7783=0,$K7783=0),0,1)</f>
        <v>1</v>
      </c>
    </row>
    <row r="7784" spans="1:12" x14ac:dyDescent="0.2">
      <c r="A7784" t="s">
        <v>140</v>
      </c>
      <c r="B7784" t="s">
        <v>133</v>
      </c>
      <c r="C7784" t="s">
        <v>11</v>
      </c>
      <c r="D7784">
        <v>9001</v>
      </c>
      <c r="E7784">
        <v>2019</v>
      </c>
      <c r="F7784">
        <v>5</v>
      </c>
      <c r="G7784">
        <v>53598</v>
      </c>
      <c r="H7784" s="1" t="s">
        <v>1834</v>
      </c>
      <c r="I7784">
        <v>2</v>
      </c>
      <c r="J7784">
        <f>IF($H7784=0,1,IF($I7784&lt;=1,2,0))</f>
        <v>0</v>
      </c>
      <c r="K7784">
        <v>5</v>
      </c>
      <c r="L7784">
        <f>IF(AND($J7784=0,$K7784=0),0,1)</f>
        <v>1</v>
      </c>
    </row>
    <row r="7785" spans="1:12" x14ac:dyDescent="0.2">
      <c r="A7785" t="s">
        <v>140</v>
      </c>
      <c r="B7785" t="s">
        <v>133</v>
      </c>
      <c r="C7785" t="s">
        <v>11</v>
      </c>
      <c r="D7785">
        <v>9001</v>
      </c>
      <c r="E7785">
        <v>2019</v>
      </c>
      <c r="F7785">
        <v>9</v>
      </c>
      <c r="G7785">
        <v>53602</v>
      </c>
      <c r="H7785" s="1" t="s">
        <v>1834</v>
      </c>
      <c r="I7785">
        <v>2</v>
      </c>
      <c r="J7785">
        <f>IF($H7785=0,1,IF($I7785&lt;=1,2,0))</f>
        <v>0</v>
      </c>
      <c r="K7785">
        <v>5</v>
      </c>
      <c r="L7785">
        <f>IF(AND($J7785=0,$K7785=0),0,1)</f>
        <v>1</v>
      </c>
    </row>
    <row r="7786" spans="1:12" x14ac:dyDescent="0.2">
      <c r="A7786" t="s">
        <v>140</v>
      </c>
      <c r="B7786" t="s">
        <v>133</v>
      </c>
      <c r="C7786" t="s">
        <v>11</v>
      </c>
      <c r="D7786">
        <v>9001</v>
      </c>
      <c r="E7786">
        <v>2019</v>
      </c>
      <c r="F7786">
        <v>3</v>
      </c>
      <c r="G7786">
        <v>53596</v>
      </c>
      <c r="H7786" s="1" t="s">
        <v>1834</v>
      </c>
      <c r="I7786">
        <v>1</v>
      </c>
      <c r="J7786">
        <f>IF($H7786=0,1,IF($I7786&lt;=1,2,0))</f>
        <v>2</v>
      </c>
      <c r="K7786">
        <v>5</v>
      </c>
      <c r="L7786">
        <f>IF(AND($J7786=0,$K7786=0),0,1)</f>
        <v>1</v>
      </c>
    </row>
    <row r="7787" spans="1:12" x14ac:dyDescent="0.2">
      <c r="A7787" t="s">
        <v>140</v>
      </c>
      <c r="B7787" t="s">
        <v>133</v>
      </c>
      <c r="C7787" t="s">
        <v>11</v>
      </c>
      <c r="D7787">
        <v>9001</v>
      </c>
      <c r="E7787">
        <v>2019</v>
      </c>
      <c r="F7787">
        <v>6</v>
      </c>
      <c r="G7787">
        <v>53599</v>
      </c>
      <c r="H7787" s="1" t="s">
        <v>1834</v>
      </c>
      <c r="I7787">
        <v>1</v>
      </c>
      <c r="J7787">
        <f>IF($H7787=0,1,IF($I7787&lt;=1,2,0))</f>
        <v>2</v>
      </c>
      <c r="K7787">
        <v>5</v>
      </c>
      <c r="L7787">
        <f>IF(AND($J7787=0,$K7787=0),0,1)</f>
        <v>1</v>
      </c>
    </row>
    <row r="7788" spans="1:12" x14ac:dyDescent="0.2">
      <c r="A7788" t="s">
        <v>140</v>
      </c>
      <c r="B7788" t="s">
        <v>133</v>
      </c>
      <c r="C7788" t="s">
        <v>11</v>
      </c>
      <c r="D7788">
        <v>9001</v>
      </c>
      <c r="E7788">
        <v>2019</v>
      </c>
      <c r="F7788">
        <v>8</v>
      </c>
      <c r="G7788">
        <v>53601</v>
      </c>
      <c r="H7788" s="1" t="s">
        <v>1834</v>
      </c>
      <c r="I7788">
        <v>1</v>
      </c>
      <c r="J7788">
        <f>IF($H7788=0,1,IF($I7788&lt;=1,2,0))</f>
        <v>2</v>
      </c>
      <c r="K7788">
        <v>5</v>
      </c>
      <c r="L7788">
        <f>IF(AND($J7788=0,$K7788=0),0,1)</f>
        <v>1</v>
      </c>
    </row>
    <row r="7789" spans="1:12" x14ac:dyDescent="0.2">
      <c r="A7789" t="s">
        <v>140</v>
      </c>
      <c r="B7789" t="s">
        <v>133</v>
      </c>
      <c r="C7789" t="s">
        <v>11</v>
      </c>
      <c r="D7789">
        <v>9001</v>
      </c>
      <c r="E7789">
        <v>2019</v>
      </c>
      <c r="F7789">
        <v>10</v>
      </c>
      <c r="G7789">
        <v>53603</v>
      </c>
      <c r="H7789" s="1" t="s">
        <v>1834</v>
      </c>
      <c r="I7789">
        <v>1</v>
      </c>
      <c r="J7789">
        <f>IF($H7789=0,1,IF($I7789&lt;=1,2,0))</f>
        <v>2</v>
      </c>
      <c r="K7789">
        <v>5</v>
      </c>
      <c r="L7789">
        <f>IF(AND($J7789=0,$K7789=0),0,1)</f>
        <v>1</v>
      </c>
    </row>
    <row r="7790" spans="1:12" x14ac:dyDescent="0.2">
      <c r="A7790" t="s">
        <v>140</v>
      </c>
      <c r="B7790" t="s">
        <v>133</v>
      </c>
      <c r="C7790" t="s">
        <v>11</v>
      </c>
      <c r="D7790">
        <v>9001</v>
      </c>
      <c r="E7790">
        <v>2019</v>
      </c>
      <c r="F7790">
        <v>2</v>
      </c>
      <c r="G7790">
        <v>53595</v>
      </c>
      <c r="H7790" s="1" t="s">
        <v>1834</v>
      </c>
      <c r="I7790">
        <v>0</v>
      </c>
      <c r="J7790">
        <f>IF($H7790=0,1,IF($I7790&lt;=1,2,0))</f>
        <v>2</v>
      </c>
      <c r="K7790">
        <v>5</v>
      </c>
      <c r="L7790">
        <f>IF(AND($J7790=0,$K7790=0),0,1)</f>
        <v>1</v>
      </c>
    </row>
    <row r="7791" spans="1:12" x14ac:dyDescent="0.2">
      <c r="A7791" t="s">
        <v>140</v>
      </c>
      <c r="B7791" t="s">
        <v>133</v>
      </c>
      <c r="C7791" t="s">
        <v>11</v>
      </c>
      <c r="D7791">
        <v>9001</v>
      </c>
      <c r="E7791">
        <v>2019</v>
      </c>
      <c r="F7791">
        <v>4</v>
      </c>
      <c r="G7791">
        <v>53597</v>
      </c>
      <c r="H7791" s="1" t="s">
        <v>1834</v>
      </c>
      <c r="I7791">
        <v>0</v>
      </c>
      <c r="J7791">
        <f>IF($H7791=0,1,IF($I7791&lt;=1,2,0))</f>
        <v>2</v>
      </c>
      <c r="K7791">
        <v>5</v>
      </c>
      <c r="L7791">
        <f>IF(AND($J7791=0,$K7791=0),0,1)</f>
        <v>1</v>
      </c>
    </row>
    <row r="7792" spans="1:12" x14ac:dyDescent="0.2">
      <c r="A7792" t="s">
        <v>140</v>
      </c>
      <c r="B7792" t="s">
        <v>133</v>
      </c>
      <c r="C7792" t="s">
        <v>11</v>
      </c>
      <c r="D7792">
        <v>9001</v>
      </c>
      <c r="E7792">
        <v>2019</v>
      </c>
      <c r="F7792">
        <v>7</v>
      </c>
      <c r="G7792">
        <v>53600</v>
      </c>
      <c r="H7792" s="1" t="s">
        <v>1834</v>
      </c>
      <c r="I7792">
        <v>0</v>
      </c>
      <c r="J7792">
        <f>IF($H7792=0,1,IF($I7792&lt;=1,2,0))</f>
        <v>2</v>
      </c>
      <c r="K7792">
        <v>5</v>
      </c>
      <c r="L7792">
        <f>IF(AND($J7792=0,$K7792=0),0,1)</f>
        <v>1</v>
      </c>
    </row>
    <row r="7793" spans="1:13" x14ac:dyDescent="0.2">
      <c r="A7793" t="s">
        <v>140</v>
      </c>
      <c r="B7793" t="s">
        <v>133</v>
      </c>
      <c r="C7793" t="s">
        <v>11</v>
      </c>
      <c r="D7793">
        <v>9999</v>
      </c>
      <c r="E7793">
        <v>2019</v>
      </c>
      <c r="F7793">
        <v>4</v>
      </c>
      <c r="G7793">
        <v>53635</v>
      </c>
      <c r="H7793" s="1">
        <v>0</v>
      </c>
      <c r="I7793">
        <v>1</v>
      </c>
      <c r="J7793">
        <f>IF($H7793=0,1,IF($I7793&lt;=1,2,0))</f>
        <v>1</v>
      </c>
      <c r="K7793">
        <v>5</v>
      </c>
      <c r="L7793">
        <f>IF(AND($J7793=0,$K7793=0),0,1)</f>
        <v>1</v>
      </c>
    </row>
    <row r="7794" spans="1:13" x14ac:dyDescent="0.2">
      <c r="A7794" t="s">
        <v>140</v>
      </c>
      <c r="B7794" t="s">
        <v>133</v>
      </c>
      <c r="C7794" t="s">
        <v>11</v>
      </c>
      <c r="D7794">
        <v>9999</v>
      </c>
      <c r="E7794">
        <v>2019</v>
      </c>
      <c r="F7794">
        <v>5</v>
      </c>
      <c r="G7794">
        <v>53636</v>
      </c>
      <c r="H7794" s="1">
        <v>0</v>
      </c>
      <c r="I7794">
        <v>1</v>
      </c>
      <c r="J7794">
        <f>IF($H7794=0,1,IF($I7794&lt;=1,2,0))</f>
        <v>1</v>
      </c>
      <c r="K7794">
        <v>5</v>
      </c>
      <c r="L7794">
        <f>IF(AND($J7794=0,$K7794=0),0,1)</f>
        <v>1</v>
      </c>
    </row>
    <row r="7795" spans="1:13" x14ac:dyDescent="0.2">
      <c r="A7795" t="s">
        <v>140</v>
      </c>
      <c r="B7795" t="s">
        <v>133</v>
      </c>
      <c r="C7795" t="s">
        <v>11</v>
      </c>
      <c r="D7795">
        <v>9999</v>
      </c>
      <c r="E7795">
        <v>2019</v>
      </c>
      <c r="F7795">
        <v>2</v>
      </c>
      <c r="G7795">
        <v>53633</v>
      </c>
      <c r="H7795" s="1">
        <v>0</v>
      </c>
      <c r="I7795">
        <v>0</v>
      </c>
      <c r="J7795">
        <f>IF($H7795=0,1,IF($I7795&lt;=1,2,0))</f>
        <v>1</v>
      </c>
      <c r="K7795">
        <v>5</v>
      </c>
      <c r="L7795">
        <f>IF(AND($J7795=0,$K7795=0),0,1)</f>
        <v>1</v>
      </c>
    </row>
    <row r="7796" spans="1:13" x14ac:dyDescent="0.2">
      <c r="A7796" t="s">
        <v>140</v>
      </c>
      <c r="B7796" t="s">
        <v>133</v>
      </c>
      <c r="C7796" t="s">
        <v>11</v>
      </c>
      <c r="D7796">
        <v>9999</v>
      </c>
      <c r="E7796">
        <v>2019</v>
      </c>
      <c r="F7796">
        <v>6</v>
      </c>
      <c r="G7796">
        <v>53637</v>
      </c>
      <c r="H7796" s="1">
        <v>0</v>
      </c>
      <c r="I7796">
        <v>0</v>
      </c>
      <c r="J7796">
        <f>IF($H7796=0,1,IF($I7796&lt;=1,2,0))</f>
        <v>1</v>
      </c>
      <c r="K7796">
        <v>5</v>
      </c>
      <c r="L7796">
        <f>IF(AND($J7796=0,$K7796=0),0,1)</f>
        <v>1</v>
      </c>
    </row>
    <row r="7797" spans="1:13" x14ac:dyDescent="0.2">
      <c r="A7797" t="s">
        <v>140</v>
      </c>
      <c r="B7797" t="s">
        <v>133</v>
      </c>
      <c r="C7797" t="s">
        <v>11</v>
      </c>
      <c r="D7797">
        <v>9999</v>
      </c>
      <c r="E7797">
        <v>2019</v>
      </c>
      <c r="F7797">
        <v>7</v>
      </c>
      <c r="G7797">
        <v>53638</v>
      </c>
      <c r="H7797" s="1">
        <v>0</v>
      </c>
      <c r="I7797">
        <v>0</v>
      </c>
      <c r="J7797">
        <f>IF($H7797=0,1,IF($I7797&lt;=1,2,0))</f>
        <v>1</v>
      </c>
      <c r="K7797">
        <v>5</v>
      </c>
      <c r="L7797">
        <f>IF(AND($J7797=0,$K7797=0),0,1)</f>
        <v>1</v>
      </c>
    </row>
    <row r="7798" spans="1:13" x14ac:dyDescent="0.2">
      <c r="A7798" t="s">
        <v>140</v>
      </c>
      <c r="B7798" t="s">
        <v>133</v>
      </c>
      <c r="C7798" t="s">
        <v>11</v>
      </c>
      <c r="D7798">
        <v>9999</v>
      </c>
      <c r="E7798">
        <v>2019</v>
      </c>
      <c r="F7798">
        <v>8</v>
      </c>
      <c r="G7798">
        <v>53639</v>
      </c>
      <c r="H7798" s="1">
        <v>0</v>
      </c>
      <c r="I7798">
        <v>0</v>
      </c>
      <c r="J7798">
        <f>IF($H7798=0,1,IF($I7798&lt;=1,2,0))</f>
        <v>1</v>
      </c>
      <c r="K7798">
        <v>5</v>
      </c>
      <c r="L7798">
        <f>IF(AND($J7798=0,$K7798=0),0,1)</f>
        <v>1</v>
      </c>
    </row>
    <row r="7799" spans="1:13" x14ac:dyDescent="0.2">
      <c r="A7799" t="s">
        <v>142</v>
      </c>
      <c r="B7799" t="s">
        <v>133</v>
      </c>
      <c r="C7799" t="s">
        <v>33</v>
      </c>
      <c r="D7799">
        <v>211</v>
      </c>
      <c r="E7799">
        <v>2019</v>
      </c>
      <c r="F7799">
        <v>1</v>
      </c>
      <c r="G7799">
        <v>19332</v>
      </c>
      <c r="H7799" s="1">
        <v>4</v>
      </c>
      <c r="I7799">
        <v>0</v>
      </c>
      <c r="J7799">
        <f>IF($H7799=0,1,IF($I7799&lt;=1,2,0))</f>
        <v>2</v>
      </c>
      <c r="K7799">
        <v>0</v>
      </c>
      <c r="L7799">
        <f>IF(AND($J7799=0,$K7799=0),0,1)</f>
        <v>1</v>
      </c>
    </row>
    <row r="7800" spans="1:13" x14ac:dyDescent="0.2">
      <c r="A7800" t="s">
        <v>142</v>
      </c>
      <c r="B7800" t="s">
        <v>133</v>
      </c>
      <c r="C7800" t="s">
        <v>2</v>
      </c>
      <c r="D7800">
        <v>1002</v>
      </c>
      <c r="E7800">
        <v>2019</v>
      </c>
      <c r="F7800">
        <v>1</v>
      </c>
      <c r="G7800">
        <v>7289</v>
      </c>
      <c r="H7800" s="1">
        <v>4.5</v>
      </c>
      <c r="I7800">
        <v>34</v>
      </c>
      <c r="J7800">
        <f>IF($H7800=0,1,IF($I7800&lt;=1,2,0))</f>
        <v>0</v>
      </c>
      <c r="K7800">
        <v>7</v>
      </c>
      <c r="L7800">
        <f>IF(AND($J7800=0,$K7800=0),0,1)</f>
        <v>1</v>
      </c>
      <c r="M7800" t="s">
        <v>143</v>
      </c>
    </row>
    <row r="7801" spans="1:13" x14ac:dyDescent="0.2">
      <c r="A7801" t="s">
        <v>142</v>
      </c>
      <c r="B7801" t="s">
        <v>133</v>
      </c>
      <c r="C7801" t="s">
        <v>2</v>
      </c>
      <c r="D7801">
        <v>1012</v>
      </c>
      <c r="E7801">
        <v>2019</v>
      </c>
      <c r="F7801">
        <v>2</v>
      </c>
      <c r="G7801">
        <v>7292</v>
      </c>
      <c r="H7801" s="1">
        <v>0</v>
      </c>
      <c r="I7801">
        <v>15</v>
      </c>
      <c r="J7801">
        <f>IF($H7801=0,1,IF($I7801&lt;=1,2,0))</f>
        <v>1</v>
      </c>
      <c r="K7801">
        <v>7</v>
      </c>
      <c r="L7801">
        <f>IF(AND($J7801=0,$K7801=0),0,1)</f>
        <v>1</v>
      </c>
      <c r="M7801" t="s">
        <v>144</v>
      </c>
    </row>
    <row r="7802" spans="1:13" x14ac:dyDescent="0.2">
      <c r="A7802" t="s">
        <v>142</v>
      </c>
      <c r="B7802" t="s">
        <v>133</v>
      </c>
      <c r="C7802" t="s">
        <v>2</v>
      </c>
      <c r="D7802">
        <v>1012</v>
      </c>
      <c r="E7802">
        <v>2019</v>
      </c>
      <c r="F7802">
        <v>3</v>
      </c>
      <c r="G7802">
        <v>7293</v>
      </c>
      <c r="H7802" s="1">
        <v>0</v>
      </c>
      <c r="I7802">
        <v>10</v>
      </c>
      <c r="J7802">
        <f>IF($H7802=0,1,IF($I7802&lt;=1,2,0))</f>
        <v>1</v>
      </c>
      <c r="K7802">
        <v>7</v>
      </c>
      <c r="L7802">
        <f>IF(AND($J7802=0,$K7802=0),0,1)</f>
        <v>1</v>
      </c>
      <c r="M7802" t="s">
        <v>144</v>
      </c>
    </row>
    <row r="7803" spans="1:13" x14ac:dyDescent="0.2">
      <c r="A7803" t="s">
        <v>142</v>
      </c>
      <c r="B7803" t="s">
        <v>133</v>
      </c>
      <c r="C7803" t="s">
        <v>2</v>
      </c>
      <c r="D7803">
        <v>1012</v>
      </c>
      <c r="E7803">
        <v>2019</v>
      </c>
      <c r="F7803">
        <v>1</v>
      </c>
      <c r="G7803">
        <v>7291</v>
      </c>
      <c r="H7803" s="1">
        <v>0</v>
      </c>
      <c r="I7803">
        <v>9</v>
      </c>
      <c r="J7803">
        <f>IF($H7803=0,1,IF($I7803&lt;=1,2,0))</f>
        <v>1</v>
      </c>
      <c r="K7803">
        <v>7</v>
      </c>
      <c r="L7803">
        <f>IF(AND($J7803=0,$K7803=0),0,1)</f>
        <v>1</v>
      </c>
      <c r="M7803" t="s">
        <v>144</v>
      </c>
    </row>
    <row r="7804" spans="1:13" x14ac:dyDescent="0.2">
      <c r="A7804" t="s">
        <v>142</v>
      </c>
      <c r="B7804" t="s">
        <v>133</v>
      </c>
      <c r="C7804" t="s">
        <v>2</v>
      </c>
      <c r="D7804">
        <v>1500</v>
      </c>
      <c r="E7804">
        <v>2019</v>
      </c>
      <c r="F7804">
        <v>1</v>
      </c>
      <c r="G7804">
        <v>7268</v>
      </c>
      <c r="H7804" s="1">
        <v>3</v>
      </c>
      <c r="I7804">
        <v>235</v>
      </c>
      <c r="J7804">
        <f>IF($H7804=0,1,IF($I7804&lt;=1,2,0))</f>
        <v>0</v>
      </c>
      <c r="K7804">
        <v>7</v>
      </c>
      <c r="L7804">
        <f>IF(AND($J7804=0,$K7804=0),0,1)</f>
        <v>1</v>
      </c>
      <c r="M7804" t="s">
        <v>145</v>
      </c>
    </row>
    <row r="7805" spans="1:13" x14ac:dyDescent="0.2">
      <c r="A7805" t="s">
        <v>142</v>
      </c>
      <c r="B7805" t="s">
        <v>133</v>
      </c>
      <c r="C7805" t="s">
        <v>2</v>
      </c>
      <c r="D7805">
        <v>1501</v>
      </c>
      <c r="E7805">
        <v>2019</v>
      </c>
      <c r="F7805">
        <v>1</v>
      </c>
      <c r="G7805">
        <v>7250</v>
      </c>
      <c r="H7805" s="1">
        <v>2</v>
      </c>
      <c r="I7805">
        <v>15</v>
      </c>
      <c r="J7805">
        <f>IF($H7805=0,1,IF($I7805&lt;=1,2,0))</f>
        <v>0</v>
      </c>
      <c r="K7805">
        <v>7</v>
      </c>
      <c r="L7805">
        <f>IF(AND($J7805=0,$K7805=0),0,1)</f>
        <v>1</v>
      </c>
      <c r="M7805" t="s">
        <v>146</v>
      </c>
    </row>
    <row r="7806" spans="1:13" x14ac:dyDescent="0.2">
      <c r="A7806" t="s">
        <v>142</v>
      </c>
      <c r="B7806" t="s">
        <v>133</v>
      </c>
      <c r="C7806" t="s">
        <v>2</v>
      </c>
      <c r="D7806">
        <v>1501</v>
      </c>
      <c r="E7806">
        <v>2019</v>
      </c>
      <c r="F7806">
        <v>2</v>
      </c>
      <c r="G7806">
        <v>7251</v>
      </c>
      <c r="H7806" s="1">
        <v>2</v>
      </c>
      <c r="I7806">
        <v>15</v>
      </c>
      <c r="J7806">
        <f>IF($H7806=0,1,IF($I7806&lt;=1,2,0))</f>
        <v>0</v>
      </c>
      <c r="K7806">
        <v>7</v>
      </c>
      <c r="L7806">
        <f>IF(AND($J7806=0,$K7806=0),0,1)</f>
        <v>1</v>
      </c>
      <c r="M7806" t="s">
        <v>146</v>
      </c>
    </row>
    <row r="7807" spans="1:13" x14ac:dyDescent="0.2">
      <c r="A7807" t="s">
        <v>142</v>
      </c>
      <c r="B7807" t="s">
        <v>133</v>
      </c>
      <c r="C7807" t="s">
        <v>2</v>
      </c>
      <c r="D7807">
        <v>1501</v>
      </c>
      <c r="E7807">
        <v>2019</v>
      </c>
      <c r="F7807">
        <v>4</v>
      </c>
      <c r="G7807">
        <v>7253</v>
      </c>
      <c r="H7807" s="1">
        <v>2</v>
      </c>
      <c r="I7807">
        <v>15</v>
      </c>
      <c r="J7807">
        <f>IF($H7807=0,1,IF($I7807&lt;=1,2,0))</f>
        <v>0</v>
      </c>
      <c r="K7807">
        <v>7</v>
      </c>
      <c r="L7807">
        <f>IF(AND($J7807=0,$K7807=0),0,1)</f>
        <v>1</v>
      </c>
      <c r="M7807" t="s">
        <v>146</v>
      </c>
    </row>
    <row r="7808" spans="1:13" x14ac:dyDescent="0.2">
      <c r="A7808" t="s">
        <v>142</v>
      </c>
      <c r="B7808" t="s">
        <v>133</v>
      </c>
      <c r="C7808" t="s">
        <v>2</v>
      </c>
      <c r="D7808">
        <v>1501</v>
      </c>
      <c r="E7808">
        <v>2019</v>
      </c>
      <c r="F7808">
        <v>5</v>
      </c>
      <c r="G7808">
        <v>7254</v>
      </c>
      <c r="H7808" s="1">
        <v>2</v>
      </c>
      <c r="I7808">
        <v>15</v>
      </c>
      <c r="J7808">
        <f>IF($H7808=0,1,IF($I7808&lt;=1,2,0))</f>
        <v>0</v>
      </c>
      <c r="K7808">
        <v>7</v>
      </c>
      <c r="L7808">
        <f>IF(AND($J7808=0,$K7808=0),0,1)</f>
        <v>1</v>
      </c>
      <c r="M7808" t="s">
        <v>146</v>
      </c>
    </row>
    <row r="7809" spans="1:13" x14ac:dyDescent="0.2">
      <c r="A7809" t="s">
        <v>142</v>
      </c>
      <c r="B7809" t="s">
        <v>133</v>
      </c>
      <c r="C7809" t="s">
        <v>2</v>
      </c>
      <c r="D7809">
        <v>1501</v>
      </c>
      <c r="E7809">
        <v>2019</v>
      </c>
      <c r="F7809">
        <v>6</v>
      </c>
      <c r="G7809">
        <v>7255</v>
      </c>
      <c r="H7809" s="1">
        <v>2</v>
      </c>
      <c r="I7809">
        <v>15</v>
      </c>
      <c r="J7809">
        <f>IF($H7809=0,1,IF($I7809&lt;=1,2,0))</f>
        <v>0</v>
      </c>
      <c r="K7809">
        <v>7</v>
      </c>
      <c r="L7809">
        <f>IF(AND($J7809=0,$K7809=0),0,1)</f>
        <v>1</v>
      </c>
      <c r="M7809" t="s">
        <v>146</v>
      </c>
    </row>
    <row r="7810" spans="1:13" x14ac:dyDescent="0.2">
      <c r="A7810" t="s">
        <v>142</v>
      </c>
      <c r="B7810" t="s">
        <v>133</v>
      </c>
      <c r="C7810" t="s">
        <v>2</v>
      </c>
      <c r="D7810">
        <v>1501</v>
      </c>
      <c r="E7810">
        <v>2019</v>
      </c>
      <c r="F7810">
        <v>7</v>
      </c>
      <c r="G7810">
        <v>7256</v>
      </c>
      <c r="H7810" s="1">
        <v>2</v>
      </c>
      <c r="I7810">
        <v>15</v>
      </c>
      <c r="J7810">
        <f>IF($H7810=0,1,IF($I7810&lt;=1,2,0))</f>
        <v>0</v>
      </c>
      <c r="K7810">
        <v>7</v>
      </c>
      <c r="L7810">
        <f>IF(AND($J7810=0,$K7810=0),0,1)</f>
        <v>1</v>
      </c>
      <c r="M7810" t="s">
        <v>146</v>
      </c>
    </row>
    <row r="7811" spans="1:13" x14ac:dyDescent="0.2">
      <c r="A7811" t="s">
        <v>142</v>
      </c>
      <c r="B7811" t="s">
        <v>133</v>
      </c>
      <c r="C7811" t="s">
        <v>2</v>
      </c>
      <c r="D7811">
        <v>1501</v>
      </c>
      <c r="E7811">
        <v>2019</v>
      </c>
      <c r="F7811">
        <v>8</v>
      </c>
      <c r="G7811">
        <v>7257</v>
      </c>
      <c r="H7811" s="1">
        <v>2</v>
      </c>
      <c r="I7811">
        <v>15</v>
      </c>
      <c r="J7811">
        <f>IF($H7811=0,1,IF($I7811&lt;=1,2,0))</f>
        <v>0</v>
      </c>
      <c r="K7811">
        <v>7</v>
      </c>
      <c r="L7811">
        <f>IF(AND($J7811=0,$K7811=0),0,1)</f>
        <v>1</v>
      </c>
      <c r="M7811" t="s">
        <v>146</v>
      </c>
    </row>
    <row r="7812" spans="1:13" x14ac:dyDescent="0.2">
      <c r="A7812" t="s">
        <v>142</v>
      </c>
      <c r="B7812" t="s">
        <v>133</v>
      </c>
      <c r="C7812" t="s">
        <v>2</v>
      </c>
      <c r="D7812">
        <v>1501</v>
      </c>
      <c r="E7812">
        <v>2019</v>
      </c>
      <c r="F7812">
        <v>9</v>
      </c>
      <c r="G7812">
        <v>7258</v>
      </c>
      <c r="H7812" s="1">
        <v>2</v>
      </c>
      <c r="I7812">
        <v>15</v>
      </c>
      <c r="J7812">
        <f>IF($H7812=0,1,IF($I7812&lt;=1,2,0))</f>
        <v>0</v>
      </c>
      <c r="K7812">
        <v>7</v>
      </c>
      <c r="L7812">
        <f>IF(AND($J7812=0,$K7812=0),0,1)</f>
        <v>1</v>
      </c>
      <c r="M7812" t="s">
        <v>146</v>
      </c>
    </row>
    <row r="7813" spans="1:13" x14ac:dyDescent="0.2">
      <c r="A7813" t="s">
        <v>142</v>
      </c>
      <c r="B7813" t="s">
        <v>133</v>
      </c>
      <c r="C7813" t="s">
        <v>2</v>
      </c>
      <c r="D7813">
        <v>1501</v>
      </c>
      <c r="E7813">
        <v>2019</v>
      </c>
      <c r="F7813">
        <v>3</v>
      </c>
      <c r="G7813">
        <v>7252</v>
      </c>
      <c r="H7813" s="1">
        <v>2</v>
      </c>
      <c r="I7813">
        <v>14</v>
      </c>
      <c r="J7813">
        <f>IF($H7813=0,1,IF($I7813&lt;=1,2,0))</f>
        <v>0</v>
      </c>
      <c r="K7813">
        <v>7</v>
      </c>
      <c r="L7813">
        <f>IF(AND($J7813=0,$K7813=0),0,1)</f>
        <v>1</v>
      </c>
      <c r="M7813" t="s">
        <v>146</v>
      </c>
    </row>
    <row r="7814" spans="1:13" x14ac:dyDescent="0.2">
      <c r="A7814" t="s">
        <v>142</v>
      </c>
      <c r="B7814" t="s">
        <v>133</v>
      </c>
      <c r="C7814" t="s">
        <v>2</v>
      </c>
      <c r="D7814">
        <v>1501</v>
      </c>
      <c r="E7814">
        <v>2019</v>
      </c>
      <c r="F7814">
        <v>12</v>
      </c>
      <c r="G7814">
        <v>7261</v>
      </c>
      <c r="H7814" s="1">
        <v>2</v>
      </c>
      <c r="I7814">
        <v>12</v>
      </c>
      <c r="J7814">
        <f>IF($H7814=0,1,IF($I7814&lt;=1,2,0))</f>
        <v>0</v>
      </c>
      <c r="K7814">
        <v>7</v>
      </c>
      <c r="L7814">
        <f>IF(AND($J7814=0,$K7814=0),0,1)</f>
        <v>1</v>
      </c>
      <c r="M7814" t="s">
        <v>146</v>
      </c>
    </row>
    <row r="7815" spans="1:13" x14ac:dyDescent="0.2">
      <c r="A7815" t="s">
        <v>142</v>
      </c>
      <c r="B7815" t="s">
        <v>133</v>
      </c>
      <c r="C7815" t="s">
        <v>2</v>
      </c>
      <c r="D7815">
        <v>1501</v>
      </c>
      <c r="E7815">
        <v>2019</v>
      </c>
      <c r="F7815">
        <v>13</v>
      </c>
      <c r="G7815">
        <v>7262</v>
      </c>
      <c r="H7815" s="1">
        <v>2</v>
      </c>
      <c r="I7815">
        <v>12</v>
      </c>
      <c r="J7815">
        <f>IF($H7815=0,1,IF($I7815&lt;=1,2,0))</f>
        <v>0</v>
      </c>
      <c r="K7815">
        <v>7</v>
      </c>
      <c r="L7815">
        <f>IF(AND($J7815=0,$K7815=0),0,1)</f>
        <v>1</v>
      </c>
      <c r="M7815" t="s">
        <v>146</v>
      </c>
    </row>
    <row r="7816" spans="1:13" x14ac:dyDescent="0.2">
      <c r="A7816" t="s">
        <v>142</v>
      </c>
      <c r="B7816" t="s">
        <v>133</v>
      </c>
      <c r="C7816" t="s">
        <v>2</v>
      </c>
      <c r="D7816">
        <v>1501</v>
      </c>
      <c r="E7816">
        <v>2019</v>
      </c>
      <c r="F7816">
        <v>10</v>
      </c>
      <c r="G7816">
        <v>7259</v>
      </c>
      <c r="H7816" s="1">
        <v>2</v>
      </c>
      <c r="I7816">
        <v>11</v>
      </c>
      <c r="J7816">
        <f>IF($H7816=0,1,IF($I7816&lt;=1,2,0))</f>
        <v>0</v>
      </c>
      <c r="K7816">
        <v>7</v>
      </c>
      <c r="L7816">
        <f>IF(AND($J7816=0,$K7816=0),0,1)</f>
        <v>1</v>
      </c>
      <c r="M7816" t="s">
        <v>146</v>
      </c>
    </row>
    <row r="7817" spans="1:13" x14ac:dyDescent="0.2">
      <c r="A7817" t="s">
        <v>142</v>
      </c>
      <c r="B7817" t="s">
        <v>133</v>
      </c>
      <c r="C7817" t="s">
        <v>2</v>
      </c>
      <c r="D7817">
        <v>1501</v>
      </c>
      <c r="E7817">
        <v>2019</v>
      </c>
      <c r="F7817">
        <v>11</v>
      </c>
      <c r="G7817">
        <v>7260</v>
      </c>
      <c r="H7817" s="1">
        <v>2</v>
      </c>
      <c r="I7817">
        <v>9</v>
      </c>
      <c r="J7817">
        <f>IF($H7817=0,1,IF($I7817&lt;=1,2,0))</f>
        <v>0</v>
      </c>
      <c r="K7817">
        <v>7</v>
      </c>
      <c r="L7817">
        <f>IF(AND($J7817=0,$K7817=0),0,1)</f>
        <v>1</v>
      </c>
      <c r="M7817" t="s">
        <v>146</v>
      </c>
    </row>
    <row r="7818" spans="1:13" x14ac:dyDescent="0.2">
      <c r="A7818" t="s">
        <v>142</v>
      </c>
      <c r="B7818" t="s">
        <v>133</v>
      </c>
      <c r="C7818" t="s">
        <v>2</v>
      </c>
      <c r="D7818">
        <v>1511</v>
      </c>
      <c r="E7818">
        <v>2019</v>
      </c>
      <c r="F7818">
        <v>1</v>
      </c>
      <c r="G7818">
        <v>7269</v>
      </c>
      <c r="H7818" s="1">
        <v>0</v>
      </c>
      <c r="I7818">
        <v>90</v>
      </c>
      <c r="J7818">
        <f>IF($H7818=0,1,IF($I7818&lt;=1,2,0))</f>
        <v>1</v>
      </c>
      <c r="K7818">
        <v>7</v>
      </c>
      <c r="L7818">
        <f>IF(AND($J7818=0,$K7818=0),0,1)</f>
        <v>1</v>
      </c>
      <c r="M7818" t="s">
        <v>147</v>
      </c>
    </row>
    <row r="7819" spans="1:13" x14ac:dyDescent="0.2">
      <c r="A7819" t="s">
        <v>142</v>
      </c>
      <c r="B7819" t="s">
        <v>133</v>
      </c>
      <c r="C7819" t="s">
        <v>2</v>
      </c>
      <c r="D7819">
        <v>1511</v>
      </c>
      <c r="E7819">
        <v>2019</v>
      </c>
      <c r="F7819">
        <v>2</v>
      </c>
      <c r="G7819">
        <v>7270</v>
      </c>
      <c r="H7819" s="1">
        <v>0</v>
      </c>
      <c r="I7819">
        <v>89</v>
      </c>
      <c r="J7819">
        <f>IF($H7819=0,1,IF($I7819&lt;=1,2,0))</f>
        <v>1</v>
      </c>
      <c r="K7819">
        <v>7</v>
      </c>
      <c r="L7819">
        <f>IF(AND($J7819=0,$K7819=0),0,1)</f>
        <v>1</v>
      </c>
      <c r="M7819" t="s">
        <v>147</v>
      </c>
    </row>
    <row r="7820" spans="1:13" x14ac:dyDescent="0.2">
      <c r="A7820" t="s">
        <v>142</v>
      </c>
      <c r="B7820" t="s">
        <v>133</v>
      </c>
      <c r="C7820" t="s">
        <v>2</v>
      </c>
      <c r="D7820">
        <v>1599</v>
      </c>
      <c r="E7820">
        <v>2019</v>
      </c>
      <c r="F7820">
        <v>1</v>
      </c>
      <c r="G7820">
        <v>7271</v>
      </c>
      <c r="H7820" s="1">
        <v>1</v>
      </c>
      <c r="I7820">
        <v>8</v>
      </c>
      <c r="J7820">
        <f>IF($H7820=0,1,IF($I7820&lt;=1,2,0))</f>
        <v>0</v>
      </c>
      <c r="K7820">
        <v>7</v>
      </c>
      <c r="L7820">
        <f>IF(AND($J7820=0,$K7820=0),0,1)</f>
        <v>1</v>
      </c>
      <c r="M7820" t="s">
        <v>148</v>
      </c>
    </row>
    <row r="7821" spans="1:13" x14ac:dyDescent="0.2">
      <c r="A7821" t="s">
        <v>142</v>
      </c>
      <c r="B7821" t="s">
        <v>133</v>
      </c>
      <c r="C7821" t="s">
        <v>7</v>
      </c>
      <c r="D7821">
        <v>2015</v>
      </c>
      <c r="E7821">
        <v>2019</v>
      </c>
      <c r="F7821">
        <v>14</v>
      </c>
      <c r="G7821">
        <v>52832</v>
      </c>
      <c r="H7821" s="1">
        <v>0</v>
      </c>
      <c r="I7821">
        <v>28</v>
      </c>
      <c r="J7821">
        <f>IF($H7821=0,1,IF($I7821&lt;=1,2,0))</f>
        <v>1</v>
      </c>
      <c r="K7821">
        <v>0</v>
      </c>
      <c r="L7821">
        <f>IF(AND($J7821=0,$K7821=0),0,1)</f>
        <v>1</v>
      </c>
    </row>
    <row r="7822" spans="1:13" x14ac:dyDescent="0.2">
      <c r="A7822" t="s">
        <v>142</v>
      </c>
      <c r="B7822" t="s">
        <v>133</v>
      </c>
      <c r="C7822" t="s">
        <v>7</v>
      </c>
      <c r="D7822">
        <v>2015</v>
      </c>
      <c r="E7822">
        <v>2019</v>
      </c>
      <c r="F7822">
        <v>5</v>
      </c>
      <c r="G7822">
        <v>52823</v>
      </c>
      <c r="H7822" s="1">
        <v>0</v>
      </c>
      <c r="I7822">
        <v>27</v>
      </c>
      <c r="J7822">
        <f>IF($H7822=0,1,IF($I7822&lt;=1,2,0))</f>
        <v>1</v>
      </c>
      <c r="K7822">
        <v>0</v>
      </c>
      <c r="L7822">
        <f>IF(AND($J7822=0,$K7822=0),0,1)</f>
        <v>1</v>
      </c>
    </row>
    <row r="7823" spans="1:13" x14ac:dyDescent="0.2">
      <c r="A7823" t="s">
        <v>142</v>
      </c>
      <c r="B7823" t="s">
        <v>133</v>
      </c>
      <c r="C7823" t="s">
        <v>7</v>
      </c>
      <c r="D7823">
        <v>2015</v>
      </c>
      <c r="E7823">
        <v>2019</v>
      </c>
      <c r="F7823">
        <v>11</v>
      </c>
      <c r="G7823">
        <v>52829</v>
      </c>
      <c r="H7823" s="1">
        <v>0</v>
      </c>
      <c r="I7823">
        <v>24</v>
      </c>
      <c r="J7823">
        <f>IF($H7823=0,1,IF($I7823&lt;=1,2,0))</f>
        <v>1</v>
      </c>
      <c r="K7823">
        <v>0</v>
      </c>
      <c r="L7823">
        <f>IF(AND($J7823=0,$K7823=0),0,1)</f>
        <v>1</v>
      </c>
    </row>
    <row r="7824" spans="1:13" x14ac:dyDescent="0.2">
      <c r="A7824" t="s">
        <v>142</v>
      </c>
      <c r="B7824" t="s">
        <v>133</v>
      </c>
      <c r="C7824" t="s">
        <v>7</v>
      </c>
      <c r="D7824">
        <v>2015</v>
      </c>
      <c r="E7824">
        <v>2019</v>
      </c>
      <c r="F7824">
        <v>3</v>
      </c>
      <c r="G7824">
        <v>52821</v>
      </c>
      <c r="H7824" s="1">
        <v>0</v>
      </c>
      <c r="I7824">
        <v>19</v>
      </c>
      <c r="J7824">
        <f>IF($H7824=0,1,IF($I7824&lt;=1,2,0))</f>
        <v>1</v>
      </c>
      <c r="K7824">
        <v>0</v>
      </c>
      <c r="L7824">
        <f>IF(AND($J7824=0,$K7824=0),0,1)</f>
        <v>1</v>
      </c>
    </row>
    <row r="7825" spans="1:13" x14ac:dyDescent="0.2">
      <c r="A7825" t="s">
        <v>142</v>
      </c>
      <c r="B7825" t="s">
        <v>133</v>
      </c>
      <c r="C7825" t="s">
        <v>7</v>
      </c>
      <c r="D7825">
        <v>2015</v>
      </c>
      <c r="E7825">
        <v>2019</v>
      </c>
      <c r="F7825">
        <v>7</v>
      </c>
      <c r="G7825">
        <v>52825</v>
      </c>
      <c r="H7825" s="1">
        <v>0</v>
      </c>
      <c r="I7825">
        <v>19</v>
      </c>
      <c r="J7825">
        <f>IF($H7825=0,1,IF($I7825&lt;=1,2,0))</f>
        <v>1</v>
      </c>
      <c r="K7825">
        <v>0</v>
      </c>
      <c r="L7825">
        <f>IF(AND($J7825=0,$K7825=0),0,1)</f>
        <v>1</v>
      </c>
    </row>
    <row r="7826" spans="1:13" x14ac:dyDescent="0.2">
      <c r="A7826" t="s">
        <v>142</v>
      </c>
      <c r="B7826" t="s">
        <v>133</v>
      </c>
      <c r="C7826" t="s">
        <v>7</v>
      </c>
      <c r="D7826">
        <v>2015</v>
      </c>
      <c r="E7826">
        <v>2019</v>
      </c>
      <c r="F7826">
        <v>12</v>
      </c>
      <c r="G7826">
        <v>52830</v>
      </c>
      <c r="H7826" s="1">
        <v>0</v>
      </c>
      <c r="I7826">
        <v>19</v>
      </c>
      <c r="J7826">
        <f>IF($H7826=0,1,IF($I7826&lt;=1,2,0))</f>
        <v>1</v>
      </c>
      <c r="K7826">
        <v>0</v>
      </c>
      <c r="L7826">
        <f>IF(AND($J7826=0,$K7826=0),0,1)</f>
        <v>1</v>
      </c>
    </row>
    <row r="7827" spans="1:13" x14ac:dyDescent="0.2">
      <c r="A7827" t="s">
        <v>142</v>
      </c>
      <c r="B7827" t="s">
        <v>133</v>
      </c>
      <c r="C7827" t="s">
        <v>7</v>
      </c>
      <c r="D7827">
        <v>2015</v>
      </c>
      <c r="E7827">
        <v>2019</v>
      </c>
      <c r="F7827">
        <v>1</v>
      </c>
      <c r="G7827">
        <v>52819</v>
      </c>
      <c r="H7827" s="1">
        <v>0</v>
      </c>
      <c r="I7827">
        <v>18</v>
      </c>
      <c r="J7827">
        <f>IF($H7827=0,1,IF($I7827&lt;=1,2,0))</f>
        <v>1</v>
      </c>
      <c r="K7827">
        <v>0</v>
      </c>
      <c r="L7827">
        <f>IF(AND($J7827=0,$K7827=0),0,1)</f>
        <v>1</v>
      </c>
      <c r="M7827" t="s">
        <v>151</v>
      </c>
    </row>
    <row r="7828" spans="1:13" x14ac:dyDescent="0.2">
      <c r="A7828" t="s">
        <v>142</v>
      </c>
      <c r="B7828" t="s">
        <v>133</v>
      </c>
      <c r="C7828" t="s">
        <v>7</v>
      </c>
      <c r="D7828">
        <v>2015</v>
      </c>
      <c r="E7828">
        <v>2019</v>
      </c>
      <c r="F7828">
        <v>9</v>
      </c>
      <c r="G7828">
        <v>52827</v>
      </c>
      <c r="H7828" s="1">
        <v>0</v>
      </c>
      <c r="I7828">
        <v>18</v>
      </c>
      <c r="J7828">
        <f>IF($H7828=0,1,IF($I7828&lt;=1,2,0))</f>
        <v>1</v>
      </c>
      <c r="K7828">
        <v>0</v>
      </c>
      <c r="L7828">
        <f>IF(AND($J7828=0,$K7828=0),0,1)</f>
        <v>1</v>
      </c>
    </row>
    <row r="7829" spans="1:13" x14ac:dyDescent="0.2">
      <c r="A7829" t="s">
        <v>142</v>
      </c>
      <c r="B7829" t="s">
        <v>133</v>
      </c>
      <c r="C7829" t="s">
        <v>7</v>
      </c>
      <c r="D7829">
        <v>2015</v>
      </c>
      <c r="E7829">
        <v>2019</v>
      </c>
      <c r="F7829">
        <v>4</v>
      </c>
      <c r="G7829">
        <v>52822</v>
      </c>
      <c r="H7829" s="1">
        <v>0</v>
      </c>
      <c r="I7829">
        <v>17</v>
      </c>
      <c r="J7829">
        <f>IF($H7829=0,1,IF($I7829&lt;=1,2,0))</f>
        <v>1</v>
      </c>
      <c r="K7829">
        <v>0</v>
      </c>
      <c r="L7829">
        <f>IF(AND($J7829=0,$K7829=0),0,1)</f>
        <v>1</v>
      </c>
    </row>
    <row r="7830" spans="1:13" x14ac:dyDescent="0.2">
      <c r="A7830" t="s">
        <v>142</v>
      </c>
      <c r="B7830" t="s">
        <v>133</v>
      </c>
      <c r="C7830" t="s">
        <v>7</v>
      </c>
      <c r="D7830">
        <v>2015</v>
      </c>
      <c r="E7830">
        <v>2019</v>
      </c>
      <c r="F7830">
        <v>10</v>
      </c>
      <c r="G7830">
        <v>52828</v>
      </c>
      <c r="H7830" s="1">
        <v>0</v>
      </c>
      <c r="I7830">
        <v>15</v>
      </c>
      <c r="J7830">
        <f>IF($H7830=0,1,IF($I7830&lt;=1,2,0))</f>
        <v>1</v>
      </c>
      <c r="K7830">
        <v>0</v>
      </c>
      <c r="L7830">
        <f>IF(AND($J7830=0,$K7830=0),0,1)</f>
        <v>1</v>
      </c>
    </row>
    <row r="7831" spans="1:13" x14ac:dyDescent="0.2">
      <c r="A7831" t="s">
        <v>142</v>
      </c>
      <c r="B7831" t="s">
        <v>133</v>
      </c>
      <c r="C7831" t="s">
        <v>7</v>
      </c>
      <c r="D7831">
        <v>2015</v>
      </c>
      <c r="E7831">
        <v>2019</v>
      </c>
      <c r="F7831">
        <v>13</v>
      </c>
      <c r="G7831">
        <v>52831</v>
      </c>
      <c r="H7831" s="1">
        <v>0</v>
      </c>
      <c r="I7831">
        <v>14</v>
      </c>
      <c r="J7831">
        <f>IF($H7831=0,1,IF($I7831&lt;=1,2,0))</f>
        <v>1</v>
      </c>
      <c r="K7831">
        <v>0</v>
      </c>
      <c r="L7831">
        <f>IF(AND($J7831=0,$K7831=0),0,1)</f>
        <v>1</v>
      </c>
    </row>
    <row r="7832" spans="1:13" x14ac:dyDescent="0.2">
      <c r="A7832" t="s">
        <v>142</v>
      </c>
      <c r="B7832" t="s">
        <v>133</v>
      </c>
      <c r="C7832" t="s">
        <v>7</v>
      </c>
      <c r="D7832">
        <v>2015</v>
      </c>
      <c r="E7832">
        <v>2019</v>
      </c>
      <c r="F7832">
        <v>2</v>
      </c>
      <c r="G7832">
        <v>52820</v>
      </c>
      <c r="H7832" s="1">
        <v>0</v>
      </c>
      <c r="I7832">
        <v>12</v>
      </c>
      <c r="J7832">
        <f>IF($H7832=0,1,IF($I7832&lt;=1,2,0))</f>
        <v>1</v>
      </c>
      <c r="K7832">
        <v>0</v>
      </c>
      <c r="L7832">
        <f>IF(AND($J7832=0,$K7832=0),0,1)</f>
        <v>1</v>
      </c>
      <c r="M7832" t="s">
        <v>151</v>
      </c>
    </row>
    <row r="7833" spans="1:13" x14ac:dyDescent="0.2">
      <c r="A7833" t="s">
        <v>142</v>
      </c>
      <c r="B7833" t="s">
        <v>133</v>
      </c>
      <c r="C7833" t="s">
        <v>7</v>
      </c>
      <c r="D7833">
        <v>2015</v>
      </c>
      <c r="E7833">
        <v>2019</v>
      </c>
      <c r="F7833">
        <v>6</v>
      </c>
      <c r="G7833">
        <v>52824</v>
      </c>
      <c r="H7833" s="1">
        <v>0</v>
      </c>
      <c r="I7833">
        <v>12</v>
      </c>
      <c r="J7833">
        <f>IF($H7833=0,1,IF($I7833&lt;=1,2,0))</f>
        <v>1</v>
      </c>
      <c r="K7833">
        <v>0</v>
      </c>
      <c r="L7833">
        <f>IF(AND($J7833=0,$K7833=0),0,1)</f>
        <v>1</v>
      </c>
    </row>
    <row r="7834" spans="1:13" x14ac:dyDescent="0.2">
      <c r="A7834" t="s">
        <v>142</v>
      </c>
      <c r="B7834" t="s">
        <v>133</v>
      </c>
      <c r="C7834" t="s">
        <v>7</v>
      </c>
      <c r="D7834">
        <v>2015</v>
      </c>
      <c r="E7834">
        <v>2019</v>
      </c>
      <c r="F7834">
        <v>8</v>
      </c>
      <c r="G7834">
        <v>52826</v>
      </c>
      <c r="H7834" s="1">
        <v>0</v>
      </c>
      <c r="I7834">
        <v>6</v>
      </c>
      <c r="J7834">
        <f>IF($H7834=0,1,IF($I7834&lt;=1,2,0))</f>
        <v>1</v>
      </c>
      <c r="K7834">
        <v>0</v>
      </c>
      <c r="L7834">
        <f>IF(AND($J7834=0,$K7834=0),0,1)</f>
        <v>1</v>
      </c>
    </row>
    <row r="7835" spans="1:13" x14ac:dyDescent="0.2">
      <c r="A7835" t="s">
        <v>142</v>
      </c>
      <c r="B7835" t="s">
        <v>133</v>
      </c>
      <c r="C7835" t="s">
        <v>2</v>
      </c>
      <c r="D7835">
        <v>2100</v>
      </c>
      <c r="E7835">
        <v>2019</v>
      </c>
      <c r="F7835">
        <v>1</v>
      </c>
      <c r="G7835">
        <v>7286</v>
      </c>
      <c r="H7835" s="1">
        <v>3</v>
      </c>
      <c r="I7835">
        <v>57</v>
      </c>
      <c r="J7835">
        <f>IF($H7835=0,1,IF($I7835&lt;=1,2,0))</f>
        <v>0</v>
      </c>
      <c r="K7835">
        <v>7</v>
      </c>
      <c r="L7835">
        <f>IF(AND($J7835=0,$K7835=0),0,1)</f>
        <v>1</v>
      </c>
      <c r="M7835" t="s">
        <v>1895</v>
      </c>
    </row>
    <row r="7836" spans="1:13" x14ac:dyDescent="0.2">
      <c r="A7836" t="s">
        <v>142</v>
      </c>
      <c r="B7836" t="s">
        <v>133</v>
      </c>
      <c r="C7836" t="s">
        <v>2</v>
      </c>
      <c r="D7836">
        <v>2240</v>
      </c>
      <c r="E7836">
        <v>2019</v>
      </c>
      <c r="F7836">
        <v>1</v>
      </c>
      <c r="G7836">
        <v>7296</v>
      </c>
      <c r="H7836" s="1">
        <v>3</v>
      </c>
      <c r="I7836">
        <v>7</v>
      </c>
      <c r="J7836">
        <f>IF($H7836=0,1,IF($I7836&lt;=1,2,0))</f>
        <v>0</v>
      </c>
      <c r="K7836">
        <v>7</v>
      </c>
      <c r="L7836">
        <f>IF(AND($J7836=0,$K7836=0),0,1)</f>
        <v>1</v>
      </c>
      <c r="M7836" t="s">
        <v>1895</v>
      </c>
    </row>
    <row r="7837" spans="1:13" x14ac:dyDescent="0.2">
      <c r="A7837" t="s">
        <v>142</v>
      </c>
      <c r="B7837" t="s">
        <v>133</v>
      </c>
      <c r="C7837" t="s">
        <v>2</v>
      </c>
      <c r="D7837">
        <v>2281</v>
      </c>
      <c r="E7837">
        <v>2019</v>
      </c>
      <c r="F7837">
        <v>1</v>
      </c>
      <c r="G7837">
        <v>7266</v>
      </c>
      <c r="H7837" s="1">
        <v>3</v>
      </c>
      <c r="I7837">
        <v>5</v>
      </c>
      <c r="J7837">
        <f>IF($H7837=0,1,IF($I7837&lt;=1,2,0))</f>
        <v>0</v>
      </c>
      <c r="K7837">
        <v>7</v>
      </c>
      <c r="L7837">
        <f>IF(AND($J7837=0,$K7837=0),0,1)</f>
        <v>1</v>
      </c>
      <c r="M7837" t="s">
        <v>152</v>
      </c>
    </row>
    <row r="7838" spans="1:13" x14ac:dyDescent="0.2">
      <c r="A7838" t="s">
        <v>142</v>
      </c>
      <c r="B7838" t="s">
        <v>133</v>
      </c>
      <c r="C7838" t="s">
        <v>9</v>
      </c>
      <c r="D7838">
        <v>2501</v>
      </c>
      <c r="E7838">
        <v>2019</v>
      </c>
      <c r="F7838">
        <v>4</v>
      </c>
      <c r="G7838">
        <v>52805</v>
      </c>
      <c r="H7838" s="1">
        <v>3</v>
      </c>
      <c r="I7838">
        <v>30</v>
      </c>
      <c r="J7838">
        <f>IF($H7838=0,1,IF($I7838&lt;=1,2,0))</f>
        <v>0</v>
      </c>
      <c r="K7838">
        <v>8</v>
      </c>
      <c r="L7838">
        <f>IF(AND($J7838=0,$K7838=0),0,1)</f>
        <v>1</v>
      </c>
    </row>
    <row r="7839" spans="1:13" x14ac:dyDescent="0.2">
      <c r="A7839" t="s">
        <v>142</v>
      </c>
      <c r="B7839" t="s">
        <v>133</v>
      </c>
      <c r="C7839" t="s">
        <v>9</v>
      </c>
      <c r="D7839">
        <v>2501</v>
      </c>
      <c r="E7839">
        <v>2019</v>
      </c>
      <c r="F7839">
        <v>2</v>
      </c>
      <c r="G7839">
        <v>52803</v>
      </c>
      <c r="H7839" s="1">
        <v>3</v>
      </c>
      <c r="I7839">
        <v>28</v>
      </c>
      <c r="J7839">
        <f>IF($H7839=0,1,IF($I7839&lt;=1,2,0))</f>
        <v>0</v>
      </c>
      <c r="K7839">
        <v>8</v>
      </c>
      <c r="L7839">
        <f>IF(AND($J7839=0,$K7839=0),0,1)</f>
        <v>1</v>
      </c>
    </row>
    <row r="7840" spans="1:13" x14ac:dyDescent="0.2">
      <c r="A7840" t="s">
        <v>142</v>
      </c>
      <c r="B7840" t="s">
        <v>133</v>
      </c>
      <c r="C7840" t="s">
        <v>9</v>
      </c>
      <c r="D7840">
        <v>2501</v>
      </c>
      <c r="E7840">
        <v>2019</v>
      </c>
      <c r="F7840">
        <v>3</v>
      </c>
      <c r="G7840">
        <v>52804</v>
      </c>
      <c r="H7840" s="1">
        <v>3</v>
      </c>
      <c r="I7840">
        <v>27</v>
      </c>
      <c r="J7840">
        <f>IF($H7840=0,1,IF($I7840&lt;=1,2,0))</f>
        <v>0</v>
      </c>
      <c r="K7840">
        <v>8</v>
      </c>
      <c r="L7840">
        <f>IF(AND($J7840=0,$K7840=0),0,1)</f>
        <v>1</v>
      </c>
    </row>
    <row r="7841" spans="1:13" x14ac:dyDescent="0.2">
      <c r="A7841" t="s">
        <v>142</v>
      </c>
      <c r="B7841" t="s">
        <v>133</v>
      </c>
      <c r="C7841" t="s">
        <v>9</v>
      </c>
      <c r="D7841">
        <v>2501</v>
      </c>
      <c r="E7841">
        <v>2019</v>
      </c>
      <c r="F7841">
        <v>5</v>
      </c>
      <c r="G7841">
        <v>52806</v>
      </c>
      <c r="H7841" s="1">
        <v>3</v>
      </c>
      <c r="I7841">
        <v>23</v>
      </c>
      <c r="J7841">
        <f>IF($H7841=0,1,IF($I7841&lt;=1,2,0))</f>
        <v>0</v>
      </c>
      <c r="K7841">
        <v>8</v>
      </c>
      <c r="L7841">
        <f>IF(AND($J7841=0,$K7841=0),0,1)</f>
        <v>1</v>
      </c>
    </row>
    <row r="7842" spans="1:13" x14ac:dyDescent="0.2">
      <c r="A7842" t="s">
        <v>142</v>
      </c>
      <c r="B7842" t="s">
        <v>133</v>
      </c>
      <c r="C7842" t="s">
        <v>9</v>
      </c>
      <c r="D7842">
        <v>2501</v>
      </c>
      <c r="E7842">
        <v>2019</v>
      </c>
      <c r="F7842">
        <v>6</v>
      </c>
      <c r="G7842">
        <v>52807</v>
      </c>
      <c r="H7842" s="1">
        <v>3</v>
      </c>
      <c r="I7842">
        <v>21</v>
      </c>
      <c r="J7842">
        <f>IF($H7842=0,1,IF($I7842&lt;=1,2,0))</f>
        <v>0</v>
      </c>
      <c r="K7842">
        <v>8</v>
      </c>
      <c r="L7842">
        <f>IF(AND($J7842=0,$K7842=0),0,1)</f>
        <v>1</v>
      </c>
    </row>
    <row r="7843" spans="1:13" x14ac:dyDescent="0.2">
      <c r="A7843" t="s">
        <v>142</v>
      </c>
      <c r="B7843" t="s">
        <v>133</v>
      </c>
      <c r="C7843" t="s">
        <v>9</v>
      </c>
      <c r="D7843">
        <v>2501</v>
      </c>
      <c r="E7843">
        <v>2019</v>
      </c>
      <c r="F7843">
        <v>1</v>
      </c>
      <c r="G7843">
        <v>52802</v>
      </c>
      <c r="H7843" s="1">
        <v>3</v>
      </c>
      <c r="I7843">
        <v>19</v>
      </c>
      <c r="J7843">
        <f>IF($H7843=0,1,IF($I7843&lt;=1,2,0))</f>
        <v>0</v>
      </c>
      <c r="K7843">
        <v>8</v>
      </c>
      <c r="L7843">
        <f>IF(AND($J7843=0,$K7843=0),0,1)</f>
        <v>1</v>
      </c>
    </row>
    <row r="7844" spans="1:13" x14ac:dyDescent="0.2">
      <c r="A7844" t="s">
        <v>142</v>
      </c>
      <c r="B7844" t="s">
        <v>133</v>
      </c>
      <c r="C7844" t="s">
        <v>2</v>
      </c>
      <c r="D7844">
        <v>2801</v>
      </c>
      <c r="E7844">
        <v>2019</v>
      </c>
      <c r="F7844">
        <v>1</v>
      </c>
      <c r="G7844">
        <v>7267</v>
      </c>
      <c r="H7844" s="1">
        <v>3</v>
      </c>
      <c r="I7844">
        <v>12</v>
      </c>
      <c r="J7844">
        <f>IF($H7844=0,1,IF($I7844&lt;=1,2,0))</f>
        <v>0</v>
      </c>
      <c r="K7844">
        <v>7</v>
      </c>
      <c r="L7844">
        <f>IF(AND($J7844=0,$K7844=0),0,1)</f>
        <v>1</v>
      </c>
      <c r="M7844" t="s">
        <v>155</v>
      </c>
    </row>
    <row r="7845" spans="1:13" x14ac:dyDescent="0.2">
      <c r="A7845" t="s">
        <v>142</v>
      </c>
      <c r="B7845" t="s">
        <v>133</v>
      </c>
      <c r="C7845" t="s">
        <v>2</v>
      </c>
      <c r="D7845">
        <v>3310</v>
      </c>
      <c r="E7845">
        <v>2019</v>
      </c>
      <c r="F7845">
        <v>1</v>
      </c>
      <c r="G7845">
        <v>7297</v>
      </c>
      <c r="H7845" s="1">
        <v>3</v>
      </c>
      <c r="I7845">
        <v>35</v>
      </c>
      <c r="J7845">
        <f>IF($H7845=0,1,IF($I7845&lt;=1,2,0))</f>
        <v>0</v>
      </c>
      <c r="K7845">
        <v>7</v>
      </c>
      <c r="L7845">
        <f>IF(AND($J7845=0,$K7845=0),0,1)</f>
        <v>1</v>
      </c>
      <c r="M7845" t="s">
        <v>1897</v>
      </c>
    </row>
    <row r="7846" spans="1:13" x14ac:dyDescent="0.2">
      <c r="A7846" t="s">
        <v>142</v>
      </c>
      <c r="B7846" t="s">
        <v>133</v>
      </c>
      <c r="C7846" t="s">
        <v>2</v>
      </c>
      <c r="D7846">
        <v>3311</v>
      </c>
      <c r="E7846">
        <v>2019</v>
      </c>
      <c r="F7846">
        <v>1</v>
      </c>
      <c r="G7846">
        <v>7294</v>
      </c>
      <c r="H7846" s="1">
        <v>3</v>
      </c>
      <c r="I7846">
        <v>12</v>
      </c>
      <c r="J7846">
        <f>IF($H7846=0,1,IF($I7846&lt;=1,2,0))</f>
        <v>0</v>
      </c>
      <c r="K7846">
        <v>7</v>
      </c>
      <c r="L7846">
        <f>IF(AND($J7846=0,$K7846=0),0,1)</f>
        <v>1</v>
      </c>
      <c r="M7846" t="s">
        <v>158</v>
      </c>
    </row>
    <row r="7847" spans="1:13" x14ac:dyDescent="0.2">
      <c r="A7847" t="s">
        <v>142</v>
      </c>
      <c r="B7847" t="s">
        <v>133</v>
      </c>
      <c r="C7847" t="s">
        <v>2</v>
      </c>
      <c r="D7847">
        <v>3320</v>
      </c>
      <c r="E7847">
        <v>2019</v>
      </c>
      <c r="F7847">
        <v>1</v>
      </c>
      <c r="G7847">
        <v>7274</v>
      </c>
      <c r="H7847" s="1">
        <v>3</v>
      </c>
      <c r="I7847">
        <v>21</v>
      </c>
      <c r="J7847">
        <f>IF($H7847=0,1,IF($I7847&lt;=1,2,0))</f>
        <v>0</v>
      </c>
      <c r="K7847">
        <v>7</v>
      </c>
      <c r="L7847">
        <f>IF(AND($J7847=0,$K7847=0),0,1)</f>
        <v>1</v>
      </c>
      <c r="M7847" t="s">
        <v>1897</v>
      </c>
    </row>
    <row r="7848" spans="1:13" x14ac:dyDescent="0.2">
      <c r="A7848" t="s">
        <v>142</v>
      </c>
      <c r="B7848" t="s">
        <v>133</v>
      </c>
      <c r="C7848" t="s">
        <v>2</v>
      </c>
      <c r="D7848">
        <v>3352</v>
      </c>
      <c r="E7848">
        <v>2019</v>
      </c>
      <c r="F7848">
        <v>1</v>
      </c>
      <c r="G7848">
        <v>7298</v>
      </c>
      <c r="H7848" s="1">
        <v>3</v>
      </c>
      <c r="I7848">
        <v>8</v>
      </c>
      <c r="J7848">
        <f>IF($H7848=0,1,IF($I7848&lt;=1,2,0))</f>
        <v>0</v>
      </c>
      <c r="K7848">
        <v>7</v>
      </c>
      <c r="L7848">
        <f>IF(AND($J7848=0,$K7848=0),0,1)</f>
        <v>1</v>
      </c>
      <c r="M7848" t="s">
        <v>1897</v>
      </c>
    </row>
    <row r="7849" spans="1:13" x14ac:dyDescent="0.2">
      <c r="A7849" t="s">
        <v>142</v>
      </c>
      <c r="B7849" t="s">
        <v>133</v>
      </c>
      <c r="C7849" t="s">
        <v>2</v>
      </c>
      <c r="D7849">
        <v>3362</v>
      </c>
      <c r="E7849">
        <v>2019</v>
      </c>
      <c r="F7849">
        <v>1</v>
      </c>
      <c r="G7849">
        <v>7275</v>
      </c>
      <c r="H7849" s="1">
        <v>3</v>
      </c>
      <c r="I7849">
        <v>51</v>
      </c>
      <c r="J7849">
        <f>IF($H7849=0,1,IF($I7849&lt;=1,2,0))</f>
        <v>0</v>
      </c>
      <c r="K7849">
        <v>7</v>
      </c>
      <c r="L7849">
        <f>IF(AND($J7849=0,$K7849=0),0,1)</f>
        <v>1</v>
      </c>
      <c r="M7849" t="s">
        <v>1898</v>
      </c>
    </row>
    <row r="7850" spans="1:13" x14ac:dyDescent="0.2">
      <c r="A7850" t="s">
        <v>142</v>
      </c>
      <c r="B7850" t="s">
        <v>133</v>
      </c>
      <c r="C7850" t="s">
        <v>2</v>
      </c>
      <c r="D7850">
        <v>3363</v>
      </c>
      <c r="E7850">
        <v>2019</v>
      </c>
      <c r="F7850">
        <v>1</v>
      </c>
      <c r="G7850">
        <v>7299</v>
      </c>
      <c r="H7850" s="1">
        <v>3</v>
      </c>
      <c r="I7850">
        <v>13</v>
      </c>
      <c r="J7850">
        <f>IF($H7850=0,1,IF($I7850&lt;=1,2,0))</f>
        <v>0</v>
      </c>
      <c r="K7850">
        <v>7</v>
      </c>
      <c r="L7850">
        <f>IF(AND($J7850=0,$K7850=0),0,1)</f>
        <v>1</v>
      </c>
      <c r="M7850" t="s">
        <v>159</v>
      </c>
    </row>
    <row r="7851" spans="1:13" x14ac:dyDescent="0.2">
      <c r="A7851" t="s">
        <v>142</v>
      </c>
      <c r="B7851" t="s">
        <v>133</v>
      </c>
      <c r="C7851" t="s">
        <v>9</v>
      </c>
      <c r="D7851">
        <v>3510</v>
      </c>
      <c r="E7851">
        <v>2019</v>
      </c>
      <c r="F7851">
        <v>1</v>
      </c>
      <c r="G7851">
        <v>52809</v>
      </c>
      <c r="H7851" s="1">
        <v>0</v>
      </c>
      <c r="I7851">
        <v>31</v>
      </c>
      <c r="J7851">
        <f>IF($H7851=0,1,IF($I7851&lt;=1,2,0))</f>
        <v>1</v>
      </c>
      <c r="K7851">
        <v>0</v>
      </c>
      <c r="L7851">
        <f>IF(AND($J7851=0,$K7851=0),0,1)</f>
        <v>1</v>
      </c>
      <c r="M7851" t="s">
        <v>160</v>
      </c>
    </row>
    <row r="7852" spans="1:13" x14ac:dyDescent="0.2">
      <c r="A7852" t="s">
        <v>142</v>
      </c>
      <c r="B7852" t="s">
        <v>133</v>
      </c>
      <c r="C7852" t="s">
        <v>9</v>
      </c>
      <c r="D7852">
        <v>3510</v>
      </c>
      <c r="E7852">
        <v>2019</v>
      </c>
      <c r="F7852">
        <v>2</v>
      </c>
      <c r="G7852">
        <v>52810</v>
      </c>
      <c r="H7852" s="1">
        <v>0</v>
      </c>
      <c r="I7852">
        <v>21</v>
      </c>
      <c r="J7852">
        <f>IF($H7852=0,1,IF($I7852&lt;=1,2,0))</f>
        <v>1</v>
      </c>
      <c r="K7852">
        <v>0</v>
      </c>
      <c r="L7852">
        <f>IF(AND($J7852=0,$K7852=0),0,1)</f>
        <v>1</v>
      </c>
    </row>
    <row r="7853" spans="1:13" x14ac:dyDescent="0.2">
      <c r="A7853" t="s">
        <v>142</v>
      </c>
      <c r="B7853" t="s">
        <v>133</v>
      </c>
      <c r="C7853" t="s">
        <v>2</v>
      </c>
      <c r="D7853">
        <v>3590</v>
      </c>
      <c r="E7853">
        <v>2019</v>
      </c>
      <c r="F7853">
        <v>1</v>
      </c>
      <c r="G7853">
        <v>7264</v>
      </c>
      <c r="H7853" s="1">
        <v>4</v>
      </c>
      <c r="I7853">
        <v>11</v>
      </c>
      <c r="J7853">
        <f>IF($H7853=0,1,IF($I7853&lt;=1,2,0))</f>
        <v>0</v>
      </c>
      <c r="K7853">
        <v>7</v>
      </c>
      <c r="L7853">
        <f>IF(AND($J7853=0,$K7853=0),0,1)</f>
        <v>1</v>
      </c>
      <c r="M7853" t="s">
        <v>162</v>
      </c>
    </row>
    <row r="7854" spans="1:13" x14ac:dyDescent="0.2">
      <c r="A7854" t="s">
        <v>142</v>
      </c>
      <c r="B7854" t="s">
        <v>133</v>
      </c>
      <c r="C7854" t="s">
        <v>2</v>
      </c>
      <c r="D7854">
        <v>3591</v>
      </c>
      <c r="E7854">
        <v>2019</v>
      </c>
      <c r="F7854">
        <v>1</v>
      </c>
      <c r="G7854">
        <v>7287</v>
      </c>
      <c r="H7854" s="1">
        <v>4</v>
      </c>
      <c r="I7854">
        <v>9</v>
      </c>
      <c r="J7854">
        <f>IF($H7854=0,1,IF($I7854&lt;=1,2,0))</f>
        <v>0</v>
      </c>
      <c r="K7854">
        <v>7</v>
      </c>
      <c r="L7854">
        <f>IF(AND($J7854=0,$K7854=0),0,1)</f>
        <v>1</v>
      </c>
      <c r="M7854" t="s">
        <v>163</v>
      </c>
    </row>
    <row r="7855" spans="1:13" x14ac:dyDescent="0.2">
      <c r="A7855" t="s">
        <v>142</v>
      </c>
      <c r="B7855" t="s">
        <v>133</v>
      </c>
      <c r="C7855" t="s">
        <v>2</v>
      </c>
      <c r="D7855">
        <v>3593</v>
      </c>
      <c r="E7855">
        <v>2019</v>
      </c>
      <c r="F7855">
        <v>2</v>
      </c>
      <c r="G7855">
        <v>7300</v>
      </c>
      <c r="H7855" s="1">
        <v>4</v>
      </c>
      <c r="I7855">
        <v>6</v>
      </c>
      <c r="J7855">
        <f>IF($H7855=0,1,IF($I7855&lt;=1,2,0))</f>
        <v>0</v>
      </c>
      <c r="K7855">
        <v>7</v>
      </c>
      <c r="L7855">
        <f>IF(AND($J7855=0,$K7855=0),0,1)</f>
        <v>1</v>
      </c>
      <c r="M7855" t="s">
        <v>164</v>
      </c>
    </row>
    <row r="7856" spans="1:13" x14ac:dyDescent="0.2">
      <c r="A7856" t="s">
        <v>142</v>
      </c>
      <c r="B7856" t="s">
        <v>133</v>
      </c>
      <c r="C7856" t="s">
        <v>2</v>
      </c>
      <c r="D7856">
        <v>3593</v>
      </c>
      <c r="E7856">
        <v>2019</v>
      </c>
      <c r="F7856">
        <v>1</v>
      </c>
      <c r="G7856">
        <v>7265</v>
      </c>
      <c r="H7856" s="1">
        <v>4</v>
      </c>
      <c r="I7856">
        <v>5</v>
      </c>
      <c r="J7856">
        <f>IF($H7856=0,1,IF($I7856&lt;=1,2,0))</f>
        <v>0</v>
      </c>
      <c r="K7856">
        <v>7</v>
      </c>
      <c r="L7856">
        <f>IF(AND($J7856=0,$K7856=0),0,1)</f>
        <v>1</v>
      </c>
      <c r="M7856" t="s">
        <v>164</v>
      </c>
    </row>
    <row r="7857" spans="1:13" x14ac:dyDescent="0.2">
      <c r="A7857" t="s">
        <v>142</v>
      </c>
      <c r="B7857" t="s">
        <v>133</v>
      </c>
      <c r="C7857" t="s">
        <v>2</v>
      </c>
      <c r="D7857">
        <v>3597</v>
      </c>
      <c r="E7857">
        <v>2019</v>
      </c>
      <c r="F7857">
        <v>3</v>
      </c>
      <c r="G7857">
        <v>7278</v>
      </c>
      <c r="H7857" s="1" t="s">
        <v>1823</v>
      </c>
      <c r="I7857">
        <v>12</v>
      </c>
      <c r="J7857">
        <f>IF($H7857=0,1,IF($I7857&lt;=1,2,0))</f>
        <v>0</v>
      </c>
      <c r="K7857">
        <v>7</v>
      </c>
      <c r="L7857">
        <f>IF(AND($J7857=0,$K7857=0),0,1)</f>
        <v>1</v>
      </c>
      <c r="M7857" t="s">
        <v>165</v>
      </c>
    </row>
    <row r="7858" spans="1:13" x14ac:dyDescent="0.2">
      <c r="A7858" t="s">
        <v>142</v>
      </c>
      <c r="B7858" t="s">
        <v>133</v>
      </c>
      <c r="C7858" t="s">
        <v>2</v>
      </c>
      <c r="D7858">
        <v>3597</v>
      </c>
      <c r="E7858">
        <v>2019</v>
      </c>
      <c r="F7858">
        <v>1</v>
      </c>
      <c r="G7858">
        <v>7276</v>
      </c>
      <c r="H7858" s="1" t="s">
        <v>1823</v>
      </c>
      <c r="I7858">
        <v>8</v>
      </c>
      <c r="J7858">
        <f>IF($H7858=0,1,IF($I7858&lt;=1,2,0))</f>
        <v>0</v>
      </c>
      <c r="K7858">
        <v>7</v>
      </c>
      <c r="L7858">
        <f>IF(AND($J7858=0,$K7858=0),0,1)</f>
        <v>1</v>
      </c>
      <c r="M7858" t="s">
        <v>165</v>
      </c>
    </row>
    <row r="7859" spans="1:13" x14ac:dyDescent="0.2">
      <c r="A7859" t="s">
        <v>142</v>
      </c>
      <c r="B7859" t="s">
        <v>133</v>
      </c>
      <c r="C7859" t="s">
        <v>2</v>
      </c>
      <c r="D7859">
        <v>3597</v>
      </c>
      <c r="E7859">
        <v>2019</v>
      </c>
      <c r="F7859">
        <v>8</v>
      </c>
      <c r="G7859">
        <v>7283</v>
      </c>
      <c r="H7859" s="1" t="s">
        <v>1823</v>
      </c>
      <c r="I7859">
        <v>6</v>
      </c>
      <c r="J7859">
        <f>IF($H7859=0,1,IF($I7859&lt;=1,2,0))</f>
        <v>0</v>
      </c>
      <c r="K7859">
        <v>7</v>
      </c>
      <c r="L7859">
        <f>IF(AND($J7859=0,$K7859=0),0,1)</f>
        <v>1</v>
      </c>
      <c r="M7859" t="s">
        <v>165</v>
      </c>
    </row>
    <row r="7860" spans="1:13" x14ac:dyDescent="0.2">
      <c r="A7860" t="s">
        <v>142</v>
      </c>
      <c r="B7860" t="s">
        <v>133</v>
      </c>
      <c r="C7860" t="s">
        <v>2</v>
      </c>
      <c r="D7860">
        <v>3597</v>
      </c>
      <c r="E7860">
        <v>2019</v>
      </c>
      <c r="F7860">
        <v>6</v>
      </c>
      <c r="G7860">
        <v>7281</v>
      </c>
      <c r="H7860" s="1" t="s">
        <v>1823</v>
      </c>
      <c r="I7860">
        <v>4</v>
      </c>
      <c r="J7860">
        <f>IF($H7860=0,1,IF($I7860&lt;=1,2,0))</f>
        <v>0</v>
      </c>
      <c r="K7860">
        <v>7</v>
      </c>
      <c r="L7860">
        <f>IF(AND($J7860=0,$K7860=0),0,1)</f>
        <v>1</v>
      </c>
      <c r="M7860" t="s">
        <v>165</v>
      </c>
    </row>
    <row r="7861" spans="1:13" x14ac:dyDescent="0.2">
      <c r="A7861" t="s">
        <v>142</v>
      </c>
      <c r="B7861" t="s">
        <v>133</v>
      </c>
      <c r="C7861" t="s">
        <v>2</v>
      </c>
      <c r="D7861">
        <v>3597</v>
      </c>
      <c r="E7861">
        <v>2019</v>
      </c>
      <c r="F7861">
        <v>5</v>
      </c>
      <c r="G7861">
        <v>7280</v>
      </c>
      <c r="H7861" s="1" t="s">
        <v>1823</v>
      </c>
      <c r="I7861">
        <v>2</v>
      </c>
      <c r="J7861">
        <f>IF($H7861=0,1,IF($I7861&lt;=1,2,0))</f>
        <v>0</v>
      </c>
      <c r="K7861">
        <v>7</v>
      </c>
      <c r="L7861">
        <f>IF(AND($J7861=0,$K7861=0),0,1)</f>
        <v>1</v>
      </c>
      <c r="M7861" t="s">
        <v>165</v>
      </c>
    </row>
    <row r="7862" spans="1:13" x14ac:dyDescent="0.2">
      <c r="A7862" t="s">
        <v>142</v>
      </c>
      <c r="B7862" t="s">
        <v>133</v>
      </c>
      <c r="C7862" t="s">
        <v>2</v>
      </c>
      <c r="D7862">
        <v>3597</v>
      </c>
      <c r="E7862">
        <v>2019</v>
      </c>
      <c r="F7862">
        <v>9</v>
      </c>
      <c r="G7862">
        <v>7284</v>
      </c>
      <c r="H7862" s="1" t="s">
        <v>1823</v>
      </c>
      <c r="I7862">
        <v>2</v>
      </c>
      <c r="J7862">
        <f>IF($H7862=0,1,IF($I7862&lt;=1,2,0))</f>
        <v>0</v>
      </c>
      <c r="K7862">
        <v>7</v>
      </c>
      <c r="L7862">
        <f>IF(AND($J7862=0,$K7862=0),0,1)</f>
        <v>1</v>
      </c>
      <c r="M7862" t="s">
        <v>165</v>
      </c>
    </row>
    <row r="7863" spans="1:13" x14ac:dyDescent="0.2">
      <c r="A7863" t="s">
        <v>142</v>
      </c>
      <c r="B7863" t="s">
        <v>133</v>
      </c>
      <c r="C7863" t="s">
        <v>2</v>
      </c>
      <c r="D7863">
        <v>3597</v>
      </c>
      <c r="E7863">
        <v>2019</v>
      </c>
      <c r="F7863">
        <v>2</v>
      </c>
      <c r="G7863">
        <v>7277</v>
      </c>
      <c r="H7863" s="1" t="s">
        <v>1823</v>
      </c>
      <c r="I7863">
        <v>1</v>
      </c>
      <c r="J7863">
        <f>IF($H7863=0,1,IF($I7863&lt;=1,2,0))</f>
        <v>2</v>
      </c>
      <c r="K7863">
        <v>7</v>
      </c>
      <c r="L7863">
        <f>IF(AND($J7863=0,$K7863=0),0,1)</f>
        <v>1</v>
      </c>
      <c r="M7863" t="s">
        <v>165</v>
      </c>
    </row>
    <row r="7864" spans="1:13" x14ac:dyDescent="0.2">
      <c r="A7864" t="s">
        <v>142</v>
      </c>
      <c r="B7864" t="s">
        <v>133</v>
      </c>
      <c r="C7864" t="s">
        <v>2</v>
      </c>
      <c r="D7864">
        <v>3597</v>
      </c>
      <c r="E7864">
        <v>2019</v>
      </c>
      <c r="F7864">
        <v>4</v>
      </c>
      <c r="G7864">
        <v>7279</v>
      </c>
      <c r="H7864" s="1" t="s">
        <v>1823</v>
      </c>
      <c r="I7864">
        <v>0</v>
      </c>
      <c r="J7864">
        <f>IF($H7864=0,1,IF($I7864&lt;=1,2,0))</f>
        <v>2</v>
      </c>
      <c r="K7864">
        <v>7</v>
      </c>
      <c r="L7864">
        <f>IF(AND($J7864=0,$K7864=0),0,1)</f>
        <v>1</v>
      </c>
      <c r="M7864" t="s">
        <v>165</v>
      </c>
    </row>
    <row r="7865" spans="1:13" x14ac:dyDescent="0.2">
      <c r="A7865" t="s">
        <v>142</v>
      </c>
      <c r="B7865" t="s">
        <v>133</v>
      </c>
      <c r="C7865" t="s">
        <v>2</v>
      </c>
      <c r="D7865">
        <v>3597</v>
      </c>
      <c r="E7865">
        <v>2019</v>
      </c>
      <c r="F7865">
        <v>7</v>
      </c>
      <c r="G7865">
        <v>7282</v>
      </c>
      <c r="H7865" s="1" t="s">
        <v>1823</v>
      </c>
      <c r="I7865">
        <v>0</v>
      </c>
      <c r="J7865">
        <f>IF($H7865=0,1,IF($I7865&lt;=1,2,0))</f>
        <v>2</v>
      </c>
      <c r="K7865">
        <v>7</v>
      </c>
      <c r="L7865">
        <f>IF(AND($J7865=0,$K7865=0),0,1)</f>
        <v>1</v>
      </c>
      <c r="M7865" t="s">
        <v>165</v>
      </c>
    </row>
    <row r="7866" spans="1:13" x14ac:dyDescent="0.2">
      <c r="A7866" t="s">
        <v>142</v>
      </c>
      <c r="B7866" t="s">
        <v>133</v>
      </c>
      <c r="C7866" t="s">
        <v>61</v>
      </c>
      <c r="D7866">
        <v>3991</v>
      </c>
      <c r="E7866">
        <v>2019</v>
      </c>
      <c r="F7866">
        <v>1</v>
      </c>
      <c r="G7866">
        <v>19367</v>
      </c>
      <c r="H7866" s="1">
        <v>4</v>
      </c>
      <c r="I7866">
        <v>1</v>
      </c>
      <c r="J7866">
        <f>IF($H7866=0,1,IF($I7866&lt;=1,2,0))</f>
        <v>2</v>
      </c>
      <c r="K7866">
        <v>0</v>
      </c>
      <c r="L7866">
        <f>IF(AND($J7866=0,$K7866=0),0,1)</f>
        <v>1</v>
      </c>
    </row>
    <row r="7867" spans="1:13" x14ac:dyDescent="0.2">
      <c r="A7867" t="s">
        <v>142</v>
      </c>
      <c r="B7867" t="s">
        <v>133</v>
      </c>
      <c r="C7867" t="s">
        <v>11</v>
      </c>
      <c r="D7867">
        <v>4501</v>
      </c>
      <c r="E7867">
        <v>2019</v>
      </c>
      <c r="F7867">
        <v>1</v>
      </c>
      <c r="G7867">
        <v>52840</v>
      </c>
      <c r="H7867" s="1" t="s">
        <v>1825</v>
      </c>
      <c r="I7867">
        <v>1</v>
      </c>
      <c r="J7867">
        <f>IF($H7867=0,1,IF($I7867&lt;=1,2,0))</f>
        <v>2</v>
      </c>
      <c r="K7867">
        <v>0</v>
      </c>
      <c r="L7867">
        <f>IF(AND($J7867=0,$K7867=0),0,1)</f>
        <v>1</v>
      </c>
    </row>
    <row r="7868" spans="1:13" x14ac:dyDescent="0.2">
      <c r="A7868" t="s">
        <v>142</v>
      </c>
      <c r="B7868" t="s">
        <v>133</v>
      </c>
      <c r="C7868" t="s">
        <v>9</v>
      </c>
      <c r="D7868">
        <v>5073</v>
      </c>
      <c r="E7868">
        <v>2019</v>
      </c>
      <c r="F7868">
        <v>1</v>
      </c>
      <c r="G7868">
        <v>17302</v>
      </c>
      <c r="H7868" s="1">
        <v>3</v>
      </c>
      <c r="I7868">
        <v>1</v>
      </c>
      <c r="J7868">
        <f>IF($H7868=0,1,IF($I7868&lt;=1,2,0))</f>
        <v>2</v>
      </c>
      <c r="K7868">
        <v>0</v>
      </c>
      <c r="L7868">
        <f>IF(AND($J7868=0,$K7868=0),0,1)</f>
        <v>1</v>
      </c>
      <c r="M7868" t="s">
        <v>169</v>
      </c>
    </row>
    <row r="7869" spans="1:13" x14ac:dyDescent="0.2">
      <c r="A7869" t="s">
        <v>142</v>
      </c>
      <c r="B7869" t="s">
        <v>133</v>
      </c>
      <c r="C7869" t="s">
        <v>11</v>
      </c>
      <c r="D7869">
        <v>9301</v>
      </c>
      <c r="E7869">
        <v>2019</v>
      </c>
      <c r="F7869">
        <v>1</v>
      </c>
      <c r="G7869">
        <v>52794</v>
      </c>
      <c r="H7869" s="1">
        <v>3</v>
      </c>
      <c r="I7869">
        <v>15</v>
      </c>
      <c r="J7869">
        <f>IF($H7869=0,1,IF($I7869&lt;=1,2,0))</f>
        <v>0</v>
      </c>
      <c r="K7869">
        <v>5</v>
      </c>
      <c r="L7869">
        <f>IF(AND($J7869=0,$K7869=0),0,1)</f>
        <v>1</v>
      </c>
    </row>
    <row r="7870" spans="1:13" x14ac:dyDescent="0.2">
      <c r="A7870" t="s">
        <v>142</v>
      </c>
      <c r="B7870" t="s">
        <v>133</v>
      </c>
      <c r="C7870" t="s">
        <v>11</v>
      </c>
      <c r="D7870">
        <v>9500</v>
      </c>
      <c r="E7870">
        <v>2019</v>
      </c>
      <c r="F7870">
        <v>1</v>
      </c>
      <c r="G7870">
        <v>52814</v>
      </c>
      <c r="H7870" s="1" t="s">
        <v>1834</v>
      </c>
      <c r="I7870">
        <v>116</v>
      </c>
      <c r="J7870">
        <f>IF($H7870=0,1,IF($I7870&lt;=1,2,0))</f>
        <v>0</v>
      </c>
      <c r="K7870">
        <v>5</v>
      </c>
      <c r="L7870">
        <f>IF(AND($J7870=0,$K7870=0),0,1)</f>
        <v>1</v>
      </c>
    </row>
    <row r="7871" spans="1:13" x14ac:dyDescent="0.2">
      <c r="A7871" t="s">
        <v>174</v>
      </c>
      <c r="B7871" t="s">
        <v>71</v>
      </c>
      <c r="C7871" t="s">
        <v>72</v>
      </c>
      <c r="D7871">
        <v>3810</v>
      </c>
      <c r="E7871">
        <v>2019</v>
      </c>
      <c r="F7871">
        <v>1</v>
      </c>
      <c r="G7871">
        <v>43405</v>
      </c>
      <c r="H7871" s="1">
        <v>3</v>
      </c>
      <c r="I7871">
        <v>21</v>
      </c>
      <c r="J7871">
        <f>IF($H7871=0,1,IF($I7871&lt;=1,2,0))</f>
        <v>0</v>
      </c>
      <c r="K7871">
        <v>8</v>
      </c>
      <c r="L7871">
        <f>IF(AND($J7871=0,$K7871=0),0,1)</f>
        <v>1</v>
      </c>
    </row>
    <row r="7872" spans="1:13" x14ac:dyDescent="0.2">
      <c r="A7872" t="s">
        <v>174</v>
      </c>
      <c r="B7872" t="s">
        <v>71</v>
      </c>
      <c r="C7872" t="s">
        <v>72</v>
      </c>
      <c r="D7872">
        <v>3810</v>
      </c>
      <c r="E7872">
        <v>2019</v>
      </c>
      <c r="F7872">
        <v>2</v>
      </c>
      <c r="G7872">
        <v>43406</v>
      </c>
      <c r="H7872" s="1">
        <v>3</v>
      </c>
      <c r="I7872">
        <v>20</v>
      </c>
      <c r="J7872">
        <f>IF($H7872=0,1,IF($I7872&lt;=1,2,0))</f>
        <v>0</v>
      </c>
      <c r="K7872">
        <v>8</v>
      </c>
      <c r="L7872">
        <f>IF(AND($J7872=0,$K7872=0),0,1)</f>
        <v>1</v>
      </c>
    </row>
    <row r="7873" spans="1:12" x14ac:dyDescent="0.2">
      <c r="A7873" t="s">
        <v>174</v>
      </c>
      <c r="B7873" t="s">
        <v>71</v>
      </c>
      <c r="C7873" t="s">
        <v>72</v>
      </c>
      <c r="D7873">
        <v>3998</v>
      </c>
      <c r="E7873">
        <v>2019</v>
      </c>
      <c r="F7873">
        <v>7</v>
      </c>
      <c r="G7873">
        <v>43316</v>
      </c>
      <c r="H7873" s="1" t="s">
        <v>1827</v>
      </c>
      <c r="I7873">
        <v>4</v>
      </c>
      <c r="J7873">
        <f>IF($H7873=0,1,IF($I7873&lt;=1,2,0))</f>
        <v>0</v>
      </c>
      <c r="K7873">
        <v>9</v>
      </c>
      <c r="L7873">
        <f>IF(AND($J7873=0,$K7873=0),0,1)</f>
        <v>1</v>
      </c>
    </row>
    <row r="7874" spans="1:12" x14ac:dyDescent="0.2">
      <c r="A7874" t="s">
        <v>174</v>
      </c>
      <c r="B7874" t="s">
        <v>71</v>
      </c>
      <c r="C7874" t="s">
        <v>72</v>
      </c>
      <c r="D7874">
        <v>3998</v>
      </c>
      <c r="E7874">
        <v>2019</v>
      </c>
      <c r="F7874">
        <v>2</v>
      </c>
      <c r="G7874">
        <v>43311</v>
      </c>
      <c r="H7874" s="1" t="s">
        <v>1827</v>
      </c>
      <c r="I7874">
        <v>3</v>
      </c>
      <c r="J7874">
        <f>IF($H7874=0,1,IF($I7874&lt;=1,2,0))</f>
        <v>0</v>
      </c>
      <c r="K7874">
        <v>9</v>
      </c>
      <c r="L7874">
        <f>IF(AND($J7874=0,$K7874=0),0,1)</f>
        <v>1</v>
      </c>
    </row>
    <row r="7875" spans="1:12" x14ac:dyDescent="0.2">
      <c r="A7875" t="s">
        <v>174</v>
      </c>
      <c r="B7875" t="s">
        <v>71</v>
      </c>
      <c r="C7875" t="s">
        <v>72</v>
      </c>
      <c r="D7875">
        <v>3998</v>
      </c>
      <c r="E7875">
        <v>2019</v>
      </c>
      <c r="F7875">
        <v>4</v>
      </c>
      <c r="G7875">
        <v>43313</v>
      </c>
      <c r="H7875" s="1" t="s">
        <v>1827</v>
      </c>
      <c r="I7875">
        <v>2</v>
      </c>
      <c r="J7875">
        <f>IF($H7875=0,1,IF($I7875&lt;=1,2,0))</f>
        <v>0</v>
      </c>
      <c r="K7875">
        <v>9</v>
      </c>
      <c r="L7875">
        <f>IF(AND($J7875=0,$K7875=0),0,1)</f>
        <v>1</v>
      </c>
    </row>
    <row r="7876" spans="1:12" x14ac:dyDescent="0.2">
      <c r="A7876" t="s">
        <v>174</v>
      </c>
      <c r="B7876" t="s">
        <v>71</v>
      </c>
      <c r="C7876" t="s">
        <v>72</v>
      </c>
      <c r="D7876">
        <v>3998</v>
      </c>
      <c r="E7876">
        <v>2019</v>
      </c>
      <c r="F7876">
        <v>21</v>
      </c>
      <c r="G7876">
        <v>43330</v>
      </c>
      <c r="H7876" s="1" t="s">
        <v>1827</v>
      </c>
      <c r="I7876">
        <v>2</v>
      </c>
      <c r="J7876">
        <f>IF($H7876=0,1,IF($I7876&lt;=1,2,0))</f>
        <v>0</v>
      </c>
      <c r="K7876">
        <v>9</v>
      </c>
      <c r="L7876">
        <f>IF(AND($J7876=0,$K7876=0),0,1)</f>
        <v>1</v>
      </c>
    </row>
    <row r="7877" spans="1:12" x14ac:dyDescent="0.2">
      <c r="A7877" t="s">
        <v>174</v>
      </c>
      <c r="B7877" t="s">
        <v>71</v>
      </c>
      <c r="C7877" t="s">
        <v>72</v>
      </c>
      <c r="D7877">
        <v>3998</v>
      </c>
      <c r="E7877">
        <v>2019</v>
      </c>
      <c r="F7877">
        <v>3</v>
      </c>
      <c r="G7877">
        <v>43312</v>
      </c>
      <c r="H7877" s="1" t="s">
        <v>1827</v>
      </c>
      <c r="I7877">
        <v>1</v>
      </c>
      <c r="J7877">
        <f>IF($H7877=0,1,IF($I7877&lt;=1,2,0))</f>
        <v>2</v>
      </c>
      <c r="K7877">
        <v>9</v>
      </c>
      <c r="L7877">
        <f>IF(AND($J7877=0,$K7877=0),0,1)</f>
        <v>1</v>
      </c>
    </row>
    <row r="7878" spans="1:12" x14ac:dyDescent="0.2">
      <c r="A7878" t="s">
        <v>174</v>
      </c>
      <c r="B7878" t="s">
        <v>71</v>
      </c>
      <c r="C7878" t="s">
        <v>72</v>
      </c>
      <c r="D7878">
        <v>3998</v>
      </c>
      <c r="E7878">
        <v>2019</v>
      </c>
      <c r="F7878">
        <v>6</v>
      </c>
      <c r="G7878">
        <v>43315</v>
      </c>
      <c r="H7878" s="1" t="s">
        <v>1827</v>
      </c>
      <c r="I7878">
        <v>1</v>
      </c>
      <c r="J7878">
        <f>IF($H7878=0,1,IF($I7878&lt;=1,2,0))</f>
        <v>2</v>
      </c>
      <c r="K7878">
        <v>9</v>
      </c>
      <c r="L7878">
        <f>IF(AND($J7878=0,$K7878=0),0,1)</f>
        <v>1</v>
      </c>
    </row>
    <row r="7879" spans="1:12" x14ac:dyDescent="0.2">
      <c r="A7879" t="s">
        <v>174</v>
      </c>
      <c r="B7879" t="s">
        <v>71</v>
      </c>
      <c r="C7879" t="s">
        <v>72</v>
      </c>
      <c r="D7879">
        <v>3998</v>
      </c>
      <c r="E7879">
        <v>2019</v>
      </c>
      <c r="F7879">
        <v>13</v>
      </c>
      <c r="G7879">
        <v>43322</v>
      </c>
      <c r="H7879" s="1" t="s">
        <v>1827</v>
      </c>
      <c r="I7879">
        <v>1</v>
      </c>
      <c r="J7879">
        <f>IF($H7879=0,1,IF($I7879&lt;=1,2,0))</f>
        <v>2</v>
      </c>
      <c r="K7879">
        <v>9</v>
      </c>
      <c r="L7879">
        <f>IF(AND($J7879=0,$K7879=0),0,1)</f>
        <v>1</v>
      </c>
    </row>
    <row r="7880" spans="1:12" x14ac:dyDescent="0.2">
      <c r="A7880" t="s">
        <v>174</v>
      </c>
      <c r="B7880" t="s">
        <v>71</v>
      </c>
      <c r="C7880" t="s">
        <v>72</v>
      </c>
      <c r="D7880">
        <v>3998</v>
      </c>
      <c r="E7880">
        <v>2019</v>
      </c>
      <c r="F7880">
        <v>14</v>
      </c>
      <c r="G7880">
        <v>43323</v>
      </c>
      <c r="H7880" s="1" t="s">
        <v>1827</v>
      </c>
      <c r="I7880">
        <v>1</v>
      </c>
      <c r="J7880">
        <f>IF($H7880=0,1,IF($I7880&lt;=1,2,0))</f>
        <v>2</v>
      </c>
      <c r="K7880">
        <v>9</v>
      </c>
      <c r="L7880">
        <f>IF(AND($J7880=0,$K7880=0),0,1)</f>
        <v>1</v>
      </c>
    </row>
    <row r="7881" spans="1:12" x14ac:dyDescent="0.2">
      <c r="A7881" t="s">
        <v>174</v>
      </c>
      <c r="B7881" t="s">
        <v>71</v>
      </c>
      <c r="C7881" t="s">
        <v>72</v>
      </c>
      <c r="D7881">
        <v>3998</v>
      </c>
      <c r="E7881">
        <v>2019</v>
      </c>
      <c r="F7881">
        <v>15</v>
      </c>
      <c r="G7881">
        <v>43324</v>
      </c>
      <c r="H7881" s="1" t="s">
        <v>1827</v>
      </c>
      <c r="I7881">
        <v>1</v>
      </c>
      <c r="J7881">
        <f>IF($H7881=0,1,IF($I7881&lt;=1,2,0))</f>
        <v>2</v>
      </c>
      <c r="K7881">
        <v>9</v>
      </c>
      <c r="L7881">
        <f>IF(AND($J7881=0,$K7881=0),0,1)</f>
        <v>1</v>
      </c>
    </row>
    <row r="7882" spans="1:12" x14ac:dyDescent="0.2">
      <c r="A7882" t="s">
        <v>174</v>
      </c>
      <c r="B7882" t="s">
        <v>71</v>
      </c>
      <c r="C7882" t="s">
        <v>72</v>
      </c>
      <c r="D7882">
        <v>3998</v>
      </c>
      <c r="E7882">
        <v>2019</v>
      </c>
      <c r="F7882">
        <v>16</v>
      </c>
      <c r="G7882">
        <v>43325</v>
      </c>
      <c r="H7882" s="1" t="s">
        <v>1827</v>
      </c>
      <c r="I7882">
        <v>1</v>
      </c>
      <c r="J7882">
        <f>IF($H7882=0,1,IF($I7882&lt;=1,2,0))</f>
        <v>2</v>
      </c>
      <c r="K7882">
        <v>9</v>
      </c>
      <c r="L7882">
        <f>IF(AND($J7882=0,$K7882=0),0,1)</f>
        <v>1</v>
      </c>
    </row>
    <row r="7883" spans="1:12" x14ac:dyDescent="0.2">
      <c r="A7883" t="s">
        <v>174</v>
      </c>
      <c r="B7883" t="s">
        <v>71</v>
      </c>
      <c r="C7883" t="s">
        <v>72</v>
      </c>
      <c r="D7883">
        <v>3998</v>
      </c>
      <c r="E7883">
        <v>2019</v>
      </c>
      <c r="F7883">
        <v>17</v>
      </c>
      <c r="G7883">
        <v>43326</v>
      </c>
      <c r="H7883" s="1" t="s">
        <v>1827</v>
      </c>
      <c r="I7883">
        <v>1</v>
      </c>
      <c r="J7883">
        <f>IF($H7883=0,1,IF($I7883&lt;=1,2,0))</f>
        <v>2</v>
      </c>
      <c r="K7883">
        <v>9</v>
      </c>
      <c r="L7883">
        <f>IF(AND($J7883=0,$K7883=0),0,1)</f>
        <v>1</v>
      </c>
    </row>
    <row r="7884" spans="1:12" x14ac:dyDescent="0.2">
      <c r="A7884" t="s">
        <v>174</v>
      </c>
      <c r="B7884" t="s">
        <v>71</v>
      </c>
      <c r="C7884" t="s">
        <v>72</v>
      </c>
      <c r="D7884">
        <v>3998</v>
      </c>
      <c r="E7884">
        <v>2019</v>
      </c>
      <c r="F7884">
        <v>19</v>
      </c>
      <c r="G7884">
        <v>43328</v>
      </c>
      <c r="H7884" s="1" t="s">
        <v>1827</v>
      </c>
      <c r="I7884">
        <v>1</v>
      </c>
      <c r="J7884">
        <f>IF($H7884=0,1,IF($I7884&lt;=1,2,0))</f>
        <v>2</v>
      </c>
      <c r="K7884">
        <v>9</v>
      </c>
      <c r="L7884">
        <f>IF(AND($J7884=0,$K7884=0),0,1)</f>
        <v>1</v>
      </c>
    </row>
    <row r="7885" spans="1:12" x14ac:dyDescent="0.2">
      <c r="A7885" t="s">
        <v>174</v>
      </c>
      <c r="B7885" t="s">
        <v>71</v>
      </c>
      <c r="C7885" t="s">
        <v>72</v>
      </c>
      <c r="D7885">
        <v>3998</v>
      </c>
      <c r="E7885">
        <v>2019</v>
      </c>
      <c r="F7885">
        <v>25</v>
      </c>
      <c r="G7885">
        <v>43334</v>
      </c>
      <c r="H7885" s="1" t="s">
        <v>1827</v>
      </c>
      <c r="I7885">
        <v>1</v>
      </c>
      <c r="J7885">
        <f>IF($H7885=0,1,IF($I7885&lt;=1,2,0))</f>
        <v>2</v>
      </c>
      <c r="K7885">
        <v>9</v>
      </c>
      <c r="L7885">
        <f>IF(AND($J7885=0,$K7885=0),0,1)</f>
        <v>1</v>
      </c>
    </row>
    <row r="7886" spans="1:12" x14ac:dyDescent="0.2">
      <c r="A7886" t="s">
        <v>174</v>
      </c>
      <c r="B7886" t="s">
        <v>71</v>
      </c>
      <c r="C7886" t="s">
        <v>72</v>
      </c>
      <c r="D7886">
        <v>3998</v>
      </c>
      <c r="E7886">
        <v>2019</v>
      </c>
      <c r="F7886">
        <v>1</v>
      </c>
      <c r="G7886">
        <v>43310</v>
      </c>
      <c r="H7886" s="1" t="s">
        <v>1827</v>
      </c>
      <c r="I7886">
        <v>0</v>
      </c>
      <c r="J7886">
        <f>IF($H7886=0,1,IF($I7886&lt;=1,2,0))</f>
        <v>2</v>
      </c>
      <c r="K7886">
        <v>9</v>
      </c>
      <c r="L7886">
        <f>IF(AND($J7886=0,$K7886=0),0,1)</f>
        <v>1</v>
      </c>
    </row>
    <row r="7887" spans="1:12" x14ac:dyDescent="0.2">
      <c r="A7887" t="s">
        <v>174</v>
      </c>
      <c r="B7887" t="s">
        <v>71</v>
      </c>
      <c r="C7887" t="s">
        <v>72</v>
      </c>
      <c r="D7887">
        <v>3998</v>
      </c>
      <c r="E7887">
        <v>2019</v>
      </c>
      <c r="F7887">
        <v>5</v>
      </c>
      <c r="G7887">
        <v>43314</v>
      </c>
      <c r="H7887" s="1" t="s">
        <v>1827</v>
      </c>
      <c r="I7887">
        <v>0</v>
      </c>
      <c r="J7887">
        <f>IF($H7887=0,1,IF($I7887&lt;=1,2,0))</f>
        <v>2</v>
      </c>
      <c r="K7887">
        <v>9</v>
      </c>
      <c r="L7887">
        <f>IF(AND($J7887=0,$K7887=0),0,1)</f>
        <v>1</v>
      </c>
    </row>
    <row r="7888" spans="1:12" x14ac:dyDescent="0.2">
      <c r="A7888" t="s">
        <v>174</v>
      </c>
      <c r="B7888" t="s">
        <v>71</v>
      </c>
      <c r="C7888" t="s">
        <v>72</v>
      </c>
      <c r="D7888">
        <v>3998</v>
      </c>
      <c r="E7888">
        <v>2019</v>
      </c>
      <c r="F7888">
        <v>8</v>
      </c>
      <c r="G7888">
        <v>43317</v>
      </c>
      <c r="H7888" s="1" t="s">
        <v>1827</v>
      </c>
      <c r="I7888">
        <v>0</v>
      </c>
      <c r="J7888">
        <f>IF($H7888=0,1,IF($I7888&lt;=1,2,0))</f>
        <v>2</v>
      </c>
      <c r="K7888">
        <v>9</v>
      </c>
      <c r="L7888">
        <f>IF(AND($J7888=0,$K7888=0),0,1)</f>
        <v>1</v>
      </c>
    </row>
    <row r="7889" spans="1:13" x14ac:dyDescent="0.2">
      <c r="A7889" t="s">
        <v>174</v>
      </c>
      <c r="B7889" t="s">
        <v>71</v>
      </c>
      <c r="C7889" t="s">
        <v>72</v>
      </c>
      <c r="D7889">
        <v>3998</v>
      </c>
      <c r="E7889">
        <v>2019</v>
      </c>
      <c r="F7889">
        <v>9</v>
      </c>
      <c r="G7889">
        <v>43318</v>
      </c>
      <c r="H7889" s="1" t="s">
        <v>1827</v>
      </c>
      <c r="I7889">
        <v>0</v>
      </c>
      <c r="J7889">
        <f>IF($H7889=0,1,IF($I7889&lt;=1,2,0))</f>
        <v>2</v>
      </c>
      <c r="K7889">
        <v>9</v>
      </c>
      <c r="L7889">
        <f>IF(AND($J7889=0,$K7889=0),0,1)</f>
        <v>1</v>
      </c>
    </row>
    <row r="7890" spans="1:13" x14ac:dyDescent="0.2">
      <c r="A7890" t="s">
        <v>174</v>
      </c>
      <c r="B7890" t="s">
        <v>71</v>
      </c>
      <c r="C7890" t="s">
        <v>72</v>
      </c>
      <c r="D7890">
        <v>3998</v>
      </c>
      <c r="E7890">
        <v>2019</v>
      </c>
      <c r="F7890">
        <v>10</v>
      </c>
      <c r="G7890">
        <v>43319</v>
      </c>
      <c r="H7890" s="1" t="s">
        <v>1827</v>
      </c>
      <c r="I7890">
        <v>0</v>
      </c>
      <c r="J7890">
        <f>IF($H7890=0,1,IF($I7890&lt;=1,2,0))</f>
        <v>2</v>
      </c>
      <c r="K7890">
        <v>9</v>
      </c>
      <c r="L7890">
        <f>IF(AND($J7890=0,$K7890=0),0,1)</f>
        <v>1</v>
      </c>
    </row>
    <row r="7891" spans="1:13" x14ac:dyDescent="0.2">
      <c r="A7891" t="s">
        <v>174</v>
      </c>
      <c r="B7891" t="s">
        <v>71</v>
      </c>
      <c r="C7891" t="s">
        <v>72</v>
      </c>
      <c r="D7891">
        <v>3998</v>
      </c>
      <c r="E7891">
        <v>2019</v>
      </c>
      <c r="F7891">
        <v>11</v>
      </c>
      <c r="G7891">
        <v>43320</v>
      </c>
      <c r="H7891" s="1" t="s">
        <v>1827</v>
      </c>
      <c r="I7891">
        <v>0</v>
      </c>
      <c r="J7891">
        <f>IF($H7891=0,1,IF($I7891&lt;=1,2,0))</f>
        <v>2</v>
      </c>
      <c r="K7891">
        <v>9</v>
      </c>
      <c r="L7891">
        <f>IF(AND($J7891=0,$K7891=0),0,1)</f>
        <v>1</v>
      </c>
    </row>
    <row r="7892" spans="1:13" x14ac:dyDescent="0.2">
      <c r="A7892" t="s">
        <v>174</v>
      </c>
      <c r="B7892" t="s">
        <v>71</v>
      </c>
      <c r="C7892" t="s">
        <v>72</v>
      </c>
      <c r="D7892">
        <v>3998</v>
      </c>
      <c r="E7892">
        <v>2019</v>
      </c>
      <c r="F7892">
        <v>12</v>
      </c>
      <c r="G7892">
        <v>43321</v>
      </c>
      <c r="H7892" s="1" t="s">
        <v>1827</v>
      </c>
      <c r="I7892">
        <v>0</v>
      </c>
      <c r="J7892">
        <f>IF($H7892=0,1,IF($I7892&lt;=1,2,0))</f>
        <v>2</v>
      </c>
      <c r="K7892">
        <v>9</v>
      </c>
      <c r="L7892">
        <f>IF(AND($J7892=0,$K7892=0),0,1)</f>
        <v>1</v>
      </c>
    </row>
    <row r="7893" spans="1:13" x14ac:dyDescent="0.2">
      <c r="A7893" t="s">
        <v>174</v>
      </c>
      <c r="B7893" t="s">
        <v>71</v>
      </c>
      <c r="C7893" t="s">
        <v>72</v>
      </c>
      <c r="D7893">
        <v>3998</v>
      </c>
      <c r="E7893">
        <v>2019</v>
      </c>
      <c r="F7893">
        <v>18</v>
      </c>
      <c r="G7893">
        <v>43327</v>
      </c>
      <c r="H7893" s="1" t="s">
        <v>1827</v>
      </c>
      <c r="I7893">
        <v>0</v>
      </c>
      <c r="J7893">
        <f>IF($H7893=0,1,IF($I7893&lt;=1,2,0))</f>
        <v>2</v>
      </c>
      <c r="K7893">
        <v>9</v>
      </c>
      <c r="L7893">
        <f>IF(AND($J7893=0,$K7893=0),0,1)</f>
        <v>1</v>
      </c>
    </row>
    <row r="7894" spans="1:13" x14ac:dyDescent="0.2">
      <c r="A7894" t="s">
        <v>174</v>
      </c>
      <c r="B7894" t="s">
        <v>71</v>
      </c>
      <c r="C7894" t="s">
        <v>72</v>
      </c>
      <c r="D7894">
        <v>3998</v>
      </c>
      <c r="E7894">
        <v>2019</v>
      </c>
      <c r="F7894">
        <v>20</v>
      </c>
      <c r="G7894">
        <v>43329</v>
      </c>
      <c r="H7894" s="1" t="s">
        <v>1827</v>
      </c>
      <c r="I7894">
        <v>0</v>
      </c>
      <c r="J7894">
        <f>IF($H7894=0,1,IF($I7894&lt;=1,2,0))</f>
        <v>2</v>
      </c>
      <c r="K7894">
        <v>9</v>
      </c>
      <c r="L7894">
        <f>IF(AND($J7894=0,$K7894=0),0,1)</f>
        <v>1</v>
      </c>
    </row>
    <row r="7895" spans="1:13" x14ac:dyDescent="0.2">
      <c r="A7895" t="s">
        <v>174</v>
      </c>
      <c r="B7895" t="s">
        <v>71</v>
      </c>
      <c r="C7895" t="s">
        <v>72</v>
      </c>
      <c r="D7895">
        <v>3998</v>
      </c>
      <c r="E7895">
        <v>2019</v>
      </c>
      <c r="F7895">
        <v>22</v>
      </c>
      <c r="G7895">
        <v>43331</v>
      </c>
      <c r="H7895" s="1" t="s">
        <v>1827</v>
      </c>
      <c r="I7895">
        <v>0</v>
      </c>
      <c r="J7895">
        <f>IF($H7895=0,1,IF($I7895&lt;=1,2,0))</f>
        <v>2</v>
      </c>
      <c r="K7895">
        <v>9</v>
      </c>
      <c r="L7895">
        <f>IF(AND($J7895=0,$K7895=0),0,1)</f>
        <v>1</v>
      </c>
    </row>
    <row r="7896" spans="1:13" x14ac:dyDescent="0.2">
      <c r="A7896" t="s">
        <v>174</v>
      </c>
      <c r="B7896" t="s">
        <v>71</v>
      </c>
      <c r="C7896" t="s">
        <v>72</v>
      </c>
      <c r="D7896">
        <v>3998</v>
      </c>
      <c r="E7896">
        <v>2019</v>
      </c>
      <c r="F7896">
        <v>23</v>
      </c>
      <c r="G7896">
        <v>43332</v>
      </c>
      <c r="H7896" s="1" t="s">
        <v>1827</v>
      </c>
      <c r="I7896">
        <v>0</v>
      </c>
      <c r="J7896">
        <f>IF($H7896=0,1,IF($I7896&lt;=1,2,0))</f>
        <v>2</v>
      </c>
      <c r="K7896">
        <v>9</v>
      </c>
      <c r="L7896">
        <f>IF(AND($J7896=0,$K7896=0),0,1)</f>
        <v>1</v>
      </c>
    </row>
    <row r="7897" spans="1:13" x14ac:dyDescent="0.2">
      <c r="A7897" t="s">
        <v>174</v>
      </c>
      <c r="B7897" t="s">
        <v>71</v>
      </c>
      <c r="C7897" t="s">
        <v>72</v>
      </c>
      <c r="D7897">
        <v>3998</v>
      </c>
      <c r="E7897">
        <v>2019</v>
      </c>
      <c r="F7897">
        <v>24</v>
      </c>
      <c r="G7897">
        <v>43333</v>
      </c>
      <c r="H7897" s="1" t="s">
        <v>1827</v>
      </c>
      <c r="I7897">
        <v>0</v>
      </c>
      <c r="J7897">
        <f>IF($H7897=0,1,IF($I7897&lt;=1,2,0))</f>
        <v>2</v>
      </c>
      <c r="K7897">
        <v>9</v>
      </c>
      <c r="L7897">
        <f>IF(AND($J7897=0,$K7897=0),0,1)</f>
        <v>1</v>
      </c>
    </row>
    <row r="7898" spans="1:13" x14ac:dyDescent="0.2">
      <c r="A7898" t="s">
        <v>174</v>
      </c>
      <c r="B7898" t="s">
        <v>71</v>
      </c>
      <c r="C7898" t="s">
        <v>72</v>
      </c>
      <c r="D7898">
        <v>3998</v>
      </c>
      <c r="E7898">
        <v>2019</v>
      </c>
      <c r="F7898">
        <v>26</v>
      </c>
      <c r="G7898">
        <v>43335</v>
      </c>
      <c r="H7898" s="1" t="s">
        <v>1827</v>
      </c>
      <c r="I7898">
        <v>0</v>
      </c>
      <c r="J7898">
        <f>IF($H7898=0,1,IF($I7898&lt;=1,2,0))</f>
        <v>2</v>
      </c>
      <c r="K7898">
        <v>9</v>
      </c>
      <c r="L7898">
        <f>IF(AND($J7898=0,$K7898=0),0,1)</f>
        <v>1</v>
      </c>
    </row>
    <row r="7899" spans="1:13" x14ac:dyDescent="0.2">
      <c r="A7899" t="s">
        <v>174</v>
      </c>
      <c r="B7899" t="s">
        <v>71</v>
      </c>
      <c r="C7899" t="s">
        <v>72</v>
      </c>
      <c r="D7899">
        <v>3998</v>
      </c>
      <c r="E7899">
        <v>2019</v>
      </c>
      <c r="F7899">
        <v>27</v>
      </c>
      <c r="G7899">
        <v>43336</v>
      </c>
      <c r="H7899" s="1" t="s">
        <v>1827</v>
      </c>
      <c r="I7899">
        <v>0</v>
      </c>
      <c r="J7899">
        <f>IF($H7899=0,1,IF($I7899&lt;=1,2,0))</f>
        <v>2</v>
      </c>
      <c r="K7899">
        <v>9</v>
      </c>
      <c r="L7899">
        <f>IF(AND($J7899=0,$K7899=0),0,1)</f>
        <v>1</v>
      </c>
    </row>
    <row r="7900" spans="1:13" x14ac:dyDescent="0.2">
      <c r="A7900" t="s">
        <v>174</v>
      </c>
      <c r="B7900" t="s">
        <v>71</v>
      </c>
      <c r="C7900" t="s">
        <v>72</v>
      </c>
      <c r="D7900">
        <v>3998</v>
      </c>
      <c r="E7900">
        <v>2019</v>
      </c>
      <c r="F7900">
        <v>28</v>
      </c>
      <c r="G7900">
        <v>43337</v>
      </c>
      <c r="H7900" s="1" t="s">
        <v>1827</v>
      </c>
      <c r="I7900">
        <v>0</v>
      </c>
      <c r="J7900">
        <f>IF($H7900=0,1,IF($I7900&lt;=1,2,0))</f>
        <v>2</v>
      </c>
      <c r="K7900">
        <v>9</v>
      </c>
      <c r="L7900">
        <f>IF(AND($J7900=0,$K7900=0),0,1)</f>
        <v>1</v>
      </c>
    </row>
    <row r="7901" spans="1:13" x14ac:dyDescent="0.2">
      <c r="A7901" t="s">
        <v>174</v>
      </c>
      <c r="B7901" t="s">
        <v>71</v>
      </c>
      <c r="C7901" t="s">
        <v>72</v>
      </c>
      <c r="D7901">
        <v>3998</v>
      </c>
      <c r="E7901">
        <v>2019</v>
      </c>
      <c r="F7901">
        <v>29</v>
      </c>
      <c r="G7901">
        <v>43338</v>
      </c>
      <c r="H7901" s="1" t="s">
        <v>1827</v>
      </c>
      <c r="I7901">
        <v>0</v>
      </c>
      <c r="J7901">
        <f>IF($H7901=0,1,IF($I7901&lt;=1,2,0))</f>
        <v>2</v>
      </c>
      <c r="K7901">
        <v>9</v>
      </c>
      <c r="L7901">
        <f>IF(AND($J7901=0,$K7901=0),0,1)</f>
        <v>1</v>
      </c>
    </row>
    <row r="7902" spans="1:13" x14ac:dyDescent="0.2">
      <c r="A7902" t="s">
        <v>174</v>
      </c>
      <c r="B7902" t="s">
        <v>71</v>
      </c>
      <c r="C7902" t="s">
        <v>72</v>
      </c>
      <c r="D7902">
        <v>3999</v>
      </c>
      <c r="E7902">
        <v>2019</v>
      </c>
      <c r="F7902">
        <v>1</v>
      </c>
      <c r="G7902">
        <v>43420</v>
      </c>
      <c r="H7902" s="1" t="s">
        <v>1837</v>
      </c>
      <c r="I7902">
        <v>0</v>
      </c>
      <c r="J7902">
        <f>IF($H7902=0,1,IF($I7902&lt;=1,2,0))</f>
        <v>2</v>
      </c>
      <c r="K7902">
        <v>9</v>
      </c>
      <c r="L7902">
        <f>IF(AND($J7902=0,$K7902=0),0,1)</f>
        <v>1</v>
      </c>
    </row>
    <row r="7903" spans="1:13" x14ac:dyDescent="0.2">
      <c r="A7903" t="s">
        <v>174</v>
      </c>
      <c r="B7903" t="s">
        <v>71</v>
      </c>
      <c r="C7903" t="s">
        <v>72</v>
      </c>
      <c r="D7903">
        <v>4999</v>
      </c>
      <c r="E7903">
        <v>2019</v>
      </c>
      <c r="F7903">
        <v>1</v>
      </c>
      <c r="G7903">
        <v>43412</v>
      </c>
      <c r="H7903" s="1" t="s">
        <v>1837</v>
      </c>
      <c r="I7903">
        <v>4</v>
      </c>
      <c r="J7903">
        <f>IF($H7903=0,1,IF($I7903&lt;=1,2,0))</f>
        <v>0</v>
      </c>
      <c r="K7903">
        <v>9</v>
      </c>
      <c r="L7903">
        <f>IF(AND($J7903=0,$K7903=0),0,1)</f>
        <v>1</v>
      </c>
    </row>
    <row r="7904" spans="1:13" x14ac:dyDescent="0.2">
      <c r="A7904" t="s">
        <v>174</v>
      </c>
      <c r="B7904" t="s">
        <v>71</v>
      </c>
      <c r="C7904" t="s">
        <v>72</v>
      </c>
      <c r="D7904">
        <v>6003</v>
      </c>
      <c r="E7904">
        <v>2019</v>
      </c>
      <c r="F7904">
        <v>1</v>
      </c>
      <c r="G7904">
        <v>43414</v>
      </c>
      <c r="H7904" s="1">
        <v>3</v>
      </c>
      <c r="I7904">
        <v>59</v>
      </c>
      <c r="J7904">
        <f>IF($H7904=0,1,IF($I7904&lt;=1,2,0))</f>
        <v>0</v>
      </c>
      <c r="K7904">
        <v>4</v>
      </c>
      <c r="L7904">
        <f>IF(AND($J7904=0,$K7904=0),0,1)</f>
        <v>1</v>
      </c>
      <c r="M7904" t="s">
        <v>177</v>
      </c>
    </row>
    <row r="7905" spans="1:13" x14ac:dyDescent="0.2">
      <c r="A7905" t="s">
        <v>174</v>
      </c>
      <c r="B7905" t="s">
        <v>71</v>
      </c>
      <c r="C7905" t="s">
        <v>72</v>
      </c>
      <c r="D7905">
        <v>6005</v>
      </c>
      <c r="E7905">
        <v>2019</v>
      </c>
      <c r="F7905">
        <v>1</v>
      </c>
      <c r="G7905">
        <v>43344</v>
      </c>
      <c r="H7905" s="1">
        <v>3</v>
      </c>
      <c r="I7905">
        <v>19</v>
      </c>
      <c r="J7905">
        <f>IF($H7905=0,1,IF($I7905&lt;=1,2,0))</f>
        <v>0</v>
      </c>
      <c r="K7905">
        <v>1</v>
      </c>
      <c r="L7905">
        <f>IF(AND($J7905=0,$K7905=0),0,1)</f>
        <v>1</v>
      </c>
      <c r="M7905" t="s">
        <v>178</v>
      </c>
    </row>
    <row r="7906" spans="1:13" x14ac:dyDescent="0.2">
      <c r="A7906" t="s">
        <v>174</v>
      </c>
      <c r="B7906" t="s">
        <v>71</v>
      </c>
      <c r="C7906" t="s">
        <v>72</v>
      </c>
      <c r="D7906">
        <v>9100</v>
      </c>
      <c r="E7906">
        <v>2019</v>
      </c>
      <c r="F7906">
        <v>14</v>
      </c>
      <c r="G7906">
        <v>43434</v>
      </c>
      <c r="H7906" s="1" t="s">
        <v>1828</v>
      </c>
      <c r="I7906">
        <v>8</v>
      </c>
      <c r="J7906">
        <f>IF($H7906=0,1,IF($I7906&lt;=1,2,0))</f>
        <v>0</v>
      </c>
      <c r="K7906">
        <v>5</v>
      </c>
      <c r="L7906">
        <f>IF(AND($J7906=0,$K7906=0),0,1)</f>
        <v>1</v>
      </c>
    </row>
    <row r="7907" spans="1:13" x14ac:dyDescent="0.2">
      <c r="A7907" t="s">
        <v>174</v>
      </c>
      <c r="B7907" t="s">
        <v>71</v>
      </c>
      <c r="C7907" t="s">
        <v>72</v>
      </c>
      <c r="D7907">
        <v>9100</v>
      </c>
      <c r="E7907">
        <v>2019</v>
      </c>
      <c r="F7907">
        <v>16</v>
      </c>
      <c r="G7907">
        <v>43436</v>
      </c>
      <c r="H7907" s="1" t="s">
        <v>1828</v>
      </c>
      <c r="I7907">
        <v>6</v>
      </c>
      <c r="J7907">
        <f>IF($H7907=0,1,IF($I7907&lt;=1,2,0))</f>
        <v>0</v>
      </c>
      <c r="K7907">
        <v>5</v>
      </c>
      <c r="L7907">
        <f>IF(AND($J7907=0,$K7907=0),0,1)</f>
        <v>1</v>
      </c>
    </row>
    <row r="7908" spans="1:13" x14ac:dyDescent="0.2">
      <c r="A7908" t="s">
        <v>174</v>
      </c>
      <c r="B7908" t="s">
        <v>71</v>
      </c>
      <c r="C7908" t="s">
        <v>72</v>
      </c>
      <c r="D7908">
        <v>9100</v>
      </c>
      <c r="E7908">
        <v>2019</v>
      </c>
      <c r="F7908">
        <v>21</v>
      </c>
      <c r="G7908">
        <v>43441</v>
      </c>
      <c r="H7908" s="1" t="s">
        <v>1828</v>
      </c>
      <c r="I7908">
        <v>5</v>
      </c>
      <c r="J7908">
        <f>IF($H7908=0,1,IF($I7908&lt;=1,2,0))</f>
        <v>0</v>
      </c>
      <c r="K7908">
        <v>5</v>
      </c>
      <c r="L7908">
        <f>IF(AND($J7908=0,$K7908=0),0,1)</f>
        <v>1</v>
      </c>
    </row>
    <row r="7909" spans="1:13" x14ac:dyDescent="0.2">
      <c r="A7909" t="s">
        <v>174</v>
      </c>
      <c r="B7909" t="s">
        <v>71</v>
      </c>
      <c r="C7909" t="s">
        <v>72</v>
      </c>
      <c r="D7909">
        <v>9100</v>
      </c>
      <c r="E7909">
        <v>2019</v>
      </c>
      <c r="F7909">
        <v>28</v>
      </c>
      <c r="G7909">
        <v>43448</v>
      </c>
      <c r="H7909" s="1" t="s">
        <v>1828</v>
      </c>
      <c r="I7909">
        <v>3</v>
      </c>
      <c r="J7909">
        <f>IF($H7909=0,1,IF($I7909&lt;=1,2,0))</f>
        <v>0</v>
      </c>
      <c r="K7909">
        <v>5</v>
      </c>
      <c r="L7909">
        <f>IF(AND($J7909=0,$K7909=0),0,1)</f>
        <v>1</v>
      </c>
    </row>
    <row r="7910" spans="1:13" x14ac:dyDescent="0.2">
      <c r="A7910" t="s">
        <v>174</v>
      </c>
      <c r="B7910" t="s">
        <v>71</v>
      </c>
      <c r="C7910" t="s">
        <v>72</v>
      </c>
      <c r="D7910">
        <v>9100</v>
      </c>
      <c r="E7910">
        <v>2019</v>
      </c>
      <c r="F7910">
        <v>7</v>
      </c>
      <c r="G7910">
        <v>43427</v>
      </c>
      <c r="H7910" s="1" t="s">
        <v>1828</v>
      </c>
      <c r="I7910">
        <v>2</v>
      </c>
      <c r="J7910">
        <f>IF($H7910=0,1,IF($I7910&lt;=1,2,0))</f>
        <v>0</v>
      </c>
      <c r="K7910">
        <v>5</v>
      </c>
      <c r="L7910">
        <f>IF(AND($J7910=0,$K7910=0),0,1)</f>
        <v>1</v>
      </c>
    </row>
    <row r="7911" spans="1:13" x14ac:dyDescent="0.2">
      <c r="A7911" t="s">
        <v>174</v>
      </c>
      <c r="B7911" t="s">
        <v>71</v>
      </c>
      <c r="C7911" t="s">
        <v>72</v>
      </c>
      <c r="D7911">
        <v>9100</v>
      </c>
      <c r="E7911">
        <v>2019</v>
      </c>
      <c r="F7911">
        <v>10</v>
      </c>
      <c r="G7911">
        <v>43430</v>
      </c>
      <c r="H7911" s="1" t="s">
        <v>1828</v>
      </c>
      <c r="I7911">
        <v>2</v>
      </c>
      <c r="J7911">
        <f>IF($H7911=0,1,IF($I7911&lt;=1,2,0))</f>
        <v>0</v>
      </c>
      <c r="K7911">
        <v>5</v>
      </c>
      <c r="L7911">
        <f>IF(AND($J7911=0,$K7911=0),0,1)</f>
        <v>1</v>
      </c>
    </row>
    <row r="7912" spans="1:13" x14ac:dyDescent="0.2">
      <c r="A7912" t="s">
        <v>174</v>
      </c>
      <c r="B7912" t="s">
        <v>71</v>
      </c>
      <c r="C7912" t="s">
        <v>72</v>
      </c>
      <c r="D7912">
        <v>9100</v>
      </c>
      <c r="E7912">
        <v>2019</v>
      </c>
      <c r="F7912">
        <v>11</v>
      </c>
      <c r="G7912">
        <v>43431</v>
      </c>
      <c r="H7912" s="1" t="s">
        <v>1828</v>
      </c>
      <c r="I7912">
        <v>2</v>
      </c>
      <c r="J7912">
        <f>IF($H7912=0,1,IF($I7912&lt;=1,2,0))</f>
        <v>0</v>
      </c>
      <c r="K7912">
        <v>5</v>
      </c>
      <c r="L7912">
        <f>IF(AND($J7912=0,$K7912=0),0,1)</f>
        <v>1</v>
      </c>
    </row>
    <row r="7913" spans="1:13" x14ac:dyDescent="0.2">
      <c r="A7913" t="s">
        <v>174</v>
      </c>
      <c r="B7913" t="s">
        <v>71</v>
      </c>
      <c r="C7913" t="s">
        <v>72</v>
      </c>
      <c r="D7913">
        <v>9100</v>
      </c>
      <c r="E7913">
        <v>2019</v>
      </c>
      <c r="F7913">
        <v>19</v>
      </c>
      <c r="G7913">
        <v>43439</v>
      </c>
      <c r="H7913" s="1" t="s">
        <v>1828</v>
      </c>
      <c r="I7913">
        <v>2</v>
      </c>
      <c r="J7913">
        <f>IF($H7913=0,1,IF($I7913&lt;=1,2,0))</f>
        <v>0</v>
      </c>
      <c r="K7913">
        <v>5</v>
      </c>
      <c r="L7913">
        <f>IF(AND($J7913=0,$K7913=0),0,1)</f>
        <v>1</v>
      </c>
    </row>
    <row r="7914" spans="1:13" x14ac:dyDescent="0.2">
      <c r="A7914" t="s">
        <v>174</v>
      </c>
      <c r="B7914" t="s">
        <v>71</v>
      </c>
      <c r="C7914" t="s">
        <v>72</v>
      </c>
      <c r="D7914">
        <v>9100</v>
      </c>
      <c r="E7914">
        <v>2019</v>
      </c>
      <c r="F7914">
        <v>25</v>
      </c>
      <c r="G7914">
        <v>43445</v>
      </c>
      <c r="H7914" s="1" t="s">
        <v>1828</v>
      </c>
      <c r="I7914">
        <v>2</v>
      </c>
      <c r="J7914">
        <f>IF($H7914=0,1,IF($I7914&lt;=1,2,0))</f>
        <v>0</v>
      </c>
      <c r="K7914">
        <v>5</v>
      </c>
      <c r="L7914">
        <f>IF(AND($J7914=0,$K7914=0),0,1)</f>
        <v>1</v>
      </c>
    </row>
    <row r="7915" spans="1:13" x14ac:dyDescent="0.2">
      <c r="A7915" t="s">
        <v>174</v>
      </c>
      <c r="B7915" t="s">
        <v>71</v>
      </c>
      <c r="C7915" t="s">
        <v>72</v>
      </c>
      <c r="D7915">
        <v>9100</v>
      </c>
      <c r="E7915">
        <v>2019</v>
      </c>
      <c r="F7915">
        <v>1</v>
      </c>
      <c r="G7915">
        <v>43421</v>
      </c>
      <c r="H7915" s="1" t="s">
        <v>1828</v>
      </c>
      <c r="I7915">
        <v>1</v>
      </c>
      <c r="J7915">
        <f>IF($H7915=0,1,IF($I7915&lt;=1,2,0))</f>
        <v>2</v>
      </c>
      <c r="K7915">
        <v>5</v>
      </c>
      <c r="L7915">
        <f>IF(AND($J7915=0,$K7915=0),0,1)</f>
        <v>1</v>
      </c>
    </row>
    <row r="7916" spans="1:13" x14ac:dyDescent="0.2">
      <c r="A7916" t="s">
        <v>174</v>
      </c>
      <c r="B7916" t="s">
        <v>71</v>
      </c>
      <c r="C7916" t="s">
        <v>72</v>
      </c>
      <c r="D7916">
        <v>9100</v>
      </c>
      <c r="E7916">
        <v>2019</v>
      </c>
      <c r="F7916">
        <v>2</v>
      </c>
      <c r="G7916">
        <v>43422</v>
      </c>
      <c r="H7916" s="1" t="s">
        <v>1828</v>
      </c>
      <c r="I7916">
        <v>1</v>
      </c>
      <c r="J7916">
        <f>IF($H7916=0,1,IF($I7916&lt;=1,2,0))</f>
        <v>2</v>
      </c>
      <c r="K7916">
        <v>5</v>
      </c>
      <c r="L7916">
        <f>IF(AND($J7916=0,$K7916=0),0,1)</f>
        <v>1</v>
      </c>
    </row>
    <row r="7917" spans="1:13" x14ac:dyDescent="0.2">
      <c r="A7917" t="s">
        <v>174</v>
      </c>
      <c r="B7917" t="s">
        <v>71</v>
      </c>
      <c r="C7917" t="s">
        <v>72</v>
      </c>
      <c r="D7917">
        <v>9100</v>
      </c>
      <c r="E7917">
        <v>2019</v>
      </c>
      <c r="F7917">
        <v>3</v>
      </c>
      <c r="G7917">
        <v>43423</v>
      </c>
      <c r="H7917" s="1" t="s">
        <v>1828</v>
      </c>
      <c r="I7917">
        <v>1</v>
      </c>
      <c r="J7917">
        <f>IF($H7917=0,1,IF($I7917&lt;=1,2,0))</f>
        <v>2</v>
      </c>
      <c r="K7917">
        <v>5</v>
      </c>
      <c r="L7917">
        <f>IF(AND($J7917=0,$K7917=0),0,1)</f>
        <v>1</v>
      </c>
    </row>
    <row r="7918" spans="1:13" x14ac:dyDescent="0.2">
      <c r="A7918" t="s">
        <v>174</v>
      </c>
      <c r="B7918" t="s">
        <v>71</v>
      </c>
      <c r="C7918" t="s">
        <v>72</v>
      </c>
      <c r="D7918">
        <v>9100</v>
      </c>
      <c r="E7918">
        <v>2019</v>
      </c>
      <c r="F7918">
        <v>4</v>
      </c>
      <c r="G7918">
        <v>43424</v>
      </c>
      <c r="H7918" s="1" t="s">
        <v>1828</v>
      </c>
      <c r="I7918">
        <v>1</v>
      </c>
      <c r="J7918">
        <f>IF($H7918=0,1,IF($I7918&lt;=1,2,0))</f>
        <v>2</v>
      </c>
      <c r="K7918">
        <v>5</v>
      </c>
      <c r="L7918">
        <f>IF(AND($J7918=0,$K7918=0),0,1)</f>
        <v>1</v>
      </c>
    </row>
    <row r="7919" spans="1:13" x14ac:dyDescent="0.2">
      <c r="A7919" t="s">
        <v>174</v>
      </c>
      <c r="B7919" t="s">
        <v>71</v>
      </c>
      <c r="C7919" t="s">
        <v>72</v>
      </c>
      <c r="D7919">
        <v>9100</v>
      </c>
      <c r="E7919">
        <v>2019</v>
      </c>
      <c r="F7919">
        <v>5</v>
      </c>
      <c r="G7919">
        <v>43425</v>
      </c>
      <c r="H7919" s="1" t="s">
        <v>1828</v>
      </c>
      <c r="I7919">
        <v>1</v>
      </c>
      <c r="J7919">
        <f>IF($H7919=0,1,IF($I7919&lt;=1,2,0))</f>
        <v>2</v>
      </c>
      <c r="K7919">
        <v>5</v>
      </c>
      <c r="L7919">
        <f>IF(AND($J7919=0,$K7919=0),0,1)</f>
        <v>1</v>
      </c>
    </row>
    <row r="7920" spans="1:13" x14ac:dyDescent="0.2">
      <c r="A7920" t="s">
        <v>174</v>
      </c>
      <c r="B7920" t="s">
        <v>71</v>
      </c>
      <c r="C7920" t="s">
        <v>72</v>
      </c>
      <c r="D7920">
        <v>9100</v>
      </c>
      <c r="E7920">
        <v>2019</v>
      </c>
      <c r="F7920">
        <v>6</v>
      </c>
      <c r="G7920">
        <v>43426</v>
      </c>
      <c r="H7920" s="1" t="s">
        <v>1828</v>
      </c>
      <c r="I7920">
        <v>1</v>
      </c>
      <c r="J7920">
        <f>IF($H7920=0,1,IF($I7920&lt;=1,2,0))</f>
        <v>2</v>
      </c>
      <c r="K7920">
        <v>5</v>
      </c>
      <c r="L7920">
        <f>IF(AND($J7920=0,$K7920=0),0,1)</f>
        <v>1</v>
      </c>
    </row>
    <row r="7921" spans="1:12" x14ac:dyDescent="0.2">
      <c r="A7921" t="s">
        <v>174</v>
      </c>
      <c r="B7921" t="s">
        <v>71</v>
      </c>
      <c r="C7921" t="s">
        <v>72</v>
      </c>
      <c r="D7921">
        <v>9100</v>
      </c>
      <c r="E7921">
        <v>2019</v>
      </c>
      <c r="F7921">
        <v>9</v>
      </c>
      <c r="G7921">
        <v>43429</v>
      </c>
      <c r="H7921" s="1" t="s">
        <v>1828</v>
      </c>
      <c r="I7921">
        <v>1</v>
      </c>
      <c r="J7921">
        <f>IF($H7921=0,1,IF($I7921&lt;=1,2,0))</f>
        <v>2</v>
      </c>
      <c r="K7921">
        <v>5</v>
      </c>
      <c r="L7921">
        <f>IF(AND($J7921=0,$K7921=0),0,1)</f>
        <v>1</v>
      </c>
    </row>
    <row r="7922" spans="1:12" x14ac:dyDescent="0.2">
      <c r="A7922" t="s">
        <v>174</v>
      </c>
      <c r="B7922" t="s">
        <v>71</v>
      </c>
      <c r="C7922" t="s">
        <v>72</v>
      </c>
      <c r="D7922">
        <v>9100</v>
      </c>
      <c r="E7922">
        <v>2019</v>
      </c>
      <c r="F7922">
        <v>17</v>
      </c>
      <c r="G7922">
        <v>43437</v>
      </c>
      <c r="H7922" s="1" t="s">
        <v>1828</v>
      </c>
      <c r="I7922">
        <v>1</v>
      </c>
      <c r="J7922">
        <f>IF($H7922=0,1,IF($I7922&lt;=1,2,0))</f>
        <v>2</v>
      </c>
      <c r="K7922">
        <v>5</v>
      </c>
      <c r="L7922">
        <f>IF(AND($J7922=0,$K7922=0),0,1)</f>
        <v>1</v>
      </c>
    </row>
    <row r="7923" spans="1:12" x14ac:dyDescent="0.2">
      <c r="A7923" t="s">
        <v>174</v>
      </c>
      <c r="B7923" t="s">
        <v>71</v>
      </c>
      <c r="C7923" t="s">
        <v>72</v>
      </c>
      <c r="D7923">
        <v>9100</v>
      </c>
      <c r="E7923">
        <v>2019</v>
      </c>
      <c r="F7923">
        <v>22</v>
      </c>
      <c r="G7923">
        <v>43442</v>
      </c>
      <c r="H7923" s="1" t="s">
        <v>1828</v>
      </c>
      <c r="I7923">
        <v>1</v>
      </c>
      <c r="J7923">
        <f>IF($H7923=0,1,IF($I7923&lt;=1,2,0))</f>
        <v>2</v>
      </c>
      <c r="K7923">
        <v>5</v>
      </c>
      <c r="L7923">
        <f>IF(AND($J7923=0,$K7923=0),0,1)</f>
        <v>1</v>
      </c>
    </row>
    <row r="7924" spans="1:12" x14ac:dyDescent="0.2">
      <c r="A7924" t="s">
        <v>174</v>
      </c>
      <c r="B7924" t="s">
        <v>71</v>
      </c>
      <c r="C7924" t="s">
        <v>72</v>
      </c>
      <c r="D7924">
        <v>9100</v>
      </c>
      <c r="E7924">
        <v>2019</v>
      </c>
      <c r="F7924">
        <v>27</v>
      </c>
      <c r="G7924">
        <v>43447</v>
      </c>
      <c r="H7924" s="1" t="s">
        <v>1828</v>
      </c>
      <c r="I7924">
        <v>1</v>
      </c>
      <c r="J7924">
        <f>IF($H7924=0,1,IF($I7924&lt;=1,2,0))</f>
        <v>2</v>
      </c>
      <c r="K7924">
        <v>5</v>
      </c>
      <c r="L7924">
        <f>IF(AND($J7924=0,$K7924=0),0,1)</f>
        <v>1</v>
      </c>
    </row>
    <row r="7925" spans="1:12" x14ac:dyDescent="0.2">
      <c r="A7925" t="s">
        <v>174</v>
      </c>
      <c r="B7925" t="s">
        <v>71</v>
      </c>
      <c r="C7925" t="s">
        <v>72</v>
      </c>
      <c r="D7925">
        <v>9100</v>
      </c>
      <c r="E7925">
        <v>2019</v>
      </c>
      <c r="F7925">
        <v>29</v>
      </c>
      <c r="G7925">
        <v>43449</v>
      </c>
      <c r="H7925" s="1" t="s">
        <v>1828</v>
      </c>
      <c r="I7925">
        <v>1</v>
      </c>
      <c r="J7925">
        <f>IF($H7925=0,1,IF($I7925&lt;=1,2,0))</f>
        <v>2</v>
      </c>
      <c r="K7925">
        <v>5</v>
      </c>
      <c r="L7925">
        <f>IF(AND($J7925=0,$K7925=0),0,1)</f>
        <v>1</v>
      </c>
    </row>
    <row r="7926" spans="1:12" x14ac:dyDescent="0.2">
      <c r="A7926" t="s">
        <v>174</v>
      </c>
      <c r="B7926" t="s">
        <v>71</v>
      </c>
      <c r="C7926" t="s">
        <v>72</v>
      </c>
      <c r="D7926">
        <v>9100</v>
      </c>
      <c r="E7926">
        <v>2019</v>
      </c>
      <c r="F7926">
        <v>8</v>
      </c>
      <c r="G7926">
        <v>43480</v>
      </c>
      <c r="H7926" s="1" t="s">
        <v>1828</v>
      </c>
      <c r="I7926">
        <v>0</v>
      </c>
      <c r="J7926">
        <f>IF($H7926=0,1,IF($I7926&lt;=1,2,0))</f>
        <v>2</v>
      </c>
      <c r="K7926">
        <v>5</v>
      </c>
      <c r="L7926">
        <f>IF(AND($J7926=0,$K7926=0),0,1)</f>
        <v>1</v>
      </c>
    </row>
    <row r="7927" spans="1:12" x14ac:dyDescent="0.2">
      <c r="A7927" t="s">
        <v>174</v>
      </c>
      <c r="B7927" t="s">
        <v>71</v>
      </c>
      <c r="C7927" t="s">
        <v>72</v>
      </c>
      <c r="D7927">
        <v>9100</v>
      </c>
      <c r="E7927">
        <v>2019</v>
      </c>
      <c r="F7927">
        <v>12</v>
      </c>
      <c r="G7927">
        <v>43432</v>
      </c>
      <c r="H7927" s="1" t="s">
        <v>1828</v>
      </c>
      <c r="I7927">
        <v>0</v>
      </c>
      <c r="J7927">
        <f>IF($H7927=0,1,IF($I7927&lt;=1,2,0))</f>
        <v>2</v>
      </c>
      <c r="K7927">
        <v>5</v>
      </c>
      <c r="L7927">
        <f>IF(AND($J7927=0,$K7927=0),0,1)</f>
        <v>1</v>
      </c>
    </row>
    <row r="7928" spans="1:12" x14ac:dyDescent="0.2">
      <c r="A7928" t="s">
        <v>174</v>
      </c>
      <c r="B7928" t="s">
        <v>71</v>
      </c>
      <c r="C7928" t="s">
        <v>72</v>
      </c>
      <c r="D7928">
        <v>9100</v>
      </c>
      <c r="E7928">
        <v>2019</v>
      </c>
      <c r="F7928">
        <v>13</v>
      </c>
      <c r="G7928">
        <v>43433</v>
      </c>
      <c r="H7928" s="1" t="s">
        <v>1828</v>
      </c>
      <c r="I7928">
        <v>0</v>
      </c>
      <c r="J7928">
        <f>IF($H7928=0,1,IF($I7928&lt;=1,2,0))</f>
        <v>2</v>
      </c>
      <c r="K7928">
        <v>5</v>
      </c>
      <c r="L7928">
        <f>IF(AND($J7928=0,$K7928=0),0,1)</f>
        <v>1</v>
      </c>
    </row>
    <row r="7929" spans="1:12" x14ac:dyDescent="0.2">
      <c r="A7929" t="s">
        <v>174</v>
      </c>
      <c r="B7929" t="s">
        <v>71</v>
      </c>
      <c r="C7929" t="s">
        <v>72</v>
      </c>
      <c r="D7929">
        <v>9100</v>
      </c>
      <c r="E7929">
        <v>2019</v>
      </c>
      <c r="F7929">
        <v>15</v>
      </c>
      <c r="G7929">
        <v>43435</v>
      </c>
      <c r="H7929" s="1" t="s">
        <v>1828</v>
      </c>
      <c r="I7929">
        <v>0</v>
      </c>
      <c r="J7929">
        <f>IF($H7929=0,1,IF($I7929&lt;=1,2,0))</f>
        <v>2</v>
      </c>
      <c r="K7929">
        <v>5</v>
      </c>
      <c r="L7929">
        <f>IF(AND($J7929=0,$K7929=0),0,1)</f>
        <v>1</v>
      </c>
    </row>
    <row r="7930" spans="1:12" x14ac:dyDescent="0.2">
      <c r="A7930" t="s">
        <v>174</v>
      </c>
      <c r="B7930" t="s">
        <v>71</v>
      </c>
      <c r="C7930" t="s">
        <v>72</v>
      </c>
      <c r="D7930">
        <v>9100</v>
      </c>
      <c r="E7930">
        <v>2019</v>
      </c>
      <c r="F7930">
        <v>18</v>
      </c>
      <c r="G7930">
        <v>43438</v>
      </c>
      <c r="H7930" s="1" t="s">
        <v>1828</v>
      </c>
      <c r="I7930">
        <v>0</v>
      </c>
      <c r="J7930">
        <f>IF($H7930=0,1,IF($I7930&lt;=1,2,0))</f>
        <v>2</v>
      </c>
      <c r="K7930">
        <v>5</v>
      </c>
      <c r="L7930">
        <f>IF(AND($J7930=0,$K7930=0),0,1)</f>
        <v>1</v>
      </c>
    </row>
    <row r="7931" spans="1:12" x14ac:dyDescent="0.2">
      <c r="A7931" t="s">
        <v>174</v>
      </c>
      <c r="B7931" t="s">
        <v>71</v>
      </c>
      <c r="C7931" t="s">
        <v>72</v>
      </c>
      <c r="D7931">
        <v>9100</v>
      </c>
      <c r="E7931">
        <v>2019</v>
      </c>
      <c r="F7931">
        <v>20</v>
      </c>
      <c r="G7931">
        <v>43440</v>
      </c>
      <c r="H7931" s="1" t="s">
        <v>1828</v>
      </c>
      <c r="I7931">
        <v>0</v>
      </c>
      <c r="J7931">
        <f>IF($H7931=0,1,IF($I7931&lt;=1,2,0))</f>
        <v>2</v>
      </c>
      <c r="K7931">
        <v>5</v>
      </c>
      <c r="L7931">
        <f>IF(AND($J7931=0,$K7931=0),0,1)</f>
        <v>1</v>
      </c>
    </row>
    <row r="7932" spans="1:12" x14ac:dyDescent="0.2">
      <c r="A7932" t="s">
        <v>174</v>
      </c>
      <c r="B7932" t="s">
        <v>71</v>
      </c>
      <c r="C7932" t="s">
        <v>72</v>
      </c>
      <c r="D7932">
        <v>9100</v>
      </c>
      <c r="E7932">
        <v>2019</v>
      </c>
      <c r="F7932">
        <v>23</v>
      </c>
      <c r="G7932">
        <v>43481</v>
      </c>
      <c r="H7932" s="1" t="s">
        <v>1828</v>
      </c>
      <c r="I7932">
        <v>0</v>
      </c>
      <c r="J7932">
        <f>IF($H7932=0,1,IF($I7932&lt;=1,2,0))</f>
        <v>2</v>
      </c>
      <c r="K7932">
        <v>5</v>
      </c>
      <c r="L7932">
        <f>IF(AND($J7932=0,$K7932=0),0,1)</f>
        <v>1</v>
      </c>
    </row>
    <row r="7933" spans="1:12" x14ac:dyDescent="0.2">
      <c r="A7933" t="s">
        <v>174</v>
      </c>
      <c r="B7933" t="s">
        <v>71</v>
      </c>
      <c r="C7933" t="s">
        <v>72</v>
      </c>
      <c r="D7933">
        <v>9100</v>
      </c>
      <c r="E7933">
        <v>2019</v>
      </c>
      <c r="F7933">
        <v>24</v>
      </c>
      <c r="G7933">
        <v>43444</v>
      </c>
      <c r="H7933" s="1" t="s">
        <v>1828</v>
      </c>
      <c r="I7933">
        <v>0</v>
      </c>
      <c r="J7933">
        <f>IF($H7933=0,1,IF($I7933&lt;=1,2,0))</f>
        <v>2</v>
      </c>
      <c r="K7933">
        <v>5</v>
      </c>
      <c r="L7933">
        <f>IF(AND($J7933=0,$K7933=0),0,1)</f>
        <v>1</v>
      </c>
    </row>
    <row r="7934" spans="1:12" x14ac:dyDescent="0.2">
      <c r="A7934" t="s">
        <v>174</v>
      </c>
      <c r="B7934" t="s">
        <v>71</v>
      </c>
      <c r="C7934" t="s">
        <v>72</v>
      </c>
      <c r="D7934">
        <v>9100</v>
      </c>
      <c r="E7934">
        <v>2019</v>
      </c>
      <c r="F7934">
        <v>26</v>
      </c>
      <c r="G7934">
        <v>43446</v>
      </c>
      <c r="H7934" s="1" t="s">
        <v>1828</v>
      </c>
      <c r="I7934">
        <v>0</v>
      </c>
      <c r="J7934">
        <f>IF($H7934=0,1,IF($I7934&lt;=1,2,0))</f>
        <v>2</v>
      </c>
      <c r="K7934">
        <v>5</v>
      </c>
      <c r="L7934">
        <f>IF(AND($J7934=0,$K7934=0),0,1)</f>
        <v>1</v>
      </c>
    </row>
    <row r="7935" spans="1:12" x14ac:dyDescent="0.2">
      <c r="A7935" t="s">
        <v>174</v>
      </c>
      <c r="B7935" t="s">
        <v>71</v>
      </c>
      <c r="C7935" t="s">
        <v>72</v>
      </c>
      <c r="D7935">
        <v>9500</v>
      </c>
      <c r="E7935">
        <v>2019</v>
      </c>
      <c r="F7935">
        <v>12</v>
      </c>
      <c r="G7935">
        <v>43356</v>
      </c>
      <c r="H7935" s="1" t="s">
        <v>1828</v>
      </c>
      <c r="I7935">
        <v>11</v>
      </c>
      <c r="J7935">
        <f>IF($H7935=0,1,IF($I7935&lt;=1,2,0))</f>
        <v>0</v>
      </c>
      <c r="K7935">
        <v>5</v>
      </c>
      <c r="L7935">
        <f>IF(AND($J7935=0,$K7935=0),0,1)</f>
        <v>1</v>
      </c>
    </row>
    <row r="7936" spans="1:12" x14ac:dyDescent="0.2">
      <c r="A7936" t="s">
        <v>174</v>
      </c>
      <c r="B7936" t="s">
        <v>71</v>
      </c>
      <c r="C7936" t="s">
        <v>72</v>
      </c>
      <c r="D7936">
        <v>9500</v>
      </c>
      <c r="E7936">
        <v>2019</v>
      </c>
      <c r="F7936">
        <v>6</v>
      </c>
      <c r="G7936">
        <v>43350</v>
      </c>
      <c r="H7936" s="1" t="s">
        <v>1828</v>
      </c>
      <c r="I7936">
        <v>7</v>
      </c>
      <c r="J7936">
        <f>IF($H7936=0,1,IF($I7936&lt;=1,2,0))</f>
        <v>0</v>
      </c>
      <c r="K7936">
        <v>5</v>
      </c>
      <c r="L7936">
        <f>IF(AND($J7936=0,$K7936=0),0,1)</f>
        <v>1</v>
      </c>
    </row>
    <row r="7937" spans="1:12" x14ac:dyDescent="0.2">
      <c r="A7937" t="s">
        <v>174</v>
      </c>
      <c r="B7937" t="s">
        <v>71</v>
      </c>
      <c r="C7937" t="s">
        <v>72</v>
      </c>
      <c r="D7937">
        <v>9500</v>
      </c>
      <c r="E7937">
        <v>2019</v>
      </c>
      <c r="F7937">
        <v>2</v>
      </c>
      <c r="G7937">
        <v>43346</v>
      </c>
      <c r="H7937" s="1" t="s">
        <v>1828</v>
      </c>
      <c r="I7937">
        <v>6</v>
      </c>
      <c r="J7937">
        <f>IF($H7937=0,1,IF($I7937&lt;=1,2,0))</f>
        <v>0</v>
      </c>
      <c r="K7937">
        <v>5</v>
      </c>
      <c r="L7937">
        <f>IF(AND($J7937=0,$K7937=0),0,1)</f>
        <v>1</v>
      </c>
    </row>
    <row r="7938" spans="1:12" x14ac:dyDescent="0.2">
      <c r="A7938" t="s">
        <v>174</v>
      </c>
      <c r="B7938" t="s">
        <v>71</v>
      </c>
      <c r="C7938" t="s">
        <v>72</v>
      </c>
      <c r="D7938">
        <v>9500</v>
      </c>
      <c r="E7938">
        <v>2019</v>
      </c>
      <c r="F7938">
        <v>10</v>
      </c>
      <c r="G7938">
        <v>43354</v>
      </c>
      <c r="H7938" s="1" t="s">
        <v>1828</v>
      </c>
      <c r="I7938">
        <v>6</v>
      </c>
      <c r="J7938">
        <f>IF($H7938=0,1,IF($I7938&lt;=1,2,0))</f>
        <v>0</v>
      </c>
      <c r="K7938">
        <v>5</v>
      </c>
      <c r="L7938">
        <f>IF(AND($J7938=0,$K7938=0),0,1)</f>
        <v>1</v>
      </c>
    </row>
    <row r="7939" spans="1:12" x14ac:dyDescent="0.2">
      <c r="A7939" t="s">
        <v>174</v>
      </c>
      <c r="B7939" t="s">
        <v>71</v>
      </c>
      <c r="C7939" t="s">
        <v>72</v>
      </c>
      <c r="D7939">
        <v>9500</v>
      </c>
      <c r="E7939">
        <v>2019</v>
      </c>
      <c r="F7939">
        <v>11</v>
      </c>
      <c r="G7939">
        <v>43355</v>
      </c>
      <c r="H7939" s="1" t="s">
        <v>1828</v>
      </c>
      <c r="I7939">
        <v>4</v>
      </c>
      <c r="J7939">
        <f>IF($H7939=0,1,IF($I7939&lt;=1,2,0))</f>
        <v>0</v>
      </c>
      <c r="K7939">
        <v>5</v>
      </c>
      <c r="L7939">
        <f>IF(AND($J7939=0,$K7939=0),0,1)</f>
        <v>1</v>
      </c>
    </row>
    <row r="7940" spans="1:12" x14ac:dyDescent="0.2">
      <c r="A7940" t="s">
        <v>174</v>
      </c>
      <c r="B7940" t="s">
        <v>71</v>
      </c>
      <c r="C7940" t="s">
        <v>72</v>
      </c>
      <c r="D7940">
        <v>9500</v>
      </c>
      <c r="E7940">
        <v>2019</v>
      </c>
      <c r="F7940">
        <v>14</v>
      </c>
      <c r="G7940">
        <v>43358</v>
      </c>
      <c r="H7940" s="1" t="s">
        <v>1828</v>
      </c>
      <c r="I7940">
        <v>4</v>
      </c>
      <c r="J7940">
        <f>IF($H7940=0,1,IF($I7940&lt;=1,2,0))</f>
        <v>0</v>
      </c>
      <c r="K7940">
        <v>5</v>
      </c>
      <c r="L7940">
        <f>IF(AND($J7940=0,$K7940=0),0,1)</f>
        <v>1</v>
      </c>
    </row>
    <row r="7941" spans="1:12" x14ac:dyDescent="0.2">
      <c r="A7941" t="s">
        <v>174</v>
      </c>
      <c r="B7941" t="s">
        <v>71</v>
      </c>
      <c r="C7941" t="s">
        <v>72</v>
      </c>
      <c r="D7941">
        <v>9500</v>
      </c>
      <c r="E7941">
        <v>2019</v>
      </c>
      <c r="F7941">
        <v>27</v>
      </c>
      <c r="G7941">
        <v>43371</v>
      </c>
      <c r="H7941" s="1" t="s">
        <v>1828</v>
      </c>
      <c r="I7941">
        <v>4</v>
      </c>
      <c r="J7941">
        <f>IF($H7941=0,1,IF($I7941&lt;=1,2,0))</f>
        <v>0</v>
      </c>
      <c r="K7941">
        <v>5</v>
      </c>
      <c r="L7941">
        <f>IF(AND($J7941=0,$K7941=0),0,1)</f>
        <v>1</v>
      </c>
    </row>
    <row r="7942" spans="1:12" x14ac:dyDescent="0.2">
      <c r="A7942" t="s">
        <v>174</v>
      </c>
      <c r="B7942" t="s">
        <v>71</v>
      </c>
      <c r="C7942" t="s">
        <v>72</v>
      </c>
      <c r="D7942">
        <v>9500</v>
      </c>
      <c r="E7942">
        <v>2019</v>
      </c>
      <c r="F7942">
        <v>28</v>
      </c>
      <c r="G7942">
        <v>43372</v>
      </c>
      <c r="H7942" s="1" t="s">
        <v>1828</v>
      </c>
      <c r="I7942">
        <v>4</v>
      </c>
      <c r="J7942">
        <f>IF($H7942=0,1,IF($I7942&lt;=1,2,0))</f>
        <v>0</v>
      </c>
      <c r="K7942">
        <v>5</v>
      </c>
      <c r="L7942">
        <f>IF(AND($J7942=0,$K7942=0),0,1)</f>
        <v>1</v>
      </c>
    </row>
    <row r="7943" spans="1:12" x14ac:dyDescent="0.2">
      <c r="A7943" t="s">
        <v>174</v>
      </c>
      <c r="B7943" t="s">
        <v>71</v>
      </c>
      <c r="C7943" t="s">
        <v>72</v>
      </c>
      <c r="D7943">
        <v>9500</v>
      </c>
      <c r="E7943">
        <v>2019</v>
      </c>
      <c r="F7943">
        <v>7</v>
      </c>
      <c r="G7943">
        <v>43351</v>
      </c>
      <c r="H7943" s="1" t="s">
        <v>1828</v>
      </c>
      <c r="I7943">
        <v>3</v>
      </c>
      <c r="J7943">
        <f>IF($H7943=0,1,IF($I7943&lt;=1,2,0))</f>
        <v>0</v>
      </c>
      <c r="K7943">
        <v>5</v>
      </c>
      <c r="L7943">
        <f>IF(AND($J7943=0,$K7943=0),0,1)</f>
        <v>1</v>
      </c>
    </row>
    <row r="7944" spans="1:12" x14ac:dyDescent="0.2">
      <c r="A7944" t="s">
        <v>174</v>
      </c>
      <c r="B7944" t="s">
        <v>71</v>
      </c>
      <c r="C7944" t="s">
        <v>72</v>
      </c>
      <c r="D7944">
        <v>9500</v>
      </c>
      <c r="E7944">
        <v>2019</v>
      </c>
      <c r="F7944">
        <v>17</v>
      </c>
      <c r="G7944">
        <v>43361</v>
      </c>
      <c r="H7944" s="1" t="s">
        <v>1828</v>
      </c>
      <c r="I7944">
        <v>3</v>
      </c>
      <c r="J7944">
        <f>IF($H7944=0,1,IF($I7944&lt;=1,2,0))</f>
        <v>0</v>
      </c>
      <c r="K7944">
        <v>5</v>
      </c>
      <c r="L7944">
        <f>IF(AND($J7944=0,$K7944=0),0,1)</f>
        <v>1</v>
      </c>
    </row>
    <row r="7945" spans="1:12" x14ac:dyDescent="0.2">
      <c r="A7945" t="s">
        <v>174</v>
      </c>
      <c r="B7945" t="s">
        <v>71</v>
      </c>
      <c r="C7945" t="s">
        <v>72</v>
      </c>
      <c r="D7945">
        <v>9500</v>
      </c>
      <c r="E7945">
        <v>2019</v>
      </c>
      <c r="F7945">
        <v>22</v>
      </c>
      <c r="G7945">
        <v>43366</v>
      </c>
      <c r="H7945" s="1" t="s">
        <v>1828</v>
      </c>
      <c r="I7945">
        <v>3</v>
      </c>
      <c r="J7945">
        <f>IF($H7945=0,1,IF($I7945&lt;=1,2,0))</f>
        <v>0</v>
      </c>
      <c r="K7945">
        <v>5</v>
      </c>
      <c r="L7945">
        <f>IF(AND($J7945=0,$K7945=0),0,1)</f>
        <v>1</v>
      </c>
    </row>
    <row r="7946" spans="1:12" x14ac:dyDescent="0.2">
      <c r="A7946" t="s">
        <v>174</v>
      </c>
      <c r="B7946" t="s">
        <v>71</v>
      </c>
      <c r="C7946" t="s">
        <v>72</v>
      </c>
      <c r="D7946">
        <v>9500</v>
      </c>
      <c r="E7946">
        <v>2019</v>
      </c>
      <c r="F7946">
        <v>1</v>
      </c>
      <c r="G7946">
        <v>43345</v>
      </c>
      <c r="H7946" s="1" t="s">
        <v>1828</v>
      </c>
      <c r="I7946">
        <v>2</v>
      </c>
      <c r="J7946">
        <f>IF($H7946=0,1,IF($I7946&lt;=1,2,0))</f>
        <v>0</v>
      </c>
      <c r="K7946">
        <v>5</v>
      </c>
      <c r="L7946">
        <f>IF(AND($J7946=0,$K7946=0),0,1)</f>
        <v>1</v>
      </c>
    </row>
    <row r="7947" spans="1:12" x14ac:dyDescent="0.2">
      <c r="A7947" t="s">
        <v>174</v>
      </c>
      <c r="B7947" t="s">
        <v>71</v>
      </c>
      <c r="C7947" t="s">
        <v>72</v>
      </c>
      <c r="D7947">
        <v>9500</v>
      </c>
      <c r="E7947">
        <v>2019</v>
      </c>
      <c r="F7947">
        <v>3</v>
      </c>
      <c r="G7947">
        <v>43347</v>
      </c>
      <c r="H7947" s="1" t="s">
        <v>1828</v>
      </c>
      <c r="I7947">
        <v>2</v>
      </c>
      <c r="J7947">
        <f>IF($H7947=0,1,IF($I7947&lt;=1,2,0))</f>
        <v>0</v>
      </c>
      <c r="K7947">
        <v>5</v>
      </c>
      <c r="L7947">
        <f>IF(AND($J7947=0,$K7947=0),0,1)</f>
        <v>1</v>
      </c>
    </row>
    <row r="7948" spans="1:12" x14ac:dyDescent="0.2">
      <c r="A7948" t="s">
        <v>174</v>
      </c>
      <c r="B7948" t="s">
        <v>71</v>
      </c>
      <c r="C7948" t="s">
        <v>72</v>
      </c>
      <c r="D7948">
        <v>9500</v>
      </c>
      <c r="E7948">
        <v>2019</v>
      </c>
      <c r="F7948">
        <v>5</v>
      </c>
      <c r="G7948">
        <v>43349</v>
      </c>
      <c r="H7948" s="1" t="s">
        <v>1828</v>
      </c>
      <c r="I7948">
        <v>2</v>
      </c>
      <c r="J7948">
        <f>IF($H7948=0,1,IF($I7948&lt;=1,2,0))</f>
        <v>0</v>
      </c>
      <c r="K7948">
        <v>5</v>
      </c>
      <c r="L7948">
        <f>IF(AND($J7948=0,$K7948=0),0,1)</f>
        <v>1</v>
      </c>
    </row>
    <row r="7949" spans="1:12" x14ac:dyDescent="0.2">
      <c r="A7949" t="s">
        <v>174</v>
      </c>
      <c r="B7949" t="s">
        <v>71</v>
      </c>
      <c r="C7949" t="s">
        <v>72</v>
      </c>
      <c r="D7949">
        <v>9500</v>
      </c>
      <c r="E7949">
        <v>2019</v>
      </c>
      <c r="F7949">
        <v>9</v>
      </c>
      <c r="G7949">
        <v>43353</v>
      </c>
      <c r="H7949" s="1" t="s">
        <v>1828</v>
      </c>
      <c r="I7949">
        <v>2</v>
      </c>
      <c r="J7949">
        <f>IF($H7949=0,1,IF($I7949&lt;=1,2,0))</f>
        <v>0</v>
      </c>
      <c r="K7949">
        <v>5</v>
      </c>
      <c r="L7949">
        <f>IF(AND($J7949=0,$K7949=0),0,1)</f>
        <v>1</v>
      </c>
    </row>
    <row r="7950" spans="1:12" x14ac:dyDescent="0.2">
      <c r="A7950" t="s">
        <v>174</v>
      </c>
      <c r="B7950" t="s">
        <v>71</v>
      </c>
      <c r="C7950" t="s">
        <v>72</v>
      </c>
      <c r="D7950">
        <v>9500</v>
      </c>
      <c r="E7950">
        <v>2019</v>
      </c>
      <c r="F7950">
        <v>16</v>
      </c>
      <c r="G7950">
        <v>43360</v>
      </c>
      <c r="H7950" s="1" t="s">
        <v>1828</v>
      </c>
      <c r="I7950">
        <v>2</v>
      </c>
      <c r="J7950">
        <f>IF($H7950=0,1,IF($I7950&lt;=1,2,0))</f>
        <v>0</v>
      </c>
      <c r="K7950">
        <v>5</v>
      </c>
      <c r="L7950">
        <f>IF(AND($J7950=0,$K7950=0),0,1)</f>
        <v>1</v>
      </c>
    </row>
    <row r="7951" spans="1:12" x14ac:dyDescent="0.2">
      <c r="A7951" t="s">
        <v>174</v>
      </c>
      <c r="B7951" t="s">
        <v>71</v>
      </c>
      <c r="C7951" t="s">
        <v>72</v>
      </c>
      <c r="D7951">
        <v>9500</v>
      </c>
      <c r="E7951">
        <v>2019</v>
      </c>
      <c r="F7951">
        <v>18</v>
      </c>
      <c r="G7951">
        <v>43362</v>
      </c>
      <c r="H7951" s="1" t="s">
        <v>1828</v>
      </c>
      <c r="I7951">
        <v>2</v>
      </c>
      <c r="J7951">
        <f>IF($H7951=0,1,IF($I7951&lt;=1,2,0))</f>
        <v>0</v>
      </c>
      <c r="K7951">
        <v>5</v>
      </c>
      <c r="L7951">
        <f>IF(AND($J7951=0,$K7951=0),0,1)</f>
        <v>1</v>
      </c>
    </row>
    <row r="7952" spans="1:12" x14ac:dyDescent="0.2">
      <c r="A7952" t="s">
        <v>174</v>
      </c>
      <c r="B7952" t="s">
        <v>71</v>
      </c>
      <c r="C7952" t="s">
        <v>72</v>
      </c>
      <c r="D7952">
        <v>9500</v>
      </c>
      <c r="E7952">
        <v>2019</v>
      </c>
      <c r="F7952">
        <v>19</v>
      </c>
      <c r="G7952">
        <v>43363</v>
      </c>
      <c r="H7952" s="1" t="s">
        <v>1828</v>
      </c>
      <c r="I7952">
        <v>1</v>
      </c>
      <c r="J7952">
        <f>IF($H7952=0,1,IF($I7952&lt;=1,2,0))</f>
        <v>2</v>
      </c>
      <c r="K7952">
        <v>5</v>
      </c>
      <c r="L7952">
        <f>IF(AND($J7952=0,$K7952=0),0,1)</f>
        <v>1</v>
      </c>
    </row>
    <row r="7953" spans="1:12" x14ac:dyDescent="0.2">
      <c r="A7953" t="s">
        <v>174</v>
      </c>
      <c r="B7953" t="s">
        <v>71</v>
      </c>
      <c r="C7953" t="s">
        <v>72</v>
      </c>
      <c r="D7953">
        <v>9500</v>
      </c>
      <c r="E7953">
        <v>2019</v>
      </c>
      <c r="F7953">
        <v>25</v>
      </c>
      <c r="G7953">
        <v>43369</v>
      </c>
      <c r="H7953" s="1" t="s">
        <v>1828</v>
      </c>
      <c r="I7953">
        <v>1</v>
      </c>
      <c r="J7953">
        <f>IF($H7953=0,1,IF($I7953&lt;=1,2,0))</f>
        <v>2</v>
      </c>
      <c r="K7953">
        <v>5</v>
      </c>
      <c r="L7953">
        <f>IF(AND($J7953=0,$K7953=0),0,1)</f>
        <v>1</v>
      </c>
    </row>
    <row r="7954" spans="1:12" x14ac:dyDescent="0.2">
      <c r="A7954" t="s">
        <v>174</v>
      </c>
      <c r="B7954" t="s">
        <v>71</v>
      </c>
      <c r="C7954" t="s">
        <v>72</v>
      </c>
      <c r="D7954">
        <v>9500</v>
      </c>
      <c r="E7954">
        <v>2019</v>
      </c>
      <c r="F7954">
        <v>26</v>
      </c>
      <c r="G7954">
        <v>43370</v>
      </c>
      <c r="H7954" s="1" t="s">
        <v>1828</v>
      </c>
      <c r="I7954">
        <v>1</v>
      </c>
      <c r="J7954">
        <f>IF($H7954=0,1,IF($I7954&lt;=1,2,0))</f>
        <v>2</v>
      </c>
      <c r="K7954">
        <v>5</v>
      </c>
      <c r="L7954">
        <f>IF(AND($J7954=0,$K7954=0),0,1)</f>
        <v>1</v>
      </c>
    </row>
    <row r="7955" spans="1:12" x14ac:dyDescent="0.2">
      <c r="A7955" t="s">
        <v>174</v>
      </c>
      <c r="B7955" t="s">
        <v>71</v>
      </c>
      <c r="C7955" t="s">
        <v>72</v>
      </c>
      <c r="D7955">
        <v>9500</v>
      </c>
      <c r="E7955">
        <v>2019</v>
      </c>
      <c r="F7955">
        <v>29</v>
      </c>
      <c r="G7955">
        <v>43373</v>
      </c>
      <c r="H7955" s="1" t="s">
        <v>1828</v>
      </c>
      <c r="I7955">
        <v>1</v>
      </c>
      <c r="J7955">
        <f>IF($H7955=0,1,IF($I7955&lt;=1,2,0))</f>
        <v>2</v>
      </c>
      <c r="K7955">
        <v>5</v>
      </c>
      <c r="L7955">
        <f>IF(AND($J7955=0,$K7955=0),0,1)</f>
        <v>1</v>
      </c>
    </row>
    <row r="7956" spans="1:12" x14ac:dyDescent="0.2">
      <c r="A7956" t="s">
        <v>174</v>
      </c>
      <c r="B7956" t="s">
        <v>71</v>
      </c>
      <c r="C7956" t="s">
        <v>72</v>
      </c>
      <c r="D7956">
        <v>9500</v>
      </c>
      <c r="E7956">
        <v>2019</v>
      </c>
      <c r="F7956">
        <v>30</v>
      </c>
      <c r="G7956">
        <v>18172</v>
      </c>
      <c r="H7956" s="1" t="s">
        <v>1828</v>
      </c>
      <c r="I7956">
        <v>1</v>
      </c>
      <c r="J7956">
        <f>IF($H7956=0,1,IF($I7956&lt;=1,2,0))</f>
        <v>2</v>
      </c>
      <c r="K7956">
        <v>5</v>
      </c>
      <c r="L7956">
        <f>IF(AND($J7956=0,$K7956=0),0,1)</f>
        <v>1</v>
      </c>
    </row>
    <row r="7957" spans="1:12" x14ac:dyDescent="0.2">
      <c r="A7957" t="s">
        <v>174</v>
      </c>
      <c r="B7957" t="s">
        <v>71</v>
      </c>
      <c r="C7957" t="s">
        <v>72</v>
      </c>
      <c r="D7957">
        <v>9500</v>
      </c>
      <c r="E7957">
        <v>2019</v>
      </c>
      <c r="F7957">
        <v>4</v>
      </c>
      <c r="G7957">
        <v>43348</v>
      </c>
      <c r="H7957" s="1" t="s">
        <v>1828</v>
      </c>
      <c r="I7957">
        <v>0</v>
      </c>
      <c r="J7957">
        <f>IF($H7957=0,1,IF($I7957&lt;=1,2,0))</f>
        <v>2</v>
      </c>
      <c r="K7957">
        <v>5</v>
      </c>
      <c r="L7957">
        <f>IF(AND($J7957=0,$K7957=0),0,1)</f>
        <v>1</v>
      </c>
    </row>
    <row r="7958" spans="1:12" x14ac:dyDescent="0.2">
      <c r="A7958" t="s">
        <v>174</v>
      </c>
      <c r="B7958" t="s">
        <v>71</v>
      </c>
      <c r="C7958" t="s">
        <v>72</v>
      </c>
      <c r="D7958">
        <v>9500</v>
      </c>
      <c r="E7958">
        <v>2019</v>
      </c>
      <c r="F7958">
        <v>8</v>
      </c>
      <c r="G7958">
        <v>43482</v>
      </c>
      <c r="H7958" s="1" t="s">
        <v>1828</v>
      </c>
      <c r="I7958">
        <v>0</v>
      </c>
      <c r="J7958">
        <f>IF($H7958=0,1,IF($I7958&lt;=1,2,0))</f>
        <v>2</v>
      </c>
      <c r="K7958">
        <v>5</v>
      </c>
      <c r="L7958">
        <f>IF(AND($J7958=0,$K7958=0),0,1)</f>
        <v>1</v>
      </c>
    </row>
    <row r="7959" spans="1:12" x14ac:dyDescent="0.2">
      <c r="A7959" t="s">
        <v>174</v>
      </c>
      <c r="B7959" t="s">
        <v>71</v>
      </c>
      <c r="C7959" t="s">
        <v>72</v>
      </c>
      <c r="D7959">
        <v>9500</v>
      </c>
      <c r="E7959">
        <v>2019</v>
      </c>
      <c r="F7959">
        <v>13</v>
      </c>
      <c r="G7959">
        <v>43357</v>
      </c>
      <c r="H7959" s="1" t="s">
        <v>1828</v>
      </c>
      <c r="I7959">
        <v>0</v>
      </c>
      <c r="J7959">
        <f>IF($H7959=0,1,IF($I7959&lt;=1,2,0))</f>
        <v>2</v>
      </c>
      <c r="K7959">
        <v>5</v>
      </c>
      <c r="L7959">
        <f>IF(AND($J7959=0,$K7959=0),0,1)</f>
        <v>1</v>
      </c>
    </row>
    <row r="7960" spans="1:12" x14ac:dyDescent="0.2">
      <c r="A7960" t="s">
        <v>174</v>
      </c>
      <c r="B7960" t="s">
        <v>71</v>
      </c>
      <c r="C7960" t="s">
        <v>72</v>
      </c>
      <c r="D7960">
        <v>9500</v>
      </c>
      <c r="E7960">
        <v>2019</v>
      </c>
      <c r="F7960">
        <v>15</v>
      </c>
      <c r="G7960">
        <v>43359</v>
      </c>
      <c r="H7960" s="1" t="s">
        <v>1828</v>
      </c>
      <c r="I7960">
        <v>0</v>
      </c>
      <c r="J7960">
        <f>IF($H7960=0,1,IF($I7960&lt;=1,2,0))</f>
        <v>2</v>
      </c>
      <c r="K7960">
        <v>5</v>
      </c>
      <c r="L7960">
        <f>IF(AND($J7960=0,$K7960=0),0,1)</f>
        <v>1</v>
      </c>
    </row>
    <row r="7961" spans="1:12" x14ac:dyDescent="0.2">
      <c r="A7961" t="s">
        <v>174</v>
      </c>
      <c r="B7961" t="s">
        <v>71</v>
      </c>
      <c r="C7961" t="s">
        <v>72</v>
      </c>
      <c r="D7961">
        <v>9500</v>
      </c>
      <c r="E7961">
        <v>2019</v>
      </c>
      <c r="F7961">
        <v>20</v>
      </c>
      <c r="G7961">
        <v>43364</v>
      </c>
      <c r="H7961" s="1" t="s">
        <v>1828</v>
      </c>
      <c r="I7961">
        <v>0</v>
      </c>
      <c r="J7961">
        <f>IF($H7961=0,1,IF($I7961&lt;=1,2,0))</f>
        <v>2</v>
      </c>
      <c r="K7961">
        <v>5</v>
      </c>
      <c r="L7961">
        <f>IF(AND($J7961=0,$K7961=0),0,1)</f>
        <v>1</v>
      </c>
    </row>
    <row r="7962" spans="1:12" x14ac:dyDescent="0.2">
      <c r="A7962" t="s">
        <v>174</v>
      </c>
      <c r="B7962" t="s">
        <v>71</v>
      </c>
      <c r="C7962" t="s">
        <v>72</v>
      </c>
      <c r="D7962">
        <v>9500</v>
      </c>
      <c r="E7962">
        <v>2019</v>
      </c>
      <c r="F7962">
        <v>21</v>
      </c>
      <c r="G7962">
        <v>43365</v>
      </c>
      <c r="H7962" s="1" t="s">
        <v>1828</v>
      </c>
      <c r="I7962">
        <v>0</v>
      </c>
      <c r="J7962">
        <f>IF($H7962=0,1,IF($I7962&lt;=1,2,0))</f>
        <v>2</v>
      </c>
      <c r="K7962">
        <v>5</v>
      </c>
      <c r="L7962">
        <f>IF(AND($J7962=0,$K7962=0),0,1)</f>
        <v>1</v>
      </c>
    </row>
    <row r="7963" spans="1:12" x14ac:dyDescent="0.2">
      <c r="A7963" t="s">
        <v>174</v>
      </c>
      <c r="B7963" t="s">
        <v>71</v>
      </c>
      <c r="C7963" t="s">
        <v>72</v>
      </c>
      <c r="D7963">
        <v>9500</v>
      </c>
      <c r="E7963">
        <v>2019</v>
      </c>
      <c r="F7963">
        <v>23</v>
      </c>
      <c r="G7963">
        <v>43483</v>
      </c>
      <c r="H7963" s="1" t="s">
        <v>1828</v>
      </c>
      <c r="I7963">
        <v>0</v>
      </c>
      <c r="J7963">
        <f>IF($H7963=0,1,IF($I7963&lt;=1,2,0))</f>
        <v>2</v>
      </c>
      <c r="K7963">
        <v>5</v>
      </c>
      <c r="L7963">
        <f>IF(AND($J7963=0,$K7963=0),0,1)</f>
        <v>1</v>
      </c>
    </row>
    <row r="7964" spans="1:12" x14ac:dyDescent="0.2">
      <c r="A7964" t="s">
        <v>174</v>
      </c>
      <c r="B7964" t="s">
        <v>71</v>
      </c>
      <c r="C7964" t="s">
        <v>72</v>
      </c>
      <c r="D7964">
        <v>9500</v>
      </c>
      <c r="E7964">
        <v>2019</v>
      </c>
      <c r="F7964">
        <v>24</v>
      </c>
      <c r="G7964">
        <v>43368</v>
      </c>
      <c r="H7964" s="1" t="s">
        <v>1828</v>
      </c>
      <c r="I7964">
        <v>0</v>
      </c>
      <c r="J7964">
        <f>IF($H7964=0,1,IF($I7964&lt;=1,2,0))</f>
        <v>2</v>
      </c>
      <c r="K7964">
        <v>5</v>
      </c>
      <c r="L7964">
        <f>IF(AND($J7964=0,$K7964=0),0,1)</f>
        <v>1</v>
      </c>
    </row>
    <row r="7965" spans="1:12" x14ac:dyDescent="0.2">
      <c r="A7965" t="s">
        <v>174</v>
      </c>
      <c r="B7965" t="s">
        <v>71</v>
      </c>
      <c r="C7965" t="s">
        <v>72</v>
      </c>
      <c r="D7965">
        <v>9700</v>
      </c>
      <c r="E7965">
        <v>2019</v>
      </c>
      <c r="F7965">
        <v>1</v>
      </c>
      <c r="G7965">
        <v>43416</v>
      </c>
      <c r="H7965" s="1">
        <v>0</v>
      </c>
      <c r="I7965">
        <v>101</v>
      </c>
      <c r="J7965">
        <f>IF($H7965=0,1,IF($I7965&lt;=1,2,0))</f>
        <v>1</v>
      </c>
      <c r="K7965">
        <v>5</v>
      </c>
      <c r="L7965">
        <f>IF(AND($J7965=0,$K7965=0),0,1)</f>
        <v>1</v>
      </c>
    </row>
    <row r="7966" spans="1:12" x14ac:dyDescent="0.2">
      <c r="A7966" t="s">
        <v>174</v>
      </c>
      <c r="B7966" t="s">
        <v>71</v>
      </c>
      <c r="C7966" t="s">
        <v>72</v>
      </c>
      <c r="D7966">
        <v>9800</v>
      </c>
      <c r="E7966">
        <v>2019</v>
      </c>
      <c r="F7966">
        <v>12</v>
      </c>
      <c r="G7966">
        <v>43385</v>
      </c>
      <c r="H7966" s="1" t="s">
        <v>1838</v>
      </c>
      <c r="I7966">
        <v>1</v>
      </c>
      <c r="J7966">
        <f>IF($H7966=0,1,IF($I7966&lt;=1,2,0))</f>
        <v>2</v>
      </c>
      <c r="K7966">
        <v>5</v>
      </c>
      <c r="L7966">
        <f>IF(AND($J7966=0,$K7966=0),0,1)</f>
        <v>1</v>
      </c>
    </row>
    <row r="7967" spans="1:12" x14ac:dyDescent="0.2">
      <c r="A7967" t="s">
        <v>174</v>
      </c>
      <c r="B7967" t="s">
        <v>71</v>
      </c>
      <c r="C7967" t="s">
        <v>72</v>
      </c>
      <c r="D7967">
        <v>9800</v>
      </c>
      <c r="E7967">
        <v>2019</v>
      </c>
      <c r="F7967">
        <v>26</v>
      </c>
      <c r="G7967">
        <v>43399</v>
      </c>
      <c r="H7967" s="1" t="s">
        <v>1838</v>
      </c>
      <c r="I7967">
        <v>1</v>
      </c>
      <c r="J7967">
        <f>IF($H7967=0,1,IF($I7967&lt;=1,2,0))</f>
        <v>2</v>
      </c>
      <c r="K7967">
        <v>5</v>
      </c>
      <c r="L7967">
        <f>IF(AND($J7967=0,$K7967=0),0,1)</f>
        <v>1</v>
      </c>
    </row>
    <row r="7968" spans="1:12" x14ac:dyDescent="0.2">
      <c r="A7968" t="s">
        <v>174</v>
      </c>
      <c r="B7968" t="s">
        <v>71</v>
      </c>
      <c r="C7968" t="s">
        <v>72</v>
      </c>
      <c r="D7968">
        <v>9800</v>
      </c>
      <c r="E7968">
        <v>2019</v>
      </c>
      <c r="F7968">
        <v>1</v>
      </c>
      <c r="G7968">
        <v>43374</v>
      </c>
      <c r="H7968" s="1" t="s">
        <v>1838</v>
      </c>
      <c r="I7968">
        <v>0</v>
      </c>
      <c r="J7968">
        <f>IF($H7968=0,1,IF($I7968&lt;=1,2,0))</f>
        <v>2</v>
      </c>
      <c r="K7968">
        <v>5</v>
      </c>
      <c r="L7968">
        <f>IF(AND($J7968=0,$K7968=0),0,1)</f>
        <v>1</v>
      </c>
    </row>
    <row r="7969" spans="1:12" x14ac:dyDescent="0.2">
      <c r="A7969" t="s">
        <v>174</v>
      </c>
      <c r="B7969" t="s">
        <v>71</v>
      </c>
      <c r="C7969" t="s">
        <v>72</v>
      </c>
      <c r="D7969">
        <v>9800</v>
      </c>
      <c r="E7969">
        <v>2019</v>
      </c>
      <c r="F7969">
        <v>2</v>
      </c>
      <c r="G7969">
        <v>43375</v>
      </c>
      <c r="H7969" s="1" t="s">
        <v>1838</v>
      </c>
      <c r="I7969">
        <v>0</v>
      </c>
      <c r="J7969">
        <f>IF($H7969=0,1,IF($I7969&lt;=1,2,0))</f>
        <v>2</v>
      </c>
      <c r="K7969">
        <v>5</v>
      </c>
      <c r="L7969">
        <f>IF(AND($J7969=0,$K7969=0),0,1)</f>
        <v>1</v>
      </c>
    </row>
    <row r="7970" spans="1:12" x14ac:dyDescent="0.2">
      <c r="A7970" t="s">
        <v>174</v>
      </c>
      <c r="B7970" t="s">
        <v>71</v>
      </c>
      <c r="C7970" t="s">
        <v>72</v>
      </c>
      <c r="D7970">
        <v>9800</v>
      </c>
      <c r="E7970">
        <v>2019</v>
      </c>
      <c r="F7970">
        <v>3</v>
      </c>
      <c r="G7970">
        <v>43376</v>
      </c>
      <c r="H7970" s="1" t="s">
        <v>1838</v>
      </c>
      <c r="I7970">
        <v>0</v>
      </c>
      <c r="J7970">
        <f>IF($H7970=0,1,IF($I7970&lt;=1,2,0))</f>
        <v>2</v>
      </c>
      <c r="K7970">
        <v>5</v>
      </c>
      <c r="L7970">
        <f>IF(AND($J7970=0,$K7970=0),0,1)</f>
        <v>1</v>
      </c>
    </row>
    <row r="7971" spans="1:12" x14ac:dyDescent="0.2">
      <c r="A7971" t="s">
        <v>174</v>
      </c>
      <c r="B7971" t="s">
        <v>71</v>
      </c>
      <c r="C7971" t="s">
        <v>72</v>
      </c>
      <c r="D7971">
        <v>9800</v>
      </c>
      <c r="E7971">
        <v>2019</v>
      </c>
      <c r="F7971">
        <v>4</v>
      </c>
      <c r="G7971">
        <v>43377</v>
      </c>
      <c r="H7971" s="1" t="s">
        <v>1838</v>
      </c>
      <c r="I7971">
        <v>0</v>
      </c>
      <c r="J7971">
        <f>IF($H7971=0,1,IF($I7971&lt;=1,2,0))</f>
        <v>2</v>
      </c>
      <c r="K7971">
        <v>5</v>
      </c>
      <c r="L7971">
        <f>IF(AND($J7971=0,$K7971=0),0,1)</f>
        <v>1</v>
      </c>
    </row>
    <row r="7972" spans="1:12" x14ac:dyDescent="0.2">
      <c r="A7972" t="s">
        <v>174</v>
      </c>
      <c r="B7972" t="s">
        <v>71</v>
      </c>
      <c r="C7972" t="s">
        <v>72</v>
      </c>
      <c r="D7972">
        <v>9800</v>
      </c>
      <c r="E7972">
        <v>2019</v>
      </c>
      <c r="F7972">
        <v>5</v>
      </c>
      <c r="G7972">
        <v>43378</v>
      </c>
      <c r="H7972" s="1" t="s">
        <v>1838</v>
      </c>
      <c r="I7972">
        <v>0</v>
      </c>
      <c r="J7972">
        <f>IF($H7972=0,1,IF($I7972&lt;=1,2,0))</f>
        <v>2</v>
      </c>
      <c r="K7972">
        <v>5</v>
      </c>
      <c r="L7972">
        <f>IF(AND($J7972=0,$K7972=0),0,1)</f>
        <v>1</v>
      </c>
    </row>
    <row r="7973" spans="1:12" x14ac:dyDescent="0.2">
      <c r="A7973" t="s">
        <v>174</v>
      </c>
      <c r="B7973" t="s">
        <v>71</v>
      </c>
      <c r="C7973" t="s">
        <v>72</v>
      </c>
      <c r="D7973">
        <v>9800</v>
      </c>
      <c r="E7973">
        <v>2019</v>
      </c>
      <c r="F7973">
        <v>6</v>
      </c>
      <c r="G7973">
        <v>43379</v>
      </c>
      <c r="H7973" s="1" t="s">
        <v>1838</v>
      </c>
      <c r="I7973">
        <v>0</v>
      </c>
      <c r="J7973">
        <f>IF($H7973=0,1,IF($I7973&lt;=1,2,0))</f>
        <v>2</v>
      </c>
      <c r="K7973">
        <v>5</v>
      </c>
      <c r="L7973">
        <f>IF(AND($J7973=0,$K7973=0),0,1)</f>
        <v>1</v>
      </c>
    </row>
    <row r="7974" spans="1:12" x14ac:dyDescent="0.2">
      <c r="A7974" t="s">
        <v>174</v>
      </c>
      <c r="B7974" t="s">
        <v>71</v>
      </c>
      <c r="C7974" t="s">
        <v>72</v>
      </c>
      <c r="D7974">
        <v>9800</v>
      </c>
      <c r="E7974">
        <v>2019</v>
      </c>
      <c r="F7974">
        <v>7</v>
      </c>
      <c r="G7974">
        <v>43380</v>
      </c>
      <c r="H7974" s="1" t="s">
        <v>1838</v>
      </c>
      <c r="I7974">
        <v>0</v>
      </c>
      <c r="J7974">
        <f>IF($H7974=0,1,IF($I7974&lt;=1,2,0))</f>
        <v>2</v>
      </c>
      <c r="K7974">
        <v>5</v>
      </c>
      <c r="L7974">
        <f>IF(AND($J7974=0,$K7974=0),0,1)</f>
        <v>1</v>
      </c>
    </row>
    <row r="7975" spans="1:12" x14ac:dyDescent="0.2">
      <c r="A7975" t="s">
        <v>174</v>
      </c>
      <c r="B7975" t="s">
        <v>71</v>
      </c>
      <c r="C7975" t="s">
        <v>72</v>
      </c>
      <c r="D7975">
        <v>9800</v>
      </c>
      <c r="E7975">
        <v>2019</v>
      </c>
      <c r="F7975">
        <v>8</v>
      </c>
      <c r="G7975">
        <v>43381</v>
      </c>
      <c r="H7975" s="1" t="s">
        <v>1838</v>
      </c>
      <c r="I7975">
        <v>0</v>
      </c>
      <c r="J7975">
        <f>IF($H7975=0,1,IF($I7975&lt;=1,2,0))</f>
        <v>2</v>
      </c>
      <c r="K7975">
        <v>5</v>
      </c>
      <c r="L7975">
        <f>IF(AND($J7975=0,$K7975=0),0,1)</f>
        <v>1</v>
      </c>
    </row>
    <row r="7976" spans="1:12" x14ac:dyDescent="0.2">
      <c r="A7976" t="s">
        <v>174</v>
      </c>
      <c r="B7976" t="s">
        <v>71</v>
      </c>
      <c r="C7976" t="s">
        <v>72</v>
      </c>
      <c r="D7976">
        <v>9800</v>
      </c>
      <c r="E7976">
        <v>2019</v>
      </c>
      <c r="F7976">
        <v>9</v>
      </c>
      <c r="G7976">
        <v>43382</v>
      </c>
      <c r="H7976" s="1" t="s">
        <v>1838</v>
      </c>
      <c r="I7976">
        <v>0</v>
      </c>
      <c r="J7976">
        <f>IF($H7976=0,1,IF($I7976&lt;=1,2,0))</f>
        <v>2</v>
      </c>
      <c r="K7976">
        <v>5</v>
      </c>
      <c r="L7976">
        <f>IF(AND($J7976=0,$K7976=0),0,1)</f>
        <v>1</v>
      </c>
    </row>
    <row r="7977" spans="1:12" x14ac:dyDescent="0.2">
      <c r="A7977" t="s">
        <v>174</v>
      </c>
      <c r="B7977" t="s">
        <v>71</v>
      </c>
      <c r="C7977" t="s">
        <v>72</v>
      </c>
      <c r="D7977">
        <v>9800</v>
      </c>
      <c r="E7977">
        <v>2019</v>
      </c>
      <c r="F7977">
        <v>10</v>
      </c>
      <c r="G7977">
        <v>43383</v>
      </c>
      <c r="H7977" s="1" t="s">
        <v>1838</v>
      </c>
      <c r="I7977">
        <v>0</v>
      </c>
      <c r="J7977">
        <f>IF($H7977=0,1,IF($I7977&lt;=1,2,0))</f>
        <v>2</v>
      </c>
      <c r="K7977">
        <v>5</v>
      </c>
      <c r="L7977">
        <f>IF(AND($J7977=0,$K7977=0),0,1)</f>
        <v>1</v>
      </c>
    </row>
    <row r="7978" spans="1:12" x14ac:dyDescent="0.2">
      <c r="A7978" t="s">
        <v>174</v>
      </c>
      <c r="B7978" t="s">
        <v>71</v>
      </c>
      <c r="C7978" t="s">
        <v>72</v>
      </c>
      <c r="D7978">
        <v>9800</v>
      </c>
      <c r="E7978">
        <v>2019</v>
      </c>
      <c r="F7978">
        <v>11</v>
      </c>
      <c r="G7978">
        <v>43384</v>
      </c>
      <c r="H7978" s="1" t="s">
        <v>1838</v>
      </c>
      <c r="I7978">
        <v>0</v>
      </c>
      <c r="J7978">
        <f>IF($H7978=0,1,IF($I7978&lt;=1,2,0))</f>
        <v>2</v>
      </c>
      <c r="K7978">
        <v>5</v>
      </c>
      <c r="L7978">
        <f>IF(AND($J7978=0,$K7978=0),0,1)</f>
        <v>1</v>
      </c>
    </row>
    <row r="7979" spans="1:12" x14ac:dyDescent="0.2">
      <c r="A7979" t="s">
        <v>174</v>
      </c>
      <c r="B7979" t="s">
        <v>71</v>
      </c>
      <c r="C7979" t="s">
        <v>72</v>
      </c>
      <c r="D7979">
        <v>9800</v>
      </c>
      <c r="E7979">
        <v>2019</v>
      </c>
      <c r="F7979">
        <v>13</v>
      </c>
      <c r="G7979">
        <v>43386</v>
      </c>
      <c r="H7979" s="1" t="s">
        <v>1838</v>
      </c>
      <c r="I7979">
        <v>0</v>
      </c>
      <c r="J7979">
        <f>IF($H7979=0,1,IF($I7979&lt;=1,2,0))</f>
        <v>2</v>
      </c>
      <c r="K7979">
        <v>5</v>
      </c>
      <c r="L7979">
        <f>IF(AND($J7979=0,$K7979=0),0,1)</f>
        <v>1</v>
      </c>
    </row>
    <row r="7980" spans="1:12" x14ac:dyDescent="0.2">
      <c r="A7980" t="s">
        <v>174</v>
      </c>
      <c r="B7980" t="s">
        <v>71</v>
      </c>
      <c r="C7980" t="s">
        <v>72</v>
      </c>
      <c r="D7980">
        <v>9800</v>
      </c>
      <c r="E7980">
        <v>2019</v>
      </c>
      <c r="F7980">
        <v>14</v>
      </c>
      <c r="G7980">
        <v>43387</v>
      </c>
      <c r="H7980" s="1" t="s">
        <v>1838</v>
      </c>
      <c r="I7980">
        <v>0</v>
      </c>
      <c r="J7980">
        <f>IF($H7980=0,1,IF($I7980&lt;=1,2,0))</f>
        <v>2</v>
      </c>
      <c r="K7980">
        <v>5</v>
      </c>
      <c r="L7980">
        <f>IF(AND($J7980=0,$K7980=0),0,1)</f>
        <v>1</v>
      </c>
    </row>
    <row r="7981" spans="1:12" x14ac:dyDescent="0.2">
      <c r="A7981" t="s">
        <v>174</v>
      </c>
      <c r="B7981" t="s">
        <v>71</v>
      </c>
      <c r="C7981" t="s">
        <v>72</v>
      </c>
      <c r="D7981">
        <v>9800</v>
      </c>
      <c r="E7981">
        <v>2019</v>
      </c>
      <c r="F7981">
        <v>15</v>
      </c>
      <c r="G7981">
        <v>43388</v>
      </c>
      <c r="H7981" s="1" t="s">
        <v>1838</v>
      </c>
      <c r="I7981">
        <v>0</v>
      </c>
      <c r="J7981">
        <f>IF($H7981=0,1,IF($I7981&lt;=1,2,0))</f>
        <v>2</v>
      </c>
      <c r="K7981">
        <v>5</v>
      </c>
      <c r="L7981">
        <f>IF(AND($J7981=0,$K7981=0),0,1)</f>
        <v>1</v>
      </c>
    </row>
    <row r="7982" spans="1:12" x14ac:dyDescent="0.2">
      <c r="A7982" t="s">
        <v>174</v>
      </c>
      <c r="B7982" t="s">
        <v>71</v>
      </c>
      <c r="C7982" t="s">
        <v>72</v>
      </c>
      <c r="D7982">
        <v>9800</v>
      </c>
      <c r="E7982">
        <v>2019</v>
      </c>
      <c r="F7982">
        <v>16</v>
      </c>
      <c r="G7982">
        <v>43389</v>
      </c>
      <c r="H7982" s="1" t="s">
        <v>1838</v>
      </c>
      <c r="I7982">
        <v>0</v>
      </c>
      <c r="J7982">
        <f>IF($H7982=0,1,IF($I7982&lt;=1,2,0))</f>
        <v>2</v>
      </c>
      <c r="K7982">
        <v>5</v>
      </c>
      <c r="L7982">
        <f>IF(AND($J7982=0,$K7982=0),0,1)</f>
        <v>1</v>
      </c>
    </row>
    <row r="7983" spans="1:12" x14ac:dyDescent="0.2">
      <c r="A7983" t="s">
        <v>174</v>
      </c>
      <c r="B7983" t="s">
        <v>71</v>
      </c>
      <c r="C7983" t="s">
        <v>72</v>
      </c>
      <c r="D7983">
        <v>9800</v>
      </c>
      <c r="E7983">
        <v>2019</v>
      </c>
      <c r="F7983">
        <v>17</v>
      </c>
      <c r="G7983">
        <v>43390</v>
      </c>
      <c r="H7983" s="1" t="s">
        <v>1838</v>
      </c>
      <c r="I7983">
        <v>0</v>
      </c>
      <c r="J7983">
        <f>IF($H7983=0,1,IF($I7983&lt;=1,2,0))</f>
        <v>2</v>
      </c>
      <c r="K7983">
        <v>5</v>
      </c>
      <c r="L7983">
        <f>IF(AND($J7983=0,$K7983=0),0,1)</f>
        <v>1</v>
      </c>
    </row>
    <row r="7984" spans="1:12" x14ac:dyDescent="0.2">
      <c r="A7984" t="s">
        <v>174</v>
      </c>
      <c r="B7984" t="s">
        <v>71</v>
      </c>
      <c r="C7984" t="s">
        <v>72</v>
      </c>
      <c r="D7984">
        <v>9800</v>
      </c>
      <c r="E7984">
        <v>2019</v>
      </c>
      <c r="F7984">
        <v>18</v>
      </c>
      <c r="G7984">
        <v>43391</v>
      </c>
      <c r="H7984" s="1" t="s">
        <v>1838</v>
      </c>
      <c r="I7984">
        <v>0</v>
      </c>
      <c r="J7984">
        <f>IF($H7984=0,1,IF($I7984&lt;=1,2,0))</f>
        <v>2</v>
      </c>
      <c r="K7984">
        <v>5</v>
      </c>
      <c r="L7984">
        <f>IF(AND($J7984=0,$K7984=0),0,1)</f>
        <v>1</v>
      </c>
    </row>
    <row r="7985" spans="1:12" x14ac:dyDescent="0.2">
      <c r="A7985" t="s">
        <v>174</v>
      </c>
      <c r="B7985" t="s">
        <v>71</v>
      </c>
      <c r="C7985" t="s">
        <v>72</v>
      </c>
      <c r="D7985">
        <v>9800</v>
      </c>
      <c r="E7985">
        <v>2019</v>
      </c>
      <c r="F7985">
        <v>19</v>
      </c>
      <c r="G7985">
        <v>43392</v>
      </c>
      <c r="H7985" s="1" t="s">
        <v>1838</v>
      </c>
      <c r="I7985">
        <v>0</v>
      </c>
      <c r="J7985">
        <f>IF($H7985=0,1,IF($I7985&lt;=1,2,0))</f>
        <v>2</v>
      </c>
      <c r="K7985">
        <v>5</v>
      </c>
      <c r="L7985">
        <f>IF(AND($J7985=0,$K7985=0),0,1)</f>
        <v>1</v>
      </c>
    </row>
    <row r="7986" spans="1:12" x14ac:dyDescent="0.2">
      <c r="A7986" t="s">
        <v>174</v>
      </c>
      <c r="B7986" t="s">
        <v>71</v>
      </c>
      <c r="C7986" t="s">
        <v>72</v>
      </c>
      <c r="D7986">
        <v>9800</v>
      </c>
      <c r="E7986">
        <v>2019</v>
      </c>
      <c r="F7986">
        <v>20</v>
      </c>
      <c r="G7986">
        <v>43393</v>
      </c>
      <c r="H7986" s="1" t="s">
        <v>1838</v>
      </c>
      <c r="I7986">
        <v>0</v>
      </c>
      <c r="J7986">
        <f>IF($H7986=0,1,IF($I7986&lt;=1,2,0))</f>
        <v>2</v>
      </c>
      <c r="K7986">
        <v>5</v>
      </c>
      <c r="L7986">
        <f>IF(AND($J7986=0,$K7986=0),0,1)</f>
        <v>1</v>
      </c>
    </row>
    <row r="7987" spans="1:12" x14ac:dyDescent="0.2">
      <c r="A7987" t="s">
        <v>174</v>
      </c>
      <c r="B7987" t="s">
        <v>71</v>
      </c>
      <c r="C7987" t="s">
        <v>72</v>
      </c>
      <c r="D7987">
        <v>9800</v>
      </c>
      <c r="E7987">
        <v>2019</v>
      </c>
      <c r="F7987">
        <v>21</v>
      </c>
      <c r="G7987">
        <v>43394</v>
      </c>
      <c r="H7987" s="1" t="s">
        <v>1838</v>
      </c>
      <c r="I7987">
        <v>0</v>
      </c>
      <c r="J7987">
        <f>IF($H7987=0,1,IF($I7987&lt;=1,2,0))</f>
        <v>2</v>
      </c>
      <c r="K7987">
        <v>5</v>
      </c>
      <c r="L7987">
        <f>IF(AND($J7987=0,$K7987=0),0,1)</f>
        <v>1</v>
      </c>
    </row>
    <row r="7988" spans="1:12" x14ac:dyDescent="0.2">
      <c r="A7988" t="s">
        <v>174</v>
      </c>
      <c r="B7988" t="s">
        <v>71</v>
      </c>
      <c r="C7988" t="s">
        <v>72</v>
      </c>
      <c r="D7988">
        <v>9800</v>
      </c>
      <c r="E7988">
        <v>2019</v>
      </c>
      <c r="F7988">
        <v>22</v>
      </c>
      <c r="G7988">
        <v>43395</v>
      </c>
      <c r="H7988" s="1" t="s">
        <v>1838</v>
      </c>
      <c r="I7988">
        <v>0</v>
      </c>
      <c r="J7988">
        <f>IF($H7988=0,1,IF($I7988&lt;=1,2,0))</f>
        <v>2</v>
      </c>
      <c r="K7988">
        <v>5</v>
      </c>
      <c r="L7988">
        <f>IF(AND($J7988=0,$K7988=0),0,1)</f>
        <v>1</v>
      </c>
    </row>
    <row r="7989" spans="1:12" x14ac:dyDescent="0.2">
      <c r="A7989" t="s">
        <v>174</v>
      </c>
      <c r="B7989" t="s">
        <v>71</v>
      </c>
      <c r="C7989" t="s">
        <v>72</v>
      </c>
      <c r="D7989">
        <v>9800</v>
      </c>
      <c r="E7989">
        <v>2019</v>
      </c>
      <c r="F7989">
        <v>23</v>
      </c>
      <c r="G7989">
        <v>43396</v>
      </c>
      <c r="H7989" s="1" t="s">
        <v>1838</v>
      </c>
      <c r="I7989">
        <v>0</v>
      </c>
      <c r="J7989">
        <f>IF($H7989=0,1,IF($I7989&lt;=1,2,0))</f>
        <v>2</v>
      </c>
      <c r="K7989">
        <v>5</v>
      </c>
      <c r="L7989">
        <f>IF(AND($J7989=0,$K7989=0),0,1)</f>
        <v>1</v>
      </c>
    </row>
    <row r="7990" spans="1:12" x14ac:dyDescent="0.2">
      <c r="A7990" t="s">
        <v>174</v>
      </c>
      <c r="B7990" t="s">
        <v>71</v>
      </c>
      <c r="C7990" t="s">
        <v>72</v>
      </c>
      <c r="D7990">
        <v>9800</v>
      </c>
      <c r="E7990">
        <v>2019</v>
      </c>
      <c r="F7990">
        <v>24</v>
      </c>
      <c r="G7990">
        <v>43397</v>
      </c>
      <c r="H7990" s="1" t="s">
        <v>1838</v>
      </c>
      <c r="I7990">
        <v>0</v>
      </c>
      <c r="J7990">
        <f>IF($H7990=0,1,IF($I7990&lt;=1,2,0))</f>
        <v>2</v>
      </c>
      <c r="K7990">
        <v>5</v>
      </c>
      <c r="L7990">
        <f>IF(AND($J7990=0,$K7990=0),0,1)</f>
        <v>1</v>
      </c>
    </row>
    <row r="7991" spans="1:12" x14ac:dyDescent="0.2">
      <c r="A7991" t="s">
        <v>174</v>
      </c>
      <c r="B7991" t="s">
        <v>71</v>
      </c>
      <c r="C7991" t="s">
        <v>72</v>
      </c>
      <c r="D7991">
        <v>9800</v>
      </c>
      <c r="E7991">
        <v>2019</v>
      </c>
      <c r="F7991">
        <v>25</v>
      </c>
      <c r="G7991">
        <v>43398</v>
      </c>
      <c r="H7991" s="1" t="s">
        <v>1838</v>
      </c>
      <c r="I7991">
        <v>0</v>
      </c>
      <c r="J7991">
        <f>IF($H7991=0,1,IF($I7991&lt;=1,2,0))</f>
        <v>2</v>
      </c>
      <c r="K7991">
        <v>5</v>
      </c>
      <c r="L7991">
        <f>IF(AND($J7991=0,$K7991=0),0,1)</f>
        <v>1</v>
      </c>
    </row>
    <row r="7992" spans="1:12" x14ac:dyDescent="0.2">
      <c r="A7992" t="s">
        <v>174</v>
      </c>
      <c r="B7992" t="s">
        <v>71</v>
      </c>
      <c r="C7992" t="s">
        <v>72</v>
      </c>
      <c r="D7992">
        <v>9800</v>
      </c>
      <c r="E7992">
        <v>2019</v>
      </c>
      <c r="F7992">
        <v>27</v>
      </c>
      <c r="G7992">
        <v>43400</v>
      </c>
      <c r="H7992" s="1" t="s">
        <v>1838</v>
      </c>
      <c r="I7992">
        <v>0</v>
      </c>
      <c r="J7992">
        <f>IF($H7992=0,1,IF($I7992&lt;=1,2,0))</f>
        <v>2</v>
      </c>
      <c r="K7992">
        <v>5</v>
      </c>
      <c r="L7992">
        <f>IF(AND($J7992=0,$K7992=0),0,1)</f>
        <v>1</v>
      </c>
    </row>
    <row r="7993" spans="1:12" x14ac:dyDescent="0.2">
      <c r="A7993" t="s">
        <v>174</v>
      </c>
      <c r="B7993" t="s">
        <v>71</v>
      </c>
      <c r="C7993" t="s">
        <v>72</v>
      </c>
      <c r="D7993">
        <v>9800</v>
      </c>
      <c r="E7993">
        <v>2019</v>
      </c>
      <c r="F7993">
        <v>28</v>
      </c>
      <c r="G7993">
        <v>43401</v>
      </c>
      <c r="H7993" s="1" t="s">
        <v>1838</v>
      </c>
      <c r="I7993">
        <v>0</v>
      </c>
      <c r="J7993">
        <f>IF($H7993=0,1,IF($I7993&lt;=1,2,0))</f>
        <v>2</v>
      </c>
      <c r="K7993">
        <v>5</v>
      </c>
      <c r="L7993">
        <f>IF(AND($J7993=0,$K7993=0),0,1)</f>
        <v>1</v>
      </c>
    </row>
    <row r="7994" spans="1:12" x14ac:dyDescent="0.2">
      <c r="A7994" t="s">
        <v>174</v>
      </c>
      <c r="B7994" t="s">
        <v>71</v>
      </c>
      <c r="C7994" t="s">
        <v>72</v>
      </c>
      <c r="D7994">
        <v>9800</v>
      </c>
      <c r="E7994">
        <v>2019</v>
      </c>
      <c r="F7994">
        <v>29</v>
      </c>
      <c r="G7994">
        <v>43402</v>
      </c>
      <c r="H7994" s="1" t="s">
        <v>1838</v>
      </c>
      <c r="I7994">
        <v>0</v>
      </c>
      <c r="J7994">
        <f>IF($H7994=0,1,IF($I7994&lt;=1,2,0))</f>
        <v>2</v>
      </c>
      <c r="K7994">
        <v>5</v>
      </c>
      <c r="L7994">
        <f>IF(AND($J7994=0,$K7994=0),0,1)</f>
        <v>1</v>
      </c>
    </row>
    <row r="7995" spans="1:12" x14ac:dyDescent="0.2">
      <c r="A7995" t="s">
        <v>174</v>
      </c>
      <c r="B7995" t="s">
        <v>71</v>
      </c>
      <c r="C7995" t="s">
        <v>72</v>
      </c>
      <c r="D7995">
        <v>9900</v>
      </c>
      <c r="E7995">
        <v>2019</v>
      </c>
      <c r="F7995">
        <v>1</v>
      </c>
      <c r="G7995">
        <v>43450</v>
      </c>
      <c r="H7995" s="1">
        <v>0</v>
      </c>
      <c r="I7995">
        <v>0</v>
      </c>
      <c r="J7995">
        <f>IF($H7995=0,1,IF($I7995&lt;=1,2,0))</f>
        <v>1</v>
      </c>
      <c r="K7995">
        <v>5</v>
      </c>
      <c r="L7995">
        <f>IF(AND($J7995=0,$K7995=0),0,1)</f>
        <v>1</v>
      </c>
    </row>
    <row r="7996" spans="1:12" x14ac:dyDescent="0.2">
      <c r="A7996" t="s">
        <v>174</v>
      </c>
      <c r="B7996" t="s">
        <v>71</v>
      </c>
      <c r="C7996" t="s">
        <v>72</v>
      </c>
      <c r="D7996">
        <v>9900</v>
      </c>
      <c r="E7996">
        <v>2019</v>
      </c>
      <c r="F7996">
        <v>2</v>
      </c>
      <c r="G7996">
        <v>43451</v>
      </c>
      <c r="H7996" s="1">
        <v>0</v>
      </c>
      <c r="I7996">
        <v>0</v>
      </c>
      <c r="J7996">
        <f>IF($H7996=0,1,IF($I7996&lt;=1,2,0))</f>
        <v>1</v>
      </c>
      <c r="K7996">
        <v>5</v>
      </c>
      <c r="L7996">
        <f>IF(AND($J7996=0,$K7996=0),0,1)</f>
        <v>1</v>
      </c>
    </row>
    <row r="7997" spans="1:12" x14ac:dyDescent="0.2">
      <c r="A7997" t="s">
        <v>174</v>
      </c>
      <c r="B7997" t="s">
        <v>71</v>
      </c>
      <c r="C7997" t="s">
        <v>72</v>
      </c>
      <c r="D7997">
        <v>9900</v>
      </c>
      <c r="E7997">
        <v>2019</v>
      </c>
      <c r="F7997">
        <v>3</v>
      </c>
      <c r="G7997">
        <v>43452</v>
      </c>
      <c r="H7997" s="1">
        <v>0</v>
      </c>
      <c r="I7997">
        <v>0</v>
      </c>
      <c r="J7997">
        <f>IF($H7997=0,1,IF($I7997&lt;=1,2,0))</f>
        <v>1</v>
      </c>
      <c r="K7997">
        <v>5</v>
      </c>
      <c r="L7997">
        <f>IF(AND($J7997=0,$K7997=0),0,1)</f>
        <v>1</v>
      </c>
    </row>
    <row r="7998" spans="1:12" x14ac:dyDescent="0.2">
      <c r="A7998" t="s">
        <v>174</v>
      </c>
      <c r="B7998" t="s">
        <v>71</v>
      </c>
      <c r="C7998" t="s">
        <v>72</v>
      </c>
      <c r="D7998">
        <v>9900</v>
      </c>
      <c r="E7998">
        <v>2019</v>
      </c>
      <c r="F7998">
        <v>4</v>
      </c>
      <c r="G7998">
        <v>43453</v>
      </c>
      <c r="H7998" s="1">
        <v>0</v>
      </c>
      <c r="I7998">
        <v>0</v>
      </c>
      <c r="J7998">
        <f>IF($H7998=0,1,IF($I7998&lt;=1,2,0))</f>
        <v>1</v>
      </c>
      <c r="K7998">
        <v>5</v>
      </c>
      <c r="L7998">
        <f>IF(AND($J7998=0,$K7998=0),0,1)</f>
        <v>1</v>
      </c>
    </row>
    <row r="7999" spans="1:12" x14ac:dyDescent="0.2">
      <c r="A7999" t="s">
        <v>174</v>
      </c>
      <c r="B7999" t="s">
        <v>71</v>
      </c>
      <c r="C7999" t="s">
        <v>72</v>
      </c>
      <c r="D7999">
        <v>9900</v>
      </c>
      <c r="E7999">
        <v>2019</v>
      </c>
      <c r="F7999">
        <v>5</v>
      </c>
      <c r="G7999">
        <v>43454</v>
      </c>
      <c r="H7999" s="1">
        <v>0</v>
      </c>
      <c r="I7999">
        <v>0</v>
      </c>
      <c r="J7999">
        <f>IF($H7999=0,1,IF($I7999&lt;=1,2,0))</f>
        <v>1</v>
      </c>
      <c r="K7999">
        <v>5</v>
      </c>
      <c r="L7999">
        <f>IF(AND($J7999=0,$K7999=0),0,1)</f>
        <v>1</v>
      </c>
    </row>
    <row r="8000" spans="1:12" x14ac:dyDescent="0.2">
      <c r="A8000" t="s">
        <v>174</v>
      </c>
      <c r="B8000" t="s">
        <v>71</v>
      </c>
      <c r="C8000" t="s">
        <v>72</v>
      </c>
      <c r="D8000">
        <v>9900</v>
      </c>
      <c r="E8000">
        <v>2019</v>
      </c>
      <c r="F8000">
        <v>6</v>
      </c>
      <c r="G8000">
        <v>43455</v>
      </c>
      <c r="H8000" s="1">
        <v>0</v>
      </c>
      <c r="I8000">
        <v>0</v>
      </c>
      <c r="J8000">
        <f>IF($H8000=0,1,IF($I8000&lt;=1,2,0))</f>
        <v>1</v>
      </c>
      <c r="K8000">
        <v>5</v>
      </c>
      <c r="L8000">
        <f>IF(AND($J8000=0,$K8000=0),0,1)</f>
        <v>1</v>
      </c>
    </row>
    <row r="8001" spans="1:12" x14ac:dyDescent="0.2">
      <c r="A8001" t="s">
        <v>174</v>
      </c>
      <c r="B8001" t="s">
        <v>71</v>
      </c>
      <c r="C8001" t="s">
        <v>72</v>
      </c>
      <c r="D8001">
        <v>9900</v>
      </c>
      <c r="E8001">
        <v>2019</v>
      </c>
      <c r="F8001">
        <v>7</v>
      </c>
      <c r="G8001">
        <v>43456</v>
      </c>
      <c r="H8001" s="1">
        <v>0</v>
      </c>
      <c r="I8001">
        <v>0</v>
      </c>
      <c r="J8001">
        <f>IF($H8001=0,1,IF($I8001&lt;=1,2,0))</f>
        <v>1</v>
      </c>
      <c r="K8001">
        <v>5</v>
      </c>
      <c r="L8001">
        <f>IF(AND($J8001=0,$K8001=0),0,1)</f>
        <v>1</v>
      </c>
    </row>
    <row r="8002" spans="1:12" x14ac:dyDescent="0.2">
      <c r="A8002" t="s">
        <v>174</v>
      </c>
      <c r="B8002" t="s">
        <v>71</v>
      </c>
      <c r="C8002" t="s">
        <v>72</v>
      </c>
      <c r="D8002">
        <v>9900</v>
      </c>
      <c r="E8002">
        <v>2019</v>
      </c>
      <c r="F8002">
        <v>8</v>
      </c>
      <c r="G8002">
        <v>43457</v>
      </c>
      <c r="H8002" s="1">
        <v>0</v>
      </c>
      <c r="I8002">
        <v>0</v>
      </c>
      <c r="J8002">
        <f>IF($H8002=0,1,IF($I8002&lt;=1,2,0))</f>
        <v>1</v>
      </c>
      <c r="K8002">
        <v>5</v>
      </c>
      <c r="L8002">
        <f>IF(AND($J8002=0,$K8002=0),0,1)</f>
        <v>1</v>
      </c>
    </row>
    <row r="8003" spans="1:12" x14ac:dyDescent="0.2">
      <c r="A8003" t="s">
        <v>174</v>
      </c>
      <c r="B8003" t="s">
        <v>71</v>
      </c>
      <c r="C8003" t="s">
        <v>72</v>
      </c>
      <c r="D8003">
        <v>9900</v>
      </c>
      <c r="E8003">
        <v>2019</v>
      </c>
      <c r="F8003">
        <v>9</v>
      </c>
      <c r="G8003">
        <v>43458</v>
      </c>
      <c r="H8003" s="1">
        <v>0</v>
      </c>
      <c r="I8003">
        <v>0</v>
      </c>
      <c r="J8003">
        <f>IF($H8003=0,1,IF($I8003&lt;=1,2,0))</f>
        <v>1</v>
      </c>
      <c r="K8003">
        <v>5</v>
      </c>
      <c r="L8003">
        <f>IF(AND($J8003=0,$K8003=0),0,1)</f>
        <v>1</v>
      </c>
    </row>
    <row r="8004" spans="1:12" x14ac:dyDescent="0.2">
      <c r="A8004" t="s">
        <v>174</v>
      </c>
      <c r="B8004" t="s">
        <v>71</v>
      </c>
      <c r="C8004" t="s">
        <v>72</v>
      </c>
      <c r="D8004">
        <v>9900</v>
      </c>
      <c r="E8004">
        <v>2019</v>
      </c>
      <c r="F8004">
        <v>10</v>
      </c>
      <c r="G8004">
        <v>43459</v>
      </c>
      <c r="H8004" s="1">
        <v>0</v>
      </c>
      <c r="I8004">
        <v>0</v>
      </c>
      <c r="J8004">
        <f>IF($H8004=0,1,IF($I8004&lt;=1,2,0))</f>
        <v>1</v>
      </c>
      <c r="K8004">
        <v>5</v>
      </c>
      <c r="L8004">
        <f>IF(AND($J8004=0,$K8004=0),0,1)</f>
        <v>1</v>
      </c>
    </row>
    <row r="8005" spans="1:12" x14ac:dyDescent="0.2">
      <c r="A8005" t="s">
        <v>174</v>
      </c>
      <c r="B8005" t="s">
        <v>71</v>
      </c>
      <c r="C8005" t="s">
        <v>72</v>
      </c>
      <c r="D8005">
        <v>9900</v>
      </c>
      <c r="E8005">
        <v>2019</v>
      </c>
      <c r="F8005">
        <v>11</v>
      </c>
      <c r="G8005">
        <v>43460</v>
      </c>
      <c r="H8005" s="1">
        <v>0</v>
      </c>
      <c r="I8005">
        <v>0</v>
      </c>
      <c r="J8005">
        <f>IF($H8005=0,1,IF($I8005&lt;=1,2,0))</f>
        <v>1</v>
      </c>
      <c r="K8005">
        <v>5</v>
      </c>
      <c r="L8005">
        <f>IF(AND($J8005=0,$K8005=0),0,1)</f>
        <v>1</v>
      </c>
    </row>
    <row r="8006" spans="1:12" x14ac:dyDescent="0.2">
      <c r="A8006" t="s">
        <v>174</v>
      </c>
      <c r="B8006" t="s">
        <v>71</v>
      </c>
      <c r="C8006" t="s">
        <v>72</v>
      </c>
      <c r="D8006">
        <v>9900</v>
      </c>
      <c r="E8006">
        <v>2019</v>
      </c>
      <c r="F8006">
        <v>12</v>
      </c>
      <c r="G8006">
        <v>43461</v>
      </c>
      <c r="H8006" s="1">
        <v>0</v>
      </c>
      <c r="I8006">
        <v>0</v>
      </c>
      <c r="J8006">
        <f>IF($H8006=0,1,IF($I8006&lt;=1,2,0))</f>
        <v>1</v>
      </c>
      <c r="K8006">
        <v>5</v>
      </c>
      <c r="L8006">
        <f>IF(AND($J8006=0,$K8006=0),0,1)</f>
        <v>1</v>
      </c>
    </row>
    <row r="8007" spans="1:12" x14ac:dyDescent="0.2">
      <c r="A8007" t="s">
        <v>174</v>
      </c>
      <c r="B8007" t="s">
        <v>71</v>
      </c>
      <c r="C8007" t="s">
        <v>72</v>
      </c>
      <c r="D8007">
        <v>9900</v>
      </c>
      <c r="E8007">
        <v>2019</v>
      </c>
      <c r="F8007">
        <v>13</v>
      </c>
      <c r="G8007">
        <v>43462</v>
      </c>
      <c r="H8007" s="1">
        <v>0</v>
      </c>
      <c r="I8007">
        <v>0</v>
      </c>
      <c r="J8007">
        <f>IF($H8007=0,1,IF($I8007&lt;=1,2,0))</f>
        <v>1</v>
      </c>
      <c r="K8007">
        <v>5</v>
      </c>
      <c r="L8007">
        <f>IF(AND($J8007=0,$K8007=0),0,1)</f>
        <v>1</v>
      </c>
    </row>
    <row r="8008" spans="1:12" x14ac:dyDescent="0.2">
      <c r="A8008" t="s">
        <v>174</v>
      </c>
      <c r="B8008" t="s">
        <v>71</v>
      </c>
      <c r="C8008" t="s">
        <v>72</v>
      </c>
      <c r="D8008">
        <v>9900</v>
      </c>
      <c r="E8008">
        <v>2019</v>
      </c>
      <c r="F8008">
        <v>14</v>
      </c>
      <c r="G8008">
        <v>43463</v>
      </c>
      <c r="H8008" s="1">
        <v>0</v>
      </c>
      <c r="I8008">
        <v>0</v>
      </c>
      <c r="J8008">
        <f>IF($H8008=0,1,IF($I8008&lt;=1,2,0))</f>
        <v>1</v>
      </c>
      <c r="K8008">
        <v>5</v>
      </c>
      <c r="L8008">
        <f>IF(AND($J8008=0,$K8008=0),0,1)</f>
        <v>1</v>
      </c>
    </row>
    <row r="8009" spans="1:12" x14ac:dyDescent="0.2">
      <c r="A8009" t="s">
        <v>174</v>
      </c>
      <c r="B8009" t="s">
        <v>71</v>
      </c>
      <c r="C8009" t="s">
        <v>72</v>
      </c>
      <c r="D8009">
        <v>9900</v>
      </c>
      <c r="E8009">
        <v>2019</v>
      </c>
      <c r="F8009">
        <v>15</v>
      </c>
      <c r="G8009">
        <v>43464</v>
      </c>
      <c r="H8009" s="1">
        <v>0</v>
      </c>
      <c r="I8009">
        <v>0</v>
      </c>
      <c r="J8009">
        <f>IF($H8009=0,1,IF($I8009&lt;=1,2,0))</f>
        <v>1</v>
      </c>
      <c r="K8009">
        <v>5</v>
      </c>
      <c r="L8009">
        <f>IF(AND($J8009=0,$K8009=0),0,1)</f>
        <v>1</v>
      </c>
    </row>
    <row r="8010" spans="1:12" x14ac:dyDescent="0.2">
      <c r="A8010" t="s">
        <v>174</v>
      </c>
      <c r="B8010" t="s">
        <v>71</v>
      </c>
      <c r="C8010" t="s">
        <v>72</v>
      </c>
      <c r="D8010">
        <v>9900</v>
      </c>
      <c r="E8010">
        <v>2019</v>
      </c>
      <c r="F8010">
        <v>16</v>
      </c>
      <c r="G8010">
        <v>43465</v>
      </c>
      <c r="H8010" s="1">
        <v>0</v>
      </c>
      <c r="I8010">
        <v>0</v>
      </c>
      <c r="J8010">
        <f>IF($H8010=0,1,IF($I8010&lt;=1,2,0))</f>
        <v>1</v>
      </c>
      <c r="K8010">
        <v>5</v>
      </c>
      <c r="L8010">
        <f>IF(AND($J8010=0,$K8010=0),0,1)</f>
        <v>1</v>
      </c>
    </row>
    <row r="8011" spans="1:12" x14ac:dyDescent="0.2">
      <c r="A8011" t="s">
        <v>174</v>
      </c>
      <c r="B8011" t="s">
        <v>71</v>
      </c>
      <c r="C8011" t="s">
        <v>72</v>
      </c>
      <c r="D8011">
        <v>9900</v>
      </c>
      <c r="E8011">
        <v>2019</v>
      </c>
      <c r="F8011">
        <v>17</v>
      </c>
      <c r="G8011">
        <v>43466</v>
      </c>
      <c r="H8011" s="1">
        <v>0</v>
      </c>
      <c r="I8011">
        <v>0</v>
      </c>
      <c r="J8011">
        <f>IF($H8011=0,1,IF($I8011&lt;=1,2,0))</f>
        <v>1</v>
      </c>
      <c r="K8011">
        <v>5</v>
      </c>
      <c r="L8011">
        <f>IF(AND($J8011=0,$K8011=0),0,1)</f>
        <v>1</v>
      </c>
    </row>
    <row r="8012" spans="1:12" x14ac:dyDescent="0.2">
      <c r="A8012" t="s">
        <v>174</v>
      </c>
      <c r="B8012" t="s">
        <v>71</v>
      </c>
      <c r="C8012" t="s">
        <v>72</v>
      </c>
      <c r="D8012">
        <v>9900</v>
      </c>
      <c r="E8012">
        <v>2019</v>
      </c>
      <c r="F8012">
        <v>18</v>
      </c>
      <c r="G8012">
        <v>43467</v>
      </c>
      <c r="H8012" s="1">
        <v>0</v>
      </c>
      <c r="I8012">
        <v>0</v>
      </c>
      <c r="J8012">
        <f>IF($H8012=0,1,IF($I8012&lt;=1,2,0))</f>
        <v>1</v>
      </c>
      <c r="K8012">
        <v>5</v>
      </c>
      <c r="L8012">
        <f>IF(AND($J8012=0,$K8012=0),0,1)</f>
        <v>1</v>
      </c>
    </row>
    <row r="8013" spans="1:12" x14ac:dyDescent="0.2">
      <c r="A8013" t="s">
        <v>174</v>
      </c>
      <c r="B8013" t="s">
        <v>71</v>
      </c>
      <c r="C8013" t="s">
        <v>72</v>
      </c>
      <c r="D8013">
        <v>9900</v>
      </c>
      <c r="E8013">
        <v>2019</v>
      </c>
      <c r="F8013">
        <v>19</v>
      </c>
      <c r="G8013">
        <v>43468</v>
      </c>
      <c r="H8013" s="1">
        <v>0</v>
      </c>
      <c r="I8013">
        <v>0</v>
      </c>
      <c r="J8013">
        <f>IF($H8013=0,1,IF($I8013&lt;=1,2,0))</f>
        <v>1</v>
      </c>
      <c r="K8013">
        <v>5</v>
      </c>
      <c r="L8013">
        <f>IF(AND($J8013=0,$K8013=0),0,1)</f>
        <v>1</v>
      </c>
    </row>
    <row r="8014" spans="1:12" x14ac:dyDescent="0.2">
      <c r="A8014" t="s">
        <v>174</v>
      </c>
      <c r="B8014" t="s">
        <v>71</v>
      </c>
      <c r="C8014" t="s">
        <v>72</v>
      </c>
      <c r="D8014">
        <v>9900</v>
      </c>
      <c r="E8014">
        <v>2019</v>
      </c>
      <c r="F8014">
        <v>20</v>
      </c>
      <c r="G8014">
        <v>43469</v>
      </c>
      <c r="H8014" s="1">
        <v>0</v>
      </c>
      <c r="I8014">
        <v>0</v>
      </c>
      <c r="J8014">
        <f>IF($H8014=0,1,IF($I8014&lt;=1,2,0))</f>
        <v>1</v>
      </c>
      <c r="K8014">
        <v>5</v>
      </c>
      <c r="L8014">
        <f>IF(AND($J8014=0,$K8014=0),0,1)</f>
        <v>1</v>
      </c>
    </row>
    <row r="8015" spans="1:12" x14ac:dyDescent="0.2">
      <c r="A8015" t="s">
        <v>174</v>
      </c>
      <c r="B8015" t="s">
        <v>71</v>
      </c>
      <c r="C8015" t="s">
        <v>72</v>
      </c>
      <c r="D8015">
        <v>9900</v>
      </c>
      <c r="E8015">
        <v>2019</v>
      </c>
      <c r="F8015">
        <v>21</v>
      </c>
      <c r="G8015">
        <v>43470</v>
      </c>
      <c r="H8015" s="1">
        <v>0</v>
      </c>
      <c r="I8015">
        <v>0</v>
      </c>
      <c r="J8015">
        <f>IF($H8015=0,1,IF($I8015&lt;=1,2,0))</f>
        <v>1</v>
      </c>
      <c r="K8015">
        <v>5</v>
      </c>
      <c r="L8015">
        <f>IF(AND($J8015=0,$K8015=0),0,1)</f>
        <v>1</v>
      </c>
    </row>
    <row r="8016" spans="1:12" x14ac:dyDescent="0.2">
      <c r="A8016" t="s">
        <v>174</v>
      </c>
      <c r="B8016" t="s">
        <v>71</v>
      </c>
      <c r="C8016" t="s">
        <v>72</v>
      </c>
      <c r="D8016">
        <v>9900</v>
      </c>
      <c r="E8016">
        <v>2019</v>
      </c>
      <c r="F8016">
        <v>22</v>
      </c>
      <c r="G8016">
        <v>43471</v>
      </c>
      <c r="H8016" s="1">
        <v>0</v>
      </c>
      <c r="I8016">
        <v>0</v>
      </c>
      <c r="J8016">
        <f>IF($H8016=0,1,IF($I8016&lt;=1,2,0))</f>
        <v>1</v>
      </c>
      <c r="K8016">
        <v>5</v>
      </c>
      <c r="L8016">
        <f>IF(AND($J8016=0,$K8016=0),0,1)</f>
        <v>1</v>
      </c>
    </row>
    <row r="8017" spans="1:13" x14ac:dyDescent="0.2">
      <c r="A8017" t="s">
        <v>174</v>
      </c>
      <c r="B8017" t="s">
        <v>71</v>
      </c>
      <c r="C8017" t="s">
        <v>72</v>
      </c>
      <c r="D8017">
        <v>9900</v>
      </c>
      <c r="E8017">
        <v>2019</v>
      </c>
      <c r="F8017">
        <v>23</v>
      </c>
      <c r="G8017">
        <v>43472</v>
      </c>
      <c r="H8017" s="1">
        <v>0</v>
      </c>
      <c r="I8017">
        <v>0</v>
      </c>
      <c r="J8017">
        <f>IF($H8017=0,1,IF($I8017&lt;=1,2,0))</f>
        <v>1</v>
      </c>
      <c r="K8017">
        <v>5</v>
      </c>
      <c r="L8017">
        <f>IF(AND($J8017=0,$K8017=0),0,1)</f>
        <v>1</v>
      </c>
    </row>
    <row r="8018" spans="1:13" x14ac:dyDescent="0.2">
      <c r="A8018" t="s">
        <v>174</v>
      </c>
      <c r="B8018" t="s">
        <v>71</v>
      </c>
      <c r="C8018" t="s">
        <v>72</v>
      </c>
      <c r="D8018">
        <v>9900</v>
      </c>
      <c r="E8018">
        <v>2019</v>
      </c>
      <c r="F8018">
        <v>24</v>
      </c>
      <c r="G8018">
        <v>43473</v>
      </c>
      <c r="H8018" s="1">
        <v>0</v>
      </c>
      <c r="I8018">
        <v>0</v>
      </c>
      <c r="J8018">
        <f>IF($H8018=0,1,IF($I8018&lt;=1,2,0))</f>
        <v>1</v>
      </c>
      <c r="K8018">
        <v>5</v>
      </c>
      <c r="L8018">
        <f>IF(AND($J8018=0,$K8018=0),0,1)</f>
        <v>1</v>
      </c>
    </row>
    <row r="8019" spans="1:13" x14ac:dyDescent="0.2">
      <c r="A8019" t="s">
        <v>174</v>
      </c>
      <c r="B8019" t="s">
        <v>71</v>
      </c>
      <c r="C8019" t="s">
        <v>72</v>
      </c>
      <c r="D8019">
        <v>9900</v>
      </c>
      <c r="E8019">
        <v>2019</v>
      </c>
      <c r="F8019">
        <v>25</v>
      </c>
      <c r="G8019">
        <v>43474</v>
      </c>
      <c r="H8019" s="1">
        <v>0</v>
      </c>
      <c r="I8019">
        <v>0</v>
      </c>
      <c r="J8019">
        <f>IF($H8019=0,1,IF($I8019&lt;=1,2,0))</f>
        <v>1</v>
      </c>
      <c r="K8019">
        <v>5</v>
      </c>
      <c r="L8019">
        <f>IF(AND($J8019=0,$K8019=0),0,1)</f>
        <v>1</v>
      </c>
    </row>
    <row r="8020" spans="1:13" x14ac:dyDescent="0.2">
      <c r="A8020" t="s">
        <v>174</v>
      </c>
      <c r="B8020" t="s">
        <v>71</v>
      </c>
      <c r="C8020" t="s">
        <v>72</v>
      </c>
      <c r="D8020">
        <v>9900</v>
      </c>
      <c r="E8020">
        <v>2019</v>
      </c>
      <c r="F8020">
        <v>26</v>
      </c>
      <c r="G8020">
        <v>43475</v>
      </c>
      <c r="H8020" s="1">
        <v>0</v>
      </c>
      <c r="I8020">
        <v>0</v>
      </c>
      <c r="J8020">
        <f>IF($H8020=0,1,IF($I8020&lt;=1,2,0))</f>
        <v>1</v>
      </c>
      <c r="K8020">
        <v>5</v>
      </c>
      <c r="L8020">
        <f>IF(AND($J8020=0,$K8020=0),0,1)</f>
        <v>1</v>
      </c>
    </row>
    <row r="8021" spans="1:13" x14ac:dyDescent="0.2">
      <c r="A8021" t="s">
        <v>174</v>
      </c>
      <c r="B8021" t="s">
        <v>71</v>
      </c>
      <c r="C8021" t="s">
        <v>72</v>
      </c>
      <c r="D8021">
        <v>9900</v>
      </c>
      <c r="E8021">
        <v>2019</v>
      </c>
      <c r="F8021">
        <v>27</v>
      </c>
      <c r="G8021">
        <v>43476</v>
      </c>
      <c r="H8021" s="1">
        <v>0</v>
      </c>
      <c r="I8021">
        <v>0</v>
      </c>
      <c r="J8021">
        <f>IF($H8021=0,1,IF($I8021&lt;=1,2,0))</f>
        <v>1</v>
      </c>
      <c r="K8021">
        <v>5</v>
      </c>
      <c r="L8021">
        <f>IF(AND($J8021=0,$K8021=0),0,1)</f>
        <v>1</v>
      </c>
    </row>
    <row r="8022" spans="1:13" x14ac:dyDescent="0.2">
      <c r="A8022" t="s">
        <v>174</v>
      </c>
      <c r="B8022" t="s">
        <v>71</v>
      </c>
      <c r="C8022" t="s">
        <v>72</v>
      </c>
      <c r="D8022">
        <v>9900</v>
      </c>
      <c r="E8022">
        <v>2019</v>
      </c>
      <c r="F8022">
        <v>28</v>
      </c>
      <c r="G8022">
        <v>43477</v>
      </c>
      <c r="H8022" s="1">
        <v>0</v>
      </c>
      <c r="I8022">
        <v>0</v>
      </c>
      <c r="J8022">
        <f>IF($H8022=0,1,IF($I8022&lt;=1,2,0))</f>
        <v>1</v>
      </c>
      <c r="K8022">
        <v>5</v>
      </c>
      <c r="L8022">
        <f>IF(AND($J8022=0,$K8022=0),0,1)</f>
        <v>1</v>
      </c>
    </row>
    <row r="8023" spans="1:13" x14ac:dyDescent="0.2">
      <c r="A8023" t="s">
        <v>174</v>
      </c>
      <c r="B8023" t="s">
        <v>71</v>
      </c>
      <c r="C8023" t="s">
        <v>72</v>
      </c>
      <c r="D8023">
        <v>9900</v>
      </c>
      <c r="E8023">
        <v>2019</v>
      </c>
      <c r="F8023">
        <v>29</v>
      </c>
      <c r="G8023">
        <v>43478</v>
      </c>
      <c r="H8023" s="1">
        <v>0</v>
      </c>
      <c r="I8023">
        <v>0</v>
      </c>
      <c r="J8023">
        <f>IF($H8023=0,1,IF($I8023&lt;=1,2,0))</f>
        <v>1</v>
      </c>
      <c r="K8023">
        <v>5</v>
      </c>
      <c r="L8023">
        <f>IF(AND($J8023=0,$K8023=0),0,1)</f>
        <v>1</v>
      </c>
    </row>
    <row r="8024" spans="1:13" x14ac:dyDescent="0.2">
      <c r="A8024" t="s">
        <v>182</v>
      </c>
      <c r="B8024" t="s">
        <v>6</v>
      </c>
      <c r="C8024" t="s">
        <v>183</v>
      </c>
      <c r="D8024">
        <v>4007</v>
      </c>
      <c r="E8024">
        <v>2019</v>
      </c>
      <c r="F8024">
        <v>1</v>
      </c>
      <c r="G8024">
        <v>10509</v>
      </c>
      <c r="H8024" s="1">
        <v>3</v>
      </c>
      <c r="I8024">
        <v>14</v>
      </c>
      <c r="J8024">
        <f>IF($H8024=0,1,IF($I8024&lt;=1,2,0))</f>
        <v>0</v>
      </c>
      <c r="K8024">
        <v>6</v>
      </c>
      <c r="L8024">
        <f>IF(AND($J8024=0,$K8024=0),0,1)</f>
        <v>1</v>
      </c>
    </row>
    <row r="8025" spans="1:13" x14ac:dyDescent="0.2">
      <c r="A8025" t="s">
        <v>182</v>
      </c>
      <c r="B8025" t="s">
        <v>6</v>
      </c>
      <c r="C8025" t="s">
        <v>183</v>
      </c>
      <c r="D8025">
        <v>4998</v>
      </c>
      <c r="E8025">
        <v>2019</v>
      </c>
      <c r="F8025" t="s">
        <v>87</v>
      </c>
      <c r="G8025">
        <v>10510</v>
      </c>
      <c r="H8025" s="1">
        <v>3</v>
      </c>
      <c r="I8025">
        <v>3</v>
      </c>
      <c r="J8025">
        <f>IF($H8025=0,1,IF($I8025&lt;=1,2,0))</f>
        <v>0</v>
      </c>
      <c r="K8025">
        <v>6</v>
      </c>
      <c r="L8025">
        <f>IF(AND($J8025=0,$K8025=0),0,1)</f>
        <v>1</v>
      </c>
      <c r="M8025" t="s">
        <v>184</v>
      </c>
    </row>
    <row r="8026" spans="1:13" x14ac:dyDescent="0.2">
      <c r="A8026" t="s">
        <v>182</v>
      </c>
      <c r="B8026" t="s">
        <v>6</v>
      </c>
      <c r="C8026" t="s">
        <v>183</v>
      </c>
      <c r="D8026">
        <v>4998</v>
      </c>
      <c r="E8026">
        <v>2019</v>
      </c>
      <c r="F8026" t="s">
        <v>185</v>
      </c>
      <c r="G8026">
        <v>10512</v>
      </c>
      <c r="H8026" s="1">
        <v>1</v>
      </c>
      <c r="I8026">
        <v>1</v>
      </c>
      <c r="J8026">
        <f>IF($H8026=0,1,IF($I8026&lt;=1,2,0))</f>
        <v>2</v>
      </c>
      <c r="K8026">
        <v>6</v>
      </c>
      <c r="L8026">
        <f>IF(AND($J8026=0,$K8026=0),0,1)</f>
        <v>1</v>
      </c>
    </row>
    <row r="8027" spans="1:13" x14ac:dyDescent="0.2">
      <c r="A8027" t="s">
        <v>182</v>
      </c>
      <c r="B8027" t="s">
        <v>6</v>
      </c>
      <c r="C8027" t="s">
        <v>183</v>
      </c>
      <c r="D8027">
        <v>5001</v>
      </c>
      <c r="E8027">
        <v>2019</v>
      </c>
      <c r="F8027">
        <v>3</v>
      </c>
      <c r="G8027">
        <v>10524</v>
      </c>
      <c r="H8027" s="1">
        <v>3</v>
      </c>
      <c r="I8027">
        <v>20</v>
      </c>
      <c r="J8027">
        <f>IF($H8027=0,1,IF($I8027&lt;=1,2,0))</f>
        <v>0</v>
      </c>
      <c r="K8027">
        <v>6</v>
      </c>
      <c r="L8027">
        <f>IF(AND($J8027=0,$K8027=0),0,1)</f>
        <v>1</v>
      </c>
      <c r="M8027" t="s">
        <v>186</v>
      </c>
    </row>
    <row r="8028" spans="1:13" x14ac:dyDescent="0.2">
      <c r="A8028" t="s">
        <v>182</v>
      </c>
      <c r="B8028" t="s">
        <v>6</v>
      </c>
      <c r="C8028" t="s">
        <v>183</v>
      </c>
      <c r="D8028">
        <v>5001</v>
      </c>
      <c r="E8028">
        <v>2019</v>
      </c>
      <c r="F8028">
        <v>1</v>
      </c>
      <c r="G8028">
        <v>10518</v>
      </c>
      <c r="H8028" s="1">
        <v>3</v>
      </c>
      <c r="I8028">
        <v>17</v>
      </c>
      <c r="J8028">
        <f>IF($H8028=0,1,IF($I8028&lt;=1,2,0))</f>
        <v>0</v>
      </c>
      <c r="K8028">
        <v>6</v>
      </c>
      <c r="L8028">
        <f>IF(AND($J8028=0,$K8028=0),0,1)</f>
        <v>1</v>
      </c>
      <c r="M8028" t="s">
        <v>186</v>
      </c>
    </row>
    <row r="8029" spans="1:13" x14ac:dyDescent="0.2">
      <c r="A8029" t="s">
        <v>182</v>
      </c>
      <c r="B8029" t="s">
        <v>6</v>
      </c>
      <c r="C8029" t="s">
        <v>183</v>
      </c>
      <c r="D8029">
        <v>5001</v>
      </c>
      <c r="E8029">
        <v>2019</v>
      </c>
      <c r="F8029" t="s">
        <v>185</v>
      </c>
      <c r="G8029">
        <v>10530</v>
      </c>
      <c r="H8029" s="1">
        <v>3</v>
      </c>
      <c r="I8029">
        <v>12</v>
      </c>
      <c r="J8029">
        <f>IF($H8029=0,1,IF($I8029&lt;=1,2,0))</f>
        <v>0</v>
      </c>
      <c r="K8029">
        <v>6</v>
      </c>
      <c r="L8029">
        <f>IF(AND($J8029=0,$K8029=0),0,1)</f>
        <v>1</v>
      </c>
      <c r="M8029" t="s">
        <v>187</v>
      </c>
    </row>
    <row r="8030" spans="1:13" x14ac:dyDescent="0.2">
      <c r="A8030" t="s">
        <v>182</v>
      </c>
      <c r="B8030" t="s">
        <v>6</v>
      </c>
      <c r="C8030" t="s">
        <v>183</v>
      </c>
      <c r="D8030">
        <v>5003</v>
      </c>
      <c r="E8030">
        <v>2019</v>
      </c>
      <c r="F8030">
        <v>3</v>
      </c>
      <c r="G8030">
        <v>10532</v>
      </c>
      <c r="H8030" s="1">
        <v>3</v>
      </c>
      <c r="I8030">
        <v>43</v>
      </c>
      <c r="J8030">
        <f>IF($H8030=0,1,IF($I8030&lt;=1,2,0))</f>
        <v>0</v>
      </c>
      <c r="K8030">
        <v>6</v>
      </c>
      <c r="L8030">
        <f>IF(AND($J8030=0,$K8030=0),0,1)</f>
        <v>1</v>
      </c>
    </row>
    <row r="8031" spans="1:13" x14ac:dyDescent="0.2">
      <c r="A8031" t="s">
        <v>182</v>
      </c>
      <c r="B8031" t="s">
        <v>6</v>
      </c>
      <c r="C8031" t="s">
        <v>183</v>
      </c>
      <c r="D8031">
        <v>5003</v>
      </c>
      <c r="E8031">
        <v>2019</v>
      </c>
      <c r="F8031" t="s">
        <v>185</v>
      </c>
      <c r="G8031">
        <v>10533</v>
      </c>
      <c r="H8031" s="1">
        <v>3</v>
      </c>
      <c r="I8031">
        <v>18</v>
      </c>
      <c r="J8031">
        <f>IF($H8031=0,1,IF($I8031&lt;=1,2,0))</f>
        <v>0</v>
      </c>
      <c r="K8031">
        <v>6</v>
      </c>
      <c r="L8031">
        <f>IF(AND($J8031=0,$K8031=0),0,1)</f>
        <v>1</v>
      </c>
      <c r="M8031" t="s">
        <v>184</v>
      </c>
    </row>
    <row r="8032" spans="1:13" x14ac:dyDescent="0.2">
      <c r="A8032" t="s">
        <v>182</v>
      </c>
      <c r="B8032" t="s">
        <v>6</v>
      </c>
      <c r="C8032" t="s">
        <v>183</v>
      </c>
      <c r="D8032">
        <v>5003</v>
      </c>
      <c r="E8032">
        <v>2019</v>
      </c>
      <c r="F8032">
        <v>1</v>
      </c>
      <c r="G8032">
        <v>10531</v>
      </c>
      <c r="H8032" s="1">
        <v>3</v>
      </c>
      <c r="I8032">
        <v>9</v>
      </c>
      <c r="J8032">
        <f>IF($H8032=0,1,IF($I8032&lt;=1,2,0))</f>
        <v>0</v>
      </c>
      <c r="K8032">
        <v>6</v>
      </c>
      <c r="L8032">
        <f>IF(AND($J8032=0,$K8032=0),0,1)</f>
        <v>1</v>
      </c>
    </row>
    <row r="8033" spans="1:13" x14ac:dyDescent="0.2">
      <c r="A8033" t="s">
        <v>182</v>
      </c>
      <c r="B8033" t="s">
        <v>6</v>
      </c>
      <c r="C8033" t="s">
        <v>183</v>
      </c>
      <c r="D8033">
        <v>5004</v>
      </c>
      <c r="E8033">
        <v>2019</v>
      </c>
      <c r="F8033">
        <v>1</v>
      </c>
      <c r="G8033">
        <v>10534</v>
      </c>
      <c r="H8033" s="1">
        <v>3</v>
      </c>
      <c r="I8033">
        <v>8</v>
      </c>
      <c r="J8033">
        <f>IF($H8033=0,1,IF($I8033&lt;=1,2,0))</f>
        <v>0</v>
      </c>
      <c r="K8033">
        <v>6</v>
      </c>
      <c r="L8033">
        <f>IF(AND($J8033=0,$K8033=0),0,1)</f>
        <v>1</v>
      </c>
      <c r="M8033" t="s">
        <v>188</v>
      </c>
    </row>
    <row r="8034" spans="1:13" x14ac:dyDescent="0.2">
      <c r="A8034" t="s">
        <v>182</v>
      </c>
      <c r="B8034" t="s">
        <v>6</v>
      </c>
      <c r="C8034" t="s">
        <v>183</v>
      </c>
      <c r="D8034">
        <v>5008</v>
      </c>
      <c r="E8034">
        <v>2019</v>
      </c>
      <c r="F8034">
        <v>1</v>
      </c>
      <c r="G8034">
        <v>10536</v>
      </c>
      <c r="H8034" s="1">
        <v>3</v>
      </c>
      <c r="I8034">
        <v>36</v>
      </c>
      <c r="J8034">
        <f>IF($H8034=0,1,IF($I8034&lt;=1,2,0))</f>
        <v>0</v>
      </c>
      <c r="K8034">
        <v>6</v>
      </c>
      <c r="L8034">
        <f>IF(AND($J8034=0,$K8034=0),0,1)</f>
        <v>1</v>
      </c>
    </row>
    <row r="8035" spans="1:13" x14ac:dyDescent="0.2">
      <c r="A8035" t="s">
        <v>182</v>
      </c>
      <c r="B8035" t="s">
        <v>6</v>
      </c>
      <c r="C8035" t="s">
        <v>183</v>
      </c>
      <c r="D8035">
        <v>5009</v>
      </c>
      <c r="E8035">
        <v>2019</v>
      </c>
      <c r="F8035">
        <v>1</v>
      </c>
      <c r="G8035">
        <v>10537</v>
      </c>
      <c r="H8035" s="1">
        <v>3</v>
      </c>
      <c r="I8035">
        <v>39</v>
      </c>
      <c r="J8035">
        <f>IF($H8035=0,1,IF($I8035&lt;=1,2,0))</f>
        <v>0</v>
      </c>
      <c r="K8035">
        <v>6</v>
      </c>
      <c r="L8035">
        <f>IF(AND($J8035=0,$K8035=0),0,1)</f>
        <v>1</v>
      </c>
    </row>
    <row r="8036" spans="1:13" x14ac:dyDescent="0.2">
      <c r="A8036" t="s">
        <v>182</v>
      </c>
      <c r="B8036" t="s">
        <v>6</v>
      </c>
      <c r="C8036" t="s">
        <v>183</v>
      </c>
      <c r="D8036">
        <v>5009</v>
      </c>
      <c r="E8036">
        <v>2019</v>
      </c>
      <c r="F8036">
        <v>3</v>
      </c>
      <c r="G8036">
        <v>10538</v>
      </c>
      <c r="H8036" s="1">
        <v>3</v>
      </c>
      <c r="I8036">
        <v>23</v>
      </c>
      <c r="J8036">
        <f>IF($H8036=0,1,IF($I8036&lt;=1,2,0))</f>
        <v>0</v>
      </c>
      <c r="K8036">
        <v>6</v>
      </c>
      <c r="L8036">
        <f>IF(AND($J8036=0,$K8036=0),0,1)</f>
        <v>1</v>
      </c>
    </row>
    <row r="8037" spans="1:13" x14ac:dyDescent="0.2">
      <c r="A8037" t="s">
        <v>182</v>
      </c>
      <c r="B8037" t="s">
        <v>6</v>
      </c>
      <c r="C8037" t="s">
        <v>183</v>
      </c>
      <c r="D8037">
        <v>5009</v>
      </c>
      <c r="E8037">
        <v>2019</v>
      </c>
      <c r="F8037" t="s">
        <v>185</v>
      </c>
      <c r="G8037">
        <v>10539</v>
      </c>
      <c r="H8037" s="1">
        <v>3</v>
      </c>
      <c r="I8037">
        <v>15</v>
      </c>
      <c r="J8037">
        <f>IF($H8037=0,1,IF($I8037&lt;=1,2,0))</f>
        <v>0</v>
      </c>
      <c r="K8037">
        <v>6</v>
      </c>
      <c r="L8037">
        <f>IF(AND($J8037=0,$K8037=0),0,1)</f>
        <v>1</v>
      </c>
      <c r="M8037" t="s">
        <v>184</v>
      </c>
    </row>
    <row r="8038" spans="1:13" x14ac:dyDescent="0.2">
      <c r="A8038" t="s">
        <v>182</v>
      </c>
      <c r="B8038" t="s">
        <v>6</v>
      </c>
      <c r="C8038" t="s">
        <v>183</v>
      </c>
      <c r="D8038">
        <v>5010</v>
      </c>
      <c r="E8038">
        <v>2019</v>
      </c>
      <c r="F8038">
        <v>3</v>
      </c>
      <c r="G8038">
        <v>10541</v>
      </c>
      <c r="H8038" s="1">
        <v>3</v>
      </c>
      <c r="I8038">
        <v>42</v>
      </c>
      <c r="J8038">
        <f>IF($H8038=0,1,IF($I8038&lt;=1,2,0))</f>
        <v>0</v>
      </c>
      <c r="K8038">
        <v>6</v>
      </c>
      <c r="L8038">
        <f>IF(AND($J8038=0,$K8038=0),0,1)</f>
        <v>1</v>
      </c>
    </row>
    <row r="8039" spans="1:13" x14ac:dyDescent="0.2">
      <c r="A8039" t="s">
        <v>182</v>
      </c>
      <c r="B8039" t="s">
        <v>6</v>
      </c>
      <c r="C8039" t="s">
        <v>183</v>
      </c>
      <c r="D8039">
        <v>5010</v>
      </c>
      <c r="E8039">
        <v>2019</v>
      </c>
      <c r="F8039">
        <v>7</v>
      </c>
      <c r="G8039">
        <v>10545</v>
      </c>
      <c r="H8039" s="1">
        <v>3</v>
      </c>
      <c r="I8039">
        <v>32</v>
      </c>
      <c r="J8039">
        <f>IF($H8039=0,1,IF($I8039&lt;=1,2,0))</f>
        <v>0</v>
      </c>
      <c r="K8039">
        <v>6</v>
      </c>
      <c r="L8039">
        <f>IF(AND($J8039=0,$K8039=0),0,1)</f>
        <v>1</v>
      </c>
    </row>
    <row r="8040" spans="1:13" x14ac:dyDescent="0.2">
      <c r="A8040" t="s">
        <v>182</v>
      </c>
      <c r="B8040" t="s">
        <v>6</v>
      </c>
      <c r="C8040" t="s">
        <v>183</v>
      </c>
      <c r="D8040">
        <v>5010</v>
      </c>
      <c r="E8040">
        <v>2019</v>
      </c>
      <c r="F8040" t="s">
        <v>185</v>
      </c>
      <c r="G8040">
        <v>10547</v>
      </c>
      <c r="H8040" s="1">
        <v>3</v>
      </c>
      <c r="I8040">
        <v>24</v>
      </c>
      <c r="J8040">
        <f>IF($H8040=0,1,IF($I8040&lt;=1,2,0))</f>
        <v>0</v>
      </c>
      <c r="K8040">
        <v>6</v>
      </c>
      <c r="L8040">
        <f>IF(AND($J8040=0,$K8040=0),0,1)</f>
        <v>1</v>
      </c>
      <c r="M8040" t="s">
        <v>184</v>
      </c>
    </row>
    <row r="8041" spans="1:13" x14ac:dyDescent="0.2">
      <c r="A8041" t="s">
        <v>182</v>
      </c>
      <c r="B8041" t="s">
        <v>6</v>
      </c>
      <c r="C8041" t="s">
        <v>183</v>
      </c>
      <c r="D8041">
        <v>5010</v>
      </c>
      <c r="E8041">
        <v>2019</v>
      </c>
      <c r="F8041">
        <v>1</v>
      </c>
      <c r="G8041">
        <v>10540</v>
      </c>
      <c r="H8041" s="1">
        <v>3</v>
      </c>
      <c r="I8041">
        <v>23</v>
      </c>
      <c r="J8041">
        <f>IF($H8041=0,1,IF($I8041&lt;=1,2,0))</f>
        <v>0</v>
      </c>
      <c r="K8041">
        <v>6</v>
      </c>
      <c r="L8041">
        <f>IF(AND($J8041=0,$K8041=0),0,1)</f>
        <v>1</v>
      </c>
    </row>
    <row r="8042" spans="1:13" x14ac:dyDescent="0.2">
      <c r="A8042" t="s">
        <v>182</v>
      </c>
      <c r="B8042" t="s">
        <v>6</v>
      </c>
      <c r="C8042" t="s">
        <v>183</v>
      </c>
      <c r="D8042">
        <v>5010</v>
      </c>
      <c r="E8042">
        <v>2019</v>
      </c>
      <c r="F8042">
        <v>8</v>
      </c>
      <c r="G8042">
        <v>10546</v>
      </c>
      <c r="H8042" s="1">
        <v>3</v>
      </c>
      <c r="I8042">
        <v>0</v>
      </c>
      <c r="J8042">
        <f>IF($H8042=0,1,IF($I8042&lt;=1,2,0))</f>
        <v>2</v>
      </c>
      <c r="K8042">
        <v>6</v>
      </c>
      <c r="L8042">
        <f>IF(AND($J8042=0,$K8042=0),0,1)</f>
        <v>1</v>
      </c>
      <c r="M8042" t="s">
        <v>189</v>
      </c>
    </row>
    <row r="8043" spans="1:13" x14ac:dyDescent="0.2">
      <c r="A8043" t="s">
        <v>182</v>
      </c>
      <c r="B8043" t="s">
        <v>6</v>
      </c>
      <c r="C8043" t="s">
        <v>183</v>
      </c>
      <c r="D8043">
        <v>5015</v>
      </c>
      <c r="E8043">
        <v>2019</v>
      </c>
      <c r="F8043" t="s">
        <v>87</v>
      </c>
      <c r="G8043">
        <v>14006</v>
      </c>
      <c r="H8043" s="1">
        <v>3</v>
      </c>
      <c r="I8043">
        <v>5</v>
      </c>
      <c r="J8043">
        <f>IF($H8043=0,1,IF($I8043&lt;=1,2,0))</f>
        <v>0</v>
      </c>
      <c r="K8043">
        <v>6</v>
      </c>
      <c r="L8043">
        <f>IF(AND($J8043=0,$K8043=0),0,1)</f>
        <v>1</v>
      </c>
    </row>
    <row r="8044" spans="1:13" x14ac:dyDescent="0.2">
      <c r="A8044" t="s">
        <v>182</v>
      </c>
      <c r="B8044" t="s">
        <v>6</v>
      </c>
      <c r="C8044" t="s">
        <v>183</v>
      </c>
      <c r="D8044">
        <v>5015</v>
      </c>
      <c r="E8044">
        <v>2019</v>
      </c>
      <c r="F8044" t="s">
        <v>185</v>
      </c>
      <c r="G8044">
        <v>14007</v>
      </c>
      <c r="H8044" s="1">
        <v>3</v>
      </c>
      <c r="I8044">
        <v>0</v>
      </c>
      <c r="J8044">
        <f>IF($H8044=0,1,IF($I8044&lt;=1,2,0))</f>
        <v>2</v>
      </c>
      <c r="K8044">
        <v>6</v>
      </c>
      <c r="L8044">
        <f>IF(AND($J8044=0,$K8044=0),0,1)</f>
        <v>1</v>
      </c>
      <c r="M8044" t="s">
        <v>189</v>
      </c>
    </row>
    <row r="8045" spans="1:13" x14ac:dyDescent="0.2">
      <c r="A8045" t="s">
        <v>182</v>
      </c>
      <c r="B8045" t="s">
        <v>6</v>
      </c>
      <c r="C8045" t="s">
        <v>183</v>
      </c>
      <c r="D8045">
        <v>5020</v>
      </c>
      <c r="E8045">
        <v>2019</v>
      </c>
      <c r="F8045">
        <v>1</v>
      </c>
      <c r="G8045">
        <v>10550</v>
      </c>
      <c r="H8045" s="1">
        <v>3</v>
      </c>
      <c r="I8045">
        <v>32</v>
      </c>
      <c r="J8045">
        <f>IF($H8045=0,1,IF($I8045&lt;=1,2,0))</f>
        <v>0</v>
      </c>
      <c r="K8045">
        <v>6</v>
      </c>
      <c r="L8045">
        <f>IF(AND($J8045=0,$K8045=0),0,1)</f>
        <v>1</v>
      </c>
    </row>
    <row r="8046" spans="1:13" x14ac:dyDescent="0.2">
      <c r="A8046" t="s">
        <v>182</v>
      </c>
      <c r="B8046" t="s">
        <v>6</v>
      </c>
      <c r="C8046" t="s">
        <v>183</v>
      </c>
      <c r="D8046">
        <v>5020</v>
      </c>
      <c r="E8046">
        <v>2019</v>
      </c>
      <c r="F8046" t="s">
        <v>185</v>
      </c>
      <c r="G8046">
        <v>10551</v>
      </c>
      <c r="H8046" s="1">
        <v>3</v>
      </c>
      <c r="I8046">
        <v>19</v>
      </c>
      <c r="J8046">
        <f>IF($H8046=0,1,IF($I8046&lt;=1,2,0))</f>
        <v>0</v>
      </c>
      <c r="K8046">
        <v>6</v>
      </c>
      <c r="L8046">
        <f>IF(AND($J8046=0,$K8046=0),0,1)</f>
        <v>1</v>
      </c>
      <c r="M8046" t="s">
        <v>184</v>
      </c>
    </row>
    <row r="8047" spans="1:13" x14ac:dyDescent="0.2">
      <c r="A8047" t="s">
        <v>182</v>
      </c>
      <c r="B8047" t="s">
        <v>6</v>
      </c>
      <c r="C8047" t="s">
        <v>183</v>
      </c>
      <c r="D8047">
        <v>5025</v>
      </c>
      <c r="E8047">
        <v>2019</v>
      </c>
      <c r="F8047">
        <v>1</v>
      </c>
      <c r="G8047">
        <v>10552</v>
      </c>
      <c r="H8047" s="1">
        <v>3</v>
      </c>
      <c r="I8047">
        <v>20</v>
      </c>
      <c r="J8047">
        <f>IF($H8047=0,1,IF($I8047&lt;=1,2,0))</f>
        <v>0</v>
      </c>
      <c r="K8047">
        <v>6</v>
      </c>
      <c r="L8047">
        <f>IF(AND($J8047=0,$K8047=0),0,1)</f>
        <v>1</v>
      </c>
    </row>
    <row r="8048" spans="1:13" x14ac:dyDescent="0.2">
      <c r="A8048" t="s">
        <v>182</v>
      </c>
      <c r="B8048" t="s">
        <v>6</v>
      </c>
      <c r="C8048" t="s">
        <v>183</v>
      </c>
      <c r="D8048">
        <v>5025</v>
      </c>
      <c r="E8048">
        <v>2019</v>
      </c>
      <c r="F8048" t="s">
        <v>185</v>
      </c>
      <c r="G8048">
        <v>10553</v>
      </c>
      <c r="H8048" s="1">
        <v>3</v>
      </c>
      <c r="I8048">
        <v>3</v>
      </c>
      <c r="J8048">
        <f>IF($H8048=0,1,IF($I8048&lt;=1,2,0))</f>
        <v>0</v>
      </c>
      <c r="K8048">
        <v>6</v>
      </c>
      <c r="L8048">
        <f>IF(AND($J8048=0,$K8048=0),0,1)</f>
        <v>1</v>
      </c>
      <c r="M8048" t="s">
        <v>184</v>
      </c>
    </row>
    <row r="8049" spans="1:13" x14ac:dyDescent="0.2">
      <c r="A8049" t="s">
        <v>182</v>
      </c>
      <c r="B8049" t="s">
        <v>6</v>
      </c>
      <c r="C8049" t="s">
        <v>183</v>
      </c>
      <c r="D8049">
        <v>5030</v>
      </c>
      <c r="E8049">
        <v>2019</v>
      </c>
      <c r="F8049">
        <v>1</v>
      </c>
      <c r="G8049">
        <v>10554</v>
      </c>
      <c r="H8049" s="1">
        <v>3</v>
      </c>
      <c r="I8049">
        <v>29</v>
      </c>
      <c r="J8049">
        <f>IF($H8049=0,1,IF($I8049&lt;=1,2,0))</f>
        <v>0</v>
      </c>
      <c r="K8049">
        <v>6</v>
      </c>
      <c r="L8049">
        <f>IF(AND($J8049=0,$K8049=0),0,1)</f>
        <v>1</v>
      </c>
    </row>
    <row r="8050" spans="1:13" x14ac:dyDescent="0.2">
      <c r="A8050" t="s">
        <v>182</v>
      </c>
      <c r="B8050" t="s">
        <v>6</v>
      </c>
      <c r="C8050" t="s">
        <v>183</v>
      </c>
      <c r="D8050">
        <v>5030</v>
      </c>
      <c r="E8050">
        <v>2019</v>
      </c>
      <c r="F8050">
        <v>3</v>
      </c>
      <c r="G8050">
        <v>10556</v>
      </c>
      <c r="H8050" s="1">
        <v>3</v>
      </c>
      <c r="I8050">
        <v>26</v>
      </c>
      <c r="J8050">
        <f>IF($H8050=0,1,IF($I8050&lt;=1,2,0))</f>
        <v>0</v>
      </c>
      <c r="K8050">
        <v>6</v>
      </c>
      <c r="L8050">
        <f>IF(AND($J8050=0,$K8050=0),0,1)</f>
        <v>1</v>
      </c>
    </row>
    <row r="8051" spans="1:13" x14ac:dyDescent="0.2">
      <c r="A8051" t="s">
        <v>182</v>
      </c>
      <c r="B8051" t="s">
        <v>6</v>
      </c>
      <c r="C8051" t="s">
        <v>183</v>
      </c>
      <c r="D8051">
        <v>5030</v>
      </c>
      <c r="E8051">
        <v>2019</v>
      </c>
      <c r="F8051">
        <v>4</v>
      </c>
      <c r="G8051">
        <v>10557</v>
      </c>
      <c r="H8051" s="1">
        <v>3</v>
      </c>
      <c r="I8051">
        <v>10</v>
      </c>
      <c r="J8051">
        <f>IF($H8051=0,1,IF($I8051&lt;=1,2,0))</f>
        <v>0</v>
      </c>
      <c r="K8051">
        <v>6</v>
      </c>
      <c r="L8051">
        <f>IF(AND($J8051=0,$K8051=0),0,1)</f>
        <v>1</v>
      </c>
      <c r="M8051" t="s">
        <v>189</v>
      </c>
    </row>
    <row r="8052" spans="1:13" x14ac:dyDescent="0.2">
      <c r="A8052" t="s">
        <v>182</v>
      </c>
      <c r="B8052" t="s">
        <v>6</v>
      </c>
      <c r="C8052" t="s">
        <v>183</v>
      </c>
      <c r="D8052">
        <v>5030</v>
      </c>
      <c r="E8052">
        <v>2019</v>
      </c>
      <c r="F8052">
        <v>2</v>
      </c>
      <c r="G8052">
        <v>10555</v>
      </c>
      <c r="H8052" s="1">
        <v>3</v>
      </c>
      <c r="I8052">
        <v>6</v>
      </c>
      <c r="J8052">
        <f>IF($H8052=0,1,IF($I8052&lt;=1,2,0))</f>
        <v>0</v>
      </c>
      <c r="K8052">
        <v>6</v>
      </c>
      <c r="L8052">
        <f>IF(AND($J8052=0,$K8052=0),0,1)</f>
        <v>1</v>
      </c>
      <c r="M8052" t="s">
        <v>189</v>
      </c>
    </row>
    <row r="8053" spans="1:13" x14ac:dyDescent="0.2">
      <c r="A8053" t="s">
        <v>182</v>
      </c>
      <c r="B8053" t="s">
        <v>6</v>
      </c>
      <c r="C8053" t="s">
        <v>183</v>
      </c>
      <c r="D8053">
        <v>5040</v>
      </c>
      <c r="E8053">
        <v>2019</v>
      </c>
      <c r="F8053">
        <v>2</v>
      </c>
      <c r="G8053">
        <v>10559</v>
      </c>
      <c r="H8053" s="1">
        <v>3</v>
      </c>
      <c r="I8053">
        <v>50</v>
      </c>
      <c r="J8053">
        <f>IF($H8053=0,1,IF($I8053&lt;=1,2,0))</f>
        <v>0</v>
      </c>
      <c r="K8053">
        <v>6</v>
      </c>
      <c r="L8053">
        <f>IF(AND($J8053=0,$K8053=0),0,1)</f>
        <v>1</v>
      </c>
    </row>
    <row r="8054" spans="1:13" x14ac:dyDescent="0.2">
      <c r="A8054" t="s">
        <v>182</v>
      </c>
      <c r="B8054" t="s">
        <v>6</v>
      </c>
      <c r="C8054" t="s">
        <v>183</v>
      </c>
      <c r="D8054">
        <v>5040</v>
      </c>
      <c r="E8054">
        <v>2019</v>
      </c>
      <c r="F8054">
        <v>1</v>
      </c>
      <c r="G8054">
        <v>10558</v>
      </c>
      <c r="H8054" s="1">
        <v>3</v>
      </c>
      <c r="I8054">
        <v>45</v>
      </c>
      <c r="J8054">
        <f>IF($H8054=0,1,IF($I8054&lt;=1,2,0))</f>
        <v>0</v>
      </c>
      <c r="K8054">
        <v>6</v>
      </c>
      <c r="L8054">
        <f>IF(AND($J8054=0,$K8054=0),0,1)</f>
        <v>1</v>
      </c>
    </row>
    <row r="8055" spans="1:13" x14ac:dyDescent="0.2">
      <c r="A8055" t="s">
        <v>182</v>
      </c>
      <c r="B8055" t="s">
        <v>6</v>
      </c>
      <c r="C8055" t="s">
        <v>183</v>
      </c>
      <c r="D8055">
        <v>5100</v>
      </c>
      <c r="E8055">
        <v>2019</v>
      </c>
      <c r="F8055">
        <v>1</v>
      </c>
      <c r="G8055">
        <v>10560</v>
      </c>
      <c r="H8055" s="1">
        <v>3</v>
      </c>
      <c r="I8055">
        <v>28</v>
      </c>
      <c r="J8055">
        <f>IF($H8055=0,1,IF($I8055&lt;=1,2,0))</f>
        <v>0</v>
      </c>
      <c r="K8055">
        <v>6</v>
      </c>
      <c r="L8055">
        <f>IF(AND($J8055=0,$K8055=0),0,1)</f>
        <v>1</v>
      </c>
    </row>
    <row r="8056" spans="1:13" x14ac:dyDescent="0.2">
      <c r="A8056" t="s">
        <v>182</v>
      </c>
      <c r="B8056" t="s">
        <v>6</v>
      </c>
      <c r="C8056" t="s">
        <v>183</v>
      </c>
      <c r="D8056">
        <v>5110</v>
      </c>
      <c r="E8056">
        <v>2019</v>
      </c>
      <c r="F8056">
        <v>1</v>
      </c>
      <c r="G8056">
        <v>10561</v>
      </c>
      <c r="H8056" s="1">
        <v>3</v>
      </c>
      <c r="I8056">
        <v>15</v>
      </c>
      <c r="J8056">
        <f>IF($H8056=0,1,IF($I8056&lt;=1,2,0))</f>
        <v>0</v>
      </c>
      <c r="K8056">
        <v>6</v>
      </c>
      <c r="L8056">
        <f>IF(AND($J8056=0,$K8056=0),0,1)</f>
        <v>1</v>
      </c>
    </row>
    <row r="8057" spans="1:13" x14ac:dyDescent="0.2">
      <c r="A8057" t="s">
        <v>182</v>
      </c>
      <c r="B8057" t="s">
        <v>6</v>
      </c>
      <c r="C8057" t="s">
        <v>183</v>
      </c>
      <c r="D8057">
        <v>5120</v>
      </c>
      <c r="E8057">
        <v>2019</v>
      </c>
      <c r="F8057" t="s">
        <v>87</v>
      </c>
      <c r="G8057">
        <v>10562</v>
      </c>
      <c r="H8057" s="1">
        <v>3</v>
      </c>
      <c r="I8057">
        <v>2</v>
      </c>
      <c r="J8057">
        <f>IF($H8057=0,1,IF($I8057&lt;=1,2,0))</f>
        <v>0</v>
      </c>
      <c r="K8057">
        <v>6</v>
      </c>
      <c r="L8057">
        <f>IF(AND($J8057=0,$K8057=0),0,1)</f>
        <v>1</v>
      </c>
      <c r="M8057" t="s">
        <v>187</v>
      </c>
    </row>
    <row r="8058" spans="1:13" x14ac:dyDescent="0.2">
      <c r="A8058" t="s">
        <v>182</v>
      </c>
      <c r="B8058" t="s">
        <v>6</v>
      </c>
      <c r="C8058" t="s">
        <v>183</v>
      </c>
      <c r="D8058">
        <v>5225</v>
      </c>
      <c r="E8058">
        <v>2019</v>
      </c>
      <c r="F8058">
        <v>5</v>
      </c>
      <c r="G8058">
        <v>16439</v>
      </c>
      <c r="H8058" s="1">
        <v>3</v>
      </c>
      <c r="I8058">
        <v>8</v>
      </c>
      <c r="J8058">
        <f>IF($H8058=0,1,IF($I8058&lt;=1,2,0))</f>
        <v>0</v>
      </c>
      <c r="K8058">
        <v>6</v>
      </c>
      <c r="L8058">
        <f>IF(AND($J8058=0,$K8058=0),0,1)</f>
        <v>1</v>
      </c>
      <c r="M8058" t="s">
        <v>190</v>
      </c>
    </row>
    <row r="8059" spans="1:13" x14ac:dyDescent="0.2">
      <c r="A8059" t="s">
        <v>182</v>
      </c>
      <c r="B8059" t="s">
        <v>6</v>
      </c>
      <c r="C8059" t="s">
        <v>183</v>
      </c>
      <c r="D8059">
        <v>5225</v>
      </c>
      <c r="E8059">
        <v>2019</v>
      </c>
      <c r="F8059">
        <v>1</v>
      </c>
      <c r="G8059">
        <v>10563</v>
      </c>
      <c r="H8059" s="1">
        <v>3</v>
      </c>
      <c r="I8059">
        <v>7</v>
      </c>
      <c r="J8059">
        <f>IF($H8059=0,1,IF($I8059&lt;=1,2,0))</f>
        <v>0</v>
      </c>
      <c r="K8059">
        <v>6</v>
      </c>
      <c r="L8059">
        <f>IF(AND($J8059=0,$K8059=0),0,1)</f>
        <v>1</v>
      </c>
      <c r="M8059" t="s">
        <v>190</v>
      </c>
    </row>
    <row r="8060" spans="1:13" x14ac:dyDescent="0.2">
      <c r="A8060" t="s">
        <v>182</v>
      </c>
      <c r="B8060" t="s">
        <v>6</v>
      </c>
      <c r="C8060" t="s">
        <v>183</v>
      </c>
      <c r="D8060">
        <v>5225</v>
      </c>
      <c r="E8060">
        <v>2019</v>
      </c>
      <c r="F8060">
        <v>3</v>
      </c>
      <c r="G8060">
        <v>10565</v>
      </c>
      <c r="H8060" s="1">
        <v>3</v>
      </c>
      <c r="I8060">
        <v>6</v>
      </c>
      <c r="J8060">
        <f>IF($H8060=0,1,IF($I8060&lt;=1,2,0))</f>
        <v>0</v>
      </c>
      <c r="K8060">
        <v>6</v>
      </c>
      <c r="L8060">
        <f>IF(AND($J8060=0,$K8060=0),0,1)</f>
        <v>1</v>
      </c>
      <c r="M8060" t="s">
        <v>190</v>
      </c>
    </row>
    <row r="8061" spans="1:13" x14ac:dyDescent="0.2">
      <c r="A8061" t="s">
        <v>182</v>
      </c>
      <c r="B8061" t="s">
        <v>6</v>
      </c>
      <c r="C8061" t="s">
        <v>183</v>
      </c>
      <c r="D8061">
        <v>5225</v>
      </c>
      <c r="E8061">
        <v>2019</v>
      </c>
      <c r="F8061">
        <v>6</v>
      </c>
      <c r="G8061">
        <v>16440</v>
      </c>
      <c r="H8061" s="1">
        <v>3</v>
      </c>
      <c r="I8061">
        <v>6</v>
      </c>
      <c r="J8061">
        <f>IF($H8061=0,1,IF($I8061&lt;=1,2,0))</f>
        <v>0</v>
      </c>
      <c r="K8061">
        <v>6</v>
      </c>
      <c r="L8061">
        <f>IF(AND($J8061=0,$K8061=0),0,1)</f>
        <v>1</v>
      </c>
      <c r="M8061" t="s">
        <v>192</v>
      </c>
    </row>
    <row r="8062" spans="1:13" x14ac:dyDescent="0.2">
      <c r="A8062" t="s">
        <v>182</v>
      </c>
      <c r="B8062" t="s">
        <v>6</v>
      </c>
      <c r="C8062" t="s">
        <v>183</v>
      </c>
      <c r="D8062">
        <v>5225</v>
      </c>
      <c r="E8062">
        <v>2019</v>
      </c>
      <c r="F8062">
        <v>2</v>
      </c>
      <c r="G8062">
        <v>10564</v>
      </c>
      <c r="H8062" s="1">
        <v>3</v>
      </c>
      <c r="I8062">
        <v>5</v>
      </c>
      <c r="J8062">
        <f>IF($H8062=0,1,IF($I8062&lt;=1,2,0))</f>
        <v>0</v>
      </c>
      <c r="K8062">
        <v>6</v>
      </c>
      <c r="L8062">
        <f>IF(AND($J8062=0,$K8062=0),0,1)</f>
        <v>1</v>
      </c>
      <c r="M8062" t="s">
        <v>191</v>
      </c>
    </row>
    <row r="8063" spans="1:13" x14ac:dyDescent="0.2">
      <c r="A8063" t="s">
        <v>182</v>
      </c>
      <c r="B8063" t="s">
        <v>6</v>
      </c>
      <c r="C8063" t="s">
        <v>183</v>
      </c>
      <c r="D8063">
        <v>5225</v>
      </c>
      <c r="E8063">
        <v>2019</v>
      </c>
      <c r="F8063">
        <v>4</v>
      </c>
      <c r="G8063">
        <v>10566</v>
      </c>
      <c r="H8063" s="1">
        <v>3</v>
      </c>
      <c r="I8063">
        <v>5</v>
      </c>
      <c r="J8063">
        <f>IF($H8063=0,1,IF($I8063&lt;=1,2,0))</f>
        <v>0</v>
      </c>
      <c r="K8063">
        <v>6</v>
      </c>
      <c r="L8063">
        <f>IF(AND($J8063=0,$K8063=0),0,1)</f>
        <v>1</v>
      </c>
      <c r="M8063" t="s">
        <v>192</v>
      </c>
    </row>
    <row r="8064" spans="1:13" x14ac:dyDescent="0.2">
      <c r="A8064" t="s">
        <v>182</v>
      </c>
      <c r="B8064" t="s">
        <v>6</v>
      </c>
      <c r="C8064" t="s">
        <v>183</v>
      </c>
      <c r="D8064">
        <v>5301</v>
      </c>
      <c r="E8064">
        <v>2019</v>
      </c>
      <c r="F8064">
        <v>1</v>
      </c>
      <c r="G8064">
        <v>10567</v>
      </c>
      <c r="H8064" s="1">
        <v>3</v>
      </c>
      <c r="I8064">
        <v>27</v>
      </c>
      <c r="J8064">
        <f>IF($H8064=0,1,IF($I8064&lt;=1,2,0))</f>
        <v>0</v>
      </c>
      <c r="K8064">
        <v>6</v>
      </c>
      <c r="L8064">
        <f>IF(AND($J8064=0,$K8064=0),0,1)</f>
        <v>1</v>
      </c>
      <c r="M8064" t="s">
        <v>190</v>
      </c>
    </row>
    <row r="8065" spans="1:13" x14ac:dyDescent="0.2">
      <c r="A8065" t="s">
        <v>182</v>
      </c>
      <c r="B8065" t="s">
        <v>6</v>
      </c>
      <c r="C8065" t="s">
        <v>183</v>
      </c>
      <c r="D8065">
        <v>5301</v>
      </c>
      <c r="E8065">
        <v>2019</v>
      </c>
      <c r="F8065">
        <v>2</v>
      </c>
      <c r="G8065">
        <v>10568</v>
      </c>
      <c r="H8065" s="1">
        <v>3</v>
      </c>
      <c r="I8065">
        <v>4</v>
      </c>
      <c r="J8065">
        <f>IF($H8065=0,1,IF($I8065&lt;=1,2,0))</f>
        <v>0</v>
      </c>
      <c r="K8065">
        <v>6</v>
      </c>
      <c r="L8065">
        <f>IF(AND($J8065=0,$K8065=0),0,1)</f>
        <v>1</v>
      </c>
      <c r="M8065" t="s">
        <v>192</v>
      </c>
    </row>
    <row r="8066" spans="1:13" x14ac:dyDescent="0.2">
      <c r="A8066" t="s">
        <v>182</v>
      </c>
      <c r="B8066" t="s">
        <v>6</v>
      </c>
      <c r="C8066" t="s">
        <v>193</v>
      </c>
      <c r="D8066">
        <v>5757</v>
      </c>
      <c r="E8066">
        <v>2019</v>
      </c>
      <c r="F8066">
        <v>300</v>
      </c>
      <c r="G8066">
        <v>17318</v>
      </c>
      <c r="H8066" s="1">
        <v>3</v>
      </c>
      <c r="I8066">
        <v>17</v>
      </c>
      <c r="J8066">
        <f>IF($H8066=0,1,IF($I8066&lt;=1,2,0))</f>
        <v>0</v>
      </c>
      <c r="K8066">
        <v>6</v>
      </c>
      <c r="L8066">
        <f>IF(AND($J8066=0,$K8066=0),0,1)</f>
        <v>1</v>
      </c>
    </row>
    <row r="8067" spans="1:13" x14ac:dyDescent="0.2">
      <c r="A8067" t="s">
        <v>182</v>
      </c>
      <c r="B8067" t="s">
        <v>6</v>
      </c>
      <c r="C8067" t="s">
        <v>193</v>
      </c>
      <c r="D8067">
        <v>5765</v>
      </c>
      <c r="E8067">
        <v>2019</v>
      </c>
      <c r="F8067">
        <v>300</v>
      </c>
      <c r="G8067">
        <v>17319</v>
      </c>
      <c r="H8067" s="1">
        <v>3</v>
      </c>
      <c r="I8067">
        <v>8</v>
      </c>
      <c r="J8067">
        <f>IF($H8067=0,1,IF($I8067&lt;=1,2,0))</f>
        <v>0</v>
      </c>
      <c r="K8067">
        <v>6</v>
      </c>
      <c r="L8067">
        <f>IF(AND($J8067=0,$K8067=0),0,1)</f>
        <v>1</v>
      </c>
    </row>
    <row r="8068" spans="1:13" x14ac:dyDescent="0.2">
      <c r="A8068" t="s">
        <v>182</v>
      </c>
      <c r="B8068" t="s">
        <v>6</v>
      </c>
      <c r="C8068" t="s">
        <v>183</v>
      </c>
      <c r="D8068">
        <v>5850</v>
      </c>
      <c r="E8068">
        <v>2019</v>
      </c>
      <c r="F8068">
        <v>1</v>
      </c>
      <c r="G8068">
        <v>10569</v>
      </c>
      <c r="H8068" s="1">
        <v>3</v>
      </c>
      <c r="I8068">
        <v>8</v>
      </c>
      <c r="J8068">
        <f>IF($H8068=0,1,IF($I8068&lt;=1,2,0))</f>
        <v>0</v>
      </c>
      <c r="K8068">
        <v>6</v>
      </c>
      <c r="L8068">
        <f>IF(AND($J8068=0,$K8068=0),0,1)</f>
        <v>1</v>
      </c>
      <c r="M8068" t="s">
        <v>188</v>
      </c>
    </row>
    <row r="8069" spans="1:13" x14ac:dyDescent="0.2">
      <c r="A8069" t="s">
        <v>182</v>
      </c>
      <c r="B8069" t="s">
        <v>6</v>
      </c>
      <c r="C8069" t="s">
        <v>193</v>
      </c>
      <c r="D8069">
        <v>5967</v>
      </c>
      <c r="E8069">
        <v>2019</v>
      </c>
      <c r="F8069">
        <v>300</v>
      </c>
      <c r="G8069">
        <v>17320</v>
      </c>
      <c r="H8069" s="1">
        <v>3</v>
      </c>
      <c r="I8069">
        <v>8</v>
      </c>
      <c r="J8069">
        <f>IF($H8069=0,1,IF($I8069&lt;=1,2,0))</f>
        <v>0</v>
      </c>
      <c r="K8069">
        <v>6</v>
      </c>
      <c r="L8069">
        <f>IF(AND($J8069=0,$K8069=0),0,1)</f>
        <v>1</v>
      </c>
    </row>
    <row r="8070" spans="1:13" x14ac:dyDescent="0.2">
      <c r="A8070" t="s">
        <v>182</v>
      </c>
      <c r="B8070" t="s">
        <v>6</v>
      </c>
      <c r="C8070" t="s">
        <v>193</v>
      </c>
      <c r="D8070">
        <v>5968</v>
      </c>
      <c r="E8070">
        <v>2019</v>
      </c>
      <c r="F8070">
        <v>300</v>
      </c>
      <c r="G8070">
        <v>17321</v>
      </c>
      <c r="H8070" s="1">
        <v>3</v>
      </c>
      <c r="I8070">
        <v>6</v>
      </c>
      <c r="J8070">
        <f>IF($H8070=0,1,IF($I8070&lt;=1,2,0))</f>
        <v>0</v>
      </c>
      <c r="K8070">
        <v>6</v>
      </c>
      <c r="L8070">
        <f>IF(AND($J8070=0,$K8070=0),0,1)</f>
        <v>1</v>
      </c>
    </row>
    <row r="8071" spans="1:13" x14ac:dyDescent="0.2">
      <c r="A8071" t="s">
        <v>182</v>
      </c>
      <c r="B8071" t="s">
        <v>6</v>
      </c>
      <c r="C8071" t="s">
        <v>193</v>
      </c>
      <c r="D8071">
        <v>7755</v>
      </c>
      <c r="E8071">
        <v>2019</v>
      </c>
      <c r="F8071">
        <v>100</v>
      </c>
      <c r="G8071">
        <v>14741</v>
      </c>
      <c r="H8071" s="1">
        <v>3</v>
      </c>
      <c r="I8071">
        <v>63</v>
      </c>
      <c r="J8071">
        <f>IF($H8071=0,1,IF($I8071&lt;=1,2,0))</f>
        <v>0</v>
      </c>
      <c r="K8071">
        <v>6</v>
      </c>
      <c r="L8071">
        <f>IF(AND($J8071=0,$K8071=0),0,1)</f>
        <v>1</v>
      </c>
    </row>
    <row r="8072" spans="1:13" x14ac:dyDescent="0.2">
      <c r="A8072" t="s">
        <v>182</v>
      </c>
      <c r="B8072" t="s">
        <v>6</v>
      </c>
      <c r="C8072" t="s">
        <v>193</v>
      </c>
      <c r="D8072">
        <v>7758</v>
      </c>
      <c r="E8072">
        <v>2019</v>
      </c>
      <c r="F8072">
        <v>100</v>
      </c>
      <c r="G8072">
        <v>14742</v>
      </c>
      <c r="H8072" s="1">
        <v>3</v>
      </c>
      <c r="I8072">
        <v>34</v>
      </c>
      <c r="J8072">
        <f>IF($H8072=0,1,IF($I8072&lt;=1,2,0))</f>
        <v>0</v>
      </c>
      <c r="K8072">
        <v>6</v>
      </c>
      <c r="L8072">
        <f>IF(AND($J8072=0,$K8072=0),0,1)</f>
        <v>1</v>
      </c>
    </row>
    <row r="8073" spans="1:13" x14ac:dyDescent="0.2">
      <c r="A8073" t="s">
        <v>182</v>
      </c>
      <c r="B8073" t="s">
        <v>6</v>
      </c>
      <c r="C8073" t="s">
        <v>193</v>
      </c>
      <c r="D8073">
        <v>7770</v>
      </c>
      <c r="E8073">
        <v>2019</v>
      </c>
      <c r="F8073">
        <v>100</v>
      </c>
      <c r="G8073">
        <v>15441</v>
      </c>
      <c r="H8073" s="1">
        <v>3</v>
      </c>
      <c r="I8073">
        <v>55</v>
      </c>
      <c r="J8073">
        <f>IF($H8073=0,1,IF($I8073&lt;=1,2,0))</f>
        <v>0</v>
      </c>
      <c r="K8073">
        <v>6</v>
      </c>
      <c r="L8073">
        <f>IF(AND($J8073=0,$K8073=0),0,1)</f>
        <v>1</v>
      </c>
    </row>
    <row r="8074" spans="1:13" x14ac:dyDescent="0.2">
      <c r="A8074" t="s">
        <v>182</v>
      </c>
      <c r="B8074" t="s">
        <v>6</v>
      </c>
      <c r="C8074" t="s">
        <v>193</v>
      </c>
      <c r="D8074">
        <v>7800</v>
      </c>
      <c r="E8074">
        <v>2019</v>
      </c>
      <c r="F8074">
        <v>1</v>
      </c>
      <c r="G8074">
        <v>14743</v>
      </c>
      <c r="H8074" s="1">
        <v>3</v>
      </c>
      <c r="I8074">
        <v>5</v>
      </c>
      <c r="J8074">
        <f>IF($H8074=0,1,IF($I8074&lt;=1,2,0))</f>
        <v>0</v>
      </c>
      <c r="K8074">
        <v>6</v>
      </c>
      <c r="L8074">
        <f>IF(AND($J8074=0,$K8074=0),0,1)</f>
        <v>1</v>
      </c>
    </row>
    <row r="8075" spans="1:13" x14ac:dyDescent="0.2">
      <c r="A8075" t="s">
        <v>182</v>
      </c>
      <c r="B8075" t="s">
        <v>6</v>
      </c>
      <c r="C8075" t="s">
        <v>193</v>
      </c>
      <c r="D8075">
        <v>7800</v>
      </c>
      <c r="E8075">
        <v>2019</v>
      </c>
      <c r="F8075">
        <v>2</v>
      </c>
      <c r="G8075">
        <v>18821</v>
      </c>
      <c r="H8075" s="1">
        <v>3</v>
      </c>
      <c r="I8075">
        <v>1</v>
      </c>
      <c r="J8075">
        <f>IF($H8075=0,1,IF($I8075&lt;=1,2,0))</f>
        <v>2</v>
      </c>
      <c r="K8075">
        <v>6</v>
      </c>
      <c r="L8075">
        <f>IF(AND($J8075=0,$K8075=0),0,1)</f>
        <v>1</v>
      </c>
    </row>
    <row r="8076" spans="1:13" x14ac:dyDescent="0.2">
      <c r="A8076" t="s">
        <v>182</v>
      </c>
      <c r="B8076" t="s">
        <v>6</v>
      </c>
      <c r="C8076" t="s">
        <v>193</v>
      </c>
      <c r="D8076">
        <v>7802</v>
      </c>
      <c r="E8076">
        <v>2019</v>
      </c>
      <c r="F8076">
        <v>1</v>
      </c>
      <c r="G8076">
        <v>14744</v>
      </c>
      <c r="H8076" s="1">
        <v>1.5</v>
      </c>
      <c r="I8076">
        <v>6</v>
      </c>
      <c r="J8076">
        <f>IF($H8076=0,1,IF($I8076&lt;=1,2,0))</f>
        <v>0</v>
      </c>
      <c r="K8076">
        <v>6</v>
      </c>
      <c r="L8076">
        <f>IF(AND($J8076=0,$K8076=0),0,1)</f>
        <v>1</v>
      </c>
    </row>
    <row r="8077" spans="1:13" x14ac:dyDescent="0.2">
      <c r="A8077" t="s">
        <v>182</v>
      </c>
      <c r="B8077" t="s">
        <v>6</v>
      </c>
      <c r="C8077" t="s">
        <v>193</v>
      </c>
      <c r="D8077">
        <v>7803</v>
      </c>
      <c r="E8077">
        <v>2019</v>
      </c>
      <c r="F8077">
        <v>1</v>
      </c>
      <c r="G8077">
        <v>14745</v>
      </c>
      <c r="H8077" s="1">
        <v>3</v>
      </c>
      <c r="I8077">
        <v>4</v>
      </c>
      <c r="J8077">
        <f>IF($H8077=0,1,IF($I8077&lt;=1,2,0))</f>
        <v>0</v>
      </c>
      <c r="K8077">
        <v>6</v>
      </c>
      <c r="L8077">
        <f>IF(AND($J8077=0,$K8077=0),0,1)</f>
        <v>1</v>
      </c>
    </row>
    <row r="8078" spans="1:13" x14ac:dyDescent="0.2">
      <c r="A8078" t="s">
        <v>182</v>
      </c>
      <c r="B8078" t="s">
        <v>6</v>
      </c>
      <c r="C8078" t="s">
        <v>193</v>
      </c>
      <c r="D8078">
        <v>7804</v>
      </c>
      <c r="E8078">
        <v>2019</v>
      </c>
      <c r="F8078">
        <v>1</v>
      </c>
      <c r="G8078">
        <v>14746</v>
      </c>
      <c r="H8078" s="1">
        <v>1.5</v>
      </c>
      <c r="I8078">
        <v>0</v>
      </c>
      <c r="J8078">
        <f>IF($H8078=0,1,IF($I8078&lt;=1,2,0))</f>
        <v>2</v>
      </c>
      <c r="K8078">
        <v>6</v>
      </c>
      <c r="L8078">
        <f>IF(AND($J8078=0,$K8078=0),0,1)</f>
        <v>1</v>
      </c>
    </row>
    <row r="8079" spans="1:13" x14ac:dyDescent="0.2">
      <c r="A8079" t="s">
        <v>182</v>
      </c>
      <c r="B8079" t="s">
        <v>6</v>
      </c>
      <c r="C8079" t="s">
        <v>193</v>
      </c>
      <c r="D8079">
        <v>7806</v>
      </c>
      <c r="E8079">
        <v>2019</v>
      </c>
      <c r="F8079">
        <v>2</v>
      </c>
      <c r="G8079">
        <v>14747</v>
      </c>
      <c r="H8079" s="1">
        <v>3</v>
      </c>
      <c r="I8079">
        <v>0</v>
      </c>
      <c r="J8079">
        <f>IF($H8079=0,1,IF($I8079&lt;=1,2,0))</f>
        <v>2</v>
      </c>
      <c r="K8079">
        <v>6</v>
      </c>
      <c r="L8079">
        <f>IF(AND($J8079=0,$K8079=0),0,1)</f>
        <v>1</v>
      </c>
    </row>
    <row r="8080" spans="1:13" x14ac:dyDescent="0.2">
      <c r="A8080" t="s">
        <v>182</v>
      </c>
      <c r="B8080" t="s">
        <v>6</v>
      </c>
      <c r="C8080" t="s">
        <v>193</v>
      </c>
      <c r="D8080">
        <v>7807</v>
      </c>
      <c r="E8080">
        <v>2019</v>
      </c>
      <c r="F8080">
        <v>1</v>
      </c>
      <c r="G8080">
        <v>14748</v>
      </c>
      <c r="H8080" s="1">
        <v>2</v>
      </c>
      <c r="I8080">
        <v>0</v>
      </c>
      <c r="J8080">
        <f>IF($H8080=0,1,IF($I8080&lt;=1,2,0))</f>
        <v>2</v>
      </c>
      <c r="K8080">
        <v>6</v>
      </c>
      <c r="L8080">
        <f>IF(AND($J8080=0,$K8080=0),0,1)</f>
        <v>1</v>
      </c>
    </row>
    <row r="8081" spans="1:13" x14ac:dyDescent="0.2">
      <c r="A8081" t="s">
        <v>182</v>
      </c>
      <c r="B8081" t="s">
        <v>6</v>
      </c>
      <c r="C8081" t="s">
        <v>193</v>
      </c>
      <c r="D8081">
        <v>7808</v>
      </c>
      <c r="E8081">
        <v>2019</v>
      </c>
      <c r="F8081">
        <v>1</v>
      </c>
      <c r="G8081">
        <v>14749</v>
      </c>
      <c r="H8081" s="1">
        <v>1.5</v>
      </c>
      <c r="I8081">
        <v>0</v>
      </c>
      <c r="J8081">
        <f>IF($H8081=0,1,IF($I8081&lt;=1,2,0))</f>
        <v>2</v>
      </c>
      <c r="K8081">
        <v>6</v>
      </c>
      <c r="L8081">
        <f>IF(AND($J8081=0,$K8081=0),0,1)</f>
        <v>1</v>
      </c>
    </row>
    <row r="8082" spans="1:13" x14ac:dyDescent="0.2">
      <c r="A8082" t="s">
        <v>182</v>
      </c>
      <c r="B8082" t="s">
        <v>6</v>
      </c>
      <c r="C8082" t="s">
        <v>193</v>
      </c>
      <c r="D8082">
        <v>8700</v>
      </c>
      <c r="E8082">
        <v>2019</v>
      </c>
      <c r="F8082">
        <v>12</v>
      </c>
      <c r="G8082">
        <v>14545</v>
      </c>
      <c r="H8082" s="1">
        <v>15</v>
      </c>
      <c r="I8082">
        <v>0</v>
      </c>
      <c r="J8082">
        <f>IF($H8082=0,1,IF($I8082&lt;=1,2,0))</f>
        <v>2</v>
      </c>
      <c r="K8082">
        <v>6</v>
      </c>
      <c r="L8082">
        <f>IF(AND($J8082=0,$K8082=0),0,1)</f>
        <v>1</v>
      </c>
    </row>
    <row r="8083" spans="1:13" x14ac:dyDescent="0.2">
      <c r="A8083" t="s">
        <v>182</v>
      </c>
      <c r="B8083" t="s">
        <v>6</v>
      </c>
      <c r="C8083" t="s">
        <v>193</v>
      </c>
      <c r="D8083">
        <v>8707</v>
      </c>
      <c r="E8083">
        <v>2019</v>
      </c>
      <c r="F8083">
        <v>1</v>
      </c>
      <c r="G8083">
        <v>14546</v>
      </c>
      <c r="H8083" s="1">
        <v>3</v>
      </c>
      <c r="I8083">
        <v>29</v>
      </c>
      <c r="J8083">
        <f>IF($H8083=0,1,IF($I8083&lt;=1,2,0))</f>
        <v>0</v>
      </c>
      <c r="K8083">
        <v>6</v>
      </c>
      <c r="L8083">
        <f>IF(AND($J8083=0,$K8083=0),0,1)</f>
        <v>1</v>
      </c>
    </row>
    <row r="8084" spans="1:13" x14ac:dyDescent="0.2">
      <c r="A8084" t="s">
        <v>182</v>
      </c>
      <c r="B8084" t="s">
        <v>6</v>
      </c>
      <c r="C8084" t="s">
        <v>193</v>
      </c>
      <c r="D8084">
        <v>8731</v>
      </c>
      <c r="E8084">
        <v>2019</v>
      </c>
      <c r="F8084">
        <v>1</v>
      </c>
      <c r="G8084">
        <v>14547</v>
      </c>
      <c r="H8084" s="1">
        <v>1.5</v>
      </c>
      <c r="I8084">
        <v>51</v>
      </c>
      <c r="J8084">
        <f>IF($H8084=0,1,IF($I8084&lt;=1,2,0))</f>
        <v>0</v>
      </c>
      <c r="K8084">
        <v>6</v>
      </c>
      <c r="L8084">
        <f>IF(AND($J8084=0,$K8084=0),0,1)</f>
        <v>1</v>
      </c>
    </row>
    <row r="8085" spans="1:13" x14ac:dyDescent="0.2">
      <c r="A8085" t="s">
        <v>182</v>
      </c>
      <c r="B8085" t="s">
        <v>6</v>
      </c>
      <c r="C8085" t="s">
        <v>193</v>
      </c>
      <c r="D8085">
        <v>8773</v>
      </c>
      <c r="E8085">
        <v>2019</v>
      </c>
      <c r="F8085">
        <v>2</v>
      </c>
      <c r="G8085">
        <v>17711</v>
      </c>
      <c r="H8085" s="1">
        <v>3</v>
      </c>
      <c r="I8085">
        <v>0</v>
      </c>
      <c r="J8085">
        <f>IF($H8085=0,1,IF($I8085&lt;=1,2,0))</f>
        <v>2</v>
      </c>
      <c r="K8085">
        <v>6</v>
      </c>
      <c r="L8085">
        <f>IF(AND($J8085=0,$K8085=0),0,1)</f>
        <v>1</v>
      </c>
    </row>
    <row r="8086" spans="1:13" x14ac:dyDescent="0.2">
      <c r="A8086" t="s">
        <v>182</v>
      </c>
      <c r="B8086" t="s">
        <v>6</v>
      </c>
      <c r="C8086" t="s">
        <v>193</v>
      </c>
      <c r="D8086">
        <v>8777</v>
      </c>
      <c r="E8086">
        <v>2019</v>
      </c>
      <c r="F8086">
        <v>1</v>
      </c>
      <c r="G8086">
        <v>14550</v>
      </c>
      <c r="H8086" s="1">
        <v>3</v>
      </c>
      <c r="I8086">
        <v>30</v>
      </c>
      <c r="J8086">
        <f>IF($H8086=0,1,IF($I8086&lt;=1,2,0))</f>
        <v>0</v>
      </c>
      <c r="K8086">
        <v>6</v>
      </c>
      <c r="L8086">
        <f>IF(AND($J8086=0,$K8086=0),0,1)</f>
        <v>1</v>
      </c>
    </row>
    <row r="8087" spans="1:13" x14ac:dyDescent="0.2">
      <c r="A8087" t="s">
        <v>182</v>
      </c>
      <c r="B8087" t="s">
        <v>6</v>
      </c>
      <c r="C8087" t="s">
        <v>193</v>
      </c>
      <c r="D8087">
        <v>8778</v>
      </c>
      <c r="E8087">
        <v>2019</v>
      </c>
      <c r="F8087">
        <v>1</v>
      </c>
      <c r="G8087">
        <v>14551</v>
      </c>
      <c r="H8087" s="1">
        <v>3</v>
      </c>
      <c r="I8087">
        <v>30</v>
      </c>
      <c r="J8087">
        <f>IF($H8087=0,1,IF($I8087&lt;=1,2,0))</f>
        <v>0</v>
      </c>
      <c r="K8087">
        <v>6</v>
      </c>
      <c r="L8087">
        <f>IF(AND($J8087=0,$K8087=0),0,1)</f>
        <v>1</v>
      </c>
    </row>
    <row r="8088" spans="1:13" x14ac:dyDescent="0.2">
      <c r="A8088" t="s">
        <v>182</v>
      </c>
      <c r="B8088" t="s">
        <v>6</v>
      </c>
      <c r="C8088" t="s">
        <v>193</v>
      </c>
      <c r="D8088">
        <v>8780</v>
      </c>
      <c r="E8088">
        <v>2019</v>
      </c>
      <c r="F8088">
        <v>1</v>
      </c>
      <c r="G8088">
        <v>14779</v>
      </c>
      <c r="H8088" s="1">
        <v>3</v>
      </c>
      <c r="I8088">
        <v>30</v>
      </c>
      <c r="J8088">
        <f>IF($H8088=0,1,IF($I8088&lt;=1,2,0))</f>
        <v>0</v>
      </c>
      <c r="K8088">
        <v>6</v>
      </c>
      <c r="L8088">
        <f>IF(AND($J8088=0,$K8088=0),0,1)</f>
        <v>1</v>
      </c>
    </row>
    <row r="8089" spans="1:13" x14ac:dyDescent="0.2">
      <c r="A8089" t="s">
        <v>182</v>
      </c>
      <c r="B8089" t="s">
        <v>6</v>
      </c>
      <c r="C8089" t="s">
        <v>193</v>
      </c>
      <c r="D8089">
        <v>8813</v>
      </c>
      <c r="E8089">
        <v>2019</v>
      </c>
      <c r="F8089" t="s">
        <v>87</v>
      </c>
      <c r="G8089">
        <v>16370</v>
      </c>
      <c r="H8089" s="1">
        <v>1.5</v>
      </c>
      <c r="I8089">
        <v>38</v>
      </c>
      <c r="J8089">
        <f>IF($H8089=0,1,IF($I8089&lt;=1,2,0))</f>
        <v>0</v>
      </c>
      <c r="K8089">
        <v>6</v>
      </c>
      <c r="L8089">
        <f>IF(AND($J8089=0,$K8089=0),0,1)</f>
        <v>1</v>
      </c>
    </row>
    <row r="8090" spans="1:13" x14ac:dyDescent="0.2">
      <c r="A8090" t="s">
        <v>182</v>
      </c>
      <c r="B8090" t="s">
        <v>6</v>
      </c>
      <c r="C8090" t="s">
        <v>193</v>
      </c>
      <c r="D8090">
        <v>9800</v>
      </c>
      <c r="E8090">
        <v>2019</v>
      </c>
      <c r="F8090">
        <v>1</v>
      </c>
      <c r="G8090">
        <v>14772</v>
      </c>
      <c r="H8090" s="1">
        <v>0</v>
      </c>
      <c r="I8090">
        <v>113</v>
      </c>
      <c r="J8090">
        <f>IF($H8090=0,1,IF($I8090&lt;=1,2,0))</f>
        <v>1</v>
      </c>
      <c r="K8090">
        <v>5</v>
      </c>
      <c r="L8090">
        <f>IF(AND($J8090=0,$K8090=0),0,1)</f>
        <v>1</v>
      </c>
    </row>
    <row r="8091" spans="1:13" x14ac:dyDescent="0.2">
      <c r="A8091" t="s">
        <v>182</v>
      </c>
      <c r="B8091" t="s">
        <v>6</v>
      </c>
      <c r="C8091" t="s">
        <v>193</v>
      </c>
      <c r="D8091">
        <v>9802</v>
      </c>
      <c r="E8091">
        <v>2019</v>
      </c>
      <c r="F8091">
        <v>1</v>
      </c>
      <c r="G8091">
        <v>14773</v>
      </c>
      <c r="H8091" s="1">
        <v>3</v>
      </c>
      <c r="I8091">
        <v>3</v>
      </c>
      <c r="J8091">
        <f>IF($H8091=0,1,IF($I8091&lt;=1,2,0))</f>
        <v>0</v>
      </c>
      <c r="K8091">
        <v>5</v>
      </c>
      <c r="L8091">
        <f>IF(AND($J8091=0,$K8091=0),0,1)</f>
        <v>1</v>
      </c>
    </row>
    <row r="8092" spans="1:13" x14ac:dyDescent="0.2">
      <c r="A8092" t="s">
        <v>182</v>
      </c>
      <c r="B8092" t="s">
        <v>6</v>
      </c>
      <c r="C8092" t="s">
        <v>193</v>
      </c>
      <c r="D8092">
        <v>9804</v>
      </c>
      <c r="E8092">
        <v>2019</v>
      </c>
      <c r="F8092">
        <v>1</v>
      </c>
      <c r="G8092">
        <v>18870</v>
      </c>
      <c r="H8092" s="1">
        <v>1.5</v>
      </c>
      <c r="I8092">
        <v>3</v>
      </c>
      <c r="J8092">
        <f>IF($H8092=0,1,IF($I8092&lt;=1,2,0))</f>
        <v>0</v>
      </c>
      <c r="K8092">
        <v>5</v>
      </c>
      <c r="L8092">
        <f>IF(AND($J8092=0,$K8092=0),0,1)</f>
        <v>1</v>
      </c>
    </row>
    <row r="8093" spans="1:13" x14ac:dyDescent="0.2">
      <c r="A8093" t="s">
        <v>182</v>
      </c>
      <c r="B8093" t="s">
        <v>6</v>
      </c>
      <c r="C8093" t="s">
        <v>193</v>
      </c>
      <c r="D8093">
        <v>9806</v>
      </c>
      <c r="E8093">
        <v>2019</v>
      </c>
      <c r="F8093">
        <v>1</v>
      </c>
      <c r="G8093">
        <v>19265</v>
      </c>
      <c r="H8093" s="1">
        <v>3</v>
      </c>
      <c r="I8093">
        <v>1</v>
      </c>
      <c r="J8093">
        <f>IF($H8093=0,1,IF($I8093&lt;=1,2,0))</f>
        <v>2</v>
      </c>
      <c r="K8093">
        <v>5</v>
      </c>
      <c r="L8093">
        <f>IF(AND($J8093=0,$K8093=0),0,1)</f>
        <v>1</v>
      </c>
    </row>
    <row r="8094" spans="1:13" x14ac:dyDescent="0.2">
      <c r="A8094" t="s">
        <v>182</v>
      </c>
      <c r="B8094" t="s">
        <v>6</v>
      </c>
      <c r="C8094" t="s">
        <v>193</v>
      </c>
      <c r="D8094">
        <v>9899</v>
      </c>
      <c r="E8094">
        <v>2019</v>
      </c>
      <c r="F8094">
        <v>1</v>
      </c>
      <c r="G8094">
        <v>14774</v>
      </c>
      <c r="H8094" s="1">
        <v>1.5</v>
      </c>
      <c r="I8094">
        <v>1</v>
      </c>
      <c r="J8094">
        <f>IF($H8094=0,1,IF($I8094&lt;=1,2,0))</f>
        <v>2</v>
      </c>
      <c r="K8094">
        <v>5</v>
      </c>
      <c r="L8094">
        <f>IF(AND($J8094=0,$K8094=0),0,1)</f>
        <v>1</v>
      </c>
    </row>
    <row r="8095" spans="1:13" x14ac:dyDescent="0.2">
      <c r="A8095" t="s">
        <v>196</v>
      </c>
      <c r="B8095" t="s">
        <v>6</v>
      </c>
      <c r="C8095" t="s">
        <v>11</v>
      </c>
      <c r="D8095">
        <v>6100</v>
      </c>
      <c r="E8095">
        <v>2019</v>
      </c>
      <c r="F8095">
        <v>1</v>
      </c>
      <c r="G8095">
        <v>20365</v>
      </c>
      <c r="H8095" s="1">
        <v>3</v>
      </c>
      <c r="I8095">
        <v>27</v>
      </c>
      <c r="J8095">
        <f>IF($H8095=0,1,IF($I8095&lt;=1,2,0))</f>
        <v>0</v>
      </c>
      <c r="K8095">
        <v>4</v>
      </c>
      <c r="L8095">
        <f>IF(AND($J8095=0,$K8095=0),0,1)</f>
        <v>1</v>
      </c>
      <c r="M8095" t="s">
        <v>197</v>
      </c>
    </row>
    <row r="8096" spans="1:13" x14ac:dyDescent="0.2">
      <c r="A8096" t="s">
        <v>196</v>
      </c>
      <c r="B8096" t="s">
        <v>6</v>
      </c>
      <c r="C8096" t="s">
        <v>11</v>
      </c>
      <c r="D8096">
        <v>6312</v>
      </c>
      <c r="E8096">
        <v>2019</v>
      </c>
      <c r="F8096">
        <v>1</v>
      </c>
      <c r="G8096">
        <v>17760</v>
      </c>
      <c r="H8096" s="1">
        <v>3</v>
      </c>
      <c r="I8096">
        <v>16</v>
      </c>
      <c r="J8096">
        <f>IF($H8096=0,1,IF($I8096&lt;=1,2,0))</f>
        <v>0</v>
      </c>
      <c r="K8096">
        <v>4</v>
      </c>
      <c r="L8096">
        <f>IF(AND($J8096=0,$K8096=0),0,1)</f>
        <v>1</v>
      </c>
      <c r="M8096" t="s">
        <v>198</v>
      </c>
    </row>
    <row r="8097" spans="1:13" x14ac:dyDescent="0.2">
      <c r="A8097" t="s">
        <v>196</v>
      </c>
      <c r="B8097" t="s">
        <v>6</v>
      </c>
      <c r="C8097" t="s">
        <v>11</v>
      </c>
      <c r="D8097">
        <v>6730</v>
      </c>
      <c r="E8097">
        <v>2019</v>
      </c>
      <c r="F8097">
        <v>1</v>
      </c>
      <c r="G8097">
        <v>20364</v>
      </c>
      <c r="H8097" s="1">
        <v>3</v>
      </c>
      <c r="I8097">
        <v>18</v>
      </c>
      <c r="J8097">
        <f>IF($H8097=0,1,IF($I8097&lt;=1,2,0))</f>
        <v>0</v>
      </c>
      <c r="K8097">
        <v>4</v>
      </c>
      <c r="L8097">
        <f>IF(AND($J8097=0,$K8097=0),0,1)</f>
        <v>1</v>
      </c>
      <c r="M8097" t="s">
        <v>199</v>
      </c>
    </row>
    <row r="8098" spans="1:13" x14ac:dyDescent="0.2">
      <c r="A8098" t="s">
        <v>196</v>
      </c>
      <c r="B8098" t="s">
        <v>6</v>
      </c>
      <c r="D8098">
        <v>88300</v>
      </c>
      <c r="E8098">
        <v>2019</v>
      </c>
      <c r="F8098">
        <v>1</v>
      </c>
      <c r="G8098">
        <v>63799</v>
      </c>
      <c r="H8098" s="1">
        <v>3</v>
      </c>
      <c r="I8098">
        <v>16</v>
      </c>
      <c r="J8098">
        <f>IF($H8098=0,1,IF($I8098&lt;=1,2,0))</f>
        <v>0</v>
      </c>
      <c r="K8098">
        <v>5</v>
      </c>
      <c r="L8098">
        <f>IF(AND($J8098=0,$K8098=0),0,1)</f>
        <v>1</v>
      </c>
    </row>
    <row r="8099" spans="1:13" x14ac:dyDescent="0.2">
      <c r="A8099" t="s">
        <v>201</v>
      </c>
      <c r="B8099" t="s">
        <v>71</v>
      </c>
      <c r="C8099" t="s">
        <v>72</v>
      </c>
      <c r="D8099">
        <v>4252</v>
      </c>
      <c r="E8099">
        <v>2019</v>
      </c>
      <c r="F8099" t="s">
        <v>84</v>
      </c>
      <c r="G8099">
        <v>17766</v>
      </c>
      <c r="H8099" s="1">
        <v>3</v>
      </c>
      <c r="I8099">
        <v>1</v>
      </c>
      <c r="J8099">
        <f>IF($H8099=0,1,IF($I8099&lt;=1,2,0))</f>
        <v>2</v>
      </c>
      <c r="K8099">
        <v>0</v>
      </c>
      <c r="L8099">
        <f>IF(AND($J8099=0,$K8099=0),0,1)</f>
        <v>1</v>
      </c>
      <c r="M8099" t="s">
        <v>85</v>
      </c>
    </row>
    <row r="8100" spans="1:13" x14ac:dyDescent="0.2">
      <c r="A8100" t="s">
        <v>202</v>
      </c>
      <c r="B8100" t="s">
        <v>133</v>
      </c>
      <c r="C8100" t="s">
        <v>9</v>
      </c>
      <c r="D8100">
        <v>1</v>
      </c>
      <c r="E8100">
        <v>2019</v>
      </c>
      <c r="F8100">
        <v>1</v>
      </c>
      <c r="G8100">
        <v>99436</v>
      </c>
      <c r="H8100" s="1">
        <v>0</v>
      </c>
      <c r="I8100">
        <v>12</v>
      </c>
      <c r="J8100">
        <f>IF($H8100=0,1,IF($I8100&lt;=1,2,0))</f>
        <v>1</v>
      </c>
      <c r="K8100">
        <v>0</v>
      </c>
      <c r="L8100">
        <f>IF(AND($J8100=0,$K8100=0),0,1)</f>
        <v>1</v>
      </c>
    </row>
    <row r="8101" spans="1:13" x14ac:dyDescent="0.2">
      <c r="A8101" t="s">
        <v>202</v>
      </c>
      <c r="B8101" t="s">
        <v>133</v>
      </c>
      <c r="C8101" t="s">
        <v>2</v>
      </c>
      <c r="D8101">
        <v>1003</v>
      </c>
      <c r="E8101">
        <v>2019</v>
      </c>
      <c r="F8101">
        <v>1</v>
      </c>
      <c r="G8101">
        <v>7395</v>
      </c>
      <c r="H8101" s="1">
        <v>1</v>
      </c>
      <c r="I8101">
        <v>21</v>
      </c>
      <c r="J8101">
        <f>IF($H8101=0,1,IF($I8101&lt;=1,2,0))</f>
        <v>0</v>
      </c>
      <c r="K8101">
        <v>7</v>
      </c>
      <c r="L8101">
        <f>IF(AND($J8101=0,$K8101=0),0,1)</f>
        <v>1</v>
      </c>
    </row>
    <row r="8102" spans="1:13" x14ac:dyDescent="0.2">
      <c r="A8102" t="s">
        <v>202</v>
      </c>
      <c r="B8102" t="s">
        <v>133</v>
      </c>
      <c r="C8102" t="s">
        <v>2</v>
      </c>
      <c r="D8102">
        <v>1003</v>
      </c>
      <c r="E8102">
        <v>2019</v>
      </c>
      <c r="F8102">
        <v>2</v>
      </c>
      <c r="G8102">
        <v>7396</v>
      </c>
      <c r="H8102" s="1">
        <v>1</v>
      </c>
      <c r="I8102">
        <v>16</v>
      </c>
      <c r="J8102">
        <f>IF($H8102=0,1,IF($I8102&lt;=1,2,0))</f>
        <v>0</v>
      </c>
      <c r="K8102">
        <v>7</v>
      </c>
      <c r="L8102">
        <f>IF(AND($J8102=0,$K8102=0),0,1)</f>
        <v>1</v>
      </c>
    </row>
    <row r="8103" spans="1:13" x14ac:dyDescent="0.2">
      <c r="A8103" t="s">
        <v>202</v>
      </c>
      <c r="B8103" t="s">
        <v>133</v>
      </c>
      <c r="C8103" t="s">
        <v>9</v>
      </c>
      <c r="D8103">
        <v>1405</v>
      </c>
      <c r="E8103">
        <v>2019</v>
      </c>
      <c r="F8103">
        <v>5</v>
      </c>
      <c r="G8103">
        <v>99370</v>
      </c>
      <c r="H8103" s="1">
        <v>0</v>
      </c>
      <c r="I8103">
        <v>23</v>
      </c>
      <c r="J8103">
        <f>IF($H8103=0,1,IF($I8103&lt;=1,2,0))</f>
        <v>1</v>
      </c>
      <c r="K8103">
        <v>0</v>
      </c>
      <c r="L8103">
        <f>IF(AND($J8103=0,$K8103=0),0,1)</f>
        <v>1</v>
      </c>
    </row>
    <row r="8104" spans="1:13" x14ac:dyDescent="0.2">
      <c r="A8104" t="s">
        <v>202</v>
      </c>
      <c r="B8104" t="s">
        <v>133</v>
      </c>
      <c r="C8104" t="s">
        <v>9</v>
      </c>
      <c r="D8104">
        <v>1405</v>
      </c>
      <c r="E8104">
        <v>2019</v>
      </c>
      <c r="F8104">
        <v>3</v>
      </c>
      <c r="G8104">
        <v>99372</v>
      </c>
      <c r="H8104" s="1">
        <v>0</v>
      </c>
      <c r="I8104">
        <v>22</v>
      </c>
      <c r="J8104">
        <f>IF($H8104=0,1,IF($I8104&lt;=1,2,0))</f>
        <v>1</v>
      </c>
      <c r="K8104">
        <v>0</v>
      </c>
      <c r="L8104">
        <f>IF(AND($J8104=0,$K8104=0),0,1)</f>
        <v>1</v>
      </c>
    </row>
    <row r="8105" spans="1:13" x14ac:dyDescent="0.2">
      <c r="A8105" t="s">
        <v>202</v>
      </c>
      <c r="B8105" t="s">
        <v>133</v>
      </c>
      <c r="C8105" t="s">
        <v>9</v>
      </c>
      <c r="D8105">
        <v>1405</v>
      </c>
      <c r="E8105">
        <v>2019</v>
      </c>
      <c r="F8105">
        <v>4</v>
      </c>
      <c r="G8105">
        <v>99371</v>
      </c>
      <c r="H8105" s="1">
        <v>0</v>
      </c>
      <c r="I8105">
        <v>22</v>
      </c>
      <c r="J8105">
        <f>IF($H8105=0,1,IF($I8105&lt;=1,2,0))</f>
        <v>1</v>
      </c>
      <c r="K8105">
        <v>0</v>
      </c>
      <c r="L8105">
        <f>IF(AND($J8105=0,$K8105=0),0,1)</f>
        <v>1</v>
      </c>
    </row>
    <row r="8106" spans="1:13" x14ac:dyDescent="0.2">
      <c r="A8106" t="s">
        <v>202</v>
      </c>
      <c r="B8106" t="s">
        <v>133</v>
      </c>
      <c r="C8106" t="s">
        <v>9</v>
      </c>
      <c r="D8106">
        <v>1405</v>
      </c>
      <c r="E8106">
        <v>2019</v>
      </c>
      <c r="F8106">
        <v>8</v>
      </c>
      <c r="G8106">
        <v>99367</v>
      </c>
      <c r="H8106" s="1">
        <v>0</v>
      </c>
      <c r="I8106">
        <v>22</v>
      </c>
      <c r="J8106">
        <f>IF($H8106=0,1,IF($I8106&lt;=1,2,0))</f>
        <v>1</v>
      </c>
      <c r="K8106">
        <v>0</v>
      </c>
      <c r="L8106">
        <f>IF(AND($J8106=0,$K8106=0),0,1)</f>
        <v>1</v>
      </c>
    </row>
    <row r="8107" spans="1:13" x14ac:dyDescent="0.2">
      <c r="A8107" t="s">
        <v>202</v>
      </c>
      <c r="B8107" t="s">
        <v>133</v>
      </c>
      <c r="C8107" t="s">
        <v>9</v>
      </c>
      <c r="D8107">
        <v>1405</v>
      </c>
      <c r="E8107">
        <v>2019</v>
      </c>
      <c r="F8107">
        <v>13</v>
      </c>
      <c r="G8107">
        <v>48016</v>
      </c>
      <c r="H8107" s="1">
        <v>0</v>
      </c>
      <c r="I8107">
        <v>22</v>
      </c>
      <c r="J8107">
        <f>IF($H8107=0,1,IF($I8107&lt;=1,2,0))</f>
        <v>1</v>
      </c>
      <c r="K8107">
        <v>0</v>
      </c>
      <c r="L8107">
        <f>IF(AND($J8107=0,$K8107=0),0,1)</f>
        <v>1</v>
      </c>
    </row>
    <row r="8108" spans="1:13" x14ac:dyDescent="0.2">
      <c r="A8108" t="s">
        <v>202</v>
      </c>
      <c r="B8108" t="s">
        <v>133</v>
      </c>
      <c r="C8108" t="s">
        <v>9</v>
      </c>
      <c r="D8108">
        <v>1405</v>
      </c>
      <c r="E8108">
        <v>2019</v>
      </c>
      <c r="F8108">
        <v>7</v>
      </c>
      <c r="G8108">
        <v>99368</v>
      </c>
      <c r="H8108" s="1">
        <v>0</v>
      </c>
      <c r="I8108">
        <v>21</v>
      </c>
      <c r="J8108">
        <f>IF($H8108=0,1,IF($I8108&lt;=1,2,0))</f>
        <v>1</v>
      </c>
      <c r="K8108">
        <v>0</v>
      </c>
      <c r="L8108">
        <f>IF(AND($J8108=0,$K8108=0),0,1)</f>
        <v>1</v>
      </c>
    </row>
    <row r="8109" spans="1:13" x14ac:dyDescent="0.2">
      <c r="A8109" t="s">
        <v>202</v>
      </c>
      <c r="B8109" t="s">
        <v>133</v>
      </c>
      <c r="C8109" t="s">
        <v>9</v>
      </c>
      <c r="D8109">
        <v>1405</v>
      </c>
      <c r="E8109">
        <v>2019</v>
      </c>
      <c r="F8109">
        <v>10</v>
      </c>
      <c r="G8109">
        <v>99365</v>
      </c>
      <c r="H8109" s="1">
        <v>0</v>
      </c>
      <c r="I8109">
        <v>21</v>
      </c>
      <c r="J8109">
        <f>IF($H8109=0,1,IF($I8109&lt;=1,2,0))</f>
        <v>1</v>
      </c>
      <c r="K8109">
        <v>0</v>
      </c>
      <c r="L8109">
        <f>IF(AND($J8109=0,$K8109=0),0,1)</f>
        <v>1</v>
      </c>
    </row>
    <row r="8110" spans="1:13" x14ac:dyDescent="0.2">
      <c r="A8110" t="s">
        <v>202</v>
      </c>
      <c r="B8110" t="s">
        <v>133</v>
      </c>
      <c r="C8110" t="s">
        <v>9</v>
      </c>
      <c r="D8110">
        <v>1405</v>
      </c>
      <c r="E8110">
        <v>2019</v>
      </c>
      <c r="F8110">
        <v>2</v>
      </c>
      <c r="G8110">
        <v>99373</v>
      </c>
      <c r="H8110" s="1">
        <v>0</v>
      </c>
      <c r="I8110">
        <v>20</v>
      </c>
      <c r="J8110">
        <f>IF($H8110=0,1,IF($I8110&lt;=1,2,0))</f>
        <v>1</v>
      </c>
      <c r="K8110">
        <v>0</v>
      </c>
      <c r="L8110">
        <f>IF(AND($J8110=0,$K8110=0),0,1)</f>
        <v>1</v>
      </c>
    </row>
    <row r="8111" spans="1:13" x14ac:dyDescent="0.2">
      <c r="A8111" t="s">
        <v>202</v>
      </c>
      <c r="B8111" t="s">
        <v>133</v>
      </c>
      <c r="C8111" t="s">
        <v>9</v>
      </c>
      <c r="D8111">
        <v>1405</v>
      </c>
      <c r="E8111">
        <v>2019</v>
      </c>
      <c r="F8111">
        <v>9</v>
      </c>
      <c r="G8111">
        <v>99366</v>
      </c>
      <c r="H8111" s="1">
        <v>0</v>
      </c>
      <c r="I8111">
        <v>20</v>
      </c>
      <c r="J8111">
        <f>IF($H8111=0,1,IF($I8111&lt;=1,2,0))</f>
        <v>1</v>
      </c>
      <c r="K8111">
        <v>0</v>
      </c>
      <c r="L8111">
        <f>IF(AND($J8111=0,$K8111=0),0,1)</f>
        <v>1</v>
      </c>
    </row>
    <row r="8112" spans="1:13" x14ac:dyDescent="0.2">
      <c r="A8112" t="s">
        <v>202</v>
      </c>
      <c r="B8112" t="s">
        <v>133</v>
      </c>
      <c r="C8112" t="s">
        <v>9</v>
      </c>
      <c r="D8112">
        <v>1405</v>
      </c>
      <c r="E8112">
        <v>2019</v>
      </c>
      <c r="F8112">
        <v>1</v>
      </c>
      <c r="G8112">
        <v>99374</v>
      </c>
      <c r="H8112" s="1">
        <v>0</v>
      </c>
      <c r="I8112">
        <v>19</v>
      </c>
      <c r="J8112">
        <f>IF($H8112=0,1,IF($I8112&lt;=1,2,0))</f>
        <v>1</v>
      </c>
      <c r="K8112">
        <v>0</v>
      </c>
      <c r="L8112">
        <f>IF(AND($J8112=0,$K8112=0),0,1)</f>
        <v>1</v>
      </c>
    </row>
    <row r="8113" spans="1:12" x14ac:dyDescent="0.2">
      <c r="A8113" t="s">
        <v>202</v>
      </c>
      <c r="B8113" t="s">
        <v>133</v>
      </c>
      <c r="C8113" t="s">
        <v>9</v>
      </c>
      <c r="D8113">
        <v>1405</v>
      </c>
      <c r="E8113">
        <v>2019</v>
      </c>
      <c r="F8113">
        <v>14</v>
      </c>
      <c r="G8113">
        <v>48017</v>
      </c>
      <c r="H8113" s="1">
        <v>0</v>
      </c>
      <c r="I8113">
        <v>19</v>
      </c>
      <c r="J8113">
        <f>IF($H8113=0,1,IF($I8113&lt;=1,2,0))</f>
        <v>1</v>
      </c>
      <c r="K8113">
        <v>0</v>
      </c>
      <c r="L8113">
        <f>IF(AND($J8113=0,$K8113=0),0,1)</f>
        <v>1</v>
      </c>
    </row>
    <row r="8114" spans="1:12" x14ac:dyDescent="0.2">
      <c r="A8114" t="s">
        <v>202</v>
      </c>
      <c r="B8114" t="s">
        <v>133</v>
      </c>
      <c r="C8114" t="s">
        <v>9</v>
      </c>
      <c r="D8114">
        <v>1405</v>
      </c>
      <c r="E8114">
        <v>2019</v>
      </c>
      <c r="F8114">
        <v>6</v>
      </c>
      <c r="G8114">
        <v>99369</v>
      </c>
      <c r="H8114" s="1">
        <v>0</v>
      </c>
      <c r="I8114">
        <v>18</v>
      </c>
      <c r="J8114">
        <f>IF($H8114=0,1,IF($I8114&lt;=1,2,0))</f>
        <v>1</v>
      </c>
      <c r="K8114">
        <v>0</v>
      </c>
      <c r="L8114">
        <f>IF(AND($J8114=0,$K8114=0),0,1)</f>
        <v>1</v>
      </c>
    </row>
    <row r="8115" spans="1:12" x14ac:dyDescent="0.2">
      <c r="A8115" t="s">
        <v>202</v>
      </c>
      <c r="B8115" t="s">
        <v>133</v>
      </c>
      <c r="C8115" t="s">
        <v>9</v>
      </c>
      <c r="D8115">
        <v>1405</v>
      </c>
      <c r="E8115">
        <v>2019</v>
      </c>
      <c r="F8115">
        <v>12</v>
      </c>
      <c r="G8115">
        <v>48008</v>
      </c>
      <c r="H8115" s="1">
        <v>0</v>
      </c>
      <c r="I8115">
        <v>18</v>
      </c>
      <c r="J8115">
        <f>IF($H8115=0,1,IF($I8115&lt;=1,2,0))</f>
        <v>1</v>
      </c>
      <c r="K8115">
        <v>0</v>
      </c>
      <c r="L8115">
        <f>IF(AND($J8115=0,$K8115=0),0,1)</f>
        <v>1</v>
      </c>
    </row>
    <row r="8116" spans="1:12" x14ac:dyDescent="0.2">
      <c r="A8116" t="s">
        <v>202</v>
      </c>
      <c r="B8116" t="s">
        <v>133</v>
      </c>
      <c r="C8116" t="s">
        <v>9</v>
      </c>
      <c r="D8116">
        <v>1405</v>
      </c>
      <c r="E8116">
        <v>2019</v>
      </c>
      <c r="F8116">
        <v>11</v>
      </c>
      <c r="G8116">
        <v>99364</v>
      </c>
      <c r="H8116" s="1">
        <v>0</v>
      </c>
      <c r="I8116">
        <v>16</v>
      </c>
      <c r="J8116">
        <f>IF($H8116=0,1,IF($I8116&lt;=1,2,0))</f>
        <v>1</v>
      </c>
      <c r="K8116">
        <v>0</v>
      </c>
      <c r="L8116">
        <f>IF(AND($J8116=0,$K8116=0),0,1)</f>
        <v>1</v>
      </c>
    </row>
    <row r="8117" spans="1:12" x14ac:dyDescent="0.2">
      <c r="A8117" t="s">
        <v>202</v>
      </c>
      <c r="B8117" t="s">
        <v>133</v>
      </c>
      <c r="C8117" t="s">
        <v>9</v>
      </c>
      <c r="D8117">
        <v>1407</v>
      </c>
      <c r="E8117">
        <v>2019</v>
      </c>
      <c r="F8117">
        <v>2</v>
      </c>
      <c r="G8117">
        <v>99445</v>
      </c>
      <c r="H8117" s="1">
        <v>0</v>
      </c>
      <c r="I8117">
        <v>25</v>
      </c>
      <c r="J8117">
        <f>IF($H8117=0,1,IF($I8117&lt;=1,2,0))</f>
        <v>1</v>
      </c>
      <c r="K8117">
        <v>0</v>
      </c>
      <c r="L8117">
        <f>IF(AND($J8117=0,$K8117=0),0,1)</f>
        <v>1</v>
      </c>
    </row>
    <row r="8118" spans="1:12" x14ac:dyDescent="0.2">
      <c r="A8118" t="s">
        <v>202</v>
      </c>
      <c r="B8118" t="s">
        <v>133</v>
      </c>
      <c r="C8118" t="s">
        <v>9</v>
      </c>
      <c r="D8118">
        <v>1407</v>
      </c>
      <c r="E8118">
        <v>2019</v>
      </c>
      <c r="F8118">
        <v>3</v>
      </c>
      <c r="G8118">
        <v>99444</v>
      </c>
      <c r="H8118" s="1">
        <v>0</v>
      </c>
      <c r="I8118">
        <v>25</v>
      </c>
      <c r="J8118">
        <f>IF($H8118=0,1,IF($I8118&lt;=1,2,0))</f>
        <v>1</v>
      </c>
      <c r="K8118">
        <v>0</v>
      </c>
      <c r="L8118">
        <f>IF(AND($J8118=0,$K8118=0),0,1)</f>
        <v>1</v>
      </c>
    </row>
    <row r="8119" spans="1:12" x14ac:dyDescent="0.2">
      <c r="A8119" t="s">
        <v>202</v>
      </c>
      <c r="B8119" t="s">
        <v>133</v>
      </c>
      <c r="C8119" t="s">
        <v>9</v>
      </c>
      <c r="D8119">
        <v>1407</v>
      </c>
      <c r="E8119">
        <v>2019</v>
      </c>
      <c r="F8119">
        <v>8</v>
      </c>
      <c r="G8119">
        <v>99439</v>
      </c>
      <c r="H8119" s="1">
        <v>0</v>
      </c>
      <c r="I8119">
        <v>24</v>
      </c>
      <c r="J8119">
        <f>IF($H8119=0,1,IF($I8119&lt;=1,2,0))</f>
        <v>1</v>
      </c>
      <c r="K8119">
        <v>0</v>
      </c>
      <c r="L8119">
        <f>IF(AND($J8119=0,$K8119=0),0,1)</f>
        <v>1</v>
      </c>
    </row>
    <row r="8120" spans="1:12" x14ac:dyDescent="0.2">
      <c r="A8120" t="s">
        <v>202</v>
      </c>
      <c r="B8120" t="s">
        <v>133</v>
      </c>
      <c r="C8120" t="s">
        <v>9</v>
      </c>
      <c r="D8120">
        <v>1407</v>
      </c>
      <c r="E8120">
        <v>2019</v>
      </c>
      <c r="F8120">
        <v>1</v>
      </c>
      <c r="G8120">
        <v>99446</v>
      </c>
      <c r="H8120" s="1">
        <v>0</v>
      </c>
      <c r="I8120">
        <v>23</v>
      </c>
      <c r="J8120">
        <f>IF($H8120=0,1,IF($I8120&lt;=1,2,0))</f>
        <v>1</v>
      </c>
      <c r="K8120">
        <v>0</v>
      </c>
      <c r="L8120">
        <f>IF(AND($J8120=0,$K8120=0),0,1)</f>
        <v>1</v>
      </c>
    </row>
    <row r="8121" spans="1:12" x14ac:dyDescent="0.2">
      <c r="A8121" t="s">
        <v>202</v>
      </c>
      <c r="B8121" t="s">
        <v>133</v>
      </c>
      <c r="C8121" t="s">
        <v>9</v>
      </c>
      <c r="D8121">
        <v>1407</v>
      </c>
      <c r="E8121">
        <v>2019</v>
      </c>
      <c r="F8121">
        <v>4</v>
      </c>
      <c r="G8121">
        <v>99443</v>
      </c>
      <c r="H8121" s="1">
        <v>0</v>
      </c>
      <c r="I8121">
        <v>23</v>
      </c>
      <c r="J8121">
        <f>IF($H8121=0,1,IF($I8121&lt;=1,2,0))</f>
        <v>1</v>
      </c>
      <c r="K8121">
        <v>0</v>
      </c>
      <c r="L8121">
        <f>IF(AND($J8121=0,$K8121=0),0,1)</f>
        <v>1</v>
      </c>
    </row>
    <row r="8122" spans="1:12" x14ac:dyDescent="0.2">
      <c r="A8122" t="s">
        <v>202</v>
      </c>
      <c r="B8122" t="s">
        <v>133</v>
      </c>
      <c r="C8122" t="s">
        <v>9</v>
      </c>
      <c r="D8122">
        <v>1407</v>
      </c>
      <c r="E8122">
        <v>2019</v>
      </c>
      <c r="F8122">
        <v>6</v>
      </c>
      <c r="G8122">
        <v>99441</v>
      </c>
      <c r="H8122" s="1">
        <v>0</v>
      </c>
      <c r="I8122">
        <v>23</v>
      </c>
      <c r="J8122">
        <f>IF($H8122=0,1,IF($I8122&lt;=1,2,0))</f>
        <v>1</v>
      </c>
      <c r="K8122">
        <v>0</v>
      </c>
      <c r="L8122">
        <f>IF(AND($J8122=0,$K8122=0),0,1)</f>
        <v>1</v>
      </c>
    </row>
    <row r="8123" spans="1:12" x14ac:dyDescent="0.2">
      <c r="A8123" t="s">
        <v>202</v>
      </c>
      <c r="B8123" t="s">
        <v>133</v>
      </c>
      <c r="C8123" t="s">
        <v>9</v>
      </c>
      <c r="D8123">
        <v>1407</v>
      </c>
      <c r="E8123">
        <v>2019</v>
      </c>
      <c r="F8123">
        <v>5</v>
      </c>
      <c r="G8123">
        <v>99442</v>
      </c>
      <c r="H8123" s="1">
        <v>0</v>
      </c>
      <c r="I8123">
        <v>22</v>
      </c>
      <c r="J8123">
        <f>IF($H8123=0,1,IF($I8123&lt;=1,2,0))</f>
        <v>1</v>
      </c>
      <c r="K8123">
        <v>0</v>
      </c>
      <c r="L8123">
        <f>IF(AND($J8123=0,$K8123=0),0,1)</f>
        <v>1</v>
      </c>
    </row>
    <row r="8124" spans="1:12" x14ac:dyDescent="0.2">
      <c r="A8124" t="s">
        <v>202</v>
      </c>
      <c r="B8124" t="s">
        <v>133</v>
      </c>
      <c r="C8124" t="s">
        <v>9</v>
      </c>
      <c r="D8124">
        <v>1407</v>
      </c>
      <c r="E8124">
        <v>2019</v>
      </c>
      <c r="F8124">
        <v>7</v>
      </c>
      <c r="G8124">
        <v>99440</v>
      </c>
      <c r="H8124" s="1">
        <v>0</v>
      </c>
      <c r="I8124">
        <v>19</v>
      </c>
      <c r="J8124">
        <f>IF($H8124=0,1,IF($I8124&lt;=1,2,0))</f>
        <v>1</v>
      </c>
      <c r="K8124">
        <v>0</v>
      </c>
      <c r="L8124">
        <f>IF(AND($J8124=0,$K8124=0),0,1)</f>
        <v>1</v>
      </c>
    </row>
    <row r="8125" spans="1:12" x14ac:dyDescent="0.2">
      <c r="A8125" t="s">
        <v>202</v>
      </c>
      <c r="B8125" t="s">
        <v>133</v>
      </c>
      <c r="C8125" t="s">
        <v>9</v>
      </c>
      <c r="D8125">
        <v>1407</v>
      </c>
      <c r="E8125">
        <v>2019</v>
      </c>
      <c r="F8125">
        <v>9</v>
      </c>
      <c r="G8125">
        <v>99438</v>
      </c>
      <c r="H8125" s="1">
        <v>0</v>
      </c>
      <c r="I8125">
        <v>16</v>
      </c>
      <c r="J8125">
        <f>IF($H8125=0,1,IF($I8125&lt;=1,2,0))</f>
        <v>1</v>
      </c>
      <c r="K8125">
        <v>0</v>
      </c>
      <c r="L8125">
        <f>IF(AND($J8125=0,$K8125=0),0,1)</f>
        <v>1</v>
      </c>
    </row>
    <row r="8126" spans="1:12" x14ac:dyDescent="0.2">
      <c r="A8126" t="s">
        <v>202</v>
      </c>
      <c r="B8126" t="s">
        <v>133</v>
      </c>
      <c r="C8126" t="s">
        <v>9</v>
      </c>
      <c r="D8126">
        <v>1409</v>
      </c>
      <c r="E8126">
        <v>2019</v>
      </c>
      <c r="F8126">
        <v>2</v>
      </c>
      <c r="G8126">
        <v>99360</v>
      </c>
      <c r="H8126" s="1">
        <v>0</v>
      </c>
      <c r="I8126">
        <v>24</v>
      </c>
      <c r="J8126">
        <f>IF($H8126=0,1,IF($I8126&lt;=1,2,0))</f>
        <v>1</v>
      </c>
      <c r="K8126">
        <v>0</v>
      </c>
      <c r="L8126">
        <f>IF(AND($J8126=0,$K8126=0),0,1)</f>
        <v>1</v>
      </c>
    </row>
    <row r="8127" spans="1:12" x14ac:dyDescent="0.2">
      <c r="A8127" t="s">
        <v>202</v>
      </c>
      <c r="B8127" t="s">
        <v>133</v>
      </c>
      <c r="C8127" t="s">
        <v>9</v>
      </c>
      <c r="D8127">
        <v>1409</v>
      </c>
      <c r="E8127">
        <v>2019</v>
      </c>
      <c r="F8127">
        <v>8</v>
      </c>
      <c r="G8127">
        <v>99354</v>
      </c>
      <c r="H8127" s="1">
        <v>0</v>
      </c>
      <c r="I8127">
        <v>24</v>
      </c>
      <c r="J8127">
        <f>IF($H8127=0,1,IF($I8127&lt;=1,2,0))</f>
        <v>1</v>
      </c>
      <c r="K8127">
        <v>0</v>
      </c>
      <c r="L8127">
        <f>IF(AND($J8127=0,$K8127=0),0,1)</f>
        <v>1</v>
      </c>
    </row>
    <row r="8128" spans="1:12" x14ac:dyDescent="0.2">
      <c r="A8128" t="s">
        <v>202</v>
      </c>
      <c r="B8128" t="s">
        <v>133</v>
      </c>
      <c r="C8128" t="s">
        <v>9</v>
      </c>
      <c r="D8128">
        <v>1409</v>
      </c>
      <c r="E8128">
        <v>2019</v>
      </c>
      <c r="F8128">
        <v>1</v>
      </c>
      <c r="G8128">
        <v>99361</v>
      </c>
      <c r="H8128" s="1">
        <v>0</v>
      </c>
      <c r="I8128">
        <v>22</v>
      </c>
      <c r="J8128">
        <f>IF($H8128=0,1,IF($I8128&lt;=1,2,0))</f>
        <v>1</v>
      </c>
      <c r="K8128">
        <v>0</v>
      </c>
      <c r="L8128">
        <f>IF(AND($J8128=0,$K8128=0),0,1)</f>
        <v>1</v>
      </c>
    </row>
    <row r="8129" spans="1:13" x14ac:dyDescent="0.2">
      <c r="A8129" t="s">
        <v>202</v>
      </c>
      <c r="B8129" t="s">
        <v>133</v>
      </c>
      <c r="C8129" t="s">
        <v>9</v>
      </c>
      <c r="D8129">
        <v>1409</v>
      </c>
      <c r="E8129">
        <v>2019</v>
      </c>
      <c r="F8129">
        <v>5</v>
      </c>
      <c r="G8129">
        <v>99357</v>
      </c>
      <c r="H8129" s="1">
        <v>0</v>
      </c>
      <c r="I8129">
        <v>21</v>
      </c>
      <c r="J8129">
        <f>IF($H8129=0,1,IF($I8129&lt;=1,2,0))</f>
        <v>1</v>
      </c>
      <c r="K8129">
        <v>0</v>
      </c>
      <c r="L8129">
        <f>IF(AND($J8129=0,$K8129=0),0,1)</f>
        <v>1</v>
      </c>
    </row>
    <row r="8130" spans="1:13" x14ac:dyDescent="0.2">
      <c r="A8130" t="s">
        <v>202</v>
      </c>
      <c r="B8130" t="s">
        <v>133</v>
      </c>
      <c r="C8130" t="s">
        <v>9</v>
      </c>
      <c r="D8130">
        <v>1409</v>
      </c>
      <c r="E8130">
        <v>2019</v>
      </c>
      <c r="F8130">
        <v>6</v>
      </c>
      <c r="G8130">
        <v>99356</v>
      </c>
      <c r="H8130" s="1">
        <v>0</v>
      </c>
      <c r="I8130">
        <v>19</v>
      </c>
      <c r="J8130">
        <f>IF($H8130=0,1,IF($I8130&lt;=1,2,0))</f>
        <v>1</v>
      </c>
      <c r="K8130">
        <v>0</v>
      </c>
      <c r="L8130">
        <f>IF(AND($J8130=0,$K8130=0),0,1)</f>
        <v>1</v>
      </c>
    </row>
    <row r="8131" spans="1:13" x14ac:dyDescent="0.2">
      <c r="A8131" t="s">
        <v>202</v>
      </c>
      <c r="B8131" t="s">
        <v>133</v>
      </c>
      <c r="C8131" t="s">
        <v>9</v>
      </c>
      <c r="D8131">
        <v>1409</v>
      </c>
      <c r="E8131">
        <v>2019</v>
      </c>
      <c r="F8131">
        <v>9</v>
      </c>
      <c r="G8131">
        <v>99353</v>
      </c>
      <c r="H8131" s="1">
        <v>0</v>
      </c>
      <c r="I8131">
        <v>19</v>
      </c>
      <c r="J8131">
        <f>IF($H8131=0,1,IF($I8131&lt;=1,2,0))</f>
        <v>1</v>
      </c>
      <c r="K8131">
        <v>0</v>
      </c>
      <c r="L8131">
        <f>IF(AND($J8131=0,$K8131=0),0,1)</f>
        <v>1</v>
      </c>
    </row>
    <row r="8132" spans="1:13" x14ac:dyDescent="0.2">
      <c r="A8132" t="s">
        <v>202</v>
      </c>
      <c r="B8132" t="s">
        <v>133</v>
      </c>
      <c r="C8132" t="s">
        <v>9</v>
      </c>
      <c r="D8132">
        <v>1409</v>
      </c>
      <c r="E8132">
        <v>2019</v>
      </c>
      <c r="F8132">
        <v>4</v>
      </c>
      <c r="G8132">
        <v>99358</v>
      </c>
      <c r="H8132" s="1">
        <v>0</v>
      </c>
      <c r="I8132">
        <v>18</v>
      </c>
      <c r="J8132">
        <f>IF($H8132=0,1,IF($I8132&lt;=1,2,0))</f>
        <v>1</v>
      </c>
      <c r="K8132">
        <v>0</v>
      </c>
      <c r="L8132">
        <f>IF(AND($J8132=0,$K8132=0),0,1)</f>
        <v>1</v>
      </c>
    </row>
    <row r="8133" spans="1:13" x14ac:dyDescent="0.2">
      <c r="A8133" t="s">
        <v>202</v>
      </c>
      <c r="B8133" t="s">
        <v>133</v>
      </c>
      <c r="C8133" t="s">
        <v>9</v>
      </c>
      <c r="D8133">
        <v>1409</v>
      </c>
      <c r="E8133">
        <v>2019</v>
      </c>
      <c r="F8133">
        <v>3</v>
      </c>
      <c r="G8133">
        <v>99359</v>
      </c>
      <c r="H8133" s="1">
        <v>0</v>
      </c>
      <c r="I8133">
        <v>16</v>
      </c>
      <c r="J8133">
        <f>IF($H8133=0,1,IF($I8133&lt;=1,2,0))</f>
        <v>1</v>
      </c>
      <c r="K8133">
        <v>0</v>
      </c>
      <c r="L8133">
        <f>IF(AND($J8133=0,$K8133=0),0,1)</f>
        <v>1</v>
      </c>
    </row>
    <row r="8134" spans="1:13" x14ac:dyDescent="0.2">
      <c r="A8134" t="s">
        <v>202</v>
      </c>
      <c r="B8134" t="s">
        <v>133</v>
      </c>
      <c r="C8134" t="s">
        <v>9</v>
      </c>
      <c r="D8134">
        <v>1409</v>
      </c>
      <c r="E8134">
        <v>2019</v>
      </c>
      <c r="F8134">
        <v>7</v>
      </c>
      <c r="G8134">
        <v>99355</v>
      </c>
      <c r="H8134" s="1">
        <v>0</v>
      </c>
      <c r="I8134">
        <v>16</v>
      </c>
      <c r="J8134">
        <f>IF($H8134=0,1,IF($I8134&lt;=1,2,0))</f>
        <v>1</v>
      </c>
      <c r="K8134">
        <v>0</v>
      </c>
      <c r="L8134">
        <f>IF(AND($J8134=0,$K8134=0),0,1)</f>
        <v>1</v>
      </c>
    </row>
    <row r="8135" spans="1:13" x14ac:dyDescent="0.2">
      <c r="A8135" t="s">
        <v>202</v>
      </c>
      <c r="B8135" t="s">
        <v>133</v>
      </c>
      <c r="C8135" t="s">
        <v>9</v>
      </c>
      <c r="D8135">
        <v>1500</v>
      </c>
      <c r="E8135">
        <v>2019</v>
      </c>
      <c r="F8135">
        <v>2</v>
      </c>
      <c r="G8135">
        <v>99398</v>
      </c>
      <c r="H8135" s="1">
        <v>3</v>
      </c>
      <c r="I8135">
        <v>29</v>
      </c>
      <c r="J8135">
        <f>IF($H8135=0,1,IF($I8135&lt;=1,2,0))</f>
        <v>0</v>
      </c>
      <c r="K8135">
        <v>8</v>
      </c>
      <c r="L8135">
        <f>IF(AND($J8135=0,$K8135=0),0,1)</f>
        <v>1</v>
      </c>
      <c r="M8135" t="s">
        <v>1902</v>
      </c>
    </row>
    <row r="8136" spans="1:13" x14ac:dyDescent="0.2">
      <c r="A8136" t="s">
        <v>202</v>
      </c>
      <c r="B8136" t="s">
        <v>133</v>
      </c>
      <c r="C8136" t="s">
        <v>9</v>
      </c>
      <c r="D8136">
        <v>1500</v>
      </c>
      <c r="E8136">
        <v>2019</v>
      </c>
      <c r="F8136">
        <v>3</v>
      </c>
      <c r="G8136">
        <v>99397</v>
      </c>
      <c r="H8136" s="1">
        <v>3</v>
      </c>
      <c r="I8136">
        <v>29</v>
      </c>
      <c r="J8136">
        <f>IF($H8136=0,1,IF($I8136&lt;=1,2,0))</f>
        <v>0</v>
      </c>
      <c r="K8136">
        <v>8</v>
      </c>
      <c r="L8136">
        <f>IF(AND($J8136=0,$K8136=0),0,1)</f>
        <v>1</v>
      </c>
      <c r="M8136" t="s">
        <v>1902</v>
      </c>
    </row>
    <row r="8137" spans="1:13" x14ac:dyDescent="0.2">
      <c r="A8137" t="s">
        <v>202</v>
      </c>
      <c r="B8137" t="s">
        <v>133</v>
      </c>
      <c r="C8137" t="s">
        <v>9</v>
      </c>
      <c r="D8137">
        <v>1500</v>
      </c>
      <c r="E8137">
        <v>2019</v>
      </c>
      <c r="F8137">
        <v>1</v>
      </c>
      <c r="G8137">
        <v>99399</v>
      </c>
      <c r="H8137" s="1">
        <v>3</v>
      </c>
      <c r="I8137">
        <v>10</v>
      </c>
      <c r="J8137">
        <f>IF($H8137=0,1,IF($I8137&lt;=1,2,0))</f>
        <v>0</v>
      </c>
      <c r="K8137">
        <v>8</v>
      </c>
      <c r="L8137">
        <f>IF(AND($J8137=0,$K8137=0),0,1)</f>
        <v>1</v>
      </c>
      <c r="M8137" t="s">
        <v>1902</v>
      </c>
    </row>
    <row r="8138" spans="1:13" x14ac:dyDescent="0.2">
      <c r="A8138" t="s">
        <v>202</v>
      </c>
      <c r="B8138" t="s">
        <v>133</v>
      </c>
      <c r="C8138" t="s">
        <v>9</v>
      </c>
      <c r="D8138">
        <v>1500</v>
      </c>
      <c r="E8138">
        <v>2019</v>
      </c>
      <c r="F8138">
        <v>4</v>
      </c>
      <c r="G8138">
        <v>99396</v>
      </c>
      <c r="H8138" s="1">
        <v>3</v>
      </c>
      <c r="I8138">
        <v>9</v>
      </c>
      <c r="J8138">
        <f>IF($H8138=0,1,IF($I8138&lt;=1,2,0))</f>
        <v>0</v>
      </c>
      <c r="K8138">
        <v>8</v>
      </c>
      <c r="L8138">
        <f>IF(AND($J8138=0,$K8138=0),0,1)</f>
        <v>1</v>
      </c>
      <c r="M8138" t="s">
        <v>1902</v>
      </c>
    </row>
    <row r="8139" spans="1:13" x14ac:dyDescent="0.2">
      <c r="A8139" t="s">
        <v>202</v>
      </c>
      <c r="B8139" t="s">
        <v>133</v>
      </c>
      <c r="C8139" t="s">
        <v>9</v>
      </c>
      <c r="D8139">
        <v>1501</v>
      </c>
      <c r="E8139">
        <v>2019</v>
      </c>
      <c r="F8139">
        <v>1</v>
      </c>
      <c r="G8139">
        <v>99429</v>
      </c>
      <c r="H8139" s="1">
        <v>0</v>
      </c>
      <c r="I8139">
        <v>46</v>
      </c>
      <c r="J8139">
        <f>IF($H8139=0,1,IF($I8139&lt;=1,2,0))</f>
        <v>1</v>
      </c>
      <c r="K8139">
        <v>0</v>
      </c>
      <c r="L8139">
        <f>IF(AND($J8139=0,$K8139=0),0,1)</f>
        <v>1</v>
      </c>
      <c r="M8139" t="s">
        <v>203</v>
      </c>
    </row>
    <row r="8140" spans="1:13" x14ac:dyDescent="0.2">
      <c r="A8140" t="s">
        <v>202</v>
      </c>
      <c r="B8140" t="s">
        <v>133</v>
      </c>
      <c r="C8140" t="s">
        <v>9</v>
      </c>
      <c r="D8140">
        <v>1501</v>
      </c>
      <c r="E8140">
        <v>2019</v>
      </c>
      <c r="F8140">
        <v>2</v>
      </c>
      <c r="G8140">
        <v>99428</v>
      </c>
      <c r="H8140" s="1">
        <v>0</v>
      </c>
      <c r="I8140">
        <v>31</v>
      </c>
      <c r="J8140">
        <f>IF($H8140=0,1,IF($I8140&lt;=1,2,0))</f>
        <v>1</v>
      </c>
      <c r="K8140">
        <v>0</v>
      </c>
      <c r="L8140">
        <f>IF(AND($J8140=0,$K8140=0),0,1)</f>
        <v>1</v>
      </c>
      <c r="M8140" t="s">
        <v>203</v>
      </c>
    </row>
    <row r="8141" spans="1:13" x14ac:dyDescent="0.2">
      <c r="A8141" t="s">
        <v>202</v>
      </c>
      <c r="B8141" t="s">
        <v>133</v>
      </c>
      <c r="C8141" t="s">
        <v>9</v>
      </c>
      <c r="D8141">
        <v>1606</v>
      </c>
      <c r="E8141">
        <v>2019</v>
      </c>
      <c r="F8141">
        <v>5</v>
      </c>
      <c r="G8141">
        <v>99390</v>
      </c>
      <c r="H8141" s="1">
        <v>0</v>
      </c>
      <c r="I8141">
        <v>16</v>
      </c>
      <c r="J8141">
        <f>IF($H8141=0,1,IF($I8141&lt;=1,2,0))</f>
        <v>1</v>
      </c>
      <c r="K8141">
        <v>0</v>
      </c>
      <c r="L8141">
        <f>IF(AND($J8141=0,$K8141=0),0,1)</f>
        <v>1</v>
      </c>
    </row>
    <row r="8142" spans="1:13" x14ac:dyDescent="0.2">
      <c r="A8142" t="s">
        <v>202</v>
      </c>
      <c r="B8142" t="s">
        <v>133</v>
      </c>
      <c r="C8142" t="s">
        <v>9</v>
      </c>
      <c r="D8142">
        <v>1606</v>
      </c>
      <c r="E8142">
        <v>2019</v>
      </c>
      <c r="F8142">
        <v>6</v>
      </c>
      <c r="G8142">
        <v>99389</v>
      </c>
      <c r="H8142" s="1">
        <v>0</v>
      </c>
      <c r="I8142">
        <v>16</v>
      </c>
      <c r="J8142">
        <f>IF($H8142=0,1,IF($I8142&lt;=1,2,0))</f>
        <v>1</v>
      </c>
      <c r="K8142">
        <v>0</v>
      </c>
      <c r="L8142">
        <f>IF(AND($J8142=0,$K8142=0),0,1)</f>
        <v>1</v>
      </c>
    </row>
    <row r="8143" spans="1:13" x14ac:dyDescent="0.2">
      <c r="A8143" t="s">
        <v>202</v>
      </c>
      <c r="B8143" t="s">
        <v>133</v>
      </c>
      <c r="C8143" t="s">
        <v>9</v>
      </c>
      <c r="D8143">
        <v>1606</v>
      </c>
      <c r="E8143">
        <v>2019</v>
      </c>
      <c r="F8143">
        <v>1</v>
      </c>
      <c r="G8143">
        <v>99394</v>
      </c>
      <c r="H8143" s="1">
        <v>0</v>
      </c>
      <c r="I8143">
        <v>15</v>
      </c>
      <c r="J8143">
        <f>IF($H8143=0,1,IF($I8143&lt;=1,2,0))</f>
        <v>1</v>
      </c>
      <c r="K8143">
        <v>0</v>
      </c>
      <c r="L8143">
        <f>IF(AND($J8143=0,$K8143=0),0,1)</f>
        <v>1</v>
      </c>
    </row>
    <row r="8144" spans="1:13" x14ac:dyDescent="0.2">
      <c r="A8144" t="s">
        <v>202</v>
      </c>
      <c r="B8144" t="s">
        <v>133</v>
      </c>
      <c r="C8144" t="s">
        <v>9</v>
      </c>
      <c r="D8144">
        <v>1606</v>
      </c>
      <c r="E8144">
        <v>2019</v>
      </c>
      <c r="F8144">
        <v>3</v>
      </c>
      <c r="G8144">
        <v>99392</v>
      </c>
      <c r="H8144" s="1">
        <v>0</v>
      </c>
      <c r="I8144">
        <v>13</v>
      </c>
      <c r="J8144">
        <f>IF($H8144=0,1,IF($I8144&lt;=1,2,0))</f>
        <v>1</v>
      </c>
      <c r="K8144">
        <v>0</v>
      </c>
      <c r="L8144">
        <f>IF(AND($J8144=0,$K8144=0),0,1)</f>
        <v>1</v>
      </c>
    </row>
    <row r="8145" spans="1:13" x14ac:dyDescent="0.2">
      <c r="A8145" t="s">
        <v>202</v>
      </c>
      <c r="B8145" t="s">
        <v>133</v>
      </c>
      <c r="C8145" t="s">
        <v>9</v>
      </c>
      <c r="D8145">
        <v>1606</v>
      </c>
      <c r="E8145">
        <v>2019</v>
      </c>
      <c r="F8145">
        <v>4</v>
      </c>
      <c r="G8145">
        <v>99391</v>
      </c>
      <c r="H8145" s="1">
        <v>0</v>
      </c>
      <c r="I8145">
        <v>7</v>
      </c>
      <c r="J8145">
        <f>IF($H8145=0,1,IF($I8145&lt;=1,2,0))</f>
        <v>1</v>
      </c>
      <c r="K8145">
        <v>0</v>
      </c>
      <c r="L8145">
        <f>IF(AND($J8145=0,$K8145=0),0,1)</f>
        <v>1</v>
      </c>
    </row>
    <row r="8146" spans="1:13" x14ac:dyDescent="0.2">
      <c r="A8146" t="s">
        <v>202</v>
      </c>
      <c r="B8146" t="s">
        <v>133</v>
      </c>
      <c r="C8146" t="s">
        <v>9</v>
      </c>
      <c r="D8146">
        <v>1606</v>
      </c>
      <c r="E8146">
        <v>2019</v>
      </c>
      <c r="F8146">
        <v>2</v>
      </c>
      <c r="G8146">
        <v>99393</v>
      </c>
      <c r="H8146" s="1">
        <v>0</v>
      </c>
      <c r="I8146">
        <v>0</v>
      </c>
      <c r="J8146">
        <f>IF($H8146=0,1,IF($I8146&lt;=1,2,0))</f>
        <v>1</v>
      </c>
      <c r="K8146">
        <v>0</v>
      </c>
      <c r="L8146">
        <f>IF(AND($J8146=0,$K8146=0),0,1)</f>
        <v>1</v>
      </c>
    </row>
    <row r="8147" spans="1:13" x14ac:dyDescent="0.2">
      <c r="A8147" t="s">
        <v>202</v>
      </c>
      <c r="B8147" t="s">
        <v>133</v>
      </c>
      <c r="C8147" t="s">
        <v>2</v>
      </c>
      <c r="D8147">
        <v>2001</v>
      </c>
      <c r="E8147">
        <v>2019</v>
      </c>
      <c r="F8147">
        <v>1</v>
      </c>
      <c r="G8147">
        <v>7400</v>
      </c>
      <c r="H8147" s="1">
        <v>5</v>
      </c>
      <c r="I8147">
        <v>77</v>
      </c>
      <c r="J8147">
        <f>IF($H8147=0,1,IF($I8147&lt;=1,2,0))</f>
        <v>0</v>
      </c>
      <c r="K8147">
        <v>7</v>
      </c>
      <c r="L8147">
        <f>IF(AND($J8147=0,$K8147=0),0,1)</f>
        <v>1</v>
      </c>
      <c r="M8147" t="s">
        <v>204</v>
      </c>
    </row>
    <row r="8148" spans="1:13" x14ac:dyDescent="0.2">
      <c r="A8148" t="s">
        <v>202</v>
      </c>
      <c r="B8148" t="s">
        <v>133</v>
      </c>
      <c r="C8148" t="s">
        <v>2</v>
      </c>
      <c r="D8148">
        <v>2001</v>
      </c>
      <c r="E8148">
        <v>2019</v>
      </c>
      <c r="F8148">
        <v>2</v>
      </c>
      <c r="G8148">
        <v>7401</v>
      </c>
      <c r="H8148" s="1">
        <v>5</v>
      </c>
      <c r="I8148">
        <v>71</v>
      </c>
      <c r="J8148">
        <f>IF($H8148=0,1,IF($I8148&lt;=1,2,0))</f>
        <v>0</v>
      </c>
      <c r="K8148">
        <v>7</v>
      </c>
      <c r="L8148">
        <f>IF(AND($J8148=0,$K8148=0),0,1)</f>
        <v>1</v>
      </c>
      <c r="M8148" t="s">
        <v>204</v>
      </c>
    </row>
    <row r="8149" spans="1:13" x14ac:dyDescent="0.2">
      <c r="A8149" t="s">
        <v>202</v>
      </c>
      <c r="B8149" t="s">
        <v>133</v>
      </c>
      <c r="C8149" t="s">
        <v>2</v>
      </c>
      <c r="D8149">
        <v>2012</v>
      </c>
      <c r="E8149">
        <v>2019</v>
      </c>
      <c r="F8149">
        <v>2</v>
      </c>
      <c r="G8149">
        <v>7403</v>
      </c>
      <c r="H8149" s="1">
        <v>0</v>
      </c>
      <c r="I8149">
        <v>29</v>
      </c>
      <c r="J8149">
        <f>IF($H8149=0,1,IF($I8149&lt;=1,2,0))</f>
        <v>1</v>
      </c>
      <c r="K8149">
        <v>7</v>
      </c>
      <c r="L8149">
        <f>IF(AND($J8149=0,$K8149=0),0,1)</f>
        <v>1</v>
      </c>
    </row>
    <row r="8150" spans="1:13" x14ac:dyDescent="0.2">
      <c r="A8150" t="s">
        <v>202</v>
      </c>
      <c r="B8150" t="s">
        <v>133</v>
      </c>
      <c r="C8150" t="s">
        <v>2</v>
      </c>
      <c r="D8150">
        <v>2012</v>
      </c>
      <c r="E8150">
        <v>2019</v>
      </c>
      <c r="F8150">
        <v>3</v>
      </c>
      <c r="G8150">
        <v>7404</v>
      </c>
      <c r="H8150" s="1">
        <v>0</v>
      </c>
      <c r="I8150">
        <v>29</v>
      </c>
      <c r="J8150">
        <f>IF($H8150=0,1,IF($I8150&lt;=1,2,0))</f>
        <v>1</v>
      </c>
      <c r="K8150">
        <v>7</v>
      </c>
      <c r="L8150">
        <f>IF(AND($J8150=0,$K8150=0),0,1)</f>
        <v>1</v>
      </c>
    </row>
    <row r="8151" spans="1:13" x14ac:dyDescent="0.2">
      <c r="A8151" t="s">
        <v>202</v>
      </c>
      <c r="B8151" t="s">
        <v>133</v>
      </c>
      <c r="C8151" t="s">
        <v>2</v>
      </c>
      <c r="D8151">
        <v>2012</v>
      </c>
      <c r="E8151">
        <v>2019</v>
      </c>
      <c r="F8151">
        <v>4</v>
      </c>
      <c r="G8151">
        <v>7405</v>
      </c>
      <c r="H8151" s="1">
        <v>0</v>
      </c>
      <c r="I8151">
        <v>29</v>
      </c>
      <c r="J8151">
        <f>IF($H8151=0,1,IF($I8151&lt;=1,2,0))</f>
        <v>1</v>
      </c>
      <c r="K8151">
        <v>7</v>
      </c>
      <c r="L8151">
        <f>IF(AND($J8151=0,$K8151=0),0,1)</f>
        <v>1</v>
      </c>
    </row>
    <row r="8152" spans="1:13" x14ac:dyDescent="0.2">
      <c r="A8152" t="s">
        <v>202</v>
      </c>
      <c r="B8152" t="s">
        <v>133</v>
      </c>
      <c r="C8152" t="s">
        <v>2</v>
      </c>
      <c r="D8152">
        <v>2012</v>
      </c>
      <c r="E8152">
        <v>2019</v>
      </c>
      <c r="F8152">
        <v>5</v>
      </c>
      <c r="G8152">
        <v>7406</v>
      </c>
      <c r="H8152" s="1">
        <v>0</v>
      </c>
      <c r="I8152">
        <v>29</v>
      </c>
      <c r="J8152">
        <f>IF($H8152=0,1,IF($I8152&lt;=1,2,0))</f>
        <v>1</v>
      </c>
      <c r="K8152">
        <v>7</v>
      </c>
      <c r="L8152">
        <f>IF(AND($J8152=0,$K8152=0),0,1)</f>
        <v>1</v>
      </c>
    </row>
    <row r="8153" spans="1:13" x14ac:dyDescent="0.2">
      <c r="A8153" t="s">
        <v>202</v>
      </c>
      <c r="B8153" t="s">
        <v>133</v>
      </c>
      <c r="C8153" t="s">
        <v>2</v>
      </c>
      <c r="D8153">
        <v>2012</v>
      </c>
      <c r="E8153">
        <v>2019</v>
      </c>
      <c r="F8153">
        <v>1</v>
      </c>
      <c r="G8153">
        <v>7402</v>
      </c>
      <c r="H8153" s="1">
        <v>0</v>
      </c>
      <c r="I8153">
        <v>18</v>
      </c>
      <c r="J8153">
        <f>IF($H8153=0,1,IF($I8153&lt;=1,2,0))</f>
        <v>1</v>
      </c>
      <c r="K8153">
        <v>7</v>
      </c>
      <c r="L8153">
        <f>IF(AND($J8153=0,$K8153=0),0,1)</f>
        <v>1</v>
      </c>
    </row>
    <row r="8154" spans="1:13" x14ac:dyDescent="0.2">
      <c r="A8154" t="s">
        <v>202</v>
      </c>
      <c r="B8154" t="s">
        <v>133</v>
      </c>
      <c r="C8154" t="s">
        <v>2</v>
      </c>
      <c r="D8154">
        <v>2012</v>
      </c>
      <c r="E8154">
        <v>2019</v>
      </c>
      <c r="F8154">
        <v>6</v>
      </c>
      <c r="G8154">
        <v>7407</v>
      </c>
      <c r="H8154" s="1">
        <v>0</v>
      </c>
      <c r="I8154">
        <v>15</v>
      </c>
      <c r="J8154">
        <f>IF($H8154=0,1,IF($I8154&lt;=1,2,0))</f>
        <v>1</v>
      </c>
      <c r="K8154">
        <v>7</v>
      </c>
      <c r="L8154">
        <f>IF(AND($J8154=0,$K8154=0),0,1)</f>
        <v>1</v>
      </c>
    </row>
    <row r="8155" spans="1:13" x14ac:dyDescent="0.2">
      <c r="A8155" t="s">
        <v>202</v>
      </c>
      <c r="B8155" t="s">
        <v>133</v>
      </c>
      <c r="C8155" t="s">
        <v>9</v>
      </c>
      <c r="D8155">
        <v>2445</v>
      </c>
      <c r="E8155">
        <v>2019</v>
      </c>
      <c r="F8155">
        <v>1</v>
      </c>
      <c r="G8155">
        <v>99426</v>
      </c>
      <c r="H8155" s="1">
        <v>0</v>
      </c>
      <c r="I8155">
        <v>20</v>
      </c>
      <c r="J8155">
        <f>IF($H8155=0,1,IF($I8155&lt;=1,2,0))</f>
        <v>1</v>
      </c>
      <c r="K8155">
        <v>0</v>
      </c>
      <c r="L8155">
        <f>IF(AND($J8155=0,$K8155=0),0,1)</f>
        <v>1</v>
      </c>
    </row>
    <row r="8156" spans="1:13" x14ac:dyDescent="0.2">
      <c r="A8156" t="s">
        <v>202</v>
      </c>
      <c r="B8156" t="s">
        <v>133</v>
      </c>
      <c r="C8156" t="s">
        <v>9</v>
      </c>
      <c r="D8156">
        <v>2445</v>
      </c>
      <c r="E8156">
        <v>2019</v>
      </c>
      <c r="F8156">
        <v>5</v>
      </c>
      <c r="G8156">
        <v>99422</v>
      </c>
      <c r="H8156" s="1">
        <v>0</v>
      </c>
      <c r="I8156">
        <v>20</v>
      </c>
      <c r="J8156">
        <f>IF($H8156=0,1,IF($I8156&lt;=1,2,0))</f>
        <v>1</v>
      </c>
      <c r="K8156">
        <v>0</v>
      </c>
      <c r="L8156">
        <f>IF(AND($J8156=0,$K8156=0),0,1)</f>
        <v>1</v>
      </c>
    </row>
    <row r="8157" spans="1:13" x14ac:dyDescent="0.2">
      <c r="A8157" t="s">
        <v>202</v>
      </c>
      <c r="B8157" t="s">
        <v>133</v>
      </c>
      <c r="C8157" t="s">
        <v>9</v>
      </c>
      <c r="D8157">
        <v>2445</v>
      </c>
      <c r="E8157">
        <v>2019</v>
      </c>
      <c r="F8157">
        <v>2</v>
      </c>
      <c r="G8157">
        <v>99425</v>
      </c>
      <c r="H8157" s="1">
        <v>0</v>
      </c>
      <c r="I8157">
        <v>19</v>
      </c>
      <c r="J8157">
        <f>IF($H8157=0,1,IF($I8157&lt;=1,2,0))</f>
        <v>1</v>
      </c>
      <c r="K8157">
        <v>0</v>
      </c>
      <c r="L8157">
        <f>IF(AND($J8157=0,$K8157=0),0,1)</f>
        <v>1</v>
      </c>
    </row>
    <row r="8158" spans="1:13" x14ac:dyDescent="0.2">
      <c r="A8158" t="s">
        <v>202</v>
      </c>
      <c r="B8158" t="s">
        <v>133</v>
      </c>
      <c r="C8158" t="s">
        <v>9</v>
      </c>
      <c r="D8158">
        <v>2445</v>
      </c>
      <c r="E8158">
        <v>2019</v>
      </c>
      <c r="F8158">
        <v>4</v>
      </c>
      <c r="G8158">
        <v>99423</v>
      </c>
      <c r="H8158" s="1">
        <v>0</v>
      </c>
      <c r="I8158">
        <v>16</v>
      </c>
      <c r="J8158">
        <f>IF($H8158=0,1,IF($I8158&lt;=1,2,0))</f>
        <v>1</v>
      </c>
      <c r="K8158">
        <v>0</v>
      </c>
      <c r="L8158">
        <f>IF(AND($J8158=0,$K8158=0),0,1)</f>
        <v>1</v>
      </c>
    </row>
    <row r="8159" spans="1:13" x14ac:dyDescent="0.2">
      <c r="A8159" t="s">
        <v>202</v>
      </c>
      <c r="B8159" t="s">
        <v>133</v>
      </c>
      <c r="C8159" t="s">
        <v>9</v>
      </c>
      <c r="D8159">
        <v>2445</v>
      </c>
      <c r="E8159">
        <v>2019</v>
      </c>
      <c r="F8159">
        <v>7</v>
      </c>
      <c r="G8159">
        <v>99420</v>
      </c>
      <c r="H8159" s="1">
        <v>0</v>
      </c>
      <c r="I8159">
        <v>16</v>
      </c>
      <c r="J8159">
        <f>IF($H8159=0,1,IF($I8159&lt;=1,2,0))</f>
        <v>1</v>
      </c>
      <c r="K8159">
        <v>0</v>
      </c>
      <c r="L8159">
        <f>IF(AND($J8159=0,$K8159=0),0,1)</f>
        <v>1</v>
      </c>
    </row>
    <row r="8160" spans="1:13" x14ac:dyDescent="0.2">
      <c r="A8160" t="s">
        <v>202</v>
      </c>
      <c r="B8160" t="s">
        <v>133</v>
      </c>
      <c r="C8160" t="s">
        <v>9</v>
      </c>
      <c r="D8160">
        <v>2445</v>
      </c>
      <c r="E8160">
        <v>2019</v>
      </c>
      <c r="F8160">
        <v>3</v>
      </c>
      <c r="G8160">
        <v>99424</v>
      </c>
      <c r="H8160" s="1">
        <v>0</v>
      </c>
      <c r="I8160">
        <v>15</v>
      </c>
      <c r="J8160">
        <f>IF($H8160=0,1,IF($I8160&lt;=1,2,0))</f>
        <v>1</v>
      </c>
      <c r="K8160">
        <v>0</v>
      </c>
      <c r="L8160">
        <f>IF(AND($J8160=0,$K8160=0),0,1)</f>
        <v>1</v>
      </c>
    </row>
    <row r="8161" spans="1:13" x14ac:dyDescent="0.2">
      <c r="A8161" t="s">
        <v>202</v>
      </c>
      <c r="B8161" t="s">
        <v>133</v>
      </c>
      <c r="C8161" t="s">
        <v>9</v>
      </c>
      <c r="D8161">
        <v>2445</v>
      </c>
      <c r="E8161">
        <v>2019</v>
      </c>
      <c r="F8161">
        <v>6</v>
      </c>
      <c r="G8161">
        <v>99421</v>
      </c>
      <c r="H8161" s="1">
        <v>0</v>
      </c>
      <c r="I8161">
        <v>15</v>
      </c>
      <c r="J8161">
        <f>IF($H8161=0,1,IF($I8161&lt;=1,2,0))</f>
        <v>1</v>
      </c>
      <c r="K8161">
        <v>0</v>
      </c>
      <c r="L8161">
        <f>IF(AND($J8161=0,$K8161=0),0,1)</f>
        <v>1</v>
      </c>
    </row>
    <row r="8162" spans="1:13" x14ac:dyDescent="0.2">
      <c r="A8162" t="s">
        <v>202</v>
      </c>
      <c r="B8162" t="s">
        <v>133</v>
      </c>
      <c r="C8162" t="s">
        <v>9</v>
      </c>
      <c r="D8162">
        <v>2445</v>
      </c>
      <c r="E8162">
        <v>2019</v>
      </c>
      <c r="F8162">
        <v>8</v>
      </c>
      <c r="G8162">
        <v>99419</v>
      </c>
      <c r="H8162" s="1">
        <v>0</v>
      </c>
      <c r="I8162">
        <v>14</v>
      </c>
      <c r="J8162">
        <f>IF($H8162=0,1,IF($I8162&lt;=1,2,0))</f>
        <v>1</v>
      </c>
      <c r="K8162">
        <v>0</v>
      </c>
      <c r="L8162">
        <f>IF(AND($J8162=0,$K8162=0),0,1)</f>
        <v>1</v>
      </c>
    </row>
    <row r="8163" spans="1:13" x14ac:dyDescent="0.2">
      <c r="A8163" t="s">
        <v>202</v>
      </c>
      <c r="B8163" t="s">
        <v>133</v>
      </c>
      <c r="C8163" t="s">
        <v>9</v>
      </c>
      <c r="D8163">
        <v>2445</v>
      </c>
      <c r="E8163">
        <v>2019</v>
      </c>
      <c r="F8163">
        <v>9</v>
      </c>
      <c r="G8163">
        <v>99418</v>
      </c>
      <c r="H8163" s="1">
        <v>0</v>
      </c>
      <c r="I8163">
        <v>14</v>
      </c>
      <c r="J8163">
        <f>IF($H8163=0,1,IF($I8163&lt;=1,2,0))</f>
        <v>1</v>
      </c>
      <c r="K8163">
        <v>0</v>
      </c>
      <c r="L8163">
        <f>IF(AND($J8163=0,$K8163=0),0,1)</f>
        <v>1</v>
      </c>
    </row>
    <row r="8164" spans="1:13" x14ac:dyDescent="0.2">
      <c r="A8164" t="s">
        <v>202</v>
      </c>
      <c r="B8164" t="s">
        <v>133</v>
      </c>
      <c r="C8164" t="s">
        <v>9</v>
      </c>
      <c r="D8164">
        <v>2447</v>
      </c>
      <c r="E8164">
        <v>2019</v>
      </c>
      <c r="F8164">
        <v>3</v>
      </c>
      <c r="G8164">
        <v>48009</v>
      </c>
      <c r="H8164" s="1">
        <v>0</v>
      </c>
      <c r="I8164">
        <v>19</v>
      </c>
      <c r="J8164">
        <f>IF($H8164=0,1,IF($I8164&lt;=1,2,0))</f>
        <v>1</v>
      </c>
      <c r="K8164">
        <v>0</v>
      </c>
      <c r="L8164">
        <f>IF(AND($J8164=0,$K8164=0),0,1)</f>
        <v>1</v>
      </c>
    </row>
    <row r="8165" spans="1:13" x14ac:dyDescent="0.2">
      <c r="A8165" t="s">
        <v>202</v>
      </c>
      <c r="B8165" t="s">
        <v>133</v>
      </c>
      <c r="C8165" t="s">
        <v>9</v>
      </c>
      <c r="D8165">
        <v>2447</v>
      </c>
      <c r="E8165">
        <v>2019</v>
      </c>
      <c r="F8165">
        <v>1</v>
      </c>
      <c r="G8165">
        <v>99385</v>
      </c>
      <c r="H8165" s="1">
        <v>0</v>
      </c>
      <c r="I8165">
        <v>18</v>
      </c>
      <c r="J8165">
        <f>IF($H8165=0,1,IF($I8165&lt;=1,2,0))</f>
        <v>1</v>
      </c>
      <c r="K8165">
        <v>0</v>
      </c>
      <c r="L8165">
        <f>IF(AND($J8165=0,$K8165=0),0,1)</f>
        <v>1</v>
      </c>
    </row>
    <row r="8166" spans="1:13" x14ac:dyDescent="0.2">
      <c r="A8166" t="s">
        <v>202</v>
      </c>
      <c r="B8166" t="s">
        <v>133</v>
      </c>
      <c r="C8166" t="s">
        <v>9</v>
      </c>
      <c r="D8166">
        <v>2447</v>
      </c>
      <c r="E8166">
        <v>2019</v>
      </c>
      <c r="F8166">
        <v>5</v>
      </c>
      <c r="G8166">
        <v>48011</v>
      </c>
      <c r="H8166" s="1">
        <v>0</v>
      </c>
      <c r="I8166">
        <v>14</v>
      </c>
      <c r="J8166">
        <f>IF($H8166=0,1,IF($I8166&lt;=1,2,0))</f>
        <v>1</v>
      </c>
      <c r="K8166">
        <v>0</v>
      </c>
      <c r="L8166">
        <f>IF(AND($J8166=0,$K8166=0),0,1)</f>
        <v>1</v>
      </c>
    </row>
    <row r="8167" spans="1:13" x14ac:dyDescent="0.2">
      <c r="A8167" t="s">
        <v>202</v>
      </c>
      <c r="B8167" t="s">
        <v>133</v>
      </c>
      <c r="C8167" t="s">
        <v>9</v>
      </c>
      <c r="D8167">
        <v>2447</v>
      </c>
      <c r="E8167">
        <v>2019</v>
      </c>
      <c r="F8167">
        <v>6</v>
      </c>
      <c r="G8167">
        <v>48012</v>
      </c>
      <c r="H8167" s="1">
        <v>0</v>
      </c>
      <c r="I8167">
        <v>13</v>
      </c>
      <c r="J8167">
        <f>IF($H8167=0,1,IF($I8167&lt;=1,2,0))</f>
        <v>1</v>
      </c>
      <c r="K8167">
        <v>0</v>
      </c>
      <c r="L8167">
        <f>IF(AND($J8167=0,$K8167=0),0,1)</f>
        <v>1</v>
      </c>
    </row>
    <row r="8168" spans="1:13" x14ac:dyDescent="0.2">
      <c r="A8168" t="s">
        <v>202</v>
      </c>
      <c r="B8168" t="s">
        <v>133</v>
      </c>
      <c r="C8168" t="s">
        <v>9</v>
      </c>
      <c r="D8168">
        <v>2447</v>
      </c>
      <c r="E8168">
        <v>2019</v>
      </c>
      <c r="F8168">
        <v>2</v>
      </c>
      <c r="G8168">
        <v>99384</v>
      </c>
      <c r="H8168" s="1">
        <v>0</v>
      </c>
      <c r="I8168">
        <v>8</v>
      </c>
      <c r="J8168">
        <f>IF($H8168=0,1,IF($I8168&lt;=1,2,0))</f>
        <v>1</v>
      </c>
      <c r="K8168">
        <v>0</v>
      </c>
      <c r="L8168">
        <f>IF(AND($J8168=0,$K8168=0),0,1)</f>
        <v>1</v>
      </c>
    </row>
    <row r="8169" spans="1:13" x14ac:dyDescent="0.2">
      <c r="A8169" t="s">
        <v>202</v>
      </c>
      <c r="B8169" t="s">
        <v>133</v>
      </c>
      <c r="C8169" t="s">
        <v>9</v>
      </c>
      <c r="D8169">
        <v>2447</v>
      </c>
      <c r="E8169">
        <v>2019</v>
      </c>
      <c r="F8169">
        <v>7</v>
      </c>
      <c r="G8169">
        <v>48013</v>
      </c>
      <c r="H8169" s="1">
        <v>0</v>
      </c>
      <c r="I8169">
        <v>5</v>
      </c>
      <c r="J8169">
        <f>IF($H8169=0,1,IF($I8169&lt;=1,2,0))</f>
        <v>1</v>
      </c>
      <c r="K8169">
        <v>0</v>
      </c>
      <c r="L8169">
        <f>IF(AND($J8169=0,$K8169=0),0,1)</f>
        <v>1</v>
      </c>
    </row>
    <row r="8170" spans="1:13" x14ac:dyDescent="0.2">
      <c r="A8170" t="s">
        <v>202</v>
      </c>
      <c r="B8170" t="s">
        <v>133</v>
      </c>
      <c r="C8170" t="s">
        <v>9</v>
      </c>
      <c r="D8170">
        <v>2449</v>
      </c>
      <c r="E8170">
        <v>2019</v>
      </c>
      <c r="F8170">
        <v>5</v>
      </c>
      <c r="G8170">
        <v>99346</v>
      </c>
      <c r="H8170" s="1">
        <v>0</v>
      </c>
      <c r="I8170">
        <v>24</v>
      </c>
      <c r="J8170">
        <f>IF($H8170=0,1,IF($I8170&lt;=1,2,0))</f>
        <v>1</v>
      </c>
      <c r="K8170">
        <v>0</v>
      </c>
      <c r="L8170">
        <f>IF(AND($J8170=0,$K8170=0),0,1)</f>
        <v>1</v>
      </c>
    </row>
    <row r="8171" spans="1:13" x14ac:dyDescent="0.2">
      <c r="A8171" t="s">
        <v>202</v>
      </c>
      <c r="B8171" t="s">
        <v>133</v>
      </c>
      <c r="C8171" t="s">
        <v>9</v>
      </c>
      <c r="D8171">
        <v>2449</v>
      </c>
      <c r="E8171">
        <v>2019</v>
      </c>
      <c r="F8171">
        <v>3</v>
      </c>
      <c r="G8171">
        <v>99348</v>
      </c>
      <c r="H8171" s="1">
        <v>0</v>
      </c>
      <c r="I8171">
        <v>23</v>
      </c>
      <c r="J8171">
        <f>IF($H8171=0,1,IF($I8171&lt;=1,2,0))</f>
        <v>1</v>
      </c>
      <c r="K8171">
        <v>0</v>
      </c>
      <c r="L8171">
        <f>IF(AND($J8171=0,$K8171=0),0,1)</f>
        <v>1</v>
      </c>
    </row>
    <row r="8172" spans="1:13" x14ac:dyDescent="0.2">
      <c r="A8172" t="s">
        <v>202</v>
      </c>
      <c r="B8172" t="s">
        <v>133</v>
      </c>
      <c r="C8172" t="s">
        <v>9</v>
      </c>
      <c r="D8172">
        <v>2449</v>
      </c>
      <c r="E8172">
        <v>2019</v>
      </c>
      <c r="F8172">
        <v>6</v>
      </c>
      <c r="G8172">
        <v>99345</v>
      </c>
      <c r="H8172" s="1">
        <v>0</v>
      </c>
      <c r="I8172">
        <v>19</v>
      </c>
      <c r="J8172">
        <f>IF($H8172=0,1,IF($I8172&lt;=1,2,0))</f>
        <v>1</v>
      </c>
      <c r="K8172">
        <v>0</v>
      </c>
      <c r="L8172">
        <f>IF(AND($J8172=0,$K8172=0),0,1)</f>
        <v>1</v>
      </c>
    </row>
    <row r="8173" spans="1:13" x14ac:dyDescent="0.2">
      <c r="A8173" t="s">
        <v>202</v>
      </c>
      <c r="B8173" t="s">
        <v>133</v>
      </c>
      <c r="C8173" t="s">
        <v>9</v>
      </c>
      <c r="D8173">
        <v>2449</v>
      </c>
      <c r="E8173">
        <v>2019</v>
      </c>
      <c r="F8173">
        <v>1</v>
      </c>
      <c r="G8173">
        <v>99350</v>
      </c>
      <c r="H8173" s="1">
        <v>0</v>
      </c>
      <c r="I8173">
        <v>17</v>
      </c>
      <c r="J8173">
        <f>IF($H8173=0,1,IF($I8173&lt;=1,2,0))</f>
        <v>1</v>
      </c>
      <c r="K8173">
        <v>0</v>
      </c>
      <c r="L8173">
        <f>IF(AND($J8173=0,$K8173=0),0,1)</f>
        <v>1</v>
      </c>
    </row>
    <row r="8174" spans="1:13" x14ac:dyDescent="0.2">
      <c r="A8174" t="s">
        <v>202</v>
      </c>
      <c r="B8174" t="s">
        <v>133</v>
      </c>
      <c r="C8174" t="s">
        <v>9</v>
      </c>
      <c r="D8174">
        <v>2449</v>
      </c>
      <c r="E8174">
        <v>2019</v>
      </c>
      <c r="F8174">
        <v>4</v>
      </c>
      <c r="G8174">
        <v>99347</v>
      </c>
      <c r="H8174" s="1">
        <v>0</v>
      </c>
      <c r="I8174">
        <v>15</v>
      </c>
      <c r="J8174">
        <f>IF($H8174=0,1,IF($I8174&lt;=1,2,0))</f>
        <v>1</v>
      </c>
      <c r="K8174">
        <v>0</v>
      </c>
      <c r="L8174">
        <f>IF(AND($J8174=0,$K8174=0),0,1)</f>
        <v>1</v>
      </c>
    </row>
    <row r="8175" spans="1:13" x14ac:dyDescent="0.2">
      <c r="A8175" t="s">
        <v>202</v>
      </c>
      <c r="B8175" t="s">
        <v>133</v>
      </c>
      <c r="C8175" t="s">
        <v>9</v>
      </c>
      <c r="D8175">
        <v>2449</v>
      </c>
      <c r="E8175">
        <v>2019</v>
      </c>
      <c r="F8175">
        <v>2</v>
      </c>
      <c r="G8175">
        <v>99349</v>
      </c>
      <c r="H8175" s="1">
        <v>0</v>
      </c>
      <c r="I8175">
        <v>13</v>
      </c>
      <c r="J8175">
        <f>IF($H8175=0,1,IF($I8175&lt;=1,2,0))</f>
        <v>1</v>
      </c>
      <c r="K8175">
        <v>0</v>
      </c>
      <c r="L8175">
        <f>IF(AND($J8175=0,$K8175=0),0,1)</f>
        <v>1</v>
      </c>
    </row>
    <row r="8176" spans="1:13" x14ac:dyDescent="0.2">
      <c r="A8176" t="s">
        <v>202</v>
      </c>
      <c r="B8176" t="s">
        <v>133</v>
      </c>
      <c r="C8176" t="s">
        <v>9</v>
      </c>
      <c r="D8176">
        <v>2493</v>
      </c>
      <c r="E8176">
        <v>2019</v>
      </c>
      <c r="F8176">
        <v>4</v>
      </c>
      <c r="G8176">
        <v>99414</v>
      </c>
      <c r="H8176" s="1">
        <v>0</v>
      </c>
      <c r="I8176">
        <v>31</v>
      </c>
      <c r="J8176">
        <f>IF($H8176=0,1,IF($I8176&lt;=1,2,0))</f>
        <v>1</v>
      </c>
      <c r="K8176">
        <v>0</v>
      </c>
      <c r="L8176">
        <f>IF(AND($J8176=0,$K8176=0),0,1)</f>
        <v>1</v>
      </c>
      <c r="M8176" t="s">
        <v>1910</v>
      </c>
    </row>
    <row r="8177" spans="1:13" x14ac:dyDescent="0.2">
      <c r="A8177" t="s">
        <v>202</v>
      </c>
      <c r="B8177" t="s">
        <v>133</v>
      </c>
      <c r="C8177" t="s">
        <v>9</v>
      </c>
      <c r="D8177">
        <v>2493</v>
      </c>
      <c r="E8177">
        <v>2019</v>
      </c>
      <c r="F8177">
        <v>6</v>
      </c>
      <c r="G8177">
        <v>99412</v>
      </c>
      <c r="H8177" s="1">
        <v>0</v>
      </c>
      <c r="I8177">
        <v>31</v>
      </c>
      <c r="J8177">
        <f>IF($H8177=0,1,IF($I8177&lt;=1,2,0))</f>
        <v>1</v>
      </c>
      <c r="K8177">
        <v>0</v>
      </c>
      <c r="L8177">
        <f>IF(AND($J8177=0,$K8177=0),0,1)</f>
        <v>1</v>
      </c>
      <c r="M8177" t="s">
        <v>1912</v>
      </c>
    </row>
    <row r="8178" spans="1:13" x14ac:dyDescent="0.2">
      <c r="A8178" t="s">
        <v>202</v>
      </c>
      <c r="B8178" t="s">
        <v>133</v>
      </c>
      <c r="C8178" t="s">
        <v>9</v>
      </c>
      <c r="D8178">
        <v>2493</v>
      </c>
      <c r="E8178">
        <v>2019</v>
      </c>
      <c r="F8178">
        <v>3</v>
      </c>
      <c r="G8178">
        <v>99415</v>
      </c>
      <c r="H8178" s="1">
        <v>0</v>
      </c>
      <c r="I8178">
        <v>30</v>
      </c>
      <c r="J8178">
        <f>IF($H8178=0,1,IF($I8178&lt;=1,2,0))</f>
        <v>1</v>
      </c>
      <c r="K8178">
        <v>0</v>
      </c>
      <c r="L8178">
        <f>IF(AND($J8178=0,$K8178=0),0,1)</f>
        <v>1</v>
      </c>
      <c r="M8178" t="s">
        <v>1909</v>
      </c>
    </row>
    <row r="8179" spans="1:13" x14ac:dyDescent="0.2">
      <c r="A8179" t="s">
        <v>202</v>
      </c>
      <c r="B8179" t="s">
        <v>133</v>
      </c>
      <c r="C8179" t="s">
        <v>9</v>
      </c>
      <c r="D8179">
        <v>2493</v>
      </c>
      <c r="E8179">
        <v>2019</v>
      </c>
      <c r="F8179">
        <v>9</v>
      </c>
      <c r="G8179">
        <v>99409</v>
      </c>
      <c r="H8179" s="1">
        <v>0</v>
      </c>
      <c r="I8179">
        <v>30</v>
      </c>
      <c r="J8179">
        <f>IF($H8179=0,1,IF($I8179&lt;=1,2,0))</f>
        <v>1</v>
      </c>
      <c r="K8179">
        <v>0</v>
      </c>
      <c r="L8179">
        <f>IF(AND($J8179=0,$K8179=0),0,1)</f>
        <v>1</v>
      </c>
      <c r="M8179" t="s">
        <v>1915</v>
      </c>
    </row>
    <row r="8180" spans="1:13" x14ac:dyDescent="0.2">
      <c r="A8180" t="s">
        <v>202</v>
      </c>
      <c r="B8180" t="s">
        <v>133</v>
      </c>
      <c r="C8180" t="s">
        <v>9</v>
      </c>
      <c r="D8180">
        <v>2493</v>
      </c>
      <c r="E8180">
        <v>2019</v>
      </c>
      <c r="F8180">
        <v>11</v>
      </c>
      <c r="G8180">
        <v>99407</v>
      </c>
      <c r="H8180" s="1">
        <v>0</v>
      </c>
      <c r="I8180">
        <v>30</v>
      </c>
      <c r="J8180">
        <f>IF($H8180=0,1,IF($I8180&lt;=1,2,0))</f>
        <v>1</v>
      </c>
      <c r="K8180">
        <v>0</v>
      </c>
      <c r="L8180">
        <f>IF(AND($J8180=0,$K8180=0),0,1)</f>
        <v>1</v>
      </c>
      <c r="M8180" t="s">
        <v>1917</v>
      </c>
    </row>
    <row r="8181" spans="1:13" x14ac:dyDescent="0.2">
      <c r="A8181" t="s">
        <v>202</v>
      </c>
      <c r="B8181" t="s">
        <v>133</v>
      </c>
      <c r="C8181" t="s">
        <v>9</v>
      </c>
      <c r="D8181">
        <v>2493</v>
      </c>
      <c r="E8181">
        <v>2019</v>
      </c>
      <c r="F8181">
        <v>5</v>
      </c>
      <c r="G8181">
        <v>99413</v>
      </c>
      <c r="H8181" s="1">
        <v>0</v>
      </c>
      <c r="I8181">
        <v>28</v>
      </c>
      <c r="J8181">
        <f>IF($H8181=0,1,IF($I8181&lt;=1,2,0))</f>
        <v>1</v>
      </c>
      <c r="K8181">
        <v>0</v>
      </c>
      <c r="L8181">
        <f>IF(AND($J8181=0,$K8181=0),0,1)</f>
        <v>1</v>
      </c>
      <c r="M8181" t="s">
        <v>1911</v>
      </c>
    </row>
    <row r="8182" spans="1:13" x14ac:dyDescent="0.2">
      <c r="A8182" t="s">
        <v>202</v>
      </c>
      <c r="B8182" t="s">
        <v>133</v>
      </c>
      <c r="C8182" t="s">
        <v>9</v>
      </c>
      <c r="D8182">
        <v>2493</v>
      </c>
      <c r="E8182">
        <v>2019</v>
      </c>
      <c r="F8182">
        <v>10</v>
      </c>
      <c r="G8182">
        <v>99408</v>
      </c>
      <c r="H8182" s="1">
        <v>0</v>
      </c>
      <c r="I8182">
        <v>23</v>
      </c>
      <c r="J8182">
        <f>IF($H8182=0,1,IF($I8182&lt;=1,2,0))</f>
        <v>1</v>
      </c>
      <c r="K8182">
        <v>0</v>
      </c>
      <c r="L8182">
        <f>IF(AND($J8182=0,$K8182=0),0,1)</f>
        <v>1</v>
      </c>
      <c r="M8182" t="s">
        <v>1916</v>
      </c>
    </row>
    <row r="8183" spans="1:13" x14ac:dyDescent="0.2">
      <c r="A8183" t="s">
        <v>202</v>
      </c>
      <c r="B8183" t="s">
        <v>133</v>
      </c>
      <c r="C8183" t="s">
        <v>9</v>
      </c>
      <c r="D8183">
        <v>2493</v>
      </c>
      <c r="E8183">
        <v>2019</v>
      </c>
      <c r="F8183">
        <v>12</v>
      </c>
      <c r="G8183">
        <v>99406</v>
      </c>
      <c r="H8183" s="1">
        <v>0</v>
      </c>
      <c r="I8183">
        <v>22</v>
      </c>
      <c r="J8183">
        <f>IF($H8183=0,1,IF($I8183&lt;=1,2,0))</f>
        <v>1</v>
      </c>
      <c r="K8183">
        <v>0</v>
      </c>
      <c r="L8183">
        <f>IF(AND($J8183=0,$K8183=0),0,1)</f>
        <v>1</v>
      </c>
      <c r="M8183" t="s">
        <v>1918</v>
      </c>
    </row>
    <row r="8184" spans="1:13" x14ac:dyDescent="0.2">
      <c r="A8184" t="s">
        <v>202</v>
      </c>
      <c r="B8184" t="s">
        <v>133</v>
      </c>
      <c r="C8184" t="s">
        <v>9</v>
      </c>
      <c r="D8184">
        <v>2493</v>
      </c>
      <c r="E8184">
        <v>2019</v>
      </c>
      <c r="F8184">
        <v>8</v>
      </c>
      <c r="G8184">
        <v>99410</v>
      </c>
      <c r="H8184" s="1">
        <v>0</v>
      </c>
      <c r="I8184">
        <v>20</v>
      </c>
      <c r="J8184">
        <f>IF($H8184=0,1,IF($I8184&lt;=1,2,0))</f>
        <v>1</v>
      </c>
      <c r="K8184">
        <v>0</v>
      </c>
      <c r="L8184">
        <f>IF(AND($J8184=0,$K8184=0),0,1)</f>
        <v>1</v>
      </c>
      <c r="M8184" t="s">
        <v>1914</v>
      </c>
    </row>
    <row r="8185" spans="1:13" x14ac:dyDescent="0.2">
      <c r="A8185" t="s">
        <v>202</v>
      </c>
      <c r="B8185" t="s">
        <v>133</v>
      </c>
      <c r="C8185" t="s">
        <v>9</v>
      </c>
      <c r="D8185">
        <v>2493</v>
      </c>
      <c r="E8185">
        <v>2019</v>
      </c>
      <c r="F8185">
        <v>2</v>
      </c>
      <c r="G8185">
        <v>99416</v>
      </c>
      <c r="H8185" s="1">
        <v>0</v>
      </c>
      <c r="I8185">
        <v>16</v>
      </c>
      <c r="J8185">
        <f>IF($H8185=0,1,IF($I8185&lt;=1,2,0))</f>
        <v>1</v>
      </c>
      <c r="K8185">
        <v>0</v>
      </c>
      <c r="L8185">
        <f>IF(AND($J8185=0,$K8185=0),0,1)</f>
        <v>1</v>
      </c>
      <c r="M8185" t="s">
        <v>1908</v>
      </c>
    </row>
    <row r="8186" spans="1:13" x14ac:dyDescent="0.2">
      <c r="A8186" t="s">
        <v>202</v>
      </c>
      <c r="B8186" t="s">
        <v>133</v>
      </c>
      <c r="C8186" t="s">
        <v>9</v>
      </c>
      <c r="D8186">
        <v>2493</v>
      </c>
      <c r="E8186">
        <v>2019</v>
      </c>
      <c r="F8186">
        <v>1</v>
      </c>
      <c r="G8186">
        <v>99417</v>
      </c>
      <c r="H8186" s="1">
        <v>0</v>
      </c>
      <c r="I8186">
        <v>15</v>
      </c>
      <c r="J8186">
        <f>IF($H8186=0,1,IF($I8186&lt;=1,2,0))</f>
        <v>1</v>
      </c>
      <c r="K8186">
        <v>0</v>
      </c>
      <c r="L8186">
        <f>IF(AND($J8186=0,$K8186=0),0,1)</f>
        <v>1</v>
      </c>
      <c r="M8186" t="s">
        <v>1907</v>
      </c>
    </row>
    <row r="8187" spans="1:13" x14ac:dyDescent="0.2">
      <c r="A8187" t="s">
        <v>202</v>
      </c>
      <c r="B8187" t="s">
        <v>133</v>
      </c>
      <c r="C8187" t="s">
        <v>9</v>
      </c>
      <c r="D8187">
        <v>2493</v>
      </c>
      <c r="E8187">
        <v>2019</v>
      </c>
      <c r="F8187">
        <v>7</v>
      </c>
      <c r="G8187">
        <v>99411</v>
      </c>
      <c r="H8187" s="1">
        <v>0</v>
      </c>
      <c r="I8187">
        <v>12</v>
      </c>
      <c r="J8187">
        <f>IF($H8187=0,1,IF($I8187&lt;=1,2,0))</f>
        <v>1</v>
      </c>
      <c r="K8187">
        <v>0</v>
      </c>
      <c r="L8187">
        <f>IF(AND($J8187=0,$K8187=0),0,1)</f>
        <v>1</v>
      </c>
      <c r="M8187" t="s">
        <v>1913</v>
      </c>
    </row>
    <row r="8188" spans="1:13" x14ac:dyDescent="0.2">
      <c r="A8188" t="s">
        <v>202</v>
      </c>
      <c r="B8188" t="s">
        <v>133</v>
      </c>
      <c r="C8188" t="s">
        <v>9</v>
      </c>
      <c r="D8188">
        <v>2495</v>
      </c>
      <c r="E8188">
        <v>2019</v>
      </c>
      <c r="F8188">
        <v>2</v>
      </c>
      <c r="G8188">
        <v>99382</v>
      </c>
      <c r="H8188" s="1">
        <v>1.5</v>
      </c>
      <c r="I8188">
        <v>87</v>
      </c>
      <c r="J8188">
        <f>IF($H8188=0,1,IF($I8188&lt;=1,2,0))</f>
        <v>0</v>
      </c>
      <c r="K8188">
        <v>8</v>
      </c>
      <c r="L8188">
        <f>IF(AND($J8188=0,$K8188=0),0,1)</f>
        <v>1</v>
      </c>
      <c r="M8188" t="s">
        <v>207</v>
      </c>
    </row>
    <row r="8189" spans="1:13" x14ac:dyDescent="0.2">
      <c r="A8189" t="s">
        <v>202</v>
      </c>
      <c r="B8189" t="s">
        <v>133</v>
      </c>
      <c r="C8189" t="s">
        <v>9</v>
      </c>
      <c r="D8189">
        <v>2495</v>
      </c>
      <c r="E8189">
        <v>2019</v>
      </c>
      <c r="F8189">
        <v>4</v>
      </c>
      <c r="G8189">
        <v>99380</v>
      </c>
      <c r="H8189" s="1">
        <v>1.5</v>
      </c>
      <c r="I8189">
        <v>76</v>
      </c>
      <c r="J8189">
        <f>IF($H8189=0,1,IF($I8189&lt;=1,2,0))</f>
        <v>0</v>
      </c>
      <c r="K8189">
        <v>8</v>
      </c>
      <c r="L8189">
        <f>IF(AND($J8189=0,$K8189=0),0,1)</f>
        <v>1</v>
      </c>
      <c r="M8189" t="s">
        <v>209</v>
      </c>
    </row>
    <row r="8190" spans="1:13" x14ac:dyDescent="0.2">
      <c r="A8190" t="s">
        <v>202</v>
      </c>
      <c r="B8190" t="s">
        <v>133</v>
      </c>
      <c r="C8190" t="s">
        <v>9</v>
      </c>
      <c r="D8190">
        <v>2495</v>
      </c>
      <c r="E8190">
        <v>2019</v>
      </c>
      <c r="F8190">
        <v>3</v>
      </c>
      <c r="G8190">
        <v>99381</v>
      </c>
      <c r="H8190" s="1">
        <v>1.5</v>
      </c>
      <c r="I8190">
        <v>62</v>
      </c>
      <c r="J8190">
        <f>IF($H8190=0,1,IF($I8190&lt;=1,2,0))</f>
        <v>0</v>
      </c>
      <c r="K8190">
        <v>8</v>
      </c>
      <c r="L8190">
        <f>IF(AND($J8190=0,$K8190=0),0,1)</f>
        <v>1</v>
      </c>
      <c r="M8190" t="s">
        <v>208</v>
      </c>
    </row>
    <row r="8191" spans="1:13" x14ac:dyDescent="0.2">
      <c r="A8191" t="s">
        <v>202</v>
      </c>
      <c r="B8191" t="s">
        <v>133</v>
      </c>
      <c r="C8191" t="s">
        <v>9</v>
      </c>
      <c r="D8191">
        <v>2495</v>
      </c>
      <c r="E8191">
        <v>2019</v>
      </c>
      <c r="F8191">
        <v>1</v>
      </c>
      <c r="G8191">
        <v>99383</v>
      </c>
      <c r="H8191" s="1">
        <v>1.5</v>
      </c>
      <c r="I8191">
        <v>61</v>
      </c>
      <c r="J8191">
        <f>IF($H8191=0,1,IF($I8191&lt;=1,2,0))</f>
        <v>0</v>
      </c>
      <c r="K8191">
        <v>8</v>
      </c>
      <c r="L8191">
        <f>IF(AND($J8191=0,$K8191=0),0,1)</f>
        <v>1</v>
      </c>
      <c r="M8191" t="s">
        <v>206</v>
      </c>
    </row>
    <row r="8192" spans="1:13" x14ac:dyDescent="0.2">
      <c r="A8192" t="s">
        <v>202</v>
      </c>
      <c r="B8192" t="s">
        <v>133</v>
      </c>
      <c r="C8192" t="s">
        <v>9</v>
      </c>
      <c r="D8192">
        <v>3098</v>
      </c>
      <c r="E8192">
        <v>2019</v>
      </c>
      <c r="F8192">
        <v>1</v>
      </c>
      <c r="G8192">
        <v>99378</v>
      </c>
      <c r="H8192" s="1">
        <v>4</v>
      </c>
      <c r="I8192">
        <v>2</v>
      </c>
      <c r="J8192">
        <f>IF($H8192=0,1,IF($I8192&lt;=1,2,0))</f>
        <v>0</v>
      </c>
      <c r="K8192">
        <v>8</v>
      </c>
      <c r="L8192">
        <f>IF(AND($J8192=0,$K8192=0),0,1)</f>
        <v>1</v>
      </c>
    </row>
    <row r="8193" spans="1:12" x14ac:dyDescent="0.2">
      <c r="A8193" t="s">
        <v>202</v>
      </c>
      <c r="B8193" t="s">
        <v>133</v>
      </c>
      <c r="C8193" t="s">
        <v>9</v>
      </c>
      <c r="D8193">
        <v>3098</v>
      </c>
      <c r="E8193">
        <v>2019</v>
      </c>
      <c r="F8193">
        <v>2</v>
      </c>
      <c r="G8193">
        <v>17918</v>
      </c>
      <c r="H8193" s="1">
        <v>2</v>
      </c>
      <c r="I8193">
        <v>1</v>
      </c>
      <c r="J8193">
        <f>IF($H8193=0,1,IF($I8193&lt;=1,2,0))</f>
        <v>2</v>
      </c>
      <c r="K8193">
        <v>8</v>
      </c>
      <c r="L8193">
        <f>IF(AND($J8193=0,$K8193=0),0,1)</f>
        <v>1</v>
      </c>
    </row>
    <row r="8194" spans="1:12" x14ac:dyDescent="0.2">
      <c r="A8194" t="s">
        <v>202</v>
      </c>
      <c r="B8194" t="s">
        <v>133</v>
      </c>
      <c r="C8194" t="s">
        <v>9</v>
      </c>
      <c r="D8194">
        <v>3098</v>
      </c>
      <c r="E8194">
        <v>2019</v>
      </c>
      <c r="F8194">
        <v>3</v>
      </c>
      <c r="G8194">
        <v>18801</v>
      </c>
      <c r="H8194" s="1">
        <v>3</v>
      </c>
      <c r="I8194">
        <v>1</v>
      </c>
      <c r="J8194">
        <f>IF($H8194=0,1,IF($I8194&lt;=1,2,0))</f>
        <v>2</v>
      </c>
      <c r="K8194">
        <v>8</v>
      </c>
      <c r="L8194">
        <f>IF(AND($J8194=0,$K8194=0),0,1)</f>
        <v>1</v>
      </c>
    </row>
    <row r="8195" spans="1:12" x14ac:dyDescent="0.2">
      <c r="A8195" t="s">
        <v>202</v>
      </c>
      <c r="B8195" t="s">
        <v>133</v>
      </c>
      <c r="C8195" t="s">
        <v>2</v>
      </c>
      <c r="D8195">
        <v>3231</v>
      </c>
      <c r="E8195">
        <v>2019</v>
      </c>
      <c r="F8195">
        <v>1</v>
      </c>
      <c r="G8195">
        <v>7391</v>
      </c>
      <c r="H8195" s="1">
        <v>3</v>
      </c>
      <c r="I8195">
        <v>102</v>
      </c>
      <c r="J8195">
        <f>IF($H8195=0,1,IF($I8195&lt;=1,2,0))</f>
        <v>0</v>
      </c>
      <c r="K8195">
        <v>7</v>
      </c>
      <c r="L8195">
        <f>IF(AND($J8195=0,$K8195=0),0,1)</f>
        <v>1</v>
      </c>
    </row>
    <row r="8196" spans="1:12" x14ac:dyDescent="0.2">
      <c r="A8196" t="s">
        <v>202</v>
      </c>
      <c r="B8196" t="s">
        <v>133</v>
      </c>
      <c r="C8196" t="s">
        <v>2</v>
      </c>
      <c r="D8196">
        <v>3253</v>
      </c>
      <c r="E8196">
        <v>2019</v>
      </c>
      <c r="F8196">
        <v>1</v>
      </c>
      <c r="G8196">
        <v>7435</v>
      </c>
      <c r="H8196" s="1">
        <v>3</v>
      </c>
      <c r="I8196">
        <v>19</v>
      </c>
      <c r="J8196">
        <f>IF($H8196=0,1,IF($I8196&lt;=1,2,0))</f>
        <v>0</v>
      </c>
      <c r="K8196">
        <v>7</v>
      </c>
      <c r="L8196">
        <f>IF(AND($J8196=0,$K8196=0),0,1)</f>
        <v>1</v>
      </c>
    </row>
    <row r="8197" spans="1:12" x14ac:dyDescent="0.2">
      <c r="A8197" t="s">
        <v>202</v>
      </c>
      <c r="B8197" t="s">
        <v>133</v>
      </c>
      <c r="C8197" t="s">
        <v>2</v>
      </c>
      <c r="D8197">
        <v>3282</v>
      </c>
      <c r="E8197">
        <v>2019</v>
      </c>
      <c r="F8197">
        <v>1</v>
      </c>
      <c r="G8197">
        <v>7408</v>
      </c>
      <c r="H8197" s="1">
        <v>3</v>
      </c>
      <c r="I8197">
        <v>52</v>
      </c>
      <c r="J8197">
        <f>IF($H8197=0,1,IF($I8197&lt;=1,2,0))</f>
        <v>0</v>
      </c>
      <c r="K8197">
        <v>7</v>
      </c>
      <c r="L8197">
        <f>IF(AND($J8197=0,$K8197=0),0,1)</f>
        <v>1</v>
      </c>
    </row>
    <row r="8198" spans="1:12" x14ac:dyDescent="0.2">
      <c r="A8198" t="s">
        <v>202</v>
      </c>
      <c r="B8198" t="s">
        <v>133</v>
      </c>
      <c r="C8198" t="s">
        <v>2</v>
      </c>
      <c r="D8198">
        <v>3333</v>
      </c>
      <c r="E8198">
        <v>2019</v>
      </c>
      <c r="F8198">
        <v>1</v>
      </c>
      <c r="G8198">
        <v>7409</v>
      </c>
      <c r="H8198" s="1">
        <v>3</v>
      </c>
      <c r="I8198">
        <v>13</v>
      </c>
      <c r="J8198">
        <f>IF($H8198=0,1,IF($I8198&lt;=1,2,0))</f>
        <v>0</v>
      </c>
      <c r="K8198">
        <v>7</v>
      </c>
      <c r="L8198">
        <f>IF(AND($J8198=0,$K8198=0),0,1)</f>
        <v>1</v>
      </c>
    </row>
    <row r="8199" spans="1:12" x14ac:dyDescent="0.2">
      <c r="A8199" t="s">
        <v>202</v>
      </c>
      <c r="B8199" t="s">
        <v>133</v>
      </c>
      <c r="C8199" t="s">
        <v>2</v>
      </c>
      <c r="D8199">
        <v>3333</v>
      </c>
      <c r="E8199">
        <v>2019</v>
      </c>
      <c r="F8199">
        <v>2</v>
      </c>
      <c r="G8199">
        <v>7410</v>
      </c>
      <c r="H8199" s="1">
        <v>3</v>
      </c>
      <c r="I8199">
        <v>11</v>
      </c>
      <c r="J8199">
        <f>IF($H8199=0,1,IF($I8199&lt;=1,2,0))</f>
        <v>0</v>
      </c>
      <c r="K8199">
        <v>7</v>
      </c>
      <c r="L8199">
        <f>IF(AND($J8199=0,$K8199=0),0,1)</f>
        <v>1</v>
      </c>
    </row>
    <row r="8200" spans="1:12" x14ac:dyDescent="0.2">
      <c r="A8200" t="s">
        <v>202</v>
      </c>
      <c r="B8200" t="s">
        <v>133</v>
      </c>
      <c r="C8200" t="s">
        <v>2</v>
      </c>
      <c r="D8200">
        <v>3358</v>
      </c>
      <c r="E8200">
        <v>2019</v>
      </c>
      <c r="F8200">
        <v>1</v>
      </c>
      <c r="G8200">
        <v>7436</v>
      </c>
      <c r="H8200" s="1">
        <v>5</v>
      </c>
      <c r="I8200">
        <v>13</v>
      </c>
      <c r="J8200">
        <f>IF($H8200=0,1,IF($I8200&lt;=1,2,0))</f>
        <v>0</v>
      </c>
      <c r="K8200">
        <v>7</v>
      </c>
      <c r="L8200">
        <f>IF(AND($J8200=0,$K8200=0),0,1)</f>
        <v>1</v>
      </c>
    </row>
    <row r="8201" spans="1:12" x14ac:dyDescent="0.2">
      <c r="A8201" t="s">
        <v>202</v>
      </c>
      <c r="B8201" t="s">
        <v>133</v>
      </c>
      <c r="C8201" t="s">
        <v>2</v>
      </c>
      <c r="D8201">
        <v>3596</v>
      </c>
      <c r="E8201">
        <v>2019</v>
      </c>
      <c r="F8201">
        <v>1</v>
      </c>
      <c r="G8201">
        <v>261</v>
      </c>
      <c r="H8201" s="1" t="s">
        <v>1823</v>
      </c>
      <c r="I8201">
        <v>9</v>
      </c>
      <c r="J8201">
        <f>IF($H8201=0,1,IF($I8201&lt;=1,2,0))</f>
        <v>0</v>
      </c>
      <c r="K8201">
        <v>7</v>
      </c>
      <c r="L8201">
        <f>IF(AND($J8201=0,$K8201=0),0,1)</f>
        <v>1</v>
      </c>
    </row>
    <row r="8202" spans="1:12" x14ac:dyDescent="0.2">
      <c r="A8202" t="s">
        <v>202</v>
      </c>
      <c r="B8202" t="s">
        <v>133</v>
      </c>
      <c r="C8202" t="s">
        <v>2</v>
      </c>
      <c r="D8202">
        <v>3597</v>
      </c>
      <c r="E8202">
        <v>2019</v>
      </c>
      <c r="F8202">
        <v>6</v>
      </c>
      <c r="G8202">
        <v>7447</v>
      </c>
      <c r="H8202" s="1">
        <v>2</v>
      </c>
      <c r="I8202">
        <v>2</v>
      </c>
      <c r="J8202">
        <f>IF($H8202=0,1,IF($I8202&lt;=1,2,0))</f>
        <v>0</v>
      </c>
      <c r="K8202">
        <v>7</v>
      </c>
      <c r="L8202">
        <f>IF(AND($J8202=0,$K8202=0),0,1)</f>
        <v>1</v>
      </c>
    </row>
    <row r="8203" spans="1:12" x14ac:dyDescent="0.2">
      <c r="A8203" t="s">
        <v>202</v>
      </c>
      <c r="B8203" t="s">
        <v>133</v>
      </c>
      <c r="C8203" t="s">
        <v>2</v>
      </c>
      <c r="D8203">
        <v>3597</v>
      </c>
      <c r="E8203">
        <v>2019</v>
      </c>
      <c r="F8203">
        <v>7</v>
      </c>
      <c r="G8203">
        <v>7417</v>
      </c>
      <c r="H8203" s="1">
        <v>2</v>
      </c>
      <c r="I8203">
        <v>2</v>
      </c>
      <c r="J8203">
        <f>IF($H8203=0,1,IF($I8203&lt;=1,2,0))</f>
        <v>0</v>
      </c>
      <c r="K8203">
        <v>7</v>
      </c>
      <c r="L8203">
        <f>IF(AND($J8203=0,$K8203=0),0,1)</f>
        <v>1</v>
      </c>
    </row>
    <row r="8204" spans="1:12" x14ac:dyDescent="0.2">
      <c r="A8204" t="s">
        <v>202</v>
      </c>
      <c r="B8204" t="s">
        <v>133</v>
      </c>
      <c r="C8204" t="s">
        <v>2</v>
      </c>
      <c r="D8204">
        <v>3597</v>
      </c>
      <c r="E8204">
        <v>2019</v>
      </c>
      <c r="F8204">
        <v>9</v>
      </c>
      <c r="G8204">
        <v>7419</v>
      </c>
      <c r="H8204" s="1">
        <v>2</v>
      </c>
      <c r="I8204">
        <v>2</v>
      </c>
      <c r="J8204">
        <f>IF($H8204=0,1,IF($I8204&lt;=1,2,0))</f>
        <v>0</v>
      </c>
      <c r="K8204">
        <v>7</v>
      </c>
      <c r="L8204">
        <f>IF(AND($J8204=0,$K8204=0),0,1)</f>
        <v>1</v>
      </c>
    </row>
    <row r="8205" spans="1:12" x14ac:dyDescent="0.2">
      <c r="A8205" t="s">
        <v>202</v>
      </c>
      <c r="B8205" t="s">
        <v>133</v>
      </c>
      <c r="C8205" t="s">
        <v>2</v>
      </c>
      <c r="D8205">
        <v>3597</v>
      </c>
      <c r="E8205">
        <v>2019</v>
      </c>
      <c r="F8205">
        <v>10</v>
      </c>
      <c r="G8205">
        <v>175</v>
      </c>
      <c r="H8205" s="1">
        <v>2</v>
      </c>
      <c r="I8205">
        <v>2</v>
      </c>
      <c r="J8205">
        <f>IF($H8205=0,1,IF($I8205&lt;=1,2,0))</f>
        <v>0</v>
      </c>
      <c r="K8205">
        <v>7</v>
      </c>
      <c r="L8205">
        <f>IF(AND($J8205=0,$K8205=0),0,1)</f>
        <v>1</v>
      </c>
    </row>
    <row r="8206" spans="1:12" x14ac:dyDescent="0.2">
      <c r="A8206" t="s">
        <v>202</v>
      </c>
      <c r="B8206" t="s">
        <v>133</v>
      </c>
      <c r="C8206" t="s">
        <v>2</v>
      </c>
      <c r="D8206">
        <v>3597</v>
      </c>
      <c r="E8206">
        <v>2019</v>
      </c>
      <c r="F8206">
        <v>3</v>
      </c>
      <c r="G8206">
        <v>7413</v>
      </c>
      <c r="H8206" s="1">
        <v>2</v>
      </c>
      <c r="I8206">
        <v>1</v>
      </c>
      <c r="J8206">
        <f>IF($H8206=0,1,IF($I8206&lt;=1,2,0))</f>
        <v>2</v>
      </c>
      <c r="K8206">
        <v>7</v>
      </c>
      <c r="L8206">
        <f>IF(AND($J8206=0,$K8206=0),0,1)</f>
        <v>1</v>
      </c>
    </row>
    <row r="8207" spans="1:12" x14ac:dyDescent="0.2">
      <c r="A8207" t="s">
        <v>202</v>
      </c>
      <c r="B8207" t="s">
        <v>133</v>
      </c>
      <c r="C8207" t="s">
        <v>2</v>
      </c>
      <c r="D8207">
        <v>3597</v>
      </c>
      <c r="E8207">
        <v>2019</v>
      </c>
      <c r="F8207">
        <v>8</v>
      </c>
      <c r="G8207">
        <v>7418</v>
      </c>
      <c r="H8207" s="1">
        <v>2</v>
      </c>
      <c r="I8207">
        <v>1</v>
      </c>
      <c r="J8207">
        <f>IF($H8207=0,1,IF($I8207&lt;=1,2,0))</f>
        <v>2</v>
      </c>
      <c r="K8207">
        <v>7</v>
      </c>
      <c r="L8207">
        <f>IF(AND($J8207=0,$K8207=0),0,1)</f>
        <v>1</v>
      </c>
    </row>
    <row r="8208" spans="1:12" x14ac:dyDescent="0.2">
      <c r="A8208" t="s">
        <v>202</v>
      </c>
      <c r="B8208" t="s">
        <v>133</v>
      </c>
      <c r="C8208" t="s">
        <v>2</v>
      </c>
      <c r="D8208">
        <v>3597</v>
      </c>
      <c r="E8208">
        <v>2019</v>
      </c>
      <c r="F8208">
        <v>1</v>
      </c>
      <c r="G8208">
        <v>7411</v>
      </c>
      <c r="H8208" s="1">
        <v>2</v>
      </c>
      <c r="I8208">
        <v>0</v>
      </c>
      <c r="J8208">
        <f>IF($H8208=0,1,IF($I8208&lt;=1,2,0))</f>
        <v>2</v>
      </c>
      <c r="K8208">
        <v>7</v>
      </c>
      <c r="L8208">
        <f>IF(AND($J8208=0,$K8208=0),0,1)</f>
        <v>1</v>
      </c>
    </row>
    <row r="8209" spans="1:12" x14ac:dyDescent="0.2">
      <c r="A8209" t="s">
        <v>202</v>
      </c>
      <c r="B8209" t="s">
        <v>133</v>
      </c>
      <c r="C8209" t="s">
        <v>2</v>
      </c>
      <c r="D8209">
        <v>3597</v>
      </c>
      <c r="E8209">
        <v>2019</v>
      </c>
      <c r="F8209">
        <v>2</v>
      </c>
      <c r="G8209">
        <v>7412</v>
      </c>
      <c r="H8209" s="1">
        <v>2</v>
      </c>
      <c r="I8209">
        <v>0</v>
      </c>
      <c r="J8209">
        <f>IF($H8209=0,1,IF($I8209&lt;=1,2,0))</f>
        <v>2</v>
      </c>
      <c r="K8209">
        <v>7</v>
      </c>
      <c r="L8209">
        <f>IF(AND($J8209=0,$K8209=0),0,1)</f>
        <v>1</v>
      </c>
    </row>
    <row r="8210" spans="1:12" x14ac:dyDescent="0.2">
      <c r="A8210" t="s">
        <v>202</v>
      </c>
      <c r="B8210" t="s">
        <v>133</v>
      </c>
      <c r="C8210" t="s">
        <v>2</v>
      </c>
      <c r="D8210">
        <v>3597</v>
      </c>
      <c r="E8210">
        <v>2019</v>
      </c>
      <c r="F8210">
        <v>4</v>
      </c>
      <c r="G8210">
        <v>7414</v>
      </c>
      <c r="H8210" s="1">
        <v>2</v>
      </c>
      <c r="I8210">
        <v>0</v>
      </c>
      <c r="J8210">
        <f>IF($H8210=0,1,IF($I8210&lt;=1,2,0))</f>
        <v>2</v>
      </c>
      <c r="K8210">
        <v>7</v>
      </c>
      <c r="L8210">
        <f>IF(AND($J8210=0,$K8210=0),0,1)</f>
        <v>1</v>
      </c>
    </row>
    <row r="8211" spans="1:12" x14ac:dyDescent="0.2">
      <c r="A8211" t="s">
        <v>202</v>
      </c>
      <c r="B8211" t="s">
        <v>133</v>
      </c>
      <c r="C8211" t="s">
        <v>2</v>
      </c>
      <c r="D8211">
        <v>3597</v>
      </c>
      <c r="E8211">
        <v>2019</v>
      </c>
      <c r="F8211">
        <v>5</v>
      </c>
      <c r="G8211">
        <v>7415</v>
      </c>
      <c r="H8211" s="1">
        <v>2</v>
      </c>
      <c r="I8211">
        <v>0</v>
      </c>
      <c r="J8211">
        <f>IF($H8211=0,1,IF($I8211&lt;=1,2,0))</f>
        <v>2</v>
      </c>
      <c r="K8211">
        <v>7</v>
      </c>
      <c r="L8211">
        <f>IF(AND($J8211=0,$K8211=0),0,1)</f>
        <v>1</v>
      </c>
    </row>
    <row r="8212" spans="1:12" x14ac:dyDescent="0.2">
      <c r="A8212" t="s">
        <v>202</v>
      </c>
      <c r="B8212" t="s">
        <v>133</v>
      </c>
      <c r="C8212" t="s">
        <v>2</v>
      </c>
      <c r="D8212">
        <v>3597</v>
      </c>
      <c r="E8212">
        <v>2019</v>
      </c>
      <c r="F8212">
        <v>11</v>
      </c>
      <c r="G8212">
        <v>176</v>
      </c>
      <c r="H8212" s="1">
        <v>2</v>
      </c>
      <c r="I8212">
        <v>0</v>
      </c>
      <c r="J8212">
        <f>IF($H8212=0,1,IF($I8212&lt;=1,2,0))</f>
        <v>2</v>
      </c>
      <c r="K8212">
        <v>7</v>
      </c>
      <c r="L8212">
        <f>IF(AND($J8212=0,$K8212=0),0,1)</f>
        <v>1</v>
      </c>
    </row>
    <row r="8213" spans="1:12" x14ac:dyDescent="0.2">
      <c r="A8213" t="s">
        <v>202</v>
      </c>
      <c r="B8213" t="s">
        <v>133</v>
      </c>
      <c r="C8213" t="s">
        <v>2</v>
      </c>
      <c r="D8213">
        <v>3599</v>
      </c>
      <c r="E8213">
        <v>2019</v>
      </c>
      <c r="F8213">
        <v>9</v>
      </c>
      <c r="G8213">
        <v>7445</v>
      </c>
      <c r="H8213" s="1">
        <v>4</v>
      </c>
      <c r="I8213">
        <v>4</v>
      </c>
      <c r="J8213">
        <f>IF($H8213=0,1,IF($I8213&lt;=1,2,0))</f>
        <v>0</v>
      </c>
      <c r="K8213">
        <v>7</v>
      </c>
      <c r="L8213">
        <f>IF(AND($J8213=0,$K8213=0),0,1)</f>
        <v>1</v>
      </c>
    </row>
    <row r="8214" spans="1:12" x14ac:dyDescent="0.2">
      <c r="A8214" t="s">
        <v>202</v>
      </c>
      <c r="B8214" t="s">
        <v>133</v>
      </c>
      <c r="C8214" t="s">
        <v>2</v>
      </c>
      <c r="D8214">
        <v>3599</v>
      </c>
      <c r="E8214">
        <v>2019</v>
      </c>
      <c r="F8214">
        <v>4</v>
      </c>
      <c r="G8214">
        <v>7440</v>
      </c>
      <c r="H8214" s="1">
        <v>4</v>
      </c>
      <c r="I8214">
        <v>2</v>
      </c>
      <c r="J8214">
        <f>IF($H8214=0,1,IF($I8214&lt;=1,2,0))</f>
        <v>0</v>
      </c>
      <c r="K8214">
        <v>7</v>
      </c>
      <c r="L8214">
        <f>IF(AND($J8214=0,$K8214=0),0,1)</f>
        <v>1</v>
      </c>
    </row>
    <row r="8215" spans="1:12" x14ac:dyDescent="0.2">
      <c r="A8215" t="s">
        <v>202</v>
      </c>
      <c r="B8215" t="s">
        <v>133</v>
      </c>
      <c r="C8215" t="s">
        <v>2</v>
      </c>
      <c r="D8215">
        <v>3599</v>
      </c>
      <c r="E8215">
        <v>2019</v>
      </c>
      <c r="F8215">
        <v>5</v>
      </c>
      <c r="G8215">
        <v>7441</v>
      </c>
      <c r="H8215" s="1">
        <v>4</v>
      </c>
      <c r="I8215">
        <v>1</v>
      </c>
      <c r="J8215">
        <f>IF($H8215=0,1,IF($I8215&lt;=1,2,0))</f>
        <v>2</v>
      </c>
      <c r="K8215">
        <v>7</v>
      </c>
      <c r="L8215">
        <f>IF(AND($J8215=0,$K8215=0),0,1)</f>
        <v>1</v>
      </c>
    </row>
    <row r="8216" spans="1:12" x14ac:dyDescent="0.2">
      <c r="A8216" t="s">
        <v>202</v>
      </c>
      <c r="B8216" t="s">
        <v>133</v>
      </c>
      <c r="C8216" t="s">
        <v>2</v>
      </c>
      <c r="D8216">
        <v>3599</v>
      </c>
      <c r="E8216">
        <v>2019</v>
      </c>
      <c r="F8216">
        <v>6</v>
      </c>
      <c r="G8216">
        <v>7448</v>
      </c>
      <c r="H8216" s="1">
        <v>4</v>
      </c>
      <c r="I8216">
        <v>1</v>
      </c>
      <c r="J8216">
        <f>IF($H8216=0,1,IF($I8216&lt;=1,2,0))</f>
        <v>2</v>
      </c>
      <c r="K8216">
        <v>7</v>
      </c>
      <c r="L8216">
        <f>IF(AND($J8216=0,$K8216=0),0,1)</f>
        <v>1</v>
      </c>
    </row>
    <row r="8217" spans="1:12" x14ac:dyDescent="0.2">
      <c r="A8217" t="s">
        <v>202</v>
      </c>
      <c r="B8217" t="s">
        <v>133</v>
      </c>
      <c r="C8217" t="s">
        <v>2</v>
      </c>
      <c r="D8217">
        <v>3599</v>
      </c>
      <c r="E8217">
        <v>2019</v>
      </c>
      <c r="F8217">
        <v>1</v>
      </c>
      <c r="G8217">
        <v>7437</v>
      </c>
      <c r="H8217" s="1">
        <v>4</v>
      </c>
      <c r="I8217">
        <v>0</v>
      </c>
      <c r="J8217">
        <f>IF($H8217=0,1,IF($I8217&lt;=1,2,0))</f>
        <v>2</v>
      </c>
      <c r="K8217">
        <v>7</v>
      </c>
      <c r="L8217">
        <f>IF(AND($J8217=0,$K8217=0),0,1)</f>
        <v>1</v>
      </c>
    </row>
    <row r="8218" spans="1:12" x14ac:dyDescent="0.2">
      <c r="A8218" t="s">
        <v>202</v>
      </c>
      <c r="B8218" t="s">
        <v>133</v>
      </c>
      <c r="C8218" t="s">
        <v>2</v>
      </c>
      <c r="D8218">
        <v>3599</v>
      </c>
      <c r="E8218">
        <v>2019</v>
      </c>
      <c r="F8218">
        <v>2</v>
      </c>
      <c r="G8218">
        <v>7438</v>
      </c>
      <c r="H8218" s="1">
        <v>4</v>
      </c>
      <c r="I8218">
        <v>0</v>
      </c>
      <c r="J8218">
        <f>IF($H8218=0,1,IF($I8218&lt;=1,2,0))</f>
        <v>2</v>
      </c>
      <c r="K8218">
        <v>7</v>
      </c>
      <c r="L8218">
        <f>IF(AND($J8218=0,$K8218=0),0,1)</f>
        <v>1</v>
      </c>
    </row>
    <row r="8219" spans="1:12" x14ac:dyDescent="0.2">
      <c r="A8219" t="s">
        <v>202</v>
      </c>
      <c r="B8219" t="s">
        <v>133</v>
      </c>
      <c r="C8219" t="s">
        <v>2</v>
      </c>
      <c r="D8219">
        <v>3599</v>
      </c>
      <c r="E8219">
        <v>2019</v>
      </c>
      <c r="F8219">
        <v>3</v>
      </c>
      <c r="G8219">
        <v>7439</v>
      </c>
      <c r="H8219" s="1">
        <v>4</v>
      </c>
      <c r="I8219">
        <v>0</v>
      </c>
      <c r="J8219">
        <f>IF($H8219=0,1,IF($I8219&lt;=1,2,0))</f>
        <v>2</v>
      </c>
      <c r="K8219">
        <v>7</v>
      </c>
      <c r="L8219">
        <f>IF(AND($J8219=0,$K8219=0),0,1)</f>
        <v>1</v>
      </c>
    </row>
    <row r="8220" spans="1:12" x14ac:dyDescent="0.2">
      <c r="A8220" t="s">
        <v>202</v>
      </c>
      <c r="B8220" t="s">
        <v>133</v>
      </c>
      <c r="C8220" t="s">
        <v>2</v>
      </c>
      <c r="D8220">
        <v>3599</v>
      </c>
      <c r="E8220">
        <v>2019</v>
      </c>
      <c r="F8220">
        <v>7</v>
      </c>
      <c r="G8220">
        <v>7443</v>
      </c>
      <c r="H8220" s="1">
        <v>4</v>
      </c>
      <c r="I8220">
        <v>0</v>
      </c>
      <c r="J8220">
        <f>IF($H8220=0,1,IF($I8220&lt;=1,2,0))</f>
        <v>2</v>
      </c>
      <c r="K8220">
        <v>7</v>
      </c>
      <c r="L8220">
        <f>IF(AND($J8220=0,$K8220=0),0,1)</f>
        <v>1</v>
      </c>
    </row>
    <row r="8221" spans="1:12" x14ac:dyDescent="0.2">
      <c r="A8221" t="s">
        <v>202</v>
      </c>
      <c r="B8221" t="s">
        <v>133</v>
      </c>
      <c r="C8221" t="s">
        <v>2</v>
      </c>
      <c r="D8221">
        <v>3599</v>
      </c>
      <c r="E8221">
        <v>2019</v>
      </c>
      <c r="F8221">
        <v>8</v>
      </c>
      <c r="G8221">
        <v>7444</v>
      </c>
      <c r="H8221" s="1">
        <v>4</v>
      </c>
      <c r="I8221">
        <v>0</v>
      </c>
      <c r="J8221">
        <f>IF($H8221=0,1,IF($I8221&lt;=1,2,0))</f>
        <v>2</v>
      </c>
      <c r="K8221">
        <v>7</v>
      </c>
      <c r="L8221">
        <f>IF(AND($J8221=0,$K8221=0),0,1)</f>
        <v>1</v>
      </c>
    </row>
    <row r="8222" spans="1:12" x14ac:dyDescent="0.2">
      <c r="A8222" t="s">
        <v>202</v>
      </c>
      <c r="B8222" t="s">
        <v>133</v>
      </c>
      <c r="C8222" t="s">
        <v>2</v>
      </c>
      <c r="D8222">
        <v>3901</v>
      </c>
      <c r="E8222">
        <v>2019</v>
      </c>
      <c r="F8222">
        <v>1</v>
      </c>
      <c r="G8222">
        <v>7394</v>
      </c>
      <c r="H8222" s="1">
        <v>4</v>
      </c>
      <c r="I8222">
        <v>13</v>
      </c>
      <c r="J8222">
        <f>IF($H8222=0,1,IF($I8222&lt;=1,2,0))</f>
        <v>0</v>
      </c>
      <c r="K8222">
        <v>7</v>
      </c>
      <c r="L8222">
        <f>IF(AND($J8222=0,$K8222=0),0,1)</f>
        <v>1</v>
      </c>
    </row>
    <row r="8223" spans="1:12" x14ac:dyDescent="0.2">
      <c r="A8223" t="s">
        <v>202</v>
      </c>
      <c r="B8223" t="s">
        <v>133</v>
      </c>
      <c r="C8223" t="s">
        <v>2</v>
      </c>
      <c r="D8223">
        <v>3903</v>
      </c>
      <c r="E8223">
        <v>2019</v>
      </c>
      <c r="F8223">
        <v>7</v>
      </c>
      <c r="G8223">
        <v>7426</v>
      </c>
      <c r="H8223" s="1">
        <v>0</v>
      </c>
      <c r="I8223">
        <v>5</v>
      </c>
      <c r="J8223">
        <f>IF($H8223=0,1,IF($I8223&lt;=1,2,0))</f>
        <v>1</v>
      </c>
      <c r="K8223">
        <v>7</v>
      </c>
      <c r="L8223">
        <f>IF(AND($J8223=0,$K8223=0),0,1)</f>
        <v>1</v>
      </c>
    </row>
    <row r="8224" spans="1:12" x14ac:dyDescent="0.2">
      <c r="A8224" t="s">
        <v>202</v>
      </c>
      <c r="B8224" t="s">
        <v>133</v>
      </c>
      <c r="C8224" t="s">
        <v>2</v>
      </c>
      <c r="D8224">
        <v>3903</v>
      </c>
      <c r="E8224">
        <v>2019</v>
      </c>
      <c r="F8224">
        <v>1</v>
      </c>
      <c r="G8224">
        <v>7420</v>
      </c>
      <c r="H8224" s="1">
        <v>0</v>
      </c>
      <c r="I8224">
        <v>3</v>
      </c>
      <c r="J8224">
        <f>IF($H8224=0,1,IF($I8224&lt;=1,2,0))</f>
        <v>1</v>
      </c>
      <c r="K8224">
        <v>7</v>
      </c>
      <c r="L8224">
        <f>IF(AND($J8224=0,$K8224=0),0,1)</f>
        <v>1</v>
      </c>
    </row>
    <row r="8225" spans="1:12" x14ac:dyDescent="0.2">
      <c r="A8225" t="s">
        <v>202</v>
      </c>
      <c r="B8225" t="s">
        <v>133</v>
      </c>
      <c r="C8225" t="s">
        <v>2</v>
      </c>
      <c r="D8225">
        <v>3903</v>
      </c>
      <c r="E8225">
        <v>2019</v>
      </c>
      <c r="F8225">
        <v>9</v>
      </c>
      <c r="G8225">
        <v>7428</v>
      </c>
      <c r="H8225" s="1">
        <v>0</v>
      </c>
      <c r="I8225">
        <v>3</v>
      </c>
      <c r="J8225">
        <f>IF($H8225=0,1,IF($I8225&lt;=1,2,0))</f>
        <v>1</v>
      </c>
      <c r="K8225">
        <v>7</v>
      </c>
      <c r="L8225">
        <f>IF(AND($J8225=0,$K8225=0),0,1)</f>
        <v>1</v>
      </c>
    </row>
    <row r="8226" spans="1:12" x14ac:dyDescent="0.2">
      <c r="A8226" t="s">
        <v>202</v>
      </c>
      <c r="B8226" t="s">
        <v>133</v>
      </c>
      <c r="C8226" t="s">
        <v>2</v>
      </c>
      <c r="D8226">
        <v>3903</v>
      </c>
      <c r="E8226">
        <v>2019</v>
      </c>
      <c r="F8226">
        <v>2</v>
      </c>
      <c r="G8226">
        <v>7421</v>
      </c>
      <c r="H8226" s="1">
        <v>0</v>
      </c>
      <c r="I8226">
        <v>1</v>
      </c>
      <c r="J8226">
        <f>IF($H8226=0,1,IF($I8226&lt;=1,2,0))</f>
        <v>1</v>
      </c>
      <c r="K8226">
        <v>7</v>
      </c>
      <c r="L8226">
        <f>IF(AND($J8226=0,$K8226=0),0,1)</f>
        <v>1</v>
      </c>
    </row>
    <row r="8227" spans="1:12" x14ac:dyDescent="0.2">
      <c r="A8227" t="s">
        <v>202</v>
      </c>
      <c r="B8227" t="s">
        <v>133</v>
      </c>
      <c r="C8227" t="s">
        <v>2</v>
      </c>
      <c r="D8227">
        <v>3903</v>
      </c>
      <c r="E8227">
        <v>2019</v>
      </c>
      <c r="F8227">
        <v>4</v>
      </c>
      <c r="G8227">
        <v>7423</v>
      </c>
      <c r="H8227" s="1">
        <v>0</v>
      </c>
      <c r="I8227">
        <v>1</v>
      </c>
      <c r="J8227">
        <f>IF($H8227=0,1,IF($I8227&lt;=1,2,0))</f>
        <v>1</v>
      </c>
      <c r="K8227">
        <v>7</v>
      </c>
      <c r="L8227">
        <f>IF(AND($J8227=0,$K8227=0),0,1)</f>
        <v>1</v>
      </c>
    </row>
    <row r="8228" spans="1:12" x14ac:dyDescent="0.2">
      <c r="A8228" t="s">
        <v>202</v>
      </c>
      <c r="B8228" t="s">
        <v>133</v>
      </c>
      <c r="C8228" t="s">
        <v>2</v>
      </c>
      <c r="D8228">
        <v>3903</v>
      </c>
      <c r="E8228">
        <v>2019</v>
      </c>
      <c r="F8228">
        <v>3</v>
      </c>
      <c r="G8228">
        <v>7422</v>
      </c>
      <c r="H8228" s="1">
        <v>0</v>
      </c>
      <c r="I8228">
        <v>0</v>
      </c>
      <c r="J8228">
        <f>IF($H8228=0,1,IF($I8228&lt;=1,2,0))</f>
        <v>1</v>
      </c>
      <c r="K8228">
        <v>7</v>
      </c>
      <c r="L8228">
        <f>IF(AND($J8228=0,$K8228=0),0,1)</f>
        <v>1</v>
      </c>
    </row>
    <row r="8229" spans="1:12" x14ac:dyDescent="0.2">
      <c r="A8229" t="s">
        <v>202</v>
      </c>
      <c r="B8229" t="s">
        <v>133</v>
      </c>
      <c r="C8229" t="s">
        <v>2</v>
      </c>
      <c r="D8229">
        <v>3903</v>
      </c>
      <c r="E8229">
        <v>2019</v>
      </c>
      <c r="F8229">
        <v>5</v>
      </c>
      <c r="G8229">
        <v>7424</v>
      </c>
      <c r="H8229" s="1">
        <v>0</v>
      </c>
      <c r="I8229">
        <v>0</v>
      </c>
      <c r="J8229">
        <f>IF($H8229=0,1,IF($I8229&lt;=1,2,0))</f>
        <v>1</v>
      </c>
      <c r="K8229">
        <v>7</v>
      </c>
      <c r="L8229">
        <f>IF(AND($J8229=0,$K8229=0),0,1)</f>
        <v>1</v>
      </c>
    </row>
    <row r="8230" spans="1:12" x14ac:dyDescent="0.2">
      <c r="A8230" t="s">
        <v>202</v>
      </c>
      <c r="B8230" t="s">
        <v>133</v>
      </c>
      <c r="C8230" t="s">
        <v>2</v>
      </c>
      <c r="D8230">
        <v>3903</v>
      </c>
      <c r="E8230">
        <v>2019</v>
      </c>
      <c r="F8230">
        <v>8</v>
      </c>
      <c r="G8230">
        <v>7427</v>
      </c>
      <c r="H8230" s="1">
        <v>0</v>
      </c>
      <c r="I8230">
        <v>0</v>
      </c>
      <c r="J8230">
        <f>IF($H8230=0,1,IF($I8230&lt;=1,2,0))</f>
        <v>1</v>
      </c>
      <c r="K8230">
        <v>7</v>
      </c>
      <c r="L8230">
        <f>IF(AND($J8230=0,$K8230=0),0,1)</f>
        <v>1</v>
      </c>
    </row>
    <row r="8231" spans="1:12" x14ac:dyDescent="0.2">
      <c r="A8231" t="s">
        <v>202</v>
      </c>
      <c r="B8231" t="s">
        <v>133</v>
      </c>
      <c r="C8231" t="s">
        <v>11</v>
      </c>
      <c r="D8231">
        <v>9307</v>
      </c>
      <c r="E8231">
        <v>2019</v>
      </c>
      <c r="F8231">
        <v>1</v>
      </c>
      <c r="G8231">
        <v>99375</v>
      </c>
      <c r="H8231" s="1" t="s">
        <v>1834</v>
      </c>
      <c r="I8231">
        <v>110</v>
      </c>
      <c r="J8231">
        <f>IF($H8231=0,1,IF($I8231&lt;=1,2,0))</f>
        <v>0</v>
      </c>
      <c r="K8231">
        <v>5</v>
      </c>
      <c r="L8231">
        <f>IF(AND($J8231=0,$K8231=0),0,1)</f>
        <v>1</v>
      </c>
    </row>
    <row r="8232" spans="1:12" x14ac:dyDescent="0.2">
      <c r="A8232" t="s">
        <v>210</v>
      </c>
      <c r="B8232" t="s">
        <v>71</v>
      </c>
      <c r="C8232" t="s">
        <v>72</v>
      </c>
      <c r="D8232">
        <v>3900</v>
      </c>
      <c r="E8232">
        <v>2019</v>
      </c>
      <c r="F8232">
        <v>13</v>
      </c>
      <c r="G8232">
        <v>20332</v>
      </c>
      <c r="H8232" s="1" t="s">
        <v>1836</v>
      </c>
      <c r="I8232">
        <v>4</v>
      </c>
      <c r="J8232">
        <f>IF($H8232=0,1,IF($I8232&lt;=1,2,0))</f>
        <v>0</v>
      </c>
      <c r="K8232">
        <v>9</v>
      </c>
      <c r="L8232">
        <f>IF(AND($J8232=0,$K8232=0),0,1)</f>
        <v>1</v>
      </c>
    </row>
    <row r="8233" spans="1:12" x14ac:dyDescent="0.2">
      <c r="A8233" t="s">
        <v>210</v>
      </c>
      <c r="B8233" t="s">
        <v>71</v>
      </c>
      <c r="C8233" t="s">
        <v>72</v>
      </c>
      <c r="D8233">
        <v>3900</v>
      </c>
      <c r="E8233">
        <v>2019</v>
      </c>
      <c r="F8233">
        <v>6</v>
      </c>
      <c r="G8233">
        <v>20339</v>
      </c>
      <c r="H8233" s="1" t="s">
        <v>1836</v>
      </c>
      <c r="I8233">
        <v>3</v>
      </c>
      <c r="J8233">
        <f>IF($H8233=0,1,IF($I8233&lt;=1,2,0))</f>
        <v>0</v>
      </c>
      <c r="K8233">
        <v>9</v>
      </c>
      <c r="L8233">
        <f>IF(AND($J8233=0,$K8233=0),0,1)</f>
        <v>1</v>
      </c>
    </row>
    <row r="8234" spans="1:12" x14ac:dyDescent="0.2">
      <c r="A8234" t="s">
        <v>210</v>
      </c>
      <c r="B8234" t="s">
        <v>71</v>
      </c>
      <c r="C8234" t="s">
        <v>72</v>
      </c>
      <c r="D8234">
        <v>3900</v>
      </c>
      <c r="E8234">
        <v>2019</v>
      </c>
      <c r="F8234">
        <v>11</v>
      </c>
      <c r="G8234">
        <v>20334</v>
      </c>
      <c r="H8234" s="1" t="s">
        <v>1836</v>
      </c>
      <c r="I8234">
        <v>3</v>
      </c>
      <c r="J8234">
        <f>IF($H8234=0,1,IF($I8234&lt;=1,2,0))</f>
        <v>0</v>
      </c>
      <c r="K8234">
        <v>9</v>
      </c>
      <c r="L8234">
        <f>IF(AND($J8234=0,$K8234=0),0,1)</f>
        <v>1</v>
      </c>
    </row>
    <row r="8235" spans="1:12" x14ac:dyDescent="0.2">
      <c r="A8235" t="s">
        <v>210</v>
      </c>
      <c r="B8235" t="s">
        <v>71</v>
      </c>
      <c r="C8235" t="s">
        <v>72</v>
      </c>
      <c r="D8235">
        <v>3900</v>
      </c>
      <c r="E8235">
        <v>2019</v>
      </c>
      <c r="F8235">
        <v>18</v>
      </c>
      <c r="G8235">
        <v>51113</v>
      </c>
      <c r="H8235" s="1" t="s">
        <v>1836</v>
      </c>
      <c r="I8235">
        <v>3</v>
      </c>
      <c r="J8235">
        <f>IF($H8235=0,1,IF($I8235&lt;=1,2,0))</f>
        <v>0</v>
      </c>
      <c r="K8235">
        <v>9</v>
      </c>
      <c r="L8235">
        <f>IF(AND($J8235=0,$K8235=0),0,1)</f>
        <v>1</v>
      </c>
    </row>
    <row r="8236" spans="1:12" x14ac:dyDescent="0.2">
      <c r="A8236" t="s">
        <v>210</v>
      </c>
      <c r="B8236" t="s">
        <v>71</v>
      </c>
      <c r="C8236" t="s">
        <v>72</v>
      </c>
      <c r="D8236">
        <v>3900</v>
      </c>
      <c r="E8236">
        <v>2019</v>
      </c>
      <c r="F8236">
        <v>19</v>
      </c>
      <c r="G8236">
        <v>51114</v>
      </c>
      <c r="H8236" s="1" t="s">
        <v>1836</v>
      </c>
      <c r="I8236">
        <v>2</v>
      </c>
      <c r="J8236">
        <f>IF($H8236=0,1,IF($I8236&lt;=1,2,0))</f>
        <v>0</v>
      </c>
      <c r="K8236">
        <v>9</v>
      </c>
      <c r="L8236">
        <f>IF(AND($J8236=0,$K8236=0),0,1)</f>
        <v>1</v>
      </c>
    </row>
    <row r="8237" spans="1:12" x14ac:dyDescent="0.2">
      <c r="A8237" t="s">
        <v>210</v>
      </c>
      <c r="B8237" t="s">
        <v>71</v>
      </c>
      <c r="C8237" t="s">
        <v>72</v>
      </c>
      <c r="D8237">
        <v>3900</v>
      </c>
      <c r="E8237">
        <v>2019</v>
      </c>
      <c r="F8237">
        <v>2</v>
      </c>
      <c r="G8237">
        <v>20343</v>
      </c>
      <c r="H8237" s="1" t="s">
        <v>1836</v>
      </c>
      <c r="I8237">
        <v>1</v>
      </c>
      <c r="J8237">
        <f>IF($H8237=0,1,IF($I8237&lt;=1,2,0))</f>
        <v>2</v>
      </c>
      <c r="K8237">
        <v>9</v>
      </c>
      <c r="L8237">
        <f>IF(AND($J8237=0,$K8237=0),0,1)</f>
        <v>1</v>
      </c>
    </row>
    <row r="8238" spans="1:12" x14ac:dyDescent="0.2">
      <c r="A8238" t="s">
        <v>210</v>
      </c>
      <c r="B8238" t="s">
        <v>71</v>
      </c>
      <c r="C8238" t="s">
        <v>72</v>
      </c>
      <c r="D8238">
        <v>3900</v>
      </c>
      <c r="E8238">
        <v>2019</v>
      </c>
      <c r="F8238">
        <v>3</v>
      </c>
      <c r="G8238">
        <v>20342</v>
      </c>
      <c r="H8238" s="1" t="s">
        <v>1836</v>
      </c>
      <c r="I8238">
        <v>1</v>
      </c>
      <c r="J8238">
        <f>IF($H8238=0,1,IF($I8238&lt;=1,2,0))</f>
        <v>2</v>
      </c>
      <c r="K8238">
        <v>9</v>
      </c>
      <c r="L8238">
        <f>IF(AND($J8238=0,$K8238=0),0,1)</f>
        <v>1</v>
      </c>
    </row>
    <row r="8239" spans="1:12" x14ac:dyDescent="0.2">
      <c r="A8239" t="s">
        <v>210</v>
      </c>
      <c r="B8239" t="s">
        <v>71</v>
      </c>
      <c r="C8239" t="s">
        <v>72</v>
      </c>
      <c r="D8239">
        <v>3900</v>
      </c>
      <c r="E8239">
        <v>2019</v>
      </c>
      <c r="F8239">
        <v>7</v>
      </c>
      <c r="G8239">
        <v>20338</v>
      </c>
      <c r="H8239" s="1" t="s">
        <v>1836</v>
      </c>
      <c r="I8239">
        <v>1</v>
      </c>
      <c r="J8239">
        <f>IF($H8239=0,1,IF($I8239&lt;=1,2,0))</f>
        <v>2</v>
      </c>
      <c r="K8239">
        <v>9</v>
      </c>
      <c r="L8239">
        <f>IF(AND($J8239=0,$K8239=0),0,1)</f>
        <v>1</v>
      </c>
    </row>
    <row r="8240" spans="1:12" x14ac:dyDescent="0.2">
      <c r="A8240" t="s">
        <v>210</v>
      </c>
      <c r="B8240" t="s">
        <v>71</v>
      </c>
      <c r="C8240" t="s">
        <v>72</v>
      </c>
      <c r="D8240">
        <v>3900</v>
      </c>
      <c r="E8240">
        <v>2019</v>
      </c>
      <c r="F8240">
        <v>1</v>
      </c>
      <c r="G8240">
        <v>20344</v>
      </c>
      <c r="H8240" s="1" t="s">
        <v>1836</v>
      </c>
      <c r="I8240">
        <v>0</v>
      </c>
      <c r="J8240">
        <f>IF($H8240=0,1,IF($I8240&lt;=1,2,0))</f>
        <v>2</v>
      </c>
      <c r="K8240">
        <v>9</v>
      </c>
      <c r="L8240">
        <f>IF(AND($J8240=0,$K8240=0),0,1)</f>
        <v>1</v>
      </c>
    </row>
    <row r="8241" spans="1:13" x14ac:dyDescent="0.2">
      <c r="A8241" t="s">
        <v>210</v>
      </c>
      <c r="B8241" t="s">
        <v>71</v>
      </c>
      <c r="C8241" t="s">
        <v>72</v>
      </c>
      <c r="D8241">
        <v>3900</v>
      </c>
      <c r="E8241">
        <v>2019</v>
      </c>
      <c r="F8241">
        <v>4</v>
      </c>
      <c r="G8241">
        <v>20341</v>
      </c>
      <c r="H8241" s="1" t="s">
        <v>1836</v>
      </c>
      <c r="I8241">
        <v>0</v>
      </c>
      <c r="J8241">
        <f>IF($H8241=0,1,IF($I8241&lt;=1,2,0))</f>
        <v>2</v>
      </c>
      <c r="K8241">
        <v>9</v>
      </c>
      <c r="L8241">
        <f>IF(AND($J8241=0,$K8241=0),0,1)</f>
        <v>1</v>
      </c>
    </row>
    <row r="8242" spans="1:13" x14ac:dyDescent="0.2">
      <c r="A8242" t="s">
        <v>210</v>
      </c>
      <c r="B8242" t="s">
        <v>71</v>
      </c>
      <c r="C8242" t="s">
        <v>72</v>
      </c>
      <c r="D8242">
        <v>3900</v>
      </c>
      <c r="E8242">
        <v>2019</v>
      </c>
      <c r="F8242">
        <v>5</v>
      </c>
      <c r="G8242">
        <v>20340</v>
      </c>
      <c r="H8242" s="1" t="s">
        <v>1836</v>
      </c>
      <c r="I8242">
        <v>0</v>
      </c>
      <c r="J8242">
        <f>IF($H8242=0,1,IF($I8242&lt;=1,2,0))</f>
        <v>2</v>
      </c>
      <c r="K8242">
        <v>9</v>
      </c>
      <c r="L8242">
        <f>IF(AND($J8242=0,$K8242=0),0,1)</f>
        <v>1</v>
      </c>
    </row>
    <row r="8243" spans="1:13" x14ac:dyDescent="0.2">
      <c r="A8243" t="s">
        <v>210</v>
      </c>
      <c r="B8243" t="s">
        <v>71</v>
      </c>
      <c r="C8243" t="s">
        <v>72</v>
      </c>
      <c r="D8243">
        <v>3900</v>
      </c>
      <c r="E8243">
        <v>2019</v>
      </c>
      <c r="F8243">
        <v>8</v>
      </c>
      <c r="G8243">
        <v>20337</v>
      </c>
      <c r="H8243" s="1" t="s">
        <v>1836</v>
      </c>
      <c r="I8243">
        <v>0</v>
      </c>
      <c r="J8243">
        <f>IF($H8243=0,1,IF($I8243&lt;=1,2,0))</f>
        <v>2</v>
      </c>
      <c r="K8243">
        <v>9</v>
      </c>
      <c r="L8243">
        <f>IF(AND($J8243=0,$K8243=0),0,1)</f>
        <v>1</v>
      </c>
    </row>
    <row r="8244" spans="1:13" x14ac:dyDescent="0.2">
      <c r="A8244" t="s">
        <v>210</v>
      </c>
      <c r="B8244" t="s">
        <v>71</v>
      </c>
      <c r="C8244" t="s">
        <v>72</v>
      </c>
      <c r="D8244">
        <v>3900</v>
      </c>
      <c r="E8244">
        <v>2019</v>
      </c>
      <c r="F8244">
        <v>9</v>
      </c>
      <c r="G8244">
        <v>20336</v>
      </c>
      <c r="H8244" s="1" t="s">
        <v>1836</v>
      </c>
      <c r="I8244">
        <v>0</v>
      </c>
      <c r="J8244">
        <f>IF($H8244=0,1,IF($I8244&lt;=1,2,0))</f>
        <v>2</v>
      </c>
      <c r="K8244">
        <v>9</v>
      </c>
      <c r="L8244">
        <f>IF(AND($J8244=0,$K8244=0),0,1)</f>
        <v>1</v>
      </c>
    </row>
    <row r="8245" spans="1:13" x14ac:dyDescent="0.2">
      <c r="A8245" t="s">
        <v>210</v>
      </c>
      <c r="B8245" t="s">
        <v>71</v>
      </c>
      <c r="C8245" t="s">
        <v>72</v>
      </c>
      <c r="D8245">
        <v>3900</v>
      </c>
      <c r="E8245">
        <v>2019</v>
      </c>
      <c r="F8245">
        <v>10</v>
      </c>
      <c r="G8245">
        <v>20335</v>
      </c>
      <c r="H8245" s="1" t="s">
        <v>1836</v>
      </c>
      <c r="I8245">
        <v>0</v>
      </c>
      <c r="J8245">
        <f>IF($H8245=0,1,IF($I8245&lt;=1,2,0))</f>
        <v>2</v>
      </c>
      <c r="K8245">
        <v>9</v>
      </c>
      <c r="L8245">
        <f>IF(AND($J8245=0,$K8245=0),0,1)</f>
        <v>1</v>
      </c>
    </row>
    <row r="8246" spans="1:13" x14ac:dyDescent="0.2">
      <c r="A8246" t="s">
        <v>210</v>
      </c>
      <c r="B8246" t="s">
        <v>71</v>
      </c>
      <c r="C8246" t="s">
        <v>72</v>
      </c>
      <c r="D8246">
        <v>3900</v>
      </c>
      <c r="E8246">
        <v>2019</v>
      </c>
      <c r="F8246">
        <v>12</v>
      </c>
      <c r="G8246">
        <v>20333</v>
      </c>
      <c r="H8246" s="1" t="s">
        <v>1836</v>
      </c>
      <c r="I8246">
        <v>0</v>
      </c>
      <c r="J8246">
        <f>IF($H8246=0,1,IF($I8246&lt;=1,2,0))</f>
        <v>2</v>
      </c>
      <c r="K8246">
        <v>9</v>
      </c>
      <c r="L8246">
        <f>IF(AND($J8246=0,$K8246=0),0,1)</f>
        <v>1</v>
      </c>
    </row>
    <row r="8247" spans="1:13" x14ac:dyDescent="0.2">
      <c r="A8247" t="s">
        <v>210</v>
      </c>
      <c r="B8247" t="s">
        <v>71</v>
      </c>
      <c r="C8247" t="s">
        <v>72</v>
      </c>
      <c r="D8247">
        <v>3900</v>
      </c>
      <c r="E8247">
        <v>2019</v>
      </c>
      <c r="F8247">
        <v>14</v>
      </c>
      <c r="G8247">
        <v>20331</v>
      </c>
      <c r="H8247" s="1" t="s">
        <v>1836</v>
      </c>
      <c r="I8247">
        <v>0</v>
      </c>
      <c r="J8247">
        <f>IF($H8247=0,1,IF($I8247&lt;=1,2,0))</f>
        <v>2</v>
      </c>
      <c r="K8247">
        <v>9</v>
      </c>
      <c r="L8247">
        <f>IF(AND($J8247=0,$K8247=0),0,1)</f>
        <v>1</v>
      </c>
    </row>
    <row r="8248" spans="1:13" x14ac:dyDescent="0.2">
      <c r="A8248" t="s">
        <v>210</v>
      </c>
      <c r="B8248" t="s">
        <v>71</v>
      </c>
      <c r="C8248" t="s">
        <v>72</v>
      </c>
      <c r="D8248">
        <v>3900</v>
      </c>
      <c r="E8248">
        <v>2019</v>
      </c>
      <c r="F8248">
        <v>15</v>
      </c>
      <c r="G8248">
        <v>20330</v>
      </c>
      <c r="H8248" s="1" t="s">
        <v>1836</v>
      </c>
      <c r="I8248">
        <v>0</v>
      </c>
      <c r="J8248">
        <f>IF($H8248=0,1,IF($I8248&lt;=1,2,0))</f>
        <v>2</v>
      </c>
      <c r="K8248">
        <v>9</v>
      </c>
      <c r="L8248">
        <f>IF(AND($J8248=0,$K8248=0),0,1)</f>
        <v>1</v>
      </c>
    </row>
    <row r="8249" spans="1:13" x14ac:dyDescent="0.2">
      <c r="A8249" t="s">
        <v>210</v>
      </c>
      <c r="B8249" t="s">
        <v>71</v>
      </c>
      <c r="C8249" t="s">
        <v>72</v>
      </c>
      <c r="D8249">
        <v>3900</v>
      </c>
      <c r="E8249">
        <v>2019</v>
      </c>
      <c r="F8249">
        <v>16</v>
      </c>
      <c r="G8249">
        <v>20329</v>
      </c>
      <c r="H8249" s="1" t="s">
        <v>1836</v>
      </c>
      <c r="I8249">
        <v>0</v>
      </c>
      <c r="J8249">
        <f>IF($H8249=0,1,IF($I8249&lt;=1,2,0))</f>
        <v>2</v>
      </c>
      <c r="K8249">
        <v>9</v>
      </c>
      <c r="L8249">
        <f>IF(AND($J8249=0,$K8249=0),0,1)</f>
        <v>1</v>
      </c>
    </row>
    <row r="8250" spans="1:13" x14ac:dyDescent="0.2">
      <c r="A8250" t="s">
        <v>210</v>
      </c>
      <c r="B8250" t="s">
        <v>71</v>
      </c>
      <c r="C8250" t="s">
        <v>72</v>
      </c>
      <c r="D8250">
        <v>3900</v>
      </c>
      <c r="E8250">
        <v>2019</v>
      </c>
      <c r="F8250">
        <v>17</v>
      </c>
      <c r="G8250">
        <v>51112</v>
      </c>
      <c r="H8250" s="1" t="s">
        <v>1836</v>
      </c>
      <c r="I8250">
        <v>0</v>
      </c>
      <c r="J8250">
        <f>IF($H8250=0,1,IF($I8250&lt;=1,2,0))</f>
        <v>2</v>
      </c>
      <c r="K8250">
        <v>9</v>
      </c>
      <c r="L8250">
        <f>IF(AND($J8250=0,$K8250=0),0,1)</f>
        <v>1</v>
      </c>
      <c r="M8250" t="s">
        <v>211</v>
      </c>
    </row>
    <row r="8251" spans="1:13" x14ac:dyDescent="0.2">
      <c r="A8251" t="s">
        <v>210</v>
      </c>
      <c r="B8251" t="s">
        <v>71</v>
      </c>
      <c r="C8251" t="s">
        <v>72</v>
      </c>
      <c r="D8251">
        <v>3999</v>
      </c>
      <c r="E8251">
        <v>2019</v>
      </c>
      <c r="F8251">
        <v>1</v>
      </c>
      <c r="G8251">
        <v>20328</v>
      </c>
      <c r="H8251" s="1" t="s">
        <v>1837</v>
      </c>
      <c r="I8251">
        <v>0</v>
      </c>
      <c r="J8251">
        <f>IF($H8251=0,1,IF($I8251&lt;=1,2,0))</f>
        <v>2</v>
      </c>
      <c r="K8251">
        <v>9</v>
      </c>
      <c r="L8251">
        <f>IF(AND($J8251=0,$K8251=0),0,1)</f>
        <v>1</v>
      </c>
    </row>
    <row r="8252" spans="1:13" x14ac:dyDescent="0.2">
      <c r="A8252" t="s">
        <v>210</v>
      </c>
      <c r="B8252" t="s">
        <v>71</v>
      </c>
      <c r="C8252" t="s">
        <v>72</v>
      </c>
      <c r="D8252">
        <v>4001</v>
      </c>
      <c r="E8252">
        <v>2019</v>
      </c>
      <c r="F8252" t="s">
        <v>59</v>
      </c>
      <c r="G8252">
        <v>20281</v>
      </c>
      <c r="H8252" s="1">
        <v>3</v>
      </c>
      <c r="I8252">
        <v>0</v>
      </c>
      <c r="J8252">
        <f>IF($H8252=0,1,IF($I8252&lt;=1,2,0))</f>
        <v>2</v>
      </c>
      <c r="K8252">
        <v>0</v>
      </c>
      <c r="L8252">
        <f>IF(AND($J8252=0,$K8252=0),0,1)</f>
        <v>1</v>
      </c>
    </row>
    <row r="8253" spans="1:13" x14ac:dyDescent="0.2">
      <c r="A8253" t="s">
        <v>210</v>
      </c>
      <c r="B8253" t="s">
        <v>71</v>
      </c>
      <c r="C8253" t="s">
        <v>72</v>
      </c>
      <c r="D8253">
        <v>4002</v>
      </c>
      <c r="E8253">
        <v>2019</v>
      </c>
      <c r="F8253" t="s">
        <v>59</v>
      </c>
      <c r="G8253">
        <v>20326</v>
      </c>
      <c r="H8253" s="1">
        <v>3</v>
      </c>
      <c r="I8253">
        <v>0</v>
      </c>
      <c r="J8253">
        <f>IF($H8253=0,1,IF($I8253&lt;=1,2,0))</f>
        <v>2</v>
      </c>
      <c r="K8253">
        <v>0</v>
      </c>
      <c r="L8253">
        <f>IF(AND($J8253=0,$K8253=0),0,1)</f>
        <v>1</v>
      </c>
      <c r="M8253" t="s">
        <v>212</v>
      </c>
    </row>
    <row r="8254" spans="1:13" x14ac:dyDescent="0.2">
      <c r="A8254" t="s">
        <v>210</v>
      </c>
      <c r="B8254" t="s">
        <v>71</v>
      </c>
      <c r="C8254" t="s">
        <v>72</v>
      </c>
      <c r="D8254">
        <v>4500</v>
      </c>
      <c r="E8254">
        <v>2019</v>
      </c>
      <c r="F8254" t="s">
        <v>214</v>
      </c>
      <c r="G8254">
        <v>20322</v>
      </c>
      <c r="H8254" s="1">
        <v>4</v>
      </c>
      <c r="I8254">
        <v>0</v>
      </c>
      <c r="J8254">
        <f>IF($H8254=0,1,IF($I8254&lt;=1,2,0))</f>
        <v>2</v>
      </c>
      <c r="K8254">
        <v>0</v>
      </c>
      <c r="L8254">
        <f>IF(AND($J8254=0,$K8254=0),0,1)</f>
        <v>1</v>
      </c>
      <c r="M8254" t="s">
        <v>215</v>
      </c>
    </row>
    <row r="8255" spans="1:13" x14ac:dyDescent="0.2">
      <c r="A8255" t="s">
        <v>210</v>
      </c>
      <c r="B8255" t="s">
        <v>71</v>
      </c>
      <c r="C8255" t="s">
        <v>72</v>
      </c>
      <c r="D8255">
        <v>4999</v>
      </c>
      <c r="E8255">
        <v>2019</v>
      </c>
      <c r="F8255">
        <v>1</v>
      </c>
      <c r="G8255">
        <v>20320</v>
      </c>
      <c r="H8255" s="1" t="s">
        <v>1827</v>
      </c>
      <c r="I8255">
        <v>1</v>
      </c>
      <c r="J8255">
        <f>IF($H8255=0,1,IF($I8255&lt;=1,2,0))</f>
        <v>2</v>
      </c>
      <c r="K8255">
        <v>9</v>
      </c>
      <c r="L8255">
        <f>IF(AND($J8255=0,$K8255=0),0,1)</f>
        <v>1</v>
      </c>
    </row>
    <row r="8256" spans="1:13" x14ac:dyDescent="0.2">
      <c r="A8256" t="s">
        <v>210</v>
      </c>
      <c r="B8256" t="s">
        <v>71</v>
      </c>
      <c r="C8256" t="s">
        <v>72</v>
      </c>
      <c r="D8256">
        <v>6543</v>
      </c>
      <c r="E8256">
        <v>2019</v>
      </c>
      <c r="F8256">
        <v>1</v>
      </c>
      <c r="G8256">
        <v>20351</v>
      </c>
      <c r="H8256" s="1">
        <v>1</v>
      </c>
      <c r="I8256">
        <v>0</v>
      </c>
      <c r="J8256">
        <f>IF($H8256=0,1,IF($I8256&lt;=1,2,0))</f>
        <v>2</v>
      </c>
      <c r="K8256">
        <v>0</v>
      </c>
      <c r="L8256">
        <f>IF(AND($J8256=0,$K8256=0),0,1)</f>
        <v>1</v>
      </c>
    </row>
    <row r="8257" spans="1:12" x14ac:dyDescent="0.2">
      <c r="A8257" t="s">
        <v>210</v>
      </c>
      <c r="B8257" t="s">
        <v>71</v>
      </c>
      <c r="C8257" t="s">
        <v>72</v>
      </c>
      <c r="D8257">
        <v>9000</v>
      </c>
      <c r="E8257">
        <v>2019</v>
      </c>
      <c r="F8257">
        <v>1</v>
      </c>
      <c r="G8257">
        <v>20349</v>
      </c>
      <c r="H8257" s="1">
        <v>0</v>
      </c>
      <c r="I8257">
        <v>64</v>
      </c>
      <c r="J8257">
        <f>IF($H8257=0,1,IF($I8257&lt;=1,2,0))</f>
        <v>1</v>
      </c>
      <c r="K8257">
        <v>5</v>
      </c>
      <c r="L8257">
        <f>IF(AND($J8257=0,$K8257=0),0,1)</f>
        <v>1</v>
      </c>
    </row>
    <row r="8258" spans="1:12" x14ac:dyDescent="0.2">
      <c r="A8258" t="s">
        <v>210</v>
      </c>
      <c r="B8258" t="s">
        <v>71</v>
      </c>
      <c r="C8258" t="s">
        <v>72</v>
      </c>
      <c r="D8258">
        <v>9001</v>
      </c>
      <c r="E8258">
        <v>2019</v>
      </c>
      <c r="F8258">
        <v>1</v>
      </c>
      <c r="G8258">
        <v>20319</v>
      </c>
      <c r="H8258" s="1">
        <v>0</v>
      </c>
      <c r="I8258">
        <v>43</v>
      </c>
      <c r="J8258">
        <f>IF($H8258=0,1,IF($I8258&lt;=1,2,0))</f>
        <v>1</v>
      </c>
      <c r="K8258">
        <v>5</v>
      </c>
      <c r="L8258">
        <f>IF(AND($J8258=0,$K8258=0),0,1)</f>
        <v>1</v>
      </c>
    </row>
    <row r="8259" spans="1:12" x14ac:dyDescent="0.2">
      <c r="A8259" t="s">
        <v>210</v>
      </c>
      <c r="B8259" t="s">
        <v>71</v>
      </c>
      <c r="C8259" t="s">
        <v>72</v>
      </c>
      <c r="D8259">
        <v>9400</v>
      </c>
      <c r="E8259">
        <v>2019</v>
      </c>
      <c r="F8259">
        <v>7</v>
      </c>
      <c r="G8259">
        <v>20312</v>
      </c>
      <c r="H8259" s="1" t="s">
        <v>1828</v>
      </c>
      <c r="I8259">
        <v>4</v>
      </c>
      <c r="J8259">
        <f>IF($H8259=0,1,IF($I8259&lt;=1,2,0))</f>
        <v>0</v>
      </c>
      <c r="K8259">
        <v>5</v>
      </c>
      <c r="L8259">
        <f>IF(AND($J8259=0,$K8259=0),0,1)</f>
        <v>1</v>
      </c>
    </row>
    <row r="8260" spans="1:12" x14ac:dyDescent="0.2">
      <c r="A8260" t="s">
        <v>210</v>
      </c>
      <c r="B8260" t="s">
        <v>71</v>
      </c>
      <c r="C8260" t="s">
        <v>72</v>
      </c>
      <c r="D8260">
        <v>9400</v>
      </c>
      <c r="E8260">
        <v>2019</v>
      </c>
      <c r="F8260">
        <v>21</v>
      </c>
      <c r="G8260">
        <v>51109</v>
      </c>
      <c r="H8260" s="1" t="s">
        <v>1828</v>
      </c>
      <c r="I8260">
        <v>4</v>
      </c>
      <c r="J8260">
        <f>IF($H8260=0,1,IF($I8260&lt;=1,2,0))</f>
        <v>0</v>
      </c>
      <c r="K8260">
        <v>5</v>
      </c>
      <c r="L8260">
        <f>IF(AND($J8260=0,$K8260=0),0,1)</f>
        <v>1</v>
      </c>
    </row>
    <row r="8261" spans="1:12" x14ac:dyDescent="0.2">
      <c r="A8261" t="s">
        <v>210</v>
      </c>
      <c r="B8261" t="s">
        <v>71</v>
      </c>
      <c r="C8261" t="s">
        <v>72</v>
      </c>
      <c r="D8261">
        <v>9400</v>
      </c>
      <c r="E8261">
        <v>2019</v>
      </c>
      <c r="F8261">
        <v>1</v>
      </c>
      <c r="G8261">
        <v>20318</v>
      </c>
      <c r="H8261" s="1" t="s">
        <v>1828</v>
      </c>
      <c r="I8261">
        <v>3</v>
      </c>
      <c r="J8261">
        <f>IF($H8261=0,1,IF($I8261&lt;=1,2,0))</f>
        <v>0</v>
      </c>
      <c r="K8261">
        <v>5</v>
      </c>
      <c r="L8261">
        <f>IF(AND($J8261=0,$K8261=0),0,1)</f>
        <v>1</v>
      </c>
    </row>
    <row r="8262" spans="1:12" x14ac:dyDescent="0.2">
      <c r="A8262" t="s">
        <v>210</v>
      </c>
      <c r="B8262" t="s">
        <v>71</v>
      </c>
      <c r="C8262" t="s">
        <v>72</v>
      </c>
      <c r="D8262">
        <v>9400</v>
      </c>
      <c r="E8262">
        <v>2019</v>
      </c>
      <c r="F8262">
        <v>12</v>
      </c>
      <c r="G8262">
        <v>20307</v>
      </c>
      <c r="H8262" s="1" t="s">
        <v>1828</v>
      </c>
      <c r="I8262">
        <v>3</v>
      </c>
      <c r="J8262">
        <f>IF($H8262=0,1,IF($I8262&lt;=1,2,0))</f>
        <v>0</v>
      </c>
      <c r="K8262">
        <v>5</v>
      </c>
      <c r="L8262">
        <f>IF(AND($J8262=0,$K8262=0),0,1)</f>
        <v>1</v>
      </c>
    </row>
    <row r="8263" spans="1:12" x14ac:dyDescent="0.2">
      <c r="A8263" t="s">
        <v>210</v>
      </c>
      <c r="B8263" t="s">
        <v>71</v>
      </c>
      <c r="C8263" t="s">
        <v>72</v>
      </c>
      <c r="D8263">
        <v>9400</v>
      </c>
      <c r="E8263">
        <v>2019</v>
      </c>
      <c r="F8263">
        <v>15</v>
      </c>
      <c r="G8263">
        <v>20304</v>
      </c>
      <c r="H8263" s="1" t="s">
        <v>1828</v>
      </c>
      <c r="I8263">
        <v>3</v>
      </c>
      <c r="J8263">
        <f>IF($H8263=0,1,IF($I8263&lt;=1,2,0))</f>
        <v>0</v>
      </c>
      <c r="K8263">
        <v>5</v>
      </c>
      <c r="L8263">
        <f>IF(AND($J8263=0,$K8263=0),0,1)</f>
        <v>1</v>
      </c>
    </row>
    <row r="8264" spans="1:12" x14ac:dyDescent="0.2">
      <c r="A8264" t="s">
        <v>210</v>
      </c>
      <c r="B8264" t="s">
        <v>71</v>
      </c>
      <c r="C8264" t="s">
        <v>72</v>
      </c>
      <c r="D8264">
        <v>9400</v>
      </c>
      <c r="E8264">
        <v>2019</v>
      </c>
      <c r="F8264">
        <v>17</v>
      </c>
      <c r="G8264">
        <v>20302</v>
      </c>
      <c r="H8264" s="1" t="s">
        <v>1828</v>
      </c>
      <c r="I8264">
        <v>3</v>
      </c>
      <c r="J8264">
        <f>IF($H8264=0,1,IF($I8264&lt;=1,2,0))</f>
        <v>0</v>
      </c>
      <c r="K8264">
        <v>5</v>
      </c>
      <c r="L8264">
        <f>IF(AND($J8264=0,$K8264=0),0,1)</f>
        <v>1</v>
      </c>
    </row>
    <row r="8265" spans="1:12" x14ac:dyDescent="0.2">
      <c r="A8265" t="s">
        <v>210</v>
      </c>
      <c r="B8265" t="s">
        <v>71</v>
      </c>
      <c r="C8265" t="s">
        <v>72</v>
      </c>
      <c r="D8265">
        <v>9400</v>
      </c>
      <c r="E8265">
        <v>2019</v>
      </c>
      <c r="F8265">
        <v>2</v>
      </c>
      <c r="G8265">
        <v>20317</v>
      </c>
      <c r="H8265" s="1" t="s">
        <v>1828</v>
      </c>
      <c r="I8265">
        <v>2</v>
      </c>
      <c r="J8265">
        <f>IF($H8265=0,1,IF($I8265&lt;=1,2,0))</f>
        <v>0</v>
      </c>
      <c r="K8265">
        <v>5</v>
      </c>
      <c r="L8265">
        <f>IF(AND($J8265=0,$K8265=0),0,1)</f>
        <v>1</v>
      </c>
    </row>
    <row r="8266" spans="1:12" x14ac:dyDescent="0.2">
      <c r="A8266" t="s">
        <v>210</v>
      </c>
      <c r="B8266" t="s">
        <v>71</v>
      </c>
      <c r="C8266" t="s">
        <v>72</v>
      </c>
      <c r="D8266">
        <v>9400</v>
      </c>
      <c r="E8266">
        <v>2019</v>
      </c>
      <c r="F8266">
        <v>5</v>
      </c>
      <c r="G8266">
        <v>20314</v>
      </c>
      <c r="H8266" s="1" t="s">
        <v>1828</v>
      </c>
      <c r="I8266">
        <v>2</v>
      </c>
      <c r="J8266">
        <f>IF($H8266=0,1,IF($I8266&lt;=1,2,0))</f>
        <v>0</v>
      </c>
      <c r="K8266">
        <v>5</v>
      </c>
      <c r="L8266">
        <f>IF(AND($J8266=0,$K8266=0),0,1)</f>
        <v>1</v>
      </c>
    </row>
    <row r="8267" spans="1:12" x14ac:dyDescent="0.2">
      <c r="A8267" t="s">
        <v>210</v>
      </c>
      <c r="B8267" t="s">
        <v>71</v>
      </c>
      <c r="C8267" t="s">
        <v>72</v>
      </c>
      <c r="D8267">
        <v>9400</v>
      </c>
      <c r="E8267">
        <v>2019</v>
      </c>
      <c r="F8267">
        <v>10</v>
      </c>
      <c r="G8267">
        <v>20309</v>
      </c>
      <c r="H8267" s="1" t="s">
        <v>1828</v>
      </c>
      <c r="I8267">
        <v>2</v>
      </c>
      <c r="J8267">
        <f>IF($H8267=0,1,IF($I8267&lt;=1,2,0))</f>
        <v>0</v>
      </c>
      <c r="K8267">
        <v>5</v>
      </c>
      <c r="L8267">
        <f>IF(AND($J8267=0,$K8267=0),0,1)</f>
        <v>1</v>
      </c>
    </row>
    <row r="8268" spans="1:12" x14ac:dyDescent="0.2">
      <c r="A8268" t="s">
        <v>210</v>
      </c>
      <c r="B8268" t="s">
        <v>71</v>
      </c>
      <c r="C8268" t="s">
        <v>72</v>
      </c>
      <c r="D8268">
        <v>9400</v>
      </c>
      <c r="E8268">
        <v>2019</v>
      </c>
      <c r="F8268">
        <v>13</v>
      </c>
      <c r="G8268">
        <v>20306</v>
      </c>
      <c r="H8268" s="1" t="s">
        <v>1828</v>
      </c>
      <c r="I8268">
        <v>2</v>
      </c>
      <c r="J8268">
        <f>IF($H8268=0,1,IF($I8268&lt;=1,2,0))</f>
        <v>0</v>
      </c>
      <c r="K8268">
        <v>5</v>
      </c>
      <c r="L8268">
        <f>IF(AND($J8268=0,$K8268=0),0,1)</f>
        <v>1</v>
      </c>
    </row>
    <row r="8269" spans="1:12" x14ac:dyDescent="0.2">
      <c r="A8269" t="s">
        <v>210</v>
      </c>
      <c r="B8269" t="s">
        <v>71</v>
      </c>
      <c r="C8269" t="s">
        <v>72</v>
      </c>
      <c r="D8269">
        <v>9400</v>
      </c>
      <c r="E8269">
        <v>2019</v>
      </c>
      <c r="F8269">
        <v>6</v>
      </c>
      <c r="G8269">
        <v>20313</v>
      </c>
      <c r="H8269" s="1" t="s">
        <v>1828</v>
      </c>
      <c r="I8269">
        <v>1</v>
      </c>
      <c r="J8269">
        <f>IF($H8269=0,1,IF($I8269&lt;=1,2,0))</f>
        <v>2</v>
      </c>
      <c r="K8269">
        <v>5</v>
      </c>
      <c r="L8269">
        <f>IF(AND($J8269=0,$K8269=0),0,1)</f>
        <v>1</v>
      </c>
    </row>
    <row r="8270" spans="1:12" x14ac:dyDescent="0.2">
      <c r="A8270" t="s">
        <v>210</v>
      </c>
      <c r="B8270" t="s">
        <v>71</v>
      </c>
      <c r="C8270" t="s">
        <v>72</v>
      </c>
      <c r="D8270">
        <v>9400</v>
      </c>
      <c r="E8270">
        <v>2019</v>
      </c>
      <c r="F8270">
        <v>16</v>
      </c>
      <c r="G8270">
        <v>20303</v>
      </c>
      <c r="H8270" s="1" t="s">
        <v>1828</v>
      </c>
      <c r="I8270">
        <v>1</v>
      </c>
      <c r="J8270">
        <f>IF($H8270=0,1,IF($I8270&lt;=1,2,0))</f>
        <v>2</v>
      </c>
      <c r="K8270">
        <v>5</v>
      </c>
      <c r="L8270">
        <f>IF(AND($J8270=0,$K8270=0),0,1)</f>
        <v>1</v>
      </c>
    </row>
    <row r="8271" spans="1:12" x14ac:dyDescent="0.2">
      <c r="A8271" t="s">
        <v>210</v>
      </c>
      <c r="B8271" t="s">
        <v>71</v>
      </c>
      <c r="C8271" t="s">
        <v>72</v>
      </c>
      <c r="D8271">
        <v>9400</v>
      </c>
      <c r="E8271">
        <v>2019</v>
      </c>
      <c r="F8271">
        <v>19</v>
      </c>
      <c r="G8271">
        <v>51103</v>
      </c>
      <c r="H8271" s="1" t="s">
        <v>1828</v>
      </c>
      <c r="I8271">
        <v>1</v>
      </c>
      <c r="J8271">
        <f>IF($H8271=0,1,IF($I8271&lt;=1,2,0))</f>
        <v>2</v>
      </c>
      <c r="K8271">
        <v>5</v>
      </c>
      <c r="L8271">
        <f>IF(AND($J8271=0,$K8271=0),0,1)</f>
        <v>1</v>
      </c>
    </row>
    <row r="8272" spans="1:12" x14ac:dyDescent="0.2">
      <c r="A8272" t="s">
        <v>210</v>
      </c>
      <c r="B8272" t="s">
        <v>71</v>
      </c>
      <c r="C8272" t="s">
        <v>72</v>
      </c>
      <c r="D8272">
        <v>9400</v>
      </c>
      <c r="E8272">
        <v>2019</v>
      </c>
      <c r="F8272">
        <v>20</v>
      </c>
      <c r="G8272">
        <v>51104</v>
      </c>
      <c r="H8272" s="1" t="s">
        <v>1828</v>
      </c>
      <c r="I8272">
        <v>1</v>
      </c>
      <c r="J8272">
        <f>IF($H8272=0,1,IF($I8272&lt;=1,2,0))</f>
        <v>2</v>
      </c>
      <c r="K8272">
        <v>5</v>
      </c>
      <c r="L8272">
        <f>IF(AND($J8272=0,$K8272=0),0,1)</f>
        <v>1</v>
      </c>
    </row>
    <row r="8273" spans="1:12" x14ac:dyDescent="0.2">
      <c r="A8273" t="s">
        <v>210</v>
      </c>
      <c r="B8273" t="s">
        <v>71</v>
      </c>
      <c r="C8273" t="s">
        <v>72</v>
      </c>
      <c r="D8273">
        <v>9400</v>
      </c>
      <c r="E8273">
        <v>2019</v>
      </c>
      <c r="F8273">
        <v>3</v>
      </c>
      <c r="G8273">
        <v>20316</v>
      </c>
      <c r="H8273" s="1" t="s">
        <v>1828</v>
      </c>
      <c r="I8273">
        <v>0</v>
      </c>
      <c r="J8273">
        <f>IF($H8273=0,1,IF($I8273&lt;=1,2,0))</f>
        <v>2</v>
      </c>
      <c r="K8273">
        <v>5</v>
      </c>
      <c r="L8273">
        <f>IF(AND($J8273=0,$K8273=0),0,1)</f>
        <v>1</v>
      </c>
    </row>
    <row r="8274" spans="1:12" x14ac:dyDescent="0.2">
      <c r="A8274" t="s">
        <v>210</v>
      </c>
      <c r="B8274" t="s">
        <v>71</v>
      </c>
      <c r="C8274" t="s">
        <v>72</v>
      </c>
      <c r="D8274">
        <v>9400</v>
      </c>
      <c r="E8274">
        <v>2019</v>
      </c>
      <c r="F8274">
        <v>4</v>
      </c>
      <c r="G8274">
        <v>20315</v>
      </c>
      <c r="H8274" s="1" t="s">
        <v>1828</v>
      </c>
      <c r="I8274">
        <v>0</v>
      </c>
      <c r="J8274">
        <f>IF($H8274=0,1,IF($I8274&lt;=1,2,0))</f>
        <v>2</v>
      </c>
      <c r="K8274">
        <v>5</v>
      </c>
      <c r="L8274">
        <f>IF(AND($J8274=0,$K8274=0),0,1)</f>
        <v>1</v>
      </c>
    </row>
    <row r="8275" spans="1:12" x14ac:dyDescent="0.2">
      <c r="A8275" t="s">
        <v>210</v>
      </c>
      <c r="B8275" t="s">
        <v>71</v>
      </c>
      <c r="C8275" t="s">
        <v>72</v>
      </c>
      <c r="D8275">
        <v>9400</v>
      </c>
      <c r="E8275">
        <v>2019</v>
      </c>
      <c r="F8275">
        <v>8</v>
      </c>
      <c r="G8275">
        <v>20311</v>
      </c>
      <c r="H8275" s="1" t="s">
        <v>1828</v>
      </c>
      <c r="I8275">
        <v>0</v>
      </c>
      <c r="J8275">
        <f>IF($H8275=0,1,IF($I8275&lt;=1,2,0))</f>
        <v>2</v>
      </c>
      <c r="K8275">
        <v>5</v>
      </c>
      <c r="L8275">
        <f>IF(AND($J8275=0,$K8275=0),0,1)</f>
        <v>1</v>
      </c>
    </row>
    <row r="8276" spans="1:12" x14ac:dyDescent="0.2">
      <c r="A8276" t="s">
        <v>210</v>
      </c>
      <c r="B8276" t="s">
        <v>71</v>
      </c>
      <c r="C8276" t="s">
        <v>72</v>
      </c>
      <c r="D8276">
        <v>9400</v>
      </c>
      <c r="E8276">
        <v>2019</v>
      </c>
      <c r="F8276">
        <v>9</v>
      </c>
      <c r="G8276">
        <v>20310</v>
      </c>
      <c r="H8276" s="1" t="s">
        <v>1828</v>
      </c>
      <c r="I8276">
        <v>0</v>
      </c>
      <c r="J8276">
        <f>IF($H8276=0,1,IF($I8276&lt;=1,2,0))</f>
        <v>2</v>
      </c>
      <c r="K8276">
        <v>5</v>
      </c>
      <c r="L8276">
        <f>IF(AND($J8276=0,$K8276=0),0,1)</f>
        <v>1</v>
      </c>
    </row>
    <row r="8277" spans="1:12" x14ac:dyDescent="0.2">
      <c r="A8277" t="s">
        <v>210</v>
      </c>
      <c r="B8277" t="s">
        <v>71</v>
      </c>
      <c r="C8277" t="s">
        <v>72</v>
      </c>
      <c r="D8277">
        <v>9400</v>
      </c>
      <c r="E8277">
        <v>2019</v>
      </c>
      <c r="F8277">
        <v>11</v>
      </c>
      <c r="G8277">
        <v>20308</v>
      </c>
      <c r="H8277" s="1" t="s">
        <v>1828</v>
      </c>
      <c r="I8277">
        <v>0</v>
      </c>
      <c r="J8277">
        <f>IF($H8277=0,1,IF($I8277&lt;=1,2,0))</f>
        <v>2</v>
      </c>
      <c r="K8277">
        <v>5</v>
      </c>
      <c r="L8277">
        <f>IF(AND($J8277=0,$K8277=0),0,1)</f>
        <v>1</v>
      </c>
    </row>
    <row r="8278" spans="1:12" x14ac:dyDescent="0.2">
      <c r="A8278" t="s">
        <v>210</v>
      </c>
      <c r="B8278" t="s">
        <v>71</v>
      </c>
      <c r="C8278" t="s">
        <v>72</v>
      </c>
      <c r="D8278">
        <v>9400</v>
      </c>
      <c r="E8278">
        <v>2019</v>
      </c>
      <c r="F8278">
        <v>14</v>
      </c>
      <c r="G8278">
        <v>20305</v>
      </c>
      <c r="H8278" s="1" t="s">
        <v>1828</v>
      </c>
      <c r="I8278">
        <v>0</v>
      </c>
      <c r="J8278">
        <f>IF($H8278=0,1,IF($I8278&lt;=1,2,0))</f>
        <v>2</v>
      </c>
      <c r="K8278">
        <v>5</v>
      </c>
      <c r="L8278">
        <f>IF(AND($J8278=0,$K8278=0),0,1)</f>
        <v>1</v>
      </c>
    </row>
    <row r="8279" spans="1:12" x14ac:dyDescent="0.2">
      <c r="A8279" t="s">
        <v>210</v>
      </c>
      <c r="B8279" t="s">
        <v>71</v>
      </c>
      <c r="C8279" t="s">
        <v>72</v>
      </c>
      <c r="D8279">
        <v>9400</v>
      </c>
      <c r="E8279">
        <v>2019</v>
      </c>
      <c r="F8279">
        <v>18</v>
      </c>
      <c r="G8279">
        <v>51102</v>
      </c>
      <c r="H8279" s="1" t="s">
        <v>1828</v>
      </c>
      <c r="I8279">
        <v>0</v>
      </c>
      <c r="J8279">
        <f>IF($H8279=0,1,IF($I8279&lt;=1,2,0))</f>
        <v>2</v>
      </c>
      <c r="K8279">
        <v>5</v>
      </c>
      <c r="L8279">
        <f>IF(AND($J8279=0,$K8279=0),0,1)</f>
        <v>1</v>
      </c>
    </row>
    <row r="8280" spans="1:12" x14ac:dyDescent="0.2">
      <c r="A8280" t="s">
        <v>210</v>
      </c>
      <c r="B8280" t="s">
        <v>71</v>
      </c>
      <c r="C8280" t="s">
        <v>72</v>
      </c>
      <c r="D8280">
        <v>9500</v>
      </c>
      <c r="E8280">
        <v>2019</v>
      </c>
      <c r="F8280">
        <v>9</v>
      </c>
      <c r="G8280">
        <v>20293</v>
      </c>
      <c r="H8280" s="1" t="s">
        <v>1839</v>
      </c>
      <c r="I8280">
        <v>9</v>
      </c>
      <c r="J8280">
        <f>IF($H8280=0,1,IF($I8280&lt;=1,2,0))</f>
        <v>0</v>
      </c>
      <c r="K8280">
        <v>5</v>
      </c>
      <c r="L8280">
        <f>IF(AND($J8280=0,$K8280=0),0,1)</f>
        <v>1</v>
      </c>
    </row>
    <row r="8281" spans="1:12" x14ac:dyDescent="0.2">
      <c r="A8281" t="s">
        <v>210</v>
      </c>
      <c r="B8281" t="s">
        <v>71</v>
      </c>
      <c r="C8281" t="s">
        <v>72</v>
      </c>
      <c r="D8281">
        <v>9500</v>
      </c>
      <c r="E8281">
        <v>2019</v>
      </c>
      <c r="F8281">
        <v>19</v>
      </c>
      <c r="G8281">
        <v>51108</v>
      </c>
      <c r="H8281" s="1" t="s">
        <v>1839</v>
      </c>
      <c r="I8281">
        <v>4</v>
      </c>
      <c r="J8281">
        <f>IF($H8281=0,1,IF($I8281&lt;=1,2,0))</f>
        <v>0</v>
      </c>
      <c r="K8281">
        <v>5</v>
      </c>
      <c r="L8281">
        <f>IF(AND($J8281=0,$K8281=0),0,1)</f>
        <v>1</v>
      </c>
    </row>
    <row r="8282" spans="1:12" x14ac:dyDescent="0.2">
      <c r="A8282" t="s">
        <v>210</v>
      </c>
      <c r="B8282" t="s">
        <v>71</v>
      </c>
      <c r="C8282" t="s">
        <v>72</v>
      </c>
      <c r="D8282">
        <v>9500</v>
      </c>
      <c r="E8282">
        <v>2019</v>
      </c>
      <c r="F8282">
        <v>1</v>
      </c>
      <c r="G8282">
        <v>20301</v>
      </c>
      <c r="H8282" s="1" t="s">
        <v>1839</v>
      </c>
      <c r="I8282">
        <v>3</v>
      </c>
      <c r="J8282">
        <f>IF($H8282=0,1,IF($I8282&lt;=1,2,0))</f>
        <v>0</v>
      </c>
      <c r="K8282">
        <v>5</v>
      </c>
      <c r="L8282">
        <f>IF(AND($J8282=0,$K8282=0),0,1)</f>
        <v>1</v>
      </c>
    </row>
    <row r="8283" spans="1:12" x14ac:dyDescent="0.2">
      <c r="A8283" t="s">
        <v>210</v>
      </c>
      <c r="B8283" t="s">
        <v>71</v>
      </c>
      <c r="C8283" t="s">
        <v>72</v>
      </c>
      <c r="D8283">
        <v>9500</v>
      </c>
      <c r="E8283">
        <v>2019</v>
      </c>
      <c r="F8283">
        <v>13</v>
      </c>
      <c r="G8283">
        <v>20289</v>
      </c>
      <c r="H8283" s="1" t="s">
        <v>1839</v>
      </c>
      <c r="I8283">
        <v>3</v>
      </c>
      <c r="J8283">
        <f>IF($H8283=0,1,IF($I8283&lt;=1,2,0))</f>
        <v>0</v>
      </c>
      <c r="K8283">
        <v>5</v>
      </c>
      <c r="L8283">
        <f>IF(AND($J8283=0,$K8283=0),0,1)</f>
        <v>1</v>
      </c>
    </row>
    <row r="8284" spans="1:12" x14ac:dyDescent="0.2">
      <c r="A8284" t="s">
        <v>210</v>
      </c>
      <c r="B8284" t="s">
        <v>71</v>
      </c>
      <c r="C8284" t="s">
        <v>72</v>
      </c>
      <c r="D8284">
        <v>9500</v>
      </c>
      <c r="E8284">
        <v>2019</v>
      </c>
      <c r="F8284">
        <v>2</v>
      </c>
      <c r="G8284">
        <v>20300</v>
      </c>
      <c r="H8284" s="1" t="s">
        <v>1839</v>
      </c>
      <c r="I8284">
        <v>2</v>
      </c>
      <c r="J8284">
        <f>IF($H8284=0,1,IF($I8284&lt;=1,2,0))</f>
        <v>0</v>
      </c>
      <c r="K8284">
        <v>5</v>
      </c>
      <c r="L8284">
        <f>IF(AND($J8284=0,$K8284=0),0,1)</f>
        <v>1</v>
      </c>
    </row>
    <row r="8285" spans="1:12" x14ac:dyDescent="0.2">
      <c r="A8285" t="s">
        <v>210</v>
      </c>
      <c r="B8285" t="s">
        <v>71</v>
      </c>
      <c r="C8285" t="s">
        <v>72</v>
      </c>
      <c r="D8285">
        <v>9500</v>
      </c>
      <c r="E8285">
        <v>2019</v>
      </c>
      <c r="F8285">
        <v>3</v>
      </c>
      <c r="G8285">
        <v>20299</v>
      </c>
      <c r="H8285" s="1" t="s">
        <v>1839</v>
      </c>
      <c r="I8285">
        <v>2</v>
      </c>
      <c r="J8285">
        <f>IF($H8285=0,1,IF($I8285&lt;=1,2,0))</f>
        <v>0</v>
      </c>
      <c r="K8285">
        <v>5</v>
      </c>
      <c r="L8285">
        <f>IF(AND($J8285=0,$K8285=0),0,1)</f>
        <v>1</v>
      </c>
    </row>
    <row r="8286" spans="1:12" x14ac:dyDescent="0.2">
      <c r="A8286" t="s">
        <v>210</v>
      </c>
      <c r="B8286" t="s">
        <v>71</v>
      </c>
      <c r="C8286" t="s">
        <v>72</v>
      </c>
      <c r="D8286">
        <v>9500</v>
      </c>
      <c r="E8286">
        <v>2019</v>
      </c>
      <c r="F8286">
        <v>7</v>
      </c>
      <c r="G8286">
        <v>20295</v>
      </c>
      <c r="H8286" s="1" t="s">
        <v>1839</v>
      </c>
      <c r="I8286">
        <v>2</v>
      </c>
      <c r="J8286">
        <f>IF($H8286=0,1,IF($I8286&lt;=1,2,0))</f>
        <v>0</v>
      </c>
      <c r="K8286">
        <v>5</v>
      </c>
      <c r="L8286">
        <f>IF(AND($J8286=0,$K8286=0),0,1)</f>
        <v>1</v>
      </c>
    </row>
    <row r="8287" spans="1:12" x14ac:dyDescent="0.2">
      <c r="A8287" t="s">
        <v>210</v>
      </c>
      <c r="B8287" t="s">
        <v>71</v>
      </c>
      <c r="C8287" t="s">
        <v>72</v>
      </c>
      <c r="D8287">
        <v>9500</v>
      </c>
      <c r="E8287">
        <v>2019</v>
      </c>
      <c r="F8287">
        <v>14</v>
      </c>
      <c r="G8287">
        <v>20288</v>
      </c>
      <c r="H8287" s="1" t="s">
        <v>1839</v>
      </c>
      <c r="I8287">
        <v>2</v>
      </c>
      <c r="J8287">
        <f>IF($H8287=0,1,IF($I8287&lt;=1,2,0))</f>
        <v>0</v>
      </c>
      <c r="K8287">
        <v>5</v>
      </c>
      <c r="L8287">
        <f>IF(AND($J8287=0,$K8287=0),0,1)</f>
        <v>1</v>
      </c>
    </row>
    <row r="8288" spans="1:12" x14ac:dyDescent="0.2">
      <c r="A8288" t="s">
        <v>210</v>
      </c>
      <c r="B8288" t="s">
        <v>71</v>
      </c>
      <c r="C8288" t="s">
        <v>72</v>
      </c>
      <c r="D8288">
        <v>9500</v>
      </c>
      <c r="E8288">
        <v>2019</v>
      </c>
      <c r="F8288">
        <v>4</v>
      </c>
      <c r="G8288">
        <v>20298</v>
      </c>
      <c r="H8288" s="1" t="s">
        <v>1839</v>
      </c>
      <c r="I8288">
        <v>1</v>
      </c>
      <c r="J8288">
        <f>IF($H8288=0,1,IF($I8288&lt;=1,2,0))</f>
        <v>2</v>
      </c>
      <c r="K8288">
        <v>5</v>
      </c>
      <c r="L8288">
        <f>IF(AND($J8288=0,$K8288=0),0,1)</f>
        <v>1</v>
      </c>
    </row>
    <row r="8289" spans="1:13" x14ac:dyDescent="0.2">
      <c r="A8289" t="s">
        <v>210</v>
      </c>
      <c r="B8289" t="s">
        <v>71</v>
      </c>
      <c r="C8289" t="s">
        <v>72</v>
      </c>
      <c r="D8289">
        <v>9500</v>
      </c>
      <c r="E8289">
        <v>2019</v>
      </c>
      <c r="F8289">
        <v>6</v>
      </c>
      <c r="G8289">
        <v>20296</v>
      </c>
      <c r="H8289" s="1" t="s">
        <v>1839</v>
      </c>
      <c r="I8289">
        <v>1</v>
      </c>
      <c r="J8289">
        <f>IF($H8289=0,1,IF($I8289&lt;=1,2,0))</f>
        <v>2</v>
      </c>
      <c r="K8289">
        <v>5</v>
      </c>
      <c r="L8289">
        <f>IF(AND($J8289=0,$K8289=0),0,1)</f>
        <v>1</v>
      </c>
    </row>
    <row r="8290" spans="1:13" x14ac:dyDescent="0.2">
      <c r="A8290" t="s">
        <v>210</v>
      </c>
      <c r="B8290" t="s">
        <v>71</v>
      </c>
      <c r="C8290" t="s">
        <v>72</v>
      </c>
      <c r="D8290">
        <v>9500</v>
      </c>
      <c r="E8290">
        <v>2019</v>
      </c>
      <c r="F8290">
        <v>8</v>
      </c>
      <c r="G8290">
        <v>20294</v>
      </c>
      <c r="H8290" s="1" t="s">
        <v>1839</v>
      </c>
      <c r="I8290">
        <v>1</v>
      </c>
      <c r="J8290">
        <f>IF($H8290=0,1,IF($I8290&lt;=1,2,0))</f>
        <v>2</v>
      </c>
      <c r="K8290">
        <v>5</v>
      </c>
      <c r="L8290">
        <f>IF(AND($J8290=0,$K8290=0),0,1)</f>
        <v>1</v>
      </c>
    </row>
    <row r="8291" spans="1:13" x14ac:dyDescent="0.2">
      <c r="A8291" t="s">
        <v>210</v>
      </c>
      <c r="B8291" t="s">
        <v>71</v>
      </c>
      <c r="C8291" t="s">
        <v>72</v>
      </c>
      <c r="D8291">
        <v>9500</v>
      </c>
      <c r="E8291">
        <v>2019</v>
      </c>
      <c r="F8291">
        <v>15</v>
      </c>
      <c r="G8291">
        <v>20287</v>
      </c>
      <c r="H8291" s="1" t="s">
        <v>1839</v>
      </c>
      <c r="I8291">
        <v>1</v>
      </c>
      <c r="J8291">
        <f>IF($H8291=0,1,IF($I8291&lt;=1,2,0))</f>
        <v>2</v>
      </c>
      <c r="K8291">
        <v>5</v>
      </c>
      <c r="L8291">
        <f>IF(AND($J8291=0,$K8291=0),0,1)</f>
        <v>1</v>
      </c>
    </row>
    <row r="8292" spans="1:13" x14ac:dyDescent="0.2">
      <c r="A8292" t="s">
        <v>210</v>
      </c>
      <c r="B8292" t="s">
        <v>71</v>
      </c>
      <c r="C8292" t="s">
        <v>72</v>
      </c>
      <c r="D8292">
        <v>9500</v>
      </c>
      <c r="E8292">
        <v>2019</v>
      </c>
      <c r="F8292">
        <v>17</v>
      </c>
      <c r="G8292">
        <v>20285</v>
      </c>
      <c r="H8292" s="1" t="s">
        <v>1839</v>
      </c>
      <c r="I8292">
        <v>1</v>
      </c>
      <c r="J8292">
        <f>IF($H8292=0,1,IF($I8292&lt;=1,2,0))</f>
        <v>2</v>
      </c>
      <c r="K8292">
        <v>5</v>
      </c>
      <c r="L8292">
        <f>IF(AND($J8292=0,$K8292=0),0,1)</f>
        <v>1</v>
      </c>
    </row>
    <row r="8293" spans="1:13" x14ac:dyDescent="0.2">
      <c r="A8293" t="s">
        <v>210</v>
      </c>
      <c r="B8293" t="s">
        <v>71</v>
      </c>
      <c r="C8293" t="s">
        <v>72</v>
      </c>
      <c r="D8293">
        <v>9500</v>
      </c>
      <c r="E8293">
        <v>2019</v>
      </c>
      <c r="F8293">
        <v>5</v>
      </c>
      <c r="G8293">
        <v>20297</v>
      </c>
      <c r="H8293" s="1" t="s">
        <v>1839</v>
      </c>
      <c r="I8293">
        <v>0</v>
      </c>
      <c r="J8293">
        <f>IF($H8293=0,1,IF($I8293&lt;=1,2,0))</f>
        <v>2</v>
      </c>
      <c r="K8293">
        <v>5</v>
      </c>
      <c r="L8293">
        <f>IF(AND($J8293=0,$K8293=0),0,1)</f>
        <v>1</v>
      </c>
    </row>
    <row r="8294" spans="1:13" x14ac:dyDescent="0.2">
      <c r="A8294" t="s">
        <v>210</v>
      </c>
      <c r="B8294" t="s">
        <v>71</v>
      </c>
      <c r="C8294" t="s">
        <v>72</v>
      </c>
      <c r="D8294">
        <v>9500</v>
      </c>
      <c r="E8294">
        <v>2019</v>
      </c>
      <c r="F8294">
        <v>10</v>
      </c>
      <c r="G8294">
        <v>20292</v>
      </c>
      <c r="H8294" s="1" t="s">
        <v>1839</v>
      </c>
      <c r="I8294">
        <v>0</v>
      </c>
      <c r="J8294">
        <f>IF($H8294=0,1,IF($I8294&lt;=1,2,0))</f>
        <v>2</v>
      </c>
      <c r="K8294">
        <v>5</v>
      </c>
      <c r="L8294">
        <f>IF(AND($J8294=0,$K8294=0),0,1)</f>
        <v>1</v>
      </c>
    </row>
    <row r="8295" spans="1:13" x14ac:dyDescent="0.2">
      <c r="A8295" t="s">
        <v>210</v>
      </c>
      <c r="B8295" t="s">
        <v>71</v>
      </c>
      <c r="C8295" t="s">
        <v>72</v>
      </c>
      <c r="D8295">
        <v>9500</v>
      </c>
      <c r="E8295">
        <v>2019</v>
      </c>
      <c r="F8295">
        <v>11</v>
      </c>
      <c r="G8295">
        <v>20291</v>
      </c>
      <c r="H8295" s="1" t="s">
        <v>1839</v>
      </c>
      <c r="I8295">
        <v>0</v>
      </c>
      <c r="J8295">
        <f>IF($H8295=0,1,IF($I8295&lt;=1,2,0))</f>
        <v>2</v>
      </c>
      <c r="K8295">
        <v>5</v>
      </c>
      <c r="L8295">
        <f>IF(AND($J8295=0,$K8295=0),0,1)</f>
        <v>1</v>
      </c>
    </row>
    <row r="8296" spans="1:13" x14ac:dyDescent="0.2">
      <c r="A8296" t="s">
        <v>210</v>
      </c>
      <c r="B8296" t="s">
        <v>71</v>
      </c>
      <c r="C8296" t="s">
        <v>72</v>
      </c>
      <c r="D8296">
        <v>9500</v>
      </c>
      <c r="E8296">
        <v>2019</v>
      </c>
      <c r="F8296">
        <v>12</v>
      </c>
      <c r="G8296">
        <v>20290</v>
      </c>
      <c r="H8296" s="1" t="s">
        <v>1839</v>
      </c>
      <c r="I8296">
        <v>0</v>
      </c>
      <c r="J8296">
        <f>IF($H8296=0,1,IF($I8296&lt;=1,2,0))</f>
        <v>2</v>
      </c>
      <c r="K8296">
        <v>5</v>
      </c>
      <c r="L8296">
        <f>IF(AND($J8296=0,$K8296=0),0,1)</f>
        <v>1</v>
      </c>
    </row>
    <row r="8297" spans="1:13" x14ac:dyDescent="0.2">
      <c r="A8297" t="s">
        <v>210</v>
      </c>
      <c r="B8297" t="s">
        <v>71</v>
      </c>
      <c r="C8297" t="s">
        <v>72</v>
      </c>
      <c r="D8297">
        <v>9500</v>
      </c>
      <c r="E8297">
        <v>2019</v>
      </c>
      <c r="F8297">
        <v>16</v>
      </c>
      <c r="G8297">
        <v>20286</v>
      </c>
      <c r="H8297" s="1" t="s">
        <v>1839</v>
      </c>
      <c r="I8297">
        <v>0</v>
      </c>
      <c r="J8297">
        <f>IF($H8297=0,1,IF($I8297&lt;=1,2,0))</f>
        <v>2</v>
      </c>
      <c r="K8297">
        <v>5</v>
      </c>
      <c r="L8297">
        <f>IF(AND($J8297=0,$K8297=0),0,1)</f>
        <v>1</v>
      </c>
    </row>
    <row r="8298" spans="1:13" x14ac:dyDescent="0.2">
      <c r="A8298" t="s">
        <v>210</v>
      </c>
      <c r="B8298" t="s">
        <v>71</v>
      </c>
      <c r="C8298" t="s">
        <v>72</v>
      </c>
      <c r="D8298">
        <v>9500</v>
      </c>
      <c r="E8298">
        <v>2019</v>
      </c>
      <c r="F8298">
        <v>18</v>
      </c>
      <c r="G8298">
        <v>51106</v>
      </c>
      <c r="H8298" s="1" t="s">
        <v>1839</v>
      </c>
      <c r="I8298">
        <v>0</v>
      </c>
      <c r="J8298">
        <f>IF($H8298=0,1,IF($I8298&lt;=1,2,0))</f>
        <v>2</v>
      </c>
      <c r="K8298">
        <v>5</v>
      </c>
      <c r="L8298">
        <f>IF(AND($J8298=0,$K8298=0),0,1)</f>
        <v>1</v>
      </c>
    </row>
    <row r="8299" spans="1:13" x14ac:dyDescent="0.2">
      <c r="A8299" t="s">
        <v>216</v>
      </c>
      <c r="B8299" t="s">
        <v>17</v>
      </c>
      <c r="C8299" t="s">
        <v>11</v>
      </c>
      <c r="D8299">
        <v>8028</v>
      </c>
      <c r="E8299">
        <v>2019</v>
      </c>
      <c r="F8299">
        <v>1</v>
      </c>
      <c r="G8299">
        <v>44458</v>
      </c>
      <c r="H8299" s="1">
        <v>3</v>
      </c>
      <c r="I8299">
        <v>1</v>
      </c>
      <c r="J8299">
        <f>IF($H8299=0,1,IF($I8299&lt;=1,2,0))</f>
        <v>2</v>
      </c>
      <c r="K8299">
        <v>0</v>
      </c>
      <c r="L8299">
        <f>IF(AND($J8299=0,$K8299=0),0,1)</f>
        <v>1</v>
      </c>
    </row>
    <row r="8300" spans="1:13" x14ac:dyDescent="0.2">
      <c r="A8300" t="s">
        <v>217</v>
      </c>
      <c r="B8300" t="s">
        <v>71</v>
      </c>
      <c r="C8300" t="s">
        <v>72</v>
      </c>
      <c r="D8300">
        <v>4257</v>
      </c>
      <c r="E8300">
        <v>2019</v>
      </c>
      <c r="F8300" t="s">
        <v>84</v>
      </c>
      <c r="G8300">
        <v>17803</v>
      </c>
      <c r="H8300" s="1">
        <v>3</v>
      </c>
      <c r="I8300">
        <v>1</v>
      </c>
      <c r="J8300">
        <f>IF($H8300=0,1,IF($I8300&lt;=1,2,0))</f>
        <v>2</v>
      </c>
      <c r="K8300">
        <v>0</v>
      </c>
      <c r="L8300">
        <f>IF(AND($J8300=0,$K8300=0),0,1)</f>
        <v>1</v>
      </c>
      <c r="M8300" t="s">
        <v>85</v>
      </c>
    </row>
    <row r="8301" spans="1:13" x14ac:dyDescent="0.2">
      <c r="A8301" t="s">
        <v>218</v>
      </c>
      <c r="B8301" t="s">
        <v>71</v>
      </c>
      <c r="C8301" t="s">
        <v>72</v>
      </c>
      <c r="D8301">
        <v>1</v>
      </c>
      <c r="E8301">
        <v>2019</v>
      </c>
      <c r="F8301">
        <v>1</v>
      </c>
      <c r="G8301">
        <v>98984</v>
      </c>
      <c r="H8301" s="1">
        <v>0</v>
      </c>
      <c r="I8301">
        <v>7</v>
      </c>
      <c r="J8301">
        <f>IF($H8301=0,1,IF($I8301&lt;=1,2,0))</f>
        <v>1</v>
      </c>
      <c r="K8301">
        <v>0</v>
      </c>
      <c r="L8301">
        <f>IF(AND($J8301=0,$K8301=0),0,1)</f>
        <v>1</v>
      </c>
    </row>
    <row r="8302" spans="1:13" x14ac:dyDescent="0.2">
      <c r="A8302" t="s">
        <v>218</v>
      </c>
      <c r="B8302" t="s">
        <v>71</v>
      </c>
      <c r="C8302" t="s">
        <v>72</v>
      </c>
      <c r="D8302">
        <v>2</v>
      </c>
      <c r="E8302">
        <v>2019</v>
      </c>
      <c r="F8302">
        <v>1</v>
      </c>
      <c r="G8302">
        <v>99036</v>
      </c>
      <c r="H8302" s="1">
        <v>0</v>
      </c>
      <c r="I8302">
        <v>8</v>
      </c>
      <c r="J8302">
        <f>IF($H8302=0,1,IF($I8302&lt;=1,2,0))</f>
        <v>1</v>
      </c>
      <c r="K8302">
        <v>0</v>
      </c>
      <c r="L8302">
        <f>IF(AND($J8302=0,$K8302=0),0,1)</f>
        <v>1</v>
      </c>
    </row>
    <row r="8303" spans="1:13" x14ac:dyDescent="0.2">
      <c r="A8303" t="s">
        <v>218</v>
      </c>
      <c r="B8303" t="s">
        <v>71</v>
      </c>
      <c r="C8303" t="s">
        <v>72</v>
      </c>
      <c r="D8303">
        <v>3</v>
      </c>
      <c r="E8303">
        <v>2019</v>
      </c>
      <c r="F8303">
        <v>1</v>
      </c>
      <c r="G8303">
        <v>98983</v>
      </c>
      <c r="H8303" s="1">
        <v>0</v>
      </c>
      <c r="I8303">
        <v>0</v>
      </c>
      <c r="J8303">
        <f>IF($H8303=0,1,IF($I8303&lt;=1,2,0))</f>
        <v>1</v>
      </c>
      <c r="K8303">
        <v>0</v>
      </c>
      <c r="L8303">
        <f>IF(AND($J8303=0,$K8303=0),0,1)</f>
        <v>1</v>
      </c>
    </row>
    <row r="8304" spans="1:13" x14ac:dyDescent="0.2">
      <c r="A8304" t="s">
        <v>218</v>
      </c>
      <c r="B8304" t="s">
        <v>71</v>
      </c>
      <c r="C8304" t="s">
        <v>72</v>
      </c>
      <c r="D8304">
        <v>3303</v>
      </c>
      <c r="E8304">
        <v>2019</v>
      </c>
      <c r="F8304">
        <v>12</v>
      </c>
      <c r="G8304">
        <v>98971</v>
      </c>
      <c r="H8304" s="1" t="s">
        <v>1827</v>
      </c>
      <c r="I8304">
        <v>1</v>
      </c>
      <c r="J8304">
        <f>IF($H8304=0,1,IF($I8304&lt;=1,2,0))</f>
        <v>2</v>
      </c>
      <c r="K8304">
        <v>0</v>
      </c>
      <c r="L8304">
        <f>IF(AND($J8304=0,$K8304=0),0,1)</f>
        <v>1</v>
      </c>
    </row>
    <row r="8305" spans="1:12" x14ac:dyDescent="0.2">
      <c r="A8305" t="s">
        <v>218</v>
      </c>
      <c r="B8305" t="s">
        <v>71</v>
      </c>
      <c r="C8305" t="s">
        <v>72</v>
      </c>
      <c r="D8305">
        <v>3303</v>
      </c>
      <c r="E8305">
        <v>2019</v>
      </c>
      <c r="F8305">
        <v>1</v>
      </c>
      <c r="G8305">
        <v>98982</v>
      </c>
      <c r="H8305" s="1" t="s">
        <v>1827</v>
      </c>
      <c r="I8305">
        <v>0</v>
      </c>
      <c r="J8305">
        <f>IF($H8305=0,1,IF($I8305&lt;=1,2,0))</f>
        <v>2</v>
      </c>
      <c r="K8305">
        <v>0</v>
      </c>
      <c r="L8305">
        <f>IF(AND($J8305=0,$K8305=0),0,1)</f>
        <v>1</v>
      </c>
    </row>
    <row r="8306" spans="1:12" x14ac:dyDescent="0.2">
      <c r="A8306" t="s">
        <v>218</v>
      </c>
      <c r="B8306" t="s">
        <v>71</v>
      </c>
      <c r="C8306" t="s">
        <v>72</v>
      </c>
      <c r="D8306">
        <v>3303</v>
      </c>
      <c r="E8306">
        <v>2019</v>
      </c>
      <c r="F8306">
        <v>2</v>
      </c>
      <c r="G8306">
        <v>98981</v>
      </c>
      <c r="H8306" s="1" t="s">
        <v>1827</v>
      </c>
      <c r="I8306">
        <v>0</v>
      </c>
      <c r="J8306">
        <f>IF($H8306=0,1,IF($I8306&lt;=1,2,0))</f>
        <v>2</v>
      </c>
      <c r="K8306">
        <v>0</v>
      </c>
      <c r="L8306">
        <f>IF(AND($J8306=0,$K8306=0),0,1)</f>
        <v>1</v>
      </c>
    </row>
    <row r="8307" spans="1:12" x14ac:dyDescent="0.2">
      <c r="A8307" t="s">
        <v>218</v>
      </c>
      <c r="B8307" t="s">
        <v>71</v>
      </c>
      <c r="C8307" t="s">
        <v>72</v>
      </c>
      <c r="D8307">
        <v>3303</v>
      </c>
      <c r="E8307">
        <v>2019</v>
      </c>
      <c r="F8307">
        <v>4</v>
      </c>
      <c r="G8307">
        <v>98979</v>
      </c>
      <c r="H8307" s="1" t="s">
        <v>1827</v>
      </c>
      <c r="I8307">
        <v>0</v>
      </c>
      <c r="J8307">
        <f>IF($H8307=0,1,IF($I8307&lt;=1,2,0))</f>
        <v>2</v>
      </c>
      <c r="K8307">
        <v>0</v>
      </c>
      <c r="L8307">
        <f>IF(AND($J8307=0,$K8307=0),0,1)</f>
        <v>1</v>
      </c>
    </row>
    <row r="8308" spans="1:12" x14ac:dyDescent="0.2">
      <c r="A8308" t="s">
        <v>218</v>
      </c>
      <c r="B8308" t="s">
        <v>71</v>
      </c>
      <c r="C8308" t="s">
        <v>72</v>
      </c>
      <c r="D8308">
        <v>3303</v>
      </c>
      <c r="E8308">
        <v>2019</v>
      </c>
      <c r="F8308">
        <v>5</v>
      </c>
      <c r="G8308">
        <v>98978</v>
      </c>
      <c r="H8308" s="1" t="s">
        <v>1827</v>
      </c>
      <c r="I8308">
        <v>0</v>
      </c>
      <c r="J8308">
        <f>IF($H8308=0,1,IF($I8308&lt;=1,2,0))</f>
        <v>2</v>
      </c>
      <c r="K8308">
        <v>0</v>
      </c>
      <c r="L8308">
        <f>IF(AND($J8308=0,$K8308=0),0,1)</f>
        <v>1</v>
      </c>
    </row>
    <row r="8309" spans="1:12" x14ac:dyDescent="0.2">
      <c r="A8309" t="s">
        <v>218</v>
      </c>
      <c r="B8309" t="s">
        <v>71</v>
      </c>
      <c r="C8309" t="s">
        <v>72</v>
      </c>
      <c r="D8309">
        <v>3303</v>
      </c>
      <c r="E8309">
        <v>2019</v>
      </c>
      <c r="F8309">
        <v>6</v>
      </c>
      <c r="G8309">
        <v>98977</v>
      </c>
      <c r="H8309" s="1" t="s">
        <v>1827</v>
      </c>
      <c r="I8309">
        <v>0</v>
      </c>
      <c r="J8309">
        <f>IF($H8309=0,1,IF($I8309&lt;=1,2,0))</f>
        <v>2</v>
      </c>
      <c r="K8309">
        <v>0</v>
      </c>
      <c r="L8309">
        <f>IF(AND($J8309=0,$K8309=0),0,1)</f>
        <v>1</v>
      </c>
    </row>
    <row r="8310" spans="1:12" x14ac:dyDescent="0.2">
      <c r="A8310" t="s">
        <v>218</v>
      </c>
      <c r="B8310" t="s">
        <v>71</v>
      </c>
      <c r="C8310" t="s">
        <v>72</v>
      </c>
      <c r="D8310">
        <v>3303</v>
      </c>
      <c r="E8310">
        <v>2019</v>
      </c>
      <c r="F8310">
        <v>8</v>
      </c>
      <c r="G8310">
        <v>98975</v>
      </c>
      <c r="H8310" s="1" t="s">
        <v>1827</v>
      </c>
      <c r="I8310">
        <v>0</v>
      </c>
      <c r="J8310">
        <f>IF($H8310=0,1,IF($I8310&lt;=1,2,0))</f>
        <v>2</v>
      </c>
      <c r="K8310">
        <v>0</v>
      </c>
      <c r="L8310">
        <f>IF(AND($J8310=0,$K8310=0),0,1)</f>
        <v>1</v>
      </c>
    </row>
    <row r="8311" spans="1:12" x14ac:dyDescent="0.2">
      <c r="A8311" t="s">
        <v>218</v>
      </c>
      <c r="B8311" t="s">
        <v>71</v>
      </c>
      <c r="C8311" t="s">
        <v>72</v>
      </c>
      <c r="D8311">
        <v>3303</v>
      </c>
      <c r="E8311">
        <v>2019</v>
      </c>
      <c r="F8311">
        <v>9</v>
      </c>
      <c r="G8311">
        <v>98974</v>
      </c>
      <c r="H8311" s="1" t="s">
        <v>1827</v>
      </c>
      <c r="I8311">
        <v>0</v>
      </c>
      <c r="J8311">
        <f>IF($H8311=0,1,IF($I8311&lt;=1,2,0))</f>
        <v>2</v>
      </c>
      <c r="K8311">
        <v>0</v>
      </c>
      <c r="L8311">
        <f>IF(AND($J8311=0,$K8311=0),0,1)</f>
        <v>1</v>
      </c>
    </row>
    <row r="8312" spans="1:12" x14ac:dyDescent="0.2">
      <c r="A8312" t="s">
        <v>218</v>
      </c>
      <c r="B8312" t="s">
        <v>71</v>
      </c>
      <c r="C8312" t="s">
        <v>72</v>
      </c>
      <c r="D8312">
        <v>3303</v>
      </c>
      <c r="E8312">
        <v>2019</v>
      </c>
      <c r="F8312">
        <v>10</v>
      </c>
      <c r="G8312">
        <v>98973</v>
      </c>
      <c r="H8312" s="1" t="s">
        <v>1827</v>
      </c>
      <c r="I8312">
        <v>0</v>
      </c>
      <c r="J8312">
        <f>IF($H8312=0,1,IF($I8312&lt;=1,2,0))</f>
        <v>2</v>
      </c>
      <c r="K8312">
        <v>0</v>
      </c>
      <c r="L8312">
        <f>IF(AND($J8312=0,$K8312=0),0,1)</f>
        <v>1</v>
      </c>
    </row>
    <row r="8313" spans="1:12" x14ac:dyDescent="0.2">
      <c r="A8313" t="s">
        <v>218</v>
      </c>
      <c r="B8313" t="s">
        <v>71</v>
      </c>
      <c r="C8313" t="s">
        <v>72</v>
      </c>
      <c r="D8313">
        <v>3303</v>
      </c>
      <c r="E8313">
        <v>2019</v>
      </c>
      <c r="F8313">
        <v>11</v>
      </c>
      <c r="G8313">
        <v>98972</v>
      </c>
      <c r="H8313" s="1" t="s">
        <v>1827</v>
      </c>
      <c r="I8313">
        <v>0</v>
      </c>
      <c r="J8313">
        <f>IF($H8313=0,1,IF($I8313&lt;=1,2,0))</f>
        <v>2</v>
      </c>
      <c r="K8313">
        <v>0</v>
      </c>
      <c r="L8313">
        <f>IF(AND($J8313=0,$K8313=0),0,1)</f>
        <v>1</v>
      </c>
    </row>
    <row r="8314" spans="1:12" x14ac:dyDescent="0.2">
      <c r="A8314" t="s">
        <v>218</v>
      </c>
      <c r="B8314" t="s">
        <v>71</v>
      </c>
      <c r="C8314" t="s">
        <v>72</v>
      </c>
      <c r="D8314">
        <v>3303</v>
      </c>
      <c r="E8314">
        <v>2019</v>
      </c>
      <c r="F8314">
        <v>13</v>
      </c>
      <c r="G8314">
        <v>98970</v>
      </c>
      <c r="H8314" s="1" t="s">
        <v>1827</v>
      </c>
      <c r="I8314">
        <v>0</v>
      </c>
      <c r="J8314">
        <f>IF($H8314=0,1,IF($I8314&lt;=1,2,0))</f>
        <v>2</v>
      </c>
      <c r="K8314">
        <v>0</v>
      </c>
      <c r="L8314">
        <f>IF(AND($J8314=0,$K8314=0),0,1)</f>
        <v>1</v>
      </c>
    </row>
    <row r="8315" spans="1:12" x14ac:dyDescent="0.2">
      <c r="A8315" t="s">
        <v>218</v>
      </c>
      <c r="B8315" t="s">
        <v>71</v>
      </c>
      <c r="C8315" t="s">
        <v>72</v>
      </c>
      <c r="D8315">
        <v>3303</v>
      </c>
      <c r="E8315">
        <v>2019</v>
      </c>
      <c r="F8315">
        <v>14</v>
      </c>
      <c r="G8315">
        <v>98969</v>
      </c>
      <c r="H8315" s="1" t="s">
        <v>1827</v>
      </c>
      <c r="I8315">
        <v>0</v>
      </c>
      <c r="J8315">
        <f>IF($H8315=0,1,IF($I8315&lt;=1,2,0))</f>
        <v>2</v>
      </c>
      <c r="K8315">
        <v>0</v>
      </c>
      <c r="L8315">
        <f>IF(AND($J8315=0,$K8315=0),0,1)</f>
        <v>1</v>
      </c>
    </row>
    <row r="8316" spans="1:12" x14ac:dyDescent="0.2">
      <c r="A8316" t="s">
        <v>218</v>
      </c>
      <c r="B8316" t="s">
        <v>71</v>
      </c>
      <c r="C8316" t="s">
        <v>72</v>
      </c>
      <c r="D8316">
        <v>3303</v>
      </c>
      <c r="E8316">
        <v>2019</v>
      </c>
      <c r="F8316">
        <v>15</v>
      </c>
      <c r="G8316">
        <v>98968</v>
      </c>
      <c r="H8316" s="1" t="s">
        <v>1827</v>
      </c>
      <c r="I8316">
        <v>0</v>
      </c>
      <c r="J8316">
        <f>IF($H8316=0,1,IF($I8316&lt;=1,2,0))</f>
        <v>2</v>
      </c>
      <c r="K8316">
        <v>0</v>
      </c>
      <c r="L8316">
        <f>IF(AND($J8316=0,$K8316=0),0,1)</f>
        <v>1</v>
      </c>
    </row>
    <row r="8317" spans="1:12" x14ac:dyDescent="0.2">
      <c r="A8317" t="s">
        <v>218</v>
      </c>
      <c r="B8317" t="s">
        <v>71</v>
      </c>
      <c r="C8317" t="s">
        <v>72</v>
      </c>
      <c r="D8317">
        <v>3303</v>
      </c>
      <c r="E8317">
        <v>2019</v>
      </c>
      <c r="F8317">
        <v>16</v>
      </c>
      <c r="G8317">
        <v>98967</v>
      </c>
      <c r="H8317" s="1" t="s">
        <v>1827</v>
      </c>
      <c r="I8317">
        <v>0</v>
      </c>
      <c r="J8317">
        <f>IF($H8317=0,1,IF($I8317&lt;=1,2,0))</f>
        <v>2</v>
      </c>
      <c r="K8317">
        <v>0</v>
      </c>
      <c r="L8317">
        <f>IF(AND($J8317=0,$K8317=0),0,1)</f>
        <v>1</v>
      </c>
    </row>
    <row r="8318" spans="1:12" x14ac:dyDescent="0.2">
      <c r="A8318" t="s">
        <v>218</v>
      </c>
      <c r="B8318" t="s">
        <v>71</v>
      </c>
      <c r="C8318" t="s">
        <v>72</v>
      </c>
      <c r="D8318">
        <v>3303</v>
      </c>
      <c r="E8318">
        <v>2019</v>
      </c>
      <c r="F8318">
        <v>17</v>
      </c>
      <c r="G8318">
        <v>98966</v>
      </c>
      <c r="H8318" s="1" t="s">
        <v>1827</v>
      </c>
      <c r="I8318">
        <v>0</v>
      </c>
      <c r="J8318">
        <f>IF($H8318=0,1,IF($I8318&lt;=1,2,0))</f>
        <v>2</v>
      </c>
      <c r="K8318">
        <v>0</v>
      </c>
      <c r="L8318">
        <f>IF(AND($J8318=0,$K8318=0),0,1)</f>
        <v>1</v>
      </c>
    </row>
    <row r="8319" spans="1:12" x14ac:dyDescent="0.2">
      <c r="A8319" t="s">
        <v>218</v>
      </c>
      <c r="B8319" t="s">
        <v>71</v>
      </c>
      <c r="C8319" t="s">
        <v>72</v>
      </c>
      <c r="D8319">
        <v>3303</v>
      </c>
      <c r="E8319">
        <v>2019</v>
      </c>
      <c r="F8319">
        <v>18</v>
      </c>
      <c r="G8319">
        <v>18076</v>
      </c>
      <c r="H8319" s="1" t="s">
        <v>1827</v>
      </c>
      <c r="I8319">
        <v>0</v>
      </c>
      <c r="J8319">
        <f>IF($H8319=0,1,IF($I8319&lt;=1,2,0))</f>
        <v>2</v>
      </c>
      <c r="K8319">
        <v>0</v>
      </c>
      <c r="L8319">
        <f>IF(AND($J8319=0,$K8319=0),0,1)</f>
        <v>1</v>
      </c>
    </row>
    <row r="8320" spans="1:12" x14ac:dyDescent="0.2">
      <c r="A8320" t="s">
        <v>218</v>
      </c>
      <c r="B8320" t="s">
        <v>71</v>
      </c>
      <c r="C8320" t="s">
        <v>72</v>
      </c>
      <c r="D8320">
        <v>3304</v>
      </c>
      <c r="E8320">
        <v>2019</v>
      </c>
      <c r="F8320">
        <v>9</v>
      </c>
      <c r="G8320">
        <v>99025</v>
      </c>
      <c r="H8320" s="1" t="s">
        <v>1827</v>
      </c>
      <c r="I8320">
        <v>1</v>
      </c>
      <c r="J8320">
        <f>IF($H8320=0,1,IF($I8320&lt;=1,2,0))</f>
        <v>2</v>
      </c>
      <c r="K8320">
        <v>0</v>
      </c>
      <c r="L8320">
        <f>IF(AND($J8320=0,$K8320=0),0,1)</f>
        <v>1</v>
      </c>
    </row>
    <row r="8321" spans="1:13" x14ac:dyDescent="0.2">
      <c r="A8321" t="s">
        <v>218</v>
      </c>
      <c r="B8321" t="s">
        <v>71</v>
      </c>
      <c r="C8321" t="s">
        <v>72</v>
      </c>
      <c r="D8321">
        <v>3304</v>
      </c>
      <c r="E8321">
        <v>2019</v>
      </c>
      <c r="F8321">
        <v>1</v>
      </c>
      <c r="G8321">
        <v>99033</v>
      </c>
      <c r="H8321" s="1" t="s">
        <v>1827</v>
      </c>
      <c r="I8321">
        <v>0</v>
      </c>
      <c r="J8321">
        <f>IF($H8321=0,1,IF($I8321&lt;=1,2,0))</f>
        <v>2</v>
      </c>
      <c r="K8321">
        <v>0</v>
      </c>
      <c r="L8321">
        <f>IF(AND($J8321=0,$K8321=0),0,1)</f>
        <v>1</v>
      </c>
    </row>
    <row r="8322" spans="1:13" x14ac:dyDescent="0.2">
      <c r="A8322" t="s">
        <v>218</v>
      </c>
      <c r="B8322" t="s">
        <v>71</v>
      </c>
      <c r="C8322" t="s">
        <v>72</v>
      </c>
      <c r="D8322">
        <v>3304</v>
      </c>
      <c r="E8322">
        <v>2019</v>
      </c>
      <c r="F8322">
        <v>2</v>
      </c>
      <c r="G8322">
        <v>99032</v>
      </c>
      <c r="H8322" s="1" t="s">
        <v>1827</v>
      </c>
      <c r="I8322">
        <v>0</v>
      </c>
      <c r="J8322">
        <f>IF($H8322=0,1,IF($I8322&lt;=1,2,0))</f>
        <v>2</v>
      </c>
      <c r="K8322">
        <v>0</v>
      </c>
      <c r="L8322">
        <f>IF(AND($J8322=0,$K8322=0),0,1)</f>
        <v>1</v>
      </c>
    </row>
    <row r="8323" spans="1:13" x14ac:dyDescent="0.2">
      <c r="A8323" t="s">
        <v>218</v>
      </c>
      <c r="B8323" t="s">
        <v>71</v>
      </c>
      <c r="C8323" t="s">
        <v>72</v>
      </c>
      <c r="D8323">
        <v>3304</v>
      </c>
      <c r="E8323">
        <v>2019</v>
      </c>
      <c r="F8323">
        <v>4</v>
      </c>
      <c r="G8323">
        <v>99030</v>
      </c>
      <c r="H8323" s="1" t="s">
        <v>1827</v>
      </c>
      <c r="I8323">
        <v>0</v>
      </c>
      <c r="J8323">
        <f>IF($H8323=0,1,IF($I8323&lt;=1,2,0))</f>
        <v>2</v>
      </c>
      <c r="K8323">
        <v>0</v>
      </c>
      <c r="L8323">
        <f>IF(AND($J8323=0,$K8323=0),0,1)</f>
        <v>1</v>
      </c>
    </row>
    <row r="8324" spans="1:13" x14ac:dyDescent="0.2">
      <c r="A8324" t="s">
        <v>218</v>
      </c>
      <c r="B8324" t="s">
        <v>71</v>
      </c>
      <c r="C8324" t="s">
        <v>72</v>
      </c>
      <c r="D8324">
        <v>3304</v>
      </c>
      <c r="E8324">
        <v>2019</v>
      </c>
      <c r="F8324">
        <v>5</v>
      </c>
      <c r="G8324">
        <v>99029</v>
      </c>
      <c r="H8324" s="1" t="s">
        <v>1827</v>
      </c>
      <c r="I8324">
        <v>0</v>
      </c>
      <c r="J8324">
        <f>IF($H8324=0,1,IF($I8324&lt;=1,2,0))</f>
        <v>2</v>
      </c>
      <c r="K8324">
        <v>0</v>
      </c>
      <c r="L8324">
        <f>IF(AND($J8324=0,$K8324=0),0,1)</f>
        <v>1</v>
      </c>
    </row>
    <row r="8325" spans="1:13" x14ac:dyDescent="0.2">
      <c r="A8325" t="s">
        <v>218</v>
      </c>
      <c r="B8325" t="s">
        <v>71</v>
      </c>
      <c r="C8325" t="s">
        <v>72</v>
      </c>
      <c r="D8325">
        <v>3304</v>
      </c>
      <c r="E8325">
        <v>2019</v>
      </c>
      <c r="F8325">
        <v>6</v>
      </c>
      <c r="G8325">
        <v>99028</v>
      </c>
      <c r="H8325" s="1" t="s">
        <v>1827</v>
      </c>
      <c r="I8325">
        <v>0</v>
      </c>
      <c r="J8325">
        <f>IF($H8325=0,1,IF($I8325&lt;=1,2,0))</f>
        <v>2</v>
      </c>
      <c r="K8325">
        <v>0</v>
      </c>
      <c r="L8325">
        <f>IF(AND($J8325=0,$K8325=0),0,1)</f>
        <v>1</v>
      </c>
    </row>
    <row r="8326" spans="1:13" x14ac:dyDescent="0.2">
      <c r="A8326" t="s">
        <v>218</v>
      </c>
      <c r="B8326" t="s">
        <v>71</v>
      </c>
      <c r="C8326" t="s">
        <v>72</v>
      </c>
      <c r="D8326">
        <v>3304</v>
      </c>
      <c r="E8326">
        <v>2019</v>
      </c>
      <c r="F8326">
        <v>8</v>
      </c>
      <c r="G8326">
        <v>99026</v>
      </c>
      <c r="H8326" s="1" t="s">
        <v>1827</v>
      </c>
      <c r="I8326">
        <v>0</v>
      </c>
      <c r="J8326">
        <f>IF($H8326=0,1,IF($I8326&lt;=1,2,0))</f>
        <v>2</v>
      </c>
      <c r="K8326">
        <v>0</v>
      </c>
      <c r="L8326">
        <f>IF(AND($J8326=0,$K8326=0),0,1)</f>
        <v>1</v>
      </c>
    </row>
    <row r="8327" spans="1:13" x14ac:dyDescent="0.2">
      <c r="A8327" t="s">
        <v>218</v>
      </c>
      <c r="B8327" t="s">
        <v>71</v>
      </c>
      <c r="C8327" t="s">
        <v>72</v>
      </c>
      <c r="D8327">
        <v>3304</v>
      </c>
      <c r="E8327">
        <v>2019</v>
      </c>
      <c r="F8327">
        <v>10</v>
      </c>
      <c r="G8327">
        <v>99024</v>
      </c>
      <c r="H8327" s="1" t="s">
        <v>1827</v>
      </c>
      <c r="I8327">
        <v>0</v>
      </c>
      <c r="J8327">
        <f>IF($H8327=0,1,IF($I8327&lt;=1,2,0))</f>
        <v>2</v>
      </c>
      <c r="K8327">
        <v>0</v>
      </c>
      <c r="L8327">
        <f>IF(AND($J8327=0,$K8327=0),0,1)</f>
        <v>1</v>
      </c>
    </row>
    <row r="8328" spans="1:13" x14ac:dyDescent="0.2">
      <c r="A8328" t="s">
        <v>218</v>
      </c>
      <c r="B8328" t="s">
        <v>71</v>
      </c>
      <c r="C8328" t="s">
        <v>72</v>
      </c>
      <c r="D8328">
        <v>3304</v>
      </c>
      <c r="E8328">
        <v>2019</v>
      </c>
      <c r="F8328">
        <v>11</v>
      </c>
      <c r="G8328">
        <v>99023</v>
      </c>
      <c r="H8328" s="1" t="s">
        <v>1827</v>
      </c>
      <c r="I8328">
        <v>0</v>
      </c>
      <c r="J8328">
        <f>IF($H8328=0,1,IF($I8328&lt;=1,2,0))</f>
        <v>2</v>
      </c>
      <c r="K8328">
        <v>0</v>
      </c>
      <c r="L8328">
        <f>IF(AND($J8328=0,$K8328=0),0,1)</f>
        <v>1</v>
      </c>
    </row>
    <row r="8329" spans="1:13" x14ac:dyDescent="0.2">
      <c r="A8329" t="s">
        <v>218</v>
      </c>
      <c r="B8329" t="s">
        <v>71</v>
      </c>
      <c r="C8329" t="s">
        <v>72</v>
      </c>
      <c r="D8329">
        <v>3304</v>
      </c>
      <c r="E8329">
        <v>2019</v>
      </c>
      <c r="F8329">
        <v>13</v>
      </c>
      <c r="G8329">
        <v>99021</v>
      </c>
      <c r="H8329" s="1" t="s">
        <v>1827</v>
      </c>
      <c r="I8329">
        <v>0</v>
      </c>
      <c r="J8329">
        <f>IF($H8329=0,1,IF($I8329&lt;=1,2,0))</f>
        <v>2</v>
      </c>
      <c r="K8329">
        <v>0</v>
      </c>
      <c r="L8329">
        <f>IF(AND($J8329=0,$K8329=0),0,1)</f>
        <v>1</v>
      </c>
    </row>
    <row r="8330" spans="1:13" x14ac:dyDescent="0.2">
      <c r="A8330" t="s">
        <v>218</v>
      </c>
      <c r="B8330" t="s">
        <v>71</v>
      </c>
      <c r="C8330" t="s">
        <v>72</v>
      </c>
      <c r="D8330">
        <v>3304</v>
      </c>
      <c r="E8330">
        <v>2019</v>
      </c>
      <c r="F8330">
        <v>14</v>
      </c>
      <c r="G8330">
        <v>99020</v>
      </c>
      <c r="H8330" s="1" t="s">
        <v>1827</v>
      </c>
      <c r="I8330">
        <v>0</v>
      </c>
      <c r="J8330">
        <f>IF($H8330=0,1,IF($I8330&lt;=1,2,0))</f>
        <v>2</v>
      </c>
      <c r="K8330">
        <v>0</v>
      </c>
      <c r="L8330">
        <f>IF(AND($J8330=0,$K8330=0),0,1)</f>
        <v>1</v>
      </c>
    </row>
    <row r="8331" spans="1:13" x14ac:dyDescent="0.2">
      <c r="A8331" t="s">
        <v>218</v>
      </c>
      <c r="B8331" t="s">
        <v>71</v>
      </c>
      <c r="C8331" t="s">
        <v>72</v>
      </c>
      <c r="D8331">
        <v>3304</v>
      </c>
      <c r="E8331">
        <v>2019</v>
      </c>
      <c r="F8331">
        <v>16</v>
      </c>
      <c r="G8331">
        <v>99018</v>
      </c>
      <c r="H8331" s="1" t="s">
        <v>1827</v>
      </c>
      <c r="I8331">
        <v>0</v>
      </c>
      <c r="J8331">
        <f>IF($H8331=0,1,IF($I8331&lt;=1,2,0))</f>
        <v>2</v>
      </c>
      <c r="K8331">
        <v>0</v>
      </c>
      <c r="L8331">
        <f>IF(AND($J8331=0,$K8331=0),0,1)</f>
        <v>1</v>
      </c>
    </row>
    <row r="8332" spans="1:13" x14ac:dyDescent="0.2">
      <c r="A8332" t="s">
        <v>218</v>
      </c>
      <c r="B8332" t="s">
        <v>71</v>
      </c>
      <c r="C8332" t="s">
        <v>72</v>
      </c>
      <c r="D8332">
        <v>3304</v>
      </c>
      <c r="E8332">
        <v>2019</v>
      </c>
      <c r="F8332">
        <v>17</v>
      </c>
      <c r="G8332">
        <v>99017</v>
      </c>
      <c r="H8332" s="1" t="s">
        <v>1827</v>
      </c>
      <c r="I8332">
        <v>0</v>
      </c>
      <c r="J8332">
        <f>IF($H8332=0,1,IF($I8332&lt;=1,2,0))</f>
        <v>2</v>
      </c>
      <c r="K8332">
        <v>0</v>
      </c>
      <c r="L8332">
        <f>IF(AND($J8332=0,$K8332=0),0,1)</f>
        <v>1</v>
      </c>
    </row>
    <row r="8333" spans="1:13" x14ac:dyDescent="0.2">
      <c r="A8333" t="s">
        <v>218</v>
      </c>
      <c r="B8333" t="s">
        <v>71</v>
      </c>
      <c r="C8333" t="s">
        <v>72</v>
      </c>
      <c r="D8333">
        <v>3999</v>
      </c>
      <c r="E8333">
        <v>2019</v>
      </c>
      <c r="F8333">
        <v>1</v>
      </c>
      <c r="G8333">
        <v>98965</v>
      </c>
      <c r="H8333" s="1" t="s">
        <v>1837</v>
      </c>
      <c r="I8333">
        <v>0</v>
      </c>
      <c r="J8333">
        <f>IF($H8333=0,1,IF($I8333&lt;=1,2,0))</f>
        <v>2</v>
      </c>
      <c r="K8333">
        <v>9</v>
      </c>
      <c r="L8333">
        <f>IF(AND($J8333=0,$K8333=0),0,1)</f>
        <v>1</v>
      </c>
    </row>
    <row r="8334" spans="1:13" x14ac:dyDescent="0.2">
      <c r="A8334" t="s">
        <v>218</v>
      </c>
      <c r="B8334" t="s">
        <v>71</v>
      </c>
      <c r="C8334" t="s">
        <v>72</v>
      </c>
      <c r="D8334">
        <v>4111</v>
      </c>
      <c r="E8334">
        <v>2019</v>
      </c>
      <c r="F8334">
        <v>1</v>
      </c>
      <c r="G8334">
        <v>99016</v>
      </c>
      <c r="H8334" s="1">
        <v>3</v>
      </c>
      <c r="I8334">
        <v>26</v>
      </c>
      <c r="J8334">
        <f>IF($H8334=0,1,IF($I8334&lt;=1,2,0))</f>
        <v>0</v>
      </c>
      <c r="K8334">
        <v>1</v>
      </c>
      <c r="L8334">
        <f>IF(AND($J8334=0,$K8334=0),0,1)</f>
        <v>1</v>
      </c>
    </row>
    <row r="8335" spans="1:13" x14ac:dyDescent="0.2">
      <c r="A8335" t="s">
        <v>218</v>
      </c>
      <c r="B8335" t="s">
        <v>71</v>
      </c>
      <c r="C8335" t="s">
        <v>72</v>
      </c>
      <c r="D8335">
        <v>4131</v>
      </c>
      <c r="E8335">
        <v>2019</v>
      </c>
      <c r="F8335">
        <v>2</v>
      </c>
      <c r="G8335">
        <v>10206</v>
      </c>
      <c r="H8335" s="1">
        <v>3</v>
      </c>
      <c r="I8335">
        <v>31</v>
      </c>
      <c r="J8335">
        <f>IF($H8335=0,1,IF($I8335&lt;=1,2,0))</f>
        <v>0</v>
      </c>
      <c r="K8335">
        <v>4</v>
      </c>
      <c r="L8335">
        <f>IF(AND($J8335=0,$K8335=0),0,1)</f>
        <v>1</v>
      </c>
      <c r="M8335" t="s">
        <v>220</v>
      </c>
    </row>
    <row r="8336" spans="1:13" x14ac:dyDescent="0.2">
      <c r="A8336" t="s">
        <v>218</v>
      </c>
      <c r="B8336" t="s">
        <v>71</v>
      </c>
      <c r="C8336" t="s">
        <v>72</v>
      </c>
      <c r="D8336">
        <v>4140</v>
      </c>
      <c r="E8336">
        <v>2019</v>
      </c>
      <c r="F8336">
        <v>1</v>
      </c>
      <c r="G8336">
        <v>98962</v>
      </c>
      <c r="H8336" s="1">
        <v>3</v>
      </c>
      <c r="I8336">
        <v>52</v>
      </c>
      <c r="J8336">
        <f>IF($H8336=0,1,IF($I8336&lt;=1,2,0))</f>
        <v>0</v>
      </c>
      <c r="K8336">
        <v>1</v>
      </c>
      <c r="L8336">
        <f>IF(AND($J8336=0,$K8336=0),0,1)</f>
        <v>1</v>
      </c>
    </row>
    <row r="8337" spans="1:13" x14ac:dyDescent="0.2">
      <c r="A8337" t="s">
        <v>218</v>
      </c>
      <c r="B8337" t="s">
        <v>71</v>
      </c>
      <c r="C8337" t="s">
        <v>72</v>
      </c>
      <c r="D8337">
        <v>4999</v>
      </c>
      <c r="E8337">
        <v>2019</v>
      </c>
      <c r="F8337">
        <v>1</v>
      </c>
      <c r="G8337">
        <v>99039</v>
      </c>
      <c r="H8337" s="1" t="s">
        <v>221</v>
      </c>
      <c r="I8337">
        <v>22</v>
      </c>
      <c r="J8337">
        <f>IF($H8337=0,1,IF($I8337&lt;=1,2,0))</f>
        <v>0</v>
      </c>
      <c r="K8337">
        <v>9</v>
      </c>
      <c r="L8337">
        <f>IF(AND($J8337=0,$K8337=0),0,1)</f>
        <v>1</v>
      </c>
    </row>
    <row r="8338" spans="1:13" x14ac:dyDescent="0.2">
      <c r="A8338" t="s">
        <v>218</v>
      </c>
      <c r="B8338" t="s">
        <v>71</v>
      </c>
      <c r="C8338" t="s">
        <v>72</v>
      </c>
      <c r="D8338">
        <v>9101</v>
      </c>
      <c r="E8338">
        <v>2019</v>
      </c>
      <c r="F8338">
        <v>16</v>
      </c>
      <c r="G8338">
        <v>98943</v>
      </c>
      <c r="H8338" s="1" t="s">
        <v>1828</v>
      </c>
      <c r="I8338">
        <v>13</v>
      </c>
      <c r="J8338">
        <f>IF($H8338=0,1,IF($I8338&lt;=1,2,0))</f>
        <v>0</v>
      </c>
      <c r="K8338">
        <v>5</v>
      </c>
      <c r="L8338">
        <f>IF(AND($J8338=0,$K8338=0),0,1)</f>
        <v>1</v>
      </c>
    </row>
    <row r="8339" spans="1:13" x14ac:dyDescent="0.2">
      <c r="A8339" t="s">
        <v>218</v>
      </c>
      <c r="B8339" t="s">
        <v>71</v>
      </c>
      <c r="C8339" t="s">
        <v>72</v>
      </c>
      <c r="D8339">
        <v>9101</v>
      </c>
      <c r="E8339">
        <v>2019</v>
      </c>
      <c r="F8339">
        <v>18</v>
      </c>
      <c r="G8339">
        <v>98941</v>
      </c>
      <c r="H8339" s="1" t="s">
        <v>1828</v>
      </c>
      <c r="I8339">
        <v>10</v>
      </c>
      <c r="J8339">
        <f>IF($H8339=0,1,IF($I8339&lt;=1,2,0))</f>
        <v>0</v>
      </c>
      <c r="K8339">
        <v>5</v>
      </c>
      <c r="L8339">
        <f>IF(AND($J8339=0,$K8339=0),0,1)</f>
        <v>1</v>
      </c>
    </row>
    <row r="8340" spans="1:13" x14ac:dyDescent="0.2">
      <c r="A8340" t="s">
        <v>218</v>
      </c>
      <c r="B8340" t="s">
        <v>71</v>
      </c>
      <c r="C8340" t="s">
        <v>72</v>
      </c>
      <c r="D8340">
        <v>9101</v>
      </c>
      <c r="E8340">
        <v>2019</v>
      </c>
      <c r="F8340">
        <v>15</v>
      </c>
      <c r="G8340">
        <v>98944</v>
      </c>
      <c r="H8340" s="1" t="s">
        <v>1828</v>
      </c>
      <c r="I8340">
        <v>7</v>
      </c>
      <c r="J8340">
        <f>IF($H8340=0,1,IF($I8340&lt;=1,2,0))</f>
        <v>0</v>
      </c>
      <c r="K8340">
        <v>5</v>
      </c>
      <c r="L8340">
        <f>IF(AND($J8340=0,$K8340=0),0,1)</f>
        <v>1</v>
      </c>
    </row>
    <row r="8341" spans="1:13" x14ac:dyDescent="0.2">
      <c r="A8341" t="s">
        <v>218</v>
      </c>
      <c r="B8341" t="s">
        <v>71</v>
      </c>
      <c r="C8341" t="s">
        <v>72</v>
      </c>
      <c r="D8341">
        <v>9101</v>
      </c>
      <c r="E8341">
        <v>2019</v>
      </c>
      <c r="F8341">
        <v>5</v>
      </c>
      <c r="G8341">
        <v>98954</v>
      </c>
      <c r="H8341" s="1" t="s">
        <v>1828</v>
      </c>
      <c r="I8341">
        <v>3</v>
      </c>
      <c r="J8341">
        <f>IF($H8341=0,1,IF($I8341&lt;=1,2,0))</f>
        <v>0</v>
      </c>
      <c r="K8341">
        <v>5</v>
      </c>
      <c r="L8341">
        <f>IF(AND($J8341=0,$K8341=0),0,1)</f>
        <v>1</v>
      </c>
    </row>
    <row r="8342" spans="1:13" x14ac:dyDescent="0.2">
      <c r="A8342" t="s">
        <v>218</v>
      </c>
      <c r="B8342" t="s">
        <v>71</v>
      </c>
      <c r="C8342" t="s">
        <v>72</v>
      </c>
      <c r="D8342">
        <v>9101</v>
      </c>
      <c r="E8342">
        <v>2019</v>
      </c>
      <c r="F8342">
        <v>12</v>
      </c>
      <c r="G8342">
        <v>98947</v>
      </c>
      <c r="H8342" s="1" t="s">
        <v>1828</v>
      </c>
      <c r="I8342">
        <v>3</v>
      </c>
      <c r="J8342">
        <f>IF($H8342=0,1,IF($I8342&lt;=1,2,0))</f>
        <v>0</v>
      </c>
      <c r="K8342">
        <v>5</v>
      </c>
      <c r="L8342">
        <f>IF(AND($J8342=0,$K8342=0),0,1)</f>
        <v>1</v>
      </c>
    </row>
    <row r="8343" spans="1:13" x14ac:dyDescent="0.2">
      <c r="A8343" t="s">
        <v>218</v>
      </c>
      <c r="B8343" t="s">
        <v>71</v>
      </c>
      <c r="C8343" t="s">
        <v>72</v>
      </c>
      <c r="D8343">
        <v>9101</v>
      </c>
      <c r="E8343">
        <v>2019</v>
      </c>
      <c r="F8343">
        <v>4</v>
      </c>
      <c r="G8343">
        <v>98955</v>
      </c>
      <c r="H8343" s="1" t="s">
        <v>1828</v>
      </c>
      <c r="I8343">
        <v>2</v>
      </c>
      <c r="J8343">
        <f>IF($H8343=0,1,IF($I8343&lt;=1,2,0))</f>
        <v>0</v>
      </c>
      <c r="K8343">
        <v>5</v>
      </c>
      <c r="L8343">
        <f>IF(AND($J8343=0,$K8343=0),0,1)</f>
        <v>1</v>
      </c>
    </row>
    <row r="8344" spans="1:13" x14ac:dyDescent="0.2">
      <c r="A8344" t="s">
        <v>218</v>
      </c>
      <c r="B8344" t="s">
        <v>71</v>
      </c>
      <c r="C8344" t="s">
        <v>72</v>
      </c>
      <c r="D8344">
        <v>9101</v>
      </c>
      <c r="E8344">
        <v>2019</v>
      </c>
      <c r="F8344">
        <v>10</v>
      </c>
      <c r="G8344">
        <v>98949</v>
      </c>
      <c r="H8344" s="1" t="s">
        <v>1828</v>
      </c>
      <c r="I8344">
        <v>2</v>
      </c>
      <c r="J8344">
        <f>IF($H8344=0,1,IF($I8344&lt;=1,2,0))</f>
        <v>0</v>
      </c>
      <c r="K8344">
        <v>5</v>
      </c>
      <c r="L8344">
        <f>IF(AND($J8344=0,$K8344=0),0,1)</f>
        <v>1</v>
      </c>
    </row>
    <row r="8345" spans="1:13" x14ac:dyDescent="0.2">
      <c r="A8345" t="s">
        <v>218</v>
      </c>
      <c r="B8345" t="s">
        <v>71</v>
      </c>
      <c r="C8345" t="s">
        <v>72</v>
      </c>
      <c r="D8345">
        <v>9101</v>
      </c>
      <c r="E8345">
        <v>2019</v>
      </c>
      <c r="F8345">
        <v>13</v>
      </c>
      <c r="G8345">
        <v>98946</v>
      </c>
      <c r="H8345" s="1" t="s">
        <v>1828</v>
      </c>
      <c r="I8345">
        <v>2</v>
      </c>
      <c r="J8345">
        <f>IF($H8345=0,1,IF($I8345&lt;=1,2,0))</f>
        <v>0</v>
      </c>
      <c r="K8345">
        <v>5</v>
      </c>
      <c r="L8345">
        <f>IF(AND($J8345=0,$K8345=0),0,1)</f>
        <v>1</v>
      </c>
    </row>
    <row r="8346" spans="1:13" x14ac:dyDescent="0.2">
      <c r="A8346" t="s">
        <v>218</v>
      </c>
      <c r="B8346" t="s">
        <v>71</v>
      </c>
      <c r="C8346" t="s">
        <v>72</v>
      </c>
      <c r="D8346">
        <v>9101</v>
      </c>
      <c r="E8346">
        <v>2019</v>
      </c>
      <c r="F8346">
        <v>17</v>
      </c>
      <c r="G8346">
        <v>98942</v>
      </c>
      <c r="H8346" s="1" t="s">
        <v>1828</v>
      </c>
      <c r="I8346">
        <v>2</v>
      </c>
      <c r="J8346">
        <f>IF($H8346=0,1,IF($I8346&lt;=1,2,0))</f>
        <v>0</v>
      </c>
      <c r="K8346">
        <v>5</v>
      </c>
      <c r="L8346">
        <f>IF(AND($J8346=0,$K8346=0),0,1)</f>
        <v>1</v>
      </c>
    </row>
    <row r="8347" spans="1:13" x14ac:dyDescent="0.2">
      <c r="A8347" t="s">
        <v>218</v>
      </c>
      <c r="B8347" t="s">
        <v>71</v>
      </c>
      <c r="C8347" t="s">
        <v>72</v>
      </c>
      <c r="D8347">
        <v>9101</v>
      </c>
      <c r="E8347">
        <v>2019</v>
      </c>
      <c r="F8347">
        <v>1</v>
      </c>
      <c r="G8347">
        <v>98958</v>
      </c>
      <c r="H8347" s="1" t="s">
        <v>1828</v>
      </c>
      <c r="I8347">
        <v>1</v>
      </c>
      <c r="J8347">
        <f>IF($H8347=0,1,IF($I8347&lt;=1,2,0))</f>
        <v>2</v>
      </c>
      <c r="K8347">
        <v>5</v>
      </c>
      <c r="L8347">
        <f>IF(AND($J8347=0,$K8347=0),0,1)</f>
        <v>1</v>
      </c>
    </row>
    <row r="8348" spans="1:13" x14ac:dyDescent="0.2">
      <c r="A8348" t="s">
        <v>218</v>
      </c>
      <c r="B8348" t="s">
        <v>71</v>
      </c>
      <c r="C8348" t="s">
        <v>72</v>
      </c>
      <c r="D8348">
        <v>9101</v>
      </c>
      <c r="E8348">
        <v>2019</v>
      </c>
      <c r="F8348">
        <v>6</v>
      </c>
      <c r="G8348">
        <v>98953</v>
      </c>
      <c r="H8348" s="1" t="s">
        <v>1828</v>
      </c>
      <c r="I8348">
        <v>1</v>
      </c>
      <c r="J8348">
        <f>IF($H8348=0,1,IF($I8348&lt;=1,2,0))</f>
        <v>2</v>
      </c>
      <c r="K8348">
        <v>5</v>
      </c>
      <c r="L8348">
        <f>IF(AND($J8348=0,$K8348=0),0,1)</f>
        <v>1</v>
      </c>
    </row>
    <row r="8349" spans="1:13" x14ac:dyDescent="0.2">
      <c r="A8349" t="s">
        <v>218</v>
      </c>
      <c r="B8349" t="s">
        <v>71</v>
      </c>
      <c r="C8349" t="s">
        <v>72</v>
      </c>
      <c r="D8349">
        <v>9101</v>
      </c>
      <c r="E8349">
        <v>2019</v>
      </c>
      <c r="F8349">
        <v>9</v>
      </c>
      <c r="G8349">
        <v>98950</v>
      </c>
      <c r="H8349" s="1" t="s">
        <v>1828</v>
      </c>
      <c r="I8349">
        <v>1</v>
      </c>
      <c r="J8349">
        <f>IF($H8349=0,1,IF($I8349&lt;=1,2,0))</f>
        <v>2</v>
      </c>
      <c r="K8349">
        <v>5</v>
      </c>
      <c r="L8349">
        <f>IF(AND($J8349=0,$K8349=0),0,1)</f>
        <v>1</v>
      </c>
    </row>
    <row r="8350" spans="1:13" x14ac:dyDescent="0.2">
      <c r="A8350" t="s">
        <v>218</v>
      </c>
      <c r="B8350" t="s">
        <v>71</v>
      </c>
      <c r="C8350" t="s">
        <v>72</v>
      </c>
      <c r="D8350">
        <v>9101</v>
      </c>
      <c r="E8350">
        <v>2019</v>
      </c>
      <c r="F8350">
        <v>11</v>
      </c>
      <c r="G8350">
        <v>98948</v>
      </c>
      <c r="H8350" s="1" t="s">
        <v>1828</v>
      </c>
      <c r="I8350">
        <v>1</v>
      </c>
      <c r="J8350">
        <f>IF($H8350=0,1,IF($I8350&lt;=1,2,0))</f>
        <v>2</v>
      </c>
      <c r="K8350">
        <v>5</v>
      </c>
      <c r="L8350">
        <f>IF(AND($J8350=0,$K8350=0),0,1)</f>
        <v>1</v>
      </c>
    </row>
    <row r="8351" spans="1:13" x14ac:dyDescent="0.2">
      <c r="A8351" t="s">
        <v>218</v>
      </c>
      <c r="B8351" t="s">
        <v>71</v>
      </c>
      <c r="C8351" t="s">
        <v>72</v>
      </c>
      <c r="D8351">
        <v>9101</v>
      </c>
      <c r="E8351">
        <v>2019</v>
      </c>
      <c r="F8351">
        <v>20</v>
      </c>
      <c r="G8351">
        <v>98939</v>
      </c>
      <c r="H8351" s="1" t="s">
        <v>1828</v>
      </c>
      <c r="I8351">
        <v>1</v>
      </c>
      <c r="J8351">
        <f>IF($H8351=0,1,IF($I8351&lt;=1,2,0))</f>
        <v>2</v>
      </c>
      <c r="K8351">
        <v>5</v>
      </c>
      <c r="L8351">
        <f>IF(AND($J8351=0,$K8351=0),0,1)</f>
        <v>1</v>
      </c>
      <c r="M8351" t="s">
        <v>222</v>
      </c>
    </row>
    <row r="8352" spans="1:13" x14ac:dyDescent="0.2">
      <c r="A8352" t="s">
        <v>218</v>
      </c>
      <c r="B8352" t="s">
        <v>71</v>
      </c>
      <c r="C8352" t="s">
        <v>72</v>
      </c>
      <c r="D8352">
        <v>9101</v>
      </c>
      <c r="E8352">
        <v>2019</v>
      </c>
      <c r="F8352">
        <v>22</v>
      </c>
      <c r="G8352">
        <v>18814</v>
      </c>
      <c r="H8352" s="1" t="s">
        <v>1828</v>
      </c>
      <c r="I8352">
        <v>1</v>
      </c>
      <c r="J8352">
        <f>IF($H8352=0,1,IF($I8352&lt;=1,2,0))</f>
        <v>2</v>
      </c>
      <c r="K8352">
        <v>5</v>
      </c>
      <c r="L8352">
        <f>IF(AND($J8352=0,$K8352=0),0,1)</f>
        <v>1</v>
      </c>
    </row>
    <row r="8353" spans="1:13" x14ac:dyDescent="0.2">
      <c r="A8353" t="s">
        <v>218</v>
      </c>
      <c r="B8353" t="s">
        <v>71</v>
      </c>
      <c r="C8353" t="s">
        <v>72</v>
      </c>
      <c r="D8353">
        <v>9101</v>
      </c>
      <c r="E8353">
        <v>2019</v>
      </c>
      <c r="F8353">
        <v>2</v>
      </c>
      <c r="G8353">
        <v>98957</v>
      </c>
      <c r="H8353" s="1" t="s">
        <v>1828</v>
      </c>
      <c r="I8353">
        <v>0</v>
      </c>
      <c r="J8353">
        <f>IF($H8353=0,1,IF($I8353&lt;=1,2,0))</f>
        <v>2</v>
      </c>
      <c r="K8353">
        <v>5</v>
      </c>
      <c r="L8353">
        <f>IF(AND($J8353=0,$K8353=0),0,1)</f>
        <v>1</v>
      </c>
    </row>
    <row r="8354" spans="1:13" x14ac:dyDescent="0.2">
      <c r="A8354" t="s">
        <v>218</v>
      </c>
      <c r="B8354" t="s">
        <v>71</v>
      </c>
      <c r="C8354" t="s">
        <v>72</v>
      </c>
      <c r="D8354">
        <v>9101</v>
      </c>
      <c r="E8354">
        <v>2019</v>
      </c>
      <c r="F8354">
        <v>8</v>
      </c>
      <c r="G8354">
        <v>98951</v>
      </c>
      <c r="H8354" s="1" t="s">
        <v>1828</v>
      </c>
      <c r="I8354">
        <v>0</v>
      </c>
      <c r="J8354">
        <f>IF($H8354=0,1,IF($I8354&lt;=1,2,0))</f>
        <v>2</v>
      </c>
      <c r="K8354">
        <v>5</v>
      </c>
      <c r="L8354">
        <f>IF(AND($J8354=0,$K8354=0),0,1)</f>
        <v>1</v>
      </c>
    </row>
    <row r="8355" spans="1:13" x14ac:dyDescent="0.2">
      <c r="A8355" t="s">
        <v>218</v>
      </c>
      <c r="B8355" t="s">
        <v>71</v>
      </c>
      <c r="C8355" t="s">
        <v>72</v>
      </c>
      <c r="D8355">
        <v>9101</v>
      </c>
      <c r="E8355">
        <v>2019</v>
      </c>
      <c r="F8355">
        <v>14</v>
      </c>
      <c r="G8355">
        <v>98945</v>
      </c>
      <c r="H8355" s="1" t="s">
        <v>1828</v>
      </c>
      <c r="I8355">
        <v>0</v>
      </c>
      <c r="J8355">
        <f>IF($H8355=0,1,IF($I8355&lt;=1,2,0))</f>
        <v>2</v>
      </c>
      <c r="K8355">
        <v>5</v>
      </c>
      <c r="L8355">
        <f>IF(AND($J8355=0,$K8355=0),0,1)</f>
        <v>1</v>
      </c>
    </row>
    <row r="8356" spans="1:13" x14ac:dyDescent="0.2">
      <c r="A8356" t="s">
        <v>218</v>
      </c>
      <c r="B8356" t="s">
        <v>71</v>
      </c>
      <c r="C8356" t="s">
        <v>72</v>
      </c>
      <c r="D8356">
        <v>9101</v>
      </c>
      <c r="E8356">
        <v>2019</v>
      </c>
      <c r="F8356">
        <v>19</v>
      </c>
      <c r="G8356">
        <v>98940</v>
      </c>
      <c r="H8356" s="1" t="s">
        <v>1828</v>
      </c>
      <c r="I8356">
        <v>0</v>
      </c>
      <c r="J8356">
        <f>IF($H8356=0,1,IF($I8356&lt;=1,2,0))</f>
        <v>2</v>
      </c>
      <c r="K8356">
        <v>5</v>
      </c>
      <c r="L8356">
        <f>IF(AND($J8356=0,$K8356=0),0,1)</f>
        <v>1</v>
      </c>
    </row>
    <row r="8357" spans="1:13" x14ac:dyDescent="0.2">
      <c r="A8357" t="s">
        <v>218</v>
      </c>
      <c r="B8357" t="s">
        <v>71</v>
      </c>
      <c r="C8357" t="s">
        <v>72</v>
      </c>
      <c r="D8357">
        <v>9101</v>
      </c>
      <c r="E8357">
        <v>2019</v>
      </c>
      <c r="F8357">
        <v>21</v>
      </c>
      <c r="G8357">
        <v>18075</v>
      </c>
      <c r="H8357" s="1" t="s">
        <v>1828</v>
      </c>
      <c r="I8357">
        <v>0</v>
      </c>
      <c r="J8357">
        <f>IF($H8357=0,1,IF($I8357&lt;=1,2,0))</f>
        <v>2</v>
      </c>
      <c r="K8357">
        <v>5</v>
      </c>
      <c r="L8357">
        <f>IF(AND($J8357=0,$K8357=0),0,1)</f>
        <v>1</v>
      </c>
    </row>
    <row r="8358" spans="1:13" x14ac:dyDescent="0.2">
      <c r="A8358" t="s">
        <v>218</v>
      </c>
      <c r="B8358" t="s">
        <v>71</v>
      </c>
      <c r="C8358" t="s">
        <v>72</v>
      </c>
      <c r="D8358">
        <v>9500</v>
      </c>
      <c r="E8358">
        <v>2019</v>
      </c>
      <c r="F8358">
        <v>1</v>
      </c>
      <c r="G8358">
        <v>99010</v>
      </c>
      <c r="H8358" s="1">
        <v>0</v>
      </c>
      <c r="I8358">
        <v>3</v>
      </c>
      <c r="J8358">
        <f>IF($H8358=0,1,IF($I8358&lt;=1,2,0))</f>
        <v>1</v>
      </c>
      <c r="K8358">
        <v>5</v>
      </c>
      <c r="L8358">
        <f>IF(AND($J8358=0,$K8358=0),0,1)</f>
        <v>1</v>
      </c>
    </row>
    <row r="8359" spans="1:13" x14ac:dyDescent="0.2">
      <c r="A8359" t="s">
        <v>218</v>
      </c>
      <c r="B8359" t="s">
        <v>71</v>
      </c>
      <c r="C8359" t="s">
        <v>72</v>
      </c>
      <c r="D8359">
        <v>9800</v>
      </c>
      <c r="E8359">
        <v>2019</v>
      </c>
      <c r="F8359">
        <v>1</v>
      </c>
      <c r="G8359">
        <v>98922</v>
      </c>
      <c r="H8359" s="1" t="s">
        <v>1838</v>
      </c>
      <c r="I8359">
        <v>0</v>
      </c>
      <c r="J8359">
        <f>IF($H8359=0,1,IF($I8359&lt;=1,2,0))</f>
        <v>2</v>
      </c>
      <c r="K8359">
        <v>5</v>
      </c>
      <c r="L8359">
        <f>IF(AND($J8359=0,$K8359=0),0,1)</f>
        <v>1</v>
      </c>
    </row>
    <row r="8360" spans="1:13" x14ac:dyDescent="0.2">
      <c r="A8360" t="s">
        <v>218</v>
      </c>
      <c r="B8360" t="s">
        <v>71</v>
      </c>
      <c r="C8360" t="s">
        <v>72</v>
      </c>
      <c r="D8360">
        <v>9800</v>
      </c>
      <c r="E8360">
        <v>2019</v>
      </c>
      <c r="F8360">
        <v>2</v>
      </c>
      <c r="G8360">
        <v>98921</v>
      </c>
      <c r="H8360" s="1" t="s">
        <v>1838</v>
      </c>
      <c r="I8360">
        <v>0</v>
      </c>
      <c r="J8360">
        <f>IF($H8360=0,1,IF($I8360&lt;=1,2,0))</f>
        <v>2</v>
      </c>
      <c r="K8360">
        <v>5</v>
      </c>
      <c r="L8360">
        <f>IF(AND($J8360=0,$K8360=0),0,1)</f>
        <v>1</v>
      </c>
    </row>
    <row r="8361" spans="1:13" x14ac:dyDescent="0.2">
      <c r="A8361" t="s">
        <v>223</v>
      </c>
      <c r="B8361" t="s">
        <v>6</v>
      </c>
      <c r="C8361" t="s">
        <v>9</v>
      </c>
      <c r="D8361">
        <v>3060</v>
      </c>
      <c r="E8361">
        <v>2019</v>
      </c>
      <c r="F8361">
        <v>1</v>
      </c>
      <c r="G8361">
        <v>10462</v>
      </c>
      <c r="H8361" s="1">
        <v>0</v>
      </c>
      <c r="I8361">
        <v>16</v>
      </c>
      <c r="J8361">
        <f>IF($H8361=0,1,IF($I8361&lt;=1,2,0))</f>
        <v>1</v>
      </c>
      <c r="K8361">
        <v>0</v>
      </c>
      <c r="L8361">
        <f>IF(AND($J8361=0,$K8361=0),0,1)</f>
        <v>1</v>
      </c>
    </row>
    <row r="8362" spans="1:13" x14ac:dyDescent="0.2">
      <c r="A8362" t="s">
        <v>226</v>
      </c>
      <c r="B8362" t="s">
        <v>17</v>
      </c>
      <c r="C8362" t="s">
        <v>9</v>
      </c>
      <c r="D8362">
        <v>4822</v>
      </c>
      <c r="E8362">
        <v>2019</v>
      </c>
      <c r="F8362" t="s">
        <v>59</v>
      </c>
      <c r="G8362">
        <v>18648</v>
      </c>
      <c r="H8362" s="1">
        <v>0</v>
      </c>
      <c r="I8362">
        <v>16</v>
      </c>
      <c r="J8362">
        <f>IF($H8362=0,1,IF($I8362&lt;=1,2,0))</f>
        <v>1</v>
      </c>
      <c r="K8362">
        <v>0</v>
      </c>
      <c r="L8362">
        <f>IF(AND($J8362=0,$K8362=0),0,1)</f>
        <v>1</v>
      </c>
      <c r="M8362" t="s">
        <v>228</v>
      </c>
    </row>
    <row r="8363" spans="1:13" x14ac:dyDescent="0.2">
      <c r="A8363" t="s">
        <v>226</v>
      </c>
      <c r="B8363" t="s">
        <v>17</v>
      </c>
      <c r="C8363" t="s">
        <v>9</v>
      </c>
      <c r="D8363">
        <v>4822</v>
      </c>
      <c r="E8363">
        <v>2019</v>
      </c>
      <c r="F8363" t="s">
        <v>78</v>
      </c>
      <c r="G8363">
        <v>18652</v>
      </c>
      <c r="H8363" s="1">
        <v>0</v>
      </c>
      <c r="I8363">
        <v>13</v>
      </c>
      <c r="J8363">
        <f>IF($H8363=0,1,IF($I8363&lt;=1,2,0))</f>
        <v>1</v>
      </c>
      <c r="K8363">
        <v>0</v>
      </c>
      <c r="L8363">
        <f>IF(AND($J8363=0,$K8363=0),0,1)</f>
        <v>1</v>
      </c>
    </row>
    <row r="8364" spans="1:13" x14ac:dyDescent="0.2">
      <c r="A8364" t="s">
        <v>226</v>
      </c>
      <c r="B8364" t="s">
        <v>17</v>
      </c>
      <c r="C8364" t="s">
        <v>9</v>
      </c>
      <c r="D8364">
        <v>4822</v>
      </c>
      <c r="E8364">
        <v>2019</v>
      </c>
      <c r="F8364" t="s">
        <v>77</v>
      </c>
      <c r="G8364">
        <v>18651</v>
      </c>
      <c r="H8364" s="1">
        <v>0</v>
      </c>
      <c r="I8364">
        <v>11</v>
      </c>
      <c r="J8364">
        <f>IF($H8364=0,1,IF($I8364&lt;=1,2,0))</f>
        <v>1</v>
      </c>
      <c r="K8364">
        <v>0</v>
      </c>
      <c r="L8364">
        <f>IF(AND($J8364=0,$K8364=0),0,1)</f>
        <v>1</v>
      </c>
    </row>
    <row r="8365" spans="1:13" x14ac:dyDescent="0.2">
      <c r="A8365" t="s">
        <v>226</v>
      </c>
      <c r="B8365" t="s">
        <v>17</v>
      </c>
      <c r="C8365" t="s">
        <v>9</v>
      </c>
      <c r="D8365">
        <v>4822</v>
      </c>
      <c r="E8365">
        <v>2019</v>
      </c>
      <c r="F8365" t="s">
        <v>79</v>
      </c>
      <c r="G8365">
        <v>18653</v>
      </c>
      <c r="H8365" s="1">
        <v>0</v>
      </c>
      <c r="I8365">
        <v>9</v>
      </c>
      <c r="J8365">
        <f>IF($H8365=0,1,IF($I8365&lt;=1,2,0))</f>
        <v>1</v>
      </c>
      <c r="K8365">
        <v>0</v>
      </c>
      <c r="L8365">
        <f>IF(AND($J8365=0,$K8365=0),0,1)</f>
        <v>1</v>
      </c>
    </row>
    <row r="8366" spans="1:13" x14ac:dyDescent="0.2">
      <c r="A8366" t="s">
        <v>232</v>
      </c>
      <c r="B8366" t="s">
        <v>17</v>
      </c>
      <c r="C8366" t="s">
        <v>11</v>
      </c>
      <c r="D8366">
        <v>4997</v>
      </c>
      <c r="E8366">
        <v>2019</v>
      </c>
      <c r="F8366">
        <v>1</v>
      </c>
      <c r="G8366">
        <v>10602</v>
      </c>
      <c r="H8366" s="1">
        <v>3</v>
      </c>
      <c r="I8366">
        <v>1</v>
      </c>
      <c r="J8366">
        <f>IF($H8366=0,1,IF($I8366&lt;=1,2,0))</f>
        <v>2</v>
      </c>
      <c r="K8366">
        <v>9</v>
      </c>
      <c r="L8366">
        <f>IF(AND($J8366=0,$K8366=0),0,1)</f>
        <v>1</v>
      </c>
    </row>
    <row r="8367" spans="1:13" x14ac:dyDescent="0.2">
      <c r="A8367" t="s">
        <v>234</v>
      </c>
      <c r="B8367" t="s">
        <v>17</v>
      </c>
      <c r="C8367" t="s">
        <v>11</v>
      </c>
      <c r="D8367">
        <v>4901</v>
      </c>
      <c r="E8367">
        <v>2019</v>
      </c>
      <c r="F8367">
        <v>2</v>
      </c>
      <c r="G8367">
        <v>48656</v>
      </c>
      <c r="H8367" s="1">
        <v>3</v>
      </c>
      <c r="I8367">
        <v>1</v>
      </c>
      <c r="J8367">
        <f>IF($H8367=0,1,IF($I8367&lt;=1,2,0))</f>
        <v>2</v>
      </c>
      <c r="K8367">
        <v>0</v>
      </c>
      <c r="L8367">
        <f>IF(AND($J8367=0,$K8367=0),0,1)</f>
        <v>1</v>
      </c>
    </row>
    <row r="8368" spans="1:13" x14ac:dyDescent="0.2">
      <c r="A8368" t="s">
        <v>234</v>
      </c>
      <c r="B8368" t="s">
        <v>17</v>
      </c>
      <c r="C8368" t="s">
        <v>11</v>
      </c>
      <c r="D8368">
        <v>4901</v>
      </c>
      <c r="E8368">
        <v>2019</v>
      </c>
      <c r="F8368">
        <v>1</v>
      </c>
      <c r="G8368">
        <v>48655</v>
      </c>
      <c r="H8368" s="1">
        <v>3</v>
      </c>
      <c r="I8368">
        <v>0</v>
      </c>
      <c r="J8368">
        <f>IF($H8368=0,1,IF($I8368&lt;=1,2,0))</f>
        <v>2</v>
      </c>
      <c r="K8368">
        <v>0</v>
      </c>
      <c r="L8368">
        <f>IF(AND($J8368=0,$K8368=0),0,1)</f>
        <v>1</v>
      </c>
    </row>
    <row r="8369" spans="1:12" x14ac:dyDescent="0.2">
      <c r="A8369" t="s">
        <v>234</v>
      </c>
      <c r="B8369" t="s">
        <v>17</v>
      </c>
      <c r="C8369" t="s">
        <v>11</v>
      </c>
      <c r="D8369">
        <v>4901</v>
      </c>
      <c r="E8369">
        <v>2019</v>
      </c>
      <c r="F8369">
        <v>3</v>
      </c>
      <c r="G8369">
        <v>48657</v>
      </c>
      <c r="H8369" s="1">
        <v>3</v>
      </c>
      <c r="I8369">
        <v>0</v>
      </c>
      <c r="J8369">
        <f>IF($H8369=0,1,IF($I8369&lt;=1,2,0))</f>
        <v>2</v>
      </c>
      <c r="K8369">
        <v>0</v>
      </c>
      <c r="L8369">
        <f>IF(AND($J8369=0,$K8369=0),0,1)</f>
        <v>1</v>
      </c>
    </row>
    <row r="8370" spans="1:12" x14ac:dyDescent="0.2">
      <c r="A8370" t="s">
        <v>234</v>
      </c>
      <c r="B8370" t="s">
        <v>17</v>
      </c>
      <c r="C8370" t="s">
        <v>11</v>
      </c>
      <c r="D8370">
        <v>4901</v>
      </c>
      <c r="E8370">
        <v>2019</v>
      </c>
      <c r="F8370">
        <v>4</v>
      </c>
      <c r="G8370">
        <v>48658</v>
      </c>
      <c r="H8370" s="1">
        <v>3</v>
      </c>
      <c r="I8370">
        <v>0</v>
      </c>
      <c r="J8370">
        <f>IF($H8370=0,1,IF($I8370&lt;=1,2,0))</f>
        <v>2</v>
      </c>
      <c r="K8370">
        <v>0</v>
      </c>
      <c r="L8370">
        <f>IF(AND($J8370=0,$K8370=0),0,1)</f>
        <v>1</v>
      </c>
    </row>
    <row r="8371" spans="1:12" x14ac:dyDescent="0.2">
      <c r="A8371" t="s">
        <v>234</v>
      </c>
      <c r="B8371" t="s">
        <v>17</v>
      </c>
      <c r="C8371" t="s">
        <v>11</v>
      </c>
      <c r="D8371">
        <v>4901</v>
      </c>
      <c r="E8371">
        <v>2019</v>
      </c>
      <c r="F8371">
        <v>5</v>
      </c>
      <c r="G8371">
        <v>48659</v>
      </c>
      <c r="H8371" s="1">
        <v>3</v>
      </c>
      <c r="I8371">
        <v>0</v>
      </c>
      <c r="J8371">
        <f>IF($H8371=0,1,IF($I8371&lt;=1,2,0))</f>
        <v>2</v>
      </c>
      <c r="K8371">
        <v>0</v>
      </c>
      <c r="L8371">
        <f>IF(AND($J8371=0,$K8371=0),0,1)</f>
        <v>1</v>
      </c>
    </row>
    <row r="8372" spans="1:12" x14ac:dyDescent="0.2">
      <c r="A8372" t="s">
        <v>234</v>
      </c>
      <c r="B8372" t="s">
        <v>17</v>
      </c>
      <c r="C8372" t="s">
        <v>11</v>
      </c>
      <c r="D8372">
        <v>4901</v>
      </c>
      <c r="E8372">
        <v>2019</v>
      </c>
      <c r="F8372">
        <v>7</v>
      </c>
      <c r="G8372">
        <v>48661</v>
      </c>
      <c r="H8372" s="1">
        <v>3</v>
      </c>
      <c r="I8372">
        <v>0</v>
      </c>
      <c r="J8372">
        <f>IF($H8372=0,1,IF($I8372&lt;=1,2,0))</f>
        <v>2</v>
      </c>
      <c r="K8372">
        <v>0</v>
      </c>
      <c r="L8372">
        <f>IF(AND($J8372=0,$K8372=0),0,1)</f>
        <v>1</v>
      </c>
    </row>
    <row r="8373" spans="1:12" x14ac:dyDescent="0.2">
      <c r="A8373" t="s">
        <v>234</v>
      </c>
      <c r="B8373" t="s">
        <v>17</v>
      </c>
      <c r="C8373" t="s">
        <v>11</v>
      </c>
      <c r="D8373">
        <v>4901</v>
      </c>
      <c r="E8373">
        <v>2019</v>
      </c>
      <c r="F8373">
        <v>8</v>
      </c>
      <c r="G8373">
        <v>48662</v>
      </c>
      <c r="H8373" s="1">
        <v>3</v>
      </c>
      <c r="I8373">
        <v>0</v>
      </c>
      <c r="J8373">
        <f>IF($H8373=0,1,IF($I8373&lt;=1,2,0))</f>
        <v>2</v>
      </c>
      <c r="K8373">
        <v>0</v>
      </c>
      <c r="L8373">
        <f>IF(AND($J8373=0,$K8373=0),0,1)</f>
        <v>1</v>
      </c>
    </row>
    <row r="8374" spans="1:12" x14ac:dyDescent="0.2">
      <c r="A8374" t="s">
        <v>234</v>
      </c>
      <c r="B8374" t="s">
        <v>17</v>
      </c>
      <c r="C8374" t="s">
        <v>11</v>
      </c>
      <c r="D8374">
        <v>4901</v>
      </c>
      <c r="E8374">
        <v>2019</v>
      </c>
      <c r="F8374">
        <v>9</v>
      </c>
      <c r="G8374">
        <v>48663</v>
      </c>
      <c r="H8374" s="1">
        <v>3</v>
      </c>
      <c r="I8374">
        <v>0</v>
      </c>
      <c r="J8374">
        <f>IF($H8374=0,1,IF($I8374&lt;=1,2,0))</f>
        <v>2</v>
      </c>
      <c r="K8374">
        <v>0</v>
      </c>
      <c r="L8374">
        <f>IF(AND($J8374=0,$K8374=0),0,1)</f>
        <v>1</v>
      </c>
    </row>
    <row r="8375" spans="1:12" x14ac:dyDescent="0.2">
      <c r="A8375" t="s">
        <v>234</v>
      </c>
      <c r="B8375" t="s">
        <v>17</v>
      </c>
      <c r="C8375" t="s">
        <v>11</v>
      </c>
      <c r="D8375">
        <v>4901</v>
      </c>
      <c r="E8375">
        <v>2019</v>
      </c>
      <c r="F8375">
        <v>10</v>
      </c>
      <c r="G8375">
        <v>48664</v>
      </c>
      <c r="H8375" s="1">
        <v>3</v>
      </c>
      <c r="I8375">
        <v>0</v>
      </c>
      <c r="J8375">
        <f>IF($H8375=0,1,IF($I8375&lt;=1,2,0))</f>
        <v>2</v>
      </c>
      <c r="K8375">
        <v>0</v>
      </c>
      <c r="L8375">
        <f>IF(AND($J8375=0,$K8375=0),0,1)</f>
        <v>1</v>
      </c>
    </row>
    <row r="8376" spans="1:12" x14ac:dyDescent="0.2">
      <c r="A8376" t="s">
        <v>234</v>
      </c>
      <c r="B8376" t="s">
        <v>17</v>
      </c>
      <c r="C8376" t="s">
        <v>11</v>
      </c>
      <c r="D8376">
        <v>4901</v>
      </c>
      <c r="E8376">
        <v>2019</v>
      </c>
      <c r="F8376">
        <v>11</v>
      </c>
      <c r="G8376">
        <v>48665</v>
      </c>
      <c r="H8376" s="1">
        <v>3</v>
      </c>
      <c r="I8376">
        <v>0</v>
      </c>
      <c r="J8376">
        <f>IF($H8376=0,1,IF($I8376&lt;=1,2,0))</f>
        <v>2</v>
      </c>
      <c r="K8376">
        <v>0</v>
      </c>
      <c r="L8376">
        <f>IF(AND($J8376=0,$K8376=0),0,1)</f>
        <v>1</v>
      </c>
    </row>
    <row r="8377" spans="1:12" x14ac:dyDescent="0.2">
      <c r="A8377" t="s">
        <v>234</v>
      </c>
      <c r="B8377" t="s">
        <v>17</v>
      </c>
      <c r="C8377" t="s">
        <v>11</v>
      </c>
      <c r="D8377">
        <v>5000</v>
      </c>
      <c r="E8377">
        <v>2019</v>
      </c>
      <c r="F8377">
        <v>1</v>
      </c>
      <c r="G8377">
        <v>48666</v>
      </c>
      <c r="H8377" s="1">
        <v>4</v>
      </c>
      <c r="I8377">
        <v>1</v>
      </c>
      <c r="J8377">
        <f>IF($H8377=0,1,IF($I8377&lt;=1,2,0))</f>
        <v>2</v>
      </c>
      <c r="K8377">
        <v>0</v>
      </c>
      <c r="L8377">
        <f>IF(AND($J8377=0,$K8377=0),0,1)</f>
        <v>1</v>
      </c>
    </row>
    <row r="8378" spans="1:12" x14ac:dyDescent="0.2">
      <c r="A8378" t="s">
        <v>235</v>
      </c>
      <c r="B8378" t="s">
        <v>17</v>
      </c>
      <c r="C8378" t="s">
        <v>9</v>
      </c>
      <c r="D8378">
        <v>4999</v>
      </c>
      <c r="E8378">
        <v>2019</v>
      </c>
      <c r="F8378">
        <v>2</v>
      </c>
      <c r="G8378">
        <v>18825</v>
      </c>
      <c r="H8378" s="1" t="s">
        <v>1824</v>
      </c>
      <c r="I8378">
        <v>1</v>
      </c>
      <c r="J8378">
        <f>IF($H8378=0,1,IF($I8378&lt;=1,2,0))</f>
        <v>2</v>
      </c>
      <c r="K8378">
        <v>9</v>
      </c>
      <c r="L8378">
        <f>IF(AND($J8378=0,$K8378=0),0,1)</f>
        <v>1</v>
      </c>
    </row>
    <row r="8379" spans="1:12" x14ac:dyDescent="0.2">
      <c r="A8379" t="s">
        <v>242</v>
      </c>
      <c r="B8379" t="s">
        <v>71</v>
      </c>
      <c r="C8379" t="s">
        <v>9</v>
      </c>
      <c r="D8379">
        <v>1012</v>
      </c>
      <c r="E8379">
        <v>2019</v>
      </c>
      <c r="F8379">
        <v>9</v>
      </c>
      <c r="G8379">
        <v>18706</v>
      </c>
      <c r="H8379" s="1">
        <v>0</v>
      </c>
      <c r="I8379">
        <v>41</v>
      </c>
      <c r="J8379">
        <f>IF($H8379=0,1,IF($I8379&lt;=1,2,0))</f>
        <v>1</v>
      </c>
      <c r="K8379">
        <v>0</v>
      </c>
      <c r="L8379">
        <f>IF(AND($J8379=0,$K8379=0),0,1)</f>
        <v>1</v>
      </c>
    </row>
    <row r="8380" spans="1:12" x14ac:dyDescent="0.2">
      <c r="A8380" t="s">
        <v>242</v>
      </c>
      <c r="B8380" t="s">
        <v>71</v>
      </c>
      <c r="C8380" t="s">
        <v>9</v>
      </c>
      <c r="D8380">
        <v>1012</v>
      </c>
      <c r="E8380">
        <v>2019</v>
      </c>
      <c r="F8380">
        <v>8</v>
      </c>
      <c r="G8380">
        <v>18705</v>
      </c>
      <c r="H8380" s="1">
        <v>0</v>
      </c>
      <c r="I8380">
        <v>39</v>
      </c>
      <c r="J8380">
        <f>IF($H8380=0,1,IF($I8380&lt;=1,2,0))</f>
        <v>1</v>
      </c>
      <c r="K8380">
        <v>0</v>
      </c>
      <c r="L8380">
        <f>IF(AND($J8380=0,$K8380=0),0,1)</f>
        <v>1</v>
      </c>
    </row>
    <row r="8381" spans="1:12" x14ac:dyDescent="0.2">
      <c r="A8381" t="s">
        <v>242</v>
      </c>
      <c r="B8381" t="s">
        <v>71</v>
      </c>
      <c r="C8381" t="s">
        <v>9</v>
      </c>
      <c r="D8381">
        <v>1012</v>
      </c>
      <c r="E8381">
        <v>2019</v>
      </c>
      <c r="F8381">
        <v>6</v>
      </c>
      <c r="G8381">
        <v>18703</v>
      </c>
      <c r="H8381" s="1">
        <v>0</v>
      </c>
      <c r="I8381">
        <v>31</v>
      </c>
      <c r="J8381">
        <f>IF($H8381=0,1,IF($I8381&lt;=1,2,0))</f>
        <v>1</v>
      </c>
      <c r="K8381">
        <v>0</v>
      </c>
      <c r="L8381">
        <f>IF(AND($J8381=0,$K8381=0),0,1)</f>
        <v>1</v>
      </c>
    </row>
    <row r="8382" spans="1:12" x14ac:dyDescent="0.2">
      <c r="A8382" t="s">
        <v>242</v>
      </c>
      <c r="B8382" t="s">
        <v>71</v>
      </c>
      <c r="C8382" t="s">
        <v>9</v>
      </c>
      <c r="D8382">
        <v>1012</v>
      </c>
      <c r="E8382">
        <v>2019</v>
      </c>
      <c r="F8382">
        <v>1</v>
      </c>
      <c r="G8382">
        <v>18696</v>
      </c>
      <c r="H8382" s="1">
        <v>0</v>
      </c>
      <c r="I8382">
        <v>27</v>
      </c>
      <c r="J8382">
        <f>IF($H8382=0,1,IF($I8382&lt;=1,2,0))</f>
        <v>1</v>
      </c>
      <c r="K8382">
        <v>0</v>
      </c>
      <c r="L8382">
        <f>IF(AND($J8382=0,$K8382=0),0,1)</f>
        <v>1</v>
      </c>
    </row>
    <row r="8383" spans="1:12" x14ac:dyDescent="0.2">
      <c r="A8383" t="s">
        <v>242</v>
      </c>
      <c r="B8383" t="s">
        <v>71</v>
      </c>
      <c r="C8383" t="s">
        <v>9</v>
      </c>
      <c r="D8383">
        <v>1012</v>
      </c>
      <c r="E8383">
        <v>2019</v>
      </c>
      <c r="F8383">
        <v>4</v>
      </c>
      <c r="G8383">
        <v>18700</v>
      </c>
      <c r="H8383" s="1">
        <v>0</v>
      </c>
      <c r="I8383">
        <v>22</v>
      </c>
      <c r="J8383">
        <f>IF($H8383=0,1,IF($I8383&lt;=1,2,0))</f>
        <v>1</v>
      </c>
      <c r="K8383">
        <v>0</v>
      </c>
      <c r="L8383">
        <f>IF(AND($J8383=0,$K8383=0),0,1)</f>
        <v>1</v>
      </c>
    </row>
    <row r="8384" spans="1:12" x14ac:dyDescent="0.2">
      <c r="A8384" t="s">
        <v>242</v>
      </c>
      <c r="B8384" t="s">
        <v>71</v>
      </c>
      <c r="C8384" t="s">
        <v>9</v>
      </c>
      <c r="D8384">
        <v>1012</v>
      </c>
      <c r="E8384">
        <v>2019</v>
      </c>
      <c r="F8384">
        <v>3</v>
      </c>
      <c r="G8384">
        <v>18699</v>
      </c>
      <c r="H8384" s="1">
        <v>0</v>
      </c>
      <c r="I8384">
        <v>16</v>
      </c>
      <c r="J8384">
        <f>IF($H8384=0,1,IF($I8384&lt;=1,2,0))</f>
        <v>1</v>
      </c>
      <c r="K8384">
        <v>0</v>
      </c>
      <c r="L8384">
        <f>IF(AND($J8384=0,$K8384=0),0,1)</f>
        <v>1</v>
      </c>
    </row>
    <row r="8385" spans="1:13" x14ac:dyDescent="0.2">
      <c r="A8385" t="s">
        <v>242</v>
      </c>
      <c r="B8385" t="s">
        <v>71</v>
      </c>
      <c r="C8385" t="s">
        <v>9</v>
      </c>
      <c r="D8385">
        <v>1012</v>
      </c>
      <c r="E8385">
        <v>2019</v>
      </c>
      <c r="F8385">
        <v>7</v>
      </c>
      <c r="G8385">
        <v>18704</v>
      </c>
      <c r="H8385" s="1">
        <v>0</v>
      </c>
      <c r="I8385">
        <v>16</v>
      </c>
      <c r="J8385">
        <f>IF($H8385=0,1,IF($I8385&lt;=1,2,0))</f>
        <v>1</v>
      </c>
      <c r="K8385">
        <v>0</v>
      </c>
      <c r="L8385">
        <f>IF(AND($J8385=0,$K8385=0),0,1)</f>
        <v>1</v>
      </c>
    </row>
    <row r="8386" spans="1:13" x14ac:dyDescent="0.2">
      <c r="A8386" t="s">
        <v>242</v>
      </c>
      <c r="B8386" t="s">
        <v>71</v>
      </c>
      <c r="C8386" t="s">
        <v>9</v>
      </c>
      <c r="D8386">
        <v>1012</v>
      </c>
      <c r="E8386">
        <v>2019</v>
      </c>
      <c r="F8386">
        <v>2</v>
      </c>
      <c r="G8386">
        <v>18697</v>
      </c>
      <c r="H8386" s="1">
        <v>0</v>
      </c>
      <c r="I8386">
        <v>11</v>
      </c>
      <c r="J8386">
        <f>IF($H8386=0,1,IF($I8386&lt;=1,2,0))</f>
        <v>1</v>
      </c>
      <c r="K8386">
        <v>0</v>
      </c>
      <c r="L8386">
        <f>IF(AND($J8386=0,$K8386=0),0,1)</f>
        <v>1</v>
      </c>
    </row>
    <row r="8387" spans="1:13" x14ac:dyDescent="0.2">
      <c r="A8387" t="s">
        <v>242</v>
      </c>
      <c r="B8387" t="s">
        <v>71</v>
      </c>
      <c r="C8387" t="s">
        <v>9</v>
      </c>
      <c r="D8387">
        <v>1012</v>
      </c>
      <c r="E8387">
        <v>2019</v>
      </c>
      <c r="F8387">
        <v>5</v>
      </c>
      <c r="G8387">
        <v>18702</v>
      </c>
      <c r="H8387" s="1">
        <v>0</v>
      </c>
      <c r="I8387">
        <v>6</v>
      </c>
      <c r="J8387">
        <f>IF($H8387=0,1,IF($I8387&lt;=1,2,0))</f>
        <v>1</v>
      </c>
      <c r="K8387">
        <v>0</v>
      </c>
      <c r="L8387">
        <f>IF(AND($J8387=0,$K8387=0),0,1)</f>
        <v>1</v>
      </c>
    </row>
    <row r="8388" spans="1:13" x14ac:dyDescent="0.2">
      <c r="A8388" t="s">
        <v>242</v>
      </c>
      <c r="B8388" t="s">
        <v>71</v>
      </c>
      <c r="C8388" t="s">
        <v>2</v>
      </c>
      <c r="D8388">
        <v>3364</v>
      </c>
      <c r="E8388">
        <v>2019</v>
      </c>
      <c r="F8388">
        <v>1</v>
      </c>
      <c r="G8388">
        <v>196</v>
      </c>
      <c r="H8388" s="1">
        <v>3</v>
      </c>
      <c r="I8388">
        <v>16</v>
      </c>
      <c r="J8388">
        <f>IF($H8388=0,1,IF($I8388&lt;=1,2,0))</f>
        <v>0</v>
      </c>
      <c r="K8388">
        <v>7</v>
      </c>
      <c r="L8388">
        <f>IF(AND($J8388=0,$K8388=0),0,1)</f>
        <v>1</v>
      </c>
    </row>
    <row r="8389" spans="1:13" x14ac:dyDescent="0.2">
      <c r="A8389" t="s">
        <v>242</v>
      </c>
      <c r="B8389" t="s">
        <v>71</v>
      </c>
      <c r="C8389" t="s">
        <v>2</v>
      </c>
      <c r="D8389">
        <v>3420</v>
      </c>
      <c r="E8389">
        <v>2019</v>
      </c>
      <c r="F8389">
        <v>1</v>
      </c>
      <c r="G8389">
        <v>116</v>
      </c>
      <c r="H8389" s="1">
        <v>4</v>
      </c>
      <c r="I8389">
        <v>22</v>
      </c>
      <c r="J8389">
        <f>IF($H8389=0,1,IF($I8389&lt;=1,2,0))</f>
        <v>0</v>
      </c>
      <c r="K8389">
        <v>7</v>
      </c>
      <c r="L8389">
        <f>IF(AND($J8389=0,$K8389=0),0,1)</f>
        <v>1</v>
      </c>
    </row>
    <row r="8390" spans="1:13" x14ac:dyDescent="0.2">
      <c r="A8390" t="s">
        <v>255</v>
      </c>
      <c r="B8390" t="s">
        <v>17</v>
      </c>
      <c r="C8390" t="s">
        <v>9</v>
      </c>
      <c r="D8390">
        <v>3997</v>
      </c>
      <c r="E8390">
        <v>2019</v>
      </c>
      <c r="F8390">
        <v>2</v>
      </c>
      <c r="G8390">
        <v>18175</v>
      </c>
      <c r="H8390" s="1" t="s">
        <v>1827</v>
      </c>
      <c r="I8390">
        <v>0</v>
      </c>
      <c r="J8390">
        <f>IF($H8390=0,1,IF($I8390&lt;=1,2,0))</f>
        <v>2</v>
      </c>
      <c r="K8390">
        <v>9</v>
      </c>
      <c r="L8390">
        <f>IF(AND($J8390=0,$K8390=0),0,1)</f>
        <v>1</v>
      </c>
    </row>
    <row r="8391" spans="1:13" x14ac:dyDescent="0.2">
      <c r="A8391" t="s">
        <v>255</v>
      </c>
      <c r="B8391" t="s">
        <v>17</v>
      </c>
      <c r="C8391" t="s">
        <v>2</v>
      </c>
      <c r="D8391">
        <v>4161</v>
      </c>
      <c r="E8391">
        <v>2019</v>
      </c>
      <c r="F8391">
        <v>1</v>
      </c>
      <c r="G8391">
        <v>7599</v>
      </c>
      <c r="H8391" s="1">
        <v>4</v>
      </c>
      <c r="I8391">
        <v>5</v>
      </c>
      <c r="J8391">
        <f>IF($H8391=0,1,IF($I8391&lt;=1,2,0))</f>
        <v>0</v>
      </c>
      <c r="K8391">
        <v>7</v>
      </c>
      <c r="L8391">
        <f>IF(AND($J8391=0,$K8391=0),0,1)</f>
        <v>1</v>
      </c>
      <c r="M8391" t="s">
        <v>1920</v>
      </c>
    </row>
    <row r="8392" spans="1:13" x14ac:dyDescent="0.2">
      <c r="A8392" t="s">
        <v>255</v>
      </c>
      <c r="B8392" t="s">
        <v>17</v>
      </c>
      <c r="C8392" t="s">
        <v>9</v>
      </c>
      <c r="D8392">
        <v>4998</v>
      </c>
      <c r="E8392">
        <v>2019</v>
      </c>
      <c r="F8392">
        <v>4</v>
      </c>
      <c r="G8392">
        <v>20183</v>
      </c>
      <c r="H8392" s="1" t="s">
        <v>1827</v>
      </c>
      <c r="I8392">
        <v>3</v>
      </c>
      <c r="J8392">
        <f>IF($H8392=0,1,IF($I8392&lt;=1,2,0))</f>
        <v>0</v>
      </c>
      <c r="K8392">
        <v>9</v>
      </c>
      <c r="L8392">
        <f>IF(AND($J8392=0,$K8392=0),0,1)</f>
        <v>1</v>
      </c>
    </row>
    <row r="8393" spans="1:13" x14ac:dyDescent="0.2">
      <c r="A8393" t="s">
        <v>255</v>
      </c>
      <c r="B8393" t="s">
        <v>17</v>
      </c>
      <c r="C8393" t="s">
        <v>11</v>
      </c>
      <c r="D8393">
        <v>6998</v>
      </c>
      <c r="E8393">
        <v>2019</v>
      </c>
      <c r="F8393">
        <v>3</v>
      </c>
      <c r="G8393">
        <v>18796</v>
      </c>
      <c r="H8393" s="1" t="s">
        <v>1823</v>
      </c>
      <c r="I8393">
        <v>0</v>
      </c>
      <c r="J8393">
        <f>IF($H8393=0,1,IF($I8393&lt;=1,2,0))</f>
        <v>2</v>
      </c>
      <c r="K8393">
        <v>0</v>
      </c>
      <c r="L8393">
        <f>IF(AND($J8393=0,$K8393=0),0,1)</f>
        <v>1</v>
      </c>
    </row>
    <row r="8394" spans="1:13" x14ac:dyDescent="0.2">
      <c r="A8394" t="s">
        <v>258</v>
      </c>
      <c r="B8394" t="s">
        <v>17</v>
      </c>
      <c r="C8394" t="s">
        <v>2</v>
      </c>
      <c r="D8394">
        <v>3000</v>
      </c>
      <c r="E8394">
        <v>2019</v>
      </c>
      <c r="F8394">
        <v>1</v>
      </c>
      <c r="G8394">
        <v>7601</v>
      </c>
      <c r="H8394" s="1">
        <v>4</v>
      </c>
      <c r="I8394">
        <v>10</v>
      </c>
      <c r="J8394">
        <f>IF($H8394=0,1,IF($I8394&lt;=1,2,0))</f>
        <v>0</v>
      </c>
      <c r="K8394">
        <v>7</v>
      </c>
      <c r="L8394">
        <f>IF(AND($J8394=0,$K8394=0),0,1)</f>
        <v>1</v>
      </c>
    </row>
    <row r="8395" spans="1:13" x14ac:dyDescent="0.2">
      <c r="A8395" t="s">
        <v>258</v>
      </c>
      <c r="B8395" t="s">
        <v>17</v>
      </c>
      <c r="C8395" t="s">
        <v>2</v>
      </c>
      <c r="D8395">
        <v>3001</v>
      </c>
      <c r="E8395">
        <v>2019</v>
      </c>
      <c r="F8395">
        <v>1</v>
      </c>
      <c r="G8395">
        <v>7594</v>
      </c>
      <c r="H8395" s="1">
        <v>3</v>
      </c>
      <c r="I8395">
        <v>18</v>
      </c>
      <c r="J8395">
        <f>IF($H8395=0,1,IF($I8395&lt;=1,2,0))</f>
        <v>0</v>
      </c>
      <c r="K8395">
        <v>7</v>
      </c>
      <c r="L8395">
        <f>IF(AND($J8395=0,$K8395=0),0,1)</f>
        <v>1</v>
      </c>
    </row>
    <row r="8396" spans="1:13" x14ac:dyDescent="0.2">
      <c r="A8396" t="s">
        <v>258</v>
      </c>
      <c r="B8396" t="s">
        <v>17</v>
      </c>
      <c r="C8396" t="s">
        <v>2</v>
      </c>
      <c r="D8396">
        <v>3110</v>
      </c>
      <c r="E8396">
        <v>2019</v>
      </c>
      <c r="F8396">
        <v>1</v>
      </c>
      <c r="G8396">
        <v>7592</v>
      </c>
      <c r="H8396" s="1">
        <v>3</v>
      </c>
      <c r="I8396">
        <v>52</v>
      </c>
      <c r="J8396">
        <f>IF($H8396=0,1,IF($I8396&lt;=1,2,0))</f>
        <v>0</v>
      </c>
      <c r="K8396">
        <v>7</v>
      </c>
      <c r="L8396">
        <f>IF(AND($J8396=0,$K8396=0),0,1)</f>
        <v>1</v>
      </c>
      <c r="M8396" t="s">
        <v>259</v>
      </c>
    </row>
    <row r="8397" spans="1:13" x14ac:dyDescent="0.2">
      <c r="A8397" t="s">
        <v>258</v>
      </c>
      <c r="B8397" t="s">
        <v>17</v>
      </c>
      <c r="C8397" t="s">
        <v>2</v>
      </c>
      <c r="D8397">
        <v>3123</v>
      </c>
      <c r="E8397">
        <v>2019</v>
      </c>
      <c r="F8397">
        <v>1</v>
      </c>
      <c r="G8397">
        <v>7595</v>
      </c>
      <c r="H8397" s="1">
        <v>3</v>
      </c>
      <c r="I8397">
        <v>5</v>
      </c>
      <c r="J8397">
        <f>IF($H8397=0,1,IF($I8397&lt;=1,2,0))</f>
        <v>0</v>
      </c>
      <c r="K8397">
        <v>7</v>
      </c>
      <c r="L8397">
        <f>IF(AND($J8397=0,$K8397=0),0,1)</f>
        <v>1</v>
      </c>
    </row>
    <row r="8398" spans="1:13" x14ac:dyDescent="0.2">
      <c r="A8398" t="s">
        <v>258</v>
      </c>
      <c r="B8398" t="s">
        <v>17</v>
      </c>
      <c r="C8398" t="s">
        <v>2</v>
      </c>
      <c r="D8398">
        <v>3144</v>
      </c>
      <c r="E8398">
        <v>2019</v>
      </c>
      <c r="F8398">
        <v>1</v>
      </c>
      <c r="G8398">
        <v>7590</v>
      </c>
      <c r="H8398" s="1">
        <v>3</v>
      </c>
      <c r="I8398">
        <v>12</v>
      </c>
      <c r="J8398">
        <f>IF($H8398=0,1,IF($I8398&lt;=1,2,0))</f>
        <v>0</v>
      </c>
      <c r="K8398">
        <v>7</v>
      </c>
      <c r="L8398">
        <f>IF(AND($J8398=0,$K8398=0),0,1)</f>
        <v>1</v>
      </c>
    </row>
    <row r="8399" spans="1:13" x14ac:dyDescent="0.2">
      <c r="A8399" t="s">
        <v>258</v>
      </c>
      <c r="B8399" t="s">
        <v>17</v>
      </c>
      <c r="C8399" t="s">
        <v>2</v>
      </c>
      <c r="D8399">
        <v>3551</v>
      </c>
      <c r="E8399">
        <v>2019</v>
      </c>
      <c r="F8399">
        <v>1</v>
      </c>
      <c r="G8399">
        <v>7593</v>
      </c>
      <c r="H8399" s="1">
        <v>4</v>
      </c>
      <c r="I8399">
        <v>11</v>
      </c>
      <c r="J8399">
        <f>IF($H8399=0,1,IF($I8399&lt;=1,2,0))</f>
        <v>0</v>
      </c>
      <c r="K8399">
        <v>7</v>
      </c>
      <c r="L8399">
        <f>IF(AND($J8399=0,$K8399=0),0,1)</f>
        <v>1</v>
      </c>
      <c r="M8399" t="s">
        <v>260</v>
      </c>
    </row>
    <row r="8400" spans="1:13" x14ac:dyDescent="0.2">
      <c r="A8400" t="s">
        <v>258</v>
      </c>
      <c r="B8400" t="s">
        <v>17</v>
      </c>
      <c r="C8400" t="s">
        <v>2</v>
      </c>
      <c r="D8400">
        <v>3999</v>
      </c>
      <c r="E8400">
        <v>2019</v>
      </c>
      <c r="F8400">
        <v>1</v>
      </c>
      <c r="G8400">
        <v>246</v>
      </c>
      <c r="H8400" s="1" t="s">
        <v>1823</v>
      </c>
      <c r="I8400">
        <v>1</v>
      </c>
      <c r="J8400">
        <f>IF($H8400=0,1,IF($I8400&lt;=1,2,0))</f>
        <v>2</v>
      </c>
      <c r="K8400">
        <v>7</v>
      </c>
      <c r="L8400">
        <f>IF(AND($J8400=0,$K8400=0),0,1)</f>
        <v>1</v>
      </c>
    </row>
    <row r="8401" spans="1:13" x14ac:dyDescent="0.2">
      <c r="A8401" t="s">
        <v>262</v>
      </c>
      <c r="B8401" t="s">
        <v>6</v>
      </c>
      <c r="C8401" t="s">
        <v>11</v>
      </c>
      <c r="D8401">
        <v>4998</v>
      </c>
      <c r="E8401">
        <v>2019</v>
      </c>
      <c r="F8401">
        <v>6</v>
      </c>
      <c r="G8401">
        <v>14391</v>
      </c>
      <c r="H8401" s="1" t="s">
        <v>1827</v>
      </c>
      <c r="I8401">
        <v>1</v>
      </c>
      <c r="J8401">
        <f>IF($H8401=0,1,IF($I8401&lt;=1,2,0))</f>
        <v>2</v>
      </c>
      <c r="K8401">
        <v>9</v>
      </c>
      <c r="L8401">
        <f>IF(AND($J8401=0,$K8401=0),0,1)</f>
        <v>1</v>
      </c>
    </row>
    <row r="8402" spans="1:13" x14ac:dyDescent="0.2">
      <c r="A8402" t="s">
        <v>262</v>
      </c>
      <c r="B8402" t="s">
        <v>6</v>
      </c>
      <c r="C8402" t="s">
        <v>11</v>
      </c>
      <c r="D8402">
        <v>4998</v>
      </c>
      <c r="E8402">
        <v>2019</v>
      </c>
      <c r="F8402">
        <v>7</v>
      </c>
      <c r="G8402">
        <v>16468</v>
      </c>
      <c r="H8402" s="1" t="s">
        <v>1823</v>
      </c>
      <c r="I8402">
        <v>1</v>
      </c>
      <c r="J8402">
        <f>IF($H8402=0,1,IF($I8402&lt;=1,2,0))</f>
        <v>2</v>
      </c>
      <c r="K8402">
        <v>9</v>
      </c>
      <c r="L8402">
        <f>IF(AND($J8402=0,$K8402=0),0,1)</f>
        <v>1</v>
      </c>
    </row>
    <row r="8403" spans="1:13" x14ac:dyDescent="0.2">
      <c r="A8403" t="s">
        <v>262</v>
      </c>
      <c r="B8403" t="s">
        <v>6</v>
      </c>
      <c r="C8403" t="s">
        <v>11</v>
      </c>
      <c r="D8403">
        <v>4999</v>
      </c>
      <c r="E8403">
        <v>2019</v>
      </c>
      <c r="F8403">
        <v>7</v>
      </c>
      <c r="G8403">
        <v>14389</v>
      </c>
      <c r="H8403" s="1" t="s">
        <v>1823</v>
      </c>
      <c r="I8403">
        <v>2</v>
      </c>
      <c r="J8403">
        <f>IF($H8403=0,1,IF($I8403&lt;=1,2,0))</f>
        <v>0</v>
      </c>
      <c r="K8403">
        <v>9</v>
      </c>
      <c r="L8403">
        <f>IF(AND($J8403=0,$K8403=0),0,1)</f>
        <v>1</v>
      </c>
    </row>
    <row r="8404" spans="1:13" x14ac:dyDescent="0.2">
      <c r="A8404" t="s">
        <v>262</v>
      </c>
      <c r="B8404" t="s">
        <v>6</v>
      </c>
      <c r="C8404" t="s">
        <v>11</v>
      </c>
      <c r="D8404">
        <v>4999</v>
      </c>
      <c r="E8404">
        <v>2019</v>
      </c>
      <c r="F8404">
        <v>3</v>
      </c>
      <c r="G8404">
        <v>57880</v>
      </c>
      <c r="H8404" s="1" t="s">
        <v>1823</v>
      </c>
      <c r="I8404">
        <v>1</v>
      </c>
      <c r="J8404">
        <f>IF($H8404=0,1,IF($I8404&lt;=1,2,0))</f>
        <v>2</v>
      </c>
      <c r="K8404">
        <v>9</v>
      </c>
      <c r="L8404">
        <f>IF(AND($J8404=0,$K8404=0),0,1)</f>
        <v>1</v>
      </c>
    </row>
    <row r="8405" spans="1:13" x14ac:dyDescent="0.2">
      <c r="A8405" t="s">
        <v>262</v>
      </c>
      <c r="B8405" t="s">
        <v>6</v>
      </c>
      <c r="C8405" t="s">
        <v>11</v>
      </c>
      <c r="D8405">
        <v>4999</v>
      </c>
      <c r="E8405">
        <v>2019</v>
      </c>
      <c r="F8405">
        <v>8</v>
      </c>
      <c r="G8405">
        <v>14390</v>
      </c>
      <c r="H8405" s="1" t="s">
        <v>1823</v>
      </c>
      <c r="I8405">
        <v>1</v>
      </c>
      <c r="J8405">
        <f>IF($H8405=0,1,IF($I8405&lt;=1,2,0))</f>
        <v>2</v>
      </c>
      <c r="K8405">
        <v>9</v>
      </c>
      <c r="L8405">
        <f>IF(AND($J8405=0,$K8405=0),0,1)</f>
        <v>1</v>
      </c>
    </row>
    <row r="8406" spans="1:13" x14ac:dyDescent="0.2">
      <c r="A8406" t="s">
        <v>267</v>
      </c>
      <c r="B8406" t="s">
        <v>17</v>
      </c>
      <c r="C8406" t="s">
        <v>9</v>
      </c>
      <c r="D8406">
        <v>4333</v>
      </c>
      <c r="E8406">
        <v>2019</v>
      </c>
      <c r="F8406">
        <v>1</v>
      </c>
      <c r="G8406">
        <v>53915</v>
      </c>
      <c r="H8406" s="1">
        <v>3</v>
      </c>
      <c r="I8406">
        <v>0</v>
      </c>
      <c r="J8406">
        <f>IF($H8406=0,1,IF($I8406&lt;=1,2,0))</f>
        <v>2</v>
      </c>
      <c r="K8406">
        <v>0</v>
      </c>
      <c r="L8406">
        <f>IF(AND($J8406=0,$K8406=0),0,1)</f>
        <v>1</v>
      </c>
    </row>
    <row r="8407" spans="1:13" x14ac:dyDescent="0.2">
      <c r="A8407" t="s">
        <v>268</v>
      </c>
      <c r="B8407" t="s">
        <v>1</v>
      </c>
      <c r="C8407" t="s">
        <v>2</v>
      </c>
      <c r="D8407">
        <v>1135</v>
      </c>
      <c r="E8407">
        <v>2019</v>
      </c>
      <c r="F8407">
        <v>2</v>
      </c>
      <c r="G8407">
        <v>7641</v>
      </c>
      <c r="H8407" s="1" t="s">
        <v>1831</v>
      </c>
      <c r="I8407">
        <v>33</v>
      </c>
      <c r="J8407">
        <f>IF($H8407=0,1,IF($I8407&lt;=1,2,0))</f>
        <v>0</v>
      </c>
      <c r="K8407">
        <v>7</v>
      </c>
      <c r="L8407">
        <f>IF(AND($J8407=0,$K8407=0),0,1)</f>
        <v>1</v>
      </c>
      <c r="M8407" t="s">
        <v>269</v>
      </c>
    </row>
    <row r="8408" spans="1:13" x14ac:dyDescent="0.2">
      <c r="A8408" t="s">
        <v>268</v>
      </c>
      <c r="B8408" t="s">
        <v>1</v>
      </c>
      <c r="C8408" t="s">
        <v>2</v>
      </c>
      <c r="D8408">
        <v>1135</v>
      </c>
      <c r="E8408">
        <v>2019</v>
      </c>
      <c r="F8408">
        <v>1</v>
      </c>
      <c r="G8408">
        <v>7640</v>
      </c>
      <c r="H8408" s="1" t="s">
        <v>1831</v>
      </c>
      <c r="I8408">
        <v>29</v>
      </c>
      <c r="J8408">
        <f>IF($H8408=0,1,IF($I8408&lt;=1,2,0))</f>
        <v>0</v>
      </c>
      <c r="K8408">
        <v>7</v>
      </c>
      <c r="L8408">
        <f>IF(AND($J8408=0,$K8408=0),0,1)</f>
        <v>1</v>
      </c>
      <c r="M8408" t="s">
        <v>269</v>
      </c>
    </row>
    <row r="8409" spans="1:13" x14ac:dyDescent="0.2">
      <c r="A8409" t="s">
        <v>268</v>
      </c>
      <c r="B8409" t="s">
        <v>1</v>
      </c>
      <c r="C8409" t="s">
        <v>2</v>
      </c>
      <c r="D8409">
        <v>1135</v>
      </c>
      <c r="E8409">
        <v>2019</v>
      </c>
      <c r="F8409">
        <v>3</v>
      </c>
      <c r="G8409">
        <v>7642</v>
      </c>
      <c r="H8409" s="1" t="s">
        <v>1831</v>
      </c>
      <c r="I8409">
        <v>20</v>
      </c>
      <c r="J8409">
        <f>IF($H8409=0,1,IF($I8409&lt;=1,2,0))</f>
        <v>0</v>
      </c>
      <c r="K8409">
        <v>7</v>
      </c>
      <c r="L8409">
        <f>IF(AND($J8409=0,$K8409=0),0,1)</f>
        <v>1</v>
      </c>
      <c r="M8409" t="s">
        <v>269</v>
      </c>
    </row>
    <row r="8410" spans="1:13" x14ac:dyDescent="0.2">
      <c r="A8410" t="s">
        <v>268</v>
      </c>
      <c r="B8410" t="s">
        <v>1</v>
      </c>
      <c r="C8410" t="s">
        <v>2</v>
      </c>
      <c r="D8410">
        <v>1137</v>
      </c>
      <c r="E8410">
        <v>2019</v>
      </c>
      <c r="F8410">
        <v>1</v>
      </c>
      <c r="G8410">
        <v>7653</v>
      </c>
      <c r="H8410" s="1" t="s">
        <v>1831</v>
      </c>
      <c r="I8410">
        <v>17</v>
      </c>
      <c r="J8410">
        <f>IF($H8410=0,1,IF($I8410&lt;=1,2,0))</f>
        <v>0</v>
      </c>
      <c r="K8410">
        <v>7</v>
      </c>
      <c r="L8410">
        <f>IF(AND($J8410=0,$K8410=0),0,1)</f>
        <v>1</v>
      </c>
      <c r="M8410" t="s">
        <v>269</v>
      </c>
    </row>
    <row r="8411" spans="1:13" x14ac:dyDescent="0.2">
      <c r="A8411" t="s">
        <v>268</v>
      </c>
      <c r="B8411" t="s">
        <v>1</v>
      </c>
      <c r="C8411" t="s">
        <v>2</v>
      </c>
      <c r="D8411">
        <v>1137</v>
      </c>
      <c r="E8411">
        <v>2019</v>
      </c>
      <c r="F8411">
        <v>2</v>
      </c>
      <c r="G8411">
        <v>7654</v>
      </c>
      <c r="H8411" s="1" t="s">
        <v>1831</v>
      </c>
      <c r="I8411">
        <v>14</v>
      </c>
      <c r="J8411">
        <f>IF($H8411=0,1,IF($I8411&lt;=1,2,0))</f>
        <v>0</v>
      </c>
      <c r="K8411">
        <v>7</v>
      </c>
      <c r="L8411">
        <f>IF(AND($J8411=0,$K8411=0),0,1)</f>
        <v>1</v>
      </c>
      <c r="M8411" t="s">
        <v>269</v>
      </c>
    </row>
    <row r="8412" spans="1:13" x14ac:dyDescent="0.2">
      <c r="A8412" t="s">
        <v>268</v>
      </c>
      <c r="B8412" t="s">
        <v>1</v>
      </c>
      <c r="C8412" t="s">
        <v>2</v>
      </c>
      <c r="D8412">
        <v>1247</v>
      </c>
      <c r="E8412">
        <v>2019</v>
      </c>
      <c r="F8412">
        <v>1</v>
      </c>
      <c r="G8412">
        <v>7655</v>
      </c>
      <c r="H8412" s="1" t="s">
        <v>1831</v>
      </c>
      <c r="I8412">
        <v>17</v>
      </c>
      <c r="J8412">
        <f>IF($H8412=0,1,IF($I8412&lt;=1,2,0))</f>
        <v>0</v>
      </c>
      <c r="K8412">
        <v>7</v>
      </c>
      <c r="L8412">
        <f>IF(AND($J8412=0,$K8412=0),0,1)</f>
        <v>1</v>
      </c>
      <c r="M8412" t="s">
        <v>269</v>
      </c>
    </row>
    <row r="8413" spans="1:13" x14ac:dyDescent="0.2">
      <c r="A8413" t="s">
        <v>268</v>
      </c>
      <c r="B8413" t="s">
        <v>1</v>
      </c>
      <c r="C8413" t="s">
        <v>2</v>
      </c>
      <c r="D8413">
        <v>1330</v>
      </c>
      <c r="E8413">
        <v>2019</v>
      </c>
      <c r="F8413">
        <v>2</v>
      </c>
      <c r="G8413">
        <v>7657</v>
      </c>
      <c r="H8413" s="1" t="s">
        <v>1831</v>
      </c>
      <c r="I8413">
        <v>32</v>
      </c>
      <c r="J8413">
        <f>IF($H8413=0,1,IF($I8413&lt;=1,2,0))</f>
        <v>0</v>
      </c>
      <c r="K8413">
        <v>7</v>
      </c>
      <c r="L8413">
        <f>IF(AND($J8413=0,$K8413=0),0,1)</f>
        <v>1</v>
      </c>
      <c r="M8413" t="s">
        <v>269</v>
      </c>
    </row>
    <row r="8414" spans="1:13" x14ac:dyDescent="0.2">
      <c r="A8414" t="s">
        <v>268</v>
      </c>
      <c r="B8414" t="s">
        <v>1</v>
      </c>
      <c r="C8414" t="s">
        <v>2</v>
      </c>
      <c r="D8414">
        <v>1330</v>
      </c>
      <c r="E8414">
        <v>2019</v>
      </c>
      <c r="F8414">
        <v>3</v>
      </c>
      <c r="G8414">
        <v>7658</v>
      </c>
      <c r="H8414" s="1" t="s">
        <v>1831</v>
      </c>
      <c r="I8414">
        <v>22</v>
      </c>
      <c r="J8414">
        <f>IF($H8414=0,1,IF($I8414&lt;=1,2,0))</f>
        <v>0</v>
      </c>
      <c r="K8414">
        <v>7</v>
      </c>
      <c r="L8414">
        <f>IF(AND($J8414=0,$K8414=0),0,1)</f>
        <v>1</v>
      </c>
      <c r="M8414" t="s">
        <v>269</v>
      </c>
    </row>
    <row r="8415" spans="1:13" x14ac:dyDescent="0.2">
      <c r="A8415" t="s">
        <v>268</v>
      </c>
      <c r="B8415" t="s">
        <v>1</v>
      </c>
      <c r="C8415" t="s">
        <v>2</v>
      </c>
      <c r="D8415">
        <v>1330</v>
      </c>
      <c r="E8415">
        <v>2019</v>
      </c>
      <c r="F8415">
        <v>1</v>
      </c>
      <c r="G8415">
        <v>7656</v>
      </c>
      <c r="H8415" s="1" t="s">
        <v>1831</v>
      </c>
      <c r="I8415">
        <v>21</v>
      </c>
      <c r="J8415">
        <f>IF($H8415=0,1,IF($I8415&lt;=1,2,0))</f>
        <v>0</v>
      </c>
      <c r="K8415">
        <v>7</v>
      </c>
      <c r="L8415">
        <f>IF(AND($J8415=0,$K8415=0),0,1)</f>
        <v>1</v>
      </c>
      <c r="M8415" t="s">
        <v>269</v>
      </c>
    </row>
    <row r="8416" spans="1:13" x14ac:dyDescent="0.2">
      <c r="A8416" t="s">
        <v>268</v>
      </c>
      <c r="B8416" t="s">
        <v>1</v>
      </c>
      <c r="C8416" t="s">
        <v>2</v>
      </c>
      <c r="D8416">
        <v>1332</v>
      </c>
      <c r="E8416">
        <v>2019</v>
      </c>
      <c r="F8416">
        <v>2</v>
      </c>
      <c r="G8416">
        <v>7676</v>
      </c>
      <c r="H8416" s="1" t="s">
        <v>1831</v>
      </c>
      <c r="I8416">
        <v>34</v>
      </c>
      <c r="J8416">
        <f>IF($H8416=0,1,IF($I8416&lt;=1,2,0))</f>
        <v>0</v>
      </c>
      <c r="K8416">
        <v>7</v>
      </c>
      <c r="L8416">
        <f>IF(AND($J8416=0,$K8416=0),0,1)</f>
        <v>1</v>
      </c>
      <c r="M8416" t="s">
        <v>269</v>
      </c>
    </row>
    <row r="8417" spans="1:13" x14ac:dyDescent="0.2">
      <c r="A8417" t="s">
        <v>268</v>
      </c>
      <c r="B8417" t="s">
        <v>1</v>
      </c>
      <c r="C8417" t="s">
        <v>2</v>
      </c>
      <c r="D8417">
        <v>1332</v>
      </c>
      <c r="E8417">
        <v>2019</v>
      </c>
      <c r="F8417">
        <v>1</v>
      </c>
      <c r="G8417">
        <v>7675</v>
      </c>
      <c r="H8417" s="1" t="s">
        <v>1831</v>
      </c>
      <c r="I8417">
        <v>12</v>
      </c>
      <c r="J8417">
        <f>IF($H8417=0,1,IF($I8417&lt;=1,2,0))</f>
        <v>0</v>
      </c>
      <c r="K8417">
        <v>7</v>
      </c>
      <c r="L8417">
        <f>IF(AND($J8417=0,$K8417=0),0,1)</f>
        <v>1</v>
      </c>
      <c r="M8417" t="s">
        <v>269</v>
      </c>
    </row>
    <row r="8418" spans="1:13" x14ac:dyDescent="0.2">
      <c r="A8418" t="s">
        <v>268</v>
      </c>
      <c r="B8418" t="s">
        <v>1</v>
      </c>
      <c r="C8418" t="s">
        <v>2</v>
      </c>
      <c r="D8418">
        <v>1446</v>
      </c>
      <c r="E8418">
        <v>2019</v>
      </c>
      <c r="F8418">
        <v>1</v>
      </c>
      <c r="G8418">
        <v>7659</v>
      </c>
      <c r="H8418" s="1" t="s">
        <v>1831</v>
      </c>
      <c r="I8418">
        <v>18</v>
      </c>
      <c r="J8418">
        <f>IF($H8418=0,1,IF($I8418&lt;=1,2,0))</f>
        <v>0</v>
      </c>
      <c r="K8418">
        <v>7</v>
      </c>
      <c r="L8418">
        <f>IF(AND($J8418=0,$K8418=0),0,1)</f>
        <v>1</v>
      </c>
      <c r="M8418" t="s">
        <v>269</v>
      </c>
    </row>
    <row r="8419" spans="1:13" x14ac:dyDescent="0.2">
      <c r="A8419" t="s">
        <v>268</v>
      </c>
      <c r="B8419" t="s">
        <v>1</v>
      </c>
      <c r="C8419" t="s">
        <v>2</v>
      </c>
      <c r="D8419">
        <v>2137</v>
      </c>
      <c r="E8419">
        <v>2019</v>
      </c>
      <c r="F8419">
        <v>1</v>
      </c>
      <c r="G8419">
        <v>7677</v>
      </c>
      <c r="H8419" s="1" t="s">
        <v>1831</v>
      </c>
      <c r="I8419">
        <v>14</v>
      </c>
      <c r="J8419">
        <f>IF($H8419=0,1,IF($I8419&lt;=1,2,0))</f>
        <v>0</v>
      </c>
      <c r="K8419">
        <v>7</v>
      </c>
      <c r="L8419">
        <f>IF(AND($J8419=0,$K8419=0),0,1)</f>
        <v>1</v>
      </c>
      <c r="M8419" t="s">
        <v>269</v>
      </c>
    </row>
    <row r="8420" spans="1:13" x14ac:dyDescent="0.2">
      <c r="A8420" t="s">
        <v>268</v>
      </c>
      <c r="B8420" t="s">
        <v>1</v>
      </c>
      <c r="C8420" t="s">
        <v>2</v>
      </c>
      <c r="D8420">
        <v>2137</v>
      </c>
      <c r="E8420">
        <v>2019</v>
      </c>
      <c r="F8420">
        <v>2</v>
      </c>
      <c r="G8420">
        <v>7701</v>
      </c>
      <c r="H8420" s="1" t="s">
        <v>1831</v>
      </c>
      <c r="I8420">
        <v>14</v>
      </c>
      <c r="J8420">
        <f>IF($H8420=0,1,IF($I8420&lt;=1,2,0))</f>
        <v>0</v>
      </c>
      <c r="K8420">
        <v>7</v>
      </c>
      <c r="L8420">
        <f>IF(AND($J8420=0,$K8420=0),0,1)</f>
        <v>1</v>
      </c>
    </row>
    <row r="8421" spans="1:13" x14ac:dyDescent="0.2">
      <c r="A8421" t="s">
        <v>268</v>
      </c>
      <c r="B8421" t="s">
        <v>1</v>
      </c>
      <c r="C8421" t="s">
        <v>2</v>
      </c>
      <c r="D8421">
        <v>2139</v>
      </c>
      <c r="E8421">
        <v>2019</v>
      </c>
      <c r="F8421">
        <v>2</v>
      </c>
      <c r="G8421">
        <v>7679</v>
      </c>
      <c r="H8421" s="1" t="s">
        <v>1831</v>
      </c>
      <c r="I8421">
        <v>40</v>
      </c>
      <c r="J8421">
        <f>IF($H8421=0,1,IF($I8421&lt;=1,2,0))</f>
        <v>0</v>
      </c>
      <c r="K8421">
        <v>7</v>
      </c>
      <c r="L8421">
        <f>IF(AND($J8421=0,$K8421=0),0,1)</f>
        <v>1</v>
      </c>
      <c r="M8421" t="s">
        <v>269</v>
      </c>
    </row>
    <row r="8422" spans="1:13" x14ac:dyDescent="0.2">
      <c r="A8422" t="s">
        <v>268</v>
      </c>
      <c r="B8422" t="s">
        <v>1</v>
      </c>
      <c r="C8422" t="s">
        <v>2</v>
      </c>
      <c r="D8422">
        <v>2139</v>
      </c>
      <c r="E8422">
        <v>2019</v>
      </c>
      <c r="F8422">
        <v>1</v>
      </c>
      <c r="G8422">
        <v>7678</v>
      </c>
      <c r="H8422" s="1" t="s">
        <v>1831</v>
      </c>
      <c r="I8422">
        <v>21</v>
      </c>
      <c r="J8422">
        <f>IF($H8422=0,1,IF($I8422&lt;=1,2,0))</f>
        <v>0</v>
      </c>
      <c r="K8422">
        <v>7</v>
      </c>
      <c r="L8422">
        <f>IF(AND($J8422=0,$K8422=0),0,1)</f>
        <v>1</v>
      </c>
      <c r="M8422" t="s">
        <v>269</v>
      </c>
    </row>
    <row r="8423" spans="1:13" x14ac:dyDescent="0.2">
      <c r="A8423" t="s">
        <v>268</v>
      </c>
      <c r="B8423" t="s">
        <v>1</v>
      </c>
      <c r="C8423" t="s">
        <v>2</v>
      </c>
      <c r="D8423">
        <v>2143</v>
      </c>
      <c r="E8423">
        <v>2019</v>
      </c>
      <c r="F8423">
        <v>1</v>
      </c>
      <c r="G8423">
        <v>7680</v>
      </c>
      <c r="H8423" s="1" t="s">
        <v>1831</v>
      </c>
      <c r="I8423">
        <v>12</v>
      </c>
      <c r="J8423">
        <f>IF($H8423=0,1,IF($I8423&lt;=1,2,0))</f>
        <v>0</v>
      </c>
      <c r="K8423">
        <v>7</v>
      </c>
      <c r="L8423">
        <f>IF(AND($J8423=0,$K8423=0),0,1)</f>
        <v>1</v>
      </c>
      <c r="M8423" t="s">
        <v>269</v>
      </c>
    </row>
    <row r="8424" spans="1:13" x14ac:dyDescent="0.2">
      <c r="A8424" t="s">
        <v>268</v>
      </c>
      <c r="B8424" t="s">
        <v>1</v>
      </c>
      <c r="C8424" t="s">
        <v>2</v>
      </c>
      <c r="D8424">
        <v>2250</v>
      </c>
      <c r="E8424">
        <v>2019</v>
      </c>
      <c r="F8424">
        <v>1</v>
      </c>
      <c r="G8424">
        <v>7681</v>
      </c>
      <c r="H8424" s="1" t="s">
        <v>1831</v>
      </c>
      <c r="I8424">
        <v>17</v>
      </c>
      <c r="J8424">
        <f>IF($H8424=0,1,IF($I8424&lt;=1,2,0))</f>
        <v>0</v>
      </c>
      <c r="K8424">
        <v>7</v>
      </c>
      <c r="L8424">
        <f>IF(AND($J8424=0,$K8424=0),0,1)</f>
        <v>1</v>
      </c>
      <c r="M8424" t="s">
        <v>269</v>
      </c>
    </row>
    <row r="8425" spans="1:13" x14ac:dyDescent="0.2">
      <c r="A8425" t="s">
        <v>268</v>
      </c>
      <c r="B8425" t="s">
        <v>1</v>
      </c>
      <c r="C8425" t="s">
        <v>2</v>
      </c>
      <c r="D8425">
        <v>2252</v>
      </c>
      <c r="E8425">
        <v>2019</v>
      </c>
      <c r="F8425">
        <v>1</v>
      </c>
      <c r="G8425">
        <v>7682</v>
      </c>
      <c r="H8425" s="1" t="s">
        <v>1831</v>
      </c>
      <c r="I8425">
        <v>28</v>
      </c>
      <c r="J8425">
        <f>IF($H8425=0,1,IF($I8425&lt;=1,2,0))</f>
        <v>0</v>
      </c>
      <c r="K8425">
        <v>7</v>
      </c>
      <c r="L8425">
        <f>IF(AND($J8425=0,$K8425=0),0,1)</f>
        <v>1</v>
      </c>
      <c r="M8425" t="s">
        <v>269</v>
      </c>
    </row>
    <row r="8426" spans="1:13" x14ac:dyDescent="0.2">
      <c r="A8426" t="s">
        <v>268</v>
      </c>
      <c r="B8426" t="s">
        <v>1</v>
      </c>
      <c r="C8426" t="s">
        <v>2</v>
      </c>
      <c r="D8426">
        <v>2252</v>
      </c>
      <c r="E8426">
        <v>2019</v>
      </c>
      <c r="F8426">
        <v>2</v>
      </c>
      <c r="G8426">
        <v>7683</v>
      </c>
      <c r="H8426" s="1" t="s">
        <v>1831</v>
      </c>
      <c r="I8426">
        <v>21</v>
      </c>
      <c r="J8426">
        <f>IF($H8426=0,1,IF($I8426&lt;=1,2,0))</f>
        <v>0</v>
      </c>
      <c r="K8426">
        <v>7</v>
      </c>
      <c r="L8426">
        <f>IF(AND($J8426=0,$K8426=0),0,1)</f>
        <v>1</v>
      </c>
      <c r="M8426" t="s">
        <v>269</v>
      </c>
    </row>
    <row r="8427" spans="1:13" x14ac:dyDescent="0.2">
      <c r="A8427" t="s">
        <v>268</v>
      </c>
      <c r="B8427" t="s">
        <v>1</v>
      </c>
      <c r="C8427" t="s">
        <v>2</v>
      </c>
      <c r="D8427">
        <v>2253</v>
      </c>
      <c r="E8427">
        <v>2019</v>
      </c>
      <c r="F8427">
        <v>1</v>
      </c>
      <c r="G8427">
        <v>7643</v>
      </c>
      <c r="H8427" s="1" t="s">
        <v>1831</v>
      </c>
      <c r="I8427">
        <v>7</v>
      </c>
      <c r="J8427">
        <f>IF($H8427=0,1,IF($I8427&lt;=1,2,0))</f>
        <v>0</v>
      </c>
      <c r="K8427">
        <v>7</v>
      </c>
      <c r="L8427">
        <f>IF(AND($J8427=0,$K8427=0),0,1)</f>
        <v>1</v>
      </c>
      <c r="M8427" t="s">
        <v>269</v>
      </c>
    </row>
    <row r="8428" spans="1:13" x14ac:dyDescent="0.2">
      <c r="A8428" t="s">
        <v>268</v>
      </c>
      <c r="B8428" t="s">
        <v>1</v>
      </c>
      <c r="C8428" t="s">
        <v>2</v>
      </c>
      <c r="D8428">
        <v>2254</v>
      </c>
      <c r="E8428">
        <v>2019</v>
      </c>
      <c r="F8428">
        <v>1</v>
      </c>
      <c r="G8428">
        <v>7684</v>
      </c>
      <c r="H8428" s="1" t="s">
        <v>1831</v>
      </c>
      <c r="I8428">
        <v>13</v>
      </c>
      <c r="J8428">
        <f>IF($H8428=0,1,IF($I8428&lt;=1,2,0))</f>
        <v>0</v>
      </c>
      <c r="K8428">
        <v>7</v>
      </c>
      <c r="L8428">
        <f>IF(AND($J8428=0,$K8428=0),0,1)</f>
        <v>1</v>
      </c>
      <c r="M8428" t="s">
        <v>269</v>
      </c>
    </row>
    <row r="8429" spans="1:13" x14ac:dyDescent="0.2">
      <c r="A8429" t="s">
        <v>268</v>
      </c>
      <c r="B8429" t="s">
        <v>1</v>
      </c>
      <c r="C8429" t="s">
        <v>2</v>
      </c>
      <c r="D8429">
        <v>2255</v>
      </c>
      <c r="E8429">
        <v>2019</v>
      </c>
      <c r="F8429">
        <v>1</v>
      </c>
      <c r="G8429">
        <v>7660</v>
      </c>
      <c r="H8429" s="1" t="s">
        <v>1831</v>
      </c>
      <c r="I8429">
        <v>38</v>
      </c>
      <c r="J8429">
        <f>IF($H8429=0,1,IF($I8429&lt;=1,2,0))</f>
        <v>0</v>
      </c>
      <c r="K8429">
        <v>7</v>
      </c>
      <c r="L8429">
        <f>IF(AND($J8429=0,$K8429=0),0,1)</f>
        <v>1</v>
      </c>
      <c r="M8429" t="s">
        <v>269</v>
      </c>
    </row>
    <row r="8430" spans="1:13" x14ac:dyDescent="0.2">
      <c r="A8430" t="s">
        <v>268</v>
      </c>
      <c r="B8430" t="s">
        <v>1</v>
      </c>
      <c r="C8430" t="s">
        <v>2</v>
      </c>
      <c r="D8430">
        <v>2332</v>
      </c>
      <c r="E8430">
        <v>2019</v>
      </c>
      <c r="F8430">
        <v>1</v>
      </c>
      <c r="G8430">
        <v>7696</v>
      </c>
      <c r="H8430" s="1" t="s">
        <v>1831</v>
      </c>
      <c r="I8430">
        <v>14</v>
      </c>
      <c r="J8430">
        <f>IF($H8430=0,1,IF($I8430&lt;=1,2,0))</f>
        <v>0</v>
      </c>
      <c r="K8430">
        <v>7</v>
      </c>
      <c r="L8430">
        <f>IF(AND($J8430=0,$K8430=0),0,1)</f>
        <v>1</v>
      </c>
      <c r="M8430" t="s">
        <v>270</v>
      </c>
    </row>
    <row r="8431" spans="1:13" x14ac:dyDescent="0.2">
      <c r="A8431" t="s">
        <v>268</v>
      </c>
      <c r="B8431" t="s">
        <v>1</v>
      </c>
      <c r="C8431" t="s">
        <v>2</v>
      </c>
      <c r="D8431">
        <v>2334</v>
      </c>
      <c r="E8431">
        <v>2019</v>
      </c>
      <c r="F8431">
        <v>1</v>
      </c>
      <c r="G8431">
        <v>7685</v>
      </c>
      <c r="H8431" s="1" t="s">
        <v>1831</v>
      </c>
      <c r="I8431">
        <v>20</v>
      </c>
      <c r="J8431">
        <f>IF($H8431=0,1,IF($I8431&lt;=1,2,0))</f>
        <v>0</v>
      </c>
      <c r="K8431">
        <v>7</v>
      </c>
      <c r="L8431">
        <f>IF(AND($J8431=0,$K8431=0),0,1)</f>
        <v>1</v>
      </c>
      <c r="M8431" t="s">
        <v>269</v>
      </c>
    </row>
    <row r="8432" spans="1:13" x14ac:dyDescent="0.2">
      <c r="A8432" t="s">
        <v>268</v>
      </c>
      <c r="B8432" t="s">
        <v>1</v>
      </c>
      <c r="C8432" t="s">
        <v>2</v>
      </c>
      <c r="D8432">
        <v>2334</v>
      </c>
      <c r="E8432">
        <v>2019</v>
      </c>
      <c r="F8432">
        <v>2</v>
      </c>
      <c r="G8432">
        <v>7686</v>
      </c>
      <c r="H8432" s="1" t="s">
        <v>1831</v>
      </c>
      <c r="I8432">
        <v>16</v>
      </c>
      <c r="J8432">
        <f>IF($H8432=0,1,IF($I8432&lt;=1,2,0))</f>
        <v>0</v>
      </c>
      <c r="K8432">
        <v>7</v>
      </c>
      <c r="L8432">
        <f>IF(AND($J8432=0,$K8432=0),0,1)</f>
        <v>1</v>
      </c>
      <c r="M8432" t="s">
        <v>269</v>
      </c>
    </row>
    <row r="8433" spans="1:13" x14ac:dyDescent="0.2">
      <c r="A8433" t="s">
        <v>268</v>
      </c>
      <c r="B8433" t="s">
        <v>1</v>
      </c>
      <c r="C8433" t="s">
        <v>2</v>
      </c>
      <c r="D8433">
        <v>2452</v>
      </c>
      <c r="E8433">
        <v>2019</v>
      </c>
      <c r="F8433">
        <v>1</v>
      </c>
      <c r="G8433">
        <v>7661</v>
      </c>
      <c r="H8433" s="1" t="s">
        <v>1831</v>
      </c>
      <c r="I8433">
        <v>27</v>
      </c>
      <c r="J8433">
        <f>IF($H8433=0,1,IF($I8433&lt;=1,2,0))</f>
        <v>0</v>
      </c>
      <c r="K8433">
        <v>7</v>
      </c>
      <c r="L8433">
        <f>IF(AND($J8433=0,$K8433=0),0,1)</f>
        <v>1</v>
      </c>
      <c r="M8433" t="s">
        <v>269</v>
      </c>
    </row>
    <row r="8434" spans="1:13" x14ac:dyDescent="0.2">
      <c r="A8434" t="s">
        <v>268</v>
      </c>
      <c r="B8434" t="s">
        <v>1</v>
      </c>
      <c r="C8434" t="s">
        <v>2</v>
      </c>
      <c r="D8434">
        <v>2564</v>
      </c>
      <c r="E8434">
        <v>2019</v>
      </c>
      <c r="F8434">
        <v>1</v>
      </c>
      <c r="G8434">
        <v>7687</v>
      </c>
      <c r="H8434" s="1">
        <v>3</v>
      </c>
      <c r="I8434">
        <v>24</v>
      </c>
      <c r="J8434">
        <f>IF($H8434=0,1,IF($I8434&lt;=1,2,0))</f>
        <v>0</v>
      </c>
      <c r="K8434">
        <v>7</v>
      </c>
      <c r="L8434">
        <f>IF(AND($J8434=0,$K8434=0),0,1)</f>
        <v>1</v>
      </c>
      <c r="M8434" t="s">
        <v>269</v>
      </c>
    </row>
    <row r="8435" spans="1:13" x14ac:dyDescent="0.2">
      <c r="A8435" t="s">
        <v>268</v>
      </c>
      <c r="B8435" t="s">
        <v>1</v>
      </c>
      <c r="C8435" t="s">
        <v>2</v>
      </c>
      <c r="D8435">
        <v>2567</v>
      </c>
      <c r="E8435">
        <v>2019</v>
      </c>
      <c r="F8435">
        <v>1</v>
      </c>
      <c r="G8435">
        <v>7688</v>
      </c>
      <c r="H8435" s="1">
        <v>3</v>
      </c>
      <c r="I8435">
        <v>10</v>
      </c>
      <c r="J8435">
        <f>IF($H8435=0,1,IF($I8435&lt;=1,2,0))</f>
        <v>0</v>
      </c>
      <c r="K8435">
        <v>7</v>
      </c>
      <c r="L8435">
        <f>IF(AND($J8435=0,$K8435=0),0,1)</f>
        <v>1</v>
      </c>
      <c r="M8435" t="s">
        <v>271</v>
      </c>
    </row>
    <row r="8436" spans="1:13" x14ac:dyDescent="0.2">
      <c r="A8436" t="s">
        <v>268</v>
      </c>
      <c r="B8436" t="s">
        <v>1</v>
      </c>
      <c r="C8436" t="s">
        <v>2</v>
      </c>
      <c r="D8436">
        <v>2570</v>
      </c>
      <c r="E8436">
        <v>2019</v>
      </c>
      <c r="F8436">
        <v>2</v>
      </c>
      <c r="G8436">
        <v>7699</v>
      </c>
      <c r="H8436" s="1">
        <v>3</v>
      </c>
      <c r="I8436">
        <v>32</v>
      </c>
      <c r="J8436">
        <f>IF($H8436=0,1,IF($I8436&lt;=1,2,0))</f>
        <v>0</v>
      </c>
      <c r="K8436">
        <v>7</v>
      </c>
      <c r="L8436">
        <f>IF(AND($J8436=0,$K8436=0),0,1)</f>
        <v>1</v>
      </c>
    </row>
    <row r="8437" spans="1:13" x14ac:dyDescent="0.2">
      <c r="A8437" t="s">
        <v>268</v>
      </c>
      <c r="B8437" t="s">
        <v>1</v>
      </c>
      <c r="C8437" t="s">
        <v>2</v>
      </c>
      <c r="D8437">
        <v>2570</v>
      </c>
      <c r="E8437">
        <v>2019</v>
      </c>
      <c r="F8437">
        <v>1</v>
      </c>
      <c r="G8437">
        <v>7689</v>
      </c>
      <c r="H8437" s="1">
        <v>3</v>
      </c>
      <c r="I8437">
        <v>27</v>
      </c>
      <c r="J8437">
        <f>IF($H8437=0,1,IF($I8437&lt;=1,2,0))</f>
        <v>0</v>
      </c>
      <c r="K8437">
        <v>7</v>
      </c>
      <c r="L8437">
        <f>IF(AND($J8437=0,$K8437=0),0,1)</f>
        <v>1</v>
      </c>
      <c r="M8437" t="s">
        <v>270</v>
      </c>
    </row>
    <row r="8438" spans="1:13" x14ac:dyDescent="0.2">
      <c r="A8438" t="s">
        <v>268</v>
      </c>
      <c r="B8438" t="s">
        <v>1</v>
      </c>
      <c r="C8438" t="s">
        <v>2</v>
      </c>
      <c r="D8438">
        <v>2573</v>
      </c>
      <c r="E8438">
        <v>2019</v>
      </c>
      <c r="F8438">
        <v>1</v>
      </c>
      <c r="G8438">
        <v>7698</v>
      </c>
      <c r="H8438" s="1">
        <v>3</v>
      </c>
      <c r="I8438">
        <v>0</v>
      </c>
      <c r="J8438">
        <f>IF($H8438=0,1,IF($I8438&lt;=1,2,0))</f>
        <v>2</v>
      </c>
      <c r="K8438">
        <v>7</v>
      </c>
      <c r="L8438">
        <f>IF(AND($J8438=0,$K8438=0),0,1)</f>
        <v>1</v>
      </c>
    </row>
    <row r="8439" spans="1:13" x14ac:dyDescent="0.2">
      <c r="A8439" t="s">
        <v>268</v>
      </c>
      <c r="B8439" t="s">
        <v>1</v>
      </c>
      <c r="C8439" t="s">
        <v>2</v>
      </c>
      <c r="D8439">
        <v>3001</v>
      </c>
      <c r="E8439">
        <v>2019</v>
      </c>
      <c r="F8439">
        <v>1</v>
      </c>
      <c r="G8439">
        <v>7662</v>
      </c>
      <c r="H8439" s="1">
        <v>3</v>
      </c>
      <c r="I8439">
        <v>19</v>
      </c>
      <c r="J8439">
        <f>IF($H8439=0,1,IF($I8439&lt;=1,2,0))</f>
        <v>0</v>
      </c>
      <c r="K8439">
        <v>7</v>
      </c>
      <c r="L8439">
        <f>IF(AND($J8439=0,$K8439=0),0,1)</f>
        <v>1</v>
      </c>
      <c r="M8439" t="s">
        <v>269</v>
      </c>
    </row>
    <row r="8440" spans="1:13" x14ac:dyDescent="0.2">
      <c r="A8440" t="s">
        <v>268</v>
      </c>
      <c r="B8440" t="s">
        <v>1</v>
      </c>
      <c r="C8440" t="s">
        <v>2</v>
      </c>
      <c r="D8440">
        <v>3138</v>
      </c>
      <c r="E8440">
        <v>2019</v>
      </c>
      <c r="F8440">
        <v>2</v>
      </c>
      <c r="G8440">
        <v>7646</v>
      </c>
      <c r="H8440" s="1" t="s">
        <v>1831</v>
      </c>
      <c r="I8440">
        <v>26</v>
      </c>
      <c r="J8440">
        <f>IF($H8440=0,1,IF($I8440&lt;=1,2,0))</f>
        <v>0</v>
      </c>
      <c r="K8440">
        <v>7</v>
      </c>
      <c r="L8440">
        <f>IF(AND($J8440=0,$K8440=0),0,1)</f>
        <v>1</v>
      </c>
      <c r="M8440" t="s">
        <v>269</v>
      </c>
    </row>
    <row r="8441" spans="1:13" x14ac:dyDescent="0.2">
      <c r="A8441" t="s">
        <v>268</v>
      </c>
      <c r="B8441" t="s">
        <v>1</v>
      </c>
      <c r="C8441" t="s">
        <v>2</v>
      </c>
      <c r="D8441">
        <v>3138</v>
      </c>
      <c r="E8441">
        <v>2019</v>
      </c>
      <c r="F8441">
        <v>1</v>
      </c>
      <c r="G8441">
        <v>7645</v>
      </c>
      <c r="H8441" s="1" t="s">
        <v>1831</v>
      </c>
      <c r="I8441">
        <v>22</v>
      </c>
      <c r="J8441">
        <f>IF($H8441=0,1,IF($I8441&lt;=1,2,0))</f>
        <v>0</v>
      </c>
      <c r="K8441">
        <v>7</v>
      </c>
      <c r="L8441">
        <f>IF(AND($J8441=0,$K8441=0),0,1)</f>
        <v>1</v>
      </c>
      <c r="M8441" t="s">
        <v>269</v>
      </c>
    </row>
    <row r="8442" spans="1:13" x14ac:dyDescent="0.2">
      <c r="A8442" t="s">
        <v>268</v>
      </c>
      <c r="B8442" t="s">
        <v>1</v>
      </c>
      <c r="C8442" t="s">
        <v>2</v>
      </c>
      <c r="D8442">
        <v>3140</v>
      </c>
      <c r="E8442">
        <v>2019</v>
      </c>
      <c r="F8442">
        <v>1</v>
      </c>
      <c r="G8442">
        <v>7663</v>
      </c>
      <c r="H8442" s="1" t="s">
        <v>1831</v>
      </c>
      <c r="I8442">
        <v>14</v>
      </c>
      <c r="J8442">
        <f>IF($H8442=0,1,IF($I8442&lt;=1,2,0))</f>
        <v>0</v>
      </c>
      <c r="K8442">
        <v>7</v>
      </c>
      <c r="L8442">
        <f>IF(AND($J8442=0,$K8442=0),0,1)</f>
        <v>1</v>
      </c>
      <c r="M8442" t="s">
        <v>269</v>
      </c>
    </row>
    <row r="8443" spans="1:13" x14ac:dyDescent="0.2">
      <c r="A8443" t="s">
        <v>268</v>
      </c>
      <c r="B8443" t="s">
        <v>1</v>
      </c>
      <c r="C8443" t="s">
        <v>2</v>
      </c>
      <c r="D8443">
        <v>3142</v>
      </c>
      <c r="E8443">
        <v>2019</v>
      </c>
      <c r="F8443">
        <v>1</v>
      </c>
      <c r="G8443">
        <v>7692</v>
      </c>
      <c r="H8443" s="1" t="s">
        <v>1831</v>
      </c>
      <c r="I8443">
        <v>6</v>
      </c>
      <c r="J8443">
        <f>IF($H8443=0,1,IF($I8443&lt;=1,2,0))</f>
        <v>0</v>
      </c>
      <c r="K8443">
        <v>7</v>
      </c>
      <c r="L8443">
        <f>IF(AND($J8443=0,$K8443=0),0,1)</f>
        <v>1</v>
      </c>
      <c r="M8443" t="s">
        <v>269</v>
      </c>
    </row>
    <row r="8444" spans="1:13" x14ac:dyDescent="0.2">
      <c r="A8444" t="s">
        <v>268</v>
      </c>
      <c r="B8444" t="s">
        <v>1</v>
      </c>
      <c r="C8444" t="s">
        <v>2</v>
      </c>
      <c r="D8444">
        <v>3150</v>
      </c>
      <c r="E8444">
        <v>2019</v>
      </c>
      <c r="F8444">
        <v>1</v>
      </c>
      <c r="G8444">
        <v>7647</v>
      </c>
      <c r="H8444" s="1" t="s">
        <v>1831</v>
      </c>
      <c r="I8444">
        <v>0</v>
      </c>
      <c r="J8444">
        <f>IF($H8444=0,1,IF($I8444&lt;=1,2,0))</f>
        <v>2</v>
      </c>
      <c r="K8444">
        <v>7</v>
      </c>
      <c r="L8444">
        <f>IF(AND($J8444=0,$K8444=0),0,1)</f>
        <v>1</v>
      </c>
      <c r="M8444" t="s">
        <v>269</v>
      </c>
    </row>
    <row r="8445" spans="1:13" x14ac:dyDescent="0.2">
      <c r="A8445" t="s">
        <v>268</v>
      </c>
      <c r="B8445" t="s">
        <v>1</v>
      </c>
      <c r="C8445" t="s">
        <v>2</v>
      </c>
      <c r="D8445">
        <v>3249</v>
      </c>
      <c r="E8445">
        <v>2019</v>
      </c>
      <c r="F8445">
        <v>1</v>
      </c>
      <c r="G8445">
        <v>7693</v>
      </c>
      <c r="H8445" s="1" t="s">
        <v>1831</v>
      </c>
      <c r="I8445">
        <v>13</v>
      </c>
      <c r="J8445">
        <f>IF($H8445=0,1,IF($I8445&lt;=1,2,0))</f>
        <v>0</v>
      </c>
      <c r="K8445">
        <v>7</v>
      </c>
      <c r="L8445">
        <f>IF(AND($J8445=0,$K8445=0),0,1)</f>
        <v>1</v>
      </c>
      <c r="M8445" t="s">
        <v>269</v>
      </c>
    </row>
    <row r="8446" spans="1:13" x14ac:dyDescent="0.2">
      <c r="A8446" t="s">
        <v>268</v>
      </c>
      <c r="B8446" t="s">
        <v>1</v>
      </c>
      <c r="C8446" t="s">
        <v>2</v>
      </c>
      <c r="D8446">
        <v>3250</v>
      </c>
      <c r="E8446">
        <v>2019</v>
      </c>
      <c r="F8446">
        <v>1</v>
      </c>
      <c r="G8446">
        <v>7666</v>
      </c>
      <c r="H8446" s="1" t="s">
        <v>1831</v>
      </c>
      <c r="I8446">
        <v>8</v>
      </c>
      <c r="J8446">
        <f>IF($H8446=0,1,IF($I8446&lt;=1,2,0))</f>
        <v>0</v>
      </c>
      <c r="K8446">
        <v>7</v>
      </c>
      <c r="L8446">
        <f>IF(AND($J8446=0,$K8446=0),0,1)</f>
        <v>1</v>
      </c>
      <c r="M8446" t="s">
        <v>269</v>
      </c>
    </row>
    <row r="8447" spans="1:13" x14ac:dyDescent="0.2">
      <c r="A8447" t="s">
        <v>268</v>
      </c>
      <c r="B8447" t="s">
        <v>1</v>
      </c>
      <c r="C8447" t="s">
        <v>2</v>
      </c>
      <c r="D8447">
        <v>3332</v>
      </c>
      <c r="E8447">
        <v>2019</v>
      </c>
      <c r="F8447">
        <v>2</v>
      </c>
      <c r="G8447">
        <v>7700</v>
      </c>
      <c r="H8447" s="1" t="s">
        <v>1831</v>
      </c>
      <c r="I8447">
        <v>26</v>
      </c>
      <c r="J8447">
        <f>IF($H8447=0,1,IF($I8447&lt;=1,2,0))</f>
        <v>0</v>
      </c>
      <c r="K8447">
        <v>7</v>
      </c>
      <c r="L8447">
        <f>IF(AND($J8447=0,$K8447=0),0,1)</f>
        <v>1</v>
      </c>
    </row>
    <row r="8448" spans="1:13" x14ac:dyDescent="0.2">
      <c r="A8448" t="s">
        <v>268</v>
      </c>
      <c r="B8448" t="s">
        <v>1</v>
      </c>
      <c r="C8448" t="s">
        <v>2</v>
      </c>
      <c r="D8448">
        <v>3332</v>
      </c>
      <c r="E8448">
        <v>2019</v>
      </c>
      <c r="F8448">
        <v>1</v>
      </c>
      <c r="G8448">
        <v>7648</v>
      </c>
      <c r="H8448" s="1" t="s">
        <v>1831</v>
      </c>
      <c r="I8448">
        <v>5</v>
      </c>
      <c r="J8448">
        <f>IF($H8448=0,1,IF($I8448&lt;=1,2,0))</f>
        <v>0</v>
      </c>
      <c r="K8448">
        <v>7</v>
      </c>
      <c r="L8448">
        <f>IF(AND($J8448=0,$K8448=0),0,1)</f>
        <v>1</v>
      </c>
      <c r="M8448" t="s">
        <v>269</v>
      </c>
    </row>
    <row r="8449" spans="1:13" x14ac:dyDescent="0.2">
      <c r="A8449" t="s">
        <v>268</v>
      </c>
      <c r="B8449" t="s">
        <v>1</v>
      </c>
      <c r="C8449" t="s">
        <v>2</v>
      </c>
      <c r="D8449">
        <v>3335</v>
      </c>
      <c r="E8449">
        <v>2019</v>
      </c>
      <c r="F8449">
        <v>1</v>
      </c>
      <c r="G8449">
        <v>7674</v>
      </c>
      <c r="H8449" s="1" t="s">
        <v>1831</v>
      </c>
      <c r="I8449">
        <v>16</v>
      </c>
      <c r="J8449">
        <f>IF($H8449=0,1,IF($I8449&lt;=1,2,0))</f>
        <v>0</v>
      </c>
      <c r="K8449">
        <v>7</v>
      </c>
      <c r="L8449">
        <f>IF(AND($J8449=0,$K8449=0),0,1)</f>
        <v>1</v>
      </c>
      <c r="M8449" t="s">
        <v>269</v>
      </c>
    </row>
    <row r="8450" spans="1:13" x14ac:dyDescent="0.2">
      <c r="A8450" t="s">
        <v>268</v>
      </c>
      <c r="B8450" t="s">
        <v>1</v>
      </c>
      <c r="C8450" t="s">
        <v>2</v>
      </c>
      <c r="D8450">
        <v>3338</v>
      </c>
      <c r="E8450">
        <v>2019</v>
      </c>
      <c r="F8450">
        <v>1</v>
      </c>
      <c r="G8450">
        <v>7667</v>
      </c>
      <c r="H8450" s="1" t="s">
        <v>1831</v>
      </c>
      <c r="I8450">
        <v>14</v>
      </c>
      <c r="J8450">
        <f>IF($H8450=0,1,IF($I8450&lt;=1,2,0))</f>
        <v>0</v>
      </c>
      <c r="K8450">
        <v>7</v>
      </c>
      <c r="L8450">
        <f>IF(AND($J8450=0,$K8450=0),0,1)</f>
        <v>1</v>
      </c>
      <c r="M8450" t="s">
        <v>269</v>
      </c>
    </row>
    <row r="8451" spans="1:13" x14ac:dyDescent="0.2">
      <c r="A8451" t="s">
        <v>268</v>
      </c>
      <c r="B8451" t="s">
        <v>1</v>
      </c>
      <c r="C8451" t="s">
        <v>2</v>
      </c>
      <c r="D8451">
        <v>3447</v>
      </c>
      <c r="E8451">
        <v>2019</v>
      </c>
      <c r="F8451">
        <v>1</v>
      </c>
      <c r="G8451">
        <v>7697</v>
      </c>
      <c r="H8451" s="1" t="s">
        <v>1831</v>
      </c>
      <c r="I8451">
        <v>7</v>
      </c>
      <c r="J8451">
        <f>IF($H8451=0,1,IF($I8451&lt;=1,2,0))</f>
        <v>0</v>
      </c>
      <c r="K8451">
        <v>7</v>
      </c>
      <c r="L8451">
        <f>IF(AND($J8451=0,$K8451=0),0,1)</f>
        <v>1</v>
      </c>
      <c r="M8451" t="s">
        <v>269</v>
      </c>
    </row>
    <row r="8452" spans="1:13" x14ac:dyDescent="0.2">
      <c r="A8452" t="s">
        <v>268</v>
      </c>
      <c r="B8452" t="s">
        <v>1</v>
      </c>
      <c r="C8452" t="s">
        <v>2</v>
      </c>
      <c r="D8452">
        <v>3560</v>
      </c>
      <c r="E8452">
        <v>2019</v>
      </c>
      <c r="F8452">
        <v>1</v>
      </c>
      <c r="G8452">
        <v>7668</v>
      </c>
      <c r="H8452" s="1">
        <v>3</v>
      </c>
      <c r="I8452">
        <v>12</v>
      </c>
      <c r="J8452">
        <f>IF($H8452=0,1,IF($I8452&lt;=1,2,0))</f>
        <v>0</v>
      </c>
      <c r="K8452">
        <v>7</v>
      </c>
      <c r="L8452">
        <f>IF(AND($J8452=0,$K8452=0),0,1)</f>
        <v>1</v>
      </c>
    </row>
    <row r="8453" spans="1:13" x14ac:dyDescent="0.2">
      <c r="A8453" t="s">
        <v>268</v>
      </c>
      <c r="B8453" t="s">
        <v>1</v>
      </c>
      <c r="C8453" t="s">
        <v>2</v>
      </c>
      <c r="D8453">
        <v>3567</v>
      </c>
      <c r="E8453">
        <v>2019</v>
      </c>
      <c r="F8453">
        <v>1</v>
      </c>
      <c r="G8453">
        <v>7669</v>
      </c>
      <c r="H8453" s="1">
        <v>3</v>
      </c>
      <c r="I8453">
        <v>16</v>
      </c>
      <c r="J8453">
        <f>IF($H8453=0,1,IF($I8453&lt;=1,2,0))</f>
        <v>0</v>
      </c>
      <c r="K8453">
        <v>7</v>
      </c>
      <c r="L8453">
        <f>IF(AND($J8453=0,$K8453=0),0,1)</f>
        <v>1</v>
      </c>
      <c r="M8453" t="s">
        <v>269</v>
      </c>
    </row>
    <row r="8454" spans="1:13" x14ac:dyDescent="0.2">
      <c r="A8454" t="s">
        <v>268</v>
      </c>
      <c r="B8454" t="s">
        <v>1</v>
      </c>
      <c r="C8454" t="s">
        <v>2</v>
      </c>
      <c r="D8454">
        <v>3576</v>
      </c>
      <c r="E8454">
        <v>2019</v>
      </c>
      <c r="F8454">
        <v>1</v>
      </c>
      <c r="G8454">
        <v>7694</v>
      </c>
      <c r="H8454" s="1">
        <v>3</v>
      </c>
      <c r="I8454">
        <v>6</v>
      </c>
      <c r="J8454">
        <f>IF($H8454=0,1,IF($I8454&lt;=1,2,0))</f>
        <v>0</v>
      </c>
      <c r="K8454">
        <v>7</v>
      </c>
      <c r="L8454">
        <f>IF(AND($J8454=0,$K8454=0),0,1)</f>
        <v>1</v>
      </c>
      <c r="M8454" t="s">
        <v>269</v>
      </c>
    </row>
    <row r="8455" spans="1:13" x14ac:dyDescent="0.2">
      <c r="A8455" t="s">
        <v>268</v>
      </c>
      <c r="B8455" t="s">
        <v>1</v>
      </c>
      <c r="C8455" t="s">
        <v>2</v>
      </c>
      <c r="D8455">
        <v>3591</v>
      </c>
      <c r="E8455">
        <v>2019</v>
      </c>
      <c r="F8455">
        <v>1</v>
      </c>
      <c r="G8455">
        <v>7695</v>
      </c>
      <c r="H8455" s="1">
        <v>4</v>
      </c>
      <c r="I8455">
        <v>9</v>
      </c>
      <c r="J8455">
        <f>IF($H8455=0,1,IF($I8455&lt;=1,2,0))</f>
        <v>0</v>
      </c>
      <c r="K8455">
        <v>7</v>
      </c>
      <c r="L8455">
        <f>IF(AND($J8455=0,$K8455=0),0,1)</f>
        <v>1</v>
      </c>
      <c r="M8455" t="s">
        <v>269</v>
      </c>
    </row>
    <row r="8456" spans="1:13" x14ac:dyDescent="0.2">
      <c r="A8456" t="s">
        <v>268</v>
      </c>
      <c r="B8456" t="s">
        <v>1</v>
      </c>
      <c r="C8456" t="s">
        <v>2</v>
      </c>
      <c r="D8456">
        <v>3605</v>
      </c>
      <c r="E8456">
        <v>2019</v>
      </c>
      <c r="F8456">
        <v>2</v>
      </c>
      <c r="G8456">
        <v>7703</v>
      </c>
      <c r="H8456" s="1" t="s">
        <v>1827</v>
      </c>
      <c r="I8456">
        <v>13</v>
      </c>
      <c r="J8456">
        <f>IF($H8456=0,1,IF($I8456&lt;=1,2,0))</f>
        <v>0</v>
      </c>
      <c r="K8456">
        <v>7</v>
      </c>
      <c r="L8456">
        <f>IF(AND($J8456=0,$K8456=0),0,1)</f>
        <v>1</v>
      </c>
    </row>
    <row r="8457" spans="1:13" x14ac:dyDescent="0.2">
      <c r="A8457" t="s">
        <v>268</v>
      </c>
      <c r="B8457" t="s">
        <v>1</v>
      </c>
      <c r="C8457" t="s">
        <v>2</v>
      </c>
      <c r="D8457">
        <v>3605</v>
      </c>
      <c r="E8457">
        <v>2019</v>
      </c>
      <c r="F8457">
        <v>1</v>
      </c>
      <c r="G8457">
        <v>7702</v>
      </c>
      <c r="H8457" s="1" t="s">
        <v>1827</v>
      </c>
      <c r="I8457">
        <v>11</v>
      </c>
      <c r="J8457">
        <f>IF($H8457=0,1,IF($I8457&lt;=1,2,0))</f>
        <v>0</v>
      </c>
      <c r="K8457">
        <v>7</v>
      </c>
      <c r="L8457">
        <f>IF(AND($J8457=0,$K8457=0),0,1)</f>
        <v>1</v>
      </c>
    </row>
    <row r="8458" spans="1:13" x14ac:dyDescent="0.2">
      <c r="A8458" t="s">
        <v>268</v>
      </c>
      <c r="B8458" t="s">
        <v>1</v>
      </c>
      <c r="C8458" t="s">
        <v>2</v>
      </c>
      <c r="D8458">
        <v>3605</v>
      </c>
      <c r="E8458">
        <v>2019</v>
      </c>
      <c r="F8458">
        <v>3</v>
      </c>
      <c r="G8458">
        <v>7704</v>
      </c>
      <c r="H8458" s="1" t="s">
        <v>1827</v>
      </c>
      <c r="I8458">
        <v>9</v>
      </c>
      <c r="J8458">
        <f>IF($H8458=0,1,IF($I8458&lt;=1,2,0))</f>
        <v>0</v>
      </c>
      <c r="K8458">
        <v>7</v>
      </c>
      <c r="L8458">
        <f>IF(AND($J8458=0,$K8458=0),0,1)</f>
        <v>1</v>
      </c>
    </row>
    <row r="8459" spans="1:13" x14ac:dyDescent="0.2">
      <c r="A8459" t="s">
        <v>273</v>
      </c>
      <c r="B8459" t="s">
        <v>17</v>
      </c>
      <c r="C8459" t="s">
        <v>33</v>
      </c>
      <c r="D8459">
        <v>3993</v>
      </c>
      <c r="E8459">
        <v>2019</v>
      </c>
      <c r="F8459">
        <v>10</v>
      </c>
      <c r="G8459">
        <v>19323</v>
      </c>
      <c r="H8459" s="1">
        <v>4</v>
      </c>
      <c r="I8459">
        <v>1</v>
      </c>
      <c r="J8459">
        <f>IF($H8459=0,1,IF($I8459&lt;=1,2,0))</f>
        <v>2</v>
      </c>
      <c r="K8459">
        <v>0</v>
      </c>
      <c r="L8459">
        <f>IF(AND($J8459=0,$K8459=0),0,1)</f>
        <v>1</v>
      </c>
    </row>
    <row r="8460" spans="1:13" x14ac:dyDescent="0.2">
      <c r="A8460" t="s">
        <v>273</v>
      </c>
      <c r="B8460" t="s">
        <v>17</v>
      </c>
      <c r="C8460" t="s">
        <v>21</v>
      </c>
      <c r="D8460">
        <v>3999</v>
      </c>
      <c r="E8460">
        <v>2019</v>
      </c>
      <c r="F8460">
        <v>1</v>
      </c>
      <c r="G8460">
        <v>44404</v>
      </c>
      <c r="H8460" s="1">
        <v>2</v>
      </c>
      <c r="I8460">
        <v>10</v>
      </c>
      <c r="J8460">
        <f>IF($H8460=0,1,IF($I8460&lt;=1,2,0))</f>
        <v>0</v>
      </c>
      <c r="K8460">
        <v>9</v>
      </c>
      <c r="L8460">
        <f>IF(AND($J8460=0,$K8460=0),0,1)</f>
        <v>1</v>
      </c>
    </row>
    <row r="8461" spans="1:13" x14ac:dyDescent="0.2">
      <c r="A8461" t="s">
        <v>273</v>
      </c>
      <c r="B8461" t="s">
        <v>17</v>
      </c>
      <c r="C8461" t="s">
        <v>11</v>
      </c>
      <c r="D8461">
        <v>6990</v>
      </c>
      <c r="E8461">
        <v>2019</v>
      </c>
      <c r="F8461">
        <v>1</v>
      </c>
      <c r="G8461">
        <v>44470</v>
      </c>
      <c r="H8461" s="1">
        <v>2</v>
      </c>
      <c r="I8461">
        <v>21</v>
      </c>
      <c r="J8461">
        <f>IF($H8461=0,1,IF($I8461&lt;=1,2,0))</f>
        <v>0</v>
      </c>
      <c r="K8461">
        <v>4</v>
      </c>
      <c r="L8461">
        <f>IF(AND($J8461=0,$K8461=0),0,1)</f>
        <v>1</v>
      </c>
    </row>
    <row r="8462" spans="1:13" x14ac:dyDescent="0.2">
      <c r="A8462" t="s">
        <v>273</v>
      </c>
      <c r="B8462" t="s">
        <v>17</v>
      </c>
      <c r="C8462" t="s">
        <v>11</v>
      </c>
      <c r="D8462">
        <v>6991</v>
      </c>
      <c r="E8462">
        <v>2019</v>
      </c>
      <c r="F8462">
        <v>1</v>
      </c>
      <c r="G8462">
        <v>44370</v>
      </c>
      <c r="H8462" s="1">
        <v>2</v>
      </c>
      <c r="I8462">
        <v>0</v>
      </c>
      <c r="J8462">
        <f>IF($H8462=0,1,IF($I8462&lt;=1,2,0))</f>
        <v>2</v>
      </c>
      <c r="K8462">
        <v>4</v>
      </c>
      <c r="L8462">
        <f>IF(AND($J8462=0,$K8462=0),0,1)</f>
        <v>1</v>
      </c>
    </row>
    <row r="8463" spans="1:13" x14ac:dyDescent="0.2">
      <c r="A8463" t="s">
        <v>273</v>
      </c>
      <c r="B8463" t="s">
        <v>17</v>
      </c>
      <c r="C8463" t="s">
        <v>11</v>
      </c>
      <c r="D8463">
        <v>9001</v>
      </c>
      <c r="E8463">
        <v>2019</v>
      </c>
      <c r="F8463">
        <v>1</v>
      </c>
      <c r="G8463">
        <v>18197</v>
      </c>
      <c r="H8463" s="1" t="s">
        <v>1827</v>
      </c>
      <c r="I8463">
        <v>1</v>
      </c>
      <c r="J8463">
        <f>IF($H8463=0,1,IF($I8463&lt;=1,2,0))</f>
        <v>2</v>
      </c>
      <c r="K8463">
        <v>5</v>
      </c>
      <c r="L8463">
        <f>IF(AND($J8463=0,$K8463=0),0,1)</f>
        <v>1</v>
      </c>
    </row>
    <row r="8464" spans="1:13" x14ac:dyDescent="0.2">
      <c r="A8464" t="s">
        <v>276</v>
      </c>
      <c r="B8464" t="s">
        <v>71</v>
      </c>
      <c r="C8464" t="s">
        <v>72</v>
      </c>
      <c r="D8464">
        <v>3900</v>
      </c>
      <c r="E8464">
        <v>2019</v>
      </c>
      <c r="F8464">
        <v>13</v>
      </c>
      <c r="G8464">
        <v>20228</v>
      </c>
      <c r="H8464" s="1" t="s">
        <v>1840</v>
      </c>
      <c r="I8464">
        <v>2</v>
      </c>
      <c r="J8464">
        <f>IF($H8464=0,1,IF($I8464&lt;=1,2,0))</f>
        <v>0</v>
      </c>
      <c r="K8464">
        <v>9</v>
      </c>
      <c r="L8464">
        <f>IF(AND($J8464=0,$K8464=0),0,1)</f>
        <v>1</v>
      </c>
    </row>
    <row r="8465" spans="1:13" x14ac:dyDescent="0.2">
      <c r="A8465" t="s">
        <v>276</v>
      </c>
      <c r="B8465" t="s">
        <v>71</v>
      </c>
      <c r="C8465" t="s">
        <v>72</v>
      </c>
      <c r="D8465">
        <v>3998</v>
      </c>
      <c r="E8465">
        <v>2019</v>
      </c>
      <c r="F8465">
        <v>1</v>
      </c>
      <c r="G8465">
        <v>20227</v>
      </c>
      <c r="H8465" s="1" t="s">
        <v>1840</v>
      </c>
      <c r="I8465">
        <v>11</v>
      </c>
      <c r="J8465">
        <f>IF($H8465=0,1,IF($I8465&lt;=1,2,0))</f>
        <v>0</v>
      </c>
      <c r="K8465">
        <v>9</v>
      </c>
      <c r="L8465">
        <f>IF(AND($J8465=0,$K8465=0),0,1)</f>
        <v>1</v>
      </c>
    </row>
    <row r="8466" spans="1:13" x14ac:dyDescent="0.2">
      <c r="A8466" t="s">
        <v>276</v>
      </c>
      <c r="B8466" t="s">
        <v>71</v>
      </c>
      <c r="C8466" t="s">
        <v>72</v>
      </c>
      <c r="D8466">
        <v>4003</v>
      </c>
      <c r="E8466">
        <v>2019</v>
      </c>
      <c r="F8466" t="s">
        <v>84</v>
      </c>
      <c r="G8466">
        <v>16340</v>
      </c>
      <c r="H8466" s="1">
        <v>3</v>
      </c>
      <c r="I8466">
        <v>1</v>
      </c>
      <c r="J8466">
        <f>IF($H8466=0,1,IF($I8466&lt;=1,2,0))</f>
        <v>2</v>
      </c>
      <c r="K8466">
        <v>0</v>
      </c>
      <c r="L8466">
        <f>IF(AND($J8466=0,$K8466=0),0,1)</f>
        <v>1</v>
      </c>
      <c r="M8466" t="s">
        <v>85</v>
      </c>
    </row>
    <row r="8467" spans="1:13" x14ac:dyDescent="0.2">
      <c r="A8467" t="s">
        <v>276</v>
      </c>
      <c r="B8467" t="s">
        <v>71</v>
      </c>
      <c r="C8467" t="s">
        <v>72</v>
      </c>
      <c r="D8467">
        <v>4210</v>
      </c>
      <c r="E8467">
        <v>2019</v>
      </c>
      <c r="F8467">
        <v>1</v>
      </c>
      <c r="G8467">
        <v>20276</v>
      </c>
      <c r="H8467" s="1">
        <v>3</v>
      </c>
      <c r="I8467">
        <v>0</v>
      </c>
      <c r="J8467">
        <f>IF($H8467=0,1,IF($I8467&lt;=1,2,0))</f>
        <v>2</v>
      </c>
      <c r="K8467">
        <v>0</v>
      </c>
      <c r="L8467">
        <f>IF(AND($J8467=0,$K8467=0),0,1)</f>
        <v>1</v>
      </c>
    </row>
    <row r="8468" spans="1:13" x14ac:dyDescent="0.2">
      <c r="A8468" t="s">
        <v>276</v>
      </c>
      <c r="B8468" t="s">
        <v>71</v>
      </c>
      <c r="C8468" t="s">
        <v>72</v>
      </c>
      <c r="D8468">
        <v>4999</v>
      </c>
      <c r="E8468">
        <v>2019</v>
      </c>
      <c r="F8468">
        <v>1</v>
      </c>
      <c r="G8468">
        <v>20225</v>
      </c>
      <c r="H8468" s="1">
        <v>1</v>
      </c>
      <c r="I8468">
        <v>2</v>
      </c>
      <c r="J8468">
        <f>IF($H8468=0,1,IF($I8468&lt;=1,2,0))</f>
        <v>0</v>
      </c>
      <c r="K8468">
        <v>9</v>
      </c>
      <c r="L8468">
        <f>IF(AND($J8468=0,$K8468=0),0,1)</f>
        <v>1</v>
      </c>
    </row>
    <row r="8469" spans="1:13" x14ac:dyDescent="0.2">
      <c r="A8469" t="s">
        <v>276</v>
      </c>
      <c r="B8469" t="s">
        <v>71</v>
      </c>
      <c r="C8469" t="s">
        <v>72</v>
      </c>
      <c r="D8469">
        <v>9271</v>
      </c>
      <c r="E8469">
        <v>2019</v>
      </c>
      <c r="F8469">
        <v>4</v>
      </c>
      <c r="G8469">
        <v>20202</v>
      </c>
      <c r="H8469" s="1" t="s">
        <v>1836</v>
      </c>
      <c r="I8469">
        <v>3</v>
      </c>
      <c r="J8469">
        <f>IF($H8469=0,1,IF($I8469&lt;=1,2,0))</f>
        <v>0</v>
      </c>
      <c r="K8469">
        <v>5</v>
      </c>
      <c r="L8469">
        <f>IF(AND($J8469=0,$K8469=0),0,1)</f>
        <v>1</v>
      </c>
    </row>
    <row r="8470" spans="1:13" x14ac:dyDescent="0.2">
      <c r="A8470" t="s">
        <v>276</v>
      </c>
      <c r="B8470" t="s">
        <v>71</v>
      </c>
      <c r="C8470" t="s">
        <v>72</v>
      </c>
      <c r="D8470">
        <v>9271</v>
      </c>
      <c r="E8470">
        <v>2019</v>
      </c>
      <c r="F8470">
        <v>8</v>
      </c>
      <c r="G8470">
        <v>20198</v>
      </c>
      <c r="H8470" s="1" t="s">
        <v>1836</v>
      </c>
      <c r="I8470">
        <v>3</v>
      </c>
      <c r="J8470">
        <f>IF($H8470=0,1,IF($I8470&lt;=1,2,0))</f>
        <v>0</v>
      </c>
      <c r="K8470">
        <v>5</v>
      </c>
      <c r="L8470">
        <f>IF(AND($J8470=0,$K8470=0),0,1)</f>
        <v>1</v>
      </c>
    </row>
    <row r="8471" spans="1:13" x14ac:dyDescent="0.2">
      <c r="A8471" t="s">
        <v>276</v>
      </c>
      <c r="B8471" t="s">
        <v>71</v>
      </c>
      <c r="C8471" t="s">
        <v>72</v>
      </c>
      <c r="D8471">
        <v>9271</v>
      </c>
      <c r="E8471">
        <v>2019</v>
      </c>
      <c r="F8471">
        <v>5</v>
      </c>
      <c r="G8471">
        <v>20201</v>
      </c>
      <c r="H8471" s="1" t="s">
        <v>1836</v>
      </c>
      <c r="I8471">
        <v>2</v>
      </c>
      <c r="J8471">
        <f>IF($H8471=0,1,IF($I8471&lt;=1,2,0))</f>
        <v>0</v>
      </c>
      <c r="K8471">
        <v>5</v>
      </c>
      <c r="L8471">
        <f>IF(AND($J8471=0,$K8471=0),0,1)</f>
        <v>1</v>
      </c>
    </row>
    <row r="8472" spans="1:13" x14ac:dyDescent="0.2">
      <c r="A8472" t="s">
        <v>276</v>
      </c>
      <c r="B8472" t="s">
        <v>71</v>
      </c>
      <c r="C8472" t="s">
        <v>72</v>
      </c>
      <c r="D8472">
        <v>9271</v>
      </c>
      <c r="E8472">
        <v>2019</v>
      </c>
      <c r="F8472">
        <v>6</v>
      </c>
      <c r="G8472">
        <v>20200</v>
      </c>
      <c r="H8472" s="1" t="s">
        <v>1836</v>
      </c>
      <c r="I8472">
        <v>2</v>
      </c>
      <c r="J8472">
        <f>IF($H8472=0,1,IF($I8472&lt;=1,2,0))</f>
        <v>0</v>
      </c>
      <c r="K8472">
        <v>5</v>
      </c>
      <c r="L8472">
        <f>IF(AND($J8472=0,$K8472=0),0,1)</f>
        <v>1</v>
      </c>
    </row>
    <row r="8473" spans="1:13" x14ac:dyDescent="0.2">
      <c r="A8473" t="s">
        <v>276</v>
      </c>
      <c r="B8473" t="s">
        <v>71</v>
      </c>
      <c r="C8473" t="s">
        <v>72</v>
      </c>
      <c r="D8473">
        <v>9271</v>
      </c>
      <c r="E8473">
        <v>2019</v>
      </c>
      <c r="F8473">
        <v>2</v>
      </c>
      <c r="G8473">
        <v>20204</v>
      </c>
      <c r="H8473" s="1" t="s">
        <v>1836</v>
      </c>
      <c r="I8473">
        <v>1</v>
      </c>
      <c r="J8473">
        <f>IF($H8473=0,1,IF($I8473&lt;=1,2,0))</f>
        <v>2</v>
      </c>
      <c r="K8473">
        <v>5</v>
      </c>
      <c r="L8473">
        <f>IF(AND($J8473=0,$K8473=0),0,1)</f>
        <v>1</v>
      </c>
    </row>
    <row r="8474" spans="1:13" x14ac:dyDescent="0.2">
      <c r="A8474" t="s">
        <v>276</v>
      </c>
      <c r="B8474" t="s">
        <v>71</v>
      </c>
      <c r="C8474" t="s">
        <v>72</v>
      </c>
      <c r="D8474">
        <v>9271</v>
      </c>
      <c r="E8474">
        <v>2019</v>
      </c>
      <c r="F8474">
        <v>13</v>
      </c>
      <c r="G8474">
        <v>20193</v>
      </c>
      <c r="H8474" s="1" t="s">
        <v>1836</v>
      </c>
      <c r="I8474">
        <v>1</v>
      </c>
      <c r="J8474">
        <f>IF($H8474=0,1,IF($I8474&lt;=1,2,0))</f>
        <v>2</v>
      </c>
      <c r="K8474">
        <v>5</v>
      </c>
      <c r="L8474">
        <f>IF(AND($J8474=0,$K8474=0),0,1)</f>
        <v>1</v>
      </c>
    </row>
    <row r="8475" spans="1:13" x14ac:dyDescent="0.2">
      <c r="A8475" t="s">
        <v>276</v>
      </c>
      <c r="B8475" t="s">
        <v>71</v>
      </c>
      <c r="C8475" t="s">
        <v>72</v>
      </c>
      <c r="D8475">
        <v>9271</v>
      </c>
      <c r="E8475">
        <v>2019</v>
      </c>
      <c r="F8475">
        <v>1</v>
      </c>
      <c r="G8475">
        <v>20205</v>
      </c>
      <c r="H8475" s="1" t="s">
        <v>1836</v>
      </c>
      <c r="I8475">
        <v>0</v>
      </c>
      <c r="J8475">
        <f>IF($H8475=0,1,IF($I8475&lt;=1,2,0))</f>
        <v>2</v>
      </c>
      <c r="K8475">
        <v>5</v>
      </c>
      <c r="L8475">
        <f>IF(AND($J8475=0,$K8475=0),0,1)</f>
        <v>1</v>
      </c>
    </row>
    <row r="8476" spans="1:13" x14ac:dyDescent="0.2">
      <c r="A8476" t="s">
        <v>276</v>
      </c>
      <c r="B8476" t="s">
        <v>71</v>
      </c>
      <c r="C8476" t="s">
        <v>72</v>
      </c>
      <c r="D8476">
        <v>9271</v>
      </c>
      <c r="E8476">
        <v>2019</v>
      </c>
      <c r="F8476">
        <v>7</v>
      </c>
      <c r="G8476">
        <v>20199</v>
      </c>
      <c r="H8476" s="1" t="s">
        <v>1836</v>
      </c>
      <c r="I8476">
        <v>0</v>
      </c>
      <c r="J8476">
        <f>IF($H8476=0,1,IF($I8476&lt;=1,2,0))</f>
        <v>2</v>
      </c>
      <c r="K8476">
        <v>5</v>
      </c>
      <c r="L8476">
        <f>IF(AND($J8476=0,$K8476=0),0,1)</f>
        <v>1</v>
      </c>
    </row>
    <row r="8477" spans="1:13" x14ac:dyDescent="0.2">
      <c r="A8477" t="s">
        <v>276</v>
      </c>
      <c r="B8477" t="s">
        <v>71</v>
      </c>
      <c r="C8477" t="s">
        <v>72</v>
      </c>
      <c r="D8477">
        <v>9271</v>
      </c>
      <c r="E8477">
        <v>2019</v>
      </c>
      <c r="F8477">
        <v>9</v>
      </c>
      <c r="G8477">
        <v>20197</v>
      </c>
      <c r="H8477" s="1" t="s">
        <v>1836</v>
      </c>
      <c r="I8477">
        <v>0</v>
      </c>
      <c r="J8477">
        <f>IF($H8477=0,1,IF($I8477&lt;=1,2,0))</f>
        <v>2</v>
      </c>
      <c r="K8477">
        <v>5</v>
      </c>
      <c r="L8477">
        <f>IF(AND($J8477=0,$K8477=0),0,1)</f>
        <v>1</v>
      </c>
    </row>
    <row r="8478" spans="1:13" x14ac:dyDescent="0.2">
      <c r="A8478" t="s">
        <v>276</v>
      </c>
      <c r="B8478" t="s">
        <v>71</v>
      </c>
      <c r="C8478" t="s">
        <v>72</v>
      </c>
      <c r="D8478">
        <v>9271</v>
      </c>
      <c r="E8478">
        <v>2019</v>
      </c>
      <c r="F8478">
        <v>11</v>
      </c>
      <c r="G8478">
        <v>20195</v>
      </c>
      <c r="H8478" s="1" t="s">
        <v>1836</v>
      </c>
      <c r="I8478">
        <v>0</v>
      </c>
      <c r="J8478">
        <f>IF($H8478=0,1,IF($I8478&lt;=1,2,0))</f>
        <v>2</v>
      </c>
      <c r="K8478">
        <v>5</v>
      </c>
      <c r="L8478">
        <f>IF(AND($J8478=0,$K8478=0),0,1)</f>
        <v>1</v>
      </c>
    </row>
    <row r="8479" spans="1:13" x14ac:dyDescent="0.2">
      <c r="A8479" t="s">
        <v>276</v>
      </c>
      <c r="B8479" t="s">
        <v>71</v>
      </c>
      <c r="C8479" t="s">
        <v>72</v>
      </c>
      <c r="D8479">
        <v>9271</v>
      </c>
      <c r="E8479">
        <v>2019</v>
      </c>
      <c r="F8479">
        <v>12</v>
      </c>
      <c r="G8479">
        <v>20194</v>
      </c>
      <c r="H8479" s="1" t="s">
        <v>1836</v>
      </c>
      <c r="I8479">
        <v>0</v>
      </c>
      <c r="J8479">
        <f>IF($H8479=0,1,IF($I8479&lt;=1,2,0))</f>
        <v>2</v>
      </c>
      <c r="K8479">
        <v>5</v>
      </c>
      <c r="L8479">
        <f>IF(AND($J8479=0,$K8479=0),0,1)</f>
        <v>1</v>
      </c>
    </row>
    <row r="8480" spans="1:13" x14ac:dyDescent="0.2">
      <c r="A8480" t="s">
        <v>276</v>
      </c>
      <c r="B8480" t="s">
        <v>71</v>
      </c>
      <c r="C8480" t="s">
        <v>72</v>
      </c>
      <c r="D8480">
        <v>9280</v>
      </c>
      <c r="E8480">
        <v>2019</v>
      </c>
      <c r="F8480">
        <v>1</v>
      </c>
      <c r="G8480">
        <v>20224</v>
      </c>
      <c r="H8480" s="1" t="s">
        <v>1831</v>
      </c>
      <c r="I8480">
        <v>72</v>
      </c>
      <c r="J8480">
        <f>IF($H8480=0,1,IF($I8480&lt;=1,2,0))</f>
        <v>0</v>
      </c>
      <c r="K8480">
        <v>5</v>
      </c>
      <c r="L8480">
        <f>IF(AND($J8480=0,$K8480=0),0,1)</f>
        <v>1</v>
      </c>
    </row>
    <row r="8481" spans="1:12" x14ac:dyDescent="0.2">
      <c r="A8481" t="s">
        <v>276</v>
      </c>
      <c r="B8481" t="s">
        <v>71</v>
      </c>
      <c r="C8481" t="s">
        <v>72</v>
      </c>
      <c r="D8481">
        <v>9305</v>
      </c>
      <c r="E8481">
        <v>2019</v>
      </c>
      <c r="F8481">
        <v>6</v>
      </c>
      <c r="G8481">
        <v>20218</v>
      </c>
      <c r="H8481" s="1" t="s">
        <v>1841</v>
      </c>
      <c r="I8481">
        <v>11</v>
      </c>
      <c r="J8481">
        <f>IF($H8481=0,1,IF($I8481&lt;=1,2,0))</f>
        <v>0</v>
      </c>
      <c r="K8481">
        <v>5</v>
      </c>
      <c r="L8481">
        <f>IF(AND($J8481=0,$K8481=0),0,1)</f>
        <v>1</v>
      </c>
    </row>
    <row r="8482" spans="1:12" x14ac:dyDescent="0.2">
      <c r="A8482" t="s">
        <v>276</v>
      </c>
      <c r="B8482" t="s">
        <v>71</v>
      </c>
      <c r="C8482" t="s">
        <v>72</v>
      </c>
      <c r="D8482">
        <v>9305</v>
      </c>
      <c r="E8482">
        <v>2019</v>
      </c>
      <c r="F8482">
        <v>17</v>
      </c>
      <c r="G8482">
        <v>18669</v>
      </c>
      <c r="H8482" s="1" t="s">
        <v>1841</v>
      </c>
      <c r="I8482">
        <v>5</v>
      </c>
      <c r="J8482">
        <f>IF($H8482=0,1,IF($I8482&lt;=1,2,0))</f>
        <v>0</v>
      </c>
      <c r="K8482">
        <v>5</v>
      </c>
      <c r="L8482">
        <f>IF(AND($J8482=0,$K8482=0),0,1)</f>
        <v>1</v>
      </c>
    </row>
    <row r="8483" spans="1:12" x14ac:dyDescent="0.2">
      <c r="A8483" t="s">
        <v>276</v>
      </c>
      <c r="B8483" t="s">
        <v>71</v>
      </c>
      <c r="C8483" t="s">
        <v>72</v>
      </c>
      <c r="D8483">
        <v>9305</v>
      </c>
      <c r="E8483">
        <v>2019</v>
      </c>
      <c r="F8483">
        <v>2</v>
      </c>
      <c r="G8483">
        <v>20222</v>
      </c>
      <c r="H8483" s="1" t="s">
        <v>1841</v>
      </c>
      <c r="I8483">
        <v>3</v>
      </c>
      <c r="J8483">
        <f>IF($H8483=0,1,IF($I8483&lt;=1,2,0))</f>
        <v>0</v>
      </c>
      <c r="K8483">
        <v>5</v>
      </c>
      <c r="L8483">
        <f>IF(AND($J8483=0,$K8483=0),0,1)</f>
        <v>1</v>
      </c>
    </row>
    <row r="8484" spans="1:12" x14ac:dyDescent="0.2">
      <c r="A8484" t="s">
        <v>276</v>
      </c>
      <c r="B8484" t="s">
        <v>71</v>
      </c>
      <c r="C8484" t="s">
        <v>72</v>
      </c>
      <c r="D8484">
        <v>9305</v>
      </c>
      <c r="E8484">
        <v>2019</v>
      </c>
      <c r="F8484">
        <v>4</v>
      </c>
      <c r="G8484">
        <v>20220</v>
      </c>
      <c r="H8484" s="1" t="s">
        <v>1841</v>
      </c>
      <c r="I8484">
        <v>3</v>
      </c>
      <c r="J8484">
        <f>IF($H8484=0,1,IF($I8484&lt;=1,2,0))</f>
        <v>0</v>
      </c>
      <c r="K8484">
        <v>5</v>
      </c>
      <c r="L8484">
        <f>IF(AND($J8484=0,$K8484=0),0,1)</f>
        <v>1</v>
      </c>
    </row>
    <row r="8485" spans="1:12" x14ac:dyDescent="0.2">
      <c r="A8485" t="s">
        <v>276</v>
      </c>
      <c r="B8485" t="s">
        <v>71</v>
      </c>
      <c r="C8485" t="s">
        <v>72</v>
      </c>
      <c r="D8485">
        <v>9305</v>
      </c>
      <c r="E8485">
        <v>2019</v>
      </c>
      <c r="F8485">
        <v>13</v>
      </c>
      <c r="G8485">
        <v>20211</v>
      </c>
      <c r="H8485" s="1" t="s">
        <v>1841</v>
      </c>
      <c r="I8485">
        <v>3</v>
      </c>
      <c r="J8485">
        <f>IF($H8485=0,1,IF($I8485&lt;=1,2,0))</f>
        <v>0</v>
      </c>
      <c r="K8485">
        <v>5</v>
      </c>
      <c r="L8485">
        <f>IF(AND($J8485=0,$K8485=0),0,1)</f>
        <v>1</v>
      </c>
    </row>
    <row r="8486" spans="1:12" x14ac:dyDescent="0.2">
      <c r="A8486" t="s">
        <v>276</v>
      </c>
      <c r="B8486" t="s">
        <v>71</v>
      </c>
      <c r="C8486" t="s">
        <v>72</v>
      </c>
      <c r="D8486">
        <v>9305</v>
      </c>
      <c r="E8486">
        <v>2019</v>
      </c>
      <c r="F8486">
        <v>16</v>
      </c>
      <c r="G8486">
        <v>17239</v>
      </c>
      <c r="H8486" s="1" t="s">
        <v>1841</v>
      </c>
      <c r="I8486">
        <v>3</v>
      </c>
      <c r="J8486">
        <f>IF($H8486=0,1,IF($I8486&lt;=1,2,0))</f>
        <v>0</v>
      </c>
      <c r="K8486">
        <v>5</v>
      </c>
      <c r="L8486">
        <f>IF(AND($J8486=0,$K8486=0),0,1)</f>
        <v>1</v>
      </c>
    </row>
    <row r="8487" spans="1:12" x14ac:dyDescent="0.2">
      <c r="A8487" t="s">
        <v>276</v>
      </c>
      <c r="B8487" t="s">
        <v>71</v>
      </c>
      <c r="C8487" t="s">
        <v>72</v>
      </c>
      <c r="D8487">
        <v>9305</v>
      </c>
      <c r="E8487">
        <v>2019</v>
      </c>
      <c r="F8487">
        <v>5</v>
      </c>
      <c r="G8487">
        <v>20219</v>
      </c>
      <c r="H8487" s="1" t="s">
        <v>1841</v>
      </c>
      <c r="I8487">
        <v>2</v>
      </c>
      <c r="J8487">
        <f>IF($H8487=0,1,IF($I8487&lt;=1,2,0))</f>
        <v>0</v>
      </c>
      <c r="K8487">
        <v>5</v>
      </c>
      <c r="L8487">
        <f>IF(AND($J8487=0,$K8487=0),0,1)</f>
        <v>1</v>
      </c>
    </row>
    <row r="8488" spans="1:12" x14ac:dyDescent="0.2">
      <c r="A8488" t="s">
        <v>276</v>
      </c>
      <c r="B8488" t="s">
        <v>71</v>
      </c>
      <c r="C8488" t="s">
        <v>72</v>
      </c>
      <c r="D8488">
        <v>9305</v>
      </c>
      <c r="E8488">
        <v>2019</v>
      </c>
      <c r="F8488">
        <v>8</v>
      </c>
      <c r="G8488">
        <v>20216</v>
      </c>
      <c r="H8488" s="1" t="s">
        <v>1841</v>
      </c>
      <c r="I8488">
        <v>2</v>
      </c>
      <c r="J8488">
        <f>IF($H8488=0,1,IF($I8488&lt;=1,2,0))</f>
        <v>0</v>
      </c>
      <c r="K8488">
        <v>5</v>
      </c>
      <c r="L8488">
        <f>IF(AND($J8488=0,$K8488=0),0,1)</f>
        <v>1</v>
      </c>
    </row>
    <row r="8489" spans="1:12" x14ac:dyDescent="0.2">
      <c r="A8489" t="s">
        <v>276</v>
      </c>
      <c r="B8489" t="s">
        <v>71</v>
      </c>
      <c r="C8489" t="s">
        <v>72</v>
      </c>
      <c r="D8489">
        <v>9305</v>
      </c>
      <c r="E8489">
        <v>2019</v>
      </c>
      <c r="F8489">
        <v>9</v>
      </c>
      <c r="G8489">
        <v>20215</v>
      </c>
      <c r="H8489" s="1" t="s">
        <v>1841</v>
      </c>
      <c r="I8489">
        <v>2</v>
      </c>
      <c r="J8489">
        <f>IF($H8489=0,1,IF($I8489&lt;=1,2,0))</f>
        <v>0</v>
      </c>
      <c r="K8489">
        <v>5</v>
      </c>
      <c r="L8489">
        <f>IF(AND($J8489=0,$K8489=0),0,1)</f>
        <v>1</v>
      </c>
    </row>
    <row r="8490" spans="1:12" x14ac:dyDescent="0.2">
      <c r="A8490" t="s">
        <v>276</v>
      </c>
      <c r="B8490" t="s">
        <v>71</v>
      </c>
      <c r="C8490" t="s">
        <v>72</v>
      </c>
      <c r="D8490">
        <v>9305</v>
      </c>
      <c r="E8490">
        <v>2019</v>
      </c>
      <c r="F8490">
        <v>1</v>
      </c>
      <c r="G8490">
        <v>20223</v>
      </c>
      <c r="H8490" s="1" t="s">
        <v>1841</v>
      </c>
      <c r="I8490">
        <v>1</v>
      </c>
      <c r="J8490">
        <f>IF($H8490=0,1,IF($I8490&lt;=1,2,0))</f>
        <v>2</v>
      </c>
      <c r="K8490">
        <v>5</v>
      </c>
      <c r="L8490">
        <f>IF(AND($J8490=0,$K8490=0),0,1)</f>
        <v>1</v>
      </c>
    </row>
    <row r="8491" spans="1:12" x14ac:dyDescent="0.2">
      <c r="A8491" t="s">
        <v>276</v>
      </c>
      <c r="B8491" t="s">
        <v>71</v>
      </c>
      <c r="C8491" t="s">
        <v>72</v>
      </c>
      <c r="D8491">
        <v>9305</v>
      </c>
      <c r="E8491">
        <v>2019</v>
      </c>
      <c r="F8491">
        <v>10</v>
      </c>
      <c r="G8491">
        <v>20214</v>
      </c>
      <c r="H8491" s="1" t="s">
        <v>1841</v>
      </c>
      <c r="I8491">
        <v>1</v>
      </c>
      <c r="J8491">
        <f>IF($H8491=0,1,IF($I8491&lt;=1,2,0))</f>
        <v>2</v>
      </c>
      <c r="K8491">
        <v>5</v>
      </c>
      <c r="L8491">
        <f>IF(AND($J8491=0,$K8491=0),0,1)</f>
        <v>1</v>
      </c>
    </row>
    <row r="8492" spans="1:12" x14ac:dyDescent="0.2">
      <c r="A8492" t="s">
        <v>276</v>
      </c>
      <c r="B8492" t="s">
        <v>71</v>
      </c>
      <c r="C8492" t="s">
        <v>72</v>
      </c>
      <c r="D8492">
        <v>9305</v>
      </c>
      <c r="E8492">
        <v>2019</v>
      </c>
      <c r="F8492">
        <v>12</v>
      </c>
      <c r="G8492">
        <v>20212</v>
      </c>
      <c r="H8492" s="1" t="s">
        <v>1841</v>
      </c>
      <c r="I8492">
        <v>1</v>
      </c>
      <c r="J8492">
        <f>IF($H8492=0,1,IF($I8492&lt;=1,2,0))</f>
        <v>2</v>
      </c>
      <c r="K8492">
        <v>5</v>
      </c>
      <c r="L8492">
        <f>IF(AND($J8492=0,$K8492=0),0,1)</f>
        <v>1</v>
      </c>
    </row>
    <row r="8493" spans="1:12" x14ac:dyDescent="0.2">
      <c r="A8493" t="s">
        <v>276</v>
      </c>
      <c r="B8493" t="s">
        <v>71</v>
      </c>
      <c r="C8493" t="s">
        <v>72</v>
      </c>
      <c r="D8493">
        <v>9305</v>
      </c>
      <c r="E8493">
        <v>2019</v>
      </c>
      <c r="F8493">
        <v>18</v>
      </c>
      <c r="G8493">
        <v>18670</v>
      </c>
      <c r="H8493" s="1" t="s">
        <v>1841</v>
      </c>
      <c r="I8493">
        <v>1</v>
      </c>
      <c r="J8493">
        <f>IF($H8493=0,1,IF($I8493&lt;=1,2,0))</f>
        <v>2</v>
      </c>
      <c r="K8493">
        <v>5</v>
      </c>
      <c r="L8493">
        <f>IF(AND($J8493=0,$K8493=0),0,1)</f>
        <v>1</v>
      </c>
    </row>
    <row r="8494" spans="1:12" x14ac:dyDescent="0.2">
      <c r="A8494" t="s">
        <v>276</v>
      </c>
      <c r="B8494" t="s">
        <v>71</v>
      </c>
      <c r="C8494" t="s">
        <v>72</v>
      </c>
      <c r="D8494">
        <v>9305</v>
      </c>
      <c r="E8494">
        <v>2019</v>
      </c>
      <c r="F8494">
        <v>7</v>
      </c>
      <c r="G8494">
        <v>20217</v>
      </c>
      <c r="H8494" s="1" t="s">
        <v>1841</v>
      </c>
      <c r="I8494">
        <v>0</v>
      </c>
      <c r="J8494">
        <f>IF($H8494=0,1,IF($I8494&lt;=1,2,0))</f>
        <v>2</v>
      </c>
      <c r="K8494">
        <v>5</v>
      </c>
      <c r="L8494">
        <f>IF(AND($J8494=0,$K8494=0),0,1)</f>
        <v>1</v>
      </c>
    </row>
    <row r="8495" spans="1:12" x14ac:dyDescent="0.2">
      <c r="A8495" t="s">
        <v>276</v>
      </c>
      <c r="B8495" t="s">
        <v>71</v>
      </c>
      <c r="C8495" t="s">
        <v>72</v>
      </c>
      <c r="D8495">
        <v>9305</v>
      </c>
      <c r="E8495">
        <v>2019</v>
      </c>
      <c r="F8495">
        <v>11</v>
      </c>
      <c r="G8495">
        <v>20213</v>
      </c>
      <c r="H8495" s="1" t="s">
        <v>1841</v>
      </c>
      <c r="I8495">
        <v>0</v>
      </c>
      <c r="J8495">
        <f>IF($H8495=0,1,IF($I8495&lt;=1,2,0))</f>
        <v>2</v>
      </c>
      <c r="K8495">
        <v>5</v>
      </c>
      <c r="L8495">
        <f>IF(AND($J8495=0,$K8495=0),0,1)</f>
        <v>1</v>
      </c>
    </row>
    <row r="8496" spans="1:12" x14ac:dyDescent="0.2">
      <c r="A8496" t="s">
        <v>276</v>
      </c>
      <c r="B8496" t="s">
        <v>71</v>
      </c>
      <c r="C8496" t="s">
        <v>72</v>
      </c>
      <c r="D8496">
        <v>9800</v>
      </c>
      <c r="E8496">
        <v>2019</v>
      </c>
      <c r="F8496">
        <v>11</v>
      </c>
      <c r="G8496">
        <v>20246</v>
      </c>
      <c r="H8496" s="1" t="s">
        <v>1838</v>
      </c>
      <c r="I8496">
        <v>0</v>
      </c>
      <c r="J8496">
        <f>IF($H8496=0,1,IF($I8496&lt;=1,2,0))</f>
        <v>2</v>
      </c>
      <c r="K8496">
        <v>5</v>
      </c>
      <c r="L8496">
        <f>IF(AND($J8496=0,$K8496=0),0,1)</f>
        <v>1</v>
      </c>
    </row>
    <row r="8497" spans="1:13" x14ac:dyDescent="0.2">
      <c r="A8497" t="s">
        <v>279</v>
      </c>
      <c r="B8497" t="s">
        <v>71</v>
      </c>
      <c r="C8497" t="s">
        <v>72</v>
      </c>
      <c r="D8497">
        <v>4040</v>
      </c>
      <c r="E8497">
        <v>2019</v>
      </c>
      <c r="F8497" t="s">
        <v>59</v>
      </c>
      <c r="G8497">
        <v>18170</v>
      </c>
      <c r="H8497" s="1">
        <v>0</v>
      </c>
      <c r="I8497">
        <v>0</v>
      </c>
      <c r="J8497">
        <f>IF($H8497=0,1,IF($I8497&lt;=1,2,0))</f>
        <v>1</v>
      </c>
      <c r="K8497">
        <v>0</v>
      </c>
      <c r="L8497">
        <f>IF(AND($J8497=0,$K8497=0),0,1)</f>
        <v>1</v>
      </c>
      <c r="M8497" t="s">
        <v>280</v>
      </c>
    </row>
    <row r="8498" spans="1:13" x14ac:dyDescent="0.2">
      <c r="A8498" t="s">
        <v>279</v>
      </c>
      <c r="B8498" t="s">
        <v>71</v>
      </c>
      <c r="C8498" t="s">
        <v>72</v>
      </c>
      <c r="D8498">
        <v>4040</v>
      </c>
      <c r="E8498">
        <v>2019</v>
      </c>
      <c r="F8498" t="s">
        <v>60</v>
      </c>
      <c r="G8498">
        <v>18171</v>
      </c>
      <c r="H8498" s="1">
        <v>0</v>
      </c>
      <c r="I8498">
        <v>0</v>
      </c>
      <c r="J8498">
        <f>IF($H8498=0,1,IF($I8498&lt;=1,2,0))</f>
        <v>1</v>
      </c>
      <c r="K8498">
        <v>0</v>
      </c>
      <c r="L8498">
        <f>IF(AND($J8498=0,$K8498=0),0,1)</f>
        <v>1</v>
      </c>
      <c r="M8498" t="s">
        <v>280</v>
      </c>
    </row>
    <row r="8499" spans="1:13" x14ac:dyDescent="0.2">
      <c r="A8499" t="s">
        <v>281</v>
      </c>
      <c r="B8499" t="s">
        <v>6</v>
      </c>
      <c r="C8499" t="s">
        <v>2</v>
      </c>
      <c r="D8499">
        <v>3066</v>
      </c>
      <c r="E8499">
        <v>2019</v>
      </c>
      <c r="F8499">
        <v>1</v>
      </c>
      <c r="G8499">
        <v>7808</v>
      </c>
      <c r="H8499" s="1">
        <v>4</v>
      </c>
      <c r="I8499">
        <v>9</v>
      </c>
      <c r="J8499">
        <f>IF($H8499=0,1,IF($I8499&lt;=1,2,0))</f>
        <v>0</v>
      </c>
      <c r="K8499">
        <v>7</v>
      </c>
      <c r="L8499">
        <f>IF(AND($J8499=0,$K8499=0),0,1)</f>
        <v>1</v>
      </c>
    </row>
    <row r="8500" spans="1:13" x14ac:dyDescent="0.2">
      <c r="A8500" t="s">
        <v>282</v>
      </c>
      <c r="B8500" t="s">
        <v>6</v>
      </c>
      <c r="C8500" t="s">
        <v>2</v>
      </c>
      <c r="D8500">
        <v>1003</v>
      </c>
      <c r="E8500">
        <v>2019</v>
      </c>
      <c r="F8500">
        <v>1</v>
      </c>
      <c r="G8500">
        <v>7809</v>
      </c>
      <c r="H8500" s="1">
        <v>3</v>
      </c>
      <c r="I8500">
        <v>49</v>
      </c>
      <c r="J8500">
        <f>IF($H8500=0,1,IF($I8500&lt;=1,2,0))</f>
        <v>0</v>
      </c>
      <c r="K8500">
        <v>7</v>
      </c>
      <c r="L8500">
        <f>IF(AND($J8500=0,$K8500=0),0,1)</f>
        <v>1</v>
      </c>
    </row>
    <row r="8501" spans="1:13" x14ac:dyDescent="0.2">
      <c r="A8501" t="s">
        <v>282</v>
      </c>
      <c r="B8501" t="s">
        <v>6</v>
      </c>
      <c r="C8501" t="s">
        <v>2</v>
      </c>
      <c r="D8501">
        <v>1003</v>
      </c>
      <c r="E8501">
        <v>2019</v>
      </c>
      <c r="F8501">
        <v>3</v>
      </c>
      <c r="G8501">
        <v>7811</v>
      </c>
      <c r="H8501" s="1">
        <v>3</v>
      </c>
      <c r="I8501">
        <v>39</v>
      </c>
      <c r="J8501">
        <f>IF($H8501=0,1,IF($I8501&lt;=1,2,0))</f>
        <v>0</v>
      </c>
      <c r="K8501">
        <v>7</v>
      </c>
      <c r="L8501">
        <f>IF(AND($J8501=0,$K8501=0),0,1)</f>
        <v>1</v>
      </c>
    </row>
    <row r="8502" spans="1:13" x14ac:dyDescent="0.2">
      <c r="A8502" t="s">
        <v>282</v>
      </c>
      <c r="B8502" t="s">
        <v>6</v>
      </c>
      <c r="C8502" t="s">
        <v>2</v>
      </c>
      <c r="D8502">
        <v>1007</v>
      </c>
      <c r="E8502">
        <v>2019</v>
      </c>
      <c r="F8502">
        <v>1</v>
      </c>
      <c r="G8502">
        <v>7798</v>
      </c>
      <c r="H8502" s="1">
        <v>4</v>
      </c>
      <c r="I8502">
        <v>59</v>
      </c>
      <c r="J8502">
        <f>IF($H8502=0,1,IF($I8502&lt;=1,2,0))</f>
        <v>0</v>
      </c>
      <c r="K8502">
        <v>7</v>
      </c>
      <c r="L8502">
        <f>IF(AND($J8502=0,$K8502=0),0,1)</f>
        <v>1</v>
      </c>
    </row>
    <row r="8503" spans="1:13" x14ac:dyDescent="0.2">
      <c r="A8503" t="s">
        <v>282</v>
      </c>
      <c r="B8503" t="s">
        <v>6</v>
      </c>
      <c r="C8503" t="s">
        <v>9</v>
      </c>
      <c r="D8503">
        <v>1155</v>
      </c>
      <c r="E8503">
        <v>2019</v>
      </c>
      <c r="F8503">
        <v>1</v>
      </c>
      <c r="G8503">
        <v>47389</v>
      </c>
      <c r="H8503" s="1">
        <v>0</v>
      </c>
      <c r="I8503">
        <v>521</v>
      </c>
      <c r="J8503">
        <f>IF($H8503=0,1,IF($I8503&lt;=1,2,0))</f>
        <v>1</v>
      </c>
      <c r="K8503">
        <v>0</v>
      </c>
      <c r="L8503">
        <f>IF(AND($J8503=0,$K8503=0),0,1)</f>
        <v>1</v>
      </c>
    </row>
    <row r="8504" spans="1:13" x14ac:dyDescent="0.2">
      <c r="A8504" t="s">
        <v>282</v>
      </c>
      <c r="B8504" t="s">
        <v>6</v>
      </c>
      <c r="C8504" t="s">
        <v>2</v>
      </c>
      <c r="D8504">
        <v>2224</v>
      </c>
      <c r="E8504">
        <v>2019</v>
      </c>
      <c r="F8504">
        <v>1</v>
      </c>
      <c r="G8504">
        <v>7824</v>
      </c>
      <c r="H8504" s="1">
        <v>4</v>
      </c>
      <c r="I8504">
        <v>14</v>
      </c>
      <c r="J8504">
        <f>IF($H8504=0,1,IF($I8504&lt;=1,2,0))</f>
        <v>0</v>
      </c>
      <c r="K8504">
        <v>7</v>
      </c>
      <c r="L8504">
        <f>IF(AND($J8504=0,$K8504=0),0,1)</f>
        <v>1</v>
      </c>
      <c r="M8504" t="s">
        <v>284</v>
      </c>
    </row>
    <row r="8505" spans="1:13" x14ac:dyDescent="0.2">
      <c r="A8505" t="s">
        <v>282</v>
      </c>
      <c r="B8505" t="s">
        <v>6</v>
      </c>
      <c r="C8505" t="s">
        <v>2</v>
      </c>
      <c r="D8505">
        <v>2411</v>
      </c>
      <c r="E8505">
        <v>2019</v>
      </c>
      <c r="F8505">
        <v>1</v>
      </c>
      <c r="G8505">
        <v>7800</v>
      </c>
      <c r="H8505" s="1">
        <v>4</v>
      </c>
      <c r="I8505">
        <v>26</v>
      </c>
      <c r="J8505">
        <f>IF($H8505=0,1,IF($I8505&lt;=1,2,0))</f>
        <v>0</v>
      </c>
      <c r="K8505">
        <v>7</v>
      </c>
      <c r="L8505">
        <f>IF(AND($J8505=0,$K8505=0),0,1)</f>
        <v>1</v>
      </c>
      <c r="M8505" t="s">
        <v>285</v>
      </c>
    </row>
    <row r="8506" spans="1:13" x14ac:dyDescent="0.2">
      <c r="A8506" t="s">
        <v>282</v>
      </c>
      <c r="B8506" t="s">
        <v>6</v>
      </c>
      <c r="C8506" t="s">
        <v>2</v>
      </c>
      <c r="D8506">
        <v>3011</v>
      </c>
      <c r="E8506">
        <v>2019</v>
      </c>
      <c r="F8506">
        <v>1</v>
      </c>
      <c r="G8506">
        <v>7801</v>
      </c>
      <c r="H8506" s="1">
        <v>3</v>
      </c>
      <c r="I8506">
        <v>59</v>
      </c>
      <c r="J8506">
        <f>IF($H8506=0,1,IF($I8506&lt;=1,2,0))</f>
        <v>0</v>
      </c>
      <c r="K8506">
        <v>7</v>
      </c>
      <c r="L8506">
        <f>IF(AND($J8506=0,$K8506=0),0,1)</f>
        <v>1</v>
      </c>
      <c r="M8506" t="s">
        <v>286</v>
      </c>
    </row>
    <row r="8507" spans="1:13" x14ac:dyDescent="0.2">
      <c r="A8507" t="s">
        <v>282</v>
      </c>
      <c r="B8507" t="s">
        <v>6</v>
      </c>
      <c r="C8507" t="s">
        <v>2</v>
      </c>
      <c r="D8507">
        <v>3012</v>
      </c>
      <c r="E8507">
        <v>2019</v>
      </c>
      <c r="F8507">
        <v>1</v>
      </c>
      <c r="G8507">
        <v>7825</v>
      </c>
      <c r="H8507" s="1">
        <v>3</v>
      </c>
      <c r="I8507">
        <v>78</v>
      </c>
      <c r="J8507">
        <f>IF($H8507=0,1,IF($I8507&lt;=1,2,0))</f>
        <v>0</v>
      </c>
      <c r="K8507">
        <v>7</v>
      </c>
      <c r="L8507">
        <f>IF(AND($J8507=0,$K8507=0),0,1)</f>
        <v>1</v>
      </c>
      <c r="M8507" t="s">
        <v>1922</v>
      </c>
    </row>
    <row r="8508" spans="1:13" x14ac:dyDescent="0.2">
      <c r="A8508" t="s">
        <v>282</v>
      </c>
      <c r="B8508" t="s">
        <v>6</v>
      </c>
      <c r="C8508" t="s">
        <v>2</v>
      </c>
      <c r="D8508">
        <v>3018</v>
      </c>
      <c r="E8508">
        <v>2019</v>
      </c>
      <c r="F8508">
        <v>1</v>
      </c>
      <c r="G8508">
        <v>7812</v>
      </c>
      <c r="H8508" s="1">
        <v>4</v>
      </c>
      <c r="I8508">
        <v>43</v>
      </c>
      <c r="J8508">
        <f>IF($H8508=0,1,IF($I8508&lt;=1,2,0))</f>
        <v>0</v>
      </c>
      <c r="K8508">
        <v>7</v>
      </c>
      <c r="L8508">
        <f>IF(AND($J8508=0,$K8508=0),0,1)</f>
        <v>1</v>
      </c>
      <c r="M8508" t="s">
        <v>287</v>
      </c>
    </row>
    <row r="8509" spans="1:13" x14ac:dyDescent="0.2">
      <c r="A8509" t="s">
        <v>282</v>
      </c>
      <c r="B8509" t="s">
        <v>6</v>
      </c>
      <c r="C8509" t="s">
        <v>2</v>
      </c>
      <c r="D8509">
        <v>3019</v>
      </c>
      <c r="E8509">
        <v>2019</v>
      </c>
      <c r="F8509">
        <v>1</v>
      </c>
      <c r="G8509">
        <v>7792</v>
      </c>
      <c r="H8509" s="1">
        <v>3</v>
      </c>
      <c r="I8509">
        <v>17</v>
      </c>
      <c r="J8509">
        <f>IF($H8509=0,1,IF($I8509&lt;=1,2,0))</f>
        <v>0</v>
      </c>
      <c r="K8509">
        <v>7</v>
      </c>
      <c r="L8509">
        <f>IF(AND($J8509=0,$K8509=0),0,1)</f>
        <v>1</v>
      </c>
      <c r="M8509" t="s">
        <v>288</v>
      </c>
    </row>
    <row r="8510" spans="1:13" x14ac:dyDescent="0.2">
      <c r="A8510" t="s">
        <v>282</v>
      </c>
      <c r="B8510" t="s">
        <v>6</v>
      </c>
      <c r="C8510" t="s">
        <v>2</v>
      </c>
      <c r="D8510">
        <v>3022</v>
      </c>
      <c r="E8510">
        <v>2019</v>
      </c>
      <c r="F8510">
        <v>1</v>
      </c>
      <c r="G8510">
        <v>7793</v>
      </c>
      <c r="H8510" s="1">
        <v>3</v>
      </c>
      <c r="I8510">
        <v>28</v>
      </c>
      <c r="J8510">
        <f>IF($H8510=0,1,IF($I8510&lt;=1,2,0))</f>
        <v>0</v>
      </c>
      <c r="K8510">
        <v>7</v>
      </c>
      <c r="L8510">
        <f>IF(AND($J8510=0,$K8510=0),0,1)</f>
        <v>1</v>
      </c>
      <c r="M8510" t="s">
        <v>289</v>
      </c>
    </row>
    <row r="8511" spans="1:13" x14ac:dyDescent="0.2">
      <c r="A8511" t="s">
        <v>282</v>
      </c>
      <c r="B8511" t="s">
        <v>6</v>
      </c>
      <c r="C8511" t="s">
        <v>2</v>
      </c>
      <c r="D8511">
        <v>3026</v>
      </c>
      <c r="E8511">
        <v>2019</v>
      </c>
      <c r="F8511">
        <v>1</v>
      </c>
      <c r="G8511">
        <v>7826</v>
      </c>
      <c r="H8511" s="1">
        <v>3</v>
      </c>
      <c r="I8511">
        <v>39</v>
      </c>
      <c r="J8511">
        <f>IF($H8511=0,1,IF($I8511&lt;=1,2,0))</f>
        <v>0</v>
      </c>
      <c r="K8511">
        <v>7</v>
      </c>
      <c r="L8511">
        <f>IF(AND($J8511=0,$K8511=0),0,1)</f>
        <v>1</v>
      </c>
      <c r="M8511" t="s">
        <v>288</v>
      </c>
    </row>
    <row r="8512" spans="1:13" x14ac:dyDescent="0.2">
      <c r="A8512" t="s">
        <v>282</v>
      </c>
      <c r="B8512" t="s">
        <v>6</v>
      </c>
      <c r="C8512" t="s">
        <v>2</v>
      </c>
      <c r="D8512">
        <v>3031</v>
      </c>
      <c r="E8512">
        <v>2019</v>
      </c>
      <c r="F8512">
        <v>1</v>
      </c>
      <c r="G8512">
        <v>7827</v>
      </c>
      <c r="H8512" s="1">
        <v>3</v>
      </c>
      <c r="I8512">
        <v>31</v>
      </c>
      <c r="J8512">
        <f>IF($H8512=0,1,IF($I8512&lt;=1,2,0))</f>
        <v>0</v>
      </c>
      <c r="K8512">
        <v>7</v>
      </c>
      <c r="L8512">
        <f>IF(AND($J8512=0,$K8512=0),0,1)</f>
        <v>1</v>
      </c>
      <c r="M8512" t="s">
        <v>290</v>
      </c>
    </row>
    <row r="8513" spans="1:13" x14ac:dyDescent="0.2">
      <c r="A8513" t="s">
        <v>282</v>
      </c>
      <c r="B8513" t="s">
        <v>6</v>
      </c>
      <c r="C8513" t="s">
        <v>2</v>
      </c>
      <c r="D8513">
        <v>3033</v>
      </c>
      <c r="E8513">
        <v>2019</v>
      </c>
      <c r="F8513">
        <v>1</v>
      </c>
      <c r="G8513">
        <v>7802</v>
      </c>
      <c r="H8513" s="1">
        <v>4</v>
      </c>
      <c r="I8513">
        <v>64</v>
      </c>
      <c r="J8513">
        <f>IF($H8513=0,1,IF($I8513&lt;=1,2,0))</f>
        <v>0</v>
      </c>
      <c r="K8513">
        <v>7</v>
      </c>
      <c r="L8513">
        <f>IF(AND($J8513=0,$K8513=0),0,1)</f>
        <v>1</v>
      </c>
      <c r="M8513" t="s">
        <v>1923</v>
      </c>
    </row>
    <row r="8514" spans="1:13" x14ac:dyDescent="0.2">
      <c r="A8514" t="s">
        <v>282</v>
      </c>
      <c r="B8514" t="s">
        <v>6</v>
      </c>
      <c r="C8514" t="s">
        <v>2</v>
      </c>
      <c r="D8514">
        <v>3035</v>
      </c>
      <c r="E8514">
        <v>2019</v>
      </c>
      <c r="F8514">
        <v>1</v>
      </c>
      <c r="G8514">
        <v>7813</v>
      </c>
      <c r="H8514" s="1">
        <v>4</v>
      </c>
      <c r="I8514">
        <v>34</v>
      </c>
      <c r="J8514">
        <f>IF($H8514=0,1,IF($I8514&lt;=1,2,0))</f>
        <v>0</v>
      </c>
      <c r="K8514">
        <v>7</v>
      </c>
      <c r="L8514">
        <f>IF(AND($J8514=0,$K8514=0),0,1)</f>
        <v>1</v>
      </c>
      <c r="M8514" t="s">
        <v>1924</v>
      </c>
    </row>
    <row r="8515" spans="1:13" x14ac:dyDescent="0.2">
      <c r="A8515" t="s">
        <v>282</v>
      </c>
      <c r="B8515" t="s">
        <v>6</v>
      </c>
      <c r="C8515" t="s">
        <v>2</v>
      </c>
      <c r="D8515">
        <v>3035</v>
      </c>
      <c r="E8515">
        <v>2019</v>
      </c>
      <c r="F8515">
        <v>2</v>
      </c>
      <c r="G8515">
        <v>7822</v>
      </c>
      <c r="H8515" s="1">
        <v>4</v>
      </c>
      <c r="I8515">
        <v>19</v>
      </c>
      <c r="J8515">
        <f>IF($H8515=0,1,IF($I8515&lt;=1,2,0))</f>
        <v>0</v>
      </c>
      <c r="K8515">
        <v>7</v>
      </c>
      <c r="L8515">
        <f>IF(AND($J8515=0,$K8515=0),0,1)</f>
        <v>1</v>
      </c>
      <c r="M8515" t="s">
        <v>1925</v>
      </c>
    </row>
    <row r="8516" spans="1:13" x14ac:dyDescent="0.2">
      <c r="A8516" t="s">
        <v>282</v>
      </c>
      <c r="B8516" t="s">
        <v>6</v>
      </c>
      <c r="C8516" t="s">
        <v>2</v>
      </c>
      <c r="D8516">
        <v>3038</v>
      </c>
      <c r="E8516">
        <v>2019</v>
      </c>
      <c r="F8516">
        <v>1</v>
      </c>
      <c r="G8516">
        <v>7828</v>
      </c>
      <c r="H8516" s="1">
        <v>3</v>
      </c>
      <c r="I8516">
        <v>41</v>
      </c>
      <c r="J8516">
        <f>IF($H8516=0,1,IF($I8516&lt;=1,2,0))</f>
        <v>0</v>
      </c>
      <c r="K8516">
        <v>7</v>
      </c>
      <c r="L8516">
        <f>IF(AND($J8516=0,$K8516=0),0,1)</f>
        <v>1</v>
      </c>
      <c r="M8516" t="s">
        <v>291</v>
      </c>
    </row>
    <row r="8517" spans="1:13" x14ac:dyDescent="0.2">
      <c r="A8517" t="s">
        <v>282</v>
      </c>
      <c r="B8517" t="s">
        <v>6</v>
      </c>
      <c r="C8517" t="s">
        <v>2</v>
      </c>
      <c r="D8517">
        <v>3041</v>
      </c>
      <c r="E8517">
        <v>2019</v>
      </c>
      <c r="F8517">
        <v>2</v>
      </c>
      <c r="G8517">
        <v>7823</v>
      </c>
      <c r="H8517" s="1">
        <v>3</v>
      </c>
      <c r="I8517">
        <v>48</v>
      </c>
      <c r="J8517">
        <f>IF($H8517=0,1,IF($I8517&lt;=1,2,0))</f>
        <v>0</v>
      </c>
      <c r="K8517">
        <v>7</v>
      </c>
      <c r="L8517">
        <f>IF(AND($J8517=0,$K8517=0),0,1)</f>
        <v>1</v>
      </c>
      <c r="M8517" t="s">
        <v>292</v>
      </c>
    </row>
    <row r="8518" spans="1:13" x14ac:dyDescent="0.2">
      <c r="A8518" t="s">
        <v>282</v>
      </c>
      <c r="B8518" t="s">
        <v>6</v>
      </c>
      <c r="C8518" t="s">
        <v>2</v>
      </c>
      <c r="D8518">
        <v>3041</v>
      </c>
      <c r="E8518">
        <v>2019</v>
      </c>
      <c r="F8518">
        <v>1</v>
      </c>
      <c r="G8518">
        <v>7814</v>
      </c>
      <c r="H8518" s="1">
        <v>3</v>
      </c>
      <c r="I8518">
        <v>40</v>
      </c>
      <c r="J8518">
        <f>IF($H8518=0,1,IF($I8518&lt;=1,2,0))</f>
        <v>0</v>
      </c>
      <c r="K8518">
        <v>7</v>
      </c>
      <c r="L8518">
        <f>IF(AND($J8518=0,$K8518=0),0,1)</f>
        <v>1</v>
      </c>
      <c r="M8518" t="s">
        <v>292</v>
      </c>
    </row>
    <row r="8519" spans="1:13" x14ac:dyDescent="0.2">
      <c r="A8519" t="s">
        <v>282</v>
      </c>
      <c r="B8519" t="s">
        <v>6</v>
      </c>
      <c r="C8519" t="s">
        <v>2</v>
      </c>
      <c r="D8519">
        <v>3061</v>
      </c>
      <c r="E8519">
        <v>2019</v>
      </c>
      <c r="F8519">
        <v>1</v>
      </c>
      <c r="G8519">
        <v>7794</v>
      </c>
      <c r="H8519" s="1">
        <v>4</v>
      </c>
      <c r="I8519">
        <v>6</v>
      </c>
      <c r="J8519">
        <f>IF($H8519=0,1,IF($I8519&lt;=1,2,0))</f>
        <v>0</v>
      </c>
      <c r="K8519">
        <v>7</v>
      </c>
      <c r="L8519">
        <f>IF(AND($J8519=0,$K8519=0),0,1)</f>
        <v>1</v>
      </c>
      <c r="M8519" t="s">
        <v>1926</v>
      </c>
    </row>
    <row r="8520" spans="1:13" x14ac:dyDescent="0.2">
      <c r="A8520" t="s">
        <v>282</v>
      </c>
      <c r="B8520" t="s">
        <v>6</v>
      </c>
      <c r="C8520" t="s">
        <v>2</v>
      </c>
      <c r="D8520">
        <v>3061</v>
      </c>
      <c r="E8520">
        <v>2019</v>
      </c>
      <c r="F8520">
        <v>2</v>
      </c>
      <c r="G8520">
        <v>7795</v>
      </c>
      <c r="H8520" s="1">
        <v>4</v>
      </c>
      <c r="I8520">
        <v>6</v>
      </c>
      <c r="J8520">
        <f>IF($H8520=0,1,IF($I8520&lt;=1,2,0))</f>
        <v>0</v>
      </c>
      <c r="K8520">
        <v>7</v>
      </c>
      <c r="L8520">
        <f>IF(AND($J8520=0,$K8520=0),0,1)</f>
        <v>1</v>
      </c>
      <c r="M8520" t="s">
        <v>1926</v>
      </c>
    </row>
    <row r="8521" spans="1:13" x14ac:dyDescent="0.2">
      <c r="A8521" t="s">
        <v>282</v>
      </c>
      <c r="B8521" t="s">
        <v>6</v>
      </c>
      <c r="C8521" t="s">
        <v>2</v>
      </c>
      <c r="D8521">
        <v>3061</v>
      </c>
      <c r="E8521">
        <v>2019</v>
      </c>
      <c r="F8521">
        <v>3</v>
      </c>
      <c r="G8521">
        <v>7796</v>
      </c>
      <c r="H8521" s="1">
        <v>4</v>
      </c>
      <c r="I8521">
        <v>0</v>
      </c>
      <c r="J8521">
        <f>IF($H8521=0,1,IF($I8521&lt;=1,2,0))</f>
        <v>2</v>
      </c>
      <c r="K8521">
        <v>7</v>
      </c>
      <c r="L8521">
        <f>IF(AND($J8521=0,$K8521=0),0,1)</f>
        <v>1</v>
      </c>
      <c r="M8521" t="s">
        <v>1926</v>
      </c>
    </row>
    <row r="8522" spans="1:13" x14ac:dyDescent="0.2">
      <c r="A8522" t="s">
        <v>282</v>
      </c>
      <c r="B8522" t="s">
        <v>6</v>
      </c>
      <c r="C8522" t="s">
        <v>2</v>
      </c>
      <c r="D8522">
        <v>3061</v>
      </c>
      <c r="E8522">
        <v>2019</v>
      </c>
      <c r="F8522">
        <v>4</v>
      </c>
      <c r="G8522">
        <v>7797</v>
      </c>
      <c r="H8522" s="1">
        <v>4</v>
      </c>
      <c r="I8522">
        <v>0</v>
      </c>
      <c r="J8522">
        <f>IF($H8522=0,1,IF($I8522&lt;=1,2,0))</f>
        <v>2</v>
      </c>
      <c r="K8522">
        <v>7</v>
      </c>
      <c r="L8522">
        <f>IF(AND($J8522=0,$K8522=0),0,1)</f>
        <v>1</v>
      </c>
      <c r="M8522" t="s">
        <v>1926</v>
      </c>
    </row>
    <row r="8523" spans="1:13" x14ac:dyDescent="0.2">
      <c r="A8523" t="s">
        <v>282</v>
      </c>
      <c r="B8523" t="s">
        <v>6</v>
      </c>
      <c r="C8523" t="s">
        <v>2</v>
      </c>
      <c r="D8523">
        <v>3062</v>
      </c>
      <c r="E8523">
        <v>2019</v>
      </c>
      <c r="F8523">
        <v>1</v>
      </c>
      <c r="G8523">
        <v>107</v>
      </c>
      <c r="H8523" s="1">
        <v>4</v>
      </c>
      <c r="I8523">
        <v>1</v>
      </c>
      <c r="J8523">
        <f>IF($H8523=0,1,IF($I8523&lt;=1,2,0))</f>
        <v>2</v>
      </c>
      <c r="K8523">
        <v>7</v>
      </c>
      <c r="L8523">
        <f>IF(AND($J8523=0,$K8523=0),0,1)</f>
        <v>1</v>
      </c>
    </row>
    <row r="8524" spans="1:13" x14ac:dyDescent="0.2">
      <c r="A8524" t="s">
        <v>282</v>
      </c>
      <c r="B8524" t="s">
        <v>6</v>
      </c>
      <c r="C8524" t="s">
        <v>2</v>
      </c>
      <c r="D8524">
        <v>3063</v>
      </c>
      <c r="E8524">
        <v>2019</v>
      </c>
      <c r="F8524">
        <v>1</v>
      </c>
      <c r="G8524">
        <v>7803</v>
      </c>
      <c r="H8524" s="1">
        <v>4</v>
      </c>
      <c r="I8524">
        <v>17</v>
      </c>
      <c r="J8524">
        <f>IF($H8524=0,1,IF($I8524&lt;=1,2,0))</f>
        <v>0</v>
      </c>
      <c r="K8524">
        <v>7</v>
      </c>
      <c r="L8524">
        <f>IF(AND($J8524=0,$K8524=0),0,1)</f>
        <v>1</v>
      </c>
      <c r="M8524" t="s">
        <v>1926</v>
      </c>
    </row>
    <row r="8525" spans="1:13" x14ac:dyDescent="0.2">
      <c r="A8525" t="s">
        <v>282</v>
      </c>
      <c r="B8525" t="s">
        <v>6</v>
      </c>
      <c r="C8525" t="s">
        <v>2</v>
      </c>
      <c r="D8525">
        <v>3063</v>
      </c>
      <c r="E8525">
        <v>2019</v>
      </c>
      <c r="F8525">
        <v>2</v>
      </c>
      <c r="G8525">
        <v>7804</v>
      </c>
      <c r="H8525" s="1">
        <v>4</v>
      </c>
      <c r="I8525">
        <v>13</v>
      </c>
      <c r="J8525">
        <f>IF($H8525=0,1,IF($I8525&lt;=1,2,0))</f>
        <v>0</v>
      </c>
      <c r="K8525">
        <v>7</v>
      </c>
      <c r="L8525">
        <f>IF(AND($J8525=0,$K8525=0),0,1)</f>
        <v>1</v>
      </c>
      <c r="M8525" t="s">
        <v>1926</v>
      </c>
    </row>
    <row r="8526" spans="1:13" x14ac:dyDescent="0.2">
      <c r="A8526" t="s">
        <v>282</v>
      </c>
      <c r="B8526" t="s">
        <v>6</v>
      </c>
      <c r="C8526" t="s">
        <v>2</v>
      </c>
      <c r="D8526">
        <v>3063</v>
      </c>
      <c r="E8526">
        <v>2019</v>
      </c>
      <c r="F8526">
        <v>3</v>
      </c>
      <c r="G8526">
        <v>7829</v>
      </c>
      <c r="H8526" s="1">
        <v>4</v>
      </c>
      <c r="I8526">
        <v>12</v>
      </c>
      <c r="J8526">
        <f>IF($H8526=0,1,IF($I8526&lt;=1,2,0))</f>
        <v>0</v>
      </c>
      <c r="K8526">
        <v>7</v>
      </c>
      <c r="L8526">
        <f>IF(AND($J8526=0,$K8526=0),0,1)</f>
        <v>1</v>
      </c>
      <c r="M8526" t="s">
        <v>293</v>
      </c>
    </row>
    <row r="8527" spans="1:13" x14ac:dyDescent="0.2">
      <c r="A8527" t="s">
        <v>282</v>
      </c>
      <c r="B8527" t="s">
        <v>6</v>
      </c>
      <c r="C8527" t="s">
        <v>2</v>
      </c>
      <c r="D8527">
        <v>3098</v>
      </c>
      <c r="E8527">
        <v>2019</v>
      </c>
      <c r="F8527">
        <v>3</v>
      </c>
      <c r="G8527">
        <v>240</v>
      </c>
      <c r="H8527" s="1" t="s">
        <v>1837</v>
      </c>
      <c r="I8527">
        <v>2</v>
      </c>
      <c r="J8527">
        <f>IF($H8527=0,1,IF($I8527&lt;=1,2,0))</f>
        <v>0</v>
      </c>
      <c r="K8527">
        <v>7</v>
      </c>
      <c r="L8527">
        <f>IF(AND($J8527=0,$K8527=0),0,1)</f>
        <v>1</v>
      </c>
    </row>
    <row r="8528" spans="1:13" x14ac:dyDescent="0.2">
      <c r="A8528" t="s">
        <v>282</v>
      </c>
      <c r="B8528" t="s">
        <v>6</v>
      </c>
      <c r="C8528" t="s">
        <v>2</v>
      </c>
      <c r="D8528">
        <v>3098</v>
      </c>
      <c r="E8528">
        <v>2019</v>
      </c>
      <c r="F8528">
        <v>1</v>
      </c>
      <c r="G8528">
        <v>7830</v>
      </c>
      <c r="H8528" s="1" t="s">
        <v>1837</v>
      </c>
      <c r="I8528">
        <v>1</v>
      </c>
      <c r="J8528">
        <f>IF($H8528=0,1,IF($I8528&lt;=1,2,0))</f>
        <v>2</v>
      </c>
      <c r="K8528">
        <v>7</v>
      </c>
      <c r="L8528">
        <f>IF(AND($J8528=0,$K8528=0),0,1)</f>
        <v>1</v>
      </c>
      <c r="M8528" t="s">
        <v>294</v>
      </c>
    </row>
    <row r="8529" spans="1:13" x14ac:dyDescent="0.2">
      <c r="A8529" t="s">
        <v>282</v>
      </c>
      <c r="B8529" t="s">
        <v>6</v>
      </c>
      <c r="C8529" t="s">
        <v>2</v>
      </c>
      <c r="D8529">
        <v>3098</v>
      </c>
      <c r="E8529">
        <v>2019</v>
      </c>
      <c r="F8529">
        <v>2</v>
      </c>
      <c r="G8529">
        <v>7831</v>
      </c>
      <c r="H8529" s="1" t="s">
        <v>1837</v>
      </c>
      <c r="I8529">
        <v>1</v>
      </c>
      <c r="J8529">
        <f>IF($H8529=0,1,IF($I8529&lt;=1,2,0))</f>
        <v>2</v>
      </c>
      <c r="K8529">
        <v>7</v>
      </c>
      <c r="L8529">
        <f>IF(AND($J8529=0,$K8529=0),0,1)</f>
        <v>1</v>
      </c>
      <c r="M8529" t="s">
        <v>294</v>
      </c>
    </row>
    <row r="8530" spans="1:13" x14ac:dyDescent="0.2">
      <c r="A8530" t="s">
        <v>282</v>
      </c>
      <c r="B8530" t="s">
        <v>6</v>
      </c>
      <c r="C8530" t="s">
        <v>2</v>
      </c>
      <c r="D8530">
        <v>3098</v>
      </c>
      <c r="E8530">
        <v>2019</v>
      </c>
      <c r="F8530">
        <v>4</v>
      </c>
      <c r="G8530">
        <v>260</v>
      </c>
      <c r="H8530" s="1" t="s">
        <v>1837</v>
      </c>
      <c r="I8530">
        <v>0</v>
      </c>
      <c r="J8530">
        <f>IF($H8530=0,1,IF($I8530&lt;=1,2,0))</f>
        <v>2</v>
      </c>
      <c r="K8530">
        <v>7</v>
      </c>
      <c r="L8530">
        <f>IF(AND($J8530=0,$K8530=0),0,1)</f>
        <v>1</v>
      </c>
    </row>
    <row r="8531" spans="1:13" x14ac:dyDescent="0.2">
      <c r="A8531" t="s">
        <v>282</v>
      </c>
      <c r="B8531" t="s">
        <v>6</v>
      </c>
      <c r="C8531" t="s">
        <v>2</v>
      </c>
      <c r="D8531">
        <v>3099</v>
      </c>
      <c r="E8531">
        <v>2019</v>
      </c>
      <c r="F8531">
        <v>2</v>
      </c>
      <c r="G8531">
        <v>7816</v>
      </c>
      <c r="H8531" s="1" t="s">
        <v>1828</v>
      </c>
      <c r="I8531">
        <v>4</v>
      </c>
      <c r="J8531">
        <f>IF($H8531=0,1,IF($I8531&lt;=1,2,0))</f>
        <v>0</v>
      </c>
      <c r="K8531">
        <v>7</v>
      </c>
      <c r="L8531">
        <f>IF(AND($J8531=0,$K8531=0),0,1)</f>
        <v>1</v>
      </c>
    </row>
    <row r="8532" spans="1:13" x14ac:dyDescent="0.2">
      <c r="A8532" t="s">
        <v>282</v>
      </c>
      <c r="B8532" t="s">
        <v>6</v>
      </c>
      <c r="C8532" t="s">
        <v>2</v>
      </c>
      <c r="D8532">
        <v>3099</v>
      </c>
      <c r="E8532">
        <v>2019</v>
      </c>
      <c r="F8532">
        <v>5</v>
      </c>
      <c r="G8532">
        <v>147</v>
      </c>
      <c r="H8532" s="1" t="s">
        <v>1827</v>
      </c>
      <c r="I8532">
        <v>3</v>
      </c>
      <c r="J8532">
        <f>IF($H8532=0,1,IF($I8532&lt;=1,2,0))</f>
        <v>0</v>
      </c>
      <c r="K8532">
        <v>7</v>
      </c>
      <c r="L8532">
        <f>IF(AND($J8532=0,$K8532=0),0,1)</f>
        <v>1</v>
      </c>
    </row>
    <row r="8533" spans="1:13" x14ac:dyDescent="0.2">
      <c r="A8533" t="s">
        <v>282</v>
      </c>
      <c r="B8533" t="s">
        <v>6</v>
      </c>
      <c r="C8533" t="s">
        <v>2</v>
      </c>
      <c r="D8533">
        <v>3099</v>
      </c>
      <c r="E8533">
        <v>2019</v>
      </c>
      <c r="F8533">
        <v>6</v>
      </c>
      <c r="G8533">
        <v>148</v>
      </c>
      <c r="H8533" s="1" t="s">
        <v>1827</v>
      </c>
      <c r="I8533">
        <v>2</v>
      </c>
      <c r="J8533">
        <f>IF($H8533=0,1,IF($I8533&lt;=1,2,0))</f>
        <v>0</v>
      </c>
      <c r="K8533">
        <v>7</v>
      </c>
      <c r="L8533">
        <f>IF(AND($J8533=0,$K8533=0),0,1)</f>
        <v>1</v>
      </c>
    </row>
    <row r="8534" spans="1:13" x14ac:dyDescent="0.2">
      <c r="A8534" t="s">
        <v>282</v>
      </c>
      <c r="B8534" t="s">
        <v>6</v>
      </c>
      <c r="C8534" t="s">
        <v>2</v>
      </c>
      <c r="D8534">
        <v>3099</v>
      </c>
      <c r="E8534">
        <v>2019</v>
      </c>
      <c r="F8534">
        <v>7</v>
      </c>
      <c r="G8534">
        <v>251</v>
      </c>
      <c r="H8534" s="1" t="s">
        <v>1827</v>
      </c>
      <c r="I8534">
        <v>1</v>
      </c>
      <c r="J8534">
        <f>IF($H8534=0,1,IF($I8534&lt;=1,2,0))</f>
        <v>2</v>
      </c>
      <c r="K8534">
        <v>7</v>
      </c>
      <c r="L8534">
        <f>IF(AND($J8534=0,$K8534=0),0,1)</f>
        <v>1</v>
      </c>
    </row>
    <row r="8535" spans="1:13" x14ac:dyDescent="0.2">
      <c r="A8535" t="s">
        <v>282</v>
      </c>
      <c r="B8535" t="s">
        <v>6</v>
      </c>
      <c r="C8535" t="s">
        <v>2</v>
      </c>
      <c r="D8535">
        <v>3099</v>
      </c>
      <c r="E8535">
        <v>2019</v>
      </c>
      <c r="F8535">
        <v>8</v>
      </c>
      <c r="G8535">
        <v>265</v>
      </c>
      <c r="H8535" s="1" t="s">
        <v>1827</v>
      </c>
      <c r="I8535">
        <v>1</v>
      </c>
      <c r="J8535">
        <f>IF($H8535=0,1,IF($I8535&lt;=1,2,0))</f>
        <v>2</v>
      </c>
      <c r="K8535">
        <v>7</v>
      </c>
      <c r="L8535">
        <f>IF(AND($J8535=0,$K8535=0),0,1)</f>
        <v>1</v>
      </c>
    </row>
    <row r="8536" spans="1:13" x14ac:dyDescent="0.2">
      <c r="A8536" t="s">
        <v>282</v>
      </c>
      <c r="B8536" t="s">
        <v>6</v>
      </c>
      <c r="C8536" t="s">
        <v>2</v>
      </c>
      <c r="D8536">
        <v>3099</v>
      </c>
      <c r="E8536">
        <v>2019</v>
      </c>
      <c r="F8536">
        <v>9</v>
      </c>
      <c r="G8536">
        <v>272</v>
      </c>
      <c r="H8536" s="1" t="s">
        <v>1827</v>
      </c>
      <c r="I8536">
        <v>1</v>
      </c>
      <c r="J8536">
        <f>IF($H8536=0,1,IF($I8536&lt;=1,2,0))</f>
        <v>2</v>
      </c>
      <c r="K8536">
        <v>7</v>
      </c>
      <c r="L8536">
        <f>IF(AND($J8536=0,$K8536=0),0,1)</f>
        <v>1</v>
      </c>
    </row>
    <row r="8537" spans="1:13" x14ac:dyDescent="0.2">
      <c r="A8537" t="s">
        <v>282</v>
      </c>
      <c r="B8537" t="s">
        <v>6</v>
      </c>
      <c r="C8537" t="s">
        <v>2</v>
      </c>
      <c r="D8537">
        <v>3099</v>
      </c>
      <c r="E8537">
        <v>2019</v>
      </c>
      <c r="F8537">
        <v>1</v>
      </c>
      <c r="G8537">
        <v>7815</v>
      </c>
      <c r="H8537" s="1" t="s">
        <v>1828</v>
      </c>
      <c r="I8537">
        <v>0</v>
      </c>
      <c r="J8537">
        <f>IF($H8537=0,1,IF($I8537&lt;=1,2,0))</f>
        <v>2</v>
      </c>
      <c r="K8537">
        <v>7</v>
      </c>
      <c r="L8537">
        <f>IF(AND($J8537=0,$K8537=0),0,1)</f>
        <v>1</v>
      </c>
    </row>
    <row r="8538" spans="1:13" x14ac:dyDescent="0.2">
      <c r="A8538" t="s">
        <v>282</v>
      </c>
      <c r="B8538" t="s">
        <v>6</v>
      </c>
      <c r="C8538" t="s">
        <v>2</v>
      </c>
      <c r="D8538">
        <v>3099</v>
      </c>
      <c r="E8538">
        <v>2019</v>
      </c>
      <c r="F8538">
        <v>3</v>
      </c>
      <c r="G8538">
        <v>7817</v>
      </c>
      <c r="H8538" s="1" t="s">
        <v>1828</v>
      </c>
      <c r="I8538">
        <v>0</v>
      </c>
      <c r="J8538">
        <f>IF($H8538=0,1,IF($I8538&lt;=1,2,0))</f>
        <v>2</v>
      </c>
      <c r="K8538">
        <v>7</v>
      </c>
      <c r="L8538">
        <f>IF(AND($J8538=0,$K8538=0),0,1)</f>
        <v>1</v>
      </c>
    </row>
    <row r="8539" spans="1:13" x14ac:dyDescent="0.2">
      <c r="A8539" t="s">
        <v>282</v>
      </c>
      <c r="B8539" t="s">
        <v>6</v>
      </c>
      <c r="C8539" t="s">
        <v>2</v>
      </c>
      <c r="D8539">
        <v>3099</v>
      </c>
      <c r="E8539">
        <v>2019</v>
      </c>
      <c r="F8539">
        <v>4</v>
      </c>
      <c r="G8539">
        <v>7818</v>
      </c>
      <c r="H8539" s="1" t="s">
        <v>1828</v>
      </c>
      <c r="I8539">
        <v>0</v>
      </c>
      <c r="J8539">
        <f>IF($H8539=0,1,IF($I8539&lt;=1,2,0))</f>
        <v>2</v>
      </c>
      <c r="K8539">
        <v>7</v>
      </c>
      <c r="L8539">
        <f>IF(AND($J8539=0,$K8539=0),0,1)</f>
        <v>1</v>
      </c>
    </row>
    <row r="8540" spans="1:13" x14ac:dyDescent="0.2">
      <c r="A8540" t="s">
        <v>282</v>
      </c>
      <c r="B8540" t="s">
        <v>6</v>
      </c>
      <c r="C8540" t="s">
        <v>2</v>
      </c>
      <c r="D8540">
        <v>3118</v>
      </c>
      <c r="E8540">
        <v>2019</v>
      </c>
      <c r="F8540">
        <v>1</v>
      </c>
      <c r="G8540">
        <v>7819</v>
      </c>
      <c r="H8540" s="1">
        <v>0</v>
      </c>
      <c r="I8540">
        <v>0</v>
      </c>
      <c r="J8540">
        <f>IF($H8540=0,1,IF($I8540&lt;=1,2,0))</f>
        <v>1</v>
      </c>
      <c r="K8540">
        <v>7</v>
      </c>
      <c r="L8540">
        <f>IF(AND($J8540=0,$K8540=0),0,1)</f>
        <v>1</v>
      </c>
    </row>
    <row r="8541" spans="1:13" x14ac:dyDescent="0.2">
      <c r="A8541" t="s">
        <v>282</v>
      </c>
      <c r="B8541" t="s">
        <v>6</v>
      </c>
      <c r="C8541" t="s">
        <v>2</v>
      </c>
      <c r="D8541">
        <v>3118</v>
      </c>
      <c r="E8541">
        <v>2019</v>
      </c>
      <c r="F8541">
        <v>2</v>
      </c>
      <c r="G8541">
        <v>7820</v>
      </c>
      <c r="H8541" s="1">
        <v>0</v>
      </c>
      <c r="I8541">
        <v>0</v>
      </c>
      <c r="J8541">
        <f>IF($H8541=0,1,IF($I8541&lt;=1,2,0))</f>
        <v>1</v>
      </c>
      <c r="K8541">
        <v>7</v>
      </c>
      <c r="L8541">
        <f>IF(AND($J8541=0,$K8541=0),0,1)</f>
        <v>1</v>
      </c>
    </row>
    <row r="8542" spans="1:13" x14ac:dyDescent="0.2">
      <c r="A8542" t="s">
        <v>282</v>
      </c>
      <c r="B8542" t="s">
        <v>6</v>
      </c>
      <c r="C8542" t="s">
        <v>2</v>
      </c>
      <c r="D8542">
        <v>3133</v>
      </c>
      <c r="E8542">
        <v>2019</v>
      </c>
      <c r="F8542">
        <v>1</v>
      </c>
      <c r="G8542">
        <v>7805</v>
      </c>
      <c r="H8542" s="1">
        <v>0</v>
      </c>
      <c r="I8542">
        <v>0</v>
      </c>
      <c r="J8542">
        <f>IF($H8542=0,1,IF($I8542&lt;=1,2,0))</f>
        <v>1</v>
      </c>
      <c r="K8542">
        <v>7</v>
      </c>
      <c r="L8542">
        <f>IF(AND($J8542=0,$K8542=0),0,1)</f>
        <v>1</v>
      </c>
    </row>
    <row r="8543" spans="1:13" x14ac:dyDescent="0.2">
      <c r="A8543" t="s">
        <v>282</v>
      </c>
      <c r="B8543" t="s">
        <v>6</v>
      </c>
      <c r="C8543" t="s">
        <v>2</v>
      </c>
      <c r="D8543">
        <v>3133</v>
      </c>
      <c r="E8543">
        <v>2019</v>
      </c>
      <c r="F8543">
        <v>2</v>
      </c>
      <c r="G8543">
        <v>7806</v>
      </c>
      <c r="H8543" s="1">
        <v>0</v>
      </c>
      <c r="I8543">
        <v>0</v>
      </c>
      <c r="J8543">
        <f>IF($H8543=0,1,IF($I8543&lt;=1,2,0))</f>
        <v>1</v>
      </c>
      <c r="K8543">
        <v>7</v>
      </c>
      <c r="L8543">
        <f>IF(AND($J8543=0,$K8543=0),0,1)</f>
        <v>1</v>
      </c>
    </row>
    <row r="8544" spans="1:13" x14ac:dyDescent="0.2">
      <c r="A8544" t="s">
        <v>282</v>
      </c>
      <c r="B8544" t="s">
        <v>6</v>
      </c>
      <c r="C8544" t="s">
        <v>2</v>
      </c>
      <c r="D8544">
        <v>3135</v>
      </c>
      <c r="E8544">
        <v>2019</v>
      </c>
      <c r="F8544">
        <v>1</v>
      </c>
      <c r="G8544">
        <v>241</v>
      </c>
      <c r="H8544" s="1">
        <v>0</v>
      </c>
      <c r="I8544">
        <v>0</v>
      </c>
      <c r="J8544">
        <f>IF($H8544=0,1,IF($I8544&lt;=1,2,0))</f>
        <v>1</v>
      </c>
      <c r="K8544">
        <v>7</v>
      </c>
      <c r="L8544">
        <f>IF(AND($J8544=0,$K8544=0),0,1)</f>
        <v>1</v>
      </c>
    </row>
    <row r="8545" spans="1:12" x14ac:dyDescent="0.2">
      <c r="A8545" t="s">
        <v>282</v>
      </c>
      <c r="B8545" t="s">
        <v>6</v>
      </c>
      <c r="C8545" t="s">
        <v>2</v>
      </c>
      <c r="D8545">
        <v>3135</v>
      </c>
      <c r="E8545">
        <v>2019</v>
      </c>
      <c r="F8545">
        <v>2</v>
      </c>
      <c r="G8545">
        <v>252</v>
      </c>
      <c r="H8545" s="1">
        <v>0</v>
      </c>
      <c r="I8545">
        <v>0</v>
      </c>
      <c r="J8545">
        <f>IF($H8545=0,1,IF($I8545&lt;=1,2,0))</f>
        <v>1</v>
      </c>
      <c r="K8545">
        <v>7</v>
      </c>
      <c r="L8545">
        <f>IF(AND($J8545=0,$K8545=0),0,1)</f>
        <v>1</v>
      </c>
    </row>
    <row r="8546" spans="1:12" x14ac:dyDescent="0.2">
      <c r="A8546" t="s">
        <v>282</v>
      </c>
      <c r="B8546" t="s">
        <v>6</v>
      </c>
      <c r="C8546" t="s">
        <v>2</v>
      </c>
      <c r="D8546">
        <v>3135</v>
      </c>
      <c r="E8546">
        <v>2019</v>
      </c>
      <c r="F8546">
        <v>3</v>
      </c>
      <c r="G8546">
        <v>253</v>
      </c>
      <c r="H8546" s="1">
        <v>0</v>
      </c>
      <c r="I8546">
        <v>0</v>
      </c>
      <c r="J8546">
        <f>IF($H8546=0,1,IF($I8546&lt;=1,2,0))</f>
        <v>1</v>
      </c>
      <c r="K8546">
        <v>7</v>
      </c>
      <c r="L8546">
        <f>IF(AND($J8546=0,$K8546=0),0,1)</f>
        <v>1</v>
      </c>
    </row>
    <row r="8547" spans="1:12" x14ac:dyDescent="0.2">
      <c r="A8547" t="s">
        <v>282</v>
      </c>
      <c r="B8547" t="s">
        <v>6</v>
      </c>
      <c r="C8547" t="s">
        <v>2</v>
      </c>
      <c r="D8547">
        <v>3135</v>
      </c>
      <c r="E8547">
        <v>2019</v>
      </c>
      <c r="F8547">
        <v>4</v>
      </c>
      <c r="G8547">
        <v>254</v>
      </c>
      <c r="H8547" s="1">
        <v>0</v>
      </c>
      <c r="I8547">
        <v>0</v>
      </c>
      <c r="J8547">
        <f>IF($H8547=0,1,IF($I8547&lt;=1,2,0))</f>
        <v>1</v>
      </c>
      <c r="K8547">
        <v>7</v>
      </c>
      <c r="L8547">
        <f>IF(AND($J8547=0,$K8547=0),0,1)</f>
        <v>1</v>
      </c>
    </row>
    <row r="8548" spans="1:12" x14ac:dyDescent="0.2">
      <c r="A8548" t="s">
        <v>282</v>
      </c>
      <c r="B8548" t="s">
        <v>6</v>
      </c>
      <c r="C8548" t="s">
        <v>9</v>
      </c>
      <c r="D8548">
        <v>3212</v>
      </c>
      <c r="E8548">
        <v>2019</v>
      </c>
      <c r="F8548">
        <v>1</v>
      </c>
      <c r="G8548">
        <v>47394</v>
      </c>
      <c r="H8548" s="1">
        <v>0</v>
      </c>
      <c r="I8548">
        <v>220</v>
      </c>
      <c r="J8548">
        <f>IF($H8548=0,1,IF($I8548&lt;=1,2,0))</f>
        <v>1</v>
      </c>
      <c r="K8548">
        <v>0</v>
      </c>
      <c r="L8548">
        <f>IF(AND($J8548=0,$K8548=0),0,1)</f>
        <v>1</v>
      </c>
    </row>
    <row r="8549" spans="1:12" x14ac:dyDescent="0.2">
      <c r="A8549" t="s">
        <v>282</v>
      </c>
      <c r="B8549" t="s">
        <v>6</v>
      </c>
      <c r="C8549" t="s">
        <v>9</v>
      </c>
      <c r="D8549">
        <v>3214</v>
      </c>
      <c r="E8549">
        <v>2019</v>
      </c>
      <c r="F8549">
        <v>1</v>
      </c>
      <c r="G8549">
        <v>47398</v>
      </c>
      <c r="H8549" s="1">
        <v>0</v>
      </c>
      <c r="I8549">
        <v>334</v>
      </c>
      <c r="J8549">
        <f>IF($H8549=0,1,IF($I8549&lt;=1,2,0))</f>
        <v>1</v>
      </c>
      <c r="K8549">
        <v>0</v>
      </c>
      <c r="L8549">
        <f>IF(AND($J8549=0,$K8549=0),0,1)</f>
        <v>1</v>
      </c>
    </row>
    <row r="8550" spans="1:12" x14ac:dyDescent="0.2">
      <c r="A8550" t="s">
        <v>282</v>
      </c>
      <c r="B8550" t="s">
        <v>6</v>
      </c>
      <c r="C8550" t="s">
        <v>9</v>
      </c>
      <c r="D8550">
        <v>3413</v>
      </c>
      <c r="E8550">
        <v>2019</v>
      </c>
      <c r="F8550">
        <v>1</v>
      </c>
      <c r="G8550">
        <v>47402</v>
      </c>
      <c r="H8550" s="1">
        <v>0</v>
      </c>
      <c r="I8550">
        <v>174</v>
      </c>
      <c r="J8550">
        <f>IF($H8550=0,1,IF($I8550&lt;=1,2,0))</f>
        <v>1</v>
      </c>
      <c r="K8550">
        <v>0</v>
      </c>
      <c r="L8550">
        <f>IF(AND($J8550=0,$K8550=0),0,1)</f>
        <v>1</v>
      </c>
    </row>
    <row r="8551" spans="1:12" x14ac:dyDescent="0.2">
      <c r="A8551" t="s">
        <v>282</v>
      </c>
      <c r="B8551" t="s">
        <v>6</v>
      </c>
      <c r="C8551" t="s">
        <v>9</v>
      </c>
      <c r="D8551">
        <v>4214</v>
      </c>
      <c r="E8551">
        <v>2019</v>
      </c>
      <c r="F8551">
        <v>1</v>
      </c>
      <c r="G8551">
        <v>47408</v>
      </c>
      <c r="H8551" s="1">
        <v>0</v>
      </c>
      <c r="I8551">
        <v>16</v>
      </c>
      <c r="J8551">
        <f>IF($H8551=0,1,IF($I8551&lt;=1,2,0))</f>
        <v>1</v>
      </c>
      <c r="K8551">
        <v>0</v>
      </c>
      <c r="L8551">
        <f>IF(AND($J8551=0,$K8551=0),0,1)</f>
        <v>1</v>
      </c>
    </row>
    <row r="8552" spans="1:12" x14ac:dyDescent="0.2">
      <c r="A8552" t="s">
        <v>282</v>
      </c>
      <c r="B8552" t="s">
        <v>6</v>
      </c>
      <c r="C8552" t="s">
        <v>9</v>
      </c>
      <c r="D8552">
        <v>4411</v>
      </c>
      <c r="E8552">
        <v>2019</v>
      </c>
      <c r="F8552">
        <v>1</v>
      </c>
      <c r="G8552">
        <v>18793</v>
      </c>
      <c r="H8552" s="1">
        <v>0</v>
      </c>
      <c r="I8552">
        <v>5</v>
      </c>
      <c r="J8552">
        <f>IF($H8552=0,1,IF($I8552&lt;=1,2,0))</f>
        <v>1</v>
      </c>
      <c r="K8552">
        <v>0</v>
      </c>
      <c r="L8552">
        <f>IF(AND($J8552=0,$K8552=0),0,1)</f>
        <v>1</v>
      </c>
    </row>
    <row r="8553" spans="1:12" x14ac:dyDescent="0.2">
      <c r="A8553" t="s">
        <v>282</v>
      </c>
      <c r="B8553" t="s">
        <v>6</v>
      </c>
      <c r="C8553" t="s">
        <v>9</v>
      </c>
      <c r="D8553">
        <v>4911</v>
      </c>
      <c r="E8553">
        <v>2019</v>
      </c>
      <c r="F8553">
        <v>0</v>
      </c>
      <c r="G8553">
        <v>47421</v>
      </c>
      <c r="H8553" s="1">
        <v>0</v>
      </c>
      <c r="I8553">
        <v>0</v>
      </c>
      <c r="J8553">
        <f>IF($H8553=0,1,IF($I8553&lt;=1,2,0))</f>
        <v>1</v>
      </c>
      <c r="K8553">
        <v>0</v>
      </c>
      <c r="L8553">
        <f>IF(AND($J8553=0,$K8553=0),0,1)</f>
        <v>1</v>
      </c>
    </row>
    <row r="8554" spans="1:12" x14ac:dyDescent="0.2">
      <c r="A8554" t="s">
        <v>282</v>
      </c>
      <c r="B8554" t="s">
        <v>6</v>
      </c>
      <c r="C8554" t="s">
        <v>9</v>
      </c>
      <c r="D8554">
        <v>4998</v>
      </c>
      <c r="E8554">
        <v>2019</v>
      </c>
      <c r="F8554">
        <v>1</v>
      </c>
      <c r="G8554">
        <v>47477</v>
      </c>
      <c r="H8554" s="1" t="s">
        <v>1823</v>
      </c>
      <c r="I8554">
        <v>2</v>
      </c>
      <c r="J8554">
        <f>IF($H8554=0,1,IF($I8554&lt;=1,2,0))</f>
        <v>0</v>
      </c>
      <c r="K8554">
        <v>9</v>
      </c>
      <c r="L8554">
        <f>IF(AND($J8554=0,$K8554=0),0,1)</f>
        <v>1</v>
      </c>
    </row>
    <row r="8555" spans="1:12" x14ac:dyDescent="0.2">
      <c r="A8555" t="s">
        <v>282</v>
      </c>
      <c r="B8555" t="s">
        <v>6</v>
      </c>
      <c r="C8555" t="s">
        <v>9</v>
      </c>
      <c r="D8555">
        <v>4999</v>
      </c>
      <c r="E8555">
        <v>2019</v>
      </c>
      <c r="F8555">
        <v>1</v>
      </c>
      <c r="G8555">
        <v>47432</v>
      </c>
      <c r="H8555" s="1">
        <v>3</v>
      </c>
      <c r="I8555">
        <v>9</v>
      </c>
      <c r="J8555">
        <f>IF($H8555=0,1,IF($I8555&lt;=1,2,0))</f>
        <v>0</v>
      </c>
      <c r="K8555">
        <v>9</v>
      </c>
      <c r="L8555">
        <f>IF(AND($J8555=0,$K8555=0),0,1)</f>
        <v>1</v>
      </c>
    </row>
    <row r="8556" spans="1:12" x14ac:dyDescent="0.2">
      <c r="A8556" t="s">
        <v>282</v>
      </c>
      <c r="B8556" t="s">
        <v>6</v>
      </c>
      <c r="C8556" t="s">
        <v>11</v>
      </c>
      <c r="D8556">
        <v>5001</v>
      </c>
      <c r="E8556">
        <v>2019</v>
      </c>
      <c r="F8556">
        <v>2</v>
      </c>
      <c r="G8556">
        <v>17831</v>
      </c>
      <c r="H8556" s="1">
        <v>0</v>
      </c>
      <c r="I8556">
        <v>38</v>
      </c>
      <c r="J8556">
        <f>IF($H8556=0,1,IF($I8556&lt;=1,2,0))</f>
        <v>1</v>
      </c>
      <c r="K8556">
        <v>0</v>
      </c>
      <c r="L8556">
        <f>IF(AND($J8556=0,$K8556=0),0,1)</f>
        <v>1</v>
      </c>
    </row>
    <row r="8557" spans="1:12" x14ac:dyDescent="0.2">
      <c r="A8557" t="s">
        <v>282</v>
      </c>
      <c r="B8557" t="s">
        <v>6</v>
      </c>
      <c r="C8557" t="s">
        <v>11</v>
      </c>
      <c r="D8557">
        <v>5001</v>
      </c>
      <c r="E8557">
        <v>2019</v>
      </c>
      <c r="F8557">
        <v>1</v>
      </c>
      <c r="G8557">
        <v>17829</v>
      </c>
      <c r="H8557" s="1">
        <v>0</v>
      </c>
      <c r="I8557">
        <v>33</v>
      </c>
      <c r="J8557">
        <f>IF($H8557=0,1,IF($I8557&lt;=1,2,0))</f>
        <v>1</v>
      </c>
      <c r="K8557">
        <v>0</v>
      </c>
      <c r="L8557">
        <f>IF(AND($J8557=0,$K8557=0),0,1)</f>
        <v>1</v>
      </c>
    </row>
    <row r="8558" spans="1:12" x14ac:dyDescent="0.2">
      <c r="A8558" t="s">
        <v>282</v>
      </c>
      <c r="B8558" t="s">
        <v>6</v>
      </c>
      <c r="C8558" t="s">
        <v>11</v>
      </c>
      <c r="D8558">
        <v>5002</v>
      </c>
      <c r="E8558">
        <v>2019</v>
      </c>
      <c r="F8558">
        <v>2</v>
      </c>
      <c r="G8558">
        <v>17833</v>
      </c>
      <c r="H8558" s="1">
        <v>0</v>
      </c>
      <c r="I8558">
        <v>40</v>
      </c>
      <c r="J8558">
        <f>IF($H8558=0,1,IF($I8558&lt;=1,2,0))</f>
        <v>1</v>
      </c>
      <c r="K8558">
        <v>0</v>
      </c>
      <c r="L8558">
        <f>IF(AND($J8558=0,$K8558=0),0,1)</f>
        <v>1</v>
      </c>
    </row>
    <row r="8559" spans="1:12" x14ac:dyDescent="0.2">
      <c r="A8559" t="s">
        <v>282</v>
      </c>
      <c r="B8559" t="s">
        <v>6</v>
      </c>
      <c r="C8559" t="s">
        <v>11</v>
      </c>
      <c r="D8559">
        <v>5002</v>
      </c>
      <c r="E8559">
        <v>2019</v>
      </c>
      <c r="F8559">
        <v>1</v>
      </c>
      <c r="G8559">
        <v>17832</v>
      </c>
      <c r="H8559" s="1">
        <v>0</v>
      </c>
      <c r="I8559">
        <v>31</v>
      </c>
      <c r="J8559">
        <f>IF($H8559=0,1,IF($I8559&lt;=1,2,0))</f>
        <v>1</v>
      </c>
      <c r="K8559">
        <v>0</v>
      </c>
      <c r="L8559">
        <f>IF(AND($J8559=0,$K8559=0),0,1)</f>
        <v>1</v>
      </c>
    </row>
    <row r="8560" spans="1:12" x14ac:dyDescent="0.2">
      <c r="A8560" t="s">
        <v>282</v>
      </c>
      <c r="B8560" t="s">
        <v>6</v>
      </c>
      <c r="C8560" t="s">
        <v>11</v>
      </c>
      <c r="D8560">
        <v>5003</v>
      </c>
      <c r="E8560">
        <v>2019</v>
      </c>
      <c r="F8560">
        <v>2</v>
      </c>
      <c r="G8560">
        <v>17835</v>
      </c>
      <c r="H8560" s="1">
        <v>0</v>
      </c>
      <c r="I8560">
        <v>38</v>
      </c>
      <c r="J8560">
        <f>IF($H8560=0,1,IF($I8560&lt;=1,2,0))</f>
        <v>1</v>
      </c>
      <c r="K8560">
        <v>0</v>
      </c>
      <c r="L8560">
        <f>IF(AND($J8560=0,$K8560=0),0,1)</f>
        <v>1</v>
      </c>
    </row>
    <row r="8561" spans="1:13" x14ac:dyDescent="0.2">
      <c r="A8561" t="s">
        <v>282</v>
      </c>
      <c r="B8561" t="s">
        <v>6</v>
      </c>
      <c r="C8561" t="s">
        <v>11</v>
      </c>
      <c r="D8561">
        <v>5003</v>
      </c>
      <c r="E8561">
        <v>2019</v>
      </c>
      <c r="F8561">
        <v>1</v>
      </c>
      <c r="G8561">
        <v>17834</v>
      </c>
      <c r="H8561" s="1">
        <v>0</v>
      </c>
      <c r="I8561">
        <v>33</v>
      </c>
      <c r="J8561">
        <f>IF($H8561=0,1,IF($I8561&lt;=1,2,0))</f>
        <v>1</v>
      </c>
      <c r="K8561">
        <v>0</v>
      </c>
      <c r="L8561">
        <f>IF(AND($J8561=0,$K8561=0),0,1)</f>
        <v>1</v>
      </c>
    </row>
    <row r="8562" spans="1:13" x14ac:dyDescent="0.2">
      <c r="A8562" t="s">
        <v>282</v>
      </c>
      <c r="B8562" t="s">
        <v>6</v>
      </c>
      <c r="C8562" t="s">
        <v>11</v>
      </c>
      <c r="D8562">
        <v>5004</v>
      </c>
      <c r="E8562">
        <v>2019</v>
      </c>
      <c r="F8562">
        <v>2</v>
      </c>
      <c r="G8562">
        <v>17837</v>
      </c>
      <c r="H8562" s="1">
        <v>0</v>
      </c>
      <c r="I8562">
        <v>40</v>
      </c>
      <c r="J8562">
        <f>IF($H8562=0,1,IF($I8562&lt;=1,2,0))</f>
        <v>1</v>
      </c>
      <c r="K8562">
        <v>0</v>
      </c>
      <c r="L8562">
        <f>IF(AND($J8562=0,$K8562=0),0,1)</f>
        <v>1</v>
      </c>
    </row>
    <row r="8563" spans="1:13" x14ac:dyDescent="0.2">
      <c r="A8563" t="s">
        <v>282</v>
      </c>
      <c r="B8563" t="s">
        <v>6</v>
      </c>
      <c r="C8563" t="s">
        <v>11</v>
      </c>
      <c r="D8563">
        <v>5004</v>
      </c>
      <c r="E8563">
        <v>2019</v>
      </c>
      <c r="F8563">
        <v>1</v>
      </c>
      <c r="G8563">
        <v>17836</v>
      </c>
      <c r="H8563" s="1">
        <v>0</v>
      </c>
      <c r="I8563">
        <v>31</v>
      </c>
      <c r="J8563">
        <f>IF($H8563=0,1,IF($I8563&lt;=1,2,0))</f>
        <v>1</v>
      </c>
      <c r="K8563">
        <v>0</v>
      </c>
      <c r="L8563">
        <f>IF(AND($J8563=0,$K8563=0),0,1)</f>
        <v>1</v>
      </c>
    </row>
    <row r="8564" spans="1:13" x14ac:dyDescent="0.2">
      <c r="A8564" t="s">
        <v>282</v>
      </c>
      <c r="B8564" t="s">
        <v>6</v>
      </c>
      <c r="C8564" t="s">
        <v>11</v>
      </c>
      <c r="D8564">
        <v>6209</v>
      </c>
      <c r="E8564">
        <v>2019</v>
      </c>
      <c r="F8564">
        <v>1</v>
      </c>
      <c r="G8564">
        <v>17838</v>
      </c>
      <c r="H8564" s="1">
        <v>0</v>
      </c>
      <c r="I8564">
        <v>35</v>
      </c>
      <c r="J8564">
        <f>IF($H8564=0,1,IF($I8564&lt;=1,2,0))</f>
        <v>1</v>
      </c>
      <c r="K8564">
        <v>0</v>
      </c>
      <c r="L8564">
        <f>IF(AND($J8564=0,$K8564=0),0,1)</f>
        <v>1</v>
      </c>
    </row>
    <row r="8565" spans="1:13" x14ac:dyDescent="0.2">
      <c r="A8565" t="s">
        <v>282</v>
      </c>
      <c r="B8565" t="s">
        <v>6</v>
      </c>
      <c r="C8565" t="s">
        <v>11</v>
      </c>
      <c r="D8565">
        <v>6213</v>
      </c>
      <c r="E8565">
        <v>2019</v>
      </c>
      <c r="F8565">
        <v>1</v>
      </c>
      <c r="G8565">
        <v>17839</v>
      </c>
      <c r="H8565" s="1">
        <v>0</v>
      </c>
      <c r="I8565">
        <v>30</v>
      </c>
      <c r="J8565">
        <f>IF($H8565=0,1,IF($I8565&lt;=1,2,0))</f>
        <v>1</v>
      </c>
      <c r="K8565">
        <v>0</v>
      </c>
      <c r="L8565">
        <f>IF(AND($J8565=0,$K8565=0),0,1)</f>
        <v>1</v>
      </c>
    </row>
    <row r="8566" spans="1:13" x14ac:dyDescent="0.2">
      <c r="A8566" t="s">
        <v>282</v>
      </c>
      <c r="B8566" t="s">
        <v>6</v>
      </c>
      <c r="C8566" t="s">
        <v>11</v>
      </c>
      <c r="D8566">
        <v>6408</v>
      </c>
      <c r="E8566">
        <v>2019</v>
      </c>
      <c r="F8566">
        <v>1</v>
      </c>
      <c r="G8566">
        <v>17840</v>
      </c>
      <c r="H8566" s="1">
        <v>0</v>
      </c>
      <c r="I8566">
        <v>36</v>
      </c>
      <c r="J8566">
        <f>IF($H8566=0,1,IF($I8566&lt;=1,2,0))</f>
        <v>1</v>
      </c>
      <c r="K8566">
        <v>0</v>
      </c>
      <c r="L8566">
        <f>IF(AND($J8566=0,$K8566=0),0,1)</f>
        <v>1</v>
      </c>
    </row>
    <row r="8567" spans="1:13" x14ac:dyDescent="0.2">
      <c r="A8567" t="s">
        <v>282</v>
      </c>
      <c r="B8567" t="s">
        <v>6</v>
      </c>
      <c r="C8567" t="s">
        <v>11</v>
      </c>
      <c r="D8567">
        <v>9001</v>
      </c>
      <c r="E8567">
        <v>2019</v>
      </c>
      <c r="F8567">
        <v>1</v>
      </c>
      <c r="G8567">
        <v>47467</v>
      </c>
      <c r="H8567" s="1">
        <v>0</v>
      </c>
      <c r="I8567">
        <v>1</v>
      </c>
      <c r="J8567">
        <f>IF($H8567=0,1,IF($I8567&lt;=1,2,0))</f>
        <v>1</v>
      </c>
      <c r="K8567">
        <v>5</v>
      </c>
      <c r="L8567">
        <f>IF(AND($J8567=0,$K8567=0),0,1)</f>
        <v>1</v>
      </c>
    </row>
    <row r="8568" spans="1:13" x14ac:dyDescent="0.2">
      <c r="A8568" t="s">
        <v>282</v>
      </c>
      <c r="B8568" t="s">
        <v>6</v>
      </c>
      <c r="C8568" t="s">
        <v>11</v>
      </c>
      <c r="D8568">
        <v>9002</v>
      </c>
      <c r="E8568">
        <v>2019</v>
      </c>
      <c r="F8568">
        <v>1</v>
      </c>
      <c r="G8568">
        <v>47468</v>
      </c>
      <c r="H8568" s="1">
        <v>0</v>
      </c>
      <c r="I8568">
        <v>0</v>
      </c>
      <c r="J8568">
        <f>IF($H8568=0,1,IF($I8568&lt;=1,2,0))</f>
        <v>1</v>
      </c>
      <c r="K8568">
        <v>5</v>
      </c>
      <c r="L8568">
        <f>IF(AND($J8568=0,$K8568=0),0,1)</f>
        <v>1</v>
      </c>
    </row>
    <row r="8569" spans="1:13" x14ac:dyDescent="0.2">
      <c r="A8569" t="s">
        <v>282</v>
      </c>
      <c r="B8569" t="s">
        <v>6</v>
      </c>
      <c r="C8569" t="s">
        <v>11</v>
      </c>
      <c r="D8569">
        <v>9007</v>
      </c>
      <c r="E8569">
        <v>2019</v>
      </c>
      <c r="F8569">
        <v>1</v>
      </c>
      <c r="G8569">
        <v>47469</v>
      </c>
      <c r="H8569" s="1">
        <v>0</v>
      </c>
      <c r="I8569">
        <v>0</v>
      </c>
      <c r="J8569">
        <f>IF($H8569=0,1,IF($I8569&lt;=1,2,0))</f>
        <v>1</v>
      </c>
      <c r="K8569">
        <v>5</v>
      </c>
      <c r="L8569">
        <f>IF(AND($J8569=0,$K8569=0),0,1)</f>
        <v>1</v>
      </c>
    </row>
    <row r="8570" spans="1:13" x14ac:dyDescent="0.2">
      <c r="A8570" t="s">
        <v>282</v>
      </c>
      <c r="B8570" t="s">
        <v>6</v>
      </c>
      <c r="C8570" t="s">
        <v>11</v>
      </c>
      <c r="D8570">
        <v>9008</v>
      </c>
      <c r="E8570">
        <v>2019</v>
      </c>
      <c r="F8570">
        <v>1</v>
      </c>
      <c r="G8570">
        <v>47470</v>
      </c>
      <c r="H8570" s="1">
        <v>0</v>
      </c>
      <c r="I8570">
        <v>0</v>
      </c>
      <c r="J8570">
        <f>IF($H8570=0,1,IF($I8570&lt;=1,2,0))</f>
        <v>1</v>
      </c>
      <c r="K8570">
        <v>5</v>
      </c>
      <c r="L8570">
        <f>IF(AND($J8570=0,$K8570=0),0,1)</f>
        <v>1</v>
      </c>
    </row>
    <row r="8571" spans="1:13" x14ac:dyDescent="0.2">
      <c r="A8571" t="s">
        <v>282</v>
      </c>
      <c r="B8571" t="s">
        <v>6</v>
      </c>
      <c r="C8571" t="s">
        <v>11</v>
      </c>
      <c r="D8571">
        <v>9009</v>
      </c>
      <c r="E8571">
        <v>2019</v>
      </c>
      <c r="F8571">
        <v>1</v>
      </c>
      <c r="G8571">
        <v>47471</v>
      </c>
      <c r="H8571" s="1">
        <v>0</v>
      </c>
      <c r="I8571">
        <v>1</v>
      </c>
      <c r="J8571">
        <f>IF($H8571=0,1,IF($I8571&lt;=1,2,0))</f>
        <v>1</v>
      </c>
      <c r="K8571">
        <v>5</v>
      </c>
      <c r="L8571">
        <f>IF(AND($J8571=0,$K8571=0),0,1)</f>
        <v>1</v>
      </c>
    </row>
    <row r="8572" spans="1:13" x14ac:dyDescent="0.2">
      <c r="A8572" t="s">
        <v>282</v>
      </c>
      <c r="B8572" t="s">
        <v>6</v>
      </c>
      <c r="C8572" t="s">
        <v>11</v>
      </c>
      <c r="D8572">
        <v>9012</v>
      </c>
      <c r="E8572">
        <v>2019</v>
      </c>
      <c r="F8572">
        <v>1</v>
      </c>
      <c r="G8572">
        <v>47472</v>
      </c>
      <c r="H8572" s="1">
        <v>0</v>
      </c>
      <c r="I8572">
        <v>0</v>
      </c>
      <c r="J8572">
        <f>IF($H8572=0,1,IF($I8572&lt;=1,2,0))</f>
        <v>1</v>
      </c>
      <c r="K8572">
        <v>5</v>
      </c>
      <c r="L8572">
        <f>IF(AND($J8572=0,$K8572=0),0,1)</f>
        <v>1</v>
      </c>
    </row>
    <row r="8573" spans="1:13" x14ac:dyDescent="0.2">
      <c r="A8573" t="s">
        <v>282</v>
      </c>
      <c r="B8573" t="s">
        <v>6</v>
      </c>
      <c r="C8573" t="s">
        <v>11</v>
      </c>
      <c r="D8573">
        <v>9016</v>
      </c>
      <c r="E8573">
        <v>2019</v>
      </c>
      <c r="F8573">
        <v>1</v>
      </c>
      <c r="G8573">
        <v>47473</v>
      </c>
      <c r="H8573" s="1">
        <v>0</v>
      </c>
      <c r="I8573">
        <v>1</v>
      </c>
      <c r="J8573">
        <f>IF($H8573=0,1,IF($I8573&lt;=1,2,0))</f>
        <v>1</v>
      </c>
      <c r="K8573">
        <v>5</v>
      </c>
      <c r="L8573">
        <f>IF(AND($J8573=0,$K8573=0),0,1)</f>
        <v>1</v>
      </c>
    </row>
    <row r="8574" spans="1:13" x14ac:dyDescent="0.2">
      <c r="A8574" t="s">
        <v>299</v>
      </c>
      <c r="B8574" t="s">
        <v>6</v>
      </c>
      <c r="C8574" t="s">
        <v>11</v>
      </c>
      <c r="D8574">
        <v>9018</v>
      </c>
      <c r="E8574">
        <v>2019</v>
      </c>
      <c r="F8574">
        <v>1</v>
      </c>
      <c r="G8574">
        <v>14003</v>
      </c>
      <c r="H8574" s="1">
        <v>0</v>
      </c>
      <c r="I8574">
        <v>1</v>
      </c>
      <c r="J8574">
        <f>IF($H8574=0,1,IF($I8574&lt;=1,2,0))</f>
        <v>1</v>
      </c>
      <c r="K8574">
        <v>5</v>
      </c>
      <c r="L8574">
        <f>IF(AND($J8574=0,$K8574=0),0,1)</f>
        <v>1</v>
      </c>
    </row>
    <row r="8575" spans="1:13" x14ac:dyDescent="0.2">
      <c r="A8575" t="s">
        <v>300</v>
      </c>
      <c r="B8575" t="s">
        <v>1</v>
      </c>
      <c r="C8575" t="s">
        <v>2</v>
      </c>
      <c r="D8575">
        <v>1510</v>
      </c>
      <c r="E8575">
        <v>2019</v>
      </c>
      <c r="F8575">
        <v>2</v>
      </c>
      <c r="G8575">
        <v>7910</v>
      </c>
      <c r="H8575" s="1">
        <v>4</v>
      </c>
      <c r="I8575">
        <v>41</v>
      </c>
      <c r="J8575">
        <f>IF($H8575=0,1,IF($I8575&lt;=1,2,0))</f>
        <v>0</v>
      </c>
      <c r="K8575">
        <v>7</v>
      </c>
      <c r="L8575">
        <f>IF(AND($J8575=0,$K8575=0),0,1)</f>
        <v>1</v>
      </c>
      <c r="M8575" t="s">
        <v>1928</v>
      </c>
    </row>
    <row r="8576" spans="1:13" x14ac:dyDescent="0.2">
      <c r="A8576" t="s">
        <v>300</v>
      </c>
      <c r="B8576" t="s">
        <v>1</v>
      </c>
      <c r="C8576" t="s">
        <v>2</v>
      </c>
      <c r="D8576">
        <v>1510</v>
      </c>
      <c r="E8576">
        <v>2019</v>
      </c>
      <c r="F8576">
        <v>1</v>
      </c>
      <c r="G8576">
        <v>7891</v>
      </c>
      <c r="H8576" s="1">
        <v>4</v>
      </c>
      <c r="I8576">
        <v>34</v>
      </c>
      <c r="J8576">
        <f>IF($H8576=0,1,IF($I8576&lt;=1,2,0))</f>
        <v>0</v>
      </c>
      <c r="K8576">
        <v>7</v>
      </c>
      <c r="L8576">
        <f>IF(AND($J8576=0,$K8576=0),0,1)</f>
        <v>1</v>
      </c>
      <c r="M8576" t="s">
        <v>1927</v>
      </c>
    </row>
    <row r="8577" spans="1:13" x14ac:dyDescent="0.2">
      <c r="A8577" t="s">
        <v>300</v>
      </c>
      <c r="B8577" t="s">
        <v>1</v>
      </c>
      <c r="C8577" t="s">
        <v>2</v>
      </c>
      <c r="D8577">
        <v>1511</v>
      </c>
      <c r="E8577">
        <v>2019</v>
      </c>
      <c r="F8577">
        <v>3</v>
      </c>
      <c r="G8577">
        <v>7905</v>
      </c>
      <c r="H8577" s="1">
        <v>0</v>
      </c>
      <c r="I8577">
        <v>25</v>
      </c>
      <c r="J8577">
        <f>IF($H8577=0,1,IF($I8577&lt;=1,2,0))</f>
        <v>1</v>
      </c>
      <c r="K8577">
        <v>7</v>
      </c>
      <c r="L8577">
        <f>IF(AND($J8577=0,$K8577=0),0,1)</f>
        <v>1</v>
      </c>
      <c r="M8577" t="s">
        <v>1930</v>
      </c>
    </row>
    <row r="8578" spans="1:13" x14ac:dyDescent="0.2">
      <c r="A8578" t="s">
        <v>300</v>
      </c>
      <c r="B8578" t="s">
        <v>1</v>
      </c>
      <c r="C8578" t="s">
        <v>2</v>
      </c>
      <c r="D8578">
        <v>1511</v>
      </c>
      <c r="E8578">
        <v>2019</v>
      </c>
      <c r="F8578">
        <v>4</v>
      </c>
      <c r="G8578">
        <v>7906</v>
      </c>
      <c r="H8578" s="1">
        <v>0</v>
      </c>
      <c r="I8578">
        <v>17</v>
      </c>
      <c r="J8578">
        <f>IF($H8578=0,1,IF($I8578&lt;=1,2,0))</f>
        <v>1</v>
      </c>
      <c r="K8578">
        <v>7</v>
      </c>
      <c r="L8578">
        <f>IF(AND($J8578=0,$K8578=0),0,1)</f>
        <v>1</v>
      </c>
      <c r="M8578" t="s">
        <v>1930</v>
      </c>
    </row>
    <row r="8579" spans="1:13" x14ac:dyDescent="0.2">
      <c r="A8579" t="s">
        <v>300</v>
      </c>
      <c r="B8579" t="s">
        <v>1</v>
      </c>
      <c r="C8579" t="s">
        <v>2</v>
      </c>
      <c r="D8579">
        <v>1511</v>
      </c>
      <c r="E8579">
        <v>2019</v>
      </c>
      <c r="F8579">
        <v>2</v>
      </c>
      <c r="G8579">
        <v>7904</v>
      </c>
      <c r="H8579" s="1">
        <v>0</v>
      </c>
      <c r="I8579">
        <v>13</v>
      </c>
      <c r="J8579">
        <f>IF($H8579=0,1,IF($I8579&lt;=1,2,0))</f>
        <v>1</v>
      </c>
      <c r="K8579">
        <v>7</v>
      </c>
      <c r="L8579">
        <f>IF(AND($J8579=0,$K8579=0),0,1)</f>
        <v>1</v>
      </c>
      <c r="M8579" t="s">
        <v>1930</v>
      </c>
    </row>
    <row r="8580" spans="1:13" x14ac:dyDescent="0.2">
      <c r="A8580" t="s">
        <v>300</v>
      </c>
      <c r="B8580" t="s">
        <v>1</v>
      </c>
      <c r="C8580" t="s">
        <v>2</v>
      </c>
      <c r="D8580">
        <v>1511</v>
      </c>
      <c r="E8580">
        <v>2019</v>
      </c>
      <c r="F8580">
        <v>5</v>
      </c>
      <c r="G8580">
        <v>227</v>
      </c>
      <c r="H8580" s="1">
        <v>0</v>
      </c>
      <c r="I8580">
        <v>11</v>
      </c>
      <c r="J8580">
        <f>IF($H8580=0,1,IF($I8580&lt;=1,2,0))</f>
        <v>1</v>
      </c>
      <c r="K8580">
        <v>7</v>
      </c>
      <c r="L8580">
        <f>IF(AND($J8580=0,$K8580=0),0,1)</f>
        <v>1</v>
      </c>
      <c r="M8580" t="s">
        <v>1931</v>
      </c>
    </row>
    <row r="8581" spans="1:13" x14ac:dyDescent="0.2">
      <c r="A8581" t="s">
        <v>300</v>
      </c>
      <c r="B8581" t="s">
        <v>1</v>
      </c>
      <c r="C8581" t="s">
        <v>2</v>
      </c>
      <c r="D8581">
        <v>1511</v>
      </c>
      <c r="E8581">
        <v>2019</v>
      </c>
      <c r="F8581">
        <v>1</v>
      </c>
      <c r="G8581">
        <v>7911</v>
      </c>
      <c r="H8581" s="1">
        <v>0</v>
      </c>
      <c r="I8581">
        <v>10</v>
      </c>
      <c r="J8581">
        <f>IF($H8581=0,1,IF($I8581&lt;=1,2,0))</f>
        <v>1</v>
      </c>
      <c r="K8581">
        <v>7</v>
      </c>
      <c r="L8581">
        <f>IF(AND($J8581=0,$K8581=0),0,1)</f>
        <v>1</v>
      </c>
      <c r="M8581" t="s">
        <v>1929</v>
      </c>
    </row>
    <row r="8582" spans="1:13" x14ac:dyDescent="0.2">
      <c r="A8582" t="s">
        <v>300</v>
      </c>
      <c r="B8582" t="s">
        <v>1</v>
      </c>
      <c r="C8582" t="s">
        <v>2</v>
      </c>
      <c r="D8582">
        <v>3025</v>
      </c>
      <c r="E8582">
        <v>2019</v>
      </c>
      <c r="F8582">
        <v>1</v>
      </c>
      <c r="G8582">
        <v>7894</v>
      </c>
      <c r="H8582" s="1">
        <v>4</v>
      </c>
      <c r="I8582">
        <v>9</v>
      </c>
      <c r="J8582">
        <f>IF($H8582=0,1,IF($I8582&lt;=1,2,0))</f>
        <v>0</v>
      </c>
      <c r="K8582">
        <v>7</v>
      </c>
      <c r="L8582">
        <f>IF(AND($J8582=0,$K8582=0),0,1)</f>
        <v>1</v>
      </c>
      <c r="M8582" t="s">
        <v>301</v>
      </c>
    </row>
    <row r="8583" spans="1:13" x14ac:dyDescent="0.2">
      <c r="A8583" t="s">
        <v>300</v>
      </c>
      <c r="B8583" t="s">
        <v>1</v>
      </c>
      <c r="C8583" t="s">
        <v>2</v>
      </c>
      <c r="D8583">
        <v>3044</v>
      </c>
      <c r="E8583">
        <v>2019</v>
      </c>
      <c r="F8583">
        <v>1</v>
      </c>
      <c r="G8583">
        <v>7907</v>
      </c>
      <c r="H8583" s="1">
        <v>4</v>
      </c>
      <c r="I8583">
        <v>24</v>
      </c>
      <c r="J8583">
        <f>IF($H8583=0,1,IF($I8583&lt;=1,2,0))</f>
        <v>0</v>
      </c>
      <c r="K8583">
        <v>7</v>
      </c>
      <c r="L8583">
        <f>IF(AND($J8583=0,$K8583=0),0,1)</f>
        <v>1</v>
      </c>
      <c r="M8583" t="s">
        <v>302</v>
      </c>
    </row>
    <row r="8584" spans="1:13" x14ac:dyDescent="0.2">
      <c r="A8584" t="s">
        <v>300</v>
      </c>
      <c r="B8584" t="s">
        <v>1</v>
      </c>
      <c r="C8584" t="s">
        <v>2</v>
      </c>
      <c r="D8584">
        <v>3045</v>
      </c>
      <c r="E8584">
        <v>2019</v>
      </c>
      <c r="F8584">
        <v>1</v>
      </c>
      <c r="G8584">
        <v>7908</v>
      </c>
      <c r="H8584" s="1">
        <v>4</v>
      </c>
      <c r="I8584">
        <v>22</v>
      </c>
      <c r="J8584">
        <f>IF($H8584=0,1,IF($I8584&lt;=1,2,0))</f>
        <v>0</v>
      </c>
      <c r="K8584">
        <v>7</v>
      </c>
      <c r="L8584">
        <f>IF(AND($J8584=0,$K8584=0),0,1)</f>
        <v>1</v>
      </c>
      <c r="M8584" t="s">
        <v>302</v>
      </c>
    </row>
    <row r="8585" spans="1:13" x14ac:dyDescent="0.2">
      <c r="A8585" t="s">
        <v>300</v>
      </c>
      <c r="B8585" t="s">
        <v>1</v>
      </c>
      <c r="C8585" t="s">
        <v>2</v>
      </c>
      <c r="D8585">
        <v>3051</v>
      </c>
      <c r="E8585">
        <v>2019</v>
      </c>
      <c r="F8585">
        <v>1</v>
      </c>
      <c r="G8585">
        <v>7893</v>
      </c>
      <c r="H8585" s="1">
        <v>4</v>
      </c>
      <c r="I8585">
        <v>9</v>
      </c>
      <c r="J8585">
        <f>IF($H8585=0,1,IF($I8585&lt;=1,2,0))</f>
        <v>0</v>
      </c>
      <c r="K8585">
        <v>7</v>
      </c>
      <c r="L8585">
        <f>IF(AND($J8585=0,$K8585=0),0,1)</f>
        <v>1</v>
      </c>
      <c r="M8585" t="s">
        <v>303</v>
      </c>
    </row>
    <row r="8586" spans="1:13" x14ac:dyDescent="0.2">
      <c r="A8586" t="s">
        <v>300</v>
      </c>
      <c r="B8586" t="s">
        <v>1</v>
      </c>
      <c r="C8586" t="s">
        <v>2</v>
      </c>
      <c r="D8586">
        <v>3055</v>
      </c>
      <c r="E8586">
        <v>2019</v>
      </c>
      <c r="F8586">
        <v>1</v>
      </c>
      <c r="G8586">
        <v>7909</v>
      </c>
      <c r="H8586" s="1">
        <v>4</v>
      </c>
      <c r="I8586">
        <v>16</v>
      </c>
      <c r="J8586">
        <f>IF($H8586=0,1,IF($I8586&lt;=1,2,0))</f>
        <v>0</v>
      </c>
      <c r="K8586">
        <v>7</v>
      </c>
      <c r="L8586">
        <f>IF(AND($J8586=0,$K8586=0),0,1)</f>
        <v>1</v>
      </c>
      <c r="M8586" t="s">
        <v>304</v>
      </c>
    </row>
    <row r="8587" spans="1:13" x14ac:dyDescent="0.2">
      <c r="A8587" t="s">
        <v>300</v>
      </c>
      <c r="B8587" t="s">
        <v>1</v>
      </c>
      <c r="C8587" t="s">
        <v>2</v>
      </c>
      <c r="D8587">
        <v>3058</v>
      </c>
      <c r="E8587">
        <v>2019</v>
      </c>
      <c r="F8587">
        <v>1</v>
      </c>
      <c r="G8587">
        <v>122</v>
      </c>
      <c r="H8587" s="1">
        <v>4</v>
      </c>
      <c r="I8587">
        <v>6</v>
      </c>
      <c r="J8587">
        <f>IF($H8587=0,1,IF($I8587&lt;=1,2,0))</f>
        <v>0</v>
      </c>
      <c r="K8587">
        <v>7</v>
      </c>
      <c r="L8587">
        <f>IF(AND($J8587=0,$K8587=0),0,1)</f>
        <v>1</v>
      </c>
      <c r="M8587" t="s">
        <v>305</v>
      </c>
    </row>
    <row r="8588" spans="1:13" x14ac:dyDescent="0.2">
      <c r="A8588" t="s">
        <v>300</v>
      </c>
      <c r="B8588" t="s">
        <v>1</v>
      </c>
      <c r="C8588" t="s">
        <v>2</v>
      </c>
      <c r="D8588">
        <v>3063</v>
      </c>
      <c r="E8588">
        <v>2019</v>
      </c>
      <c r="F8588">
        <v>1</v>
      </c>
      <c r="G8588">
        <v>7896</v>
      </c>
      <c r="H8588" s="1">
        <v>6</v>
      </c>
      <c r="I8588">
        <v>5</v>
      </c>
      <c r="J8588">
        <f>IF($H8588=0,1,IF($I8588&lt;=1,2,0))</f>
        <v>0</v>
      </c>
      <c r="K8588">
        <v>7</v>
      </c>
      <c r="L8588">
        <f>IF(AND($J8588=0,$K8588=0),0,1)</f>
        <v>1</v>
      </c>
      <c r="M8588" t="s">
        <v>306</v>
      </c>
    </row>
    <row r="8589" spans="1:13" x14ac:dyDescent="0.2">
      <c r="A8589" t="s">
        <v>300</v>
      </c>
      <c r="B8589" t="s">
        <v>1</v>
      </c>
      <c r="C8589" t="s">
        <v>2</v>
      </c>
      <c r="D8589">
        <v>3064</v>
      </c>
      <c r="E8589">
        <v>2019</v>
      </c>
      <c r="F8589">
        <v>1</v>
      </c>
      <c r="G8589">
        <v>7890</v>
      </c>
      <c r="H8589" s="1">
        <v>4</v>
      </c>
      <c r="I8589">
        <v>8</v>
      </c>
      <c r="J8589">
        <f>IF($H8589=0,1,IF($I8589&lt;=1,2,0))</f>
        <v>0</v>
      </c>
      <c r="K8589">
        <v>7</v>
      </c>
      <c r="L8589">
        <f>IF(AND($J8589=0,$K8589=0),0,1)</f>
        <v>1</v>
      </c>
      <c r="M8589" t="s">
        <v>307</v>
      </c>
    </row>
    <row r="8590" spans="1:13" x14ac:dyDescent="0.2">
      <c r="A8590" t="s">
        <v>300</v>
      </c>
      <c r="B8590" t="s">
        <v>1</v>
      </c>
      <c r="C8590" t="s">
        <v>2</v>
      </c>
      <c r="D8590">
        <v>3065</v>
      </c>
      <c r="E8590">
        <v>2019</v>
      </c>
      <c r="F8590">
        <v>1</v>
      </c>
      <c r="G8590">
        <v>7897</v>
      </c>
      <c r="H8590" s="1">
        <v>6</v>
      </c>
      <c r="I8590">
        <v>3</v>
      </c>
      <c r="J8590">
        <f>IF($H8590=0,1,IF($I8590&lt;=1,2,0))</f>
        <v>0</v>
      </c>
      <c r="K8590">
        <v>7</v>
      </c>
      <c r="L8590">
        <f>IF(AND($J8590=0,$K8590=0),0,1)</f>
        <v>1</v>
      </c>
      <c r="M8590" t="s">
        <v>308</v>
      </c>
    </row>
    <row r="8591" spans="1:13" x14ac:dyDescent="0.2">
      <c r="A8591" t="s">
        <v>310</v>
      </c>
      <c r="B8591" t="s">
        <v>71</v>
      </c>
      <c r="C8591" t="s">
        <v>72</v>
      </c>
      <c r="D8591">
        <v>9601</v>
      </c>
      <c r="E8591">
        <v>2019</v>
      </c>
      <c r="F8591">
        <v>1</v>
      </c>
      <c r="G8591">
        <v>10345</v>
      </c>
      <c r="H8591" s="1">
        <v>3</v>
      </c>
      <c r="I8591">
        <v>10</v>
      </c>
      <c r="J8591">
        <f>IF($H8591=0,1,IF($I8591&lt;=1,2,0))</f>
        <v>0</v>
      </c>
      <c r="K8591">
        <v>5</v>
      </c>
      <c r="L8591">
        <f>IF(AND($J8591=0,$K8591=0),0,1)</f>
        <v>1</v>
      </c>
      <c r="M8591" t="s">
        <v>312</v>
      </c>
    </row>
    <row r="8592" spans="1:13" x14ac:dyDescent="0.2">
      <c r="A8592" t="s">
        <v>313</v>
      </c>
      <c r="B8592" t="s">
        <v>133</v>
      </c>
      <c r="C8592" t="s">
        <v>9</v>
      </c>
      <c r="D8592">
        <v>1110</v>
      </c>
      <c r="E8592">
        <v>2019</v>
      </c>
      <c r="F8592">
        <v>1</v>
      </c>
      <c r="G8592">
        <v>54946</v>
      </c>
      <c r="H8592" s="1">
        <v>0</v>
      </c>
      <c r="I8592">
        <v>28</v>
      </c>
      <c r="J8592">
        <f>IF($H8592=0,1,IF($I8592&lt;=1,2,0))</f>
        <v>1</v>
      </c>
      <c r="K8592">
        <v>0</v>
      </c>
      <c r="L8592">
        <f>IF(AND($J8592=0,$K8592=0),0,1)</f>
        <v>1</v>
      </c>
    </row>
    <row r="8593" spans="1:12" x14ac:dyDescent="0.2">
      <c r="A8593" t="s">
        <v>313</v>
      </c>
      <c r="B8593" t="s">
        <v>133</v>
      </c>
      <c r="C8593" t="s">
        <v>9</v>
      </c>
      <c r="D8593">
        <v>1110</v>
      </c>
      <c r="E8593">
        <v>2019</v>
      </c>
      <c r="F8593">
        <v>2</v>
      </c>
      <c r="G8593">
        <v>54947</v>
      </c>
      <c r="H8593" s="1">
        <v>0</v>
      </c>
      <c r="I8593">
        <v>27</v>
      </c>
      <c r="J8593">
        <f>IF($H8593=0,1,IF($I8593&lt;=1,2,0))</f>
        <v>1</v>
      </c>
      <c r="K8593">
        <v>0</v>
      </c>
      <c r="L8593">
        <f>IF(AND($J8593=0,$K8593=0),0,1)</f>
        <v>1</v>
      </c>
    </row>
    <row r="8594" spans="1:12" x14ac:dyDescent="0.2">
      <c r="A8594" t="s">
        <v>313</v>
      </c>
      <c r="B8594" t="s">
        <v>133</v>
      </c>
      <c r="C8594" t="s">
        <v>9</v>
      </c>
      <c r="D8594">
        <v>1110</v>
      </c>
      <c r="E8594">
        <v>2019</v>
      </c>
      <c r="F8594">
        <v>3</v>
      </c>
      <c r="G8594">
        <v>54948</v>
      </c>
      <c r="H8594" s="1">
        <v>0</v>
      </c>
      <c r="I8594">
        <v>19</v>
      </c>
      <c r="J8594">
        <f>IF($H8594=0,1,IF($I8594&lt;=1,2,0))</f>
        <v>1</v>
      </c>
      <c r="K8594">
        <v>0</v>
      </c>
      <c r="L8594">
        <f>IF(AND($J8594=0,$K8594=0),0,1)</f>
        <v>1</v>
      </c>
    </row>
    <row r="8595" spans="1:12" x14ac:dyDescent="0.2">
      <c r="A8595" t="s">
        <v>313</v>
      </c>
      <c r="B8595" t="s">
        <v>133</v>
      </c>
      <c r="C8595" t="s">
        <v>9</v>
      </c>
      <c r="D8595">
        <v>3997</v>
      </c>
      <c r="E8595">
        <v>2019</v>
      </c>
      <c r="F8595">
        <v>2</v>
      </c>
      <c r="G8595">
        <v>54951</v>
      </c>
      <c r="H8595" s="1" t="s">
        <v>1827</v>
      </c>
      <c r="I8595">
        <v>4</v>
      </c>
      <c r="J8595">
        <f>IF($H8595=0,1,IF($I8595&lt;=1,2,0))</f>
        <v>0</v>
      </c>
      <c r="K8595">
        <v>9</v>
      </c>
      <c r="L8595">
        <f>IF(AND($J8595=0,$K8595=0),0,1)</f>
        <v>1</v>
      </c>
    </row>
    <row r="8596" spans="1:12" x14ac:dyDescent="0.2">
      <c r="A8596" t="s">
        <v>313</v>
      </c>
      <c r="B8596" t="s">
        <v>133</v>
      </c>
      <c r="C8596" t="s">
        <v>9</v>
      </c>
      <c r="D8596">
        <v>3997</v>
      </c>
      <c r="E8596">
        <v>2019</v>
      </c>
      <c r="F8596">
        <v>1</v>
      </c>
      <c r="G8596">
        <v>54950</v>
      </c>
      <c r="H8596" s="1" t="s">
        <v>1827</v>
      </c>
      <c r="I8596">
        <v>0</v>
      </c>
      <c r="J8596">
        <f>IF($H8596=0,1,IF($I8596&lt;=1,2,0))</f>
        <v>2</v>
      </c>
      <c r="K8596">
        <v>9</v>
      </c>
      <c r="L8596">
        <f>IF(AND($J8596=0,$K8596=0),0,1)</f>
        <v>1</v>
      </c>
    </row>
    <row r="8597" spans="1:12" x14ac:dyDescent="0.2">
      <c r="A8597" t="s">
        <v>313</v>
      </c>
      <c r="B8597" t="s">
        <v>133</v>
      </c>
      <c r="C8597" t="s">
        <v>11</v>
      </c>
      <c r="D8597">
        <v>5850</v>
      </c>
      <c r="E8597">
        <v>2019</v>
      </c>
      <c r="F8597">
        <v>1</v>
      </c>
      <c r="G8597">
        <v>54955</v>
      </c>
      <c r="H8597" s="1">
        <v>3</v>
      </c>
      <c r="I8597">
        <v>12</v>
      </c>
      <c r="J8597">
        <f>IF($H8597=0,1,IF($I8597&lt;=1,2,0))</f>
        <v>0</v>
      </c>
      <c r="K8597">
        <v>4</v>
      </c>
      <c r="L8597">
        <f>IF(AND($J8597=0,$K8597=0),0,1)</f>
        <v>1</v>
      </c>
    </row>
    <row r="8598" spans="1:12" x14ac:dyDescent="0.2">
      <c r="A8598" t="s">
        <v>313</v>
      </c>
      <c r="B8598" t="s">
        <v>133</v>
      </c>
      <c r="C8598" t="s">
        <v>11</v>
      </c>
      <c r="D8598">
        <v>6850</v>
      </c>
      <c r="E8598">
        <v>2019</v>
      </c>
      <c r="F8598">
        <v>1</v>
      </c>
      <c r="G8598">
        <v>54956</v>
      </c>
      <c r="H8598" s="1">
        <v>6</v>
      </c>
      <c r="I8598">
        <v>2</v>
      </c>
      <c r="J8598">
        <f>IF($H8598=0,1,IF($I8598&lt;=1,2,0))</f>
        <v>0</v>
      </c>
      <c r="K8598">
        <v>4</v>
      </c>
      <c r="L8598">
        <f>IF(AND($J8598=0,$K8598=0),0,1)</f>
        <v>1</v>
      </c>
    </row>
    <row r="8599" spans="1:12" x14ac:dyDescent="0.2">
      <c r="A8599" t="s">
        <v>313</v>
      </c>
      <c r="B8599" t="s">
        <v>133</v>
      </c>
      <c r="C8599" t="s">
        <v>11</v>
      </c>
      <c r="D8599">
        <v>9501</v>
      </c>
      <c r="E8599">
        <v>2019</v>
      </c>
      <c r="F8599">
        <v>2</v>
      </c>
      <c r="G8599">
        <v>54976</v>
      </c>
      <c r="H8599" s="1" t="s">
        <v>1842</v>
      </c>
      <c r="I8599">
        <v>2</v>
      </c>
      <c r="J8599">
        <f>IF($H8599=0,1,IF($I8599&lt;=1,2,0))</f>
        <v>0</v>
      </c>
      <c r="K8599">
        <v>5</v>
      </c>
      <c r="L8599">
        <f>IF(AND($J8599=0,$K8599=0),0,1)</f>
        <v>1</v>
      </c>
    </row>
    <row r="8600" spans="1:12" x14ac:dyDescent="0.2">
      <c r="A8600" t="s">
        <v>313</v>
      </c>
      <c r="B8600" t="s">
        <v>133</v>
      </c>
      <c r="C8600" t="s">
        <v>11</v>
      </c>
      <c r="D8600">
        <v>9501</v>
      </c>
      <c r="E8600">
        <v>2019</v>
      </c>
      <c r="F8600">
        <v>4</v>
      </c>
      <c r="G8600">
        <v>54978</v>
      </c>
      <c r="H8600" s="1" t="s">
        <v>1842</v>
      </c>
      <c r="I8600">
        <v>1</v>
      </c>
      <c r="J8600">
        <f>IF($H8600=0,1,IF($I8600&lt;=1,2,0))</f>
        <v>2</v>
      </c>
      <c r="K8600">
        <v>5</v>
      </c>
      <c r="L8600">
        <f>IF(AND($J8600=0,$K8600=0),0,1)</f>
        <v>1</v>
      </c>
    </row>
    <row r="8601" spans="1:12" x14ac:dyDescent="0.2">
      <c r="A8601" t="s">
        <v>313</v>
      </c>
      <c r="B8601" t="s">
        <v>133</v>
      </c>
      <c r="C8601" t="s">
        <v>11</v>
      </c>
      <c r="D8601">
        <v>9501</v>
      </c>
      <c r="E8601">
        <v>2019</v>
      </c>
      <c r="F8601">
        <v>6</v>
      </c>
      <c r="G8601">
        <v>54980</v>
      </c>
      <c r="H8601" s="1" t="s">
        <v>1842</v>
      </c>
      <c r="I8601">
        <v>1</v>
      </c>
      <c r="J8601">
        <f>IF($H8601=0,1,IF($I8601&lt;=1,2,0))</f>
        <v>2</v>
      </c>
      <c r="K8601">
        <v>5</v>
      </c>
      <c r="L8601">
        <f>IF(AND($J8601=0,$K8601=0),0,1)</f>
        <v>1</v>
      </c>
    </row>
    <row r="8602" spans="1:12" x14ac:dyDescent="0.2">
      <c r="A8602" t="s">
        <v>313</v>
      </c>
      <c r="B8602" t="s">
        <v>133</v>
      </c>
      <c r="C8602" t="s">
        <v>11</v>
      </c>
      <c r="D8602">
        <v>9501</v>
      </c>
      <c r="E8602">
        <v>2019</v>
      </c>
      <c r="F8602">
        <v>7</v>
      </c>
      <c r="G8602">
        <v>18736</v>
      </c>
      <c r="H8602" s="1" t="s">
        <v>1842</v>
      </c>
      <c r="I8602">
        <v>1</v>
      </c>
      <c r="J8602">
        <f>IF($H8602=0,1,IF($I8602&lt;=1,2,0))</f>
        <v>2</v>
      </c>
      <c r="K8602">
        <v>5</v>
      </c>
      <c r="L8602">
        <f>IF(AND($J8602=0,$K8602=0),0,1)</f>
        <v>1</v>
      </c>
    </row>
    <row r="8603" spans="1:12" x14ac:dyDescent="0.2">
      <c r="A8603" t="s">
        <v>313</v>
      </c>
      <c r="B8603" t="s">
        <v>133</v>
      </c>
      <c r="C8603" t="s">
        <v>11</v>
      </c>
      <c r="D8603">
        <v>9501</v>
      </c>
      <c r="E8603">
        <v>2019</v>
      </c>
      <c r="F8603">
        <v>8</v>
      </c>
      <c r="G8603">
        <v>18813</v>
      </c>
      <c r="H8603" s="1" t="s">
        <v>1842</v>
      </c>
      <c r="I8603">
        <v>1</v>
      </c>
      <c r="J8603">
        <f>IF($H8603=0,1,IF($I8603&lt;=1,2,0))</f>
        <v>2</v>
      </c>
      <c r="K8603">
        <v>5</v>
      </c>
      <c r="L8603">
        <f>IF(AND($J8603=0,$K8603=0),0,1)</f>
        <v>1</v>
      </c>
    </row>
    <row r="8604" spans="1:12" x14ac:dyDescent="0.2">
      <c r="A8604" t="s">
        <v>313</v>
      </c>
      <c r="B8604" t="s">
        <v>133</v>
      </c>
      <c r="C8604" t="s">
        <v>11</v>
      </c>
      <c r="D8604">
        <v>9501</v>
      </c>
      <c r="E8604">
        <v>2019</v>
      </c>
      <c r="F8604">
        <v>9</v>
      </c>
      <c r="G8604">
        <v>18897</v>
      </c>
      <c r="H8604" s="1" t="s">
        <v>1842</v>
      </c>
      <c r="I8604">
        <v>1</v>
      </c>
      <c r="J8604">
        <f>IF($H8604=0,1,IF($I8604&lt;=1,2,0))</f>
        <v>2</v>
      </c>
      <c r="K8604">
        <v>5</v>
      </c>
      <c r="L8604">
        <f>IF(AND($J8604=0,$K8604=0),0,1)</f>
        <v>1</v>
      </c>
    </row>
    <row r="8605" spans="1:12" x14ac:dyDescent="0.2">
      <c r="A8605" t="s">
        <v>313</v>
      </c>
      <c r="B8605" t="s">
        <v>133</v>
      </c>
      <c r="C8605" t="s">
        <v>11</v>
      </c>
      <c r="D8605">
        <v>9501</v>
      </c>
      <c r="E8605">
        <v>2019</v>
      </c>
      <c r="F8605">
        <v>1</v>
      </c>
      <c r="G8605">
        <v>54975</v>
      </c>
      <c r="H8605" s="1" t="s">
        <v>1842</v>
      </c>
      <c r="I8605">
        <v>0</v>
      </c>
      <c r="J8605">
        <f>IF($H8605=0,1,IF($I8605&lt;=1,2,0))</f>
        <v>2</v>
      </c>
      <c r="K8605">
        <v>5</v>
      </c>
      <c r="L8605">
        <f>IF(AND($J8605=0,$K8605=0),0,1)</f>
        <v>1</v>
      </c>
    </row>
    <row r="8606" spans="1:12" x14ac:dyDescent="0.2">
      <c r="A8606" t="s">
        <v>313</v>
      </c>
      <c r="B8606" t="s">
        <v>133</v>
      </c>
      <c r="C8606" t="s">
        <v>11</v>
      </c>
      <c r="D8606">
        <v>9501</v>
      </c>
      <c r="E8606">
        <v>2019</v>
      </c>
      <c r="F8606">
        <v>3</v>
      </c>
      <c r="G8606">
        <v>54977</v>
      </c>
      <c r="H8606" s="1" t="s">
        <v>1842</v>
      </c>
      <c r="I8606">
        <v>0</v>
      </c>
      <c r="J8606">
        <f>IF($H8606=0,1,IF($I8606&lt;=1,2,0))</f>
        <v>2</v>
      </c>
      <c r="K8606">
        <v>5</v>
      </c>
      <c r="L8606">
        <f>IF(AND($J8606=0,$K8606=0),0,1)</f>
        <v>1</v>
      </c>
    </row>
    <row r="8607" spans="1:12" x14ac:dyDescent="0.2">
      <c r="A8607" t="s">
        <v>313</v>
      </c>
      <c r="B8607" t="s">
        <v>133</v>
      </c>
      <c r="C8607" t="s">
        <v>11</v>
      </c>
      <c r="D8607">
        <v>9501</v>
      </c>
      <c r="E8607">
        <v>2019</v>
      </c>
      <c r="F8607">
        <v>5</v>
      </c>
      <c r="G8607">
        <v>54979</v>
      </c>
      <c r="H8607" s="1" t="s">
        <v>1842</v>
      </c>
      <c r="I8607">
        <v>0</v>
      </c>
      <c r="J8607">
        <f>IF($H8607=0,1,IF($I8607&lt;=1,2,0))</f>
        <v>2</v>
      </c>
      <c r="K8607">
        <v>5</v>
      </c>
      <c r="L8607">
        <f>IF(AND($J8607=0,$K8607=0),0,1)</f>
        <v>1</v>
      </c>
    </row>
    <row r="8608" spans="1:12" x14ac:dyDescent="0.2">
      <c r="A8608" t="s">
        <v>313</v>
      </c>
      <c r="B8608" t="s">
        <v>133</v>
      </c>
      <c r="C8608" t="s">
        <v>11</v>
      </c>
      <c r="D8608">
        <v>9503</v>
      </c>
      <c r="E8608">
        <v>2019</v>
      </c>
      <c r="F8608">
        <v>1</v>
      </c>
      <c r="G8608">
        <v>54957</v>
      </c>
      <c r="H8608" s="1" t="s">
        <v>1842</v>
      </c>
      <c r="I8608">
        <v>2</v>
      </c>
      <c r="J8608">
        <f>IF($H8608=0,1,IF($I8608&lt;=1,2,0))</f>
        <v>0</v>
      </c>
      <c r="K8608">
        <v>5</v>
      </c>
      <c r="L8608">
        <f>IF(AND($J8608=0,$K8608=0),0,1)</f>
        <v>1</v>
      </c>
    </row>
    <row r="8609" spans="1:13" x14ac:dyDescent="0.2">
      <c r="A8609" t="s">
        <v>313</v>
      </c>
      <c r="B8609" t="s">
        <v>133</v>
      </c>
      <c r="C8609" t="s">
        <v>11</v>
      </c>
      <c r="D8609">
        <v>9503</v>
      </c>
      <c r="E8609">
        <v>2019</v>
      </c>
      <c r="F8609">
        <v>4</v>
      </c>
      <c r="G8609">
        <v>54960</v>
      </c>
      <c r="H8609" s="1" t="s">
        <v>1842</v>
      </c>
      <c r="I8609">
        <v>1</v>
      </c>
      <c r="J8609">
        <f>IF($H8609=0,1,IF($I8609&lt;=1,2,0))</f>
        <v>2</v>
      </c>
      <c r="K8609">
        <v>5</v>
      </c>
      <c r="L8609">
        <f>IF(AND($J8609=0,$K8609=0),0,1)</f>
        <v>1</v>
      </c>
    </row>
    <row r="8610" spans="1:13" x14ac:dyDescent="0.2">
      <c r="A8610" t="s">
        <v>313</v>
      </c>
      <c r="B8610" t="s">
        <v>133</v>
      </c>
      <c r="C8610" t="s">
        <v>11</v>
      </c>
      <c r="D8610">
        <v>9503</v>
      </c>
      <c r="E8610">
        <v>2019</v>
      </c>
      <c r="F8610">
        <v>5</v>
      </c>
      <c r="G8610">
        <v>18817</v>
      </c>
      <c r="H8610" s="1" t="s">
        <v>1842</v>
      </c>
      <c r="I8610">
        <v>1</v>
      </c>
      <c r="J8610">
        <f>IF($H8610=0,1,IF($I8610&lt;=1,2,0))</f>
        <v>2</v>
      </c>
      <c r="K8610">
        <v>5</v>
      </c>
      <c r="L8610">
        <f>IF(AND($J8610=0,$K8610=0),0,1)</f>
        <v>1</v>
      </c>
    </row>
    <row r="8611" spans="1:13" x14ac:dyDescent="0.2">
      <c r="A8611" t="s">
        <v>313</v>
      </c>
      <c r="B8611" t="s">
        <v>133</v>
      </c>
      <c r="C8611" t="s">
        <v>11</v>
      </c>
      <c r="D8611">
        <v>9503</v>
      </c>
      <c r="E8611">
        <v>2019</v>
      </c>
      <c r="F8611">
        <v>7</v>
      </c>
      <c r="G8611">
        <v>18850</v>
      </c>
      <c r="H8611" s="1" t="s">
        <v>1842</v>
      </c>
      <c r="I8611">
        <v>1</v>
      </c>
      <c r="J8611">
        <f>IF($H8611=0,1,IF($I8611&lt;=1,2,0))</f>
        <v>2</v>
      </c>
      <c r="K8611">
        <v>5</v>
      </c>
      <c r="L8611">
        <f>IF(AND($J8611=0,$K8611=0),0,1)</f>
        <v>1</v>
      </c>
    </row>
    <row r="8612" spans="1:13" x14ac:dyDescent="0.2">
      <c r="A8612" t="s">
        <v>313</v>
      </c>
      <c r="B8612" t="s">
        <v>133</v>
      </c>
      <c r="C8612" t="s">
        <v>11</v>
      </c>
      <c r="D8612">
        <v>9503</v>
      </c>
      <c r="E8612">
        <v>2019</v>
      </c>
      <c r="F8612">
        <v>2</v>
      </c>
      <c r="G8612">
        <v>54958</v>
      </c>
      <c r="H8612" s="1" t="s">
        <v>1842</v>
      </c>
      <c r="I8612">
        <v>0</v>
      </c>
      <c r="J8612">
        <f>IF($H8612=0,1,IF($I8612&lt;=1,2,0))</f>
        <v>2</v>
      </c>
      <c r="K8612">
        <v>5</v>
      </c>
      <c r="L8612">
        <f>IF(AND($J8612=0,$K8612=0),0,1)</f>
        <v>1</v>
      </c>
    </row>
    <row r="8613" spans="1:13" x14ac:dyDescent="0.2">
      <c r="A8613" t="s">
        <v>313</v>
      </c>
      <c r="B8613" t="s">
        <v>133</v>
      </c>
      <c r="C8613" t="s">
        <v>11</v>
      </c>
      <c r="D8613">
        <v>9503</v>
      </c>
      <c r="E8613">
        <v>2019</v>
      </c>
      <c r="F8613">
        <v>3</v>
      </c>
      <c r="G8613">
        <v>54959</v>
      </c>
      <c r="H8613" s="1" t="s">
        <v>1842</v>
      </c>
      <c r="I8613">
        <v>0</v>
      </c>
      <c r="J8613">
        <f>IF($H8613=0,1,IF($I8613&lt;=1,2,0))</f>
        <v>2</v>
      </c>
      <c r="K8613">
        <v>5</v>
      </c>
      <c r="L8613">
        <f>IF(AND($J8613=0,$K8613=0),0,1)</f>
        <v>1</v>
      </c>
    </row>
    <row r="8614" spans="1:13" x14ac:dyDescent="0.2">
      <c r="A8614" t="s">
        <v>313</v>
      </c>
      <c r="B8614" t="s">
        <v>133</v>
      </c>
      <c r="C8614" t="s">
        <v>11</v>
      </c>
      <c r="D8614">
        <v>9503</v>
      </c>
      <c r="E8614">
        <v>2019</v>
      </c>
      <c r="F8614">
        <v>6</v>
      </c>
      <c r="G8614">
        <v>18849</v>
      </c>
      <c r="H8614" s="1" t="s">
        <v>1842</v>
      </c>
      <c r="I8614">
        <v>0</v>
      </c>
      <c r="J8614">
        <f>IF($H8614=0,1,IF($I8614&lt;=1,2,0))</f>
        <v>2</v>
      </c>
      <c r="K8614">
        <v>5</v>
      </c>
      <c r="L8614">
        <f>IF(AND($J8614=0,$K8614=0),0,1)</f>
        <v>1</v>
      </c>
    </row>
    <row r="8615" spans="1:13" x14ac:dyDescent="0.2">
      <c r="A8615" t="s">
        <v>313</v>
      </c>
      <c r="B8615" t="s">
        <v>133</v>
      </c>
      <c r="C8615" t="s">
        <v>11</v>
      </c>
      <c r="D8615">
        <v>9509</v>
      </c>
      <c r="E8615">
        <v>2019</v>
      </c>
      <c r="F8615">
        <v>2</v>
      </c>
      <c r="G8615">
        <v>54969</v>
      </c>
      <c r="H8615" s="1" t="s">
        <v>1828</v>
      </c>
      <c r="I8615">
        <v>2</v>
      </c>
      <c r="J8615">
        <f>IF($H8615=0,1,IF($I8615&lt;=1,2,0))</f>
        <v>0</v>
      </c>
      <c r="K8615">
        <v>5</v>
      </c>
      <c r="L8615">
        <f>IF(AND($J8615=0,$K8615=0),0,1)</f>
        <v>1</v>
      </c>
    </row>
    <row r="8616" spans="1:13" x14ac:dyDescent="0.2">
      <c r="A8616" t="s">
        <v>313</v>
      </c>
      <c r="B8616" t="s">
        <v>133</v>
      </c>
      <c r="C8616" t="s">
        <v>11</v>
      </c>
      <c r="D8616">
        <v>9509</v>
      </c>
      <c r="E8616">
        <v>2019</v>
      </c>
      <c r="F8616">
        <v>3</v>
      </c>
      <c r="G8616">
        <v>54970</v>
      </c>
      <c r="H8616" s="1" t="s">
        <v>1828</v>
      </c>
      <c r="I8616">
        <v>1</v>
      </c>
      <c r="J8616">
        <f>IF($H8616=0,1,IF($I8616&lt;=1,2,0))</f>
        <v>2</v>
      </c>
      <c r="K8616">
        <v>5</v>
      </c>
      <c r="L8616">
        <f>IF(AND($J8616=0,$K8616=0),0,1)</f>
        <v>1</v>
      </c>
    </row>
    <row r="8617" spans="1:13" x14ac:dyDescent="0.2">
      <c r="A8617" t="s">
        <v>313</v>
      </c>
      <c r="B8617" t="s">
        <v>133</v>
      </c>
      <c r="C8617" t="s">
        <v>11</v>
      </c>
      <c r="D8617">
        <v>9509</v>
      </c>
      <c r="E8617">
        <v>2019</v>
      </c>
      <c r="F8617">
        <v>4</v>
      </c>
      <c r="G8617">
        <v>54971</v>
      </c>
      <c r="H8617" s="1" t="s">
        <v>1828</v>
      </c>
      <c r="I8617">
        <v>1</v>
      </c>
      <c r="J8617">
        <f>IF($H8617=0,1,IF($I8617&lt;=1,2,0))</f>
        <v>2</v>
      </c>
      <c r="K8617">
        <v>5</v>
      </c>
      <c r="L8617">
        <f>IF(AND($J8617=0,$K8617=0),0,1)</f>
        <v>1</v>
      </c>
    </row>
    <row r="8618" spans="1:13" x14ac:dyDescent="0.2">
      <c r="A8618" t="s">
        <v>313</v>
      </c>
      <c r="B8618" t="s">
        <v>133</v>
      </c>
      <c r="C8618" t="s">
        <v>11</v>
      </c>
      <c r="D8618">
        <v>9509</v>
      </c>
      <c r="E8618">
        <v>2019</v>
      </c>
      <c r="F8618">
        <v>5</v>
      </c>
      <c r="G8618">
        <v>18895</v>
      </c>
      <c r="H8618" s="1" t="s">
        <v>1828</v>
      </c>
      <c r="I8618">
        <v>1</v>
      </c>
      <c r="J8618">
        <f>IF($H8618=0,1,IF($I8618&lt;=1,2,0))</f>
        <v>2</v>
      </c>
      <c r="K8618">
        <v>5</v>
      </c>
      <c r="L8618">
        <f>IF(AND($J8618=0,$K8618=0),0,1)</f>
        <v>1</v>
      </c>
    </row>
    <row r="8619" spans="1:13" x14ac:dyDescent="0.2">
      <c r="A8619" t="s">
        <v>313</v>
      </c>
      <c r="B8619" t="s">
        <v>133</v>
      </c>
      <c r="C8619" t="s">
        <v>11</v>
      </c>
      <c r="D8619">
        <v>9509</v>
      </c>
      <c r="E8619">
        <v>2019</v>
      </c>
      <c r="F8619">
        <v>1</v>
      </c>
      <c r="G8619">
        <v>54968</v>
      </c>
      <c r="H8619" s="1" t="s">
        <v>1828</v>
      </c>
      <c r="I8619">
        <v>0</v>
      </c>
      <c r="J8619">
        <f>IF($H8619=0,1,IF($I8619&lt;=1,2,0))</f>
        <v>2</v>
      </c>
      <c r="K8619">
        <v>5</v>
      </c>
      <c r="L8619">
        <f>IF(AND($J8619=0,$K8619=0),0,1)</f>
        <v>1</v>
      </c>
    </row>
    <row r="8620" spans="1:13" x14ac:dyDescent="0.2">
      <c r="A8620" t="s">
        <v>318</v>
      </c>
      <c r="B8620" t="s">
        <v>133</v>
      </c>
      <c r="C8620" t="s">
        <v>2</v>
      </c>
      <c r="D8620">
        <v>1001</v>
      </c>
      <c r="E8620">
        <v>2019</v>
      </c>
      <c r="F8620">
        <v>1</v>
      </c>
      <c r="G8620">
        <v>8045</v>
      </c>
      <c r="H8620" s="1">
        <v>4.5</v>
      </c>
      <c r="I8620">
        <v>112</v>
      </c>
      <c r="J8620">
        <f>IF($H8620=0,1,IF($I8620&lt;=1,2,0))</f>
        <v>0</v>
      </c>
      <c r="K8620">
        <v>7</v>
      </c>
      <c r="L8620">
        <f>IF(AND($J8620=0,$K8620=0),0,1)</f>
        <v>1</v>
      </c>
      <c r="M8620" t="s">
        <v>320</v>
      </c>
    </row>
    <row r="8621" spans="1:13" x14ac:dyDescent="0.2">
      <c r="A8621" t="s">
        <v>318</v>
      </c>
      <c r="B8621" t="s">
        <v>133</v>
      </c>
      <c r="C8621" t="s">
        <v>2</v>
      </c>
      <c r="D8621">
        <v>1011</v>
      </c>
      <c r="E8621">
        <v>2019</v>
      </c>
      <c r="F8621">
        <v>3</v>
      </c>
      <c r="G8621">
        <v>8047</v>
      </c>
      <c r="H8621" s="1">
        <v>0</v>
      </c>
      <c r="I8621">
        <v>17</v>
      </c>
      <c r="J8621">
        <f>IF($H8621=0,1,IF($I8621&lt;=1,2,0))</f>
        <v>1</v>
      </c>
      <c r="K8621">
        <v>7</v>
      </c>
      <c r="L8621">
        <f>IF(AND($J8621=0,$K8621=0),0,1)</f>
        <v>1</v>
      </c>
      <c r="M8621" t="s">
        <v>322</v>
      </c>
    </row>
    <row r="8622" spans="1:13" x14ac:dyDescent="0.2">
      <c r="A8622" t="s">
        <v>318</v>
      </c>
      <c r="B8622" t="s">
        <v>133</v>
      </c>
      <c r="C8622" t="s">
        <v>2</v>
      </c>
      <c r="D8622">
        <v>1011</v>
      </c>
      <c r="E8622">
        <v>2019</v>
      </c>
      <c r="F8622">
        <v>6</v>
      </c>
      <c r="G8622">
        <v>8050</v>
      </c>
      <c r="H8622" s="1">
        <v>0</v>
      </c>
      <c r="I8622">
        <v>17</v>
      </c>
      <c r="J8622">
        <f>IF($H8622=0,1,IF($I8622&lt;=1,2,0))</f>
        <v>1</v>
      </c>
      <c r="K8622">
        <v>7</v>
      </c>
      <c r="L8622">
        <f>IF(AND($J8622=0,$K8622=0),0,1)</f>
        <v>1</v>
      </c>
      <c r="M8622" t="s">
        <v>323</v>
      </c>
    </row>
    <row r="8623" spans="1:13" x14ac:dyDescent="0.2">
      <c r="A8623" t="s">
        <v>318</v>
      </c>
      <c r="B8623" t="s">
        <v>133</v>
      </c>
      <c r="C8623" t="s">
        <v>2</v>
      </c>
      <c r="D8623">
        <v>1011</v>
      </c>
      <c r="E8623">
        <v>2019</v>
      </c>
      <c r="F8623">
        <v>4</v>
      </c>
      <c r="G8623">
        <v>8048</v>
      </c>
      <c r="H8623" s="1">
        <v>0</v>
      </c>
      <c r="I8623">
        <v>16</v>
      </c>
      <c r="J8623">
        <f>IF($H8623=0,1,IF($I8623&lt;=1,2,0))</f>
        <v>1</v>
      </c>
      <c r="K8623">
        <v>7</v>
      </c>
      <c r="L8623">
        <f>IF(AND($J8623=0,$K8623=0),0,1)</f>
        <v>1</v>
      </c>
      <c r="M8623" t="s">
        <v>322</v>
      </c>
    </row>
    <row r="8624" spans="1:13" x14ac:dyDescent="0.2">
      <c r="A8624" t="s">
        <v>318</v>
      </c>
      <c r="B8624" t="s">
        <v>133</v>
      </c>
      <c r="C8624" t="s">
        <v>2</v>
      </c>
      <c r="D8624">
        <v>1011</v>
      </c>
      <c r="E8624">
        <v>2019</v>
      </c>
      <c r="F8624">
        <v>5</v>
      </c>
      <c r="G8624">
        <v>8049</v>
      </c>
      <c r="H8624" s="1">
        <v>0</v>
      </c>
      <c r="I8624">
        <v>16</v>
      </c>
      <c r="J8624">
        <f>IF($H8624=0,1,IF($I8624&lt;=1,2,0))</f>
        <v>1</v>
      </c>
      <c r="K8624">
        <v>7</v>
      </c>
      <c r="L8624">
        <f>IF(AND($J8624=0,$K8624=0),0,1)</f>
        <v>1</v>
      </c>
      <c r="M8624" t="s">
        <v>322</v>
      </c>
    </row>
    <row r="8625" spans="1:13" x14ac:dyDescent="0.2">
      <c r="A8625" t="s">
        <v>318</v>
      </c>
      <c r="B8625" t="s">
        <v>133</v>
      </c>
      <c r="C8625" t="s">
        <v>2</v>
      </c>
      <c r="D8625">
        <v>1011</v>
      </c>
      <c r="E8625">
        <v>2019</v>
      </c>
      <c r="F8625">
        <v>7</v>
      </c>
      <c r="G8625">
        <v>8051</v>
      </c>
      <c r="H8625" s="1">
        <v>0</v>
      </c>
      <c r="I8625">
        <v>16</v>
      </c>
      <c r="J8625">
        <f>IF($H8625=0,1,IF($I8625&lt;=1,2,0))</f>
        <v>1</v>
      </c>
      <c r="K8625">
        <v>7</v>
      </c>
      <c r="L8625">
        <f>IF(AND($J8625=0,$K8625=0),0,1)</f>
        <v>1</v>
      </c>
      <c r="M8625" t="s">
        <v>322</v>
      </c>
    </row>
    <row r="8626" spans="1:13" x14ac:dyDescent="0.2">
      <c r="A8626" t="s">
        <v>318</v>
      </c>
      <c r="B8626" t="s">
        <v>133</v>
      </c>
      <c r="C8626" t="s">
        <v>2</v>
      </c>
      <c r="D8626">
        <v>1011</v>
      </c>
      <c r="E8626">
        <v>2019</v>
      </c>
      <c r="F8626">
        <v>2</v>
      </c>
      <c r="G8626">
        <v>8046</v>
      </c>
      <c r="H8626" s="1">
        <v>0</v>
      </c>
      <c r="I8626">
        <v>15</v>
      </c>
      <c r="J8626">
        <f>IF($H8626=0,1,IF($I8626&lt;=1,2,0))</f>
        <v>1</v>
      </c>
      <c r="K8626">
        <v>7</v>
      </c>
      <c r="L8626">
        <f>IF(AND($J8626=0,$K8626=0),0,1)</f>
        <v>1</v>
      </c>
      <c r="M8626" t="s">
        <v>321</v>
      </c>
    </row>
    <row r="8627" spans="1:13" x14ac:dyDescent="0.2">
      <c r="A8627" t="s">
        <v>318</v>
      </c>
      <c r="B8627" t="s">
        <v>133</v>
      </c>
      <c r="C8627" t="s">
        <v>2</v>
      </c>
      <c r="D8627">
        <v>1011</v>
      </c>
      <c r="E8627">
        <v>2019</v>
      </c>
      <c r="F8627">
        <v>8</v>
      </c>
      <c r="G8627">
        <v>8052</v>
      </c>
      <c r="H8627" s="1">
        <v>0</v>
      </c>
      <c r="I8627">
        <v>15</v>
      </c>
      <c r="J8627">
        <f>IF($H8627=0,1,IF($I8627&lt;=1,2,0))</f>
        <v>1</v>
      </c>
      <c r="K8627">
        <v>7</v>
      </c>
      <c r="L8627">
        <f>IF(AND($J8627=0,$K8627=0),0,1)</f>
        <v>1</v>
      </c>
      <c r="M8627" t="s">
        <v>322</v>
      </c>
    </row>
    <row r="8628" spans="1:13" x14ac:dyDescent="0.2">
      <c r="A8628" t="s">
        <v>318</v>
      </c>
      <c r="B8628" t="s">
        <v>133</v>
      </c>
      <c r="C8628" t="s">
        <v>9</v>
      </c>
      <c r="D8628">
        <v>3000</v>
      </c>
      <c r="E8628">
        <v>2019</v>
      </c>
      <c r="F8628">
        <v>1</v>
      </c>
      <c r="G8628">
        <v>55516</v>
      </c>
      <c r="H8628" s="1" t="s">
        <v>1827</v>
      </c>
      <c r="I8628">
        <v>0</v>
      </c>
      <c r="J8628">
        <f>IF($H8628=0,1,IF($I8628&lt;=1,2,0))</f>
        <v>2</v>
      </c>
      <c r="K8628">
        <v>0</v>
      </c>
      <c r="L8628">
        <f>IF(AND($J8628=0,$K8628=0),0,1)</f>
        <v>1</v>
      </c>
    </row>
    <row r="8629" spans="1:13" x14ac:dyDescent="0.2">
      <c r="A8629" t="s">
        <v>318</v>
      </c>
      <c r="B8629" t="s">
        <v>133</v>
      </c>
      <c r="C8629" t="s">
        <v>2</v>
      </c>
      <c r="D8629">
        <v>3014</v>
      </c>
      <c r="E8629">
        <v>2019</v>
      </c>
      <c r="F8629">
        <v>1</v>
      </c>
      <c r="G8629">
        <v>8053</v>
      </c>
      <c r="H8629" s="1">
        <v>3</v>
      </c>
      <c r="I8629">
        <v>4</v>
      </c>
      <c r="J8629">
        <f>IF($H8629=0,1,IF($I8629&lt;=1,2,0))</f>
        <v>0</v>
      </c>
      <c r="K8629">
        <v>7</v>
      </c>
      <c r="L8629">
        <f>IF(AND($J8629=0,$K8629=0),0,1)</f>
        <v>1</v>
      </c>
    </row>
    <row r="8630" spans="1:13" x14ac:dyDescent="0.2">
      <c r="A8630" t="s">
        <v>318</v>
      </c>
      <c r="B8630" t="s">
        <v>133</v>
      </c>
      <c r="C8630" t="s">
        <v>2</v>
      </c>
      <c r="D8630">
        <v>3016</v>
      </c>
      <c r="E8630">
        <v>2019</v>
      </c>
      <c r="F8630">
        <v>1</v>
      </c>
      <c r="G8630">
        <v>8040</v>
      </c>
      <c r="H8630" s="1">
        <v>3</v>
      </c>
      <c r="I8630">
        <v>9</v>
      </c>
      <c r="J8630">
        <f>IF($H8630=0,1,IF($I8630&lt;=1,2,0))</f>
        <v>0</v>
      </c>
      <c r="K8630">
        <v>7</v>
      </c>
      <c r="L8630">
        <f>IF(AND($J8630=0,$K8630=0),0,1)</f>
        <v>1</v>
      </c>
    </row>
    <row r="8631" spans="1:13" x14ac:dyDescent="0.2">
      <c r="A8631" t="s">
        <v>318</v>
      </c>
      <c r="B8631" t="s">
        <v>133</v>
      </c>
      <c r="C8631" t="s">
        <v>2</v>
      </c>
      <c r="D8631">
        <v>3017</v>
      </c>
      <c r="E8631">
        <v>2019</v>
      </c>
      <c r="F8631">
        <v>1</v>
      </c>
      <c r="G8631">
        <v>8054</v>
      </c>
      <c r="H8631" s="1">
        <v>3</v>
      </c>
      <c r="I8631">
        <v>18</v>
      </c>
      <c r="J8631">
        <f>IF($H8631=0,1,IF($I8631&lt;=1,2,0))</f>
        <v>0</v>
      </c>
      <c r="K8631">
        <v>7</v>
      </c>
      <c r="L8631">
        <f>IF(AND($J8631=0,$K8631=0),0,1)</f>
        <v>1</v>
      </c>
    </row>
    <row r="8632" spans="1:13" x14ac:dyDescent="0.2">
      <c r="A8632" t="s">
        <v>318</v>
      </c>
      <c r="B8632" t="s">
        <v>133</v>
      </c>
      <c r="C8632" t="s">
        <v>2</v>
      </c>
      <c r="D8632">
        <v>3023</v>
      </c>
      <c r="E8632">
        <v>2019</v>
      </c>
      <c r="F8632">
        <v>1</v>
      </c>
      <c r="G8632">
        <v>8056</v>
      </c>
      <c r="H8632" s="1">
        <v>3</v>
      </c>
      <c r="I8632">
        <v>16</v>
      </c>
      <c r="J8632">
        <f>IF($H8632=0,1,IF($I8632&lt;=1,2,0))</f>
        <v>0</v>
      </c>
      <c r="K8632">
        <v>7</v>
      </c>
      <c r="L8632">
        <f>IF(AND($J8632=0,$K8632=0),0,1)</f>
        <v>1</v>
      </c>
    </row>
    <row r="8633" spans="1:13" x14ac:dyDescent="0.2">
      <c r="A8633" t="s">
        <v>318</v>
      </c>
      <c r="B8633" t="s">
        <v>133</v>
      </c>
      <c r="C8633" t="s">
        <v>2</v>
      </c>
      <c r="D8633">
        <v>3033</v>
      </c>
      <c r="E8633">
        <v>2019</v>
      </c>
      <c r="F8633">
        <v>1</v>
      </c>
      <c r="G8633">
        <v>8061</v>
      </c>
      <c r="H8633" s="1">
        <v>3</v>
      </c>
      <c r="I8633">
        <v>18</v>
      </c>
      <c r="J8633">
        <f>IF($H8633=0,1,IF($I8633&lt;=1,2,0))</f>
        <v>0</v>
      </c>
      <c r="K8633">
        <v>7</v>
      </c>
      <c r="L8633">
        <f>IF(AND($J8633=0,$K8633=0),0,1)</f>
        <v>1</v>
      </c>
    </row>
    <row r="8634" spans="1:13" x14ac:dyDescent="0.2">
      <c r="A8634" t="s">
        <v>318</v>
      </c>
      <c r="B8634" t="s">
        <v>133</v>
      </c>
      <c r="C8634" t="s">
        <v>2</v>
      </c>
      <c r="D8634">
        <v>3050</v>
      </c>
      <c r="E8634">
        <v>2019</v>
      </c>
      <c r="F8634">
        <v>1</v>
      </c>
      <c r="G8634">
        <v>8041</v>
      </c>
      <c r="H8634" s="1">
        <v>3</v>
      </c>
      <c r="I8634">
        <v>35</v>
      </c>
      <c r="J8634">
        <f>IF($H8634=0,1,IF($I8634&lt;=1,2,0))</f>
        <v>0</v>
      </c>
      <c r="K8634">
        <v>7</v>
      </c>
      <c r="L8634">
        <f>IF(AND($J8634=0,$K8634=0),0,1)</f>
        <v>1</v>
      </c>
      <c r="M8634" t="s">
        <v>327</v>
      </c>
    </row>
    <row r="8635" spans="1:13" x14ac:dyDescent="0.2">
      <c r="A8635" t="s">
        <v>318</v>
      </c>
      <c r="B8635" t="s">
        <v>133</v>
      </c>
      <c r="C8635" t="s">
        <v>2</v>
      </c>
      <c r="D8635">
        <v>3300</v>
      </c>
      <c r="E8635">
        <v>2019</v>
      </c>
      <c r="F8635">
        <v>1</v>
      </c>
      <c r="G8635">
        <v>8042</v>
      </c>
      <c r="H8635" s="1">
        <v>4</v>
      </c>
      <c r="I8635">
        <v>13</v>
      </c>
      <c r="J8635">
        <f>IF($H8635=0,1,IF($I8635&lt;=1,2,0))</f>
        <v>0</v>
      </c>
      <c r="K8635">
        <v>7</v>
      </c>
      <c r="L8635">
        <f>IF(AND($J8635=0,$K8635=0),0,1)</f>
        <v>1</v>
      </c>
    </row>
    <row r="8636" spans="1:13" x14ac:dyDescent="0.2">
      <c r="A8636" t="s">
        <v>318</v>
      </c>
      <c r="B8636" t="s">
        <v>133</v>
      </c>
      <c r="C8636" t="s">
        <v>2</v>
      </c>
      <c r="D8636">
        <v>3800</v>
      </c>
      <c r="E8636">
        <v>2019</v>
      </c>
      <c r="F8636">
        <v>1</v>
      </c>
      <c r="G8636">
        <v>8057</v>
      </c>
      <c r="H8636" s="1">
        <v>3</v>
      </c>
      <c r="I8636">
        <v>33</v>
      </c>
      <c r="J8636">
        <f>IF($H8636=0,1,IF($I8636&lt;=1,2,0))</f>
        <v>0</v>
      </c>
      <c r="K8636">
        <v>7</v>
      </c>
      <c r="L8636">
        <f>IF(AND($J8636=0,$K8636=0),0,1)</f>
        <v>1</v>
      </c>
      <c r="M8636" t="s">
        <v>328</v>
      </c>
    </row>
    <row r="8637" spans="1:13" x14ac:dyDescent="0.2">
      <c r="A8637" t="s">
        <v>318</v>
      </c>
      <c r="B8637" t="s">
        <v>133</v>
      </c>
      <c r="C8637" t="s">
        <v>2</v>
      </c>
      <c r="D8637">
        <v>3999</v>
      </c>
      <c r="E8637">
        <v>2019</v>
      </c>
      <c r="F8637">
        <v>1</v>
      </c>
      <c r="G8637">
        <v>8060</v>
      </c>
      <c r="H8637" s="1" t="s">
        <v>1823</v>
      </c>
      <c r="I8637">
        <v>1</v>
      </c>
      <c r="J8637">
        <f>IF($H8637=0,1,IF($I8637&lt;=1,2,0))</f>
        <v>2</v>
      </c>
      <c r="K8637">
        <v>7</v>
      </c>
      <c r="L8637">
        <f>IF(AND($J8637=0,$K8637=0),0,1)</f>
        <v>1</v>
      </c>
    </row>
    <row r="8638" spans="1:13" x14ac:dyDescent="0.2">
      <c r="A8638" t="s">
        <v>318</v>
      </c>
      <c r="B8638" t="s">
        <v>133</v>
      </c>
      <c r="C8638" t="s">
        <v>11</v>
      </c>
      <c r="D8638">
        <v>9001</v>
      </c>
      <c r="E8638">
        <v>2019</v>
      </c>
      <c r="F8638">
        <v>1</v>
      </c>
      <c r="G8638">
        <v>55536</v>
      </c>
      <c r="H8638" s="1" t="s">
        <v>1834</v>
      </c>
      <c r="I8638">
        <v>12</v>
      </c>
      <c r="J8638">
        <f>IF($H8638=0,1,IF($I8638&lt;=1,2,0))</f>
        <v>0</v>
      </c>
      <c r="K8638">
        <v>5</v>
      </c>
      <c r="L8638">
        <f>IF(AND($J8638=0,$K8638=0),0,1)</f>
        <v>1</v>
      </c>
    </row>
    <row r="8639" spans="1:13" x14ac:dyDescent="0.2">
      <c r="A8639" t="s">
        <v>318</v>
      </c>
      <c r="B8639" t="s">
        <v>133</v>
      </c>
      <c r="C8639" t="s">
        <v>11</v>
      </c>
      <c r="D8639">
        <v>9524</v>
      </c>
      <c r="E8639">
        <v>2019</v>
      </c>
      <c r="F8639">
        <v>1</v>
      </c>
      <c r="G8639">
        <v>16184</v>
      </c>
      <c r="H8639" s="1">
        <v>1</v>
      </c>
      <c r="I8639">
        <v>7</v>
      </c>
      <c r="J8639">
        <f>IF($H8639=0,1,IF($I8639&lt;=1,2,0))</f>
        <v>0</v>
      </c>
      <c r="K8639">
        <v>5</v>
      </c>
      <c r="L8639">
        <f>IF(AND($J8639=0,$K8639=0),0,1)</f>
        <v>1</v>
      </c>
      <c r="M8639" t="s">
        <v>337</v>
      </c>
    </row>
    <row r="8640" spans="1:13" x14ac:dyDescent="0.2">
      <c r="A8640" t="s">
        <v>318</v>
      </c>
      <c r="B8640" t="s">
        <v>133</v>
      </c>
      <c r="C8640" t="s">
        <v>11</v>
      </c>
      <c r="D8640">
        <v>9600</v>
      </c>
      <c r="E8640">
        <v>2019</v>
      </c>
      <c r="F8640">
        <v>1</v>
      </c>
      <c r="G8640">
        <v>55540</v>
      </c>
      <c r="H8640" s="1" t="s">
        <v>1837</v>
      </c>
      <c r="I8640">
        <v>8</v>
      </c>
      <c r="J8640">
        <f>IF($H8640=0,1,IF($I8640&lt;=1,2,0))</f>
        <v>0</v>
      </c>
      <c r="K8640">
        <v>5</v>
      </c>
      <c r="L8640">
        <f>IF(AND($J8640=0,$K8640=0),0,1)</f>
        <v>1</v>
      </c>
      <c r="M8640" t="s">
        <v>338</v>
      </c>
    </row>
    <row r="8641" spans="1:13" x14ac:dyDescent="0.2">
      <c r="A8641" t="s">
        <v>318</v>
      </c>
      <c r="B8641" t="s">
        <v>133</v>
      </c>
      <c r="C8641" t="s">
        <v>11</v>
      </c>
      <c r="D8641">
        <v>9902</v>
      </c>
      <c r="E8641">
        <v>2019</v>
      </c>
      <c r="F8641">
        <v>1</v>
      </c>
      <c r="G8641">
        <v>17708</v>
      </c>
      <c r="H8641" s="1">
        <v>2</v>
      </c>
      <c r="I8641">
        <v>6</v>
      </c>
      <c r="J8641">
        <f>IF($H8641=0,1,IF($I8641&lt;=1,2,0))</f>
        <v>0</v>
      </c>
      <c r="K8641">
        <v>5</v>
      </c>
      <c r="L8641">
        <f>IF(AND($J8641=0,$K8641=0),0,1)</f>
        <v>1</v>
      </c>
      <c r="M8641" t="s">
        <v>339</v>
      </c>
    </row>
    <row r="8642" spans="1:13" x14ac:dyDescent="0.2">
      <c r="A8642" t="s">
        <v>318</v>
      </c>
      <c r="B8642" t="s">
        <v>133</v>
      </c>
      <c r="C8642" t="s">
        <v>11</v>
      </c>
      <c r="D8642">
        <v>9945</v>
      </c>
      <c r="E8642">
        <v>2019</v>
      </c>
      <c r="F8642">
        <v>2</v>
      </c>
      <c r="G8642">
        <v>17966</v>
      </c>
      <c r="H8642" s="1">
        <v>1</v>
      </c>
      <c r="I8642">
        <v>7</v>
      </c>
      <c r="J8642">
        <f>IF($H8642=0,1,IF($I8642&lt;=1,2,0))</f>
        <v>0</v>
      </c>
      <c r="K8642">
        <v>5</v>
      </c>
      <c r="L8642">
        <f>IF(AND($J8642=0,$K8642=0),0,1)</f>
        <v>1</v>
      </c>
      <c r="M8642" t="s">
        <v>340</v>
      </c>
    </row>
    <row r="8643" spans="1:13" x14ac:dyDescent="0.2">
      <c r="A8643" t="s">
        <v>318</v>
      </c>
      <c r="B8643" t="s">
        <v>133</v>
      </c>
      <c r="C8643" t="s">
        <v>11</v>
      </c>
      <c r="D8643">
        <v>9945</v>
      </c>
      <c r="E8643">
        <v>2019</v>
      </c>
      <c r="F8643">
        <v>1</v>
      </c>
      <c r="G8643">
        <v>55522</v>
      </c>
      <c r="H8643" s="1">
        <v>1</v>
      </c>
      <c r="I8643">
        <v>4</v>
      </c>
      <c r="J8643">
        <f>IF($H8643=0,1,IF($I8643&lt;=1,2,0))</f>
        <v>0</v>
      </c>
      <c r="K8643">
        <v>5</v>
      </c>
      <c r="L8643">
        <f>IF(AND($J8643=0,$K8643=0),0,1)</f>
        <v>1</v>
      </c>
      <c r="M8643" t="s">
        <v>338</v>
      </c>
    </row>
    <row r="8644" spans="1:13" x14ac:dyDescent="0.2">
      <c r="A8644" t="s">
        <v>318</v>
      </c>
      <c r="B8644" t="s">
        <v>133</v>
      </c>
      <c r="C8644" t="s">
        <v>11</v>
      </c>
      <c r="D8644">
        <v>9945</v>
      </c>
      <c r="E8644">
        <v>2019</v>
      </c>
      <c r="F8644">
        <v>3</v>
      </c>
      <c r="G8644">
        <v>18693</v>
      </c>
      <c r="H8644" s="1">
        <v>1</v>
      </c>
      <c r="I8644">
        <v>3</v>
      </c>
      <c r="J8644">
        <f>IF($H8644=0,1,IF($I8644&lt;=1,2,0))</f>
        <v>0</v>
      </c>
      <c r="K8644">
        <v>5</v>
      </c>
      <c r="L8644">
        <f>IF(AND($J8644=0,$K8644=0),0,1)</f>
        <v>1</v>
      </c>
      <c r="M8644" t="s">
        <v>341</v>
      </c>
    </row>
    <row r="8645" spans="1:13" x14ac:dyDescent="0.2">
      <c r="A8645" t="s">
        <v>318</v>
      </c>
      <c r="B8645" t="s">
        <v>133</v>
      </c>
      <c r="C8645" t="s">
        <v>11</v>
      </c>
      <c r="D8645">
        <v>9947</v>
      </c>
      <c r="E8645">
        <v>2019</v>
      </c>
      <c r="F8645">
        <v>1</v>
      </c>
      <c r="G8645">
        <v>17799</v>
      </c>
      <c r="H8645" s="1" t="s">
        <v>1837</v>
      </c>
      <c r="I8645">
        <v>5</v>
      </c>
      <c r="J8645">
        <f>IF($H8645=0,1,IF($I8645&lt;=1,2,0))</f>
        <v>0</v>
      </c>
      <c r="K8645">
        <v>5</v>
      </c>
      <c r="L8645">
        <f>IF(AND($J8645=0,$K8645=0),0,1)</f>
        <v>1</v>
      </c>
      <c r="M8645" t="s">
        <v>342</v>
      </c>
    </row>
    <row r="8646" spans="1:13" x14ac:dyDescent="0.2">
      <c r="A8646" t="s">
        <v>343</v>
      </c>
      <c r="B8646" t="s">
        <v>6</v>
      </c>
      <c r="C8646" t="s">
        <v>11</v>
      </c>
      <c r="D8646">
        <v>5999</v>
      </c>
      <c r="E8646">
        <v>2019</v>
      </c>
      <c r="F8646">
        <v>1</v>
      </c>
      <c r="G8646">
        <v>10612</v>
      </c>
      <c r="H8646" s="1" t="s">
        <v>1823</v>
      </c>
      <c r="I8646">
        <v>1</v>
      </c>
      <c r="J8646">
        <f>IF($H8646=0,1,IF($I8646&lt;=1,2,0))</f>
        <v>2</v>
      </c>
      <c r="K8646">
        <v>0</v>
      </c>
      <c r="L8646">
        <f>IF(AND($J8646=0,$K8646=0),0,1)</f>
        <v>1</v>
      </c>
    </row>
    <row r="8647" spans="1:13" x14ac:dyDescent="0.2">
      <c r="A8647" t="s">
        <v>343</v>
      </c>
      <c r="B8647" t="s">
        <v>6</v>
      </c>
      <c r="C8647" t="s">
        <v>11</v>
      </c>
      <c r="D8647">
        <v>6999</v>
      </c>
      <c r="E8647">
        <v>2019</v>
      </c>
      <c r="F8647">
        <v>1</v>
      </c>
      <c r="G8647">
        <v>64837</v>
      </c>
      <c r="H8647" s="1">
        <v>4</v>
      </c>
      <c r="I8647">
        <v>1</v>
      </c>
      <c r="J8647">
        <f>IF($H8647=0,1,IF($I8647&lt;=1,2,0))</f>
        <v>2</v>
      </c>
      <c r="K8647">
        <v>9</v>
      </c>
      <c r="L8647">
        <f>IF(AND($J8647=0,$K8647=0),0,1)</f>
        <v>1</v>
      </c>
    </row>
    <row r="8648" spans="1:13" x14ac:dyDescent="0.2">
      <c r="A8648" t="s">
        <v>343</v>
      </c>
      <c r="B8648" t="s">
        <v>6</v>
      </c>
      <c r="C8648" t="s">
        <v>11</v>
      </c>
      <c r="D8648">
        <v>6999</v>
      </c>
      <c r="E8648">
        <v>2019</v>
      </c>
      <c r="F8648">
        <v>2</v>
      </c>
      <c r="G8648">
        <v>17925</v>
      </c>
      <c r="H8648" s="1" t="s">
        <v>1832</v>
      </c>
      <c r="I8648">
        <v>1</v>
      </c>
      <c r="J8648">
        <f>IF($H8648=0,1,IF($I8648&lt;=1,2,0))</f>
        <v>2</v>
      </c>
      <c r="K8648">
        <v>9</v>
      </c>
      <c r="L8648">
        <f>IF(AND($J8648=0,$K8648=0),0,1)</f>
        <v>1</v>
      </c>
    </row>
    <row r="8649" spans="1:13" x14ac:dyDescent="0.2">
      <c r="A8649" t="s">
        <v>343</v>
      </c>
      <c r="B8649" t="s">
        <v>6</v>
      </c>
      <c r="C8649" t="s">
        <v>11</v>
      </c>
      <c r="D8649">
        <v>6999</v>
      </c>
      <c r="E8649">
        <v>2019</v>
      </c>
      <c r="F8649">
        <v>3</v>
      </c>
      <c r="G8649">
        <v>18913</v>
      </c>
      <c r="H8649" s="1" t="s">
        <v>1832</v>
      </c>
      <c r="I8649">
        <v>1</v>
      </c>
      <c r="J8649">
        <f>IF($H8649=0,1,IF($I8649&lt;=1,2,0))</f>
        <v>2</v>
      </c>
      <c r="K8649">
        <v>9</v>
      </c>
      <c r="L8649">
        <f>IF(AND($J8649=0,$K8649=0),0,1)</f>
        <v>1</v>
      </c>
    </row>
    <row r="8650" spans="1:13" x14ac:dyDescent="0.2">
      <c r="A8650" t="s">
        <v>343</v>
      </c>
      <c r="B8650" t="s">
        <v>6</v>
      </c>
      <c r="C8650" t="s">
        <v>11</v>
      </c>
      <c r="D8650">
        <v>6999</v>
      </c>
      <c r="E8650">
        <v>2019</v>
      </c>
      <c r="F8650">
        <v>4</v>
      </c>
      <c r="G8650">
        <v>19035</v>
      </c>
      <c r="H8650" s="1" t="s">
        <v>1832</v>
      </c>
      <c r="I8650">
        <v>1</v>
      </c>
      <c r="J8650">
        <f>IF($H8650=0,1,IF($I8650&lt;=1,2,0))</f>
        <v>2</v>
      </c>
      <c r="K8650">
        <v>9</v>
      </c>
      <c r="L8650">
        <f>IF(AND($J8650=0,$K8650=0),0,1)</f>
        <v>1</v>
      </c>
    </row>
    <row r="8651" spans="1:13" x14ac:dyDescent="0.2">
      <c r="A8651" t="s">
        <v>344</v>
      </c>
      <c r="B8651" t="s">
        <v>71</v>
      </c>
      <c r="C8651" t="s">
        <v>72</v>
      </c>
      <c r="D8651">
        <v>3081</v>
      </c>
      <c r="E8651">
        <v>2019</v>
      </c>
      <c r="F8651">
        <v>4</v>
      </c>
      <c r="G8651">
        <v>17812</v>
      </c>
      <c r="H8651" s="1">
        <v>1</v>
      </c>
      <c r="I8651">
        <v>24</v>
      </c>
      <c r="J8651">
        <f>IF($H8651=0,1,IF($I8651&lt;=1,2,0))</f>
        <v>0</v>
      </c>
      <c r="K8651">
        <v>8</v>
      </c>
      <c r="L8651">
        <f>IF(AND($J8651=0,$K8651=0),0,1)</f>
        <v>1</v>
      </c>
    </row>
    <row r="8652" spans="1:13" x14ac:dyDescent="0.2">
      <c r="A8652" t="s">
        <v>344</v>
      </c>
      <c r="B8652" t="s">
        <v>71</v>
      </c>
      <c r="C8652" t="s">
        <v>72</v>
      </c>
      <c r="D8652">
        <v>3081</v>
      </c>
      <c r="E8652">
        <v>2019</v>
      </c>
      <c r="F8652">
        <v>1</v>
      </c>
      <c r="G8652">
        <v>98652</v>
      </c>
      <c r="H8652" s="1">
        <v>1</v>
      </c>
      <c r="I8652">
        <v>19</v>
      </c>
      <c r="J8652">
        <f>IF($H8652=0,1,IF($I8652&lt;=1,2,0))</f>
        <v>0</v>
      </c>
      <c r="K8652">
        <v>8</v>
      </c>
      <c r="L8652">
        <f>IF(AND($J8652=0,$K8652=0),0,1)</f>
        <v>1</v>
      </c>
    </row>
    <row r="8653" spans="1:13" x14ac:dyDescent="0.2">
      <c r="A8653" t="s">
        <v>344</v>
      </c>
      <c r="B8653" t="s">
        <v>71</v>
      </c>
      <c r="C8653" t="s">
        <v>72</v>
      </c>
      <c r="D8653">
        <v>3081</v>
      </c>
      <c r="E8653">
        <v>2019</v>
      </c>
      <c r="F8653">
        <v>3</v>
      </c>
      <c r="G8653">
        <v>98650</v>
      </c>
      <c r="H8653" s="1">
        <v>1</v>
      </c>
      <c r="I8653">
        <v>18</v>
      </c>
      <c r="J8653">
        <f>IF($H8653=0,1,IF($I8653&lt;=1,2,0))</f>
        <v>0</v>
      </c>
      <c r="K8653">
        <v>8</v>
      </c>
      <c r="L8653">
        <f>IF(AND($J8653=0,$K8653=0),0,1)</f>
        <v>1</v>
      </c>
    </row>
    <row r="8654" spans="1:13" x14ac:dyDescent="0.2">
      <c r="A8654" t="s">
        <v>344</v>
      </c>
      <c r="B8654" t="s">
        <v>71</v>
      </c>
      <c r="C8654" t="s">
        <v>72</v>
      </c>
      <c r="D8654">
        <v>3081</v>
      </c>
      <c r="E8654">
        <v>2019</v>
      </c>
      <c r="F8654">
        <v>2</v>
      </c>
      <c r="G8654">
        <v>98651</v>
      </c>
      <c r="H8654" s="1">
        <v>1</v>
      </c>
      <c r="I8654">
        <v>7</v>
      </c>
      <c r="J8654">
        <f>IF($H8654=0,1,IF($I8654&lt;=1,2,0))</f>
        <v>0</v>
      </c>
      <c r="K8654">
        <v>8</v>
      </c>
      <c r="L8654">
        <f>IF(AND($J8654=0,$K8654=0),0,1)</f>
        <v>1</v>
      </c>
    </row>
    <row r="8655" spans="1:13" x14ac:dyDescent="0.2">
      <c r="A8655" t="s">
        <v>344</v>
      </c>
      <c r="B8655" t="s">
        <v>71</v>
      </c>
      <c r="C8655" t="s">
        <v>72</v>
      </c>
      <c r="D8655">
        <v>3084</v>
      </c>
      <c r="E8655">
        <v>2019</v>
      </c>
      <c r="F8655">
        <v>1</v>
      </c>
      <c r="G8655">
        <v>98811</v>
      </c>
      <c r="H8655" s="1">
        <v>1</v>
      </c>
      <c r="I8655">
        <v>23</v>
      </c>
      <c r="J8655">
        <f>IF($H8655=0,1,IF($I8655&lt;=1,2,0))</f>
        <v>0</v>
      </c>
      <c r="K8655">
        <v>8</v>
      </c>
      <c r="L8655">
        <f>IF(AND($J8655=0,$K8655=0),0,1)</f>
        <v>1</v>
      </c>
    </row>
    <row r="8656" spans="1:13" x14ac:dyDescent="0.2">
      <c r="A8656" t="s">
        <v>344</v>
      </c>
      <c r="B8656" t="s">
        <v>71</v>
      </c>
      <c r="C8656" t="s">
        <v>72</v>
      </c>
      <c r="D8656">
        <v>3084</v>
      </c>
      <c r="E8656">
        <v>2019</v>
      </c>
      <c r="F8656">
        <v>2</v>
      </c>
      <c r="G8656">
        <v>98809</v>
      </c>
      <c r="H8656" s="1">
        <v>1</v>
      </c>
      <c r="I8656">
        <v>22</v>
      </c>
      <c r="J8656">
        <f>IF($H8656=0,1,IF($I8656&lt;=1,2,0))</f>
        <v>0</v>
      </c>
      <c r="K8656">
        <v>8</v>
      </c>
      <c r="L8656">
        <f>IF(AND($J8656=0,$K8656=0),0,1)</f>
        <v>1</v>
      </c>
    </row>
    <row r="8657" spans="1:13" x14ac:dyDescent="0.2">
      <c r="A8657" t="s">
        <v>344</v>
      </c>
      <c r="B8657" t="s">
        <v>71</v>
      </c>
      <c r="C8657" t="s">
        <v>72</v>
      </c>
      <c r="D8657">
        <v>3084</v>
      </c>
      <c r="E8657">
        <v>2019</v>
      </c>
      <c r="F8657">
        <v>3</v>
      </c>
      <c r="G8657">
        <v>98807</v>
      </c>
      <c r="H8657" s="1">
        <v>1</v>
      </c>
      <c r="I8657">
        <v>16</v>
      </c>
      <c r="J8657">
        <f>IF($H8657=0,1,IF($I8657&lt;=1,2,0))</f>
        <v>0</v>
      </c>
      <c r="K8657">
        <v>8</v>
      </c>
      <c r="L8657">
        <f>IF(AND($J8657=0,$K8657=0),0,1)</f>
        <v>1</v>
      </c>
    </row>
    <row r="8658" spans="1:13" x14ac:dyDescent="0.2">
      <c r="A8658" t="s">
        <v>344</v>
      </c>
      <c r="B8658" t="s">
        <v>71</v>
      </c>
      <c r="C8658" t="s">
        <v>72</v>
      </c>
      <c r="D8658">
        <v>3106</v>
      </c>
      <c r="E8658">
        <v>2019</v>
      </c>
      <c r="F8658" t="s">
        <v>59</v>
      </c>
      <c r="G8658">
        <v>18169</v>
      </c>
      <c r="H8658" s="1">
        <v>0</v>
      </c>
      <c r="I8658">
        <v>1</v>
      </c>
      <c r="J8658">
        <f>IF($H8658=0,1,IF($I8658&lt;=1,2,0))</f>
        <v>1</v>
      </c>
      <c r="K8658">
        <v>0</v>
      </c>
      <c r="L8658">
        <f>IF(AND($J8658=0,$K8658=0),0,1)</f>
        <v>1</v>
      </c>
      <c r="M8658" t="s">
        <v>280</v>
      </c>
    </row>
    <row r="8659" spans="1:13" x14ac:dyDescent="0.2">
      <c r="A8659" t="s">
        <v>344</v>
      </c>
      <c r="B8659" t="s">
        <v>71</v>
      </c>
      <c r="C8659" t="s">
        <v>72</v>
      </c>
      <c r="D8659">
        <v>3998</v>
      </c>
      <c r="E8659">
        <v>2019</v>
      </c>
      <c r="F8659">
        <v>2</v>
      </c>
      <c r="G8659">
        <v>98745</v>
      </c>
      <c r="H8659" s="1" t="s">
        <v>1840</v>
      </c>
      <c r="I8659">
        <v>1</v>
      </c>
      <c r="J8659">
        <f>IF($H8659=0,1,IF($I8659&lt;=1,2,0))</f>
        <v>2</v>
      </c>
      <c r="K8659">
        <v>9</v>
      </c>
      <c r="L8659">
        <f>IF(AND($J8659=0,$K8659=0),0,1)</f>
        <v>1</v>
      </c>
    </row>
    <row r="8660" spans="1:13" x14ac:dyDescent="0.2">
      <c r="A8660" t="s">
        <v>344</v>
      </c>
      <c r="B8660" t="s">
        <v>71</v>
      </c>
      <c r="C8660" t="s">
        <v>72</v>
      </c>
      <c r="D8660">
        <v>3998</v>
      </c>
      <c r="E8660">
        <v>2019</v>
      </c>
      <c r="F8660">
        <v>13</v>
      </c>
      <c r="G8660">
        <v>98734</v>
      </c>
      <c r="H8660" s="1" t="s">
        <v>1840</v>
      </c>
      <c r="I8660">
        <v>1</v>
      </c>
      <c r="J8660">
        <f>IF($H8660=0,1,IF($I8660&lt;=1,2,0))</f>
        <v>2</v>
      </c>
      <c r="K8660">
        <v>9</v>
      </c>
      <c r="L8660">
        <f>IF(AND($J8660=0,$K8660=0),0,1)</f>
        <v>1</v>
      </c>
    </row>
    <row r="8661" spans="1:13" x14ac:dyDescent="0.2">
      <c r="A8661" t="s">
        <v>344</v>
      </c>
      <c r="B8661" t="s">
        <v>71</v>
      </c>
      <c r="C8661" t="s">
        <v>72</v>
      </c>
      <c r="D8661">
        <v>3998</v>
      </c>
      <c r="E8661">
        <v>2019</v>
      </c>
      <c r="F8661">
        <v>19</v>
      </c>
      <c r="G8661">
        <v>98728</v>
      </c>
      <c r="H8661" s="1" t="s">
        <v>1840</v>
      </c>
      <c r="I8661">
        <v>1</v>
      </c>
      <c r="J8661">
        <f>IF($H8661=0,1,IF($I8661&lt;=1,2,0))</f>
        <v>2</v>
      </c>
      <c r="K8661">
        <v>9</v>
      </c>
      <c r="L8661">
        <f>IF(AND($J8661=0,$K8661=0),0,1)</f>
        <v>1</v>
      </c>
    </row>
    <row r="8662" spans="1:13" x14ac:dyDescent="0.2">
      <c r="A8662" t="s">
        <v>344</v>
      </c>
      <c r="B8662" t="s">
        <v>71</v>
      </c>
      <c r="C8662" t="s">
        <v>72</v>
      </c>
      <c r="D8662">
        <v>3998</v>
      </c>
      <c r="E8662">
        <v>2019</v>
      </c>
      <c r="F8662">
        <v>24</v>
      </c>
      <c r="G8662">
        <v>98723</v>
      </c>
      <c r="H8662" s="1" t="s">
        <v>1840</v>
      </c>
      <c r="I8662">
        <v>1</v>
      </c>
      <c r="J8662">
        <f>IF($H8662=0,1,IF($I8662&lt;=1,2,0))</f>
        <v>2</v>
      </c>
      <c r="K8662">
        <v>9</v>
      </c>
      <c r="L8662">
        <f>IF(AND($J8662=0,$K8662=0),0,1)</f>
        <v>1</v>
      </c>
    </row>
    <row r="8663" spans="1:13" x14ac:dyDescent="0.2">
      <c r="A8663" t="s">
        <v>344</v>
      </c>
      <c r="B8663" t="s">
        <v>71</v>
      </c>
      <c r="C8663" t="s">
        <v>72</v>
      </c>
      <c r="D8663">
        <v>3998</v>
      </c>
      <c r="E8663">
        <v>2019</v>
      </c>
      <c r="F8663">
        <v>1</v>
      </c>
      <c r="G8663">
        <v>98746</v>
      </c>
      <c r="H8663" s="1" t="s">
        <v>1840</v>
      </c>
      <c r="I8663">
        <v>0</v>
      </c>
      <c r="J8663">
        <f>IF($H8663=0,1,IF($I8663&lt;=1,2,0))</f>
        <v>2</v>
      </c>
      <c r="K8663">
        <v>9</v>
      </c>
      <c r="L8663">
        <f>IF(AND($J8663=0,$K8663=0),0,1)</f>
        <v>1</v>
      </c>
    </row>
    <row r="8664" spans="1:13" x14ac:dyDescent="0.2">
      <c r="A8664" t="s">
        <v>344</v>
      </c>
      <c r="B8664" t="s">
        <v>71</v>
      </c>
      <c r="C8664" t="s">
        <v>72</v>
      </c>
      <c r="D8664">
        <v>3998</v>
      </c>
      <c r="E8664">
        <v>2019</v>
      </c>
      <c r="F8664">
        <v>3</v>
      </c>
      <c r="G8664">
        <v>98744</v>
      </c>
      <c r="H8664" s="1" t="s">
        <v>1840</v>
      </c>
      <c r="I8664">
        <v>0</v>
      </c>
      <c r="J8664">
        <f>IF($H8664=0,1,IF($I8664&lt;=1,2,0))</f>
        <v>2</v>
      </c>
      <c r="K8664">
        <v>9</v>
      </c>
      <c r="L8664">
        <f>IF(AND($J8664=0,$K8664=0),0,1)</f>
        <v>1</v>
      </c>
    </row>
    <row r="8665" spans="1:13" x14ac:dyDescent="0.2">
      <c r="A8665" t="s">
        <v>344</v>
      </c>
      <c r="B8665" t="s">
        <v>71</v>
      </c>
      <c r="C8665" t="s">
        <v>72</v>
      </c>
      <c r="D8665">
        <v>3998</v>
      </c>
      <c r="E8665">
        <v>2019</v>
      </c>
      <c r="F8665">
        <v>4</v>
      </c>
      <c r="G8665">
        <v>98743</v>
      </c>
      <c r="H8665" s="1" t="s">
        <v>1840</v>
      </c>
      <c r="I8665">
        <v>0</v>
      </c>
      <c r="J8665">
        <f>IF($H8665=0,1,IF($I8665&lt;=1,2,0))</f>
        <v>2</v>
      </c>
      <c r="K8665">
        <v>9</v>
      </c>
      <c r="L8665">
        <f>IF(AND($J8665=0,$K8665=0),0,1)</f>
        <v>1</v>
      </c>
    </row>
    <row r="8666" spans="1:13" x14ac:dyDescent="0.2">
      <c r="A8666" t="s">
        <v>344</v>
      </c>
      <c r="B8666" t="s">
        <v>71</v>
      </c>
      <c r="C8666" t="s">
        <v>72</v>
      </c>
      <c r="D8666">
        <v>3998</v>
      </c>
      <c r="E8666">
        <v>2019</v>
      </c>
      <c r="F8666">
        <v>5</v>
      </c>
      <c r="G8666">
        <v>98742</v>
      </c>
      <c r="H8666" s="1" t="s">
        <v>1840</v>
      </c>
      <c r="I8666">
        <v>0</v>
      </c>
      <c r="J8666">
        <f>IF($H8666=0,1,IF($I8666&lt;=1,2,0))</f>
        <v>2</v>
      </c>
      <c r="K8666">
        <v>9</v>
      </c>
      <c r="L8666">
        <f>IF(AND($J8666=0,$K8666=0),0,1)</f>
        <v>1</v>
      </c>
    </row>
    <row r="8667" spans="1:13" x14ac:dyDescent="0.2">
      <c r="A8667" t="s">
        <v>344</v>
      </c>
      <c r="B8667" t="s">
        <v>71</v>
      </c>
      <c r="C8667" t="s">
        <v>72</v>
      </c>
      <c r="D8667">
        <v>3998</v>
      </c>
      <c r="E8667">
        <v>2019</v>
      </c>
      <c r="F8667">
        <v>6</v>
      </c>
      <c r="G8667">
        <v>98741</v>
      </c>
      <c r="H8667" s="1" t="s">
        <v>1840</v>
      </c>
      <c r="I8667">
        <v>0</v>
      </c>
      <c r="J8667">
        <f>IF($H8667=0,1,IF($I8667&lt;=1,2,0))</f>
        <v>2</v>
      </c>
      <c r="K8667">
        <v>9</v>
      </c>
      <c r="L8667">
        <f>IF(AND($J8667=0,$K8667=0),0,1)</f>
        <v>1</v>
      </c>
    </row>
    <row r="8668" spans="1:13" x14ac:dyDescent="0.2">
      <c r="A8668" t="s">
        <v>344</v>
      </c>
      <c r="B8668" t="s">
        <v>71</v>
      </c>
      <c r="C8668" t="s">
        <v>72</v>
      </c>
      <c r="D8668">
        <v>3998</v>
      </c>
      <c r="E8668">
        <v>2019</v>
      </c>
      <c r="F8668">
        <v>7</v>
      </c>
      <c r="G8668">
        <v>98740</v>
      </c>
      <c r="H8668" s="1" t="s">
        <v>1840</v>
      </c>
      <c r="I8668">
        <v>0</v>
      </c>
      <c r="J8668">
        <f>IF($H8668=0,1,IF($I8668&lt;=1,2,0))</f>
        <v>2</v>
      </c>
      <c r="K8668">
        <v>9</v>
      </c>
      <c r="L8668">
        <f>IF(AND($J8668=0,$K8668=0),0,1)</f>
        <v>1</v>
      </c>
    </row>
    <row r="8669" spans="1:13" x14ac:dyDescent="0.2">
      <c r="A8669" t="s">
        <v>344</v>
      </c>
      <c r="B8669" t="s">
        <v>71</v>
      </c>
      <c r="C8669" t="s">
        <v>72</v>
      </c>
      <c r="D8669">
        <v>3998</v>
      </c>
      <c r="E8669">
        <v>2019</v>
      </c>
      <c r="F8669">
        <v>8</v>
      </c>
      <c r="G8669">
        <v>98739</v>
      </c>
      <c r="H8669" s="1" t="s">
        <v>1840</v>
      </c>
      <c r="I8669">
        <v>0</v>
      </c>
      <c r="J8669">
        <f>IF($H8669=0,1,IF($I8669&lt;=1,2,0))</f>
        <v>2</v>
      </c>
      <c r="K8669">
        <v>9</v>
      </c>
      <c r="L8669">
        <f>IF(AND($J8669=0,$K8669=0),0,1)</f>
        <v>1</v>
      </c>
    </row>
    <row r="8670" spans="1:13" x14ac:dyDescent="0.2">
      <c r="A8670" t="s">
        <v>344</v>
      </c>
      <c r="B8670" t="s">
        <v>71</v>
      </c>
      <c r="C8670" t="s">
        <v>72</v>
      </c>
      <c r="D8670">
        <v>3998</v>
      </c>
      <c r="E8670">
        <v>2019</v>
      </c>
      <c r="F8670">
        <v>9</v>
      </c>
      <c r="G8670">
        <v>98738</v>
      </c>
      <c r="H8670" s="1" t="s">
        <v>1840</v>
      </c>
      <c r="I8670">
        <v>0</v>
      </c>
      <c r="J8670">
        <f>IF($H8670=0,1,IF($I8670&lt;=1,2,0))</f>
        <v>2</v>
      </c>
      <c r="K8670">
        <v>9</v>
      </c>
      <c r="L8670">
        <f>IF(AND($J8670=0,$K8670=0),0,1)</f>
        <v>1</v>
      </c>
    </row>
    <row r="8671" spans="1:13" x14ac:dyDescent="0.2">
      <c r="A8671" t="s">
        <v>344</v>
      </c>
      <c r="B8671" t="s">
        <v>71</v>
      </c>
      <c r="C8671" t="s">
        <v>72</v>
      </c>
      <c r="D8671">
        <v>3998</v>
      </c>
      <c r="E8671">
        <v>2019</v>
      </c>
      <c r="F8671">
        <v>10</v>
      </c>
      <c r="G8671">
        <v>98737</v>
      </c>
      <c r="H8671" s="1" t="s">
        <v>1840</v>
      </c>
      <c r="I8671">
        <v>0</v>
      </c>
      <c r="J8671">
        <f>IF($H8671=0,1,IF($I8671&lt;=1,2,0))</f>
        <v>2</v>
      </c>
      <c r="K8671">
        <v>9</v>
      </c>
      <c r="L8671">
        <f>IF(AND($J8671=0,$K8671=0),0,1)</f>
        <v>1</v>
      </c>
    </row>
    <row r="8672" spans="1:13" x14ac:dyDescent="0.2">
      <c r="A8672" t="s">
        <v>344</v>
      </c>
      <c r="B8672" t="s">
        <v>71</v>
      </c>
      <c r="C8672" t="s">
        <v>72</v>
      </c>
      <c r="D8672">
        <v>3998</v>
      </c>
      <c r="E8672">
        <v>2019</v>
      </c>
      <c r="F8672">
        <v>11</v>
      </c>
      <c r="G8672">
        <v>98736</v>
      </c>
      <c r="H8672" s="1" t="s">
        <v>1840</v>
      </c>
      <c r="I8672">
        <v>0</v>
      </c>
      <c r="J8672">
        <f>IF($H8672=0,1,IF($I8672&lt;=1,2,0))</f>
        <v>2</v>
      </c>
      <c r="K8672">
        <v>9</v>
      </c>
      <c r="L8672">
        <f>IF(AND($J8672=0,$K8672=0),0,1)</f>
        <v>1</v>
      </c>
    </row>
    <row r="8673" spans="1:12" x14ac:dyDescent="0.2">
      <c r="A8673" t="s">
        <v>344</v>
      </c>
      <c r="B8673" t="s">
        <v>71</v>
      </c>
      <c r="C8673" t="s">
        <v>72</v>
      </c>
      <c r="D8673">
        <v>3998</v>
      </c>
      <c r="E8673">
        <v>2019</v>
      </c>
      <c r="F8673">
        <v>12</v>
      </c>
      <c r="G8673">
        <v>98735</v>
      </c>
      <c r="H8673" s="1" t="s">
        <v>1840</v>
      </c>
      <c r="I8673">
        <v>0</v>
      </c>
      <c r="J8673">
        <f>IF($H8673=0,1,IF($I8673&lt;=1,2,0))</f>
        <v>2</v>
      </c>
      <c r="K8673">
        <v>9</v>
      </c>
      <c r="L8673">
        <f>IF(AND($J8673=0,$K8673=0),0,1)</f>
        <v>1</v>
      </c>
    </row>
    <row r="8674" spans="1:12" x14ac:dyDescent="0.2">
      <c r="A8674" t="s">
        <v>344</v>
      </c>
      <c r="B8674" t="s">
        <v>71</v>
      </c>
      <c r="C8674" t="s">
        <v>72</v>
      </c>
      <c r="D8674">
        <v>3998</v>
      </c>
      <c r="E8674">
        <v>2019</v>
      </c>
      <c r="F8674">
        <v>14</v>
      </c>
      <c r="G8674">
        <v>98733</v>
      </c>
      <c r="H8674" s="1" t="s">
        <v>1840</v>
      </c>
      <c r="I8674">
        <v>0</v>
      </c>
      <c r="J8674">
        <f>IF($H8674=0,1,IF($I8674&lt;=1,2,0))</f>
        <v>2</v>
      </c>
      <c r="K8674">
        <v>9</v>
      </c>
      <c r="L8674">
        <f>IF(AND($J8674=0,$K8674=0),0,1)</f>
        <v>1</v>
      </c>
    </row>
    <row r="8675" spans="1:12" x14ac:dyDescent="0.2">
      <c r="A8675" t="s">
        <v>344</v>
      </c>
      <c r="B8675" t="s">
        <v>71</v>
      </c>
      <c r="C8675" t="s">
        <v>72</v>
      </c>
      <c r="D8675">
        <v>3998</v>
      </c>
      <c r="E8675">
        <v>2019</v>
      </c>
      <c r="F8675">
        <v>15</v>
      </c>
      <c r="G8675">
        <v>98732</v>
      </c>
      <c r="H8675" s="1" t="s">
        <v>1840</v>
      </c>
      <c r="I8675">
        <v>0</v>
      </c>
      <c r="J8675">
        <f>IF($H8675=0,1,IF($I8675&lt;=1,2,0))</f>
        <v>2</v>
      </c>
      <c r="K8675">
        <v>9</v>
      </c>
      <c r="L8675">
        <f>IF(AND($J8675=0,$K8675=0),0,1)</f>
        <v>1</v>
      </c>
    </row>
    <row r="8676" spans="1:12" x14ac:dyDescent="0.2">
      <c r="A8676" t="s">
        <v>344</v>
      </c>
      <c r="B8676" t="s">
        <v>71</v>
      </c>
      <c r="C8676" t="s">
        <v>72</v>
      </c>
      <c r="D8676">
        <v>3998</v>
      </c>
      <c r="E8676">
        <v>2019</v>
      </c>
      <c r="F8676">
        <v>16</v>
      </c>
      <c r="G8676">
        <v>98731</v>
      </c>
      <c r="H8676" s="1" t="s">
        <v>1840</v>
      </c>
      <c r="I8676">
        <v>0</v>
      </c>
      <c r="J8676">
        <f>IF($H8676=0,1,IF($I8676&lt;=1,2,0))</f>
        <v>2</v>
      </c>
      <c r="K8676">
        <v>9</v>
      </c>
      <c r="L8676">
        <f>IF(AND($J8676=0,$K8676=0),0,1)</f>
        <v>1</v>
      </c>
    </row>
    <row r="8677" spans="1:12" x14ac:dyDescent="0.2">
      <c r="A8677" t="s">
        <v>344</v>
      </c>
      <c r="B8677" t="s">
        <v>71</v>
      </c>
      <c r="C8677" t="s">
        <v>72</v>
      </c>
      <c r="D8677">
        <v>3998</v>
      </c>
      <c r="E8677">
        <v>2019</v>
      </c>
      <c r="F8677">
        <v>17</v>
      </c>
      <c r="G8677">
        <v>98730</v>
      </c>
      <c r="H8677" s="1" t="s">
        <v>1840</v>
      </c>
      <c r="I8677">
        <v>0</v>
      </c>
      <c r="J8677">
        <f>IF($H8677=0,1,IF($I8677&lt;=1,2,0))</f>
        <v>2</v>
      </c>
      <c r="K8677">
        <v>9</v>
      </c>
      <c r="L8677">
        <f>IF(AND($J8677=0,$K8677=0),0,1)</f>
        <v>1</v>
      </c>
    </row>
    <row r="8678" spans="1:12" x14ac:dyDescent="0.2">
      <c r="A8678" t="s">
        <v>344</v>
      </c>
      <c r="B8678" t="s">
        <v>71</v>
      </c>
      <c r="C8678" t="s">
        <v>72</v>
      </c>
      <c r="D8678">
        <v>3998</v>
      </c>
      <c r="E8678">
        <v>2019</v>
      </c>
      <c r="F8678">
        <v>18</v>
      </c>
      <c r="G8678">
        <v>98729</v>
      </c>
      <c r="H8678" s="1" t="s">
        <v>1840</v>
      </c>
      <c r="I8678">
        <v>0</v>
      </c>
      <c r="J8678">
        <f>IF($H8678=0,1,IF($I8678&lt;=1,2,0))</f>
        <v>2</v>
      </c>
      <c r="K8678">
        <v>9</v>
      </c>
      <c r="L8678">
        <f>IF(AND($J8678=0,$K8678=0),0,1)</f>
        <v>1</v>
      </c>
    </row>
    <row r="8679" spans="1:12" x14ac:dyDescent="0.2">
      <c r="A8679" t="s">
        <v>344</v>
      </c>
      <c r="B8679" t="s">
        <v>71</v>
      </c>
      <c r="C8679" t="s">
        <v>72</v>
      </c>
      <c r="D8679">
        <v>3998</v>
      </c>
      <c r="E8679">
        <v>2019</v>
      </c>
      <c r="F8679">
        <v>20</v>
      </c>
      <c r="G8679">
        <v>98727</v>
      </c>
      <c r="H8679" s="1" t="s">
        <v>1840</v>
      </c>
      <c r="I8679">
        <v>0</v>
      </c>
      <c r="J8679">
        <f>IF($H8679=0,1,IF($I8679&lt;=1,2,0))</f>
        <v>2</v>
      </c>
      <c r="K8679">
        <v>9</v>
      </c>
      <c r="L8679">
        <f>IF(AND($J8679=0,$K8679=0),0,1)</f>
        <v>1</v>
      </c>
    </row>
    <row r="8680" spans="1:12" x14ac:dyDescent="0.2">
      <c r="A8680" t="s">
        <v>344</v>
      </c>
      <c r="B8680" t="s">
        <v>71</v>
      </c>
      <c r="C8680" t="s">
        <v>72</v>
      </c>
      <c r="D8680">
        <v>3998</v>
      </c>
      <c r="E8680">
        <v>2019</v>
      </c>
      <c r="F8680">
        <v>21</v>
      </c>
      <c r="G8680">
        <v>98726</v>
      </c>
      <c r="H8680" s="1" t="s">
        <v>1840</v>
      </c>
      <c r="I8680">
        <v>0</v>
      </c>
      <c r="J8680">
        <f>IF($H8680=0,1,IF($I8680&lt;=1,2,0))</f>
        <v>2</v>
      </c>
      <c r="K8680">
        <v>9</v>
      </c>
      <c r="L8680">
        <f>IF(AND($J8680=0,$K8680=0),0,1)</f>
        <v>1</v>
      </c>
    </row>
    <row r="8681" spans="1:12" x14ac:dyDescent="0.2">
      <c r="A8681" t="s">
        <v>344</v>
      </c>
      <c r="B8681" t="s">
        <v>71</v>
      </c>
      <c r="C8681" t="s">
        <v>72</v>
      </c>
      <c r="D8681">
        <v>3998</v>
      </c>
      <c r="E8681">
        <v>2019</v>
      </c>
      <c r="F8681">
        <v>22</v>
      </c>
      <c r="G8681">
        <v>98725</v>
      </c>
      <c r="H8681" s="1" t="s">
        <v>1840</v>
      </c>
      <c r="I8681">
        <v>0</v>
      </c>
      <c r="J8681">
        <f>IF($H8681=0,1,IF($I8681&lt;=1,2,0))</f>
        <v>2</v>
      </c>
      <c r="K8681">
        <v>9</v>
      </c>
      <c r="L8681">
        <f>IF(AND($J8681=0,$K8681=0),0,1)</f>
        <v>1</v>
      </c>
    </row>
    <row r="8682" spans="1:12" x14ac:dyDescent="0.2">
      <c r="A8682" t="s">
        <v>344</v>
      </c>
      <c r="B8682" t="s">
        <v>71</v>
      </c>
      <c r="C8682" t="s">
        <v>72</v>
      </c>
      <c r="D8682">
        <v>3998</v>
      </c>
      <c r="E8682">
        <v>2019</v>
      </c>
      <c r="F8682">
        <v>23</v>
      </c>
      <c r="G8682">
        <v>98724</v>
      </c>
      <c r="H8682" s="1" t="s">
        <v>1840</v>
      </c>
      <c r="I8682">
        <v>0</v>
      </c>
      <c r="J8682">
        <f>IF($H8682=0,1,IF($I8682&lt;=1,2,0))</f>
        <v>2</v>
      </c>
      <c r="K8682">
        <v>9</v>
      </c>
      <c r="L8682">
        <f>IF(AND($J8682=0,$K8682=0),0,1)</f>
        <v>1</v>
      </c>
    </row>
    <row r="8683" spans="1:12" x14ac:dyDescent="0.2">
      <c r="A8683" t="s">
        <v>344</v>
      </c>
      <c r="B8683" t="s">
        <v>71</v>
      </c>
      <c r="C8683" t="s">
        <v>72</v>
      </c>
      <c r="D8683">
        <v>3998</v>
      </c>
      <c r="E8683">
        <v>2019</v>
      </c>
      <c r="F8683">
        <v>25</v>
      </c>
      <c r="G8683">
        <v>98722</v>
      </c>
      <c r="H8683" s="1" t="s">
        <v>1840</v>
      </c>
      <c r="I8683">
        <v>0</v>
      </c>
      <c r="J8683">
        <f>IF($H8683=0,1,IF($I8683&lt;=1,2,0))</f>
        <v>2</v>
      </c>
      <c r="K8683">
        <v>9</v>
      </c>
      <c r="L8683">
        <f>IF(AND($J8683=0,$K8683=0),0,1)</f>
        <v>1</v>
      </c>
    </row>
    <row r="8684" spans="1:12" x14ac:dyDescent="0.2">
      <c r="A8684" t="s">
        <v>344</v>
      </c>
      <c r="B8684" t="s">
        <v>71</v>
      </c>
      <c r="C8684" t="s">
        <v>72</v>
      </c>
      <c r="D8684">
        <v>3998</v>
      </c>
      <c r="E8684">
        <v>2019</v>
      </c>
      <c r="F8684">
        <v>26</v>
      </c>
      <c r="G8684">
        <v>98721</v>
      </c>
      <c r="H8684" s="1" t="s">
        <v>1840</v>
      </c>
      <c r="I8684">
        <v>0</v>
      </c>
      <c r="J8684">
        <f>IF($H8684=0,1,IF($I8684&lt;=1,2,0))</f>
        <v>2</v>
      </c>
      <c r="K8684">
        <v>9</v>
      </c>
      <c r="L8684">
        <f>IF(AND($J8684=0,$K8684=0),0,1)</f>
        <v>1</v>
      </c>
    </row>
    <row r="8685" spans="1:12" x14ac:dyDescent="0.2">
      <c r="A8685" t="s">
        <v>344</v>
      </c>
      <c r="B8685" t="s">
        <v>71</v>
      </c>
      <c r="C8685" t="s">
        <v>72</v>
      </c>
      <c r="D8685">
        <v>3998</v>
      </c>
      <c r="E8685">
        <v>2019</v>
      </c>
      <c r="F8685">
        <v>27</v>
      </c>
      <c r="G8685">
        <v>98720</v>
      </c>
      <c r="H8685" s="1" t="s">
        <v>1840</v>
      </c>
      <c r="I8685">
        <v>0</v>
      </c>
      <c r="J8685">
        <f>IF($H8685=0,1,IF($I8685&lt;=1,2,0))</f>
        <v>2</v>
      </c>
      <c r="K8685">
        <v>9</v>
      </c>
      <c r="L8685">
        <f>IF(AND($J8685=0,$K8685=0),0,1)</f>
        <v>1</v>
      </c>
    </row>
    <row r="8686" spans="1:12" x14ac:dyDescent="0.2">
      <c r="A8686" t="s">
        <v>344</v>
      </c>
      <c r="B8686" t="s">
        <v>71</v>
      </c>
      <c r="C8686" t="s">
        <v>72</v>
      </c>
      <c r="D8686">
        <v>3998</v>
      </c>
      <c r="E8686">
        <v>2019</v>
      </c>
      <c r="F8686">
        <v>28</v>
      </c>
      <c r="G8686">
        <v>98719</v>
      </c>
      <c r="H8686" s="1" t="s">
        <v>1840</v>
      </c>
      <c r="I8686">
        <v>0</v>
      </c>
      <c r="J8686">
        <f>IF($H8686=0,1,IF($I8686&lt;=1,2,0))</f>
        <v>2</v>
      </c>
      <c r="K8686">
        <v>9</v>
      </c>
      <c r="L8686">
        <f>IF(AND($J8686=0,$K8686=0),0,1)</f>
        <v>1</v>
      </c>
    </row>
    <row r="8687" spans="1:12" x14ac:dyDescent="0.2">
      <c r="A8687" t="s">
        <v>344</v>
      </c>
      <c r="B8687" t="s">
        <v>71</v>
      </c>
      <c r="C8687" t="s">
        <v>72</v>
      </c>
      <c r="D8687">
        <v>3998</v>
      </c>
      <c r="E8687">
        <v>2019</v>
      </c>
      <c r="F8687">
        <v>29</v>
      </c>
      <c r="G8687">
        <v>98718</v>
      </c>
      <c r="H8687" s="1" t="s">
        <v>1840</v>
      </c>
      <c r="I8687">
        <v>0</v>
      </c>
      <c r="J8687">
        <f>IF($H8687=0,1,IF($I8687&lt;=1,2,0))</f>
        <v>2</v>
      </c>
      <c r="K8687">
        <v>9</v>
      </c>
      <c r="L8687">
        <f>IF(AND($J8687=0,$K8687=0),0,1)</f>
        <v>1</v>
      </c>
    </row>
    <row r="8688" spans="1:12" x14ac:dyDescent="0.2">
      <c r="A8688" t="s">
        <v>344</v>
      </c>
      <c r="B8688" t="s">
        <v>71</v>
      </c>
      <c r="C8688" t="s">
        <v>72</v>
      </c>
      <c r="D8688">
        <v>4998</v>
      </c>
      <c r="E8688">
        <v>2019</v>
      </c>
      <c r="F8688">
        <v>9</v>
      </c>
      <c r="G8688">
        <v>98638</v>
      </c>
      <c r="H8688" s="1" t="s">
        <v>1840</v>
      </c>
      <c r="I8688">
        <v>2</v>
      </c>
      <c r="J8688">
        <f>IF($H8688=0,1,IF($I8688&lt;=1,2,0))</f>
        <v>0</v>
      </c>
      <c r="K8688">
        <v>9</v>
      </c>
      <c r="L8688">
        <f>IF(AND($J8688=0,$K8688=0),0,1)</f>
        <v>1</v>
      </c>
    </row>
    <row r="8689" spans="1:12" x14ac:dyDescent="0.2">
      <c r="A8689" t="s">
        <v>344</v>
      </c>
      <c r="B8689" t="s">
        <v>71</v>
      </c>
      <c r="C8689" t="s">
        <v>72</v>
      </c>
      <c r="D8689">
        <v>4998</v>
      </c>
      <c r="E8689">
        <v>2019</v>
      </c>
      <c r="F8689">
        <v>21</v>
      </c>
      <c r="G8689">
        <v>98626</v>
      </c>
      <c r="H8689" s="1" t="s">
        <v>1840</v>
      </c>
      <c r="I8689">
        <v>2</v>
      </c>
      <c r="J8689">
        <f>IF($H8689=0,1,IF($I8689&lt;=1,2,0))</f>
        <v>0</v>
      </c>
      <c r="K8689">
        <v>9</v>
      </c>
      <c r="L8689">
        <f>IF(AND($J8689=0,$K8689=0),0,1)</f>
        <v>1</v>
      </c>
    </row>
    <row r="8690" spans="1:12" x14ac:dyDescent="0.2">
      <c r="A8690" t="s">
        <v>344</v>
      </c>
      <c r="B8690" t="s">
        <v>71</v>
      </c>
      <c r="C8690" t="s">
        <v>72</v>
      </c>
      <c r="D8690">
        <v>4998</v>
      </c>
      <c r="E8690">
        <v>2019</v>
      </c>
      <c r="F8690">
        <v>29</v>
      </c>
      <c r="G8690">
        <v>98618</v>
      </c>
      <c r="H8690" s="1" t="s">
        <v>1840</v>
      </c>
      <c r="I8690">
        <v>2</v>
      </c>
      <c r="J8690">
        <f>IF($H8690=0,1,IF($I8690&lt;=1,2,0))</f>
        <v>0</v>
      </c>
      <c r="K8690">
        <v>9</v>
      </c>
      <c r="L8690">
        <f>IF(AND($J8690=0,$K8690=0),0,1)</f>
        <v>1</v>
      </c>
    </row>
    <row r="8691" spans="1:12" x14ac:dyDescent="0.2">
      <c r="A8691" t="s">
        <v>344</v>
      </c>
      <c r="B8691" t="s">
        <v>71</v>
      </c>
      <c r="C8691" t="s">
        <v>72</v>
      </c>
      <c r="D8691">
        <v>4998</v>
      </c>
      <c r="E8691">
        <v>2019</v>
      </c>
      <c r="F8691">
        <v>2</v>
      </c>
      <c r="G8691">
        <v>98645</v>
      </c>
      <c r="H8691" s="1" t="s">
        <v>1840</v>
      </c>
      <c r="I8691">
        <v>1</v>
      </c>
      <c r="J8691">
        <f>IF($H8691=0,1,IF($I8691&lt;=1,2,0))</f>
        <v>2</v>
      </c>
      <c r="K8691">
        <v>9</v>
      </c>
      <c r="L8691">
        <f>IF(AND($J8691=0,$K8691=0),0,1)</f>
        <v>1</v>
      </c>
    </row>
    <row r="8692" spans="1:12" x14ac:dyDescent="0.2">
      <c r="A8692" t="s">
        <v>344</v>
      </c>
      <c r="B8692" t="s">
        <v>71</v>
      </c>
      <c r="C8692" t="s">
        <v>72</v>
      </c>
      <c r="D8692">
        <v>4998</v>
      </c>
      <c r="E8692">
        <v>2019</v>
      </c>
      <c r="F8692">
        <v>19</v>
      </c>
      <c r="G8692">
        <v>98628</v>
      </c>
      <c r="H8692" s="1" t="s">
        <v>1840</v>
      </c>
      <c r="I8692">
        <v>1</v>
      </c>
      <c r="J8692">
        <f>IF($H8692=0,1,IF($I8692&lt;=1,2,0))</f>
        <v>2</v>
      </c>
      <c r="K8692">
        <v>9</v>
      </c>
      <c r="L8692">
        <f>IF(AND($J8692=0,$K8692=0),0,1)</f>
        <v>1</v>
      </c>
    </row>
    <row r="8693" spans="1:12" x14ac:dyDescent="0.2">
      <c r="A8693" t="s">
        <v>344</v>
      </c>
      <c r="B8693" t="s">
        <v>71</v>
      </c>
      <c r="C8693" t="s">
        <v>72</v>
      </c>
      <c r="D8693">
        <v>4998</v>
      </c>
      <c r="E8693">
        <v>2019</v>
      </c>
      <c r="F8693">
        <v>22</v>
      </c>
      <c r="G8693">
        <v>98625</v>
      </c>
      <c r="H8693" s="1" t="s">
        <v>1840</v>
      </c>
      <c r="I8693">
        <v>1</v>
      </c>
      <c r="J8693">
        <f>IF($H8693=0,1,IF($I8693&lt;=1,2,0))</f>
        <v>2</v>
      </c>
      <c r="K8693">
        <v>9</v>
      </c>
      <c r="L8693">
        <f>IF(AND($J8693=0,$K8693=0),0,1)</f>
        <v>1</v>
      </c>
    </row>
    <row r="8694" spans="1:12" x14ac:dyDescent="0.2">
      <c r="A8694" t="s">
        <v>344</v>
      </c>
      <c r="B8694" t="s">
        <v>71</v>
      </c>
      <c r="C8694" t="s">
        <v>72</v>
      </c>
      <c r="D8694">
        <v>4998</v>
      </c>
      <c r="E8694">
        <v>2019</v>
      </c>
      <c r="F8694">
        <v>1</v>
      </c>
      <c r="G8694">
        <v>98646</v>
      </c>
      <c r="H8694" s="1" t="s">
        <v>1840</v>
      </c>
      <c r="I8694">
        <v>0</v>
      </c>
      <c r="J8694">
        <f>IF($H8694=0,1,IF($I8694&lt;=1,2,0))</f>
        <v>2</v>
      </c>
      <c r="K8694">
        <v>9</v>
      </c>
      <c r="L8694">
        <f>IF(AND($J8694=0,$K8694=0),0,1)</f>
        <v>1</v>
      </c>
    </row>
    <row r="8695" spans="1:12" x14ac:dyDescent="0.2">
      <c r="A8695" t="s">
        <v>344</v>
      </c>
      <c r="B8695" t="s">
        <v>71</v>
      </c>
      <c r="C8695" t="s">
        <v>72</v>
      </c>
      <c r="D8695">
        <v>4998</v>
      </c>
      <c r="E8695">
        <v>2019</v>
      </c>
      <c r="F8695">
        <v>3</v>
      </c>
      <c r="G8695">
        <v>98644</v>
      </c>
      <c r="H8695" s="1" t="s">
        <v>1840</v>
      </c>
      <c r="I8695">
        <v>0</v>
      </c>
      <c r="J8695">
        <f>IF($H8695=0,1,IF($I8695&lt;=1,2,0))</f>
        <v>2</v>
      </c>
      <c r="K8695">
        <v>9</v>
      </c>
      <c r="L8695">
        <f>IF(AND($J8695=0,$K8695=0),0,1)</f>
        <v>1</v>
      </c>
    </row>
    <row r="8696" spans="1:12" x14ac:dyDescent="0.2">
      <c r="A8696" t="s">
        <v>344</v>
      </c>
      <c r="B8696" t="s">
        <v>71</v>
      </c>
      <c r="C8696" t="s">
        <v>72</v>
      </c>
      <c r="D8696">
        <v>4998</v>
      </c>
      <c r="E8696">
        <v>2019</v>
      </c>
      <c r="F8696">
        <v>4</v>
      </c>
      <c r="G8696">
        <v>98643</v>
      </c>
      <c r="H8696" s="1" t="s">
        <v>1840</v>
      </c>
      <c r="I8696">
        <v>0</v>
      </c>
      <c r="J8696">
        <f>IF($H8696=0,1,IF($I8696&lt;=1,2,0))</f>
        <v>2</v>
      </c>
      <c r="K8696">
        <v>9</v>
      </c>
      <c r="L8696">
        <f>IF(AND($J8696=0,$K8696=0),0,1)</f>
        <v>1</v>
      </c>
    </row>
    <row r="8697" spans="1:12" x14ac:dyDescent="0.2">
      <c r="A8697" t="s">
        <v>344</v>
      </c>
      <c r="B8697" t="s">
        <v>71</v>
      </c>
      <c r="C8697" t="s">
        <v>72</v>
      </c>
      <c r="D8697">
        <v>4998</v>
      </c>
      <c r="E8697">
        <v>2019</v>
      </c>
      <c r="F8697">
        <v>5</v>
      </c>
      <c r="G8697">
        <v>98642</v>
      </c>
      <c r="H8697" s="1" t="s">
        <v>1840</v>
      </c>
      <c r="I8697">
        <v>0</v>
      </c>
      <c r="J8697">
        <f>IF($H8697=0,1,IF($I8697&lt;=1,2,0))</f>
        <v>2</v>
      </c>
      <c r="K8697">
        <v>9</v>
      </c>
      <c r="L8697">
        <f>IF(AND($J8697=0,$K8697=0),0,1)</f>
        <v>1</v>
      </c>
    </row>
    <row r="8698" spans="1:12" x14ac:dyDescent="0.2">
      <c r="A8698" t="s">
        <v>344</v>
      </c>
      <c r="B8698" t="s">
        <v>71</v>
      </c>
      <c r="C8698" t="s">
        <v>72</v>
      </c>
      <c r="D8698">
        <v>4998</v>
      </c>
      <c r="E8698">
        <v>2019</v>
      </c>
      <c r="F8698">
        <v>6</v>
      </c>
      <c r="G8698">
        <v>98641</v>
      </c>
      <c r="H8698" s="1" t="s">
        <v>1840</v>
      </c>
      <c r="I8698">
        <v>0</v>
      </c>
      <c r="J8698">
        <f>IF($H8698=0,1,IF($I8698&lt;=1,2,0))</f>
        <v>2</v>
      </c>
      <c r="K8698">
        <v>9</v>
      </c>
      <c r="L8698">
        <f>IF(AND($J8698=0,$K8698=0),0,1)</f>
        <v>1</v>
      </c>
    </row>
    <row r="8699" spans="1:12" x14ac:dyDescent="0.2">
      <c r="A8699" t="s">
        <v>344</v>
      </c>
      <c r="B8699" t="s">
        <v>71</v>
      </c>
      <c r="C8699" t="s">
        <v>72</v>
      </c>
      <c r="D8699">
        <v>4998</v>
      </c>
      <c r="E8699">
        <v>2019</v>
      </c>
      <c r="F8699">
        <v>7</v>
      </c>
      <c r="G8699">
        <v>98640</v>
      </c>
      <c r="H8699" s="1" t="s">
        <v>1840</v>
      </c>
      <c r="I8699">
        <v>0</v>
      </c>
      <c r="J8699">
        <f>IF($H8699=0,1,IF($I8699&lt;=1,2,0))</f>
        <v>2</v>
      </c>
      <c r="K8699">
        <v>9</v>
      </c>
      <c r="L8699">
        <f>IF(AND($J8699=0,$K8699=0),0,1)</f>
        <v>1</v>
      </c>
    </row>
    <row r="8700" spans="1:12" x14ac:dyDescent="0.2">
      <c r="A8700" t="s">
        <v>344</v>
      </c>
      <c r="B8700" t="s">
        <v>71</v>
      </c>
      <c r="C8700" t="s">
        <v>72</v>
      </c>
      <c r="D8700">
        <v>4998</v>
      </c>
      <c r="E8700">
        <v>2019</v>
      </c>
      <c r="F8700">
        <v>8</v>
      </c>
      <c r="G8700">
        <v>98639</v>
      </c>
      <c r="H8700" s="1" t="s">
        <v>1840</v>
      </c>
      <c r="I8700">
        <v>0</v>
      </c>
      <c r="J8700">
        <f>IF($H8700=0,1,IF($I8700&lt;=1,2,0))</f>
        <v>2</v>
      </c>
      <c r="K8700">
        <v>9</v>
      </c>
      <c r="L8700">
        <f>IF(AND($J8700=0,$K8700=0),0,1)</f>
        <v>1</v>
      </c>
    </row>
    <row r="8701" spans="1:12" x14ac:dyDescent="0.2">
      <c r="A8701" t="s">
        <v>344</v>
      </c>
      <c r="B8701" t="s">
        <v>71</v>
      </c>
      <c r="C8701" t="s">
        <v>72</v>
      </c>
      <c r="D8701">
        <v>4998</v>
      </c>
      <c r="E8701">
        <v>2019</v>
      </c>
      <c r="F8701">
        <v>10</v>
      </c>
      <c r="G8701">
        <v>98637</v>
      </c>
      <c r="H8701" s="1" t="s">
        <v>1840</v>
      </c>
      <c r="I8701">
        <v>0</v>
      </c>
      <c r="J8701">
        <f>IF($H8701=0,1,IF($I8701&lt;=1,2,0))</f>
        <v>2</v>
      </c>
      <c r="K8701">
        <v>9</v>
      </c>
      <c r="L8701">
        <f>IF(AND($J8701=0,$K8701=0),0,1)</f>
        <v>1</v>
      </c>
    </row>
    <row r="8702" spans="1:12" x14ac:dyDescent="0.2">
      <c r="A8702" t="s">
        <v>344</v>
      </c>
      <c r="B8702" t="s">
        <v>71</v>
      </c>
      <c r="C8702" t="s">
        <v>72</v>
      </c>
      <c r="D8702">
        <v>4998</v>
      </c>
      <c r="E8702">
        <v>2019</v>
      </c>
      <c r="F8702">
        <v>11</v>
      </c>
      <c r="G8702">
        <v>98636</v>
      </c>
      <c r="H8702" s="1" t="s">
        <v>1840</v>
      </c>
      <c r="I8702">
        <v>0</v>
      </c>
      <c r="J8702">
        <f>IF($H8702=0,1,IF($I8702&lt;=1,2,0))</f>
        <v>2</v>
      </c>
      <c r="K8702">
        <v>9</v>
      </c>
      <c r="L8702">
        <f>IF(AND($J8702=0,$K8702=0),0,1)</f>
        <v>1</v>
      </c>
    </row>
    <row r="8703" spans="1:12" x14ac:dyDescent="0.2">
      <c r="A8703" t="s">
        <v>344</v>
      </c>
      <c r="B8703" t="s">
        <v>71</v>
      </c>
      <c r="C8703" t="s">
        <v>72</v>
      </c>
      <c r="D8703">
        <v>4998</v>
      </c>
      <c r="E8703">
        <v>2019</v>
      </c>
      <c r="F8703">
        <v>12</v>
      </c>
      <c r="G8703">
        <v>98635</v>
      </c>
      <c r="H8703" s="1" t="s">
        <v>1840</v>
      </c>
      <c r="I8703">
        <v>0</v>
      </c>
      <c r="J8703">
        <f>IF($H8703=0,1,IF($I8703&lt;=1,2,0))</f>
        <v>2</v>
      </c>
      <c r="K8703">
        <v>9</v>
      </c>
      <c r="L8703">
        <f>IF(AND($J8703=0,$K8703=0),0,1)</f>
        <v>1</v>
      </c>
    </row>
    <row r="8704" spans="1:12" x14ac:dyDescent="0.2">
      <c r="A8704" t="s">
        <v>344</v>
      </c>
      <c r="B8704" t="s">
        <v>71</v>
      </c>
      <c r="C8704" t="s">
        <v>72</v>
      </c>
      <c r="D8704">
        <v>4998</v>
      </c>
      <c r="E8704">
        <v>2019</v>
      </c>
      <c r="F8704">
        <v>13</v>
      </c>
      <c r="G8704">
        <v>98634</v>
      </c>
      <c r="H8704" s="1" t="s">
        <v>1840</v>
      </c>
      <c r="I8704">
        <v>0</v>
      </c>
      <c r="J8704">
        <f>IF($H8704=0,1,IF($I8704&lt;=1,2,0))</f>
        <v>2</v>
      </c>
      <c r="K8704">
        <v>9</v>
      </c>
      <c r="L8704">
        <f>IF(AND($J8704=0,$K8704=0),0,1)</f>
        <v>1</v>
      </c>
    </row>
    <row r="8705" spans="1:12" x14ac:dyDescent="0.2">
      <c r="A8705" t="s">
        <v>344</v>
      </c>
      <c r="B8705" t="s">
        <v>71</v>
      </c>
      <c r="C8705" t="s">
        <v>72</v>
      </c>
      <c r="D8705">
        <v>4998</v>
      </c>
      <c r="E8705">
        <v>2019</v>
      </c>
      <c r="F8705">
        <v>14</v>
      </c>
      <c r="G8705">
        <v>98633</v>
      </c>
      <c r="H8705" s="1" t="s">
        <v>1840</v>
      </c>
      <c r="I8705">
        <v>0</v>
      </c>
      <c r="J8705">
        <f>IF($H8705=0,1,IF($I8705&lt;=1,2,0))</f>
        <v>2</v>
      </c>
      <c r="K8705">
        <v>9</v>
      </c>
      <c r="L8705">
        <f>IF(AND($J8705=0,$K8705=0),0,1)</f>
        <v>1</v>
      </c>
    </row>
    <row r="8706" spans="1:12" x14ac:dyDescent="0.2">
      <c r="A8706" t="s">
        <v>344</v>
      </c>
      <c r="B8706" t="s">
        <v>71</v>
      </c>
      <c r="C8706" t="s">
        <v>72</v>
      </c>
      <c r="D8706">
        <v>4998</v>
      </c>
      <c r="E8706">
        <v>2019</v>
      </c>
      <c r="F8706">
        <v>15</v>
      </c>
      <c r="G8706">
        <v>98632</v>
      </c>
      <c r="H8706" s="1" t="s">
        <v>1840</v>
      </c>
      <c r="I8706">
        <v>0</v>
      </c>
      <c r="J8706">
        <f>IF($H8706=0,1,IF($I8706&lt;=1,2,0))</f>
        <v>2</v>
      </c>
      <c r="K8706">
        <v>9</v>
      </c>
      <c r="L8706">
        <f>IF(AND($J8706=0,$K8706=0),0,1)</f>
        <v>1</v>
      </c>
    </row>
    <row r="8707" spans="1:12" x14ac:dyDescent="0.2">
      <c r="A8707" t="s">
        <v>344</v>
      </c>
      <c r="B8707" t="s">
        <v>71</v>
      </c>
      <c r="C8707" t="s">
        <v>72</v>
      </c>
      <c r="D8707">
        <v>4998</v>
      </c>
      <c r="E8707">
        <v>2019</v>
      </c>
      <c r="F8707">
        <v>16</v>
      </c>
      <c r="G8707">
        <v>98631</v>
      </c>
      <c r="H8707" s="1" t="s">
        <v>1840</v>
      </c>
      <c r="I8707">
        <v>0</v>
      </c>
      <c r="J8707">
        <f>IF($H8707=0,1,IF($I8707&lt;=1,2,0))</f>
        <v>2</v>
      </c>
      <c r="K8707">
        <v>9</v>
      </c>
      <c r="L8707">
        <f>IF(AND($J8707=0,$K8707=0),0,1)</f>
        <v>1</v>
      </c>
    </row>
    <row r="8708" spans="1:12" x14ac:dyDescent="0.2">
      <c r="A8708" t="s">
        <v>344</v>
      </c>
      <c r="B8708" t="s">
        <v>71</v>
      </c>
      <c r="C8708" t="s">
        <v>72</v>
      </c>
      <c r="D8708">
        <v>4998</v>
      </c>
      <c r="E8708">
        <v>2019</v>
      </c>
      <c r="F8708">
        <v>17</v>
      </c>
      <c r="G8708">
        <v>98630</v>
      </c>
      <c r="H8708" s="1" t="s">
        <v>1840</v>
      </c>
      <c r="I8708">
        <v>0</v>
      </c>
      <c r="J8708">
        <f>IF($H8708=0,1,IF($I8708&lt;=1,2,0))</f>
        <v>2</v>
      </c>
      <c r="K8708">
        <v>9</v>
      </c>
      <c r="L8708">
        <f>IF(AND($J8708=0,$K8708=0),0,1)</f>
        <v>1</v>
      </c>
    </row>
    <row r="8709" spans="1:12" x14ac:dyDescent="0.2">
      <c r="A8709" t="s">
        <v>344</v>
      </c>
      <c r="B8709" t="s">
        <v>71</v>
      </c>
      <c r="C8709" t="s">
        <v>72</v>
      </c>
      <c r="D8709">
        <v>4998</v>
      </c>
      <c r="E8709">
        <v>2019</v>
      </c>
      <c r="F8709">
        <v>18</v>
      </c>
      <c r="G8709">
        <v>98629</v>
      </c>
      <c r="H8709" s="1" t="s">
        <v>1840</v>
      </c>
      <c r="I8709">
        <v>0</v>
      </c>
      <c r="J8709">
        <f>IF($H8709=0,1,IF($I8709&lt;=1,2,0))</f>
        <v>2</v>
      </c>
      <c r="K8709">
        <v>9</v>
      </c>
      <c r="L8709">
        <f>IF(AND($J8709=0,$K8709=0),0,1)</f>
        <v>1</v>
      </c>
    </row>
    <row r="8710" spans="1:12" x14ac:dyDescent="0.2">
      <c r="A8710" t="s">
        <v>344</v>
      </c>
      <c r="B8710" t="s">
        <v>71</v>
      </c>
      <c r="C8710" t="s">
        <v>72</v>
      </c>
      <c r="D8710">
        <v>4998</v>
      </c>
      <c r="E8710">
        <v>2019</v>
      </c>
      <c r="F8710">
        <v>20</v>
      </c>
      <c r="G8710">
        <v>98627</v>
      </c>
      <c r="H8710" s="1" t="s">
        <v>1840</v>
      </c>
      <c r="I8710">
        <v>0</v>
      </c>
      <c r="J8710">
        <f>IF($H8710=0,1,IF($I8710&lt;=1,2,0))</f>
        <v>2</v>
      </c>
      <c r="K8710">
        <v>9</v>
      </c>
      <c r="L8710">
        <f>IF(AND($J8710=0,$K8710=0),0,1)</f>
        <v>1</v>
      </c>
    </row>
    <row r="8711" spans="1:12" x14ac:dyDescent="0.2">
      <c r="A8711" t="s">
        <v>344</v>
      </c>
      <c r="B8711" t="s">
        <v>71</v>
      </c>
      <c r="C8711" t="s">
        <v>72</v>
      </c>
      <c r="D8711">
        <v>4998</v>
      </c>
      <c r="E8711">
        <v>2019</v>
      </c>
      <c r="F8711">
        <v>23</v>
      </c>
      <c r="G8711">
        <v>98624</v>
      </c>
      <c r="H8711" s="1" t="s">
        <v>1840</v>
      </c>
      <c r="I8711">
        <v>0</v>
      </c>
      <c r="J8711">
        <f>IF($H8711=0,1,IF($I8711&lt;=1,2,0))</f>
        <v>2</v>
      </c>
      <c r="K8711">
        <v>9</v>
      </c>
      <c r="L8711">
        <f>IF(AND($J8711=0,$K8711=0),0,1)</f>
        <v>1</v>
      </c>
    </row>
    <row r="8712" spans="1:12" x14ac:dyDescent="0.2">
      <c r="A8712" t="s">
        <v>344</v>
      </c>
      <c r="B8712" t="s">
        <v>71</v>
      </c>
      <c r="C8712" t="s">
        <v>72</v>
      </c>
      <c r="D8712">
        <v>4998</v>
      </c>
      <c r="E8712">
        <v>2019</v>
      </c>
      <c r="F8712">
        <v>24</v>
      </c>
      <c r="G8712">
        <v>98623</v>
      </c>
      <c r="H8712" s="1" t="s">
        <v>1840</v>
      </c>
      <c r="I8712">
        <v>0</v>
      </c>
      <c r="J8712">
        <f>IF($H8712=0,1,IF($I8712&lt;=1,2,0))</f>
        <v>2</v>
      </c>
      <c r="K8712">
        <v>9</v>
      </c>
      <c r="L8712">
        <f>IF(AND($J8712=0,$K8712=0),0,1)</f>
        <v>1</v>
      </c>
    </row>
    <row r="8713" spans="1:12" x14ac:dyDescent="0.2">
      <c r="A8713" t="s">
        <v>344</v>
      </c>
      <c r="B8713" t="s">
        <v>71</v>
      </c>
      <c r="C8713" t="s">
        <v>72</v>
      </c>
      <c r="D8713">
        <v>4998</v>
      </c>
      <c r="E8713">
        <v>2019</v>
      </c>
      <c r="F8713">
        <v>25</v>
      </c>
      <c r="G8713">
        <v>98622</v>
      </c>
      <c r="H8713" s="1" t="s">
        <v>1840</v>
      </c>
      <c r="I8713">
        <v>0</v>
      </c>
      <c r="J8713">
        <f>IF($H8713=0,1,IF($I8713&lt;=1,2,0))</f>
        <v>2</v>
      </c>
      <c r="K8713">
        <v>9</v>
      </c>
      <c r="L8713">
        <f>IF(AND($J8713=0,$K8713=0),0,1)</f>
        <v>1</v>
      </c>
    </row>
    <row r="8714" spans="1:12" x14ac:dyDescent="0.2">
      <c r="A8714" t="s">
        <v>344</v>
      </c>
      <c r="B8714" t="s">
        <v>71</v>
      </c>
      <c r="C8714" t="s">
        <v>72</v>
      </c>
      <c r="D8714">
        <v>4998</v>
      </c>
      <c r="E8714">
        <v>2019</v>
      </c>
      <c r="F8714">
        <v>26</v>
      </c>
      <c r="G8714">
        <v>98621</v>
      </c>
      <c r="H8714" s="1" t="s">
        <v>1840</v>
      </c>
      <c r="I8714">
        <v>0</v>
      </c>
      <c r="J8714">
        <f>IF($H8714=0,1,IF($I8714&lt;=1,2,0))</f>
        <v>2</v>
      </c>
      <c r="K8714">
        <v>9</v>
      </c>
      <c r="L8714">
        <f>IF(AND($J8714=0,$K8714=0),0,1)</f>
        <v>1</v>
      </c>
    </row>
    <row r="8715" spans="1:12" x14ac:dyDescent="0.2">
      <c r="A8715" t="s">
        <v>344</v>
      </c>
      <c r="B8715" t="s">
        <v>71</v>
      </c>
      <c r="C8715" t="s">
        <v>72</v>
      </c>
      <c r="D8715">
        <v>4998</v>
      </c>
      <c r="E8715">
        <v>2019</v>
      </c>
      <c r="F8715">
        <v>27</v>
      </c>
      <c r="G8715">
        <v>98620</v>
      </c>
      <c r="H8715" s="1" t="s">
        <v>1840</v>
      </c>
      <c r="I8715">
        <v>0</v>
      </c>
      <c r="J8715">
        <f>IF($H8715=0,1,IF($I8715&lt;=1,2,0))</f>
        <v>2</v>
      </c>
      <c r="K8715">
        <v>9</v>
      </c>
      <c r="L8715">
        <f>IF(AND($J8715=0,$K8715=0),0,1)</f>
        <v>1</v>
      </c>
    </row>
    <row r="8716" spans="1:12" x14ac:dyDescent="0.2">
      <c r="A8716" t="s">
        <v>344</v>
      </c>
      <c r="B8716" t="s">
        <v>71</v>
      </c>
      <c r="C8716" t="s">
        <v>72</v>
      </c>
      <c r="D8716">
        <v>4998</v>
      </c>
      <c r="E8716">
        <v>2019</v>
      </c>
      <c r="F8716">
        <v>28</v>
      </c>
      <c r="G8716">
        <v>98619</v>
      </c>
      <c r="H8716" s="1" t="s">
        <v>1840</v>
      </c>
      <c r="I8716">
        <v>0</v>
      </c>
      <c r="J8716">
        <f>IF($H8716=0,1,IF($I8716&lt;=1,2,0))</f>
        <v>2</v>
      </c>
      <c r="K8716">
        <v>9</v>
      </c>
      <c r="L8716">
        <f>IF(AND($J8716=0,$K8716=0),0,1)</f>
        <v>1</v>
      </c>
    </row>
    <row r="8717" spans="1:12" x14ac:dyDescent="0.2">
      <c r="A8717" t="s">
        <v>344</v>
      </c>
      <c r="B8717" t="s">
        <v>71</v>
      </c>
      <c r="C8717" t="s">
        <v>72</v>
      </c>
      <c r="D8717">
        <v>6001</v>
      </c>
      <c r="E8717">
        <v>2019</v>
      </c>
      <c r="F8717">
        <v>1</v>
      </c>
      <c r="G8717">
        <v>98704</v>
      </c>
      <c r="H8717" s="1" t="s">
        <v>1823</v>
      </c>
      <c r="I8717">
        <v>1</v>
      </c>
      <c r="J8717">
        <f>IF($H8717=0,1,IF($I8717&lt;=1,2,0))</f>
        <v>2</v>
      </c>
      <c r="K8717">
        <v>0</v>
      </c>
      <c r="L8717">
        <f>IF(AND($J8717=0,$K8717=0),0,1)</f>
        <v>1</v>
      </c>
    </row>
    <row r="8718" spans="1:12" x14ac:dyDescent="0.2">
      <c r="A8718" t="s">
        <v>344</v>
      </c>
      <c r="B8718" t="s">
        <v>71</v>
      </c>
      <c r="C8718" t="s">
        <v>72</v>
      </c>
      <c r="D8718">
        <v>6001</v>
      </c>
      <c r="E8718">
        <v>2019</v>
      </c>
      <c r="F8718">
        <v>6</v>
      </c>
      <c r="G8718">
        <v>98699</v>
      </c>
      <c r="H8718" s="1" t="s">
        <v>1823</v>
      </c>
      <c r="I8718">
        <v>1</v>
      </c>
      <c r="J8718">
        <f>IF($H8718=0,1,IF($I8718&lt;=1,2,0))</f>
        <v>2</v>
      </c>
      <c r="K8718">
        <v>0</v>
      </c>
      <c r="L8718">
        <f>IF(AND($J8718=0,$K8718=0),0,1)</f>
        <v>1</v>
      </c>
    </row>
    <row r="8719" spans="1:12" x14ac:dyDescent="0.2">
      <c r="A8719" t="s">
        <v>344</v>
      </c>
      <c r="B8719" t="s">
        <v>71</v>
      </c>
      <c r="C8719" t="s">
        <v>72</v>
      </c>
      <c r="D8719">
        <v>6001</v>
      </c>
      <c r="E8719">
        <v>2019</v>
      </c>
      <c r="F8719">
        <v>7</v>
      </c>
      <c r="G8719">
        <v>98698</v>
      </c>
      <c r="H8719" s="1" t="s">
        <v>1823</v>
      </c>
      <c r="I8719">
        <v>1</v>
      </c>
      <c r="J8719">
        <f>IF($H8719=0,1,IF($I8719&lt;=1,2,0))</f>
        <v>2</v>
      </c>
      <c r="K8719">
        <v>0</v>
      </c>
      <c r="L8719">
        <f>IF(AND($J8719=0,$K8719=0),0,1)</f>
        <v>1</v>
      </c>
    </row>
    <row r="8720" spans="1:12" x14ac:dyDescent="0.2">
      <c r="A8720" t="s">
        <v>344</v>
      </c>
      <c r="B8720" t="s">
        <v>71</v>
      </c>
      <c r="C8720" t="s">
        <v>72</v>
      </c>
      <c r="D8720">
        <v>6001</v>
      </c>
      <c r="E8720">
        <v>2019</v>
      </c>
      <c r="F8720">
        <v>9</v>
      </c>
      <c r="G8720">
        <v>98696</v>
      </c>
      <c r="H8720" s="1" t="s">
        <v>1823</v>
      </c>
      <c r="I8720">
        <v>1</v>
      </c>
      <c r="J8720">
        <f>IF($H8720=0,1,IF($I8720&lt;=1,2,0))</f>
        <v>2</v>
      </c>
      <c r="K8720">
        <v>0</v>
      </c>
      <c r="L8720">
        <f>IF(AND($J8720=0,$K8720=0),0,1)</f>
        <v>1</v>
      </c>
    </row>
    <row r="8721" spans="1:12" x14ac:dyDescent="0.2">
      <c r="A8721" t="s">
        <v>344</v>
      </c>
      <c r="B8721" t="s">
        <v>71</v>
      </c>
      <c r="C8721" t="s">
        <v>72</v>
      </c>
      <c r="D8721">
        <v>6001</v>
      </c>
      <c r="E8721">
        <v>2019</v>
      </c>
      <c r="F8721">
        <v>17</v>
      </c>
      <c r="G8721">
        <v>98688</v>
      </c>
      <c r="H8721" s="1" t="s">
        <v>1823</v>
      </c>
      <c r="I8721">
        <v>1</v>
      </c>
      <c r="J8721">
        <f>IF($H8721=0,1,IF($I8721&lt;=1,2,0))</f>
        <v>2</v>
      </c>
      <c r="K8721">
        <v>0</v>
      </c>
      <c r="L8721">
        <f>IF(AND($J8721=0,$K8721=0),0,1)</f>
        <v>1</v>
      </c>
    </row>
    <row r="8722" spans="1:12" x14ac:dyDescent="0.2">
      <c r="A8722" t="s">
        <v>344</v>
      </c>
      <c r="B8722" t="s">
        <v>71</v>
      </c>
      <c r="C8722" t="s">
        <v>72</v>
      </c>
      <c r="D8722">
        <v>6001</v>
      </c>
      <c r="E8722">
        <v>2019</v>
      </c>
      <c r="F8722">
        <v>26</v>
      </c>
      <c r="G8722">
        <v>98679</v>
      </c>
      <c r="H8722" s="1" t="s">
        <v>1823</v>
      </c>
      <c r="I8722">
        <v>1</v>
      </c>
      <c r="J8722">
        <f>IF($H8722=0,1,IF($I8722&lt;=1,2,0))</f>
        <v>2</v>
      </c>
      <c r="K8722">
        <v>0</v>
      </c>
      <c r="L8722">
        <f>IF(AND($J8722=0,$K8722=0),0,1)</f>
        <v>1</v>
      </c>
    </row>
    <row r="8723" spans="1:12" x14ac:dyDescent="0.2">
      <c r="A8723" t="s">
        <v>344</v>
      </c>
      <c r="B8723" t="s">
        <v>71</v>
      </c>
      <c r="C8723" t="s">
        <v>72</v>
      </c>
      <c r="D8723">
        <v>6001</v>
      </c>
      <c r="E8723">
        <v>2019</v>
      </c>
      <c r="F8723">
        <v>31</v>
      </c>
      <c r="G8723">
        <v>98674</v>
      </c>
      <c r="H8723" s="1" t="s">
        <v>1823</v>
      </c>
      <c r="I8723">
        <v>1</v>
      </c>
      <c r="J8723">
        <f>IF($H8723=0,1,IF($I8723&lt;=1,2,0))</f>
        <v>2</v>
      </c>
      <c r="K8723">
        <v>0</v>
      </c>
      <c r="L8723">
        <f>IF(AND($J8723=0,$K8723=0),0,1)</f>
        <v>1</v>
      </c>
    </row>
    <row r="8724" spans="1:12" x14ac:dyDescent="0.2">
      <c r="A8724" t="s">
        <v>344</v>
      </c>
      <c r="B8724" t="s">
        <v>71</v>
      </c>
      <c r="C8724" t="s">
        <v>72</v>
      </c>
      <c r="D8724">
        <v>6001</v>
      </c>
      <c r="E8724">
        <v>2019</v>
      </c>
      <c r="F8724">
        <v>4</v>
      </c>
      <c r="G8724">
        <v>98701</v>
      </c>
      <c r="H8724" s="1" t="s">
        <v>1823</v>
      </c>
      <c r="I8724">
        <v>0</v>
      </c>
      <c r="J8724">
        <f>IF($H8724=0,1,IF($I8724&lt;=1,2,0))</f>
        <v>2</v>
      </c>
      <c r="K8724">
        <v>0</v>
      </c>
      <c r="L8724">
        <f>IF(AND($J8724=0,$K8724=0),0,1)</f>
        <v>1</v>
      </c>
    </row>
    <row r="8725" spans="1:12" x14ac:dyDescent="0.2">
      <c r="A8725" t="s">
        <v>344</v>
      </c>
      <c r="B8725" t="s">
        <v>71</v>
      </c>
      <c r="C8725" t="s">
        <v>72</v>
      </c>
      <c r="D8725">
        <v>6001</v>
      </c>
      <c r="E8725">
        <v>2019</v>
      </c>
      <c r="F8725">
        <v>8</v>
      </c>
      <c r="G8725">
        <v>98697</v>
      </c>
      <c r="H8725" s="1" t="s">
        <v>1823</v>
      </c>
      <c r="I8725">
        <v>0</v>
      </c>
      <c r="J8725">
        <f>IF($H8725=0,1,IF($I8725&lt;=1,2,0))</f>
        <v>2</v>
      </c>
      <c r="K8725">
        <v>0</v>
      </c>
      <c r="L8725">
        <f>IF(AND($J8725=0,$K8725=0),0,1)</f>
        <v>1</v>
      </c>
    </row>
    <row r="8726" spans="1:12" x14ac:dyDescent="0.2">
      <c r="A8726" t="s">
        <v>344</v>
      </c>
      <c r="B8726" t="s">
        <v>71</v>
      </c>
      <c r="C8726" t="s">
        <v>72</v>
      </c>
      <c r="D8726">
        <v>6001</v>
      </c>
      <c r="E8726">
        <v>2019</v>
      </c>
      <c r="F8726">
        <v>10</v>
      </c>
      <c r="G8726">
        <v>98695</v>
      </c>
      <c r="H8726" s="1" t="s">
        <v>1823</v>
      </c>
      <c r="I8726">
        <v>0</v>
      </c>
      <c r="J8726">
        <f>IF($H8726=0,1,IF($I8726&lt;=1,2,0))</f>
        <v>2</v>
      </c>
      <c r="K8726">
        <v>0</v>
      </c>
      <c r="L8726">
        <f>IF(AND($J8726=0,$K8726=0),0,1)</f>
        <v>1</v>
      </c>
    </row>
    <row r="8727" spans="1:12" x14ac:dyDescent="0.2">
      <c r="A8727" t="s">
        <v>344</v>
      </c>
      <c r="B8727" t="s">
        <v>71</v>
      </c>
      <c r="C8727" t="s">
        <v>72</v>
      </c>
      <c r="D8727">
        <v>6001</v>
      </c>
      <c r="E8727">
        <v>2019</v>
      </c>
      <c r="F8727">
        <v>13</v>
      </c>
      <c r="G8727">
        <v>98692</v>
      </c>
      <c r="H8727" s="1" t="s">
        <v>1823</v>
      </c>
      <c r="I8727">
        <v>0</v>
      </c>
      <c r="J8727">
        <f>IF($H8727=0,1,IF($I8727&lt;=1,2,0))</f>
        <v>2</v>
      </c>
      <c r="K8727">
        <v>0</v>
      </c>
      <c r="L8727">
        <f>IF(AND($J8727=0,$K8727=0),0,1)</f>
        <v>1</v>
      </c>
    </row>
    <row r="8728" spans="1:12" x14ac:dyDescent="0.2">
      <c r="A8728" t="s">
        <v>344</v>
      </c>
      <c r="B8728" t="s">
        <v>71</v>
      </c>
      <c r="C8728" t="s">
        <v>72</v>
      </c>
      <c r="D8728">
        <v>6001</v>
      </c>
      <c r="E8728">
        <v>2019</v>
      </c>
      <c r="F8728">
        <v>14</v>
      </c>
      <c r="G8728">
        <v>98691</v>
      </c>
      <c r="H8728" s="1" t="s">
        <v>1823</v>
      </c>
      <c r="I8728">
        <v>0</v>
      </c>
      <c r="J8728">
        <f>IF($H8728=0,1,IF($I8728&lt;=1,2,0))</f>
        <v>2</v>
      </c>
      <c r="K8728">
        <v>0</v>
      </c>
      <c r="L8728">
        <f>IF(AND($J8728=0,$K8728=0),0,1)</f>
        <v>1</v>
      </c>
    </row>
    <row r="8729" spans="1:12" x14ac:dyDescent="0.2">
      <c r="A8729" t="s">
        <v>344</v>
      </c>
      <c r="B8729" t="s">
        <v>71</v>
      </c>
      <c r="C8729" t="s">
        <v>72</v>
      </c>
      <c r="D8729">
        <v>6001</v>
      </c>
      <c r="E8729">
        <v>2019</v>
      </c>
      <c r="F8729">
        <v>15</v>
      </c>
      <c r="G8729">
        <v>98690</v>
      </c>
      <c r="H8729" s="1" t="s">
        <v>1823</v>
      </c>
      <c r="I8729">
        <v>0</v>
      </c>
      <c r="J8729">
        <f>IF($H8729=0,1,IF($I8729&lt;=1,2,0))</f>
        <v>2</v>
      </c>
      <c r="K8729">
        <v>0</v>
      </c>
      <c r="L8729">
        <f>IF(AND($J8729=0,$K8729=0),0,1)</f>
        <v>1</v>
      </c>
    </row>
    <row r="8730" spans="1:12" x14ac:dyDescent="0.2">
      <c r="A8730" t="s">
        <v>344</v>
      </c>
      <c r="B8730" t="s">
        <v>71</v>
      </c>
      <c r="C8730" t="s">
        <v>72</v>
      </c>
      <c r="D8730">
        <v>6001</v>
      </c>
      <c r="E8730">
        <v>2019</v>
      </c>
      <c r="F8730">
        <v>22</v>
      </c>
      <c r="G8730">
        <v>98683</v>
      </c>
      <c r="H8730" s="1" t="s">
        <v>1823</v>
      </c>
      <c r="I8730">
        <v>0</v>
      </c>
      <c r="J8730">
        <f>IF($H8730=0,1,IF($I8730&lt;=1,2,0))</f>
        <v>2</v>
      </c>
      <c r="K8730">
        <v>0</v>
      </c>
      <c r="L8730">
        <f>IF(AND($J8730=0,$K8730=0),0,1)</f>
        <v>1</v>
      </c>
    </row>
    <row r="8731" spans="1:12" x14ac:dyDescent="0.2">
      <c r="A8731" t="s">
        <v>344</v>
      </c>
      <c r="B8731" t="s">
        <v>71</v>
      </c>
      <c r="C8731" t="s">
        <v>72</v>
      </c>
      <c r="D8731">
        <v>6001</v>
      </c>
      <c r="E8731">
        <v>2019</v>
      </c>
      <c r="F8731">
        <v>23</v>
      </c>
      <c r="G8731">
        <v>98682</v>
      </c>
      <c r="H8731" s="1" t="s">
        <v>1823</v>
      </c>
      <c r="I8731">
        <v>0</v>
      </c>
      <c r="J8731">
        <f>IF($H8731=0,1,IF($I8731&lt;=1,2,0))</f>
        <v>2</v>
      </c>
      <c r="K8731">
        <v>0</v>
      </c>
      <c r="L8731">
        <f>IF(AND($J8731=0,$K8731=0),0,1)</f>
        <v>1</v>
      </c>
    </row>
    <row r="8732" spans="1:12" x14ac:dyDescent="0.2">
      <c r="A8732" t="s">
        <v>344</v>
      </c>
      <c r="B8732" t="s">
        <v>71</v>
      </c>
      <c r="C8732" t="s">
        <v>72</v>
      </c>
      <c r="D8732">
        <v>6001</v>
      </c>
      <c r="E8732">
        <v>2019</v>
      </c>
      <c r="F8732">
        <v>24</v>
      </c>
      <c r="G8732">
        <v>98681</v>
      </c>
      <c r="H8732" s="1" t="s">
        <v>1823</v>
      </c>
      <c r="I8732">
        <v>0</v>
      </c>
      <c r="J8732">
        <f>IF($H8732=0,1,IF($I8732&lt;=1,2,0))</f>
        <v>2</v>
      </c>
      <c r="K8732">
        <v>0</v>
      </c>
      <c r="L8732">
        <f>IF(AND($J8732=0,$K8732=0),0,1)</f>
        <v>1</v>
      </c>
    </row>
    <row r="8733" spans="1:12" x14ac:dyDescent="0.2">
      <c r="A8733" t="s">
        <v>344</v>
      </c>
      <c r="B8733" t="s">
        <v>71</v>
      </c>
      <c r="C8733" t="s">
        <v>72</v>
      </c>
      <c r="D8733">
        <v>6001</v>
      </c>
      <c r="E8733">
        <v>2019</v>
      </c>
      <c r="F8733">
        <v>25</v>
      </c>
      <c r="G8733">
        <v>98680</v>
      </c>
      <c r="H8733" s="1" t="s">
        <v>1823</v>
      </c>
      <c r="I8733">
        <v>0</v>
      </c>
      <c r="J8733">
        <f>IF($H8733=0,1,IF($I8733&lt;=1,2,0))</f>
        <v>2</v>
      </c>
      <c r="K8733">
        <v>0</v>
      </c>
      <c r="L8733">
        <f>IF(AND($J8733=0,$K8733=0),0,1)</f>
        <v>1</v>
      </c>
    </row>
    <row r="8734" spans="1:12" x14ac:dyDescent="0.2">
      <c r="A8734" t="s">
        <v>344</v>
      </c>
      <c r="B8734" t="s">
        <v>71</v>
      </c>
      <c r="C8734" t="s">
        <v>72</v>
      </c>
      <c r="D8734">
        <v>6001</v>
      </c>
      <c r="E8734">
        <v>2019</v>
      </c>
      <c r="F8734">
        <v>28</v>
      </c>
      <c r="G8734">
        <v>98677</v>
      </c>
      <c r="H8734" s="1" t="s">
        <v>1823</v>
      </c>
      <c r="I8734">
        <v>0</v>
      </c>
      <c r="J8734">
        <f>IF($H8734=0,1,IF($I8734&lt;=1,2,0))</f>
        <v>2</v>
      </c>
      <c r="K8734">
        <v>0</v>
      </c>
      <c r="L8734">
        <f>IF(AND($J8734=0,$K8734=0),0,1)</f>
        <v>1</v>
      </c>
    </row>
    <row r="8735" spans="1:12" x14ac:dyDescent="0.2">
      <c r="A8735" t="s">
        <v>344</v>
      </c>
      <c r="B8735" t="s">
        <v>71</v>
      </c>
      <c r="C8735" t="s">
        <v>72</v>
      </c>
      <c r="D8735">
        <v>6001</v>
      </c>
      <c r="E8735">
        <v>2019</v>
      </c>
      <c r="F8735">
        <v>30</v>
      </c>
      <c r="G8735">
        <v>98675</v>
      </c>
      <c r="H8735" s="1" t="s">
        <v>1823</v>
      </c>
      <c r="I8735">
        <v>0</v>
      </c>
      <c r="J8735">
        <f>IF($H8735=0,1,IF($I8735&lt;=1,2,0))</f>
        <v>2</v>
      </c>
      <c r="K8735">
        <v>0</v>
      </c>
      <c r="L8735">
        <f>IF(AND($J8735=0,$K8735=0),0,1)</f>
        <v>1</v>
      </c>
    </row>
    <row r="8736" spans="1:12" x14ac:dyDescent="0.2">
      <c r="A8736" t="s">
        <v>344</v>
      </c>
      <c r="B8736" t="s">
        <v>71</v>
      </c>
      <c r="C8736" t="s">
        <v>72</v>
      </c>
      <c r="D8736">
        <v>6003</v>
      </c>
      <c r="E8736">
        <v>2019</v>
      </c>
      <c r="F8736">
        <v>4</v>
      </c>
      <c r="G8736">
        <v>18747</v>
      </c>
      <c r="H8736" s="1">
        <v>3</v>
      </c>
      <c r="I8736">
        <v>1</v>
      </c>
      <c r="J8736">
        <f>IF($H8736=0,1,IF($I8736&lt;=1,2,0))</f>
        <v>2</v>
      </c>
      <c r="K8736">
        <v>0</v>
      </c>
      <c r="L8736">
        <f>IF(AND($J8736=0,$K8736=0),0,1)</f>
        <v>1</v>
      </c>
    </row>
    <row r="8737" spans="1:12" x14ac:dyDescent="0.2">
      <c r="A8737" t="s">
        <v>344</v>
      </c>
      <c r="B8737" t="s">
        <v>71</v>
      </c>
      <c r="C8737" t="s">
        <v>72</v>
      </c>
      <c r="D8737">
        <v>6003</v>
      </c>
      <c r="E8737">
        <v>2019</v>
      </c>
      <c r="F8737">
        <v>5</v>
      </c>
      <c r="G8737">
        <v>18888</v>
      </c>
      <c r="H8737" s="1">
        <v>3</v>
      </c>
      <c r="I8737">
        <v>1</v>
      </c>
      <c r="J8737">
        <f>IF($H8737=0,1,IF($I8737&lt;=1,2,0))</f>
        <v>2</v>
      </c>
      <c r="K8737">
        <v>0</v>
      </c>
      <c r="L8737">
        <f>IF(AND($J8737=0,$K8737=0),0,1)</f>
        <v>1</v>
      </c>
    </row>
    <row r="8738" spans="1:12" x14ac:dyDescent="0.2">
      <c r="A8738" t="s">
        <v>344</v>
      </c>
      <c r="B8738" t="s">
        <v>71</v>
      </c>
      <c r="C8738" t="s">
        <v>72</v>
      </c>
      <c r="D8738">
        <v>6003</v>
      </c>
      <c r="E8738">
        <v>2019</v>
      </c>
      <c r="F8738">
        <v>16</v>
      </c>
      <c r="G8738">
        <v>18659</v>
      </c>
      <c r="H8738" s="1">
        <v>3</v>
      </c>
      <c r="I8738">
        <v>1</v>
      </c>
      <c r="J8738">
        <f>IF($H8738=0,1,IF($I8738&lt;=1,2,0))</f>
        <v>2</v>
      </c>
      <c r="K8738">
        <v>0</v>
      </c>
      <c r="L8738">
        <f>IF(AND($J8738=0,$K8738=0),0,1)</f>
        <v>1</v>
      </c>
    </row>
    <row r="8739" spans="1:12" x14ac:dyDescent="0.2">
      <c r="A8739" t="s">
        <v>344</v>
      </c>
      <c r="B8739" t="s">
        <v>71</v>
      </c>
      <c r="C8739" t="s">
        <v>72</v>
      </c>
      <c r="D8739">
        <v>6003</v>
      </c>
      <c r="E8739">
        <v>2019</v>
      </c>
      <c r="F8739">
        <v>19</v>
      </c>
      <c r="G8739">
        <v>18660</v>
      </c>
      <c r="H8739" s="1">
        <v>3</v>
      </c>
      <c r="I8739">
        <v>1</v>
      </c>
      <c r="J8739">
        <f>IF($H8739=0,1,IF($I8739&lt;=1,2,0))</f>
        <v>2</v>
      </c>
      <c r="K8739">
        <v>0</v>
      </c>
      <c r="L8739">
        <f>IF(AND($J8739=0,$K8739=0),0,1)</f>
        <v>1</v>
      </c>
    </row>
    <row r="8740" spans="1:12" x14ac:dyDescent="0.2">
      <c r="A8740" t="s">
        <v>344</v>
      </c>
      <c r="B8740" t="s">
        <v>71</v>
      </c>
      <c r="C8740" t="s">
        <v>72</v>
      </c>
      <c r="D8740">
        <v>6003</v>
      </c>
      <c r="E8740">
        <v>2019</v>
      </c>
      <c r="F8740">
        <v>29</v>
      </c>
      <c r="G8740">
        <v>18834</v>
      </c>
      <c r="H8740" s="1">
        <v>3</v>
      </c>
      <c r="I8740">
        <v>1</v>
      </c>
      <c r="J8740">
        <f>IF($H8740=0,1,IF($I8740&lt;=1,2,0))</f>
        <v>2</v>
      </c>
      <c r="K8740">
        <v>0</v>
      </c>
      <c r="L8740">
        <f>IF(AND($J8740=0,$K8740=0),0,1)</f>
        <v>1</v>
      </c>
    </row>
    <row r="8741" spans="1:12" x14ac:dyDescent="0.2">
      <c r="A8741" t="s">
        <v>344</v>
      </c>
      <c r="B8741" t="s">
        <v>71</v>
      </c>
      <c r="C8741" t="s">
        <v>72</v>
      </c>
      <c r="D8741">
        <v>6999</v>
      </c>
      <c r="E8741">
        <v>2019</v>
      </c>
      <c r="F8741">
        <v>1</v>
      </c>
      <c r="G8741">
        <v>15323</v>
      </c>
      <c r="H8741" s="1" t="s">
        <v>221</v>
      </c>
      <c r="I8741">
        <v>4</v>
      </c>
      <c r="J8741">
        <f>IF($H8741=0,1,IF($I8741&lt;=1,2,0))</f>
        <v>0</v>
      </c>
      <c r="K8741">
        <v>9</v>
      </c>
      <c r="L8741">
        <f>IF(AND($J8741=0,$K8741=0),0,1)</f>
        <v>1</v>
      </c>
    </row>
    <row r="8742" spans="1:12" x14ac:dyDescent="0.2">
      <c r="A8742" t="s">
        <v>344</v>
      </c>
      <c r="B8742" t="s">
        <v>71</v>
      </c>
      <c r="C8742" t="s">
        <v>72</v>
      </c>
      <c r="D8742">
        <v>6999</v>
      </c>
      <c r="E8742">
        <v>2019</v>
      </c>
      <c r="F8742">
        <v>2</v>
      </c>
      <c r="G8742">
        <v>15324</v>
      </c>
      <c r="H8742" s="1" t="s">
        <v>221</v>
      </c>
      <c r="I8742">
        <v>3</v>
      </c>
      <c r="J8742">
        <f>IF($H8742=0,1,IF($I8742&lt;=1,2,0))</f>
        <v>0</v>
      </c>
      <c r="K8742">
        <v>9</v>
      </c>
      <c r="L8742">
        <f>IF(AND($J8742=0,$K8742=0),0,1)</f>
        <v>1</v>
      </c>
    </row>
    <row r="8743" spans="1:12" x14ac:dyDescent="0.2">
      <c r="A8743" t="s">
        <v>344</v>
      </c>
      <c r="B8743" t="s">
        <v>71</v>
      </c>
      <c r="C8743" t="s">
        <v>72</v>
      </c>
      <c r="D8743">
        <v>6999</v>
      </c>
      <c r="E8743">
        <v>2019</v>
      </c>
      <c r="F8743">
        <v>3</v>
      </c>
      <c r="G8743">
        <v>15325</v>
      </c>
      <c r="H8743" s="1" t="s">
        <v>221</v>
      </c>
      <c r="I8743">
        <v>3</v>
      </c>
      <c r="J8743">
        <f>IF($H8743=0,1,IF($I8743&lt;=1,2,0))</f>
        <v>0</v>
      </c>
      <c r="K8743">
        <v>9</v>
      </c>
      <c r="L8743">
        <f>IF(AND($J8743=0,$K8743=0),0,1)</f>
        <v>1</v>
      </c>
    </row>
    <row r="8744" spans="1:12" x14ac:dyDescent="0.2">
      <c r="A8744" t="s">
        <v>344</v>
      </c>
      <c r="B8744" t="s">
        <v>71</v>
      </c>
      <c r="C8744" t="s">
        <v>72</v>
      </c>
      <c r="D8744">
        <v>6999</v>
      </c>
      <c r="E8744">
        <v>2019</v>
      </c>
      <c r="F8744">
        <v>6</v>
      </c>
      <c r="G8744">
        <v>15329</v>
      </c>
      <c r="H8744" s="1" t="s">
        <v>221</v>
      </c>
      <c r="I8744">
        <v>3</v>
      </c>
      <c r="J8744">
        <f>IF($H8744=0,1,IF($I8744&lt;=1,2,0))</f>
        <v>0</v>
      </c>
      <c r="K8744">
        <v>9</v>
      </c>
      <c r="L8744">
        <f>IF(AND($J8744=0,$K8744=0),0,1)</f>
        <v>1</v>
      </c>
    </row>
    <row r="8745" spans="1:12" x14ac:dyDescent="0.2">
      <c r="A8745" t="s">
        <v>344</v>
      </c>
      <c r="B8745" t="s">
        <v>71</v>
      </c>
      <c r="C8745" t="s">
        <v>72</v>
      </c>
      <c r="D8745">
        <v>6999</v>
      </c>
      <c r="E8745">
        <v>2019</v>
      </c>
      <c r="F8745">
        <v>4</v>
      </c>
      <c r="G8745">
        <v>15326</v>
      </c>
      <c r="H8745" s="1" t="s">
        <v>221</v>
      </c>
      <c r="I8745">
        <v>2</v>
      </c>
      <c r="J8745">
        <f>IF($H8745=0,1,IF($I8745&lt;=1,2,0))</f>
        <v>0</v>
      </c>
      <c r="K8745">
        <v>9</v>
      </c>
      <c r="L8745">
        <f>IF(AND($J8745=0,$K8745=0),0,1)</f>
        <v>1</v>
      </c>
    </row>
    <row r="8746" spans="1:12" x14ac:dyDescent="0.2">
      <c r="A8746" t="s">
        <v>344</v>
      </c>
      <c r="B8746" t="s">
        <v>71</v>
      </c>
      <c r="C8746" t="s">
        <v>72</v>
      </c>
      <c r="D8746">
        <v>6999</v>
      </c>
      <c r="E8746">
        <v>2019</v>
      </c>
      <c r="F8746">
        <v>5</v>
      </c>
      <c r="G8746">
        <v>15327</v>
      </c>
      <c r="H8746" s="1" t="s">
        <v>221</v>
      </c>
      <c r="I8746">
        <v>0</v>
      </c>
      <c r="J8746">
        <f>IF($H8746=0,1,IF($I8746&lt;=1,2,0))</f>
        <v>2</v>
      </c>
      <c r="K8746">
        <v>9</v>
      </c>
      <c r="L8746">
        <f>IF(AND($J8746=0,$K8746=0),0,1)</f>
        <v>1</v>
      </c>
    </row>
    <row r="8747" spans="1:12" x14ac:dyDescent="0.2">
      <c r="A8747" t="s">
        <v>344</v>
      </c>
      <c r="B8747" t="s">
        <v>71</v>
      </c>
      <c r="C8747" t="s">
        <v>72</v>
      </c>
      <c r="D8747">
        <v>9001</v>
      </c>
      <c r="E8747">
        <v>2019</v>
      </c>
      <c r="F8747">
        <v>21</v>
      </c>
      <c r="G8747">
        <v>98760</v>
      </c>
      <c r="H8747" s="1" t="s">
        <v>1836</v>
      </c>
      <c r="I8747">
        <v>7</v>
      </c>
      <c r="J8747">
        <f>IF($H8747=0,1,IF($I8747&lt;=1,2,0))</f>
        <v>0</v>
      </c>
      <c r="K8747">
        <v>5</v>
      </c>
      <c r="L8747">
        <f>IF(AND($J8747=0,$K8747=0),0,1)</f>
        <v>1</v>
      </c>
    </row>
    <row r="8748" spans="1:12" x14ac:dyDescent="0.2">
      <c r="A8748" t="s">
        <v>344</v>
      </c>
      <c r="B8748" t="s">
        <v>71</v>
      </c>
      <c r="C8748" t="s">
        <v>72</v>
      </c>
      <c r="D8748">
        <v>9001</v>
      </c>
      <c r="E8748">
        <v>2019</v>
      </c>
      <c r="F8748">
        <v>2</v>
      </c>
      <c r="G8748">
        <v>98779</v>
      </c>
      <c r="H8748" s="1" t="s">
        <v>1836</v>
      </c>
      <c r="I8748">
        <v>4</v>
      </c>
      <c r="J8748">
        <f>IF($H8748=0,1,IF($I8748&lt;=1,2,0))</f>
        <v>0</v>
      </c>
      <c r="K8748">
        <v>5</v>
      </c>
      <c r="L8748">
        <f>IF(AND($J8748=0,$K8748=0),0,1)</f>
        <v>1</v>
      </c>
    </row>
    <row r="8749" spans="1:12" x14ac:dyDescent="0.2">
      <c r="A8749" t="s">
        <v>344</v>
      </c>
      <c r="B8749" t="s">
        <v>71</v>
      </c>
      <c r="C8749" t="s">
        <v>72</v>
      </c>
      <c r="D8749">
        <v>9001</v>
      </c>
      <c r="E8749">
        <v>2019</v>
      </c>
      <c r="F8749">
        <v>10</v>
      </c>
      <c r="G8749">
        <v>98771</v>
      </c>
      <c r="H8749" s="1" t="s">
        <v>1836</v>
      </c>
      <c r="I8749">
        <v>3</v>
      </c>
      <c r="J8749">
        <f>IF($H8749=0,1,IF($I8749&lt;=1,2,0))</f>
        <v>0</v>
      </c>
      <c r="K8749">
        <v>5</v>
      </c>
      <c r="L8749">
        <f>IF(AND($J8749=0,$K8749=0),0,1)</f>
        <v>1</v>
      </c>
    </row>
    <row r="8750" spans="1:12" x14ac:dyDescent="0.2">
      <c r="A8750" t="s">
        <v>344</v>
      </c>
      <c r="B8750" t="s">
        <v>71</v>
      </c>
      <c r="C8750" t="s">
        <v>72</v>
      </c>
      <c r="D8750">
        <v>9001</v>
      </c>
      <c r="E8750">
        <v>2019</v>
      </c>
      <c r="F8750">
        <v>15</v>
      </c>
      <c r="G8750">
        <v>98766</v>
      </c>
      <c r="H8750" s="1" t="s">
        <v>1836</v>
      </c>
      <c r="I8750">
        <v>3</v>
      </c>
      <c r="J8750">
        <f>IF($H8750=0,1,IF($I8750&lt;=1,2,0))</f>
        <v>0</v>
      </c>
      <c r="K8750">
        <v>5</v>
      </c>
      <c r="L8750">
        <f>IF(AND($J8750=0,$K8750=0),0,1)</f>
        <v>1</v>
      </c>
    </row>
    <row r="8751" spans="1:12" x14ac:dyDescent="0.2">
      <c r="A8751" t="s">
        <v>344</v>
      </c>
      <c r="B8751" t="s">
        <v>71</v>
      </c>
      <c r="C8751" t="s">
        <v>72</v>
      </c>
      <c r="D8751">
        <v>9001</v>
      </c>
      <c r="E8751">
        <v>2019</v>
      </c>
      <c r="F8751">
        <v>27</v>
      </c>
      <c r="G8751">
        <v>98754</v>
      </c>
      <c r="H8751" s="1" t="s">
        <v>1836</v>
      </c>
      <c r="I8751">
        <v>3</v>
      </c>
      <c r="J8751">
        <f>IF($H8751=0,1,IF($I8751&lt;=1,2,0))</f>
        <v>0</v>
      </c>
      <c r="K8751">
        <v>5</v>
      </c>
      <c r="L8751">
        <f>IF(AND($J8751=0,$K8751=0),0,1)</f>
        <v>1</v>
      </c>
    </row>
    <row r="8752" spans="1:12" x14ac:dyDescent="0.2">
      <c r="A8752" t="s">
        <v>344</v>
      </c>
      <c r="B8752" t="s">
        <v>71</v>
      </c>
      <c r="C8752" t="s">
        <v>72</v>
      </c>
      <c r="D8752">
        <v>9001</v>
      </c>
      <c r="E8752">
        <v>2019</v>
      </c>
      <c r="F8752">
        <v>7</v>
      </c>
      <c r="G8752">
        <v>98774</v>
      </c>
      <c r="H8752" s="1" t="s">
        <v>1836</v>
      </c>
      <c r="I8752">
        <v>2</v>
      </c>
      <c r="J8752">
        <f>IF($H8752=0,1,IF($I8752&lt;=1,2,0))</f>
        <v>0</v>
      </c>
      <c r="K8752">
        <v>5</v>
      </c>
      <c r="L8752">
        <f>IF(AND($J8752=0,$K8752=0),0,1)</f>
        <v>1</v>
      </c>
    </row>
    <row r="8753" spans="1:12" x14ac:dyDescent="0.2">
      <c r="A8753" t="s">
        <v>344</v>
      </c>
      <c r="B8753" t="s">
        <v>71</v>
      </c>
      <c r="C8753" t="s">
        <v>72</v>
      </c>
      <c r="D8753">
        <v>9001</v>
      </c>
      <c r="E8753">
        <v>2019</v>
      </c>
      <c r="F8753">
        <v>12</v>
      </c>
      <c r="G8753">
        <v>98769</v>
      </c>
      <c r="H8753" s="1" t="s">
        <v>1836</v>
      </c>
      <c r="I8753">
        <v>2</v>
      </c>
      <c r="J8753">
        <f>IF($H8753=0,1,IF($I8753&lt;=1,2,0))</f>
        <v>0</v>
      </c>
      <c r="K8753">
        <v>5</v>
      </c>
      <c r="L8753">
        <f>IF(AND($J8753=0,$K8753=0),0,1)</f>
        <v>1</v>
      </c>
    </row>
    <row r="8754" spans="1:12" x14ac:dyDescent="0.2">
      <c r="A8754" t="s">
        <v>344</v>
      </c>
      <c r="B8754" t="s">
        <v>71</v>
      </c>
      <c r="C8754" t="s">
        <v>72</v>
      </c>
      <c r="D8754">
        <v>9001</v>
      </c>
      <c r="E8754">
        <v>2019</v>
      </c>
      <c r="F8754">
        <v>13</v>
      </c>
      <c r="G8754">
        <v>98768</v>
      </c>
      <c r="H8754" s="1" t="s">
        <v>1836</v>
      </c>
      <c r="I8754">
        <v>2</v>
      </c>
      <c r="J8754">
        <f>IF($H8754=0,1,IF($I8754&lt;=1,2,0))</f>
        <v>0</v>
      </c>
      <c r="K8754">
        <v>5</v>
      </c>
      <c r="L8754">
        <f>IF(AND($J8754=0,$K8754=0),0,1)</f>
        <v>1</v>
      </c>
    </row>
    <row r="8755" spans="1:12" x14ac:dyDescent="0.2">
      <c r="A8755" t="s">
        <v>344</v>
      </c>
      <c r="B8755" t="s">
        <v>71</v>
      </c>
      <c r="C8755" t="s">
        <v>72</v>
      </c>
      <c r="D8755">
        <v>9001</v>
      </c>
      <c r="E8755">
        <v>2019</v>
      </c>
      <c r="F8755">
        <v>20</v>
      </c>
      <c r="G8755">
        <v>98761</v>
      </c>
      <c r="H8755" s="1" t="s">
        <v>1836</v>
      </c>
      <c r="I8755">
        <v>2</v>
      </c>
      <c r="J8755">
        <f>IF($H8755=0,1,IF($I8755&lt;=1,2,0))</f>
        <v>0</v>
      </c>
      <c r="K8755">
        <v>5</v>
      </c>
      <c r="L8755">
        <f>IF(AND($J8755=0,$K8755=0),0,1)</f>
        <v>1</v>
      </c>
    </row>
    <row r="8756" spans="1:12" x14ac:dyDescent="0.2">
      <c r="A8756" t="s">
        <v>344</v>
      </c>
      <c r="B8756" t="s">
        <v>71</v>
      </c>
      <c r="C8756" t="s">
        <v>72</v>
      </c>
      <c r="D8756">
        <v>9001</v>
      </c>
      <c r="E8756">
        <v>2019</v>
      </c>
      <c r="F8756">
        <v>26</v>
      </c>
      <c r="G8756">
        <v>98755</v>
      </c>
      <c r="H8756" s="1" t="s">
        <v>1836</v>
      </c>
      <c r="I8756">
        <v>2</v>
      </c>
      <c r="J8756">
        <f>IF($H8756=0,1,IF($I8756&lt;=1,2,0))</f>
        <v>0</v>
      </c>
      <c r="K8756">
        <v>5</v>
      </c>
      <c r="L8756">
        <f>IF(AND($J8756=0,$K8756=0),0,1)</f>
        <v>1</v>
      </c>
    </row>
    <row r="8757" spans="1:12" x14ac:dyDescent="0.2">
      <c r="A8757" t="s">
        <v>344</v>
      </c>
      <c r="B8757" t="s">
        <v>71</v>
      </c>
      <c r="C8757" t="s">
        <v>72</v>
      </c>
      <c r="D8757">
        <v>9001</v>
      </c>
      <c r="E8757">
        <v>2019</v>
      </c>
      <c r="F8757">
        <v>1</v>
      </c>
      <c r="G8757">
        <v>98780</v>
      </c>
      <c r="H8757" s="1" t="s">
        <v>1836</v>
      </c>
      <c r="I8757">
        <v>1</v>
      </c>
      <c r="J8757">
        <f>IF($H8757=0,1,IF($I8757&lt;=1,2,0))</f>
        <v>2</v>
      </c>
      <c r="K8757">
        <v>5</v>
      </c>
      <c r="L8757">
        <f>IF(AND($J8757=0,$K8757=0),0,1)</f>
        <v>1</v>
      </c>
    </row>
    <row r="8758" spans="1:12" x14ac:dyDescent="0.2">
      <c r="A8758" t="s">
        <v>344</v>
      </c>
      <c r="B8758" t="s">
        <v>71</v>
      </c>
      <c r="C8758" t="s">
        <v>72</v>
      </c>
      <c r="D8758">
        <v>9001</v>
      </c>
      <c r="E8758">
        <v>2019</v>
      </c>
      <c r="F8758">
        <v>3</v>
      </c>
      <c r="G8758">
        <v>98778</v>
      </c>
      <c r="H8758" s="1" t="s">
        <v>1836</v>
      </c>
      <c r="I8758">
        <v>1</v>
      </c>
      <c r="J8758">
        <f>IF($H8758=0,1,IF($I8758&lt;=1,2,0))</f>
        <v>2</v>
      </c>
      <c r="K8758">
        <v>5</v>
      </c>
      <c r="L8758">
        <f>IF(AND($J8758=0,$K8758=0),0,1)</f>
        <v>1</v>
      </c>
    </row>
    <row r="8759" spans="1:12" x14ac:dyDescent="0.2">
      <c r="A8759" t="s">
        <v>344</v>
      </c>
      <c r="B8759" t="s">
        <v>71</v>
      </c>
      <c r="C8759" t="s">
        <v>72</v>
      </c>
      <c r="D8759">
        <v>9001</v>
      </c>
      <c r="E8759">
        <v>2019</v>
      </c>
      <c r="F8759">
        <v>4</v>
      </c>
      <c r="G8759">
        <v>98777</v>
      </c>
      <c r="H8759" s="1" t="s">
        <v>1836</v>
      </c>
      <c r="I8759">
        <v>1</v>
      </c>
      <c r="J8759">
        <f>IF($H8759=0,1,IF($I8759&lt;=1,2,0))</f>
        <v>2</v>
      </c>
      <c r="K8759">
        <v>5</v>
      </c>
      <c r="L8759">
        <f>IF(AND($J8759=0,$K8759=0),0,1)</f>
        <v>1</v>
      </c>
    </row>
    <row r="8760" spans="1:12" x14ac:dyDescent="0.2">
      <c r="A8760" t="s">
        <v>344</v>
      </c>
      <c r="B8760" t="s">
        <v>71</v>
      </c>
      <c r="C8760" t="s">
        <v>72</v>
      </c>
      <c r="D8760">
        <v>9001</v>
      </c>
      <c r="E8760">
        <v>2019</v>
      </c>
      <c r="F8760">
        <v>8</v>
      </c>
      <c r="G8760">
        <v>98773</v>
      </c>
      <c r="H8760" s="1" t="s">
        <v>1836</v>
      </c>
      <c r="I8760">
        <v>1</v>
      </c>
      <c r="J8760">
        <f>IF($H8760=0,1,IF($I8760&lt;=1,2,0))</f>
        <v>2</v>
      </c>
      <c r="K8760">
        <v>5</v>
      </c>
      <c r="L8760">
        <f>IF(AND($J8760=0,$K8760=0),0,1)</f>
        <v>1</v>
      </c>
    </row>
    <row r="8761" spans="1:12" x14ac:dyDescent="0.2">
      <c r="A8761" t="s">
        <v>344</v>
      </c>
      <c r="B8761" t="s">
        <v>71</v>
      </c>
      <c r="C8761" t="s">
        <v>72</v>
      </c>
      <c r="D8761">
        <v>9001</v>
      </c>
      <c r="E8761">
        <v>2019</v>
      </c>
      <c r="F8761">
        <v>9</v>
      </c>
      <c r="G8761">
        <v>98772</v>
      </c>
      <c r="H8761" s="1" t="s">
        <v>1836</v>
      </c>
      <c r="I8761">
        <v>1</v>
      </c>
      <c r="J8761">
        <f>IF($H8761=0,1,IF($I8761&lt;=1,2,0))</f>
        <v>2</v>
      </c>
      <c r="K8761">
        <v>5</v>
      </c>
      <c r="L8761">
        <f>IF(AND($J8761=0,$K8761=0),0,1)</f>
        <v>1</v>
      </c>
    </row>
    <row r="8762" spans="1:12" x14ac:dyDescent="0.2">
      <c r="A8762" t="s">
        <v>344</v>
      </c>
      <c r="B8762" t="s">
        <v>71</v>
      </c>
      <c r="C8762" t="s">
        <v>72</v>
      </c>
      <c r="D8762">
        <v>9001</v>
      </c>
      <c r="E8762">
        <v>2019</v>
      </c>
      <c r="F8762">
        <v>16</v>
      </c>
      <c r="G8762">
        <v>98765</v>
      </c>
      <c r="H8762" s="1" t="s">
        <v>1836</v>
      </c>
      <c r="I8762">
        <v>1</v>
      </c>
      <c r="J8762">
        <f>IF($H8762=0,1,IF($I8762&lt;=1,2,0))</f>
        <v>2</v>
      </c>
      <c r="K8762">
        <v>5</v>
      </c>
      <c r="L8762">
        <f>IF(AND($J8762=0,$K8762=0),0,1)</f>
        <v>1</v>
      </c>
    </row>
    <row r="8763" spans="1:12" x14ac:dyDescent="0.2">
      <c r="A8763" t="s">
        <v>344</v>
      </c>
      <c r="B8763" t="s">
        <v>71</v>
      </c>
      <c r="C8763" t="s">
        <v>72</v>
      </c>
      <c r="D8763">
        <v>9001</v>
      </c>
      <c r="E8763">
        <v>2019</v>
      </c>
      <c r="F8763">
        <v>18</v>
      </c>
      <c r="G8763">
        <v>98763</v>
      </c>
      <c r="H8763" s="1" t="s">
        <v>1836</v>
      </c>
      <c r="I8763">
        <v>1</v>
      </c>
      <c r="J8763">
        <f>IF($H8763=0,1,IF($I8763&lt;=1,2,0))</f>
        <v>2</v>
      </c>
      <c r="K8763">
        <v>5</v>
      </c>
      <c r="L8763">
        <f>IF(AND($J8763=0,$K8763=0),0,1)</f>
        <v>1</v>
      </c>
    </row>
    <row r="8764" spans="1:12" x14ac:dyDescent="0.2">
      <c r="A8764" t="s">
        <v>344</v>
      </c>
      <c r="B8764" t="s">
        <v>71</v>
      </c>
      <c r="C8764" t="s">
        <v>72</v>
      </c>
      <c r="D8764">
        <v>9001</v>
      </c>
      <c r="E8764">
        <v>2019</v>
      </c>
      <c r="F8764">
        <v>19</v>
      </c>
      <c r="G8764">
        <v>98762</v>
      </c>
      <c r="H8764" s="1" t="s">
        <v>1836</v>
      </c>
      <c r="I8764">
        <v>1</v>
      </c>
      <c r="J8764">
        <f>IF($H8764=0,1,IF($I8764&lt;=1,2,0))</f>
        <v>2</v>
      </c>
      <c r="K8764">
        <v>5</v>
      </c>
      <c r="L8764">
        <f>IF(AND($J8764=0,$K8764=0),0,1)</f>
        <v>1</v>
      </c>
    </row>
    <row r="8765" spans="1:12" x14ac:dyDescent="0.2">
      <c r="A8765" t="s">
        <v>344</v>
      </c>
      <c r="B8765" t="s">
        <v>71</v>
      </c>
      <c r="C8765" t="s">
        <v>72</v>
      </c>
      <c r="D8765">
        <v>9001</v>
      </c>
      <c r="E8765">
        <v>2019</v>
      </c>
      <c r="F8765">
        <v>29</v>
      </c>
      <c r="G8765">
        <v>98752</v>
      </c>
      <c r="H8765" s="1" t="s">
        <v>1836</v>
      </c>
      <c r="I8765">
        <v>1</v>
      </c>
      <c r="J8765">
        <f>IF($H8765=0,1,IF($I8765&lt;=1,2,0))</f>
        <v>2</v>
      </c>
      <c r="K8765">
        <v>5</v>
      </c>
      <c r="L8765">
        <f>IF(AND($J8765=0,$K8765=0),0,1)</f>
        <v>1</v>
      </c>
    </row>
    <row r="8766" spans="1:12" x14ac:dyDescent="0.2">
      <c r="A8766" t="s">
        <v>344</v>
      </c>
      <c r="B8766" t="s">
        <v>71</v>
      </c>
      <c r="C8766" t="s">
        <v>72</v>
      </c>
      <c r="D8766">
        <v>9001</v>
      </c>
      <c r="E8766">
        <v>2019</v>
      </c>
      <c r="F8766">
        <v>30</v>
      </c>
      <c r="G8766">
        <v>98751</v>
      </c>
      <c r="H8766" s="1" t="s">
        <v>1836</v>
      </c>
      <c r="I8766">
        <v>1</v>
      </c>
      <c r="J8766">
        <f>IF($H8766=0,1,IF($I8766&lt;=1,2,0))</f>
        <v>2</v>
      </c>
      <c r="K8766">
        <v>5</v>
      </c>
      <c r="L8766">
        <f>IF(AND($J8766=0,$K8766=0),0,1)</f>
        <v>1</v>
      </c>
    </row>
    <row r="8767" spans="1:12" x14ac:dyDescent="0.2">
      <c r="A8767" t="s">
        <v>344</v>
      </c>
      <c r="B8767" t="s">
        <v>71</v>
      </c>
      <c r="C8767" t="s">
        <v>72</v>
      </c>
      <c r="D8767">
        <v>9001</v>
      </c>
      <c r="E8767">
        <v>2019</v>
      </c>
      <c r="F8767">
        <v>5</v>
      </c>
      <c r="G8767">
        <v>98776</v>
      </c>
      <c r="H8767" s="1" t="s">
        <v>1836</v>
      </c>
      <c r="I8767">
        <v>0</v>
      </c>
      <c r="J8767">
        <f>IF($H8767=0,1,IF($I8767&lt;=1,2,0))</f>
        <v>2</v>
      </c>
      <c r="K8767">
        <v>5</v>
      </c>
      <c r="L8767">
        <f>IF(AND($J8767=0,$K8767=0),0,1)</f>
        <v>1</v>
      </c>
    </row>
    <row r="8768" spans="1:12" x14ac:dyDescent="0.2">
      <c r="A8768" t="s">
        <v>344</v>
      </c>
      <c r="B8768" t="s">
        <v>71</v>
      </c>
      <c r="C8768" t="s">
        <v>72</v>
      </c>
      <c r="D8768">
        <v>9001</v>
      </c>
      <c r="E8768">
        <v>2019</v>
      </c>
      <c r="F8768">
        <v>6</v>
      </c>
      <c r="G8768">
        <v>98775</v>
      </c>
      <c r="H8768" s="1" t="s">
        <v>1836</v>
      </c>
      <c r="I8768">
        <v>0</v>
      </c>
      <c r="J8768">
        <f>IF($H8768=0,1,IF($I8768&lt;=1,2,0))</f>
        <v>2</v>
      </c>
      <c r="K8768">
        <v>5</v>
      </c>
      <c r="L8768">
        <f>IF(AND($J8768=0,$K8768=0),0,1)</f>
        <v>1</v>
      </c>
    </row>
    <row r="8769" spans="1:12" x14ac:dyDescent="0.2">
      <c r="A8769" t="s">
        <v>344</v>
      </c>
      <c r="B8769" t="s">
        <v>71</v>
      </c>
      <c r="C8769" t="s">
        <v>72</v>
      </c>
      <c r="D8769">
        <v>9001</v>
      </c>
      <c r="E8769">
        <v>2019</v>
      </c>
      <c r="F8769">
        <v>11</v>
      </c>
      <c r="G8769">
        <v>98770</v>
      </c>
      <c r="H8769" s="1" t="s">
        <v>1836</v>
      </c>
      <c r="I8769">
        <v>0</v>
      </c>
      <c r="J8769">
        <f>IF($H8769=0,1,IF($I8769&lt;=1,2,0))</f>
        <v>2</v>
      </c>
      <c r="K8769">
        <v>5</v>
      </c>
      <c r="L8769">
        <f>IF(AND($J8769=0,$K8769=0),0,1)</f>
        <v>1</v>
      </c>
    </row>
    <row r="8770" spans="1:12" x14ac:dyDescent="0.2">
      <c r="A8770" t="s">
        <v>344</v>
      </c>
      <c r="B8770" t="s">
        <v>71</v>
      </c>
      <c r="C8770" t="s">
        <v>72</v>
      </c>
      <c r="D8770">
        <v>9001</v>
      </c>
      <c r="E8770">
        <v>2019</v>
      </c>
      <c r="F8770">
        <v>14</v>
      </c>
      <c r="G8770">
        <v>98767</v>
      </c>
      <c r="H8770" s="1" t="s">
        <v>1836</v>
      </c>
      <c r="I8770">
        <v>0</v>
      </c>
      <c r="J8770">
        <f>IF($H8770=0,1,IF($I8770&lt;=1,2,0))</f>
        <v>2</v>
      </c>
      <c r="K8770">
        <v>5</v>
      </c>
      <c r="L8770">
        <f>IF(AND($J8770=0,$K8770=0),0,1)</f>
        <v>1</v>
      </c>
    </row>
    <row r="8771" spans="1:12" x14ac:dyDescent="0.2">
      <c r="A8771" t="s">
        <v>344</v>
      </c>
      <c r="B8771" t="s">
        <v>71</v>
      </c>
      <c r="C8771" t="s">
        <v>72</v>
      </c>
      <c r="D8771">
        <v>9001</v>
      </c>
      <c r="E8771">
        <v>2019</v>
      </c>
      <c r="F8771">
        <v>17</v>
      </c>
      <c r="G8771">
        <v>98764</v>
      </c>
      <c r="H8771" s="1" t="s">
        <v>1836</v>
      </c>
      <c r="I8771">
        <v>0</v>
      </c>
      <c r="J8771">
        <f>IF($H8771=0,1,IF($I8771&lt;=1,2,0))</f>
        <v>2</v>
      </c>
      <c r="K8771">
        <v>5</v>
      </c>
      <c r="L8771">
        <f>IF(AND($J8771=0,$K8771=0),0,1)</f>
        <v>1</v>
      </c>
    </row>
    <row r="8772" spans="1:12" x14ac:dyDescent="0.2">
      <c r="A8772" t="s">
        <v>344</v>
      </c>
      <c r="B8772" t="s">
        <v>71</v>
      </c>
      <c r="C8772" t="s">
        <v>72</v>
      </c>
      <c r="D8772">
        <v>9001</v>
      </c>
      <c r="E8772">
        <v>2019</v>
      </c>
      <c r="F8772">
        <v>22</v>
      </c>
      <c r="G8772">
        <v>98759</v>
      </c>
      <c r="H8772" s="1" t="s">
        <v>1836</v>
      </c>
      <c r="I8772">
        <v>0</v>
      </c>
      <c r="J8772">
        <f>IF($H8772=0,1,IF($I8772&lt;=1,2,0))</f>
        <v>2</v>
      </c>
      <c r="K8772">
        <v>5</v>
      </c>
      <c r="L8772">
        <f>IF(AND($J8772=0,$K8772=0),0,1)</f>
        <v>1</v>
      </c>
    </row>
    <row r="8773" spans="1:12" x14ac:dyDescent="0.2">
      <c r="A8773" t="s">
        <v>344</v>
      </c>
      <c r="B8773" t="s">
        <v>71</v>
      </c>
      <c r="C8773" t="s">
        <v>72</v>
      </c>
      <c r="D8773">
        <v>9001</v>
      </c>
      <c r="E8773">
        <v>2019</v>
      </c>
      <c r="F8773">
        <v>23</v>
      </c>
      <c r="G8773">
        <v>98758</v>
      </c>
      <c r="H8773" s="1" t="s">
        <v>1836</v>
      </c>
      <c r="I8773">
        <v>0</v>
      </c>
      <c r="J8773">
        <f>IF($H8773=0,1,IF($I8773&lt;=1,2,0))</f>
        <v>2</v>
      </c>
      <c r="K8773">
        <v>5</v>
      </c>
      <c r="L8773">
        <f>IF(AND($J8773=0,$K8773=0),0,1)</f>
        <v>1</v>
      </c>
    </row>
    <row r="8774" spans="1:12" x14ac:dyDescent="0.2">
      <c r="A8774" t="s">
        <v>344</v>
      </c>
      <c r="B8774" t="s">
        <v>71</v>
      </c>
      <c r="C8774" t="s">
        <v>72</v>
      </c>
      <c r="D8774">
        <v>9001</v>
      </c>
      <c r="E8774">
        <v>2019</v>
      </c>
      <c r="F8774">
        <v>24</v>
      </c>
      <c r="G8774">
        <v>98757</v>
      </c>
      <c r="H8774" s="1" t="s">
        <v>1836</v>
      </c>
      <c r="I8774">
        <v>0</v>
      </c>
      <c r="J8774">
        <f>IF($H8774=0,1,IF($I8774&lt;=1,2,0))</f>
        <v>2</v>
      </c>
      <c r="K8774">
        <v>5</v>
      </c>
      <c r="L8774">
        <f>IF(AND($J8774=0,$K8774=0),0,1)</f>
        <v>1</v>
      </c>
    </row>
    <row r="8775" spans="1:12" x14ac:dyDescent="0.2">
      <c r="A8775" t="s">
        <v>344</v>
      </c>
      <c r="B8775" t="s">
        <v>71</v>
      </c>
      <c r="C8775" t="s">
        <v>72</v>
      </c>
      <c r="D8775">
        <v>9001</v>
      </c>
      <c r="E8775">
        <v>2019</v>
      </c>
      <c r="F8775">
        <v>25</v>
      </c>
      <c r="G8775">
        <v>98756</v>
      </c>
      <c r="H8775" s="1" t="s">
        <v>1836</v>
      </c>
      <c r="I8775">
        <v>0</v>
      </c>
      <c r="J8775">
        <f>IF($H8775=0,1,IF($I8775&lt;=1,2,0))</f>
        <v>2</v>
      </c>
      <c r="K8775">
        <v>5</v>
      </c>
      <c r="L8775">
        <f>IF(AND($J8775=0,$K8775=0),0,1)</f>
        <v>1</v>
      </c>
    </row>
    <row r="8776" spans="1:12" x14ac:dyDescent="0.2">
      <c r="A8776" t="s">
        <v>344</v>
      </c>
      <c r="B8776" t="s">
        <v>71</v>
      </c>
      <c r="C8776" t="s">
        <v>72</v>
      </c>
      <c r="D8776">
        <v>9001</v>
      </c>
      <c r="E8776">
        <v>2019</v>
      </c>
      <c r="F8776">
        <v>28</v>
      </c>
      <c r="G8776">
        <v>98753</v>
      </c>
      <c r="H8776" s="1" t="s">
        <v>1836</v>
      </c>
      <c r="I8776">
        <v>0</v>
      </c>
      <c r="J8776">
        <f>IF($H8776=0,1,IF($I8776&lt;=1,2,0))</f>
        <v>2</v>
      </c>
      <c r="K8776">
        <v>5</v>
      </c>
      <c r="L8776">
        <f>IF(AND($J8776=0,$K8776=0),0,1)</f>
        <v>1</v>
      </c>
    </row>
    <row r="8777" spans="1:12" x14ac:dyDescent="0.2">
      <c r="A8777" t="s">
        <v>344</v>
      </c>
      <c r="B8777" t="s">
        <v>71</v>
      </c>
      <c r="C8777" t="s">
        <v>72</v>
      </c>
      <c r="D8777">
        <v>9303</v>
      </c>
      <c r="E8777">
        <v>2019</v>
      </c>
      <c r="F8777">
        <v>1</v>
      </c>
      <c r="G8777">
        <v>17857</v>
      </c>
      <c r="H8777" s="1">
        <v>3</v>
      </c>
      <c r="I8777">
        <v>2</v>
      </c>
      <c r="J8777">
        <f>IF($H8777=0,1,IF($I8777&lt;=1,2,0))</f>
        <v>0</v>
      </c>
      <c r="K8777">
        <v>5</v>
      </c>
      <c r="L8777">
        <f>IF(AND($J8777=0,$K8777=0),0,1)</f>
        <v>1</v>
      </c>
    </row>
    <row r="8778" spans="1:12" x14ac:dyDescent="0.2">
      <c r="A8778" t="s">
        <v>344</v>
      </c>
      <c r="B8778" t="s">
        <v>71</v>
      </c>
      <c r="C8778" t="s">
        <v>72</v>
      </c>
      <c r="D8778">
        <v>9403</v>
      </c>
      <c r="E8778">
        <v>2019</v>
      </c>
      <c r="F8778">
        <v>1</v>
      </c>
      <c r="G8778">
        <v>16451</v>
      </c>
      <c r="H8778" s="1">
        <v>3</v>
      </c>
      <c r="I8778">
        <v>6</v>
      </c>
      <c r="J8778">
        <f>IF($H8778=0,1,IF($I8778&lt;=1,2,0))</f>
        <v>0</v>
      </c>
      <c r="K8778">
        <v>5</v>
      </c>
      <c r="L8778">
        <f>IF(AND($J8778=0,$K8778=0),0,1)</f>
        <v>1</v>
      </c>
    </row>
    <row r="8779" spans="1:12" x14ac:dyDescent="0.2">
      <c r="A8779" t="s">
        <v>344</v>
      </c>
      <c r="B8779" t="s">
        <v>71</v>
      </c>
      <c r="C8779" t="s">
        <v>72</v>
      </c>
      <c r="D8779">
        <v>9403</v>
      </c>
      <c r="E8779">
        <v>2019</v>
      </c>
      <c r="F8779">
        <v>2</v>
      </c>
      <c r="G8779">
        <v>17898</v>
      </c>
      <c r="H8779" s="1">
        <v>3</v>
      </c>
      <c r="I8779">
        <v>4</v>
      </c>
      <c r="J8779">
        <f>IF($H8779=0,1,IF($I8779&lt;=1,2,0))</f>
        <v>0</v>
      </c>
      <c r="K8779">
        <v>5</v>
      </c>
      <c r="L8779">
        <f>IF(AND($J8779=0,$K8779=0),0,1)</f>
        <v>1</v>
      </c>
    </row>
    <row r="8780" spans="1:12" x14ac:dyDescent="0.2">
      <c r="A8780" t="s">
        <v>344</v>
      </c>
      <c r="B8780" t="s">
        <v>71</v>
      </c>
      <c r="C8780" t="s">
        <v>72</v>
      </c>
      <c r="D8780">
        <v>9800</v>
      </c>
      <c r="E8780">
        <v>2019</v>
      </c>
      <c r="F8780">
        <v>2</v>
      </c>
      <c r="G8780">
        <v>18780</v>
      </c>
      <c r="H8780" s="1" t="s">
        <v>1838</v>
      </c>
      <c r="I8780">
        <v>0</v>
      </c>
      <c r="J8780">
        <f>IF($H8780=0,1,IF($I8780&lt;=1,2,0))</f>
        <v>2</v>
      </c>
      <c r="K8780">
        <v>5</v>
      </c>
      <c r="L8780">
        <f>IF(AND($J8780=0,$K8780=0),0,1)</f>
        <v>1</v>
      </c>
    </row>
    <row r="8781" spans="1:12" x14ac:dyDescent="0.2">
      <c r="A8781" t="s">
        <v>345</v>
      </c>
      <c r="B8781" t="s">
        <v>71</v>
      </c>
      <c r="C8781" t="s">
        <v>72</v>
      </c>
      <c r="D8781">
        <v>4000</v>
      </c>
      <c r="E8781">
        <v>2019</v>
      </c>
      <c r="F8781">
        <v>5</v>
      </c>
      <c r="G8781">
        <v>56473</v>
      </c>
      <c r="H8781" s="1">
        <v>0</v>
      </c>
      <c r="I8781">
        <v>256</v>
      </c>
      <c r="J8781">
        <f>IF($H8781=0,1,IF($I8781&lt;=1,2,0))</f>
        <v>1</v>
      </c>
      <c r="K8781">
        <v>0</v>
      </c>
      <c r="L8781">
        <f>IF(AND($J8781=0,$K8781=0),0,1)</f>
        <v>1</v>
      </c>
    </row>
    <row r="8782" spans="1:12" x14ac:dyDescent="0.2">
      <c r="A8782" t="s">
        <v>345</v>
      </c>
      <c r="B8782" t="s">
        <v>71</v>
      </c>
      <c r="C8782" t="s">
        <v>72</v>
      </c>
      <c r="D8782">
        <v>4000</v>
      </c>
      <c r="E8782">
        <v>2019</v>
      </c>
      <c r="F8782">
        <v>13</v>
      </c>
      <c r="G8782">
        <v>56481</v>
      </c>
      <c r="H8782" s="1">
        <v>0</v>
      </c>
      <c r="I8782">
        <v>225</v>
      </c>
      <c r="J8782">
        <f>IF($H8782=0,1,IF($I8782&lt;=1,2,0))</f>
        <v>1</v>
      </c>
      <c r="K8782">
        <v>0</v>
      </c>
      <c r="L8782">
        <f>IF(AND($J8782=0,$K8782=0),0,1)</f>
        <v>1</v>
      </c>
    </row>
    <row r="8783" spans="1:12" x14ac:dyDescent="0.2">
      <c r="A8783" t="s">
        <v>345</v>
      </c>
      <c r="B8783" t="s">
        <v>71</v>
      </c>
      <c r="C8783" t="s">
        <v>72</v>
      </c>
      <c r="D8783">
        <v>4000</v>
      </c>
      <c r="E8783">
        <v>2019</v>
      </c>
      <c r="F8783">
        <v>6</v>
      </c>
      <c r="G8783">
        <v>56474</v>
      </c>
      <c r="H8783" s="1">
        <v>0</v>
      </c>
      <c r="I8783">
        <v>156</v>
      </c>
      <c r="J8783">
        <f>IF($H8783=0,1,IF($I8783&lt;=1,2,0))</f>
        <v>1</v>
      </c>
      <c r="K8783">
        <v>0</v>
      </c>
      <c r="L8783">
        <f>IF(AND($J8783=0,$K8783=0),0,1)</f>
        <v>1</v>
      </c>
    </row>
    <row r="8784" spans="1:12" x14ac:dyDescent="0.2">
      <c r="A8784" t="s">
        <v>345</v>
      </c>
      <c r="B8784" t="s">
        <v>71</v>
      </c>
      <c r="C8784" t="s">
        <v>72</v>
      </c>
      <c r="D8784">
        <v>4000</v>
      </c>
      <c r="E8784">
        <v>2019</v>
      </c>
      <c r="F8784">
        <v>10</v>
      </c>
      <c r="G8784">
        <v>56478</v>
      </c>
      <c r="H8784" s="1">
        <v>0</v>
      </c>
      <c r="I8784">
        <v>143</v>
      </c>
      <c r="J8784">
        <f>IF($H8784=0,1,IF($I8784&lt;=1,2,0))</f>
        <v>1</v>
      </c>
      <c r="K8784">
        <v>0</v>
      </c>
      <c r="L8784">
        <f>IF(AND($J8784=0,$K8784=0),0,1)</f>
        <v>1</v>
      </c>
    </row>
    <row r="8785" spans="1:13" x14ac:dyDescent="0.2">
      <c r="A8785" t="s">
        <v>345</v>
      </c>
      <c r="B8785" t="s">
        <v>71</v>
      </c>
      <c r="C8785" t="s">
        <v>72</v>
      </c>
      <c r="D8785">
        <v>4000</v>
      </c>
      <c r="E8785">
        <v>2019</v>
      </c>
      <c r="F8785">
        <v>9</v>
      </c>
      <c r="G8785">
        <v>56477</v>
      </c>
      <c r="H8785" s="1">
        <v>0</v>
      </c>
      <c r="I8785">
        <v>142</v>
      </c>
      <c r="J8785">
        <f>IF($H8785=0,1,IF($I8785&lt;=1,2,0))</f>
        <v>1</v>
      </c>
      <c r="K8785">
        <v>0</v>
      </c>
      <c r="L8785">
        <f>IF(AND($J8785=0,$K8785=0),0,1)</f>
        <v>1</v>
      </c>
    </row>
    <row r="8786" spans="1:13" x14ac:dyDescent="0.2">
      <c r="A8786" t="s">
        <v>345</v>
      </c>
      <c r="B8786" t="s">
        <v>71</v>
      </c>
      <c r="C8786" t="s">
        <v>72</v>
      </c>
      <c r="D8786">
        <v>4000</v>
      </c>
      <c r="E8786">
        <v>2019</v>
      </c>
      <c r="F8786">
        <v>14</v>
      </c>
      <c r="G8786">
        <v>56482</v>
      </c>
      <c r="H8786" s="1">
        <v>0</v>
      </c>
      <c r="I8786">
        <v>131</v>
      </c>
      <c r="J8786">
        <f>IF($H8786=0,1,IF($I8786&lt;=1,2,0))</f>
        <v>1</v>
      </c>
      <c r="K8786">
        <v>0</v>
      </c>
      <c r="L8786">
        <f>IF(AND($J8786=0,$K8786=0),0,1)</f>
        <v>1</v>
      </c>
    </row>
    <row r="8787" spans="1:13" x14ac:dyDescent="0.2">
      <c r="A8787" t="s">
        <v>345</v>
      </c>
      <c r="B8787" t="s">
        <v>71</v>
      </c>
      <c r="C8787" t="s">
        <v>72</v>
      </c>
      <c r="D8787">
        <v>4000</v>
      </c>
      <c r="E8787">
        <v>2019</v>
      </c>
      <c r="F8787">
        <v>3</v>
      </c>
      <c r="G8787">
        <v>56471</v>
      </c>
      <c r="H8787" s="1">
        <v>0</v>
      </c>
      <c r="I8787">
        <v>100</v>
      </c>
      <c r="J8787">
        <f>IF($H8787=0,1,IF($I8787&lt;=1,2,0))</f>
        <v>1</v>
      </c>
      <c r="K8787">
        <v>0</v>
      </c>
      <c r="L8787">
        <f>IF(AND($J8787=0,$K8787=0),0,1)</f>
        <v>1</v>
      </c>
    </row>
    <row r="8788" spans="1:13" x14ac:dyDescent="0.2">
      <c r="A8788" t="s">
        <v>345</v>
      </c>
      <c r="B8788" t="s">
        <v>71</v>
      </c>
      <c r="C8788" t="s">
        <v>72</v>
      </c>
      <c r="D8788">
        <v>4000</v>
      </c>
      <c r="E8788">
        <v>2019</v>
      </c>
      <c r="F8788">
        <v>12</v>
      </c>
      <c r="G8788">
        <v>56480</v>
      </c>
      <c r="H8788" s="1">
        <v>0</v>
      </c>
      <c r="I8788">
        <v>97</v>
      </c>
      <c r="J8788">
        <f>IF($H8788=0,1,IF($I8788&lt;=1,2,0))</f>
        <v>1</v>
      </c>
      <c r="K8788">
        <v>0</v>
      </c>
      <c r="L8788">
        <f>IF(AND($J8788=0,$K8788=0),0,1)</f>
        <v>1</v>
      </c>
    </row>
    <row r="8789" spans="1:13" x14ac:dyDescent="0.2">
      <c r="A8789" t="s">
        <v>345</v>
      </c>
      <c r="B8789" t="s">
        <v>71</v>
      </c>
      <c r="C8789" t="s">
        <v>72</v>
      </c>
      <c r="D8789">
        <v>4000</v>
      </c>
      <c r="E8789">
        <v>2019</v>
      </c>
      <c r="F8789">
        <v>11</v>
      </c>
      <c r="G8789">
        <v>56479</v>
      </c>
      <c r="H8789" s="1">
        <v>0</v>
      </c>
      <c r="I8789">
        <v>94</v>
      </c>
      <c r="J8789">
        <f>IF($H8789=0,1,IF($I8789&lt;=1,2,0))</f>
        <v>1</v>
      </c>
      <c r="K8789">
        <v>0</v>
      </c>
      <c r="L8789">
        <f>IF(AND($J8789=0,$K8789=0),0,1)</f>
        <v>1</v>
      </c>
    </row>
    <row r="8790" spans="1:13" x14ac:dyDescent="0.2">
      <c r="A8790" t="s">
        <v>345</v>
      </c>
      <c r="B8790" t="s">
        <v>71</v>
      </c>
      <c r="C8790" t="s">
        <v>72</v>
      </c>
      <c r="D8790">
        <v>4000</v>
      </c>
      <c r="E8790">
        <v>2019</v>
      </c>
      <c r="F8790">
        <v>2</v>
      </c>
      <c r="G8790">
        <v>56470</v>
      </c>
      <c r="H8790" s="1">
        <v>0</v>
      </c>
      <c r="I8790">
        <v>58</v>
      </c>
      <c r="J8790">
        <f>IF($H8790=0,1,IF($I8790&lt;=1,2,0))</f>
        <v>1</v>
      </c>
      <c r="K8790">
        <v>0</v>
      </c>
      <c r="L8790">
        <f>IF(AND($J8790=0,$K8790=0),0,1)</f>
        <v>1</v>
      </c>
    </row>
    <row r="8791" spans="1:13" x14ac:dyDescent="0.2">
      <c r="A8791" t="s">
        <v>345</v>
      </c>
      <c r="B8791" t="s">
        <v>71</v>
      </c>
      <c r="C8791" t="s">
        <v>72</v>
      </c>
      <c r="D8791">
        <v>4000</v>
      </c>
      <c r="E8791">
        <v>2019</v>
      </c>
      <c r="F8791">
        <v>1</v>
      </c>
      <c r="G8791">
        <v>56469</v>
      </c>
      <c r="H8791" s="1">
        <v>0</v>
      </c>
      <c r="I8791">
        <v>55</v>
      </c>
      <c r="J8791">
        <f>IF($H8791=0,1,IF($I8791&lt;=1,2,0))</f>
        <v>1</v>
      </c>
      <c r="K8791">
        <v>0</v>
      </c>
      <c r="L8791">
        <f>IF(AND($J8791=0,$K8791=0),0,1)</f>
        <v>1</v>
      </c>
    </row>
    <row r="8792" spans="1:13" x14ac:dyDescent="0.2">
      <c r="A8792" t="s">
        <v>345</v>
      </c>
      <c r="B8792" t="s">
        <v>71</v>
      </c>
      <c r="C8792" t="s">
        <v>72</v>
      </c>
      <c r="D8792">
        <v>4000</v>
      </c>
      <c r="E8792">
        <v>2019</v>
      </c>
      <c r="F8792">
        <v>4</v>
      </c>
      <c r="G8792">
        <v>56472</v>
      </c>
      <c r="H8792" s="1">
        <v>0</v>
      </c>
      <c r="I8792">
        <v>40</v>
      </c>
      <c r="J8792">
        <f>IF($H8792=0,1,IF($I8792&lt;=1,2,0))</f>
        <v>1</v>
      </c>
      <c r="K8792">
        <v>0</v>
      </c>
      <c r="L8792">
        <f>IF(AND($J8792=0,$K8792=0),0,1)</f>
        <v>1</v>
      </c>
    </row>
    <row r="8793" spans="1:13" x14ac:dyDescent="0.2">
      <c r="A8793" t="s">
        <v>345</v>
      </c>
      <c r="B8793" t="s">
        <v>71</v>
      </c>
      <c r="C8793" t="s">
        <v>72</v>
      </c>
      <c r="D8793">
        <v>4000</v>
      </c>
      <c r="E8793">
        <v>2019</v>
      </c>
      <c r="F8793">
        <v>7</v>
      </c>
      <c r="G8793">
        <v>56475</v>
      </c>
      <c r="H8793" s="1">
        <v>0</v>
      </c>
      <c r="I8793">
        <v>18</v>
      </c>
      <c r="J8793">
        <f>IF($H8793=0,1,IF($I8793&lt;=1,2,0))</f>
        <v>1</v>
      </c>
      <c r="K8793">
        <v>0</v>
      </c>
      <c r="L8793">
        <f>IF(AND($J8793=0,$K8793=0),0,1)</f>
        <v>1</v>
      </c>
    </row>
    <row r="8794" spans="1:13" x14ac:dyDescent="0.2">
      <c r="A8794" t="s">
        <v>345</v>
      </c>
      <c r="B8794" t="s">
        <v>71</v>
      </c>
      <c r="C8794" t="s">
        <v>72</v>
      </c>
      <c r="D8794">
        <v>4000</v>
      </c>
      <c r="E8794">
        <v>2019</v>
      </c>
      <c r="F8794">
        <v>8</v>
      </c>
      <c r="G8794">
        <v>56476</v>
      </c>
      <c r="H8794" s="1">
        <v>0</v>
      </c>
      <c r="I8794">
        <v>17</v>
      </c>
      <c r="J8794">
        <f>IF($H8794=0,1,IF($I8794&lt;=1,2,0))</f>
        <v>1</v>
      </c>
      <c r="K8794">
        <v>0</v>
      </c>
      <c r="L8794">
        <f>IF(AND($J8794=0,$K8794=0),0,1)</f>
        <v>1</v>
      </c>
    </row>
    <row r="8795" spans="1:13" x14ac:dyDescent="0.2">
      <c r="A8795" t="s">
        <v>345</v>
      </c>
      <c r="B8795" t="s">
        <v>71</v>
      </c>
      <c r="C8795" t="s">
        <v>72</v>
      </c>
      <c r="D8795">
        <v>4800</v>
      </c>
      <c r="E8795">
        <v>2019</v>
      </c>
      <c r="F8795">
        <v>1</v>
      </c>
      <c r="G8795">
        <v>56485</v>
      </c>
      <c r="H8795" s="1">
        <v>3</v>
      </c>
      <c r="I8795">
        <v>152</v>
      </c>
      <c r="J8795">
        <f>IF($H8795=0,1,IF($I8795&lt;=1,2,0))</f>
        <v>0</v>
      </c>
      <c r="K8795">
        <v>4</v>
      </c>
      <c r="L8795">
        <f>IF(AND($J8795=0,$K8795=0),0,1)</f>
        <v>1</v>
      </c>
      <c r="M8795" t="s">
        <v>346</v>
      </c>
    </row>
    <row r="8796" spans="1:13" x14ac:dyDescent="0.2">
      <c r="A8796" t="s">
        <v>345</v>
      </c>
      <c r="B8796" t="s">
        <v>71</v>
      </c>
      <c r="C8796" t="s">
        <v>72</v>
      </c>
      <c r="D8796">
        <v>4990</v>
      </c>
      <c r="E8796">
        <v>2019</v>
      </c>
      <c r="F8796">
        <v>7</v>
      </c>
      <c r="G8796">
        <v>18750</v>
      </c>
      <c r="H8796" s="1" t="s">
        <v>1842</v>
      </c>
      <c r="I8796">
        <v>5</v>
      </c>
      <c r="J8796">
        <f>IF($H8796=0,1,IF($I8796&lt;=1,2,0))</f>
        <v>0</v>
      </c>
      <c r="K8796">
        <v>9</v>
      </c>
      <c r="L8796">
        <f>IF(AND($J8796=0,$K8796=0),0,1)</f>
        <v>1</v>
      </c>
    </row>
    <row r="8797" spans="1:13" x14ac:dyDescent="0.2">
      <c r="A8797" t="s">
        <v>345</v>
      </c>
      <c r="B8797" t="s">
        <v>71</v>
      </c>
      <c r="C8797" t="s">
        <v>72</v>
      </c>
      <c r="D8797">
        <v>4990</v>
      </c>
      <c r="E8797">
        <v>2019</v>
      </c>
      <c r="F8797">
        <v>9</v>
      </c>
      <c r="G8797">
        <v>18751</v>
      </c>
      <c r="H8797" s="1" t="s">
        <v>1842</v>
      </c>
      <c r="I8797">
        <v>1</v>
      </c>
      <c r="J8797">
        <f>IF($H8797=0,1,IF($I8797&lt;=1,2,0))</f>
        <v>2</v>
      </c>
      <c r="K8797">
        <v>9</v>
      </c>
      <c r="L8797">
        <f>IF(AND($J8797=0,$K8797=0),0,1)</f>
        <v>1</v>
      </c>
    </row>
    <row r="8798" spans="1:13" x14ac:dyDescent="0.2">
      <c r="A8798" t="s">
        <v>345</v>
      </c>
      <c r="B8798" t="s">
        <v>71</v>
      </c>
      <c r="C8798" t="s">
        <v>72</v>
      </c>
      <c r="D8798">
        <v>5000</v>
      </c>
      <c r="E8798">
        <v>2019</v>
      </c>
      <c r="F8798">
        <v>8</v>
      </c>
      <c r="G8798">
        <v>56490</v>
      </c>
      <c r="H8798" s="1">
        <v>0</v>
      </c>
      <c r="I8798">
        <v>38</v>
      </c>
      <c r="J8798">
        <f>IF($H8798=0,1,IF($I8798&lt;=1,2,0))</f>
        <v>1</v>
      </c>
      <c r="K8798">
        <v>0</v>
      </c>
      <c r="L8798">
        <f>IF(AND($J8798=0,$K8798=0),0,1)</f>
        <v>1</v>
      </c>
    </row>
    <row r="8799" spans="1:13" x14ac:dyDescent="0.2">
      <c r="A8799" t="s">
        <v>345</v>
      </c>
      <c r="B8799" t="s">
        <v>71</v>
      </c>
      <c r="C8799" t="s">
        <v>72</v>
      </c>
      <c r="D8799">
        <v>5000</v>
      </c>
      <c r="E8799">
        <v>2019</v>
      </c>
      <c r="F8799">
        <v>5</v>
      </c>
      <c r="G8799">
        <v>56461</v>
      </c>
      <c r="H8799" s="1">
        <v>0</v>
      </c>
      <c r="I8799">
        <v>31</v>
      </c>
      <c r="J8799">
        <f>IF($H8799=0,1,IF($I8799&lt;=1,2,0))</f>
        <v>1</v>
      </c>
      <c r="K8799">
        <v>0</v>
      </c>
      <c r="L8799">
        <f>IF(AND($J8799=0,$K8799=0),0,1)</f>
        <v>1</v>
      </c>
    </row>
    <row r="8800" spans="1:13" x14ac:dyDescent="0.2">
      <c r="A8800" t="s">
        <v>345</v>
      </c>
      <c r="B8800" t="s">
        <v>71</v>
      </c>
      <c r="C8800" t="s">
        <v>72</v>
      </c>
      <c r="D8800">
        <v>5000</v>
      </c>
      <c r="E8800">
        <v>2019</v>
      </c>
      <c r="F8800">
        <v>1</v>
      </c>
      <c r="G8800">
        <v>56458</v>
      </c>
      <c r="H8800" s="1">
        <v>0</v>
      </c>
      <c r="I8800">
        <v>23</v>
      </c>
      <c r="J8800">
        <f>IF($H8800=0,1,IF($I8800&lt;=1,2,0))</f>
        <v>1</v>
      </c>
      <c r="K8800">
        <v>0</v>
      </c>
      <c r="L8800">
        <f>IF(AND($J8800=0,$K8800=0),0,1)</f>
        <v>1</v>
      </c>
    </row>
    <row r="8801" spans="1:13" x14ac:dyDescent="0.2">
      <c r="A8801" t="s">
        <v>345</v>
      </c>
      <c r="B8801" t="s">
        <v>71</v>
      </c>
      <c r="C8801" t="s">
        <v>72</v>
      </c>
      <c r="D8801">
        <v>5000</v>
      </c>
      <c r="E8801">
        <v>2019</v>
      </c>
      <c r="F8801">
        <v>3</v>
      </c>
      <c r="G8801">
        <v>56460</v>
      </c>
      <c r="H8801" s="1">
        <v>0</v>
      </c>
      <c r="I8801">
        <v>23</v>
      </c>
      <c r="J8801">
        <f>IF($H8801=0,1,IF($I8801&lt;=1,2,0))</f>
        <v>1</v>
      </c>
      <c r="K8801">
        <v>0</v>
      </c>
      <c r="L8801">
        <f>IF(AND($J8801=0,$K8801=0),0,1)</f>
        <v>1</v>
      </c>
    </row>
    <row r="8802" spans="1:13" x14ac:dyDescent="0.2">
      <c r="A8802" t="s">
        <v>345</v>
      </c>
      <c r="B8802" t="s">
        <v>71</v>
      </c>
      <c r="C8802" t="s">
        <v>72</v>
      </c>
      <c r="D8802">
        <v>5000</v>
      </c>
      <c r="E8802">
        <v>2019</v>
      </c>
      <c r="F8802">
        <v>9</v>
      </c>
      <c r="G8802">
        <v>18231</v>
      </c>
      <c r="H8802" s="1">
        <v>0</v>
      </c>
      <c r="I8802">
        <v>20</v>
      </c>
      <c r="J8802">
        <f>IF($H8802=0,1,IF($I8802&lt;=1,2,0))</f>
        <v>1</v>
      </c>
      <c r="K8802">
        <v>0</v>
      </c>
      <c r="L8802">
        <f>IF(AND($J8802=0,$K8802=0),0,1)</f>
        <v>1</v>
      </c>
    </row>
    <row r="8803" spans="1:13" x14ac:dyDescent="0.2">
      <c r="A8803" t="s">
        <v>345</v>
      </c>
      <c r="B8803" t="s">
        <v>71</v>
      </c>
      <c r="C8803" t="s">
        <v>72</v>
      </c>
      <c r="D8803">
        <v>5000</v>
      </c>
      <c r="E8803">
        <v>2019</v>
      </c>
      <c r="F8803">
        <v>7</v>
      </c>
      <c r="G8803">
        <v>56489</v>
      </c>
      <c r="H8803" s="1">
        <v>0</v>
      </c>
      <c r="I8803">
        <v>19</v>
      </c>
      <c r="J8803">
        <f>IF($H8803=0,1,IF($I8803&lt;=1,2,0))</f>
        <v>1</v>
      </c>
      <c r="K8803">
        <v>0</v>
      </c>
      <c r="L8803">
        <f>IF(AND($J8803=0,$K8803=0),0,1)</f>
        <v>1</v>
      </c>
    </row>
    <row r="8804" spans="1:13" x14ac:dyDescent="0.2">
      <c r="A8804" t="s">
        <v>345</v>
      </c>
      <c r="B8804" t="s">
        <v>71</v>
      </c>
      <c r="C8804" t="s">
        <v>72</v>
      </c>
      <c r="D8804">
        <v>5000</v>
      </c>
      <c r="E8804">
        <v>2019</v>
      </c>
      <c r="F8804">
        <v>4</v>
      </c>
      <c r="G8804">
        <v>10191</v>
      </c>
      <c r="H8804" s="1">
        <v>0</v>
      </c>
      <c r="I8804">
        <v>14</v>
      </c>
      <c r="J8804">
        <f>IF($H8804=0,1,IF($I8804&lt;=1,2,0))</f>
        <v>1</v>
      </c>
      <c r="K8804">
        <v>0</v>
      </c>
      <c r="L8804">
        <f>IF(AND($J8804=0,$K8804=0),0,1)</f>
        <v>1</v>
      </c>
    </row>
    <row r="8805" spans="1:13" x14ac:dyDescent="0.2">
      <c r="A8805" t="s">
        <v>345</v>
      </c>
      <c r="B8805" t="s">
        <v>71</v>
      </c>
      <c r="C8805" t="s">
        <v>72</v>
      </c>
      <c r="D8805">
        <v>5000</v>
      </c>
      <c r="E8805">
        <v>2019</v>
      </c>
      <c r="F8805">
        <v>6</v>
      </c>
      <c r="G8805">
        <v>56488</v>
      </c>
      <c r="H8805" s="1">
        <v>0</v>
      </c>
      <c r="I8805">
        <v>14</v>
      </c>
      <c r="J8805">
        <f>IF($H8805=0,1,IF($I8805&lt;=1,2,0))</f>
        <v>1</v>
      </c>
      <c r="K8805">
        <v>0</v>
      </c>
      <c r="L8805">
        <f>IF(AND($J8805=0,$K8805=0),0,1)</f>
        <v>1</v>
      </c>
    </row>
    <row r="8806" spans="1:13" x14ac:dyDescent="0.2">
      <c r="A8806" t="s">
        <v>345</v>
      </c>
      <c r="B8806" t="s">
        <v>71</v>
      </c>
      <c r="C8806" t="s">
        <v>72</v>
      </c>
      <c r="D8806">
        <v>5000</v>
      </c>
      <c r="E8806">
        <v>2019</v>
      </c>
      <c r="F8806">
        <v>2</v>
      </c>
      <c r="G8806">
        <v>56459</v>
      </c>
      <c r="H8806" s="1">
        <v>0</v>
      </c>
      <c r="I8806">
        <v>12</v>
      </c>
      <c r="J8806">
        <f>IF($H8806=0,1,IF($I8806&lt;=1,2,0))</f>
        <v>1</v>
      </c>
      <c r="K8806">
        <v>0</v>
      </c>
      <c r="L8806">
        <f>IF(AND($J8806=0,$K8806=0),0,1)</f>
        <v>1</v>
      </c>
    </row>
    <row r="8807" spans="1:13" x14ac:dyDescent="0.2">
      <c r="A8807" t="s">
        <v>345</v>
      </c>
      <c r="B8807" t="s">
        <v>71</v>
      </c>
      <c r="C8807" t="s">
        <v>72</v>
      </c>
      <c r="D8807">
        <v>5001</v>
      </c>
      <c r="E8807">
        <v>2019</v>
      </c>
      <c r="F8807">
        <v>1</v>
      </c>
      <c r="G8807">
        <v>56492</v>
      </c>
      <c r="H8807" s="1">
        <v>0</v>
      </c>
      <c r="I8807">
        <v>18</v>
      </c>
      <c r="J8807">
        <f>IF($H8807=0,1,IF($I8807&lt;=1,2,0))</f>
        <v>1</v>
      </c>
      <c r="K8807">
        <v>0</v>
      </c>
      <c r="L8807">
        <f>IF(AND($J8807=0,$K8807=0),0,1)</f>
        <v>1</v>
      </c>
    </row>
    <row r="8808" spans="1:13" x14ac:dyDescent="0.2">
      <c r="A8808" t="s">
        <v>345</v>
      </c>
      <c r="B8808" t="s">
        <v>71</v>
      </c>
      <c r="C8808" t="s">
        <v>72</v>
      </c>
      <c r="D8808">
        <v>5001</v>
      </c>
      <c r="E8808">
        <v>2019</v>
      </c>
      <c r="F8808">
        <v>2</v>
      </c>
      <c r="G8808">
        <v>56491</v>
      </c>
      <c r="H8808" s="1">
        <v>0</v>
      </c>
      <c r="I8808">
        <v>9</v>
      </c>
      <c r="J8808">
        <f>IF($H8808=0,1,IF($I8808&lt;=1,2,0))</f>
        <v>1</v>
      </c>
      <c r="K8808">
        <v>0</v>
      </c>
      <c r="L8808">
        <f>IF(AND($J8808=0,$K8808=0),0,1)</f>
        <v>1</v>
      </c>
    </row>
    <row r="8809" spans="1:13" x14ac:dyDescent="0.2">
      <c r="A8809" t="s">
        <v>345</v>
      </c>
      <c r="B8809" t="s">
        <v>71</v>
      </c>
      <c r="C8809" t="s">
        <v>72</v>
      </c>
      <c r="D8809">
        <v>6001</v>
      </c>
      <c r="E8809">
        <v>2019</v>
      </c>
      <c r="F8809">
        <v>1</v>
      </c>
      <c r="G8809">
        <v>17998</v>
      </c>
      <c r="H8809" s="1">
        <v>0</v>
      </c>
      <c r="I8809">
        <v>149</v>
      </c>
      <c r="J8809">
        <f>IF($H8809=0,1,IF($I8809&lt;=1,2,0))</f>
        <v>1</v>
      </c>
      <c r="K8809">
        <v>0</v>
      </c>
      <c r="L8809">
        <f>IF(AND($J8809=0,$K8809=0),0,1)</f>
        <v>1</v>
      </c>
    </row>
    <row r="8810" spans="1:13" x14ac:dyDescent="0.2">
      <c r="A8810" t="s">
        <v>345</v>
      </c>
      <c r="B8810" t="s">
        <v>71</v>
      </c>
      <c r="C8810" t="s">
        <v>72</v>
      </c>
      <c r="D8810">
        <v>7000</v>
      </c>
      <c r="E8810">
        <v>2019</v>
      </c>
      <c r="F8810">
        <v>3</v>
      </c>
      <c r="G8810">
        <v>56494</v>
      </c>
      <c r="H8810" s="1">
        <v>0</v>
      </c>
      <c r="I8810">
        <v>6</v>
      </c>
      <c r="J8810">
        <f>IF($H8810=0,1,IF($I8810&lt;=1,2,0))</f>
        <v>1</v>
      </c>
      <c r="K8810">
        <v>0</v>
      </c>
      <c r="L8810">
        <f>IF(AND($J8810=0,$K8810=0),0,1)</f>
        <v>1</v>
      </c>
    </row>
    <row r="8811" spans="1:13" x14ac:dyDescent="0.2">
      <c r="A8811" t="s">
        <v>345</v>
      </c>
      <c r="B8811" t="s">
        <v>71</v>
      </c>
      <c r="C8811" t="s">
        <v>72</v>
      </c>
      <c r="D8811">
        <v>7101</v>
      </c>
      <c r="E8811">
        <v>2019</v>
      </c>
      <c r="F8811">
        <v>2</v>
      </c>
      <c r="G8811">
        <v>18179</v>
      </c>
      <c r="H8811" s="1">
        <v>0</v>
      </c>
      <c r="I8811">
        <v>12</v>
      </c>
      <c r="J8811">
        <f>IF($H8811=0,1,IF($I8811&lt;=1,2,0))</f>
        <v>1</v>
      </c>
      <c r="K8811">
        <v>0</v>
      </c>
      <c r="L8811">
        <f>IF(AND($J8811=0,$K8811=0),0,1)</f>
        <v>1</v>
      </c>
      <c r="M8811" t="s">
        <v>347</v>
      </c>
    </row>
    <row r="8812" spans="1:13" x14ac:dyDescent="0.2">
      <c r="A8812" t="s">
        <v>345</v>
      </c>
      <c r="B8812" t="s">
        <v>71</v>
      </c>
      <c r="C8812" t="s">
        <v>72</v>
      </c>
      <c r="D8812">
        <v>7102</v>
      </c>
      <c r="E8812">
        <v>2019</v>
      </c>
      <c r="F8812">
        <v>1</v>
      </c>
      <c r="G8812">
        <v>18180</v>
      </c>
      <c r="H8812" s="1">
        <v>0</v>
      </c>
      <c r="I8812">
        <v>14</v>
      </c>
      <c r="J8812">
        <f>IF($H8812=0,1,IF($I8812&lt;=1,2,0))</f>
        <v>1</v>
      </c>
      <c r="K8812">
        <v>0</v>
      </c>
      <c r="L8812">
        <f>IF(AND($J8812=0,$K8812=0),0,1)</f>
        <v>1</v>
      </c>
      <c r="M8812" t="s">
        <v>348</v>
      </c>
    </row>
    <row r="8813" spans="1:13" x14ac:dyDescent="0.2">
      <c r="A8813" t="s">
        <v>345</v>
      </c>
      <c r="B8813" t="s">
        <v>71</v>
      </c>
      <c r="C8813" t="s">
        <v>72</v>
      </c>
      <c r="D8813">
        <v>7102</v>
      </c>
      <c r="E8813">
        <v>2019</v>
      </c>
      <c r="F8813">
        <v>2</v>
      </c>
      <c r="G8813">
        <v>18921</v>
      </c>
      <c r="H8813" s="1">
        <v>0</v>
      </c>
      <c r="I8813">
        <v>11</v>
      </c>
      <c r="J8813">
        <f>IF($H8813=0,1,IF($I8813&lt;=1,2,0))</f>
        <v>1</v>
      </c>
      <c r="K8813">
        <v>0</v>
      </c>
      <c r="L8813">
        <f>IF(AND($J8813=0,$K8813=0),0,1)</f>
        <v>1</v>
      </c>
    </row>
    <row r="8814" spans="1:13" x14ac:dyDescent="0.2">
      <c r="A8814" t="s">
        <v>349</v>
      </c>
      <c r="B8814" t="s">
        <v>17</v>
      </c>
      <c r="C8814" t="s">
        <v>350</v>
      </c>
      <c r="D8814">
        <v>1</v>
      </c>
      <c r="E8814">
        <v>2019</v>
      </c>
      <c r="F8814">
        <v>1</v>
      </c>
      <c r="G8814">
        <v>53322</v>
      </c>
      <c r="H8814" s="1">
        <v>0</v>
      </c>
      <c r="I8814">
        <v>12</v>
      </c>
      <c r="J8814">
        <f>IF($H8814=0,1,IF($I8814&lt;=1,2,0))</f>
        <v>1</v>
      </c>
      <c r="K8814">
        <v>0</v>
      </c>
      <c r="L8814">
        <f>IF(AND($J8814=0,$K8814=0),0,1)</f>
        <v>1</v>
      </c>
      <c r="M8814" t="s">
        <v>351</v>
      </c>
    </row>
    <row r="8815" spans="1:13" x14ac:dyDescent="0.2">
      <c r="A8815" t="s">
        <v>349</v>
      </c>
      <c r="B8815" t="s">
        <v>17</v>
      </c>
      <c r="C8815" t="s">
        <v>350</v>
      </c>
      <c r="D8815">
        <v>3</v>
      </c>
      <c r="E8815">
        <v>2019</v>
      </c>
      <c r="F8815">
        <v>1</v>
      </c>
      <c r="G8815">
        <v>53269</v>
      </c>
      <c r="H8815" s="1">
        <v>0</v>
      </c>
      <c r="I8815">
        <v>11</v>
      </c>
      <c r="J8815">
        <f>IF($H8815=0,1,IF($I8815&lt;=1,2,0))</f>
        <v>1</v>
      </c>
      <c r="K8815">
        <v>0</v>
      </c>
      <c r="L8815">
        <f>IF(AND($J8815=0,$K8815=0),0,1)</f>
        <v>1</v>
      </c>
      <c r="M8815" t="s">
        <v>351</v>
      </c>
    </row>
    <row r="8816" spans="1:13" x14ac:dyDescent="0.2">
      <c r="A8816" t="s">
        <v>349</v>
      </c>
      <c r="B8816" t="s">
        <v>17</v>
      </c>
      <c r="C8816" t="s">
        <v>350</v>
      </c>
      <c r="D8816">
        <v>5</v>
      </c>
      <c r="E8816">
        <v>2019</v>
      </c>
      <c r="F8816">
        <v>1</v>
      </c>
      <c r="G8816">
        <v>53299</v>
      </c>
      <c r="H8816" s="1">
        <v>0</v>
      </c>
      <c r="I8816">
        <v>11</v>
      </c>
      <c r="J8816">
        <f>IF($H8816=0,1,IF($I8816&lt;=1,2,0))</f>
        <v>1</v>
      </c>
      <c r="K8816">
        <v>0</v>
      </c>
      <c r="L8816">
        <f>IF(AND($J8816=0,$K8816=0),0,1)</f>
        <v>1</v>
      </c>
      <c r="M8816" t="s">
        <v>351</v>
      </c>
    </row>
    <row r="8817" spans="1:13" x14ac:dyDescent="0.2">
      <c r="A8817" t="s">
        <v>349</v>
      </c>
      <c r="B8817" t="s">
        <v>17</v>
      </c>
      <c r="C8817" t="s">
        <v>350</v>
      </c>
      <c r="D8817">
        <v>5</v>
      </c>
      <c r="E8817">
        <v>2019</v>
      </c>
      <c r="F8817">
        <v>2</v>
      </c>
      <c r="G8817">
        <v>53300</v>
      </c>
      <c r="H8817" s="1">
        <v>0</v>
      </c>
      <c r="I8817">
        <v>10</v>
      </c>
      <c r="J8817">
        <f>IF($H8817=0,1,IF($I8817&lt;=1,2,0))</f>
        <v>1</v>
      </c>
      <c r="K8817">
        <v>0</v>
      </c>
      <c r="L8817">
        <f>IF(AND($J8817=0,$K8817=0),0,1)</f>
        <v>1</v>
      </c>
      <c r="M8817" t="s">
        <v>351</v>
      </c>
    </row>
    <row r="8818" spans="1:13" x14ac:dyDescent="0.2">
      <c r="A8818" t="s">
        <v>349</v>
      </c>
      <c r="B8818" t="s">
        <v>17</v>
      </c>
      <c r="C8818" t="s">
        <v>350</v>
      </c>
      <c r="D8818">
        <v>5</v>
      </c>
      <c r="E8818">
        <v>2019</v>
      </c>
      <c r="F8818">
        <v>3</v>
      </c>
      <c r="G8818">
        <v>53301</v>
      </c>
      <c r="H8818" s="1">
        <v>0</v>
      </c>
      <c r="I8818">
        <v>9</v>
      </c>
      <c r="J8818">
        <f>IF($H8818=0,1,IF($I8818&lt;=1,2,0))</f>
        <v>1</v>
      </c>
      <c r="K8818">
        <v>0</v>
      </c>
      <c r="L8818">
        <f>IF(AND($J8818=0,$K8818=0),0,1)</f>
        <v>1</v>
      </c>
      <c r="M8818" t="s">
        <v>351</v>
      </c>
    </row>
    <row r="8819" spans="1:13" x14ac:dyDescent="0.2">
      <c r="A8819" t="s">
        <v>349</v>
      </c>
      <c r="B8819" t="s">
        <v>17</v>
      </c>
      <c r="C8819" t="s">
        <v>350</v>
      </c>
      <c r="D8819">
        <v>6</v>
      </c>
      <c r="E8819">
        <v>2019</v>
      </c>
      <c r="F8819">
        <v>2</v>
      </c>
      <c r="G8819">
        <v>53304</v>
      </c>
      <c r="H8819" s="1">
        <v>0</v>
      </c>
      <c r="I8819">
        <v>12</v>
      </c>
      <c r="J8819">
        <f>IF($H8819=0,1,IF($I8819&lt;=1,2,0))</f>
        <v>1</v>
      </c>
      <c r="K8819">
        <v>0</v>
      </c>
      <c r="L8819">
        <f>IF(AND($J8819=0,$K8819=0),0,1)</f>
        <v>1</v>
      </c>
      <c r="M8819" t="s">
        <v>351</v>
      </c>
    </row>
    <row r="8820" spans="1:13" x14ac:dyDescent="0.2">
      <c r="A8820" t="s">
        <v>349</v>
      </c>
      <c r="B8820" t="s">
        <v>17</v>
      </c>
      <c r="C8820" t="s">
        <v>350</v>
      </c>
      <c r="D8820">
        <v>6</v>
      </c>
      <c r="E8820">
        <v>2019</v>
      </c>
      <c r="F8820">
        <v>3</v>
      </c>
      <c r="G8820">
        <v>53305</v>
      </c>
      <c r="H8820" s="1">
        <v>0</v>
      </c>
      <c r="I8820">
        <v>10</v>
      </c>
      <c r="J8820">
        <f>IF($H8820=0,1,IF($I8820&lt;=1,2,0))</f>
        <v>1</v>
      </c>
      <c r="K8820">
        <v>0</v>
      </c>
      <c r="L8820">
        <f>IF(AND($J8820=0,$K8820=0),0,1)</f>
        <v>1</v>
      </c>
      <c r="M8820" t="s">
        <v>351</v>
      </c>
    </row>
    <row r="8821" spans="1:13" x14ac:dyDescent="0.2">
      <c r="A8821" t="s">
        <v>349</v>
      </c>
      <c r="B8821" t="s">
        <v>17</v>
      </c>
      <c r="C8821" t="s">
        <v>350</v>
      </c>
      <c r="D8821">
        <v>12</v>
      </c>
      <c r="E8821">
        <v>2019</v>
      </c>
      <c r="F8821">
        <v>3</v>
      </c>
      <c r="G8821">
        <v>53285</v>
      </c>
      <c r="H8821" s="1">
        <v>0</v>
      </c>
      <c r="I8821">
        <v>14</v>
      </c>
      <c r="J8821">
        <f>IF($H8821=0,1,IF($I8821&lt;=1,2,0))</f>
        <v>1</v>
      </c>
      <c r="K8821">
        <v>0</v>
      </c>
      <c r="L8821">
        <f>IF(AND($J8821=0,$K8821=0),0,1)</f>
        <v>1</v>
      </c>
      <c r="M8821" t="s">
        <v>352</v>
      </c>
    </row>
    <row r="8822" spans="1:13" x14ac:dyDescent="0.2">
      <c r="A8822" t="s">
        <v>349</v>
      </c>
      <c r="B8822" t="s">
        <v>17</v>
      </c>
      <c r="C8822" t="s">
        <v>350</v>
      </c>
      <c r="D8822">
        <v>12</v>
      </c>
      <c r="E8822">
        <v>2019</v>
      </c>
      <c r="F8822">
        <v>5</v>
      </c>
      <c r="G8822">
        <v>53287</v>
      </c>
      <c r="H8822" s="1">
        <v>0</v>
      </c>
      <c r="I8822">
        <v>14</v>
      </c>
      <c r="J8822">
        <f>IF($H8822=0,1,IF($I8822&lt;=1,2,0))</f>
        <v>1</v>
      </c>
      <c r="K8822">
        <v>0</v>
      </c>
      <c r="L8822">
        <f>IF(AND($J8822=0,$K8822=0),0,1)</f>
        <v>1</v>
      </c>
      <c r="M8822" t="s">
        <v>352</v>
      </c>
    </row>
    <row r="8823" spans="1:13" x14ac:dyDescent="0.2">
      <c r="A8823" t="s">
        <v>349</v>
      </c>
      <c r="B8823" t="s">
        <v>17</v>
      </c>
      <c r="C8823" t="s">
        <v>350</v>
      </c>
      <c r="D8823">
        <v>12</v>
      </c>
      <c r="E8823">
        <v>2019</v>
      </c>
      <c r="F8823">
        <v>6</v>
      </c>
      <c r="G8823">
        <v>53288</v>
      </c>
      <c r="H8823" s="1">
        <v>0</v>
      </c>
      <c r="I8823">
        <v>14</v>
      </c>
      <c r="J8823">
        <f>IF($H8823=0,1,IF($I8823&lt;=1,2,0))</f>
        <v>1</v>
      </c>
      <c r="K8823">
        <v>0</v>
      </c>
      <c r="L8823">
        <f>IF(AND($J8823=0,$K8823=0),0,1)</f>
        <v>1</v>
      </c>
      <c r="M8823" t="s">
        <v>352</v>
      </c>
    </row>
    <row r="8824" spans="1:13" x14ac:dyDescent="0.2">
      <c r="A8824" t="s">
        <v>349</v>
      </c>
      <c r="B8824" t="s">
        <v>17</v>
      </c>
      <c r="C8824" t="s">
        <v>350</v>
      </c>
      <c r="D8824">
        <v>12</v>
      </c>
      <c r="E8824">
        <v>2019</v>
      </c>
      <c r="F8824">
        <v>7</v>
      </c>
      <c r="G8824">
        <v>53289</v>
      </c>
      <c r="H8824" s="1">
        <v>0</v>
      </c>
      <c r="I8824">
        <v>14</v>
      </c>
      <c r="J8824">
        <f>IF($H8824=0,1,IF($I8824&lt;=1,2,0))</f>
        <v>1</v>
      </c>
      <c r="K8824">
        <v>0</v>
      </c>
      <c r="L8824">
        <f>IF(AND($J8824=0,$K8824=0),0,1)</f>
        <v>1</v>
      </c>
      <c r="M8824" t="s">
        <v>352</v>
      </c>
    </row>
    <row r="8825" spans="1:13" x14ac:dyDescent="0.2">
      <c r="A8825" t="s">
        <v>349</v>
      </c>
      <c r="B8825" t="s">
        <v>17</v>
      </c>
      <c r="C8825" t="s">
        <v>350</v>
      </c>
      <c r="D8825">
        <v>12</v>
      </c>
      <c r="E8825">
        <v>2019</v>
      </c>
      <c r="F8825">
        <v>2</v>
      </c>
      <c r="G8825">
        <v>53284</v>
      </c>
      <c r="H8825" s="1">
        <v>0</v>
      </c>
      <c r="I8825">
        <v>13</v>
      </c>
      <c r="J8825">
        <f>IF($H8825=0,1,IF($I8825&lt;=1,2,0))</f>
        <v>1</v>
      </c>
      <c r="K8825">
        <v>0</v>
      </c>
      <c r="L8825">
        <f>IF(AND($J8825=0,$K8825=0),0,1)</f>
        <v>1</v>
      </c>
      <c r="M8825" t="s">
        <v>352</v>
      </c>
    </row>
    <row r="8826" spans="1:13" x14ac:dyDescent="0.2">
      <c r="A8826" t="s">
        <v>349</v>
      </c>
      <c r="B8826" t="s">
        <v>17</v>
      </c>
      <c r="C8826" t="s">
        <v>350</v>
      </c>
      <c r="D8826">
        <v>12</v>
      </c>
      <c r="E8826">
        <v>2019</v>
      </c>
      <c r="F8826">
        <v>1</v>
      </c>
      <c r="G8826">
        <v>53283</v>
      </c>
      <c r="H8826" s="1">
        <v>0</v>
      </c>
      <c r="I8826">
        <v>11</v>
      </c>
      <c r="J8826">
        <f>IF($H8826=0,1,IF($I8826&lt;=1,2,0))</f>
        <v>1</v>
      </c>
      <c r="K8826">
        <v>0</v>
      </c>
      <c r="L8826">
        <f>IF(AND($J8826=0,$K8826=0),0,1)</f>
        <v>1</v>
      </c>
      <c r="M8826" t="s">
        <v>352</v>
      </c>
    </row>
    <row r="8827" spans="1:13" x14ac:dyDescent="0.2">
      <c r="A8827" t="s">
        <v>349</v>
      </c>
      <c r="B8827" t="s">
        <v>17</v>
      </c>
      <c r="C8827" t="s">
        <v>350</v>
      </c>
      <c r="D8827">
        <v>12</v>
      </c>
      <c r="E8827">
        <v>2019</v>
      </c>
      <c r="F8827">
        <v>4</v>
      </c>
      <c r="G8827">
        <v>53286</v>
      </c>
      <c r="H8827" s="1">
        <v>0</v>
      </c>
      <c r="I8827">
        <v>8</v>
      </c>
      <c r="J8827">
        <f>IF($H8827=0,1,IF($I8827&lt;=1,2,0))</f>
        <v>1</v>
      </c>
      <c r="K8827">
        <v>0</v>
      </c>
      <c r="L8827">
        <f>IF(AND($J8827=0,$K8827=0),0,1)</f>
        <v>1</v>
      </c>
      <c r="M8827" t="s">
        <v>352</v>
      </c>
    </row>
    <row r="8828" spans="1:13" x14ac:dyDescent="0.2">
      <c r="A8828" t="s">
        <v>349</v>
      </c>
      <c r="B8828" t="s">
        <v>17</v>
      </c>
      <c r="C8828" t="s">
        <v>350</v>
      </c>
      <c r="D8828">
        <v>12</v>
      </c>
      <c r="E8828">
        <v>2019</v>
      </c>
      <c r="F8828">
        <v>8</v>
      </c>
      <c r="G8828">
        <v>53290</v>
      </c>
      <c r="H8828" s="1">
        <v>0</v>
      </c>
      <c r="I8828">
        <v>7</v>
      </c>
      <c r="J8828">
        <f>IF($H8828=0,1,IF($I8828&lt;=1,2,0))</f>
        <v>1</v>
      </c>
      <c r="K8828">
        <v>0</v>
      </c>
      <c r="L8828">
        <f>IF(AND($J8828=0,$K8828=0),0,1)</f>
        <v>1</v>
      </c>
      <c r="M8828" t="s">
        <v>352</v>
      </c>
    </row>
    <row r="8829" spans="1:13" x14ac:dyDescent="0.2">
      <c r="A8829" t="s">
        <v>349</v>
      </c>
      <c r="B8829" t="s">
        <v>17</v>
      </c>
      <c r="C8829" t="s">
        <v>33</v>
      </c>
      <c r="D8829">
        <v>366</v>
      </c>
      <c r="E8829">
        <v>2019</v>
      </c>
      <c r="F8829">
        <v>5</v>
      </c>
      <c r="G8829">
        <v>19337</v>
      </c>
      <c r="H8829" s="1">
        <v>4</v>
      </c>
      <c r="I8829">
        <v>1</v>
      </c>
      <c r="J8829">
        <f>IF($H8829=0,1,IF($I8829&lt;=1,2,0))</f>
        <v>2</v>
      </c>
      <c r="K8829">
        <v>0</v>
      </c>
      <c r="L8829">
        <f>IF(AND($J8829=0,$K8829=0),0,1)</f>
        <v>1</v>
      </c>
    </row>
    <row r="8830" spans="1:13" x14ac:dyDescent="0.2">
      <c r="A8830" t="s">
        <v>349</v>
      </c>
      <c r="B8830" t="s">
        <v>17</v>
      </c>
      <c r="C8830" t="s">
        <v>33</v>
      </c>
      <c r="D8830">
        <v>366</v>
      </c>
      <c r="E8830">
        <v>2019</v>
      </c>
      <c r="F8830">
        <v>6</v>
      </c>
      <c r="G8830">
        <v>19338</v>
      </c>
      <c r="H8830" s="1">
        <v>4</v>
      </c>
      <c r="I8830">
        <v>1</v>
      </c>
      <c r="J8830">
        <f>IF($H8830=0,1,IF($I8830&lt;=1,2,0))</f>
        <v>2</v>
      </c>
      <c r="K8830">
        <v>0</v>
      </c>
      <c r="L8830">
        <f>IF(AND($J8830=0,$K8830=0),0,1)</f>
        <v>1</v>
      </c>
    </row>
    <row r="8831" spans="1:13" x14ac:dyDescent="0.2">
      <c r="A8831" t="s">
        <v>349</v>
      </c>
      <c r="B8831" t="s">
        <v>17</v>
      </c>
      <c r="C8831" t="s">
        <v>33</v>
      </c>
      <c r="D8831">
        <v>366</v>
      </c>
      <c r="E8831">
        <v>2019</v>
      </c>
      <c r="F8831">
        <v>1</v>
      </c>
      <c r="G8831">
        <v>19333</v>
      </c>
      <c r="H8831" s="1">
        <v>4</v>
      </c>
      <c r="I8831">
        <v>0</v>
      </c>
      <c r="J8831">
        <f>IF($H8831=0,1,IF($I8831&lt;=1,2,0))</f>
        <v>2</v>
      </c>
      <c r="K8831">
        <v>0</v>
      </c>
      <c r="L8831">
        <f>IF(AND($J8831=0,$K8831=0),0,1)</f>
        <v>1</v>
      </c>
    </row>
    <row r="8832" spans="1:13" x14ac:dyDescent="0.2">
      <c r="A8832" t="s">
        <v>349</v>
      </c>
      <c r="B8832" t="s">
        <v>17</v>
      </c>
      <c r="C8832" t="s">
        <v>33</v>
      </c>
      <c r="D8832">
        <v>366</v>
      </c>
      <c r="E8832">
        <v>2019</v>
      </c>
      <c r="F8832">
        <v>2</v>
      </c>
      <c r="G8832">
        <v>19334</v>
      </c>
      <c r="H8832" s="1">
        <v>4</v>
      </c>
      <c r="I8832">
        <v>0</v>
      </c>
      <c r="J8832">
        <f>IF($H8832=0,1,IF($I8832&lt;=1,2,0))</f>
        <v>2</v>
      </c>
      <c r="K8832">
        <v>0</v>
      </c>
      <c r="L8832">
        <f>IF(AND($J8832=0,$K8832=0),0,1)</f>
        <v>1</v>
      </c>
    </row>
    <row r="8833" spans="1:13" x14ac:dyDescent="0.2">
      <c r="A8833" t="s">
        <v>349</v>
      </c>
      <c r="B8833" t="s">
        <v>17</v>
      </c>
      <c r="C8833" t="s">
        <v>33</v>
      </c>
      <c r="D8833">
        <v>366</v>
      </c>
      <c r="E8833">
        <v>2019</v>
      </c>
      <c r="F8833">
        <v>3</v>
      </c>
      <c r="G8833">
        <v>19335</v>
      </c>
      <c r="H8833" s="1">
        <v>4</v>
      </c>
      <c r="I8833">
        <v>0</v>
      </c>
      <c r="J8833">
        <f>IF($H8833=0,1,IF($I8833&lt;=1,2,0))</f>
        <v>2</v>
      </c>
      <c r="K8833">
        <v>0</v>
      </c>
      <c r="L8833">
        <f>IF(AND($J8833=0,$K8833=0),0,1)</f>
        <v>1</v>
      </c>
    </row>
    <row r="8834" spans="1:13" x14ac:dyDescent="0.2">
      <c r="A8834" t="s">
        <v>349</v>
      </c>
      <c r="B8834" t="s">
        <v>17</v>
      </c>
      <c r="C8834" t="s">
        <v>33</v>
      </c>
      <c r="D8834">
        <v>366</v>
      </c>
      <c r="E8834">
        <v>2019</v>
      </c>
      <c r="F8834">
        <v>4</v>
      </c>
      <c r="G8834">
        <v>19336</v>
      </c>
      <c r="H8834" s="1">
        <v>4</v>
      </c>
      <c r="I8834">
        <v>0</v>
      </c>
      <c r="J8834">
        <f>IF($H8834=0,1,IF($I8834&lt;=1,2,0))</f>
        <v>2</v>
      </c>
      <c r="K8834">
        <v>0</v>
      </c>
      <c r="L8834">
        <f>IF(AND($J8834=0,$K8834=0),0,1)</f>
        <v>1</v>
      </c>
    </row>
    <row r="8835" spans="1:13" x14ac:dyDescent="0.2">
      <c r="A8835" t="s">
        <v>349</v>
      </c>
      <c r="B8835" t="s">
        <v>17</v>
      </c>
      <c r="C8835" t="s">
        <v>33</v>
      </c>
      <c r="D8835">
        <v>366</v>
      </c>
      <c r="E8835">
        <v>2019</v>
      </c>
      <c r="F8835">
        <v>7</v>
      </c>
      <c r="G8835">
        <v>19339</v>
      </c>
      <c r="H8835" s="1">
        <v>4</v>
      </c>
      <c r="I8835">
        <v>0</v>
      </c>
      <c r="J8835">
        <f>IF($H8835=0,1,IF($I8835&lt;=1,2,0))</f>
        <v>2</v>
      </c>
      <c r="K8835">
        <v>0</v>
      </c>
      <c r="L8835">
        <f>IF(AND($J8835=0,$K8835=0),0,1)</f>
        <v>1</v>
      </c>
    </row>
    <row r="8836" spans="1:13" x14ac:dyDescent="0.2">
      <c r="A8836" t="s">
        <v>349</v>
      </c>
      <c r="B8836" t="s">
        <v>17</v>
      </c>
      <c r="C8836" t="s">
        <v>33</v>
      </c>
      <c r="D8836">
        <v>366</v>
      </c>
      <c r="E8836">
        <v>2019</v>
      </c>
      <c r="F8836">
        <v>8</v>
      </c>
      <c r="G8836">
        <v>19340</v>
      </c>
      <c r="H8836" s="1">
        <v>4</v>
      </c>
      <c r="I8836">
        <v>0</v>
      </c>
      <c r="J8836">
        <f>IF($H8836=0,1,IF($I8836&lt;=1,2,0))</f>
        <v>2</v>
      </c>
      <c r="K8836">
        <v>0</v>
      </c>
      <c r="L8836">
        <f>IF(AND($J8836=0,$K8836=0),0,1)</f>
        <v>1</v>
      </c>
    </row>
    <row r="8837" spans="1:13" x14ac:dyDescent="0.2">
      <c r="A8837" t="s">
        <v>349</v>
      </c>
      <c r="B8837" t="s">
        <v>17</v>
      </c>
      <c r="C8837" t="s">
        <v>33</v>
      </c>
      <c r="D8837">
        <v>366</v>
      </c>
      <c r="E8837">
        <v>2019</v>
      </c>
      <c r="F8837">
        <v>9</v>
      </c>
      <c r="G8837">
        <v>19341</v>
      </c>
      <c r="H8837" s="1">
        <v>4</v>
      </c>
      <c r="I8837">
        <v>0</v>
      </c>
      <c r="J8837">
        <f>IF($H8837=0,1,IF($I8837&lt;=1,2,0))</f>
        <v>2</v>
      </c>
      <c r="K8837">
        <v>0</v>
      </c>
      <c r="L8837">
        <f>IF(AND($J8837=0,$K8837=0),0,1)</f>
        <v>1</v>
      </c>
    </row>
    <row r="8838" spans="1:13" x14ac:dyDescent="0.2">
      <c r="A8838" t="s">
        <v>349</v>
      </c>
      <c r="B8838" t="s">
        <v>17</v>
      </c>
      <c r="C8838" t="s">
        <v>33</v>
      </c>
      <c r="D8838">
        <v>366</v>
      </c>
      <c r="E8838">
        <v>2019</v>
      </c>
      <c r="F8838">
        <v>10</v>
      </c>
      <c r="G8838">
        <v>19342</v>
      </c>
      <c r="H8838" s="1">
        <v>4</v>
      </c>
      <c r="I8838">
        <v>0</v>
      </c>
      <c r="J8838">
        <f>IF($H8838=0,1,IF($I8838&lt;=1,2,0))</f>
        <v>2</v>
      </c>
      <c r="K8838">
        <v>0</v>
      </c>
      <c r="L8838">
        <f>IF(AND($J8838=0,$K8838=0),0,1)</f>
        <v>1</v>
      </c>
    </row>
    <row r="8839" spans="1:13" x14ac:dyDescent="0.2">
      <c r="A8839" t="s">
        <v>349</v>
      </c>
      <c r="B8839" t="s">
        <v>17</v>
      </c>
      <c r="C8839" t="s">
        <v>33</v>
      </c>
      <c r="D8839">
        <v>366</v>
      </c>
      <c r="E8839">
        <v>2019</v>
      </c>
      <c r="F8839">
        <v>11</v>
      </c>
      <c r="G8839">
        <v>19343</v>
      </c>
      <c r="H8839" s="1">
        <v>4</v>
      </c>
      <c r="I8839">
        <v>0</v>
      </c>
      <c r="J8839">
        <f>IF($H8839=0,1,IF($I8839&lt;=1,2,0))</f>
        <v>2</v>
      </c>
      <c r="K8839">
        <v>0</v>
      </c>
      <c r="L8839">
        <f>IF(AND($J8839=0,$K8839=0),0,1)</f>
        <v>1</v>
      </c>
    </row>
    <row r="8840" spans="1:13" x14ac:dyDescent="0.2">
      <c r="A8840" t="s">
        <v>349</v>
      </c>
      <c r="B8840" t="s">
        <v>17</v>
      </c>
      <c r="C8840" t="s">
        <v>33</v>
      </c>
      <c r="D8840">
        <v>366</v>
      </c>
      <c r="E8840">
        <v>2019</v>
      </c>
      <c r="F8840">
        <v>12</v>
      </c>
      <c r="G8840">
        <v>19344</v>
      </c>
      <c r="H8840" s="1">
        <v>4</v>
      </c>
      <c r="I8840">
        <v>0</v>
      </c>
      <c r="J8840">
        <f>IF($H8840=0,1,IF($I8840&lt;=1,2,0))</f>
        <v>2</v>
      </c>
      <c r="K8840">
        <v>0</v>
      </c>
      <c r="L8840">
        <f>IF(AND($J8840=0,$K8840=0),0,1)</f>
        <v>1</v>
      </c>
    </row>
    <row r="8841" spans="1:13" x14ac:dyDescent="0.2">
      <c r="A8841" t="s">
        <v>349</v>
      </c>
      <c r="B8841" t="s">
        <v>17</v>
      </c>
      <c r="C8841" t="s">
        <v>33</v>
      </c>
      <c r="D8841">
        <v>366</v>
      </c>
      <c r="E8841">
        <v>2019</v>
      </c>
      <c r="F8841">
        <v>13</v>
      </c>
      <c r="G8841">
        <v>19345</v>
      </c>
      <c r="H8841" s="1">
        <v>4</v>
      </c>
      <c r="I8841">
        <v>0</v>
      </c>
      <c r="J8841">
        <f>IF($H8841=0,1,IF($I8841&lt;=1,2,0))</f>
        <v>2</v>
      </c>
      <c r="K8841">
        <v>0</v>
      </c>
      <c r="L8841">
        <f>IF(AND($J8841=0,$K8841=0),0,1)</f>
        <v>1</v>
      </c>
    </row>
    <row r="8842" spans="1:13" x14ac:dyDescent="0.2">
      <c r="A8842" t="s">
        <v>349</v>
      </c>
      <c r="B8842" t="s">
        <v>17</v>
      </c>
      <c r="C8842" t="s">
        <v>350</v>
      </c>
      <c r="D8842">
        <v>719</v>
      </c>
      <c r="E8842">
        <v>2019</v>
      </c>
      <c r="F8842">
        <v>1</v>
      </c>
      <c r="G8842">
        <v>53307</v>
      </c>
      <c r="H8842" s="1">
        <v>0</v>
      </c>
      <c r="I8842">
        <v>8</v>
      </c>
      <c r="J8842">
        <f>IF($H8842=0,1,IF($I8842&lt;=1,2,0))</f>
        <v>1</v>
      </c>
      <c r="K8842">
        <v>0</v>
      </c>
      <c r="L8842">
        <f>IF(AND($J8842=0,$K8842=0),0,1)</f>
        <v>1</v>
      </c>
      <c r="M8842" t="s">
        <v>351</v>
      </c>
    </row>
    <row r="8843" spans="1:13" x14ac:dyDescent="0.2">
      <c r="A8843" t="s">
        <v>349</v>
      </c>
      <c r="B8843" t="s">
        <v>17</v>
      </c>
      <c r="C8843" t="s">
        <v>350</v>
      </c>
      <c r="D8843">
        <v>800</v>
      </c>
      <c r="E8843">
        <v>2019</v>
      </c>
      <c r="F8843">
        <v>2</v>
      </c>
      <c r="G8843">
        <v>53278</v>
      </c>
      <c r="H8843" s="1">
        <v>0</v>
      </c>
      <c r="I8843">
        <v>12</v>
      </c>
      <c r="J8843">
        <f>IF($H8843=0,1,IF($I8843&lt;=1,2,0))</f>
        <v>1</v>
      </c>
      <c r="K8843">
        <v>0</v>
      </c>
      <c r="L8843">
        <f>IF(AND($J8843=0,$K8843=0),0,1)</f>
        <v>1</v>
      </c>
    </row>
    <row r="8844" spans="1:13" x14ac:dyDescent="0.2">
      <c r="A8844" t="s">
        <v>349</v>
      </c>
      <c r="B8844" t="s">
        <v>17</v>
      </c>
      <c r="C8844" t="s">
        <v>350</v>
      </c>
      <c r="D8844">
        <v>800</v>
      </c>
      <c r="E8844">
        <v>2019</v>
      </c>
      <c r="F8844">
        <v>1</v>
      </c>
      <c r="G8844">
        <v>53277</v>
      </c>
      <c r="H8844" s="1">
        <v>0</v>
      </c>
      <c r="I8844">
        <v>11</v>
      </c>
      <c r="J8844">
        <f>IF($H8844=0,1,IF($I8844&lt;=1,2,0))</f>
        <v>1</v>
      </c>
      <c r="K8844">
        <v>0</v>
      </c>
      <c r="L8844">
        <f>IF(AND($J8844=0,$K8844=0),0,1)</f>
        <v>1</v>
      </c>
    </row>
    <row r="8845" spans="1:13" x14ac:dyDescent="0.2">
      <c r="A8845" t="s">
        <v>349</v>
      </c>
      <c r="B8845" t="s">
        <v>17</v>
      </c>
      <c r="C8845" t="s">
        <v>350</v>
      </c>
      <c r="D8845">
        <v>850</v>
      </c>
      <c r="E8845">
        <v>2019</v>
      </c>
      <c r="F8845">
        <v>1</v>
      </c>
      <c r="G8845">
        <v>53280</v>
      </c>
      <c r="H8845" s="1">
        <v>0</v>
      </c>
      <c r="I8845">
        <v>11</v>
      </c>
      <c r="J8845">
        <f>IF($H8845=0,1,IF($I8845&lt;=1,2,0))</f>
        <v>1</v>
      </c>
      <c r="K8845">
        <v>0</v>
      </c>
      <c r="L8845">
        <f>IF(AND($J8845=0,$K8845=0),0,1)</f>
        <v>1</v>
      </c>
      <c r="M8845" t="s">
        <v>353</v>
      </c>
    </row>
    <row r="8846" spans="1:13" x14ac:dyDescent="0.2">
      <c r="A8846" t="s">
        <v>349</v>
      </c>
      <c r="B8846" t="s">
        <v>17</v>
      </c>
      <c r="C8846" t="s">
        <v>350</v>
      </c>
      <c r="D8846">
        <v>850</v>
      </c>
      <c r="E8846">
        <v>2019</v>
      </c>
      <c r="F8846">
        <v>2</v>
      </c>
      <c r="G8846">
        <v>53281</v>
      </c>
      <c r="H8846" s="1">
        <v>0</v>
      </c>
      <c r="I8846">
        <v>6</v>
      </c>
      <c r="J8846">
        <f>IF($H8846=0,1,IF($I8846&lt;=1,2,0))</f>
        <v>1</v>
      </c>
      <c r="K8846">
        <v>0</v>
      </c>
      <c r="L8846">
        <f>IF(AND($J8846=0,$K8846=0),0,1)</f>
        <v>1</v>
      </c>
      <c r="M8846" t="s">
        <v>354</v>
      </c>
    </row>
    <row r="8847" spans="1:13" x14ac:dyDescent="0.2">
      <c r="A8847" t="s">
        <v>349</v>
      </c>
      <c r="B8847" t="s">
        <v>17</v>
      </c>
      <c r="C8847" t="s">
        <v>9</v>
      </c>
      <c r="D8847">
        <v>1000</v>
      </c>
      <c r="E8847">
        <v>2019</v>
      </c>
      <c r="F8847" t="s">
        <v>355</v>
      </c>
      <c r="G8847">
        <v>14220</v>
      </c>
      <c r="H8847" s="1">
        <v>4</v>
      </c>
      <c r="I8847">
        <v>0</v>
      </c>
      <c r="J8847">
        <f>IF($H8847=0,1,IF($I8847&lt;=1,2,0))</f>
        <v>2</v>
      </c>
      <c r="K8847">
        <v>0</v>
      </c>
      <c r="L8847">
        <f>IF(AND($J8847=0,$K8847=0),0,1)</f>
        <v>1</v>
      </c>
    </row>
    <row r="8848" spans="1:13" x14ac:dyDescent="0.2">
      <c r="A8848" t="s">
        <v>349</v>
      </c>
      <c r="B8848" t="s">
        <v>17</v>
      </c>
      <c r="C8848" t="s">
        <v>2</v>
      </c>
      <c r="D8848">
        <v>1204</v>
      </c>
      <c r="E8848">
        <v>2019</v>
      </c>
      <c r="F8848">
        <v>2</v>
      </c>
      <c r="G8848">
        <v>7941</v>
      </c>
      <c r="H8848" s="1">
        <v>4</v>
      </c>
      <c r="I8848">
        <v>13</v>
      </c>
      <c r="J8848">
        <f>IF($H8848=0,1,IF($I8848&lt;=1,2,0))</f>
        <v>0</v>
      </c>
      <c r="K8848">
        <v>7</v>
      </c>
      <c r="L8848">
        <f>IF(AND($J8848=0,$K8848=0),0,1)</f>
        <v>1</v>
      </c>
    </row>
    <row r="8849" spans="1:12" x14ac:dyDescent="0.2">
      <c r="A8849" t="s">
        <v>349</v>
      </c>
      <c r="B8849" t="s">
        <v>17</v>
      </c>
      <c r="C8849" t="s">
        <v>2</v>
      </c>
      <c r="D8849">
        <v>1204</v>
      </c>
      <c r="E8849">
        <v>2019</v>
      </c>
      <c r="F8849">
        <v>1</v>
      </c>
      <c r="G8849">
        <v>8071</v>
      </c>
      <c r="H8849" s="1">
        <v>4</v>
      </c>
      <c r="I8849">
        <v>12</v>
      </c>
      <c r="J8849">
        <f>IF($H8849=0,1,IF($I8849&lt;=1,2,0))</f>
        <v>0</v>
      </c>
      <c r="K8849">
        <v>7</v>
      </c>
      <c r="L8849">
        <f>IF(AND($J8849=0,$K8849=0),0,1)</f>
        <v>1</v>
      </c>
    </row>
    <row r="8850" spans="1:12" x14ac:dyDescent="0.2">
      <c r="A8850" t="s">
        <v>349</v>
      </c>
      <c r="B8850" t="s">
        <v>17</v>
      </c>
      <c r="C8850" t="s">
        <v>2</v>
      </c>
      <c r="D8850">
        <v>1204</v>
      </c>
      <c r="E8850">
        <v>2019</v>
      </c>
      <c r="F8850">
        <v>3</v>
      </c>
      <c r="G8850">
        <v>7942</v>
      </c>
      <c r="H8850" s="1">
        <v>4</v>
      </c>
      <c r="I8850">
        <v>12</v>
      </c>
      <c r="J8850">
        <f>IF($H8850=0,1,IF($I8850&lt;=1,2,0))</f>
        <v>0</v>
      </c>
      <c r="K8850">
        <v>7</v>
      </c>
      <c r="L8850">
        <f>IF(AND($J8850=0,$K8850=0),0,1)</f>
        <v>1</v>
      </c>
    </row>
    <row r="8851" spans="1:12" x14ac:dyDescent="0.2">
      <c r="A8851" t="s">
        <v>349</v>
      </c>
      <c r="B8851" t="s">
        <v>17</v>
      </c>
      <c r="C8851" t="s">
        <v>2</v>
      </c>
      <c r="D8851">
        <v>1204</v>
      </c>
      <c r="E8851">
        <v>2019</v>
      </c>
      <c r="F8851">
        <v>4</v>
      </c>
      <c r="G8851">
        <v>7943</v>
      </c>
      <c r="H8851" s="1">
        <v>4</v>
      </c>
      <c r="I8851">
        <v>12</v>
      </c>
      <c r="J8851">
        <f>IF($H8851=0,1,IF($I8851&lt;=1,2,0))</f>
        <v>0</v>
      </c>
      <c r="K8851">
        <v>7</v>
      </c>
      <c r="L8851">
        <f>IF(AND($J8851=0,$K8851=0),0,1)</f>
        <v>1</v>
      </c>
    </row>
    <row r="8852" spans="1:12" x14ac:dyDescent="0.2">
      <c r="A8852" t="s">
        <v>349</v>
      </c>
      <c r="B8852" t="s">
        <v>17</v>
      </c>
      <c r="C8852" t="s">
        <v>2</v>
      </c>
      <c r="D8852">
        <v>1210</v>
      </c>
      <c r="E8852">
        <v>2019</v>
      </c>
      <c r="F8852">
        <v>1</v>
      </c>
      <c r="G8852">
        <v>7989</v>
      </c>
      <c r="H8852" s="1">
        <v>3</v>
      </c>
      <c r="I8852">
        <v>16</v>
      </c>
      <c r="J8852">
        <f>IF($H8852=0,1,IF($I8852&lt;=1,2,0))</f>
        <v>0</v>
      </c>
      <c r="K8852">
        <v>7</v>
      </c>
      <c r="L8852">
        <f>IF(AND($J8852=0,$K8852=0),0,1)</f>
        <v>1</v>
      </c>
    </row>
    <row r="8853" spans="1:12" x14ac:dyDescent="0.2">
      <c r="A8853" t="s">
        <v>349</v>
      </c>
      <c r="B8853" t="s">
        <v>17</v>
      </c>
      <c r="C8853" t="s">
        <v>2</v>
      </c>
      <c r="D8853">
        <v>1210</v>
      </c>
      <c r="E8853">
        <v>2019</v>
      </c>
      <c r="F8853">
        <v>2</v>
      </c>
      <c r="G8853">
        <v>7990</v>
      </c>
      <c r="H8853" s="1">
        <v>3</v>
      </c>
      <c r="I8853">
        <v>15</v>
      </c>
      <c r="J8853">
        <f>IF($H8853=0,1,IF($I8853&lt;=1,2,0))</f>
        <v>0</v>
      </c>
      <c r="K8853">
        <v>7</v>
      </c>
      <c r="L8853">
        <f>IF(AND($J8853=0,$K8853=0),0,1)</f>
        <v>1</v>
      </c>
    </row>
    <row r="8854" spans="1:12" x14ac:dyDescent="0.2">
      <c r="A8854" t="s">
        <v>349</v>
      </c>
      <c r="B8854" t="s">
        <v>17</v>
      </c>
      <c r="C8854" t="s">
        <v>2</v>
      </c>
      <c r="D8854">
        <v>1210</v>
      </c>
      <c r="E8854">
        <v>2019</v>
      </c>
      <c r="F8854">
        <v>3</v>
      </c>
      <c r="G8854">
        <v>7991</v>
      </c>
      <c r="H8854" s="1">
        <v>3</v>
      </c>
      <c r="I8854">
        <v>15</v>
      </c>
      <c r="J8854">
        <f>IF($H8854=0,1,IF($I8854&lt;=1,2,0))</f>
        <v>0</v>
      </c>
      <c r="K8854">
        <v>7</v>
      </c>
      <c r="L8854">
        <f>IF(AND($J8854=0,$K8854=0),0,1)</f>
        <v>1</v>
      </c>
    </row>
    <row r="8855" spans="1:12" x14ac:dyDescent="0.2">
      <c r="A8855" t="s">
        <v>349</v>
      </c>
      <c r="B8855" t="s">
        <v>17</v>
      </c>
      <c r="C8855" t="s">
        <v>2</v>
      </c>
      <c r="D8855">
        <v>1210</v>
      </c>
      <c r="E8855">
        <v>2019</v>
      </c>
      <c r="F8855">
        <v>5</v>
      </c>
      <c r="G8855">
        <v>7993</v>
      </c>
      <c r="H8855" s="1">
        <v>3</v>
      </c>
      <c r="I8855">
        <v>15</v>
      </c>
      <c r="J8855">
        <f>IF($H8855=0,1,IF($I8855&lt;=1,2,0))</f>
        <v>0</v>
      </c>
      <c r="K8855">
        <v>7</v>
      </c>
      <c r="L8855">
        <f>IF(AND($J8855=0,$K8855=0),0,1)</f>
        <v>1</v>
      </c>
    </row>
    <row r="8856" spans="1:12" x14ac:dyDescent="0.2">
      <c r="A8856" t="s">
        <v>349</v>
      </c>
      <c r="B8856" t="s">
        <v>17</v>
      </c>
      <c r="C8856" t="s">
        <v>2</v>
      </c>
      <c r="D8856">
        <v>1210</v>
      </c>
      <c r="E8856">
        <v>2019</v>
      </c>
      <c r="F8856">
        <v>6</v>
      </c>
      <c r="G8856">
        <v>7994</v>
      </c>
      <c r="H8856" s="1">
        <v>3</v>
      </c>
      <c r="I8856">
        <v>15</v>
      </c>
      <c r="J8856">
        <f>IF($H8856=0,1,IF($I8856&lt;=1,2,0))</f>
        <v>0</v>
      </c>
      <c r="K8856">
        <v>7</v>
      </c>
      <c r="L8856">
        <f>IF(AND($J8856=0,$K8856=0),0,1)</f>
        <v>1</v>
      </c>
    </row>
    <row r="8857" spans="1:12" x14ac:dyDescent="0.2">
      <c r="A8857" t="s">
        <v>349</v>
      </c>
      <c r="B8857" t="s">
        <v>17</v>
      </c>
      <c r="C8857" t="s">
        <v>2</v>
      </c>
      <c r="D8857">
        <v>1210</v>
      </c>
      <c r="E8857">
        <v>2019</v>
      </c>
      <c r="F8857">
        <v>4</v>
      </c>
      <c r="G8857">
        <v>7992</v>
      </c>
      <c r="H8857" s="1">
        <v>3</v>
      </c>
      <c r="I8857">
        <v>14</v>
      </c>
      <c r="J8857">
        <f>IF($H8857=0,1,IF($I8857&lt;=1,2,0))</f>
        <v>0</v>
      </c>
      <c r="K8857">
        <v>7</v>
      </c>
      <c r="L8857">
        <f>IF(AND($J8857=0,$K8857=0),0,1)</f>
        <v>1</v>
      </c>
    </row>
    <row r="8858" spans="1:12" x14ac:dyDescent="0.2">
      <c r="A8858" t="s">
        <v>349</v>
      </c>
      <c r="B8858" t="s">
        <v>17</v>
      </c>
      <c r="C8858" t="s">
        <v>2</v>
      </c>
      <c r="D8858">
        <v>1211</v>
      </c>
      <c r="E8858">
        <v>2019</v>
      </c>
      <c r="F8858">
        <v>1</v>
      </c>
      <c r="G8858">
        <v>7953</v>
      </c>
      <c r="H8858" s="1">
        <v>3</v>
      </c>
      <c r="I8858">
        <v>15</v>
      </c>
      <c r="J8858">
        <f>IF($H8858=0,1,IF($I8858&lt;=1,2,0))</f>
        <v>0</v>
      </c>
      <c r="K8858">
        <v>7</v>
      </c>
      <c r="L8858">
        <f>IF(AND($J8858=0,$K8858=0),0,1)</f>
        <v>1</v>
      </c>
    </row>
    <row r="8859" spans="1:12" x14ac:dyDescent="0.2">
      <c r="A8859" t="s">
        <v>349</v>
      </c>
      <c r="B8859" t="s">
        <v>17</v>
      </c>
      <c r="C8859" t="s">
        <v>2</v>
      </c>
      <c r="D8859">
        <v>1211</v>
      </c>
      <c r="E8859">
        <v>2019</v>
      </c>
      <c r="F8859">
        <v>2</v>
      </c>
      <c r="G8859">
        <v>7954</v>
      </c>
      <c r="H8859" s="1">
        <v>3</v>
      </c>
      <c r="I8859">
        <v>15</v>
      </c>
      <c r="J8859">
        <f>IF($H8859=0,1,IF($I8859&lt;=1,2,0))</f>
        <v>0</v>
      </c>
      <c r="K8859">
        <v>7</v>
      </c>
      <c r="L8859">
        <f>IF(AND($J8859=0,$K8859=0),0,1)</f>
        <v>1</v>
      </c>
    </row>
    <row r="8860" spans="1:12" x14ac:dyDescent="0.2">
      <c r="A8860" t="s">
        <v>349</v>
      </c>
      <c r="B8860" t="s">
        <v>17</v>
      </c>
      <c r="C8860" t="s">
        <v>2</v>
      </c>
      <c r="D8860">
        <v>1211</v>
      </c>
      <c r="E8860">
        <v>2019</v>
      </c>
      <c r="F8860">
        <v>3</v>
      </c>
      <c r="G8860">
        <v>7955</v>
      </c>
      <c r="H8860" s="1">
        <v>3</v>
      </c>
      <c r="I8860">
        <v>15</v>
      </c>
      <c r="J8860">
        <f>IF($H8860=0,1,IF($I8860&lt;=1,2,0))</f>
        <v>0</v>
      </c>
      <c r="K8860">
        <v>7</v>
      </c>
      <c r="L8860">
        <f>IF(AND($J8860=0,$K8860=0),0,1)</f>
        <v>1</v>
      </c>
    </row>
    <row r="8861" spans="1:12" x14ac:dyDescent="0.2">
      <c r="A8861" t="s">
        <v>349</v>
      </c>
      <c r="B8861" t="s">
        <v>17</v>
      </c>
      <c r="C8861" t="s">
        <v>2</v>
      </c>
      <c r="D8861">
        <v>1211</v>
      </c>
      <c r="E8861">
        <v>2019</v>
      </c>
      <c r="F8861">
        <v>4</v>
      </c>
      <c r="G8861">
        <v>7956</v>
      </c>
      <c r="H8861" s="1">
        <v>3</v>
      </c>
      <c r="I8861">
        <v>15</v>
      </c>
      <c r="J8861">
        <f>IF($H8861=0,1,IF($I8861&lt;=1,2,0))</f>
        <v>0</v>
      </c>
      <c r="K8861">
        <v>7</v>
      </c>
      <c r="L8861">
        <f>IF(AND($J8861=0,$K8861=0),0,1)</f>
        <v>1</v>
      </c>
    </row>
    <row r="8862" spans="1:12" x14ac:dyDescent="0.2">
      <c r="A8862" t="s">
        <v>349</v>
      </c>
      <c r="B8862" t="s">
        <v>17</v>
      </c>
      <c r="C8862" t="s">
        <v>2</v>
      </c>
      <c r="D8862">
        <v>1211</v>
      </c>
      <c r="E8862">
        <v>2019</v>
      </c>
      <c r="F8862">
        <v>5</v>
      </c>
      <c r="G8862">
        <v>7957</v>
      </c>
      <c r="H8862" s="1">
        <v>3</v>
      </c>
      <c r="I8862">
        <v>15</v>
      </c>
      <c r="J8862">
        <f>IF($H8862=0,1,IF($I8862&lt;=1,2,0))</f>
        <v>0</v>
      </c>
      <c r="K8862">
        <v>7</v>
      </c>
      <c r="L8862">
        <f>IF(AND($J8862=0,$K8862=0),0,1)</f>
        <v>1</v>
      </c>
    </row>
    <row r="8863" spans="1:12" x14ac:dyDescent="0.2">
      <c r="A8863" t="s">
        <v>349</v>
      </c>
      <c r="B8863" t="s">
        <v>17</v>
      </c>
      <c r="C8863" t="s">
        <v>2</v>
      </c>
      <c r="D8863">
        <v>1211</v>
      </c>
      <c r="E8863">
        <v>2019</v>
      </c>
      <c r="F8863">
        <v>6</v>
      </c>
      <c r="G8863">
        <v>7958</v>
      </c>
      <c r="H8863" s="1">
        <v>3</v>
      </c>
      <c r="I8863">
        <v>15</v>
      </c>
      <c r="J8863">
        <f>IF($H8863=0,1,IF($I8863&lt;=1,2,0))</f>
        <v>0</v>
      </c>
      <c r="K8863">
        <v>7</v>
      </c>
      <c r="L8863">
        <f>IF(AND($J8863=0,$K8863=0),0,1)</f>
        <v>1</v>
      </c>
    </row>
    <row r="8864" spans="1:12" x14ac:dyDescent="0.2">
      <c r="A8864" t="s">
        <v>349</v>
      </c>
      <c r="B8864" t="s">
        <v>17</v>
      </c>
      <c r="C8864" t="s">
        <v>2</v>
      </c>
      <c r="D8864">
        <v>1211</v>
      </c>
      <c r="E8864">
        <v>2019</v>
      </c>
      <c r="F8864">
        <v>7</v>
      </c>
      <c r="G8864">
        <v>7959</v>
      </c>
      <c r="H8864" s="1">
        <v>3</v>
      </c>
      <c r="I8864">
        <v>15</v>
      </c>
      <c r="J8864">
        <f>IF($H8864=0,1,IF($I8864&lt;=1,2,0))</f>
        <v>0</v>
      </c>
      <c r="K8864">
        <v>7</v>
      </c>
      <c r="L8864">
        <f>IF(AND($J8864=0,$K8864=0),0,1)</f>
        <v>1</v>
      </c>
    </row>
    <row r="8865" spans="1:13" x14ac:dyDescent="0.2">
      <c r="A8865" t="s">
        <v>349</v>
      </c>
      <c r="B8865" t="s">
        <v>17</v>
      </c>
      <c r="C8865" t="s">
        <v>2</v>
      </c>
      <c r="D8865">
        <v>1212</v>
      </c>
      <c r="E8865">
        <v>2019</v>
      </c>
      <c r="F8865">
        <v>1</v>
      </c>
      <c r="G8865">
        <v>7982</v>
      </c>
      <c r="H8865" s="1">
        <v>3</v>
      </c>
      <c r="I8865">
        <v>15</v>
      </c>
      <c r="J8865">
        <f>IF($H8865=0,1,IF($I8865&lt;=1,2,0))</f>
        <v>0</v>
      </c>
      <c r="K8865">
        <v>7</v>
      </c>
      <c r="L8865">
        <f>IF(AND($J8865=0,$K8865=0),0,1)</f>
        <v>1</v>
      </c>
    </row>
    <row r="8866" spans="1:13" x14ac:dyDescent="0.2">
      <c r="A8866" t="s">
        <v>349</v>
      </c>
      <c r="B8866" t="s">
        <v>17</v>
      </c>
      <c r="C8866" t="s">
        <v>2</v>
      </c>
      <c r="D8866">
        <v>1212</v>
      </c>
      <c r="E8866">
        <v>2019</v>
      </c>
      <c r="F8866">
        <v>3</v>
      </c>
      <c r="G8866">
        <v>7984</v>
      </c>
      <c r="H8866" s="1">
        <v>3</v>
      </c>
      <c r="I8866">
        <v>15</v>
      </c>
      <c r="J8866">
        <f>IF($H8866=0,1,IF($I8866&lt;=1,2,0))</f>
        <v>0</v>
      </c>
      <c r="K8866">
        <v>7</v>
      </c>
      <c r="L8866">
        <f>IF(AND($J8866=0,$K8866=0),0,1)</f>
        <v>1</v>
      </c>
    </row>
    <row r="8867" spans="1:13" x14ac:dyDescent="0.2">
      <c r="A8867" t="s">
        <v>349</v>
      </c>
      <c r="B8867" t="s">
        <v>17</v>
      </c>
      <c r="C8867" t="s">
        <v>2</v>
      </c>
      <c r="D8867">
        <v>1212</v>
      </c>
      <c r="E8867">
        <v>2019</v>
      </c>
      <c r="F8867">
        <v>2</v>
      </c>
      <c r="G8867">
        <v>7983</v>
      </c>
      <c r="H8867" s="1">
        <v>3</v>
      </c>
      <c r="I8867">
        <v>14</v>
      </c>
      <c r="J8867">
        <f>IF($H8867=0,1,IF($I8867&lt;=1,2,0))</f>
        <v>0</v>
      </c>
      <c r="K8867">
        <v>7</v>
      </c>
      <c r="L8867">
        <f>IF(AND($J8867=0,$K8867=0),0,1)</f>
        <v>1</v>
      </c>
    </row>
    <row r="8868" spans="1:13" x14ac:dyDescent="0.2">
      <c r="A8868" t="s">
        <v>349</v>
      </c>
      <c r="B8868" t="s">
        <v>17</v>
      </c>
      <c r="C8868" t="s">
        <v>2</v>
      </c>
      <c r="D8868">
        <v>1212</v>
      </c>
      <c r="E8868">
        <v>2019</v>
      </c>
      <c r="F8868">
        <v>4</v>
      </c>
      <c r="G8868">
        <v>7985</v>
      </c>
      <c r="H8868" s="1">
        <v>3</v>
      </c>
      <c r="I8868">
        <v>14</v>
      </c>
      <c r="J8868">
        <f>IF($H8868=0,1,IF($I8868&lt;=1,2,0))</f>
        <v>0</v>
      </c>
      <c r="K8868">
        <v>7</v>
      </c>
      <c r="L8868">
        <f>IF(AND($J8868=0,$K8868=0),0,1)</f>
        <v>1</v>
      </c>
    </row>
    <row r="8869" spans="1:13" x14ac:dyDescent="0.2">
      <c r="A8869" t="s">
        <v>349</v>
      </c>
      <c r="B8869" t="s">
        <v>17</v>
      </c>
      <c r="C8869" t="s">
        <v>2</v>
      </c>
      <c r="D8869">
        <v>1212</v>
      </c>
      <c r="E8869">
        <v>2019</v>
      </c>
      <c r="F8869">
        <v>5</v>
      </c>
      <c r="G8869">
        <v>143</v>
      </c>
      <c r="H8869" s="1">
        <v>3</v>
      </c>
      <c r="I8869">
        <v>14</v>
      </c>
      <c r="J8869">
        <f>IF($H8869=0,1,IF($I8869&lt;=1,2,0))</f>
        <v>0</v>
      </c>
      <c r="K8869">
        <v>7</v>
      </c>
      <c r="L8869">
        <f>IF(AND($J8869=0,$K8869=0),0,1)</f>
        <v>1</v>
      </c>
    </row>
    <row r="8870" spans="1:13" x14ac:dyDescent="0.2">
      <c r="A8870" t="s">
        <v>349</v>
      </c>
      <c r="B8870" t="s">
        <v>17</v>
      </c>
      <c r="C8870" t="s">
        <v>9</v>
      </c>
      <c r="D8870">
        <v>3011</v>
      </c>
      <c r="E8870">
        <v>2019</v>
      </c>
      <c r="F8870">
        <v>1</v>
      </c>
      <c r="G8870">
        <v>10001</v>
      </c>
      <c r="H8870" s="1">
        <v>0</v>
      </c>
      <c r="I8870">
        <v>15</v>
      </c>
      <c r="J8870">
        <f>IF($H8870=0,1,IF($I8870&lt;=1,2,0))</f>
        <v>1</v>
      </c>
      <c r="K8870">
        <v>0</v>
      </c>
      <c r="L8870">
        <f>IF(AND($J8870=0,$K8870=0),0,1)</f>
        <v>1</v>
      </c>
    </row>
    <row r="8871" spans="1:13" x14ac:dyDescent="0.2">
      <c r="A8871" t="s">
        <v>349</v>
      </c>
      <c r="B8871" t="s">
        <v>17</v>
      </c>
      <c r="C8871" t="s">
        <v>9</v>
      </c>
      <c r="D8871">
        <v>3011</v>
      </c>
      <c r="E8871">
        <v>2019</v>
      </c>
      <c r="F8871">
        <v>4</v>
      </c>
      <c r="G8871">
        <v>10003</v>
      </c>
      <c r="H8871" s="1">
        <v>0</v>
      </c>
      <c r="I8871">
        <v>15</v>
      </c>
      <c r="J8871">
        <f>IF($H8871=0,1,IF($I8871&lt;=1,2,0))</f>
        <v>1</v>
      </c>
      <c r="K8871">
        <v>0</v>
      </c>
      <c r="L8871">
        <f>IF(AND($J8871=0,$K8871=0),0,1)</f>
        <v>1</v>
      </c>
    </row>
    <row r="8872" spans="1:13" x14ac:dyDescent="0.2">
      <c r="A8872" t="s">
        <v>349</v>
      </c>
      <c r="B8872" t="s">
        <v>17</v>
      </c>
      <c r="C8872" t="s">
        <v>9</v>
      </c>
      <c r="D8872">
        <v>3011</v>
      </c>
      <c r="E8872">
        <v>2019</v>
      </c>
      <c r="F8872">
        <v>3</v>
      </c>
      <c r="G8872">
        <v>10002</v>
      </c>
      <c r="H8872" s="1">
        <v>0</v>
      </c>
      <c r="I8872">
        <v>14</v>
      </c>
      <c r="J8872">
        <f>IF($H8872=0,1,IF($I8872&lt;=1,2,0))</f>
        <v>1</v>
      </c>
      <c r="K8872">
        <v>0</v>
      </c>
      <c r="L8872">
        <f>IF(AND($J8872=0,$K8872=0),0,1)</f>
        <v>1</v>
      </c>
    </row>
    <row r="8873" spans="1:13" x14ac:dyDescent="0.2">
      <c r="A8873" t="s">
        <v>349</v>
      </c>
      <c r="B8873" t="s">
        <v>17</v>
      </c>
      <c r="C8873" t="s">
        <v>9</v>
      </c>
      <c r="D8873">
        <v>3011</v>
      </c>
      <c r="E8873">
        <v>2019</v>
      </c>
      <c r="F8873">
        <v>2</v>
      </c>
      <c r="G8873">
        <v>40454</v>
      </c>
      <c r="H8873" s="1">
        <v>0</v>
      </c>
      <c r="I8873">
        <v>13</v>
      </c>
      <c r="J8873">
        <f>IF($H8873=0,1,IF($I8873&lt;=1,2,0))</f>
        <v>1</v>
      </c>
      <c r="K8873">
        <v>0</v>
      </c>
      <c r="L8873">
        <f>IF(AND($J8873=0,$K8873=0),0,1)</f>
        <v>1</v>
      </c>
    </row>
    <row r="8874" spans="1:13" x14ac:dyDescent="0.2">
      <c r="A8874" t="s">
        <v>349</v>
      </c>
      <c r="B8874" t="s">
        <v>17</v>
      </c>
      <c r="C8874" t="s">
        <v>9</v>
      </c>
      <c r="D8874">
        <v>3011</v>
      </c>
      <c r="E8874">
        <v>2019</v>
      </c>
      <c r="F8874">
        <v>5</v>
      </c>
      <c r="G8874">
        <v>10004</v>
      </c>
      <c r="H8874" s="1">
        <v>0</v>
      </c>
      <c r="I8874">
        <v>10</v>
      </c>
      <c r="J8874">
        <f>IF($H8874=0,1,IF($I8874&lt;=1,2,0))</f>
        <v>1</v>
      </c>
      <c r="K8874">
        <v>0</v>
      </c>
      <c r="L8874">
        <f>IF(AND($J8874=0,$K8874=0),0,1)</f>
        <v>1</v>
      </c>
    </row>
    <row r="8875" spans="1:13" x14ac:dyDescent="0.2">
      <c r="A8875" t="s">
        <v>349</v>
      </c>
      <c r="B8875" t="s">
        <v>17</v>
      </c>
      <c r="C8875" t="s">
        <v>2</v>
      </c>
      <c r="D8875">
        <v>3101</v>
      </c>
      <c r="E8875">
        <v>2019</v>
      </c>
      <c r="F8875">
        <v>1</v>
      </c>
      <c r="G8875">
        <v>8024</v>
      </c>
      <c r="H8875" s="1">
        <v>4</v>
      </c>
      <c r="I8875">
        <v>19</v>
      </c>
      <c r="J8875">
        <f>IF($H8875=0,1,IF($I8875&lt;=1,2,0))</f>
        <v>0</v>
      </c>
      <c r="K8875">
        <v>7</v>
      </c>
      <c r="L8875">
        <f>IF(AND($J8875=0,$K8875=0),0,1)</f>
        <v>1</v>
      </c>
      <c r="M8875" t="s">
        <v>357</v>
      </c>
    </row>
    <row r="8876" spans="1:13" x14ac:dyDescent="0.2">
      <c r="A8876" t="s">
        <v>349</v>
      </c>
      <c r="B8876" t="s">
        <v>17</v>
      </c>
      <c r="C8876" t="s">
        <v>2</v>
      </c>
      <c r="D8876">
        <v>3102</v>
      </c>
      <c r="E8876">
        <v>2019</v>
      </c>
      <c r="F8876">
        <v>1</v>
      </c>
      <c r="G8876">
        <v>8025</v>
      </c>
      <c r="H8876" s="1">
        <v>4</v>
      </c>
      <c r="I8876">
        <v>7</v>
      </c>
      <c r="J8876">
        <f>IF($H8876=0,1,IF($I8876&lt;=1,2,0))</f>
        <v>0</v>
      </c>
      <c r="K8876">
        <v>7</v>
      </c>
      <c r="L8876">
        <f>IF(AND($J8876=0,$K8876=0),0,1)</f>
        <v>1</v>
      </c>
      <c r="M8876" t="s">
        <v>358</v>
      </c>
    </row>
    <row r="8877" spans="1:13" x14ac:dyDescent="0.2">
      <c r="A8877" t="s">
        <v>349</v>
      </c>
      <c r="B8877" t="s">
        <v>17</v>
      </c>
      <c r="C8877" t="s">
        <v>2</v>
      </c>
      <c r="D8877">
        <v>3102</v>
      </c>
      <c r="E8877">
        <v>2019</v>
      </c>
      <c r="F8877">
        <v>2</v>
      </c>
      <c r="G8877">
        <v>8026</v>
      </c>
      <c r="H8877" s="1">
        <v>4</v>
      </c>
      <c r="I8877">
        <v>7</v>
      </c>
      <c r="J8877">
        <f>IF($H8877=0,1,IF($I8877&lt;=1,2,0))</f>
        <v>0</v>
      </c>
      <c r="K8877">
        <v>7</v>
      </c>
      <c r="L8877">
        <f>IF(AND($J8877=0,$K8877=0),0,1)</f>
        <v>1</v>
      </c>
      <c r="M8877" t="s">
        <v>358</v>
      </c>
    </row>
    <row r="8878" spans="1:13" x14ac:dyDescent="0.2">
      <c r="A8878" t="s">
        <v>349</v>
      </c>
      <c r="B8878" t="s">
        <v>17</v>
      </c>
      <c r="C8878" t="s">
        <v>2</v>
      </c>
      <c r="D8878">
        <v>3103</v>
      </c>
      <c r="E8878">
        <v>2019</v>
      </c>
      <c r="F8878">
        <v>2</v>
      </c>
      <c r="G8878">
        <v>8028</v>
      </c>
      <c r="H8878" s="1">
        <v>3</v>
      </c>
      <c r="I8878">
        <v>12</v>
      </c>
      <c r="J8878">
        <f>IF($H8878=0,1,IF($I8878&lt;=1,2,0))</f>
        <v>0</v>
      </c>
      <c r="K8878">
        <v>7</v>
      </c>
      <c r="L8878">
        <f>IF(AND($J8878=0,$K8878=0),0,1)</f>
        <v>1</v>
      </c>
      <c r="M8878" t="s">
        <v>359</v>
      </c>
    </row>
    <row r="8879" spans="1:13" x14ac:dyDescent="0.2">
      <c r="A8879" t="s">
        <v>349</v>
      </c>
      <c r="B8879" t="s">
        <v>17</v>
      </c>
      <c r="C8879" t="s">
        <v>2</v>
      </c>
      <c r="D8879">
        <v>3103</v>
      </c>
      <c r="E8879">
        <v>2019</v>
      </c>
      <c r="F8879">
        <v>3</v>
      </c>
      <c r="G8879">
        <v>8029</v>
      </c>
      <c r="H8879" s="1">
        <v>3</v>
      </c>
      <c r="I8879">
        <v>9</v>
      </c>
      <c r="J8879">
        <f>IF($H8879=0,1,IF($I8879&lt;=1,2,0))</f>
        <v>0</v>
      </c>
      <c r="K8879">
        <v>7</v>
      </c>
      <c r="L8879">
        <f>IF(AND($J8879=0,$K8879=0),0,1)</f>
        <v>1</v>
      </c>
      <c r="M8879" t="s">
        <v>359</v>
      </c>
    </row>
    <row r="8880" spans="1:13" x14ac:dyDescent="0.2">
      <c r="A8880" t="s">
        <v>349</v>
      </c>
      <c r="B8880" t="s">
        <v>17</v>
      </c>
      <c r="C8880" t="s">
        <v>2</v>
      </c>
      <c r="D8880">
        <v>3103</v>
      </c>
      <c r="E8880">
        <v>2019</v>
      </c>
      <c r="F8880">
        <v>1</v>
      </c>
      <c r="G8880">
        <v>8027</v>
      </c>
      <c r="H8880" s="1">
        <v>3</v>
      </c>
      <c r="I8880">
        <v>7</v>
      </c>
      <c r="J8880">
        <f>IF($H8880=0,1,IF($I8880&lt;=1,2,0))</f>
        <v>0</v>
      </c>
      <c r="K8880">
        <v>7</v>
      </c>
      <c r="L8880">
        <f>IF(AND($J8880=0,$K8880=0),0,1)</f>
        <v>1</v>
      </c>
      <c r="M8880" t="s">
        <v>359</v>
      </c>
    </row>
    <row r="8881" spans="1:13" x14ac:dyDescent="0.2">
      <c r="A8881" t="s">
        <v>349</v>
      </c>
      <c r="B8881" t="s">
        <v>17</v>
      </c>
      <c r="C8881" t="s">
        <v>2</v>
      </c>
      <c r="D8881">
        <v>3105</v>
      </c>
      <c r="E8881">
        <v>2019</v>
      </c>
      <c r="F8881">
        <v>1</v>
      </c>
      <c r="G8881">
        <v>8030</v>
      </c>
      <c r="H8881" s="1">
        <v>3</v>
      </c>
      <c r="I8881">
        <v>11</v>
      </c>
      <c r="J8881">
        <f>IF($H8881=0,1,IF($I8881&lt;=1,2,0))</f>
        <v>0</v>
      </c>
      <c r="K8881">
        <v>7</v>
      </c>
      <c r="L8881">
        <f>IF(AND($J8881=0,$K8881=0),0,1)</f>
        <v>1</v>
      </c>
      <c r="M8881" t="s">
        <v>360</v>
      </c>
    </row>
    <row r="8882" spans="1:13" x14ac:dyDescent="0.2">
      <c r="A8882" t="s">
        <v>349</v>
      </c>
      <c r="B8882" t="s">
        <v>17</v>
      </c>
      <c r="C8882" t="s">
        <v>2</v>
      </c>
      <c r="D8882">
        <v>3105</v>
      </c>
      <c r="E8882">
        <v>2019</v>
      </c>
      <c r="F8882">
        <v>2</v>
      </c>
      <c r="G8882">
        <v>8033</v>
      </c>
      <c r="H8882" s="1">
        <v>3</v>
      </c>
      <c r="I8882">
        <v>7</v>
      </c>
      <c r="J8882">
        <f>IF($H8882=0,1,IF($I8882&lt;=1,2,0))</f>
        <v>0</v>
      </c>
      <c r="K8882">
        <v>7</v>
      </c>
      <c r="L8882">
        <f>IF(AND($J8882=0,$K8882=0),0,1)</f>
        <v>1</v>
      </c>
      <c r="M8882" t="s">
        <v>361</v>
      </c>
    </row>
    <row r="8883" spans="1:13" x14ac:dyDescent="0.2">
      <c r="A8883" t="s">
        <v>349</v>
      </c>
      <c r="B8883" t="s">
        <v>17</v>
      </c>
      <c r="C8883" t="s">
        <v>2</v>
      </c>
      <c r="D8883">
        <v>3107</v>
      </c>
      <c r="E8883">
        <v>2019</v>
      </c>
      <c r="F8883">
        <v>1</v>
      </c>
      <c r="G8883">
        <v>8032</v>
      </c>
      <c r="H8883" s="1">
        <v>3</v>
      </c>
      <c r="I8883">
        <v>7</v>
      </c>
      <c r="J8883">
        <f>IF($H8883=0,1,IF($I8883&lt;=1,2,0))</f>
        <v>0</v>
      </c>
      <c r="K8883">
        <v>7</v>
      </c>
      <c r="L8883">
        <f>IF(AND($J8883=0,$K8883=0),0,1)</f>
        <v>1</v>
      </c>
      <c r="M8883" t="s">
        <v>360</v>
      </c>
    </row>
    <row r="8884" spans="1:13" x14ac:dyDescent="0.2">
      <c r="A8884" t="s">
        <v>349</v>
      </c>
      <c r="B8884" t="s">
        <v>17</v>
      </c>
      <c r="C8884" t="s">
        <v>2</v>
      </c>
      <c r="D8884">
        <v>3110</v>
      </c>
      <c r="E8884">
        <v>2019</v>
      </c>
      <c r="F8884">
        <v>1</v>
      </c>
      <c r="G8884">
        <v>8034</v>
      </c>
      <c r="H8884" s="1">
        <v>3</v>
      </c>
      <c r="I8884">
        <v>11</v>
      </c>
      <c r="J8884">
        <f>IF($H8884=0,1,IF($I8884&lt;=1,2,0))</f>
        <v>0</v>
      </c>
      <c r="K8884">
        <v>7</v>
      </c>
      <c r="L8884">
        <f>IF(AND($J8884=0,$K8884=0),0,1)</f>
        <v>1</v>
      </c>
      <c r="M8884" t="s">
        <v>360</v>
      </c>
    </row>
    <row r="8885" spans="1:13" x14ac:dyDescent="0.2">
      <c r="A8885" t="s">
        <v>349</v>
      </c>
      <c r="B8885" t="s">
        <v>17</v>
      </c>
      <c r="C8885" t="s">
        <v>2</v>
      </c>
      <c r="D8885">
        <v>3113</v>
      </c>
      <c r="E8885">
        <v>2019</v>
      </c>
      <c r="F8885">
        <v>1</v>
      </c>
      <c r="G8885">
        <v>8035</v>
      </c>
      <c r="H8885" s="1">
        <v>3</v>
      </c>
      <c r="I8885">
        <v>10</v>
      </c>
      <c r="J8885">
        <f>IF($H8885=0,1,IF($I8885&lt;=1,2,0))</f>
        <v>0</v>
      </c>
      <c r="K8885">
        <v>7</v>
      </c>
      <c r="L8885">
        <f>IF(AND($J8885=0,$K8885=0),0,1)</f>
        <v>1</v>
      </c>
      <c r="M8885" t="s">
        <v>360</v>
      </c>
    </row>
    <row r="8886" spans="1:13" x14ac:dyDescent="0.2">
      <c r="A8886" t="s">
        <v>349</v>
      </c>
      <c r="B8886" t="s">
        <v>17</v>
      </c>
      <c r="C8886" t="s">
        <v>2</v>
      </c>
      <c r="D8886">
        <v>3115</v>
      </c>
      <c r="E8886">
        <v>2019</v>
      </c>
      <c r="F8886">
        <v>1</v>
      </c>
      <c r="G8886">
        <v>8036</v>
      </c>
      <c r="H8886" s="1">
        <v>3</v>
      </c>
      <c r="I8886">
        <v>12</v>
      </c>
      <c r="J8886">
        <f>IF($H8886=0,1,IF($I8886&lt;=1,2,0))</f>
        <v>0</v>
      </c>
      <c r="K8886">
        <v>7</v>
      </c>
      <c r="L8886">
        <f>IF(AND($J8886=0,$K8886=0),0,1)</f>
        <v>1</v>
      </c>
      <c r="M8886" t="s">
        <v>360</v>
      </c>
    </row>
    <row r="8887" spans="1:13" x14ac:dyDescent="0.2">
      <c r="A8887" t="s">
        <v>349</v>
      </c>
      <c r="B8887" t="s">
        <v>17</v>
      </c>
      <c r="C8887" t="s">
        <v>2</v>
      </c>
      <c r="D8887">
        <v>3117</v>
      </c>
      <c r="E8887">
        <v>2019</v>
      </c>
      <c r="F8887">
        <v>1</v>
      </c>
      <c r="G8887">
        <v>8037</v>
      </c>
      <c r="H8887" s="1">
        <v>3</v>
      </c>
      <c r="I8887">
        <v>10</v>
      </c>
      <c r="J8887">
        <f>IF($H8887=0,1,IF($I8887&lt;=1,2,0))</f>
        <v>0</v>
      </c>
      <c r="K8887">
        <v>7</v>
      </c>
      <c r="L8887">
        <f>IF(AND($J8887=0,$K8887=0),0,1)</f>
        <v>1</v>
      </c>
      <c r="M8887" t="s">
        <v>360</v>
      </c>
    </row>
    <row r="8888" spans="1:13" x14ac:dyDescent="0.2">
      <c r="A8888" t="s">
        <v>349</v>
      </c>
      <c r="B8888" t="s">
        <v>17</v>
      </c>
      <c r="C8888" t="s">
        <v>2</v>
      </c>
      <c r="D8888">
        <v>3118</v>
      </c>
      <c r="E8888">
        <v>2019</v>
      </c>
      <c r="F8888">
        <v>1</v>
      </c>
      <c r="G8888">
        <v>8038</v>
      </c>
      <c r="H8888" s="1">
        <v>3</v>
      </c>
      <c r="I8888">
        <v>10</v>
      </c>
      <c r="J8888">
        <f>IF($H8888=0,1,IF($I8888&lt;=1,2,0))</f>
        <v>0</v>
      </c>
      <c r="K8888">
        <v>7</v>
      </c>
      <c r="L8888">
        <f>IF(AND($J8888=0,$K8888=0),0,1)</f>
        <v>1</v>
      </c>
      <c r="M8888" t="s">
        <v>360</v>
      </c>
    </row>
    <row r="8889" spans="1:13" x14ac:dyDescent="0.2">
      <c r="A8889" t="s">
        <v>349</v>
      </c>
      <c r="B8889" t="s">
        <v>17</v>
      </c>
      <c r="C8889" t="s">
        <v>2</v>
      </c>
      <c r="D8889">
        <v>3121</v>
      </c>
      <c r="E8889">
        <v>2019</v>
      </c>
      <c r="F8889">
        <v>1</v>
      </c>
      <c r="G8889">
        <v>8039</v>
      </c>
      <c r="H8889" s="1">
        <v>3</v>
      </c>
      <c r="I8889">
        <v>13</v>
      </c>
      <c r="J8889">
        <f>IF($H8889=0,1,IF($I8889&lt;=1,2,0))</f>
        <v>0</v>
      </c>
      <c r="K8889">
        <v>7</v>
      </c>
      <c r="L8889">
        <f>IF(AND($J8889=0,$K8889=0),0,1)</f>
        <v>1</v>
      </c>
      <c r="M8889" t="s">
        <v>362</v>
      </c>
    </row>
    <row r="8890" spans="1:13" x14ac:dyDescent="0.2">
      <c r="A8890" t="s">
        <v>349</v>
      </c>
      <c r="B8890" t="s">
        <v>17</v>
      </c>
      <c r="C8890" t="s">
        <v>2</v>
      </c>
      <c r="D8890">
        <v>3123</v>
      </c>
      <c r="E8890">
        <v>2019</v>
      </c>
      <c r="F8890">
        <v>1</v>
      </c>
      <c r="G8890">
        <v>7999</v>
      </c>
      <c r="H8890" s="1">
        <v>3</v>
      </c>
      <c r="I8890">
        <v>14</v>
      </c>
      <c r="J8890">
        <f>IF($H8890=0,1,IF($I8890&lt;=1,2,0))</f>
        <v>0</v>
      </c>
      <c r="K8890">
        <v>7</v>
      </c>
      <c r="L8890">
        <f>IF(AND($J8890=0,$K8890=0),0,1)</f>
        <v>1</v>
      </c>
      <c r="M8890" t="s">
        <v>363</v>
      </c>
    </row>
    <row r="8891" spans="1:13" x14ac:dyDescent="0.2">
      <c r="A8891" t="s">
        <v>349</v>
      </c>
      <c r="B8891" t="s">
        <v>17</v>
      </c>
      <c r="C8891" t="s">
        <v>2</v>
      </c>
      <c r="D8891">
        <v>3129</v>
      </c>
      <c r="E8891">
        <v>2019</v>
      </c>
      <c r="F8891">
        <v>1</v>
      </c>
      <c r="G8891">
        <v>8079</v>
      </c>
      <c r="H8891" s="1">
        <v>3</v>
      </c>
      <c r="I8891">
        <v>11</v>
      </c>
      <c r="J8891">
        <f>IF($H8891=0,1,IF($I8891&lt;=1,2,0))</f>
        <v>0</v>
      </c>
      <c r="K8891">
        <v>7</v>
      </c>
      <c r="L8891">
        <f>IF(AND($J8891=0,$K8891=0),0,1)</f>
        <v>1</v>
      </c>
    </row>
    <row r="8892" spans="1:13" x14ac:dyDescent="0.2">
      <c r="A8892" t="s">
        <v>349</v>
      </c>
      <c r="B8892" t="s">
        <v>17</v>
      </c>
      <c r="C8892" t="s">
        <v>2</v>
      </c>
      <c r="D8892">
        <v>3134</v>
      </c>
      <c r="E8892">
        <v>2019</v>
      </c>
      <c r="F8892">
        <v>1</v>
      </c>
      <c r="G8892">
        <v>8073</v>
      </c>
      <c r="H8892" s="1">
        <v>3</v>
      </c>
      <c r="I8892">
        <v>12</v>
      </c>
      <c r="J8892">
        <f>IF($H8892=0,1,IF($I8892&lt;=1,2,0))</f>
        <v>0</v>
      </c>
      <c r="K8892">
        <v>7</v>
      </c>
      <c r="L8892">
        <f>IF(AND($J8892=0,$K8892=0),0,1)</f>
        <v>1</v>
      </c>
      <c r="M8892" t="s">
        <v>364</v>
      </c>
    </row>
    <row r="8893" spans="1:13" x14ac:dyDescent="0.2">
      <c r="A8893" t="s">
        <v>349</v>
      </c>
      <c r="B8893" t="s">
        <v>17</v>
      </c>
      <c r="C8893" t="s">
        <v>2</v>
      </c>
      <c r="D8893">
        <v>3141</v>
      </c>
      <c r="E8893">
        <v>2019</v>
      </c>
      <c r="F8893">
        <v>1</v>
      </c>
      <c r="G8893">
        <v>8074</v>
      </c>
      <c r="H8893" s="1">
        <v>3</v>
      </c>
      <c r="I8893">
        <v>12</v>
      </c>
      <c r="J8893">
        <f>IF($H8893=0,1,IF($I8893&lt;=1,2,0))</f>
        <v>0</v>
      </c>
      <c r="K8893">
        <v>7</v>
      </c>
      <c r="L8893">
        <f>IF(AND($J8893=0,$K8893=0),0,1)</f>
        <v>1</v>
      </c>
      <c r="M8893" t="s">
        <v>365</v>
      </c>
    </row>
    <row r="8894" spans="1:13" x14ac:dyDescent="0.2">
      <c r="A8894" t="s">
        <v>349</v>
      </c>
      <c r="B8894" t="s">
        <v>17</v>
      </c>
      <c r="C8894" t="s">
        <v>2</v>
      </c>
      <c r="D8894">
        <v>3159</v>
      </c>
      <c r="E8894">
        <v>2019</v>
      </c>
      <c r="F8894">
        <v>2</v>
      </c>
      <c r="G8894">
        <v>8065</v>
      </c>
      <c r="H8894" s="1">
        <v>4</v>
      </c>
      <c r="I8894">
        <v>12</v>
      </c>
      <c r="J8894">
        <f>IF($H8894=0,1,IF($I8894&lt;=1,2,0))</f>
        <v>0</v>
      </c>
      <c r="K8894">
        <v>7</v>
      </c>
      <c r="L8894">
        <f>IF(AND($J8894=0,$K8894=0),0,1)</f>
        <v>1</v>
      </c>
      <c r="M8894" t="s">
        <v>366</v>
      </c>
    </row>
    <row r="8895" spans="1:13" x14ac:dyDescent="0.2">
      <c r="A8895" t="s">
        <v>349</v>
      </c>
      <c r="B8895" t="s">
        <v>17</v>
      </c>
      <c r="C8895" t="s">
        <v>2</v>
      </c>
      <c r="D8895">
        <v>3159</v>
      </c>
      <c r="E8895">
        <v>2019</v>
      </c>
      <c r="F8895">
        <v>3</v>
      </c>
      <c r="G8895">
        <v>8066</v>
      </c>
      <c r="H8895" s="1">
        <v>4</v>
      </c>
      <c r="I8895">
        <v>11</v>
      </c>
      <c r="J8895">
        <f>IF($H8895=0,1,IF($I8895&lt;=1,2,0))</f>
        <v>0</v>
      </c>
      <c r="K8895">
        <v>7</v>
      </c>
      <c r="L8895">
        <f>IF(AND($J8895=0,$K8895=0),0,1)</f>
        <v>1</v>
      </c>
      <c r="M8895" t="s">
        <v>366</v>
      </c>
    </row>
    <row r="8896" spans="1:13" x14ac:dyDescent="0.2">
      <c r="A8896" t="s">
        <v>349</v>
      </c>
      <c r="B8896" t="s">
        <v>17</v>
      </c>
      <c r="C8896" t="s">
        <v>2</v>
      </c>
      <c r="D8896">
        <v>3159</v>
      </c>
      <c r="E8896">
        <v>2019</v>
      </c>
      <c r="F8896">
        <v>4</v>
      </c>
      <c r="G8896">
        <v>8067</v>
      </c>
      <c r="H8896" s="1">
        <v>4</v>
      </c>
      <c r="I8896">
        <v>11</v>
      </c>
      <c r="J8896">
        <f>IF($H8896=0,1,IF($I8896&lt;=1,2,0))</f>
        <v>0</v>
      </c>
      <c r="K8896">
        <v>7</v>
      </c>
      <c r="L8896">
        <f>IF(AND($J8896=0,$K8896=0),0,1)</f>
        <v>1</v>
      </c>
      <c r="M8896" t="s">
        <v>366</v>
      </c>
    </row>
    <row r="8897" spans="1:13" x14ac:dyDescent="0.2">
      <c r="A8897" t="s">
        <v>349</v>
      </c>
      <c r="B8897" t="s">
        <v>17</v>
      </c>
      <c r="C8897" t="s">
        <v>2</v>
      </c>
      <c r="D8897">
        <v>3159</v>
      </c>
      <c r="E8897">
        <v>2019</v>
      </c>
      <c r="F8897">
        <v>1</v>
      </c>
      <c r="G8897">
        <v>8064</v>
      </c>
      <c r="H8897" s="1">
        <v>4</v>
      </c>
      <c r="I8897">
        <v>5</v>
      </c>
      <c r="J8897">
        <f>IF($H8897=0,1,IF($I8897&lt;=1,2,0))</f>
        <v>0</v>
      </c>
      <c r="K8897">
        <v>7</v>
      </c>
      <c r="L8897">
        <f>IF(AND($J8897=0,$K8897=0),0,1)</f>
        <v>1</v>
      </c>
      <c r="M8897" t="s">
        <v>366</v>
      </c>
    </row>
    <row r="8898" spans="1:13" x14ac:dyDescent="0.2">
      <c r="A8898" t="s">
        <v>349</v>
      </c>
      <c r="B8898" t="s">
        <v>17</v>
      </c>
      <c r="C8898" t="s">
        <v>2</v>
      </c>
      <c r="D8898">
        <v>3163</v>
      </c>
      <c r="E8898">
        <v>2019</v>
      </c>
      <c r="F8898">
        <v>1</v>
      </c>
      <c r="G8898">
        <v>7950</v>
      </c>
      <c r="H8898" s="1">
        <v>3</v>
      </c>
      <c r="I8898">
        <v>42</v>
      </c>
      <c r="J8898">
        <f>IF($H8898=0,1,IF($I8898&lt;=1,2,0))</f>
        <v>0</v>
      </c>
      <c r="K8898">
        <v>7</v>
      </c>
      <c r="L8898">
        <f>IF(AND($J8898=0,$K8898=0),0,1)</f>
        <v>1</v>
      </c>
    </row>
    <row r="8899" spans="1:13" x14ac:dyDescent="0.2">
      <c r="A8899" t="s">
        <v>349</v>
      </c>
      <c r="B8899" t="s">
        <v>17</v>
      </c>
      <c r="C8899" t="s">
        <v>2</v>
      </c>
      <c r="D8899">
        <v>3174</v>
      </c>
      <c r="E8899">
        <v>2019</v>
      </c>
      <c r="F8899">
        <v>1</v>
      </c>
      <c r="G8899">
        <v>8018</v>
      </c>
      <c r="H8899" s="1">
        <v>3</v>
      </c>
      <c r="I8899">
        <v>15</v>
      </c>
      <c r="J8899">
        <f>IF($H8899=0,1,IF($I8899&lt;=1,2,0))</f>
        <v>0</v>
      </c>
      <c r="K8899">
        <v>7</v>
      </c>
      <c r="L8899">
        <f>IF(AND($J8899=0,$K8899=0),0,1)</f>
        <v>1</v>
      </c>
    </row>
    <row r="8900" spans="1:13" x14ac:dyDescent="0.2">
      <c r="A8900" t="s">
        <v>349</v>
      </c>
      <c r="B8900" t="s">
        <v>17</v>
      </c>
      <c r="C8900" t="s">
        <v>2</v>
      </c>
      <c r="D8900">
        <v>3177</v>
      </c>
      <c r="E8900">
        <v>2019</v>
      </c>
      <c r="F8900">
        <v>1</v>
      </c>
      <c r="G8900">
        <v>7951</v>
      </c>
      <c r="H8900" s="1">
        <v>3</v>
      </c>
      <c r="I8900">
        <v>20</v>
      </c>
      <c r="J8900">
        <f>IF($H8900=0,1,IF($I8900&lt;=1,2,0))</f>
        <v>0</v>
      </c>
      <c r="K8900">
        <v>7</v>
      </c>
      <c r="L8900">
        <f>IF(AND($J8900=0,$K8900=0),0,1)</f>
        <v>1</v>
      </c>
    </row>
    <row r="8901" spans="1:13" x14ac:dyDescent="0.2">
      <c r="A8901" t="s">
        <v>349</v>
      </c>
      <c r="B8901" t="s">
        <v>17</v>
      </c>
      <c r="C8901" t="s">
        <v>2</v>
      </c>
      <c r="D8901">
        <v>3179</v>
      </c>
      <c r="E8901">
        <v>2019</v>
      </c>
      <c r="F8901">
        <v>1</v>
      </c>
      <c r="G8901">
        <v>7974</v>
      </c>
      <c r="H8901" s="1">
        <v>3</v>
      </c>
      <c r="I8901">
        <v>13</v>
      </c>
      <c r="J8901">
        <f>IF($H8901=0,1,IF($I8901&lt;=1,2,0))</f>
        <v>0</v>
      </c>
      <c r="K8901">
        <v>7</v>
      </c>
      <c r="L8901">
        <f>IF(AND($J8901=0,$K8901=0),0,1)</f>
        <v>1</v>
      </c>
    </row>
    <row r="8902" spans="1:13" x14ac:dyDescent="0.2">
      <c r="A8902" t="s">
        <v>349</v>
      </c>
      <c r="B8902" t="s">
        <v>17</v>
      </c>
      <c r="C8902" t="s">
        <v>2</v>
      </c>
      <c r="D8902">
        <v>3192</v>
      </c>
      <c r="E8902">
        <v>2019</v>
      </c>
      <c r="F8902">
        <v>1</v>
      </c>
      <c r="G8902">
        <v>8078</v>
      </c>
      <c r="H8902" s="1">
        <v>4</v>
      </c>
      <c r="I8902">
        <v>10</v>
      </c>
      <c r="J8902">
        <f>IF($H8902=0,1,IF($I8902&lt;=1,2,0))</f>
        <v>0</v>
      </c>
      <c r="K8902">
        <v>7</v>
      </c>
      <c r="L8902">
        <f>IF(AND($J8902=0,$K8902=0),0,1)</f>
        <v>1</v>
      </c>
    </row>
    <row r="8903" spans="1:13" x14ac:dyDescent="0.2">
      <c r="A8903" t="s">
        <v>349</v>
      </c>
      <c r="B8903" t="s">
        <v>17</v>
      </c>
      <c r="C8903" t="s">
        <v>2</v>
      </c>
      <c r="D8903">
        <v>3193</v>
      </c>
      <c r="E8903">
        <v>2019</v>
      </c>
      <c r="F8903">
        <v>1</v>
      </c>
      <c r="G8903">
        <v>8009</v>
      </c>
      <c r="H8903" s="1">
        <v>4</v>
      </c>
      <c r="I8903">
        <v>11</v>
      </c>
      <c r="J8903">
        <f>IF($H8903=0,1,IF($I8903&lt;=1,2,0))</f>
        <v>0</v>
      </c>
      <c r="K8903">
        <v>7</v>
      </c>
      <c r="L8903">
        <f>IF(AND($J8903=0,$K8903=0),0,1)</f>
        <v>1</v>
      </c>
      <c r="M8903" t="s">
        <v>367</v>
      </c>
    </row>
    <row r="8904" spans="1:13" x14ac:dyDescent="0.2">
      <c r="A8904" t="s">
        <v>349</v>
      </c>
      <c r="B8904" t="s">
        <v>17</v>
      </c>
      <c r="C8904" t="s">
        <v>2</v>
      </c>
      <c r="D8904">
        <v>3193</v>
      </c>
      <c r="E8904">
        <v>2019</v>
      </c>
      <c r="F8904">
        <v>4</v>
      </c>
      <c r="G8904">
        <v>8012</v>
      </c>
      <c r="H8904" s="1">
        <v>4</v>
      </c>
      <c r="I8904">
        <v>11</v>
      </c>
      <c r="J8904">
        <f>IF($H8904=0,1,IF($I8904&lt;=1,2,0))</f>
        <v>0</v>
      </c>
      <c r="K8904">
        <v>7</v>
      </c>
      <c r="L8904">
        <f>IF(AND($J8904=0,$K8904=0),0,1)</f>
        <v>1</v>
      </c>
      <c r="M8904" t="s">
        <v>367</v>
      </c>
    </row>
    <row r="8905" spans="1:13" x14ac:dyDescent="0.2">
      <c r="A8905" t="s">
        <v>349</v>
      </c>
      <c r="B8905" t="s">
        <v>17</v>
      </c>
      <c r="C8905" t="s">
        <v>2</v>
      </c>
      <c r="D8905">
        <v>3193</v>
      </c>
      <c r="E8905">
        <v>2019</v>
      </c>
      <c r="F8905">
        <v>2</v>
      </c>
      <c r="G8905">
        <v>8010</v>
      </c>
      <c r="H8905" s="1">
        <v>4</v>
      </c>
      <c r="I8905">
        <v>10</v>
      </c>
      <c r="J8905">
        <f>IF($H8905=0,1,IF($I8905&lt;=1,2,0))</f>
        <v>0</v>
      </c>
      <c r="K8905">
        <v>7</v>
      </c>
      <c r="L8905">
        <f>IF(AND($J8905=0,$K8905=0),0,1)</f>
        <v>1</v>
      </c>
      <c r="M8905" t="s">
        <v>367</v>
      </c>
    </row>
    <row r="8906" spans="1:13" x14ac:dyDescent="0.2">
      <c r="A8906" t="s">
        <v>349</v>
      </c>
      <c r="B8906" t="s">
        <v>17</v>
      </c>
      <c r="C8906" t="s">
        <v>2</v>
      </c>
      <c r="D8906">
        <v>3193</v>
      </c>
      <c r="E8906">
        <v>2019</v>
      </c>
      <c r="F8906">
        <v>5</v>
      </c>
      <c r="G8906">
        <v>8013</v>
      </c>
      <c r="H8906" s="1">
        <v>4</v>
      </c>
      <c r="I8906">
        <v>7</v>
      </c>
      <c r="J8906">
        <f>IF($H8906=0,1,IF($I8906&lt;=1,2,0))</f>
        <v>0</v>
      </c>
      <c r="K8906">
        <v>7</v>
      </c>
      <c r="L8906">
        <f>IF(AND($J8906=0,$K8906=0),0,1)</f>
        <v>1</v>
      </c>
      <c r="M8906" t="s">
        <v>367</v>
      </c>
    </row>
    <row r="8907" spans="1:13" x14ac:dyDescent="0.2">
      <c r="A8907" t="s">
        <v>349</v>
      </c>
      <c r="B8907" t="s">
        <v>17</v>
      </c>
      <c r="C8907" t="s">
        <v>2</v>
      </c>
      <c r="D8907">
        <v>3195</v>
      </c>
      <c r="E8907">
        <v>2019</v>
      </c>
      <c r="F8907">
        <v>1</v>
      </c>
      <c r="G8907">
        <v>8014</v>
      </c>
      <c r="H8907" s="1">
        <v>3</v>
      </c>
      <c r="I8907">
        <v>45</v>
      </c>
      <c r="J8907">
        <f>IF($H8907=0,1,IF($I8907&lt;=1,2,0))</f>
        <v>0</v>
      </c>
      <c r="K8907">
        <v>7</v>
      </c>
      <c r="L8907">
        <f>IF(AND($J8907=0,$K8907=0),0,1)</f>
        <v>1</v>
      </c>
    </row>
    <row r="8908" spans="1:13" x14ac:dyDescent="0.2">
      <c r="A8908" t="s">
        <v>349</v>
      </c>
      <c r="B8908" t="s">
        <v>17</v>
      </c>
      <c r="C8908" t="s">
        <v>2</v>
      </c>
      <c r="D8908">
        <v>3204</v>
      </c>
      <c r="E8908">
        <v>2019</v>
      </c>
      <c r="F8908">
        <v>1</v>
      </c>
      <c r="G8908">
        <v>162</v>
      </c>
      <c r="H8908" s="1">
        <v>3</v>
      </c>
      <c r="I8908">
        <v>13</v>
      </c>
      <c r="J8908">
        <f>IF($H8908=0,1,IF($I8908&lt;=1,2,0))</f>
        <v>0</v>
      </c>
      <c r="K8908">
        <v>7</v>
      </c>
      <c r="L8908">
        <f>IF(AND($J8908=0,$K8908=0),0,1)</f>
        <v>1</v>
      </c>
    </row>
    <row r="8909" spans="1:13" x14ac:dyDescent="0.2">
      <c r="A8909" t="s">
        <v>349</v>
      </c>
      <c r="B8909" t="s">
        <v>17</v>
      </c>
      <c r="C8909" t="s">
        <v>2</v>
      </c>
      <c r="D8909">
        <v>3208</v>
      </c>
      <c r="E8909">
        <v>2019</v>
      </c>
      <c r="F8909">
        <v>1</v>
      </c>
      <c r="G8909">
        <v>165</v>
      </c>
      <c r="H8909" s="1">
        <v>3</v>
      </c>
      <c r="I8909">
        <v>11</v>
      </c>
      <c r="J8909">
        <f>IF($H8909=0,1,IF($I8909&lt;=1,2,0))</f>
        <v>0</v>
      </c>
      <c r="K8909">
        <v>7</v>
      </c>
      <c r="L8909">
        <f>IF(AND($J8909=0,$K8909=0),0,1)</f>
        <v>1</v>
      </c>
      <c r="M8909" t="s">
        <v>368</v>
      </c>
    </row>
    <row r="8910" spans="1:13" x14ac:dyDescent="0.2">
      <c r="A8910" t="s">
        <v>349</v>
      </c>
      <c r="B8910" t="s">
        <v>17</v>
      </c>
      <c r="C8910" t="s">
        <v>2</v>
      </c>
      <c r="D8910">
        <v>3214</v>
      </c>
      <c r="E8910">
        <v>2019</v>
      </c>
      <c r="F8910">
        <v>1</v>
      </c>
      <c r="G8910">
        <v>166</v>
      </c>
      <c r="H8910" s="1">
        <v>4</v>
      </c>
      <c r="I8910">
        <v>19</v>
      </c>
      <c r="J8910">
        <f>IF($H8910=0,1,IF($I8910&lt;=1,2,0))</f>
        <v>0</v>
      </c>
      <c r="K8910">
        <v>7</v>
      </c>
      <c r="L8910">
        <f>IF(AND($J8910=0,$K8910=0),0,1)</f>
        <v>1</v>
      </c>
    </row>
    <row r="8911" spans="1:13" x14ac:dyDescent="0.2">
      <c r="A8911" t="s">
        <v>349</v>
      </c>
      <c r="B8911" t="s">
        <v>17</v>
      </c>
      <c r="C8911" t="s">
        <v>2</v>
      </c>
      <c r="D8911">
        <v>3223</v>
      </c>
      <c r="E8911">
        <v>2019</v>
      </c>
      <c r="F8911">
        <v>1</v>
      </c>
      <c r="G8911">
        <v>8075</v>
      </c>
      <c r="H8911" s="1">
        <v>4</v>
      </c>
      <c r="I8911">
        <v>14</v>
      </c>
      <c r="J8911">
        <f>IF($H8911=0,1,IF($I8911&lt;=1,2,0))</f>
        <v>0</v>
      </c>
      <c r="K8911">
        <v>7</v>
      </c>
      <c r="L8911">
        <f>IF(AND($J8911=0,$K8911=0),0,1)</f>
        <v>1</v>
      </c>
      <c r="M8911" t="s">
        <v>369</v>
      </c>
    </row>
    <row r="8912" spans="1:13" x14ac:dyDescent="0.2">
      <c r="A8912" t="s">
        <v>349</v>
      </c>
      <c r="B8912" t="s">
        <v>17</v>
      </c>
      <c r="C8912" t="s">
        <v>2</v>
      </c>
      <c r="D8912">
        <v>3252</v>
      </c>
      <c r="E8912">
        <v>2019</v>
      </c>
      <c r="F8912">
        <v>1</v>
      </c>
      <c r="G8912">
        <v>7952</v>
      </c>
      <c r="H8912" s="1">
        <v>4</v>
      </c>
      <c r="I8912">
        <v>9</v>
      </c>
      <c r="J8912">
        <f>IF($H8912=0,1,IF($I8912&lt;=1,2,0))</f>
        <v>0</v>
      </c>
      <c r="K8912">
        <v>7</v>
      </c>
      <c r="L8912">
        <f>IF(AND($J8912=0,$K8912=0),0,1)</f>
        <v>1</v>
      </c>
      <c r="M8912" t="s">
        <v>370</v>
      </c>
    </row>
    <row r="8913" spans="1:13" x14ac:dyDescent="0.2">
      <c r="A8913" t="s">
        <v>349</v>
      </c>
      <c r="B8913" t="s">
        <v>17</v>
      </c>
      <c r="C8913" t="s">
        <v>9</v>
      </c>
      <c r="D8913">
        <v>3871</v>
      </c>
      <c r="E8913">
        <v>2019</v>
      </c>
      <c r="F8913">
        <v>5</v>
      </c>
      <c r="G8913">
        <v>18920</v>
      </c>
      <c r="H8913" s="1" t="s">
        <v>1823</v>
      </c>
      <c r="I8913">
        <v>1</v>
      </c>
      <c r="J8913">
        <f>IF($H8913=0,1,IF($I8913&lt;=1,2,0))</f>
        <v>2</v>
      </c>
      <c r="K8913">
        <v>4</v>
      </c>
      <c r="L8913">
        <f>IF(AND($J8913=0,$K8913=0),0,1)</f>
        <v>1</v>
      </c>
    </row>
    <row r="8914" spans="1:13" x14ac:dyDescent="0.2">
      <c r="A8914" t="s">
        <v>349</v>
      </c>
      <c r="B8914" t="s">
        <v>17</v>
      </c>
      <c r="C8914" t="s">
        <v>9</v>
      </c>
      <c r="D8914">
        <v>3871</v>
      </c>
      <c r="E8914">
        <v>2019</v>
      </c>
      <c r="F8914">
        <v>7</v>
      </c>
      <c r="G8914">
        <v>19095</v>
      </c>
      <c r="H8914" s="1" t="s">
        <v>1823</v>
      </c>
      <c r="I8914">
        <v>1</v>
      </c>
      <c r="J8914">
        <f>IF($H8914=0,1,IF($I8914&lt;=1,2,0))</f>
        <v>2</v>
      </c>
      <c r="K8914">
        <v>4</v>
      </c>
      <c r="L8914">
        <f>IF(AND($J8914=0,$K8914=0),0,1)</f>
        <v>1</v>
      </c>
      <c r="M8914" t="s">
        <v>371</v>
      </c>
    </row>
    <row r="8915" spans="1:13" x14ac:dyDescent="0.2">
      <c r="A8915" t="s">
        <v>349</v>
      </c>
      <c r="B8915" t="s">
        <v>17</v>
      </c>
      <c r="C8915" t="s">
        <v>2</v>
      </c>
      <c r="D8915">
        <v>3918</v>
      </c>
      <c r="E8915">
        <v>2019</v>
      </c>
      <c r="F8915">
        <v>1</v>
      </c>
      <c r="G8915">
        <v>8002</v>
      </c>
      <c r="H8915" s="1">
        <v>4</v>
      </c>
      <c r="I8915">
        <v>7</v>
      </c>
      <c r="J8915">
        <f>IF($H8915=0,1,IF($I8915&lt;=1,2,0))</f>
        <v>0</v>
      </c>
      <c r="K8915">
        <v>7</v>
      </c>
      <c r="L8915">
        <f>IF(AND($J8915=0,$K8915=0),0,1)</f>
        <v>1</v>
      </c>
      <c r="M8915" t="s">
        <v>372</v>
      </c>
    </row>
    <row r="8916" spans="1:13" x14ac:dyDescent="0.2">
      <c r="A8916" t="s">
        <v>349</v>
      </c>
      <c r="B8916" t="s">
        <v>17</v>
      </c>
      <c r="C8916" t="s">
        <v>2</v>
      </c>
      <c r="D8916">
        <v>3919</v>
      </c>
      <c r="E8916">
        <v>2019</v>
      </c>
      <c r="F8916">
        <v>1</v>
      </c>
      <c r="G8916">
        <v>8003</v>
      </c>
      <c r="H8916" s="1">
        <v>4</v>
      </c>
      <c r="I8916">
        <v>10</v>
      </c>
      <c r="J8916">
        <f>IF($H8916=0,1,IF($I8916&lt;=1,2,0))</f>
        <v>0</v>
      </c>
      <c r="K8916">
        <v>7</v>
      </c>
      <c r="L8916">
        <f>IF(AND($J8916=0,$K8916=0),0,1)</f>
        <v>1</v>
      </c>
      <c r="M8916" t="s">
        <v>373</v>
      </c>
    </row>
    <row r="8917" spans="1:13" x14ac:dyDescent="0.2">
      <c r="A8917" t="s">
        <v>349</v>
      </c>
      <c r="B8917" t="s">
        <v>17</v>
      </c>
      <c r="C8917" t="s">
        <v>2</v>
      </c>
      <c r="D8917">
        <v>3920</v>
      </c>
      <c r="E8917">
        <v>2019</v>
      </c>
      <c r="F8917">
        <v>1</v>
      </c>
      <c r="G8917">
        <v>8004</v>
      </c>
      <c r="H8917" s="1">
        <v>4</v>
      </c>
      <c r="I8917">
        <v>7</v>
      </c>
      <c r="J8917">
        <f>IF($H8917=0,1,IF($I8917&lt;=1,2,0))</f>
        <v>0</v>
      </c>
      <c r="K8917">
        <v>7</v>
      </c>
      <c r="L8917">
        <f>IF(AND($J8917=0,$K8917=0),0,1)</f>
        <v>1</v>
      </c>
      <c r="M8917" t="s">
        <v>373</v>
      </c>
    </row>
    <row r="8918" spans="1:13" x14ac:dyDescent="0.2">
      <c r="A8918" t="s">
        <v>349</v>
      </c>
      <c r="B8918" t="s">
        <v>17</v>
      </c>
      <c r="C8918" t="s">
        <v>2</v>
      </c>
      <c r="D8918">
        <v>3926</v>
      </c>
      <c r="E8918">
        <v>2019</v>
      </c>
      <c r="F8918">
        <v>1</v>
      </c>
      <c r="G8918">
        <v>8076</v>
      </c>
      <c r="H8918" s="1">
        <v>4</v>
      </c>
      <c r="I8918">
        <v>10</v>
      </c>
      <c r="J8918">
        <f>IF($H8918=0,1,IF($I8918&lt;=1,2,0))</f>
        <v>0</v>
      </c>
      <c r="K8918">
        <v>7</v>
      </c>
      <c r="L8918">
        <f>IF(AND($J8918=0,$K8918=0),0,1)</f>
        <v>1</v>
      </c>
      <c r="M8918" t="s">
        <v>373</v>
      </c>
    </row>
    <row r="8919" spans="1:13" x14ac:dyDescent="0.2">
      <c r="A8919" t="s">
        <v>349</v>
      </c>
      <c r="B8919" t="s">
        <v>17</v>
      </c>
      <c r="C8919" t="s">
        <v>2</v>
      </c>
      <c r="D8919">
        <v>3927</v>
      </c>
      <c r="E8919">
        <v>2019</v>
      </c>
      <c r="F8919">
        <v>1</v>
      </c>
      <c r="G8919">
        <v>8077</v>
      </c>
      <c r="H8919" s="1">
        <v>4</v>
      </c>
      <c r="I8919">
        <v>2</v>
      </c>
      <c r="J8919">
        <f>IF($H8919=0,1,IF($I8919&lt;=1,2,0))</f>
        <v>0</v>
      </c>
      <c r="K8919">
        <v>7</v>
      </c>
      <c r="L8919">
        <f>IF(AND($J8919=0,$K8919=0),0,1)</f>
        <v>1</v>
      </c>
      <c r="M8919" t="s">
        <v>373</v>
      </c>
    </row>
    <row r="8920" spans="1:13" x14ac:dyDescent="0.2">
      <c r="A8920" t="s">
        <v>349</v>
      </c>
      <c r="B8920" t="s">
        <v>17</v>
      </c>
      <c r="C8920" t="s">
        <v>2</v>
      </c>
      <c r="D8920">
        <v>3936</v>
      </c>
      <c r="E8920">
        <v>2019</v>
      </c>
      <c r="F8920">
        <v>1</v>
      </c>
      <c r="G8920">
        <v>8080</v>
      </c>
      <c r="H8920" s="1">
        <v>4</v>
      </c>
      <c r="I8920">
        <v>6</v>
      </c>
      <c r="J8920">
        <f>IF($H8920=0,1,IF($I8920&lt;=1,2,0))</f>
        <v>0</v>
      </c>
      <c r="K8920">
        <v>7</v>
      </c>
      <c r="L8920">
        <f>IF(AND($J8920=0,$K8920=0),0,1)</f>
        <v>1</v>
      </c>
      <c r="M8920" t="s">
        <v>373</v>
      </c>
    </row>
    <row r="8921" spans="1:13" x14ac:dyDescent="0.2">
      <c r="A8921" t="s">
        <v>349</v>
      </c>
      <c r="B8921" t="s">
        <v>17</v>
      </c>
      <c r="C8921" t="s">
        <v>61</v>
      </c>
      <c r="D8921">
        <v>3991</v>
      </c>
      <c r="E8921">
        <v>2019</v>
      </c>
      <c r="F8921">
        <v>2</v>
      </c>
      <c r="G8921">
        <v>19369</v>
      </c>
      <c r="H8921" s="1">
        <v>4</v>
      </c>
      <c r="I8921">
        <v>1</v>
      </c>
      <c r="J8921">
        <f>IF($H8921=0,1,IF($I8921&lt;=1,2,0))</f>
        <v>2</v>
      </c>
      <c r="K8921">
        <v>0</v>
      </c>
      <c r="L8921">
        <f>IF(AND($J8921=0,$K8921=0),0,1)</f>
        <v>1</v>
      </c>
    </row>
    <row r="8922" spans="1:13" x14ac:dyDescent="0.2">
      <c r="A8922" t="s">
        <v>349</v>
      </c>
      <c r="B8922" t="s">
        <v>17</v>
      </c>
      <c r="C8922" t="s">
        <v>61</v>
      </c>
      <c r="D8922">
        <v>3991</v>
      </c>
      <c r="E8922">
        <v>2019</v>
      </c>
      <c r="F8922">
        <v>3</v>
      </c>
      <c r="G8922">
        <v>19370</v>
      </c>
      <c r="H8922" s="1">
        <v>4</v>
      </c>
      <c r="I8922">
        <v>1</v>
      </c>
      <c r="J8922">
        <f>IF($H8922=0,1,IF($I8922&lt;=1,2,0))</f>
        <v>2</v>
      </c>
      <c r="K8922">
        <v>0</v>
      </c>
      <c r="L8922">
        <f>IF(AND($J8922=0,$K8922=0),0,1)</f>
        <v>1</v>
      </c>
    </row>
    <row r="8923" spans="1:13" x14ac:dyDescent="0.2">
      <c r="A8923" t="s">
        <v>349</v>
      </c>
      <c r="B8923" t="s">
        <v>17</v>
      </c>
      <c r="C8923" t="s">
        <v>61</v>
      </c>
      <c r="D8923">
        <v>3991</v>
      </c>
      <c r="E8923">
        <v>2019</v>
      </c>
      <c r="F8923">
        <v>4</v>
      </c>
      <c r="G8923">
        <v>19371</v>
      </c>
      <c r="H8923" s="1">
        <v>4</v>
      </c>
      <c r="I8923">
        <v>1</v>
      </c>
      <c r="J8923">
        <f>IF($H8923=0,1,IF($I8923&lt;=1,2,0))</f>
        <v>2</v>
      </c>
      <c r="K8923">
        <v>0</v>
      </c>
      <c r="L8923">
        <f>IF(AND($J8923=0,$K8923=0),0,1)</f>
        <v>1</v>
      </c>
    </row>
    <row r="8924" spans="1:13" x14ac:dyDescent="0.2">
      <c r="A8924" t="s">
        <v>349</v>
      </c>
      <c r="B8924" t="s">
        <v>17</v>
      </c>
      <c r="C8924" t="s">
        <v>61</v>
      </c>
      <c r="D8924">
        <v>3991</v>
      </c>
      <c r="E8924">
        <v>2019</v>
      </c>
      <c r="F8924">
        <v>7</v>
      </c>
      <c r="G8924">
        <v>19374</v>
      </c>
      <c r="H8924" s="1">
        <v>4</v>
      </c>
      <c r="I8924">
        <v>1</v>
      </c>
      <c r="J8924">
        <f>IF($H8924=0,1,IF($I8924&lt;=1,2,0))</f>
        <v>2</v>
      </c>
      <c r="K8924">
        <v>0</v>
      </c>
      <c r="L8924">
        <f>IF(AND($J8924=0,$K8924=0),0,1)</f>
        <v>1</v>
      </c>
    </row>
    <row r="8925" spans="1:13" x14ac:dyDescent="0.2">
      <c r="A8925" t="s">
        <v>349</v>
      </c>
      <c r="B8925" t="s">
        <v>17</v>
      </c>
      <c r="C8925" t="s">
        <v>61</v>
      </c>
      <c r="D8925">
        <v>3991</v>
      </c>
      <c r="E8925">
        <v>2019</v>
      </c>
      <c r="F8925">
        <v>8</v>
      </c>
      <c r="G8925">
        <v>19375</v>
      </c>
      <c r="H8925" s="1">
        <v>4</v>
      </c>
      <c r="I8925">
        <v>1</v>
      </c>
      <c r="J8925">
        <f>IF($H8925=0,1,IF($I8925&lt;=1,2,0))</f>
        <v>2</v>
      </c>
      <c r="K8925">
        <v>0</v>
      </c>
      <c r="L8925">
        <f>IF(AND($J8925=0,$K8925=0),0,1)</f>
        <v>1</v>
      </c>
    </row>
    <row r="8926" spans="1:13" x14ac:dyDescent="0.2">
      <c r="A8926" t="s">
        <v>349</v>
      </c>
      <c r="B8926" t="s">
        <v>17</v>
      </c>
      <c r="C8926" t="s">
        <v>61</v>
      </c>
      <c r="D8926">
        <v>3991</v>
      </c>
      <c r="E8926">
        <v>2019</v>
      </c>
      <c r="F8926">
        <v>10</v>
      </c>
      <c r="G8926">
        <v>19377</v>
      </c>
      <c r="H8926" s="1">
        <v>4</v>
      </c>
      <c r="I8926">
        <v>1</v>
      </c>
      <c r="J8926">
        <f>IF($H8926=0,1,IF($I8926&lt;=1,2,0))</f>
        <v>2</v>
      </c>
      <c r="K8926">
        <v>0</v>
      </c>
      <c r="L8926">
        <f>IF(AND($J8926=0,$K8926=0),0,1)</f>
        <v>1</v>
      </c>
    </row>
    <row r="8927" spans="1:13" x14ac:dyDescent="0.2">
      <c r="A8927" t="s">
        <v>349</v>
      </c>
      <c r="B8927" t="s">
        <v>17</v>
      </c>
      <c r="C8927" t="s">
        <v>61</v>
      </c>
      <c r="D8927">
        <v>3991</v>
      </c>
      <c r="E8927">
        <v>2019</v>
      </c>
      <c r="F8927">
        <v>11</v>
      </c>
      <c r="G8927">
        <v>19378</v>
      </c>
      <c r="H8927" s="1">
        <v>4</v>
      </c>
      <c r="I8927">
        <v>1</v>
      </c>
      <c r="J8927">
        <f>IF($H8927=0,1,IF($I8927&lt;=1,2,0))</f>
        <v>2</v>
      </c>
      <c r="K8927">
        <v>0</v>
      </c>
      <c r="L8927">
        <f>IF(AND($J8927=0,$K8927=0),0,1)</f>
        <v>1</v>
      </c>
    </row>
    <row r="8928" spans="1:13" x14ac:dyDescent="0.2">
      <c r="A8928" t="s">
        <v>349</v>
      </c>
      <c r="B8928" t="s">
        <v>17</v>
      </c>
      <c r="C8928" t="s">
        <v>61</v>
      </c>
      <c r="D8928">
        <v>3991</v>
      </c>
      <c r="E8928">
        <v>2019</v>
      </c>
      <c r="F8928">
        <v>12</v>
      </c>
      <c r="G8928">
        <v>19379</v>
      </c>
      <c r="H8928" s="1">
        <v>4</v>
      </c>
      <c r="I8928">
        <v>1</v>
      </c>
      <c r="J8928">
        <f>IF($H8928=0,1,IF($I8928&lt;=1,2,0))</f>
        <v>2</v>
      </c>
      <c r="K8928">
        <v>0</v>
      </c>
      <c r="L8928">
        <f>IF(AND($J8928=0,$K8928=0),0,1)</f>
        <v>1</v>
      </c>
    </row>
    <row r="8929" spans="1:12" x14ac:dyDescent="0.2">
      <c r="A8929" t="s">
        <v>349</v>
      </c>
      <c r="B8929" t="s">
        <v>17</v>
      </c>
      <c r="C8929" t="s">
        <v>61</v>
      </c>
      <c r="D8929">
        <v>3991</v>
      </c>
      <c r="E8929">
        <v>2019</v>
      </c>
      <c r="F8929">
        <v>13</v>
      </c>
      <c r="G8929">
        <v>19380</v>
      </c>
      <c r="H8929" s="1">
        <v>4</v>
      </c>
      <c r="I8929">
        <v>1</v>
      </c>
      <c r="J8929">
        <f>IF($H8929=0,1,IF($I8929&lt;=1,2,0))</f>
        <v>2</v>
      </c>
      <c r="K8929">
        <v>0</v>
      </c>
      <c r="L8929">
        <f>IF(AND($J8929=0,$K8929=0),0,1)</f>
        <v>1</v>
      </c>
    </row>
    <row r="8930" spans="1:12" x14ac:dyDescent="0.2">
      <c r="A8930" t="s">
        <v>349</v>
      </c>
      <c r="B8930" t="s">
        <v>17</v>
      </c>
      <c r="C8930" t="s">
        <v>61</v>
      </c>
      <c r="D8930">
        <v>3991</v>
      </c>
      <c r="E8930">
        <v>2019</v>
      </c>
      <c r="F8930">
        <v>5</v>
      </c>
      <c r="G8930">
        <v>19372</v>
      </c>
      <c r="H8930" s="1">
        <v>4</v>
      </c>
      <c r="I8930">
        <v>0</v>
      </c>
      <c r="J8930">
        <f>IF($H8930=0,1,IF($I8930&lt;=1,2,0))</f>
        <v>2</v>
      </c>
      <c r="K8930">
        <v>0</v>
      </c>
      <c r="L8930">
        <f>IF(AND($J8930=0,$K8930=0),0,1)</f>
        <v>1</v>
      </c>
    </row>
    <row r="8931" spans="1:12" x14ac:dyDescent="0.2">
      <c r="A8931" t="s">
        <v>349</v>
      </c>
      <c r="B8931" t="s">
        <v>17</v>
      </c>
      <c r="C8931" t="s">
        <v>61</v>
      </c>
      <c r="D8931">
        <v>3991</v>
      </c>
      <c r="E8931">
        <v>2019</v>
      </c>
      <c r="F8931">
        <v>6</v>
      </c>
      <c r="G8931">
        <v>19373</v>
      </c>
      <c r="H8931" s="1">
        <v>4</v>
      </c>
      <c r="I8931">
        <v>0</v>
      </c>
      <c r="J8931">
        <f>IF($H8931=0,1,IF($I8931&lt;=1,2,0))</f>
        <v>2</v>
      </c>
      <c r="K8931">
        <v>0</v>
      </c>
      <c r="L8931">
        <f>IF(AND($J8931=0,$K8931=0),0,1)</f>
        <v>1</v>
      </c>
    </row>
    <row r="8932" spans="1:12" x14ac:dyDescent="0.2">
      <c r="A8932" t="s">
        <v>349</v>
      </c>
      <c r="B8932" t="s">
        <v>17</v>
      </c>
      <c r="C8932" t="s">
        <v>61</v>
      </c>
      <c r="D8932">
        <v>3991</v>
      </c>
      <c r="E8932">
        <v>2019</v>
      </c>
      <c r="F8932">
        <v>9</v>
      </c>
      <c r="G8932">
        <v>19376</v>
      </c>
      <c r="H8932" s="1">
        <v>4</v>
      </c>
      <c r="I8932">
        <v>0</v>
      </c>
      <c r="J8932">
        <f>IF($H8932=0,1,IF($I8932&lt;=1,2,0))</f>
        <v>2</v>
      </c>
      <c r="K8932">
        <v>0</v>
      </c>
      <c r="L8932">
        <f>IF(AND($J8932=0,$K8932=0),0,1)</f>
        <v>1</v>
      </c>
    </row>
    <row r="8933" spans="1:12" x14ac:dyDescent="0.2">
      <c r="A8933" t="s">
        <v>349</v>
      </c>
      <c r="B8933" t="s">
        <v>17</v>
      </c>
      <c r="C8933" t="s">
        <v>2</v>
      </c>
      <c r="D8933">
        <v>3996</v>
      </c>
      <c r="E8933">
        <v>2019</v>
      </c>
      <c r="F8933">
        <v>5</v>
      </c>
      <c r="G8933">
        <v>90</v>
      </c>
      <c r="H8933" s="1">
        <v>1</v>
      </c>
      <c r="I8933">
        <v>4</v>
      </c>
      <c r="J8933">
        <f>IF($H8933=0,1,IF($I8933&lt;=1,2,0))</f>
        <v>0</v>
      </c>
      <c r="K8933">
        <v>7</v>
      </c>
      <c r="L8933">
        <f>IF(AND($J8933=0,$K8933=0),0,1)</f>
        <v>1</v>
      </c>
    </row>
    <row r="8934" spans="1:12" x14ac:dyDescent="0.2">
      <c r="A8934" t="s">
        <v>349</v>
      </c>
      <c r="B8934" t="s">
        <v>17</v>
      </c>
      <c r="C8934" t="s">
        <v>2</v>
      </c>
      <c r="D8934">
        <v>3996</v>
      </c>
      <c r="E8934">
        <v>2019</v>
      </c>
      <c r="F8934">
        <v>8</v>
      </c>
      <c r="G8934">
        <v>87</v>
      </c>
      <c r="H8934" s="1">
        <v>1</v>
      </c>
      <c r="I8934">
        <v>2</v>
      </c>
      <c r="J8934">
        <f>IF($H8934=0,1,IF($I8934&lt;=1,2,0))</f>
        <v>0</v>
      </c>
      <c r="K8934">
        <v>7</v>
      </c>
      <c r="L8934">
        <f>IF(AND($J8934=0,$K8934=0),0,1)</f>
        <v>1</v>
      </c>
    </row>
    <row r="8935" spans="1:12" x14ac:dyDescent="0.2">
      <c r="A8935" t="s">
        <v>349</v>
      </c>
      <c r="B8935" t="s">
        <v>17</v>
      </c>
      <c r="C8935" t="s">
        <v>2</v>
      </c>
      <c r="D8935">
        <v>3996</v>
      </c>
      <c r="E8935">
        <v>2019</v>
      </c>
      <c r="F8935">
        <v>7</v>
      </c>
      <c r="G8935">
        <v>88</v>
      </c>
      <c r="H8935" s="1">
        <v>1</v>
      </c>
      <c r="I8935">
        <v>1</v>
      </c>
      <c r="J8935">
        <f>IF($H8935=0,1,IF($I8935&lt;=1,2,0))</f>
        <v>2</v>
      </c>
      <c r="K8935">
        <v>7</v>
      </c>
      <c r="L8935">
        <f>IF(AND($J8935=0,$K8935=0),0,1)</f>
        <v>1</v>
      </c>
    </row>
    <row r="8936" spans="1:12" x14ac:dyDescent="0.2">
      <c r="A8936" t="s">
        <v>349</v>
      </c>
      <c r="B8936" t="s">
        <v>17</v>
      </c>
      <c r="C8936" t="s">
        <v>2</v>
      </c>
      <c r="D8936">
        <v>3996</v>
      </c>
      <c r="E8936">
        <v>2019</v>
      </c>
      <c r="F8936">
        <v>9</v>
      </c>
      <c r="G8936">
        <v>243</v>
      </c>
      <c r="H8936" s="1">
        <v>1</v>
      </c>
      <c r="I8936">
        <v>1</v>
      </c>
      <c r="J8936">
        <f>IF($H8936=0,1,IF($I8936&lt;=1,2,0))</f>
        <v>2</v>
      </c>
      <c r="K8936">
        <v>7</v>
      </c>
      <c r="L8936">
        <f>IF(AND($J8936=0,$K8936=0),0,1)</f>
        <v>1</v>
      </c>
    </row>
    <row r="8937" spans="1:12" x14ac:dyDescent="0.2">
      <c r="A8937" t="s">
        <v>349</v>
      </c>
      <c r="B8937" t="s">
        <v>17</v>
      </c>
      <c r="C8937" t="s">
        <v>2</v>
      </c>
      <c r="D8937">
        <v>3996</v>
      </c>
      <c r="E8937">
        <v>2019</v>
      </c>
      <c r="F8937">
        <v>11</v>
      </c>
      <c r="G8937">
        <v>271</v>
      </c>
      <c r="H8937" s="1">
        <v>1</v>
      </c>
      <c r="I8937">
        <v>1</v>
      </c>
      <c r="J8937">
        <f>IF($H8937=0,1,IF($I8937&lt;=1,2,0))</f>
        <v>2</v>
      </c>
      <c r="K8937">
        <v>7</v>
      </c>
      <c r="L8937">
        <f>IF(AND($J8937=0,$K8937=0),0,1)</f>
        <v>1</v>
      </c>
    </row>
    <row r="8938" spans="1:12" x14ac:dyDescent="0.2">
      <c r="A8938" t="s">
        <v>349</v>
      </c>
      <c r="B8938" t="s">
        <v>17</v>
      </c>
      <c r="C8938" t="s">
        <v>2</v>
      </c>
      <c r="D8938">
        <v>3996</v>
      </c>
      <c r="E8938">
        <v>2019</v>
      </c>
      <c r="F8938">
        <v>1</v>
      </c>
      <c r="G8938">
        <v>93</v>
      </c>
      <c r="H8938" s="1">
        <v>1</v>
      </c>
      <c r="I8938">
        <v>0</v>
      </c>
      <c r="J8938">
        <f>IF($H8938=0,1,IF($I8938&lt;=1,2,0))</f>
        <v>2</v>
      </c>
      <c r="K8938">
        <v>7</v>
      </c>
      <c r="L8938">
        <f>IF(AND($J8938=0,$K8938=0),0,1)</f>
        <v>1</v>
      </c>
    </row>
    <row r="8939" spans="1:12" x14ac:dyDescent="0.2">
      <c r="A8939" t="s">
        <v>349</v>
      </c>
      <c r="B8939" t="s">
        <v>17</v>
      </c>
      <c r="C8939" t="s">
        <v>2</v>
      </c>
      <c r="D8939">
        <v>3996</v>
      </c>
      <c r="E8939">
        <v>2019</v>
      </c>
      <c r="F8939">
        <v>2</v>
      </c>
      <c r="G8939">
        <v>92</v>
      </c>
      <c r="H8939" s="1">
        <v>1</v>
      </c>
      <c r="I8939">
        <v>0</v>
      </c>
      <c r="J8939">
        <f>IF($H8939=0,1,IF($I8939&lt;=1,2,0))</f>
        <v>2</v>
      </c>
      <c r="K8939">
        <v>7</v>
      </c>
      <c r="L8939">
        <f>IF(AND($J8939=0,$K8939=0),0,1)</f>
        <v>1</v>
      </c>
    </row>
    <row r="8940" spans="1:12" x14ac:dyDescent="0.2">
      <c r="A8940" t="s">
        <v>349</v>
      </c>
      <c r="B8940" t="s">
        <v>17</v>
      </c>
      <c r="C8940" t="s">
        <v>2</v>
      </c>
      <c r="D8940">
        <v>3996</v>
      </c>
      <c r="E8940">
        <v>2019</v>
      </c>
      <c r="F8940">
        <v>3</v>
      </c>
      <c r="G8940">
        <v>8043</v>
      </c>
      <c r="H8940" s="1">
        <v>1</v>
      </c>
      <c r="I8940">
        <v>0</v>
      </c>
      <c r="J8940">
        <f>IF($H8940=0,1,IF($I8940&lt;=1,2,0))</f>
        <v>2</v>
      </c>
      <c r="K8940">
        <v>7</v>
      </c>
      <c r="L8940">
        <f>IF(AND($J8940=0,$K8940=0),0,1)</f>
        <v>1</v>
      </c>
    </row>
    <row r="8941" spans="1:12" x14ac:dyDescent="0.2">
      <c r="A8941" t="s">
        <v>349</v>
      </c>
      <c r="B8941" t="s">
        <v>17</v>
      </c>
      <c r="C8941" t="s">
        <v>2</v>
      </c>
      <c r="D8941">
        <v>3996</v>
      </c>
      <c r="E8941">
        <v>2019</v>
      </c>
      <c r="F8941">
        <v>4</v>
      </c>
      <c r="G8941">
        <v>91</v>
      </c>
      <c r="H8941" s="1">
        <v>1</v>
      </c>
      <c r="I8941">
        <v>0</v>
      </c>
      <c r="J8941">
        <f>IF($H8941=0,1,IF($I8941&lt;=1,2,0))</f>
        <v>2</v>
      </c>
      <c r="K8941">
        <v>7</v>
      </c>
      <c r="L8941">
        <f>IF(AND($J8941=0,$K8941=0),0,1)</f>
        <v>1</v>
      </c>
    </row>
    <row r="8942" spans="1:12" x14ac:dyDescent="0.2">
      <c r="A8942" t="s">
        <v>349</v>
      </c>
      <c r="B8942" t="s">
        <v>17</v>
      </c>
      <c r="C8942" t="s">
        <v>2</v>
      </c>
      <c r="D8942">
        <v>3996</v>
      </c>
      <c r="E8942">
        <v>2019</v>
      </c>
      <c r="F8942">
        <v>6</v>
      </c>
      <c r="G8942">
        <v>89</v>
      </c>
      <c r="H8942" s="1">
        <v>1</v>
      </c>
      <c r="I8942">
        <v>0</v>
      </c>
      <c r="J8942">
        <f>IF($H8942=0,1,IF($I8942&lt;=1,2,0))</f>
        <v>2</v>
      </c>
      <c r="K8942">
        <v>7</v>
      </c>
      <c r="L8942">
        <f>IF(AND($J8942=0,$K8942=0),0,1)</f>
        <v>1</v>
      </c>
    </row>
    <row r="8943" spans="1:12" x14ac:dyDescent="0.2">
      <c r="A8943" t="s">
        <v>349</v>
      </c>
      <c r="B8943" t="s">
        <v>17</v>
      </c>
      <c r="C8943" t="s">
        <v>2</v>
      </c>
      <c r="D8943">
        <v>3996</v>
      </c>
      <c r="E8943">
        <v>2019</v>
      </c>
      <c r="F8943">
        <v>10</v>
      </c>
      <c r="G8943">
        <v>244</v>
      </c>
      <c r="H8943" s="1">
        <v>1</v>
      </c>
      <c r="I8943">
        <v>0</v>
      </c>
      <c r="J8943">
        <f>IF($H8943=0,1,IF($I8943&lt;=1,2,0))</f>
        <v>2</v>
      </c>
      <c r="K8943">
        <v>7</v>
      </c>
      <c r="L8943">
        <f>IF(AND($J8943=0,$K8943=0),0,1)</f>
        <v>1</v>
      </c>
    </row>
    <row r="8944" spans="1:12" x14ac:dyDescent="0.2">
      <c r="A8944" t="s">
        <v>349</v>
      </c>
      <c r="B8944" t="s">
        <v>17</v>
      </c>
      <c r="C8944" t="s">
        <v>2</v>
      </c>
      <c r="D8944">
        <v>3999</v>
      </c>
      <c r="E8944">
        <v>2019</v>
      </c>
      <c r="F8944">
        <v>1</v>
      </c>
      <c r="G8944">
        <v>228</v>
      </c>
      <c r="H8944" s="1" t="s">
        <v>1823</v>
      </c>
      <c r="I8944">
        <v>1</v>
      </c>
      <c r="J8944">
        <f>IF($H8944=0,1,IF($I8944&lt;=1,2,0))</f>
        <v>2</v>
      </c>
      <c r="K8944">
        <v>7</v>
      </c>
      <c r="L8944">
        <f>IF(AND($J8944=0,$K8944=0),0,1)</f>
        <v>1</v>
      </c>
    </row>
    <row r="8945" spans="1:13" x14ac:dyDescent="0.2">
      <c r="A8945" t="s">
        <v>349</v>
      </c>
      <c r="B8945" t="s">
        <v>17</v>
      </c>
      <c r="C8945" t="s">
        <v>2</v>
      </c>
      <c r="D8945">
        <v>3999</v>
      </c>
      <c r="E8945">
        <v>2019</v>
      </c>
      <c r="F8945">
        <v>2</v>
      </c>
      <c r="G8945">
        <v>242</v>
      </c>
      <c r="H8945" s="1" t="s">
        <v>1823</v>
      </c>
      <c r="I8945">
        <v>1</v>
      </c>
      <c r="J8945">
        <f>IF($H8945=0,1,IF($I8945&lt;=1,2,0))</f>
        <v>2</v>
      </c>
      <c r="K8945">
        <v>7</v>
      </c>
      <c r="L8945">
        <f>IF(AND($J8945=0,$K8945=0),0,1)</f>
        <v>1</v>
      </c>
    </row>
    <row r="8946" spans="1:13" x14ac:dyDescent="0.2">
      <c r="A8946" t="s">
        <v>349</v>
      </c>
      <c r="B8946" t="s">
        <v>17</v>
      </c>
      <c r="C8946" t="s">
        <v>11</v>
      </c>
      <c r="D8946">
        <v>5001</v>
      </c>
      <c r="E8946">
        <v>2019</v>
      </c>
      <c r="F8946">
        <v>1</v>
      </c>
      <c r="G8946">
        <v>10005</v>
      </c>
      <c r="H8946" s="1">
        <v>4</v>
      </c>
      <c r="I8946">
        <v>22</v>
      </c>
      <c r="J8946">
        <f>IF($H8946=0,1,IF($I8946&lt;=1,2,0))</f>
        <v>0</v>
      </c>
      <c r="K8946">
        <v>4</v>
      </c>
      <c r="L8946">
        <f>IF(AND($J8946=0,$K8946=0),0,1)</f>
        <v>1</v>
      </c>
    </row>
    <row r="8947" spans="1:13" x14ac:dyDescent="0.2">
      <c r="A8947" t="s">
        <v>349</v>
      </c>
      <c r="B8947" t="s">
        <v>17</v>
      </c>
      <c r="C8947" t="s">
        <v>11</v>
      </c>
      <c r="D8947">
        <v>5001</v>
      </c>
      <c r="E8947">
        <v>2019</v>
      </c>
      <c r="F8947">
        <v>2</v>
      </c>
      <c r="G8947">
        <v>10006</v>
      </c>
      <c r="H8947" s="1">
        <v>4</v>
      </c>
      <c r="I8947">
        <v>19</v>
      </c>
      <c r="J8947">
        <f>IF($H8947=0,1,IF($I8947&lt;=1,2,0))</f>
        <v>0</v>
      </c>
      <c r="K8947">
        <v>4</v>
      </c>
      <c r="L8947">
        <f>IF(AND($J8947=0,$K8947=0),0,1)</f>
        <v>1</v>
      </c>
    </row>
    <row r="8948" spans="1:13" x14ac:dyDescent="0.2">
      <c r="A8948" t="s">
        <v>349</v>
      </c>
      <c r="B8948" t="s">
        <v>17</v>
      </c>
      <c r="C8948" t="s">
        <v>11</v>
      </c>
      <c r="D8948">
        <v>6999</v>
      </c>
      <c r="E8948">
        <v>2019</v>
      </c>
      <c r="F8948">
        <v>9</v>
      </c>
      <c r="G8948">
        <v>19091</v>
      </c>
      <c r="H8948" s="1" t="s">
        <v>1823</v>
      </c>
      <c r="I8948">
        <v>1</v>
      </c>
      <c r="J8948">
        <f>IF($H8948=0,1,IF($I8948&lt;=1,2,0))</f>
        <v>2</v>
      </c>
      <c r="K8948">
        <v>9</v>
      </c>
      <c r="L8948">
        <f>IF(AND($J8948=0,$K8948=0),0,1)</f>
        <v>1</v>
      </c>
      <c r="M8948" t="s">
        <v>374</v>
      </c>
    </row>
    <row r="8949" spans="1:13" x14ac:dyDescent="0.2">
      <c r="A8949" t="s">
        <v>349</v>
      </c>
      <c r="B8949" t="s">
        <v>17</v>
      </c>
      <c r="C8949" t="s">
        <v>11</v>
      </c>
      <c r="D8949">
        <v>6999</v>
      </c>
      <c r="E8949">
        <v>2019</v>
      </c>
      <c r="F8949">
        <v>11</v>
      </c>
      <c r="G8949">
        <v>19267</v>
      </c>
      <c r="H8949" s="1" t="s">
        <v>1823</v>
      </c>
      <c r="I8949">
        <v>1</v>
      </c>
      <c r="J8949">
        <f>IF($H8949=0,1,IF($I8949&lt;=1,2,0))</f>
        <v>2</v>
      </c>
      <c r="K8949">
        <v>9</v>
      </c>
      <c r="L8949">
        <f>IF(AND($J8949=0,$K8949=0),0,1)</f>
        <v>1</v>
      </c>
    </row>
    <row r="8950" spans="1:13" x14ac:dyDescent="0.2">
      <c r="A8950" t="s">
        <v>375</v>
      </c>
      <c r="B8950" t="s">
        <v>71</v>
      </c>
      <c r="C8950" t="s">
        <v>72</v>
      </c>
      <c r="D8950">
        <v>1</v>
      </c>
      <c r="E8950">
        <v>2019</v>
      </c>
      <c r="F8950">
        <v>1</v>
      </c>
      <c r="G8950">
        <v>98991</v>
      </c>
      <c r="H8950" s="1">
        <v>0</v>
      </c>
      <c r="I8950">
        <v>0</v>
      </c>
      <c r="J8950">
        <f>IF($H8950=0,1,IF($I8950&lt;=1,2,0))</f>
        <v>1</v>
      </c>
      <c r="K8950">
        <v>0</v>
      </c>
      <c r="L8950">
        <f>IF(AND($J8950=0,$K8950=0),0,1)</f>
        <v>1</v>
      </c>
    </row>
    <row r="8951" spans="1:13" x14ac:dyDescent="0.2">
      <c r="A8951" t="s">
        <v>375</v>
      </c>
      <c r="B8951" t="s">
        <v>71</v>
      </c>
      <c r="C8951" t="s">
        <v>72</v>
      </c>
      <c r="D8951">
        <v>8310</v>
      </c>
      <c r="E8951">
        <v>2019</v>
      </c>
      <c r="F8951">
        <v>1</v>
      </c>
      <c r="G8951">
        <v>10217</v>
      </c>
      <c r="H8951" s="1">
        <v>4</v>
      </c>
      <c r="I8951">
        <v>0</v>
      </c>
      <c r="J8951">
        <f>IF($H8951=0,1,IF($I8951&lt;=1,2,0))</f>
        <v>2</v>
      </c>
      <c r="K8951">
        <v>1</v>
      </c>
      <c r="L8951">
        <f>IF(AND($J8951=0,$K8951=0),0,1)</f>
        <v>1</v>
      </c>
    </row>
    <row r="8952" spans="1:13" x14ac:dyDescent="0.2">
      <c r="A8952" t="s">
        <v>377</v>
      </c>
      <c r="B8952" t="s">
        <v>17</v>
      </c>
      <c r="C8952" t="s">
        <v>11</v>
      </c>
      <c r="D8952">
        <v>8999</v>
      </c>
      <c r="E8952">
        <v>2019</v>
      </c>
      <c r="F8952">
        <v>1</v>
      </c>
      <c r="G8952">
        <v>17878</v>
      </c>
      <c r="H8952" s="1" t="s">
        <v>1823</v>
      </c>
      <c r="I8952">
        <v>0</v>
      </c>
      <c r="J8952">
        <f>IF($H8952=0,1,IF($I8952&lt;=1,2,0))</f>
        <v>2</v>
      </c>
      <c r="K8952">
        <v>0</v>
      </c>
      <c r="L8952">
        <f>IF(AND($J8952=0,$K8952=0),0,1)</f>
        <v>1</v>
      </c>
    </row>
    <row r="8953" spans="1:13" x14ac:dyDescent="0.2">
      <c r="A8953" t="s">
        <v>379</v>
      </c>
      <c r="B8953" t="s">
        <v>17</v>
      </c>
      <c r="C8953" t="s">
        <v>2</v>
      </c>
      <c r="D8953">
        <v>3136</v>
      </c>
      <c r="E8953">
        <v>2019</v>
      </c>
      <c r="F8953">
        <v>1</v>
      </c>
      <c r="G8953">
        <v>8023</v>
      </c>
      <c r="H8953" s="1">
        <v>4</v>
      </c>
      <c r="I8953">
        <v>8</v>
      </c>
      <c r="J8953">
        <f>IF($H8953=0,1,IF($I8953&lt;=1,2,0))</f>
        <v>0</v>
      </c>
      <c r="K8953">
        <v>7</v>
      </c>
      <c r="L8953">
        <f>IF(AND($J8953=0,$K8953=0),0,1)</f>
        <v>1</v>
      </c>
    </row>
    <row r="8954" spans="1:13" x14ac:dyDescent="0.2">
      <c r="A8954" t="s">
        <v>380</v>
      </c>
      <c r="B8954" t="s">
        <v>381</v>
      </c>
      <c r="C8954" t="s">
        <v>382</v>
      </c>
      <c r="D8954">
        <v>6225</v>
      </c>
      <c r="E8954">
        <v>2019</v>
      </c>
      <c r="F8954">
        <v>1</v>
      </c>
      <c r="G8954">
        <v>14098</v>
      </c>
      <c r="H8954" s="1">
        <v>3</v>
      </c>
      <c r="I8954">
        <v>52</v>
      </c>
      <c r="J8954">
        <f>IF($H8954=0,1,IF($I8954&lt;=1,2,0))</f>
        <v>0</v>
      </c>
      <c r="K8954">
        <v>6</v>
      </c>
      <c r="L8954">
        <f>IF(AND($J8954=0,$K8954=0),0,1)</f>
        <v>1</v>
      </c>
      <c r="M8954" t="s">
        <v>383</v>
      </c>
    </row>
    <row r="8955" spans="1:13" x14ac:dyDescent="0.2">
      <c r="A8955" t="s">
        <v>380</v>
      </c>
      <c r="B8955" t="s">
        <v>381</v>
      </c>
      <c r="C8955" t="s">
        <v>382</v>
      </c>
      <c r="D8955">
        <v>6233</v>
      </c>
      <c r="E8955">
        <v>2019</v>
      </c>
      <c r="F8955">
        <v>1</v>
      </c>
      <c r="G8955">
        <v>14099</v>
      </c>
      <c r="H8955" s="1">
        <v>0</v>
      </c>
      <c r="I8955">
        <v>30</v>
      </c>
      <c r="J8955">
        <f>IF($H8955=0,1,IF($I8955&lt;=1,2,0))</f>
        <v>1</v>
      </c>
      <c r="K8955">
        <v>6</v>
      </c>
      <c r="L8955">
        <f>IF(AND($J8955=0,$K8955=0),0,1)</f>
        <v>1</v>
      </c>
      <c r="M8955" t="s">
        <v>1934</v>
      </c>
    </row>
    <row r="8956" spans="1:13" x14ac:dyDescent="0.2">
      <c r="A8956" t="s">
        <v>380</v>
      </c>
      <c r="B8956" t="s">
        <v>381</v>
      </c>
      <c r="C8956" t="s">
        <v>382</v>
      </c>
      <c r="D8956">
        <v>6234</v>
      </c>
      <c r="E8956">
        <v>2019</v>
      </c>
      <c r="F8956">
        <v>1</v>
      </c>
      <c r="G8956">
        <v>14100</v>
      </c>
      <c r="H8956" s="1">
        <v>3</v>
      </c>
      <c r="I8956">
        <v>37</v>
      </c>
      <c r="J8956">
        <f>IF($H8956=0,1,IF($I8956&lt;=1,2,0))</f>
        <v>0</v>
      </c>
      <c r="K8956">
        <v>6</v>
      </c>
      <c r="L8956">
        <f>IF(AND($J8956=0,$K8956=0),0,1)</f>
        <v>1</v>
      </c>
      <c r="M8956" t="s">
        <v>383</v>
      </c>
    </row>
    <row r="8957" spans="1:13" x14ac:dyDescent="0.2">
      <c r="A8957" t="s">
        <v>380</v>
      </c>
      <c r="B8957" t="s">
        <v>381</v>
      </c>
      <c r="C8957" t="s">
        <v>382</v>
      </c>
      <c r="D8957">
        <v>6310</v>
      </c>
      <c r="E8957">
        <v>2019</v>
      </c>
      <c r="F8957">
        <v>1</v>
      </c>
      <c r="G8957">
        <v>14102</v>
      </c>
      <c r="H8957" s="1">
        <v>3</v>
      </c>
      <c r="I8957">
        <v>36</v>
      </c>
      <c r="J8957">
        <f>IF($H8957=0,1,IF($I8957&lt;=1,2,0))</f>
        <v>0</v>
      </c>
      <c r="K8957">
        <v>6</v>
      </c>
      <c r="L8957">
        <f>IF(AND($J8957=0,$K8957=0),0,1)</f>
        <v>1</v>
      </c>
      <c r="M8957" t="s">
        <v>383</v>
      </c>
    </row>
    <row r="8958" spans="1:13" x14ac:dyDescent="0.2">
      <c r="A8958" t="s">
        <v>380</v>
      </c>
      <c r="B8958" t="s">
        <v>381</v>
      </c>
      <c r="C8958" t="s">
        <v>382</v>
      </c>
      <c r="D8958">
        <v>6310</v>
      </c>
      <c r="E8958">
        <v>2019</v>
      </c>
      <c r="F8958" t="s">
        <v>59</v>
      </c>
      <c r="G8958">
        <v>14103</v>
      </c>
      <c r="H8958" s="1">
        <v>0</v>
      </c>
      <c r="I8958">
        <v>0</v>
      </c>
      <c r="J8958">
        <f>IF($H8958=0,1,IF($I8958&lt;=1,2,0))</f>
        <v>1</v>
      </c>
      <c r="K8958">
        <v>6</v>
      </c>
      <c r="L8958">
        <f>IF(AND($J8958=0,$K8958=0),0,1)</f>
        <v>1</v>
      </c>
      <c r="M8958" t="s">
        <v>384</v>
      </c>
    </row>
    <row r="8959" spans="1:13" x14ac:dyDescent="0.2">
      <c r="A8959" t="s">
        <v>380</v>
      </c>
      <c r="B8959" t="s">
        <v>381</v>
      </c>
      <c r="C8959" t="s">
        <v>382</v>
      </c>
      <c r="D8959">
        <v>6320</v>
      </c>
      <c r="E8959">
        <v>2019</v>
      </c>
      <c r="F8959">
        <v>1</v>
      </c>
      <c r="G8959">
        <v>14104</v>
      </c>
      <c r="H8959" s="1">
        <v>3</v>
      </c>
      <c r="I8959">
        <v>22</v>
      </c>
      <c r="J8959">
        <f>IF($H8959=0,1,IF($I8959&lt;=1,2,0))</f>
        <v>0</v>
      </c>
      <c r="K8959">
        <v>6</v>
      </c>
      <c r="L8959">
        <f>IF(AND($J8959=0,$K8959=0),0,1)</f>
        <v>1</v>
      </c>
    </row>
    <row r="8960" spans="1:13" x14ac:dyDescent="0.2">
      <c r="A8960" t="s">
        <v>380</v>
      </c>
      <c r="B8960" t="s">
        <v>381</v>
      </c>
      <c r="C8960" t="s">
        <v>382</v>
      </c>
      <c r="D8960">
        <v>8213</v>
      </c>
      <c r="E8960">
        <v>2019</v>
      </c>
      <c r="F8960">
        <v>1</v>
      </c>
      <c r="G8960">
        <v>14106</v>
      </c>
      <c r="H8960" s="1">
        <v>3</v>
      </c>
      <c r="I8960">
        <v>46</v>
      </c>
      <c r="J8960">
        <f>IF($H8960=0,1,IF($I8960&lt;=1,2,0))</f>
        <v>0</v>
      </c>
      <c r="K8960">
        <v>6</v>
      </c>
      <c r="L8960">
        <f>IF(AND($J8960=0,$K8960=0),0,1)</f>
        <v>1</v>
      </c>
      <c r="M8960" t="s">
        <v>383</v>
      </c>
    </row>
    <row r="8961" spans="1:13" x14ac:dyDescent="0.2">
      <c r="A8961" t="s">
        <v>380</v>
      </c>
      <c r="B8961" t="s">
        <v>381</v>
      </c>
      <c r="C8961" t="s">
        <v>382</v>
      </c>
      <c r="D8961">
        <v>8213</v>
      </c>
      <c r="E8961">
        <v>2019</v>
      </c>
      <c r="F8961" t="s">
        <v>59</v>
      </c>
      <c r="G8961">
        <v>14105</v>
      </c>
      <c r="H8961" s="1">
        <v>0</v>
      </c>
      <c r="I8961">
        <v>0</v>
      </c>
      <c r="J8961">
        <f>IF($H8961=0,1,IF($I8961&lt;=1,2,0))</f>
        <v>1</v>
      </c>
      <c r="K8961">
        <v>6</v>
      </c>
      <c r="L8961">
        <f>IF(AND($J8961=0,$K8961=0),0,1)</f>
        <v>1</v>
      </c>
      <c r="M8961" t="s">
        <v>384</v>
      </c>
    </row>
    <row r="8962" spans="1:13" x14ac:dyDescent="0.2">
      <c r="A8962" t="s">
        <v>380</v>
      </c>
      <c r="B8962" t="s">
        <v>381</v>
      </c>
      <c r="C8962" t="s">
        <v>382</v>
      </c>
      <c r="D8962">
        <v>9230</v>
      </c>
      <c r="E8962">
        <v>2019</v>
      </c>
      <c r="F8962">
        <v>6</v>
      </c>
      <c r="G8962">
        <v>14111</v>
      </c>
      <c r="H8962" s="1">
        <v>0</v>
      </c>
      <c r="I8962">
        <v>52</v>
      </c>
      <c r="J8962">
        <f>IF($H8962=0,1,IF($I8962&lt;=1,2,0))</f>
        <v>1</v>
      </c>
      <c r="K8962">
        <v>5</v>
      </c>
      <c r="L8962">
        <f>IF(AND($J8962=0,$K8962=0),0,1)</f>
        <v>1</v>
      </c>
      <c r="M8962" t="s">
        <v>383</v>
      </c>
    </row>
    <row r="8963" spans="1:13" x14ac:dyDescent="0.2">
      <c r="A8963" t="s">
        <v>380</v>
      </c>
      <c r="B8963" t="s">
        <v>381</v>
      </c>
      <c r="C8963" t="s">
        <v>382</v>
      </c>
      <c r="D8963">
        <v>9230</v>
      </c>
      <c r="E8963">
        <v>2019</v>
      </c>
      <c r="F8963">
        <v>2</v>
      </c>
      <c r="G8963">
        <v>14108</v>
      </c>
      <c r="H8963" s="1">
        <v>3</v>
      </c>
      <c r="I8963">
        <v>11</v>
      </c>
      <c r="J8963">
        <f>IF($H8963=0,1,IF($I8963&lt;=1,2,0))</f>
        <v>0</v>
      </c>
      <c r="K8963">
        <v>5</v>
      </c>
      <c r="L8963">
        <f>IF(AND($J8963=0,$K8963=0),0,1)</f>
        <v>1</v>
      </c>
      <c r="M8963" t="s">
        <v>383</v>
      </c>
    </row>
    <row r="8964" spans="1:13" x14ac:dyDescent="0.2">
      <c r="A8964" t="s">
        <v>380</v>
      </c>
      <c r="B8964" t="s">
        <v>381</v>
      </c>
      <c r="C8964" t="s">
        <v>382</v>
      </c>
      <c r="D8964">
        <v>9230</v>
      </c>
      <c r="E8964">
        <v>2019</v>
      </c>
      <c r="F8964">
        <v>3</v>
      </c>
      <c r="G8964">
        <v>14109</v>
      </c>
      <c r="H8964" s="1">
        <v>3</v>
      </c>
      <c r="I8964">
        <v>11</v>
      </c>
      <c r="J8964">
        <f>IF($H8964=0,1,IF($I8964&lt;=1,2,0))</f>
        <v>0</v>
      </c>
      <c r="K8964">
        <v>5</v>
      </c>
      <c r="L8964">
        <f>IF(AND($J8964=0,$K8964=0),0,1)</f>
        <v>1</v>
      </c>
      <c r="M8964" t="s">
        <v>383</v>
      </c>
    </row>
    <row r="8965" spans="1:13" x14ac:dyDescent="0.2">
      <c r="A8965" t="s">
        <v>380</v>
      </c>
      <c r="B8965" t="s">
        <v>381</v>
      </c>
      <c r="C8965" t="s">
        <v>382</v>
      </c>
      <c r="D8965">
        <v>9230</v>
      </c>
      <c r="E8965">
        <v>2019</v>
      </c>
      <c r="F8965">
        <v>1</v>
      </c>
      <c r="G8965">
        <v>14107</v>
      </c>
      <c r="H8965" s="1">
        <v>3</v>
      </c>
      <c r="I8965">
        <v>10</v>
      </c>
      <c r="J8965">
        <f>IF($H8965=0,1,IF($I8965&lt;=1,2,0))</f>
        <v>0</v>
      </c>
      <c r="K8965">
        <v>5</v>
      </c>
      <c r="L8965">
        <f>IF(AND($J8965=0,$K8965=0),0,1)</f>
        <v>1</v>
      </c>
      <c r="M8965" t="s">
        <v>383</v>
      </c>
    </row>
    <row r="8966" spans="1:13" x14ac:dyDescent="0.2">
      <c r="A8966" t="s">
        <v>380</v>
      </c>
      <c r="B8966" t="s">
        <v>381</v>
      </c>
      <c r="C8966" t="s">
        <v>382</v>
      </c>
      <c r="D8966">
        <v>9230</v>
      </c>
      <c r="E8966">
        <v>2019</v>
      </c>
      <c r="F8966">
        <v>4</v>
      </c>
      <c r="G8966">
        <v>14110</v>
      </c>
      <c r="H8966" s="1">
        <v>3</v>
      </c>
      <c r="I8966">
        <v>10</v>
      </c>
      <c r="J8966">
        <f>IF($H8966=0,1,IF($I8966&lt;=1,2,0))</f>
        <v>0</v>
      </c>
      <c r="K8966">
        <v>5</v>
      </c>
      <c r="L8966">
        <f>IF(AND($J8966=0,$K8966=0),0,1)</f>
        <v>1</v>
      </c>
      <c r="M8966" t="s">
        <v>383</v>
      </c>
    </row>
    <row r="8967" spans="1:13" x14ac:dyDescent="0.2">
      <c r="A8967" t="s">
        <v>380</v>
      </c>
      <c r="B8967" t="s">
        <v>381</v>
      </c>
      <c r="C8967" t="s">
        <v>382</v>
      </c>
      <c r="D8967">
        <v>9230</v>
      </c>
      <c r="E8967">
        <v>2019</v>
      </c>
      <c r="F8967">
        <v>5</v>
      </c>
      <c r="G8967">
        <v>14112</v>
      </c>
      <c r="H8967" s="1">
        <v>3</v>
      </c>
      <c r="I8967">
        <v>10</v>
      </c>
      <c r="J8967">
        <f>IF($H8967=0,1,IF($I8967&lt;=1,2,0))</f>
        <v>0</v>
      </c>
      <c r="K8967">
        <v>5</v>
      </c>
      <c r="L8967">
        <f>IF(AND($J8967=0,$K8967=0),0,1)</f>
        <v>1</v>
      </c>
      <c r="M8967" t="s">
        <v>383</v>
      </c>
    </row>
    <row r="8968" spans="1:13" x14ac:dyDescent="0.2">
      <c r="A8968" t="s">
        <v>385</v>
      </c>
      <c r="B8968" t="s">
        <v>386</v>
      </c>
      <c r="C8968" t="s">
        <v>9</v>
      </c>
      <c r="D8968">
        <v>1001</v>
      </c>
      <c r="E8968">
        <v>2019</v>
      </c>
      <c r="F8968">
        <v>1</v>
      </c>
      <c r="G8968">
        <v>98367</v>
      </c>
      <c r="H8968" s="1">
        <v>0</v>
      </c>
      <c r="I8968">
        <v>22</v>
      </c>
      <c r="J8968">
        <f>IF($H8968=0,1,IF($I8968&lt;=1,2,0))</f>
        <v>1</v>
      </c>
      <c r="K8968">
        <v>0</v>
      </c>
      <c r="L8968">
        <f>IF(AND($J8968=0,$K8968=0),0,1)</f>
        <v>1</v>
      </c>
      <c r="M8968" t="s">
        <v>388</v>
      </c>
    </row>
    <row r="8969" spans="1:13" x14ac:dyDescent="0.2">
      <c r="A8969" t="s">
        <v>385</v>
      </c>
      <c r="B8969" t="s">
        <v>386</v>
      </c>
      <c r="C8969" t="s">
        <v>9</v>
      </c>
      <c r="D8969">
        <v>1001</v>
      </c>
      <c r="E8969">
        <v>2019</v>
      </c>
      <c r="F8969">
        <v>2</v>
      </c>
      <c r="G8969">
        <v>44863</v>
      </c>
      <c r="H8969" s="1">
        <v>0</v>
      </c>
      <c r="I8969">
        <v>18</v>
      </c>
      <c r="J8969">
        <f>IF($H8969=0,1,IF($I8969&lt;=1,2,0))</f>
        <v>1</v>
      </c>
      <c r="K8969">
        <v>0</v>
      </c>
      <c r="L8969">
        <f>IF(AND($J8969=0,$K8969=0),0,1)</f>
        <v>1</v>
      </c>
      <c r="M8969" t="s">
        <v>389</v>
      </c>
    </row>
    <row r="8970" spans="1:13" x14ac:dyDescent="0.2">
      <c r="A8970" t="s">
        <v>385</v>
      </c>
      <c r="B8970" t="s">
        <v>386</v>
      </c>
      <c r="C8970" t="s">
        <v>9</v>
      </c>
      <c r="D8970">
        <v>1001</v>
      </c>
      <c r="E8970">
        <v>2019</v>
      </c>
      <c r="F8970">
        <v>4</v>
      </c>
      <c r="G8970">
        <v>44865</v>
      </c>
      <c r="H8970" s="1">
        <v>0</v>
      </c>
      <c r="I8970">
        <v>18</v>
      </c>
      <c r="J8970">
        <f>IF($H8970=0,1,IF($I8970&lt;=1,2,0))</f>
        <v>1</v>
      </c>
      <c r="K8970">
        <v>0</v>
      </c>
      <c r="L8970">
        <f>IF(AND($J8970=0,$K8970=0),0,1)</f>
        <v>1</v>
      </c>
      <c r="M8970" t="s">
        <v>389</v>
      </c>
    </row>
    <row r="8971" spans="1:13" x14ac:dyDescent="0.2">
      <c r="A8971" t="s">
        <v>385</v>
      </c>
      <c r="B8971" t="s">
        <v>386</v>
      </c>
      <c r="C8971" t="s">
        <v>9</v>
      </c>
      <c r="D8971">
        <v>1001</v>
      </c>
      <c r="E8971">
        <v>2019</v>
      </c>
      <c r="F8971">
        <v>5</v>
      </c>
      <c r="G8971">
        <v>18762</v>
      </c>
      <c r="H8971" s="1">
        <v>0</v>
      </c>
      <c r="I8971">
        <v>16</v>
      </c>
      <c r="J8971">
        <f>IF($H8971=0,1,IF($I8971&lt;=1,2,0))</f>
        <v>1</v>
      </c>
      <c r="K8971">
        <v>0</v>
      </c>
      <c r="L8971">
        <f>IF(AND($J8971=0,$K8971=0),0,1)</f>
        <v>1</v>
      </c>
    </row>
    <row r="8972" spans="1:13" x14ac:dyDescent="0.2">
      <c r="A8972" t="s">
        <v>385</v>
      </c>
      <c r="B8972" t="s">
        <v>386</v>
      </c>
      <c r="C8972" t="s">
        <v>9</v>
      </c>
      <c r="D8972">
        <v>1001</v>
      </c>
      <c r="E8972">
        <v>2019</v>
      </c>
      <c r="F8972">
        <v>3</v>
      </c>
      <c r="G8972">
        <v>44864</v>
      </c>
      <c r="H8972" s="1">
        <v>0</v>
      </c>
      <c r="I8972">
        <v>11</v>
      </c>
      <c r="J8972">
        <f>IF($H8972=0,1,IF($I8972&lt;=1,2,0))</f>
        <v>1</v>
      </c>
      <c r="K8972">
        <v>0</v>
      </c>
      <c r="L8972">
        <f>IF(AND($J8972=0,$K8972=0),0,1)</f>
        <v>1</v>
      </c>
      <c r="M8972" t="s">
        <v>389</v>
      </c>
    </row>
    <row r="8973" spans="1:13" x14ac:dyDescent="0.2">
      <c r="A8973" t="s">
        <v>385</v>
      </c>
      <c r="B8973" t="s">
        <v>386</v>
      </c>
      <c r="C8973" t="s">
        <v>9</v>
      </c>
      <c r="D8973">
        <v>1011</v>
      </c>
      <c r="E8973">
        <v>2019</v>
      </c>
      <c r="F8973">
        <v>1</v>
      </c>
      <c r="G8973">
        <v>98329</v>
      </c>
      <c r="H8973" s="1">
        <v>0</v>
      </c>
      <c r="I8973">
        <v>16</v>
      </c>
      <c r="J8973">
        <f>IF($H8973=0,1,IF($I8973&lt;=1,2,0))</f>
        <v>1</v>
      </c>
      <c r="K8973">
        <v>0</v>
      </c>
      <c r="L8973">
        <f>IF(AND($J8973=0,$K8973=0),0,1)</f>
        <v>1</v>
      </c>
      <c r="M8973" t="s">
        <v>391</v>
      </c>
    </row>
    <row r="8974" spans="1:13" x14ac:dyDescent="0.2">
      <c r="A8974" t="s">
        <v>385</v>
      </c>
      <c r="B8974" t="s">
        <v>386</v>
      </c>
      <c r="C8974" t="s">
        <v>9</v>
      </c>
      <c r="D8974">
        <v>1011</v>
      </c>
      <c r="E8974">
        <v>2019</v>
      </c>
      <c r="F8974">
        <v>2</v>
      </c>
      <c r="G8974">
        <v>98327</v>
      </c>
      <c r="H8974" s="1">
        <v>0</v>
      </c>
      <c r="I8974">
        <v>15</v>
      </c>
      <c r="J8974">
        <f>IF($H8974=0,1,IF($I8974&lt;=1,2,0))</f>
        <v>1</v>
      </c>
      <c r="K8974">
        <v>0</v>
      </c>
      <c r="L8974">
        <f>IF(AND($J8974=0,$K8974=0),0,1)</f>
        <v>1</v>
      </c>
      <c r="M8974" t="s">
        <v>392</v>
      </c>
    </row>
    <row r="8975" spans="1:13" x14ac:dyDescent="0.2">
      <c r="A8975" t="s">
        <v>385</v>
      </c>
      <c r="B8975" t="s">
        <v>386</v>
      </c>
      <c r="C8975" t="s">
        <v>9</v>
      </c>
      <c r="D8975">
        <v>1011</v>
      </c>
      <c r="E8975">
        <v>2019</v>
      </c>
      <c r="F8975">
        <v>3</v>
      </c>
      <c r="G8975">
        <v>98325</v>
      </c>
      <c r="H8975" s="1">
        <v>0</v>
      </c>
      <c r="I8975">
        <v>9</v>
      </c>
      <c r="J8975">
        <f>IF($H8975=0,1,IF($I8975&lt;=1,2,0))</f>
        <v>1</v>
      </c>
      <c r="K8975">
        <v>0</v>
      </c>
      <c r="L8975">
        <f>IF(AND($J8975=0,$K8975=0),0,1)</f>
        <v>1</v>
      </c>
      <c r="M8975" t="s">
        <v>393</v>
      </c>
    </row>
    <row r="8976" spans="1:13" x14ac:dyDescent="0.2">
      <c r="A8976" t="s">
        <v>385</v>
      </c>
      <c r="B8976" t="s">
        <v>386</v>
      </c>
      <c r="C8976" t="s">
        <v>9</v>
      </c>
      <c r="D8976">
        <v>2021</v>
      </c>
      <c r="E8976">
        <v>2019</v>
      </c>
      <c r="F8976">
        <v>1</v>
      </c>
      <c r="G8976">
        <v>98515</v>
      </c>
      <c r="H8976" s="1">
        <v>0</v>
      </c>
      <c r="I8976">
        <v>16</v>
      </c>
      <c r="J8976">
        <f>IF($H8976=0,1,IF($I8976&lt;=1,2,0))</f>
        <v>1</v>
      </c>
      <c r="K8976">
        <v>0</v>
      </c>
      <c r="L8976">
        <f>IF(AND($J8976=0,$K8976=0),0,1)</f>
        <v>1</v>
      </c>
      <c r="M8976" t="s">
        <v>389</v>
      </c>
    </row>
    <row r="8977" spans="1:13" x14ac:dyDescent="0.2">
      <c r="A8977" t="s">
        <v>385</v>
      </c>
      <c r="B8977" t="s">
        <v>386</v>
      </c>
      <c r="C8977" t="s">
        <v>9</v>
      </c>
      <c r="D8977">
        <v>2021</v>
      </c>
      <c r="E8977">
        <v>2019</v>
      </c>
      <c r="F8977">
        <v>2</v>
      </c>
      <c r="G8977">
        <v>98513</v>
      </c>
      <c r="H8977" s="1">
        <v>0</v>
      </c>
      <c r="I8977">
        <v>16</v>
      </c>
      <c r="J8977">
        <f>IF($H8977=0,1,IF($I8977&lt;=1,2,0))</f>
        <v>1</v>
      </c>
      <c r="K8977">
        <v>0</v>
      </c>
      <c r="L8977">
        <f>IF(AND($J8977=0,$K8977=0),0,1)</f>
        <v>1</v>
      </c>
      <c r="M8977" t="s">
        <v>389</v>
      </c>
    </row>
    <row r="8978" spans="1:13" x14ac:dyDescent="0.2">
      <c r="A8978" t="s">
        <v>385</v>
      </c>
      <c r="B8978" t="s">
        <v>386</v>
      </c>
      <c r="C8978" t="s">
        <v>9</v>
      </c>
      <c r="D8978">
        <v>2021</v>
      </c>
      <c r="E8978">
        <v>2019</v>
      </c>
      <c r="F8978">
        <v>3</v>
      </c>
      <c r="G8978">
        <v>18838</v>
      </c>
      <c r="H8978" s="1">
        <v>0</v>
      </c>
      <c r="I8978">
        <v>4</v>
      </c>
      <c r="J8978">
        <f>IF($H8978=0,1,IF($I8978&lt;=1,2,0))</f>
        <v>1</v>
      </c>
      <c r="K8978">
        <v>0</v>
      </c>
      <c r="L8978">
        <f>IF(AND($J8978=0,$K8978=0),0,1)</f>
        <v>1</v>
      </c>
    </row>
    <row r="8979" spans="1:13" x14ac:dyDescent="0.2">
      <c r="A8979" t="s">
        <v>385</v>
      </c>
      <c r="B8979" t="s">
        <v>386</v>
      </c>
      <c r="C8979" t="s">
        <v>9</v>
      </c>
      <c r="D8979">
        <v>2031</v>
      </c>
      <c r="E8979">
        <v>2019</v>
      </c>
      <c r="F8979">
        <v>1</v>
      </c>
      <c r="G8979">
        <v>98423</v>
      </c>
      <c r="H8979" s="1">
        <v>0</v>
      </c>
      <c r="I8979">
        <v>20</v>
      </c>
      <c r="J8979">
        <f>IF($H8979=0,1,IF($I8979&lt;=1,2,0))</f>
        <v>1</v>
      </c>
      <c r="K8979">
        <v>0</v>
      </c>
      <c r="L8979">
        <f>IF(AND($J8979=0,$K8979=0),0,1)</f>
        <v>1</v>
      </c>
      <c r="M8979" t="s">
        <v>396</v>
      </c>
    </row>
    <row r="8980" spans="1:13" x14ac:dyDescent="0.2">
      <c r="A8980" t="s">
        <v>385</v>
      </c>
      <c r="B8980" t="s">
        <v>386</v>
      </c>
      <c r="C8980" t="s">
        <v>9</v>
      </c>
      <c r="D8980">
        <v>2031</v>
      </c>
      <c r="E8980">
        <v>2019</v>
      </c>
      <c r="F8980">
        <v>2</v>
      </c>
      <c r="G8980">
        <v>98418</v>
      </c>
      <c r="H8980" s="1">
        <v>0</v>
      </c>
      <c r="I8980">
        <v>11</v>
      </c>
      <c r="J8980">
        <f>IF($H8980=0,1,IF($I8980&lt;=1,2,0))</f>
        <v>1</v>
      </c>
      <c r="K8980">
        <v>0</v>
      </c>
      <c r="L8980">
        <f>IF(AND($J8980=0,$K8980=0),0,1)</f>
        <v>1</v>
      </c>
      <c r="M8980" t="s">
        <v>397</v>
      </c>
    </row>
    <row r="8981" spans="1:13" x14ac:dyDescent="0.2">
      <c r="A8981" t="s">
        <v>385</v>
      </c>
      <c r="B8981" t="s">
        <v>386</v>
      </c>
      <c r="C8981" t="s">
        <v>9</v>
      </c>
      <c r="D8981">
        <v>2191</v>
      </c>
      <c r="E8981">
        <v>2019</v>
      </c>
      <c r="F8981">
        <v>1</v>
      </c>
      <c r="G8981">
        <v>98508</v>
      </c>
      <c r="H8981" s="1">
        <v>0</v>
      </c>
      <c r="I8981">
        <v>15</v>
      </c>
      <c r="J8981">
        <f>IF($H8981=0,1,IF($I8981&lt;=1,2,0))</f>
        <v>1</v>
      </c>
      <c r="K8981">
        <v>0</v>
      </c>
      <c r="L8981">
        <f>IF(AND($J8981=0,$K8981=0),0,1)</f>
        <v>1</v>
      </c>
    </row>
    <row r="8982" spans="1:13" x14ac:dyDescent="0.2">
      <c r="A8982" t="s">
        <v>385</v>
      </c>
      <c r="B8982" t="s">
        <v>386</v>
      </c>
      <c r="C8982" t="s">
        <v>9</v>
      </c>
      <c r="D8982">
        <v>2191</v>
      </c>
      <c r="E8982">
        <v>2019</v>
      </c>
      <c r="F8982">
        <v>2</v>
      </c>
      <c r="G8982">
        <v>98507</v>
      </c>
      <c r="H8982" s="1">
        <v>0</v>
      </c>
      <c r="I8982">
        <v>11</v>
      </c>
      <c r="J8982">
        <f>IF($H8982=0,1,IF($I8982&lt;=1,2,0))</f>
        <v>1</v>
      </c>
      <c r="K8982">
        <v>0</v>
      </c>
      <c r="L8982">
        <f>IF(AND($J8982=0,$K8982=0),0,1)</f>
        <v>1</v>
      </c>
    </row>
    <row r="8983" spans="1:13" x14ac:dyDescent="0.2">
      <c r="A8983" t="s">
        <v>385</v>
      </c>
      <c r="B8983" t="s">
        <v>386</v>
      </c>
      <c r="C8983" t="s">
        <v>9</v>
      </c>
      <c r="D8983">
        <v>2297</v>
      </c>
      <c r="E8983">
        <v>2019</v>
      </c>
      <c r="F8983">
        <v>1</v>
      </c>
      <c r="G8983">
        <v>44880</v>
      </c>
      <c r="H8983" s="1">
        <v>0</v>
      </c>
      <c r="I8983">
        <v>20</v>
      </c>
      <c r="J8983">
        <f>IF($H8983=0,1,IF($I8983&lt;=1,2,0))</f>
        <v>1</v>
      </c>
      <c r="K8983">
        <v>0</v>
      </c>
      <c r="L8983">
        <f>IF(AND($J8983=0,$K8983=0),0,1)</f>
        <v>1</v>
      </c>
    </row>
    <row r="8984" spans="1:13" x14ac:dyDescent="0.2">
      <c r="A8984" t="s">
        <v>385</v>
      </c>
      <c r="B8984" t="s">
        <v>386</v>
      </c>
      <c r="C8984" t="s">
        <v>9</v>
      </c>
      <c r="D8984">
        <v>2297</v>
      </c>
      <c r="E8984">
        <v>2019</v>
      </c>
      <c r="F8984">
        <v>2</v>
      </c>
      <c r="G8984">
        <v>44881</v>
      </c>
      <c r="H8984" s="1">
        <v>0</v>
      </c>
      <c r="I8984">
        <v>11</v>
      </c>
      <c r="J8984">
        <f>IF($H8984=0,1,IF($I8984&lt;=1,2,0))</f>
        <v>1</v>
      </c>
      <c r="K8984">
        <v>0</v>
      </c>
      <c r="L8984">
        <f>IF(AND($J8984=0,$K8984=0),0,1)</f>
        <v>1</v>
      </c>
    </row>
    <row r="8985" spans="1:13" x14ac:dyDescent="0.2">
      <c r="A8985" t="s">
        <v>385</v>
      </c>
      <c r="B8985" t="s">
        <v>386</v>
      </c>
      <c r="C8985" t="s">
        <v>9</v>
      </c>
      <c r="D8985">
        <v>2297</v>
      </c>
      <c r="E8985">
        <v>2019</v>
      </c>
      <c r="F8985">
        <v>3</v>
      </c>
      <c r="G8985">
        <v>16186</v>
      </c>
      <c r="H8985" s="1">
        <v>0</v>
      </c>
      <c r="I8985">
        <v>8</v>
      </c>
      <c r="J8985">
        <f>IF($H8985=0,1,IF($I8985&lt;=1,2,0))</f>
        <v>1</v>
      </c>
      <c r="K8985">
        <v>0</v>
      </c>
      <c r="L8985">
        <f>IF(AND($J8985=0,$K8985=0),0,1)</f>
        <v>1</v>
      </c>
    </row>
    <row r="8986" spans="1:13" x14ac:dyDescent="0.2">
      <c r="A8986" t="s">
        <v>385</v>
      </c>
      <c r="B8986" t="s">
        <v>386</v>
      </c>
      <c r="C8986" t="s">
        <v>2</v>
      </c>
      <c r="D8986">
        <v>3099</v>
      </c>
      <c r="E8986">
        <v>2019</v>
      </c>
      <c r="F8986">
        <v>1</v>
      </c>
      <c r="G8986">
        <v>259</v>
      </c>
      <c r="H8986" s="1" t="s">
        <v>1827</v>
      </c>
      <c r="I8986">
        <v>0</v>
      </c>
      <c r="J8986">
        <f>IF($H8986=0,1,IF($I8986&lt;=1,2,0))</f>
        <v>2</v>
      </c>
      <c r="K8986">
        <v>7</v>
      </c>
      <c r="L8986">
        <f>IF(AND($J8986=0,$K8986=0),0,1)</f>
        <v>1</v>
      </c>
    </row>
    <row r="8987" spans="1:13" x14ac:dyDescent="0.2">
      <c r="A8987" t="s">
        <v>385</v>
      </c>
      <c r="B8987" t="s">
        <v>386</v>
      </c>
      <c r="C8987" t="s">
        <v>2</v>
      </c>
      <c r="D8987">
        <v>3119</v>
      </c>
      <c r="E8987">
        <v>2019</v>
      </c>
      <c r="F8987">
        <v>1</v>
      </c>
      <c r="G8987">
        <v>8165</v>
      </c>
      <c r="H8987" s="1">
        <v>3</v>
      </c>
      <c r="I8987">
        <v>12</v>
      </c>
      <c r="J8987">
        <f>IF($H8987=0,1,IF($I8987&lt;=1,2,0))</f>
        <v>0</v>
      </c>
      <c r="K8987">
        <v>7</v>
      </c>
      <c r="L8987">
        <f>IF(AND($J8987=0,$K8987=0),0,1)</f>
        <v>1</v>
      </c>
      <c r="M8987" t="s">
        <v>400</v>
      </c>
    </row>
    <row r="8988" spans="1:13" x14ac:dyDescent="0.2">
      <c r="A8988" t="s">
        <v>385</v>
      </c>
      <c r="B8988" t="s">
        <v>386</v>
      </c>
      <c r="C8988" t="s">
        <v>2</v>
      </c>
      <c r="D8988">
        <v>3200</v>
      </c>
      <c r="E8988">
        <v>2019</v>
      </c>
      <c r="F8988">
        <v>1</v>
      </c>
      <c r="G8988">
        <v>8162</v>
      </c>
      <c r="H8988" s="1">
        <v>3</v>
      </c>
      <c r="I8988">
        <v>13</v>
      </c>
      <c r="J8988">
        <f>IF($H8988=0,1,IF($I8988&lt;=1,2,0))</f>
        <v>0</v>
      </c>
      <c r="K8988">
        <v>7</v>
      </c>
      <c r="L8988">
        <f>IF(AND($J8988=0,$K8988=0),0,1)</f>
        <v>1</v>
      </c>
      <c r="M8988" t="s">
        <v>401</v>
      </c>
    </row>
    <row r="8989" spans="1:13" x14ac:dyDescent="0.2">
      <c r="A8989" t="s">
        <v>385</v>
      </c>
      <c r="B8989" t="s">
        <v>386</v>
      </c>
      <c r="C8989" t="s">
        <v>2</v>
      </c>
      <c r="D8989">
        <v>3201</v>
      </c>
      <c r="E8989">
        <v>2019</v>
      </c>
      <c r="F8989">
        <v>1</v>
      </c>
      <c r="G8989">
        <v>8160</v>
      </c>
      <c r="H8989" s="1">
        <v>3</v>
      </c>
      <c r="I8989">
        <v>30</v>
      </c>
      <c r="J8989">
        <f>IF($H8989=0,1,IF($I8989&lt;=1,2,0))</f>
        <v>0</v>
      </c>
      <c r="K8989">
        <v>7</v>
      </c>
      <c r="L8989">
        <f>IF(AND($J8989=0,$K8989=0),0,1)</f>
        <v>1</v>
      </c>
    </row>
    <row r="8990" spans="1:13" x14ac:dyDescent="0.2">
      <c r="A8990" t="s">
        <v>385</v>
      </c>
      <c r="B8990" t="s">
        <v>386</v>
      </c>
      <c r="C8990" t="s">
        <v>2</v>
      </c>
      <c r="D8990">
        <v>3225</v>
      </c>
      <c r="E8990">
        <v>2019</v>
      </c>
      <c r="F8990">
        <v>1</v>
      </c>
      <c r="G8990">
        <v>8163</v>
      </c>
      <c r="H8990" s="1">
        <v>3</v>
      </c>
      <c r="I8990">
        <v>14</v>
      </c>
      <c r="J8990">
        <f>IF($H8990=0,1,IF($I8990&lt;=1,2,0))</f>
        <v>0</v>
      </c>
      <c r="K8990">
        <v>7</v>
      </c>
      <c r="L8990">
        <f>IF(AND($J8990=0,$K8990=0),0,1)</f>
        <v>1</v>
      </c>
      <c r="M8990" t="s">
        <v>285</v>
      </c>
    </row>
    <row r="8991" spans="1:13" x14ac:dyDescent="0.2">
      <c r="A8991" t="s">
        <v>385</v>
      </c>
      <c r="B8991" t="s">
        <v>386</v>
      </c>
      <c r="C8991" t="s">
        <v>2</v>
      </c>
      <c r="D8991">
        <v>3260</v>
      </c>
      <c r="E8991">
        <v>2019</v>
      </c>
      <c r="F8991">
        <v>1</v>
      </c>
      <c r="G8991">
        <v>8164</v>
      </c>
      <c r="H8991" s="1">
        <v>3</v>
      </c>
      <c r="I8991">
        <v>12</v>
      </c>
      <c r="J8991">
        <f>IF($H8991=0,1,IF($I8991&lt;=1,2,0))</f>
        <v>0</v>
      </c>
      <c r="K8991">
        <v>7</v>
      </c>
      <c r="L8991">
        <f>IF(AND($J8991=0,$K8991=0),0,1)</f>
        <v>1</v>
      </c>
    </row>
    <row r="8992" spans="1:13" x14ac:dyDescent="0.2">
      <c r="A8992" t="s">
        <v>385</v>
      </c>
      <c r="B8992" t="s">
        <v>386</v>
      </c>
      <c r="C8992" t="s">
        <v>61</v>
      </c>
      <c r="D8992">
        <v>3997</v>
      </c>
      <c r="E8992">
        <v>2019</v>
      </c>
      <c r="F8992">
        <v>1</v>
      </c>
      <c r="G8992">
        <v>19261</v>
      </c>
      <c r="H8992" s="1">
        <v>4</v>
      </c>
      <c r="I8992">
        <v>1</v>
      </c>
      <c r="J8992">
        <f>IF($H8992=0,1,IF($I8992&lt;=1,2,0))</f>
        <v>2</v>
      </c>
      <c r="K8992">
        <v>9</v>
      </c>
      <c r="L8992">
        <f>IF(AND($J8992=0,$K8992=0),0,1)</f>
        <v>1</v>
      </c>
    </row>
    <row r="8993" spans="1:13" x14ac:dyDescent="0.2">
      <c r="A8993" t="s">
        <v>385</v>
      </c>
      <c r="B8993" t="s">
        <v>386</v>
      </c>
      <c r="C8993" t="s">
        <v>9</v>
      </c>
      <c r="D8993">
        <v>4001</v>
      </c>
      <c r="E8993">
        <v>2019</v>
      </c>
      <c r="F8993">
        <v>3</v>
      </c>
      <c r="G8993">
        <v>44870</v>
      </c>
      <c r="H8993" s="1">
        <v>0</v>
      </c>
      <c r="I8993">
        <v>18</v>
      </c>
      <c r="J8993">
        <f>IF($H8993=0,1,IF($I8993&lt;=1,2,0))</f>
        <v>1</v>
      </c>
      <c r="K8993">
        <v>0</v>
      </c>
      <c r="L8993">
        <f>IF(AND($J8993=0,$K8993=0),0,1)</f>
        <v>1</v>
      </c>
      <c r="M8993" t="s">
        <v>397</v>
      </c>
    </row>
    <row r="8994" spans="1:13" x14ac:dyDescent="0.2">
      <c r="A8994" t="s">
        <v>385</v>
      </c>
      <c r="B8994" t="s">
        <v>386</v>
      </c>
      <c r="C8994" t="s">
        <v>9</v>
      </c>
      <c r="D8994">
        <v>4001</v>
      </c>
      <c r="E8994">
        <v>2019</v>
      </c>
      <c r="F8994">
        <v>2</v>
      </c>
      <c r="G8994">
        <v>44869</v>
      </c>
      <c r="H8994" s="1">
        <v>0</v>
      </c>
      <c r="I8994">
        <v>12</v>
      </c>
      <c r="J8994">
        <f>IF($H8994=0,1,IF($I8994&lt;=1,2,0))</f>
        <v>1</v>
      </c>
      <c r="K8994">
        <v>0</v>
      </c>
      <c r="L8994">
        <f>IF(AND($J8994=0,$K8994=0),0,1)</f>
        <v>1</v>
      </c>
      <c r="M8994" t="s">
        <v>397</v>
      </c>
    </row>
    <row r="8995" spans="1:13" x14ac:dyDescent="0.2">
      <c r="A8995" t="s">
        <v>385</v>
      </c>
      <c r="B8995" t="s">
        <v>386</v>
      </c>
      <c r="C8995" t="s">
        <v>9</v>
      </c>
      <c r="D8995">
        <v>4001</v>
      </c>
      <c r="E8995">
        <v>2019</v>
      </c>
      <c r="F8995">
        <v>1</v>
      </c>
      <c r="G8995">
        <v>44868</v>
      </c>
      <c r="H8995" s="1">
        <v>0</v>
      </c>
      <c r="I8995">
        <v>11</v>
      </c>
      <c r="J8995">
        <f>IF($H8995=0,1,IF($I8995&lt;=1,2,0))</f>
        <v>1</v>
      </c>
      <c r="K8995">
        <v>0</v>
      </c>
      <c r="L8995">
        <f>IF(AND($J8995=0,$K8995=0),0,1)</f>
        <v>1</v>
      </c>
      <c r="M8995" t="s">
        <v>397</v>
      </c>
    </row>
    <row r="8996" spans="1:13" x14ac:dyDescent="0.2">
      <c r="A8996" t="s">
        <v>385</v>
      </c>
      <c r="B8996" t="s">
        <v>386</v>
      </c>
      <c r="C8996" t="s">
        <v>9</v>
      </c>
      <c r="D8996">
        <v>5015</v>
      </c>
      <c r="E8996">
        <v>2019</v>
      </c>
      <c r="F8996">
        <v>1</v>
      </c>
      <c r="G8996">
        <v>98355</v>
      </c>
      <c r="H8996" s="1">
        <v>3</v>
      </c>
      <c r="I8996">
        <v>0</v>
      </c>
      <c r="J8996">
        <f>IF($H8996=0,1,IF($I8996&lt;=1,2,0))</f>
        <v>2</v>
      </c>
      <c r="K8996">
        <v>4</v>
      </c>
      <c r="L8996">
        <f>IF(AND($J8996=0,$K8996=0),0,1)</f>
        <v>1</v>
      </c>
      <c r="M8996" t="s">
        <v>406</v>
      </c>
    </row>
    <row r="8997" spans="1:13" x14ac:dyDescent="0.2">
      <c r="A8997" t="s">
        <v>385</v>
      </c>
      <c r="B8997" t="s">
        <v>386</v>
      </c>
      <c r="C8997" t="s">
        <v>9</v>
      </c>
      <c r="D8997">
        <v>5020</v>
      </c>
      <c r="E8997">
        <v>2019</v>
      </c>
      <c r="F8997">
        <v>1</v>
      </c>
      <c r="G8997">
        <v>98354</v>
      </c>
      <c r="H8997" s="1">
        <v>3</v>
      </c>
      <c r="I8997">
        <v>6</v>
      </c>
      <c r="J8997">
        <f>IF($H8997=0,1,IF($I8997&lt;=1,2,0))</f>
        <v>0</v>
      </c>
      <c r="K8997">
        <v>4</v>
      </c>
      <c r="L8997">
        <f>IF(AND($J8997=0,$K8997=0),0,1)</f>
        <v>1</v>
      </c>
      <c r="M8997" t="s">
        <v>406</v>
      </c>
    </row>
    <row r="8998" spans="1:13" x14ac:dyDescent="0.2">
      <c r="A8998" t="s">
        <v>385</v>
      </c>
      <c r="B8998" t="s">
        <v>386</v>
      </c>
      <c r="C8998" t="s">
        <v>407</v>
      </c>
      <c r="D8998">
        <v>5040</v>
      </c>
      <c r="E8998">
        <v>2019</v>
      </c>
      <c r="F8998">
        <v>1</v>
      </c>
      <c r="G8998">
        <v>98454</v>
      </c>
      <c r="H8998" s="1">
        <v>3</v>
      </c>
      <c r="I8998">
        <v>8</v>
      </c>
      <c r="J8998">
        <f>IF($H8998=0,1,IF($I8998&lt;=1,2,0))</f>
        <v>0</v>
      </c>
      <c r="K8998">
        <v>4</v>
      </c>
      <c r="L8998">
        <f>IF(AND($J8998=0,$K8998=0),0,1)</f>
        <v>1</v>
      </c>
      <c r="M8998" t="s">
        <v>406</v>
      </c>
    </row>
    <row r="8999" spans="1:13" x14ac:dyDescent="0.2">
      <c r="A8999" t="s">
        <v>385</v>
      </c>
      <c r="B8999" t="s">
        <v>386</v>
      </c>
      <c r="C8999" t="s">
        <v>9</v>
      </c>
      <c r="D8999">
        <v>5045</v>
      </c>
      <c r="E8999">
        <v>2019</v>
      </c>
      <c r="F8999">
        <v>1</v>
      </c>
      <c r="G8999">
        <v>98352</v>
      </c>
      <c r="H8999" s="1">
        <v>3</v>
      </c>
      <c r="I8999">
        <v>15</v>
      </c>
      <c r="J8999">
        <f>IF($H8999=0,1,IF($I8999&lt;=1,2,0))</f>
        <v>0</v>
      </c>
      <c r="K8999">
        <v>4</v>
      </c>
      <c r="L8999">
        <f>IF(AND($J8999=0,$K8999=0),0,1)</f>
        <v>1</v>
      </c>
      <c r="M8999" t="s">
        <v>406</v>
      </c>
    </row>
    <row r="9000" spans="1:13" x14ac:dyDescent="0.2">
      <c r="A9000" t="s">
        <v>385</v>
      </c>
      <c r="B9000" t="s">
        <v>386</v>
      </c>
      <c r="C9000" t="s">
        <v>407</v>
      </c>
      <c r="D9000">
        <v>5065</v>
      </c>
      <c r="E9000">
        <v>2019</v>
      </c>
      <c r="F9000">
        <v>1</v>
      </c>
      <c r="G9000">
        <v>98349</v>
      </c>
      <c r="H9000" s="1">
        <v>3</v>
      </c>
      <c r="I9000">
        <v>5</v>
      </c>
      <c r="J9000">
        <f>IF($H9000=0,1,IF($I9000&lt;=1,2,0))</f>
        <v>0</v>
      </c>
      <c r="K9000">
        <v>4</v>
      </c>
      <c r="L9000">
        <f>IF(AND($J9000=0,$K9000=0),0,1)</f>
        <v>1</v>
      </c>
      <c r="M9000" t="s">
        <v>406</v>
      </c>
    </row>
    <row r="9001" spans="1:13" x14ac:dyDescent="0.2">
      <c r="A9001" t="s">
        <v>385</v>
      </c>
      <c r="B9001" t="s">
        <v>386</v>
      </c>
      <c r="C9001" t="s">
        <v>407</v>
      </c>
      <c r="D9001">
        <v>5250</v>
      </c>
      <c r="E9001">
        <v>2019</v>
      </c>
      <c r="F9001">
        <v>1</v>
      </c>
      <c r="G9001">
        <v>98554</v>
      </c>
      <c r="H9001" s="1">
        <v>1.5</v>
      </c>
      <c r="I9001">
        <v>11</v>
      </c>
      <c r="J9001">
        <f>IF($H9001=0,1,IF($I9001&lt;=1,2,0))</f>
        <v>0</v>
      </c>
      <c r="K9001">
        <v>4</v>
      </c>
      <c r="L9001">
        <f>IF(AND($J9001=0,$K9001=0),0,1)</f>
        <v>1</v>
      </c>
      <c r="M9001" t="s">
        <v>408</v>
      </c>
    </row>
    <row r="9002" spans="1:13" x14ac:dyDescent="0.2">
      <c r="A9002" t="s">
        <v>385</v>
      </c>
      <c r="B9002" t="s">
        <v>386</v>
      </c>
      <c r="C9002" t="s">
        <v>407</v>
      </c>
      <c r="D9002">
        <v>5800</v>
      </c>
      <c r="E9002">
        <v>2019</v>
      </c>
      <c r="F9002">
        <v>2</v>
      </c>
      <c r="G9002">
        <v>98588</v>
      </c>
      <c r="H9002" s="1" t="s">
        <v>1827</v>
      </c>
      <c r="I9002">
        <v>1</v>
      </c>
      <c r="J9002">
        <f>IF($H9002=0,1,IF($I9002&lt;=1,2,0))</f>
        <v>2</v>
      </c>
      <c r="K9002">
        <v>4</v>
      </c>
      <c r="L9002">
        <f>IF(AND($J9002=0,$K9002=0),0,1)</f>
        <v>1</v>
      </c>
    </row>
    <row r="9003" spans="1:13" x14ac:dyDescent="0.2">
      <c r="A9003" t="s">
        <v>385</v>
      </c>
      <c r="B9003" t="s">
        <v>386</v>
      </c>
      <c r="C9003" t="s">
        <v>407</v>
      </c>
      <c r="D9003">
        <v>5800</v>
      </c>
      <c r="E9003">
        <v>2019</v>
      </c>
      <c r="F9003">
        <v>1</v>
      </c>
      <c r="G9003">
        <v>98589</v>
      </c>
      <c r="H9003" s="1" t="s">
        <v>1827</v>
      </c>
      <c r="I9003">
        <v>0</v>
      </c>
      <c r="J9003">
        <f>IF($H9003=0,1,IF($I9003&lt;=1,2,0))</f>
        <v>2</v>
      </c>
      <c r="K9003">
        <v>4</v>
      </c>
      <c r="L9003">
        <f>IF(AND($J9003=0,$K9003=0),0,1)</f>
        <v>1</v>
      </c>
    </row>
    <row r="9004" spans="1:13" x14ac:dyDescent="0.2">
      <c r="A9004" t="s">
        <v>385</v>
      </c>
      <c r="B9004" t="s">
        <v>386</v>
      </c>
      <c r="C9004" t="s">
        <v>407</v>
      </c>
      <c r="D9004">
        <v>5800</v>
      </c>
      <c r="E9004">
        <v>2019</v>
      </c>
      <c r="F9004">
        <v>3</v>
      </c>
      <c r="G9004">
        <v>98587</v>
      </c>
      <c r="H9004" s="1" t="s">
        <v>1827</v>
      </c>
      <c r="I9004">
        <v>0</v>
      </c>
      <c r="J9004">
        <f>IF($H9004=0,1,IF($I9004&lt;=1,2,0))</f>
        <v>2</v>
      </c>
      <c r="K9004">
        <v>4</v>
      </c>
      <c r="L9004">
        <f>IF(AND($J9004=0,$K9004=0),0,1)</f>
        <v>1</v>
      </c>
    </row>
    <row r="9005" spans="1:13" x14ac:dyDescent="0.2">
      <c r="A9005" t="s">
        <v>385</v>
      </c>
      <c r="B9005" t="s">
        <v>386</v>
      </c>
      <c r="C9005" t="s">
        <v>407</v>
      </c>
      <c r="D9005">
        <v>5800</v>
      </c>
      <c r="E9005">
        <v>2019</v>
      </c>
      <c r="F9005">
        <v>4</v>
      </c>
      <c r="G9005">
        <v>98586</v>
      </c>
      <c r="H9005" s="1" t="s">
        <v>1827</v>
      </c>
      <c r="I9005">
        <v>0</v>
      </c>
      <c r="J9005">
        <f>IF($H9005=0,1,IF($I9005&lt;=1,2,0))</f>
        <v>2</v>
      </c>
      <c r="K9005">
        <v>4</v>
      </c>
      <c r="L9005">
        <f>IF(AND($J9005=0,$K9005=0),0,1)</f>
        <v>1</v>
      </c>
    </row>
    <row r="9006" spans="1:13" x14ac:dyDescent="0.2">
      <c r="A9006" t="s">
        <v>385</v>
      </c>
      <c r="B9006" t="s">
        <v>386</v>
      </c>
      <c r="C9006" t="s">
        <v>407</v>
      </c>
      <c r="D9006">
        <v>6310</v>
      </c>
      <c r="E9006">
        <v>2019</v>
      </c>
      <c r="F9006">
        <v>1</v>
      </c>
      <c r="G9006">
        <v>98344</v>
      </c>
      <c r="H9006" s="1">
        <v>3</v>
      </c>
      <c r="I9006">
        <v>25</v>
      </c>
      <c r="J9006">
        <f>IF($H9006=0,1,IF($I9006&lt;=1,2,0))</f>
        <v>0</v>
      </c>
      <c r="K9006">
        <v>4</v>
      </c>
      <c r="L9006">
        <f>IF(AND($J9006=0,$K9006=0),0,1)</f>
        <v>1</v>
      </c>
      <c r="M9006" t="s">
        <v>410</v>
      </c>
    </row>
    <row r="9007" spans="1:13" x14ac:dyDescent="0.2">
      <c r="A9007" t="s">
        <v>385</v>
      </c>
      <c r="B9007" t="s">
        <v>386</v>
      </c>
      <c r="C9007" t="s">
        <v>407</v>
      </c>
      <c r="D9007">
        <v>6330</v>
      </c>
      <c r="E9007">
        <v>2019</v>
      </c>
      <c r="F9007">
        <v>1</v>
      </c>
      <c r="G9007">
        <v>98340</v>
      </c>
      <c r="H9007" s="1">
        <v>3</v>
      </c>
      <c r="I9007">
        <v>13</v>
      </c>
      <c r="J9007">
        <f>IF($H9007=0,1,IF($I9007&lt;=1,2,0))</f>
        <v>0</v>
      </c>
      <c r="K9007">
        <v>4</v>
      </c>
      <c r="L9007">
        <f>IF(AND($J9007=0,$K9007=0),0,1)</f>
        <v>1</v>
      </c>
      <c r="M9007" t="s">
        <v>411</v>
      </c>
    </row>
    <row r="9008" spans="1:13" x14ac:dyDescent="0.2">
      <c r="A9008" t="s">
        <v>385</v>
      </c>
      <c r="B9008" t="s">
        <v>386</v>
      </c>
      <c r="C9008" t="s">
        <v>407</v>
      </c>
      <c r="D9008">
        <v>6340</v>
      </c>
      <c r="E9008">
        <v>2019</v>
      </c>
      <c r="F9008">
        <v>1</v>
      </c>
      <c r="G9008">
        <v>98572</v>
      </c>
      <c r="H9008" s="1">
        <v>3</v>
      </c>
      <c r="I9008">
        <v>12</v>
      </c>
      <c r="J9008">
        <f>IF($H9008=0,1,IF($I9008&lt;=1,2,0))</f>
        <v>0</v>
      </c>
      <c r="K9008">
        <v>4</v>
      </c>
      <c r="L9008">
        <f>IF(AND($J9008=0,$K9008=0),0,1)</f>
        <v>1</v>
      </c>
      <c r="M9008" t="s">
        <v>412</v>
      </c>
    </row>
    <row r="9009" spans="1:12" x14ac:dyDescent="0.2">
      <c r="A9009" t="s">
        <v>385</v>
      </c>
      <c r="B9009" t="s">
        <v>386</v>
      </c>
      <c r="C9009" t="s">
        <v>407</v>
      </c>
      <c r="D9009">
        <v>8800</v>
      </c>
      <c r="E9009">
        <v>2019</v>
      </c>
      <c r="F9009">
        <v>2</v>
      </c>
      <c r="G9009">
        <v>18824</v>
      </c>
      <c r="H9009" s="1" t="s">
        <v>1827</v>
      </c>
      <c r="I9009">
        <v>1</v>
      </c>
      <c r="J9009">
        <f>IF($H9009=0,1,IF($I9009&lt;=1,2,0))</f>
        <v>2</v>
      </c>
      <c r="K9009">
        <v>0</v>
      </c>
      <c r="L9009">
        <f>IF(AND($J9009=0,$K9009=0),0,1)</f>
        <v>1</v>
      </c>
    </row>
    <row r="9010" spans="1:12" x14ac:dyDescent="0.2">
      <c r="A9010" t="s">
        <v>385</v>
      </c>
      <c r="B9010" t="s">
        <v>386</v>
      </c>
      <c r="C9010" t="s">
        <v>407</v>
      </c>
      <c r="D9010">
        <v>8900</v>
      </c>
      <c r="E9010">
        <v>2019</v>
      </c>
      <c r="F9010">
        <v>1</v>
      </c>
      <c r="G9010">
        <v>98484</v>
      </c>
      <c r="H9010" s="1">
        <v>3</v>
      </c>
      <c r="I9010">
        <v>11</v>
      </c>
      <c r="J9010">
        <f>IF($H9010=0,1,IF($I9010&lt;=1,2,0))</f>
        <v>0</v>
      </c>
      <c r="K9010">
        <v>4</v>
      </c>
      <c r="L9010">
        <f>IF(AND($J9010=0,$K9010=0),0,1)</f>
        <v>1</v>
      </c>
    </row>
    <row r="9011" spans="1:12" x14ac:dyDescent="0.2">
      <c r="A9011" t="s">
        <v>385</v>
      </c>
      <c r="B9011" t="s">
        <v>386</v>
      </c>
      <c r="C9011" t="s">
        <v>407</v>
      </c>
      <c r="D9011">
        <v>8900</v>
      </c>
      <c r="E9011">
        <v>2019</v>
      </c>
      <c r="F9011">
        <v>2</v>
      </c>
      <c r="G9011">
        <v>98481</v>
      </c>
      <c r="H9011" s="1">
        <v>3</v>
      </c>
      <c r="I9011">
        <v>9</v>
      </c>
      <c r="J9011">
        <f>IF($H9011=0,1,IF($I9011&lt;=1,2,0))</f>
        <v>0</v>
      </c>
      <c r="K9011">
        <v>4</v>
      </c>
      <c r="L9011">
        <f>IF(AND($J9011=0,$K9011=0),0,1)</f>
        <v>1</v>
      </c>
    </row>
    <row r="9012" spans="1:12" x14ac:dyDescent="0.2">
      <c r="A9012" t="s">
        <v>385</v>
      </c>
      <c r="B9012" t="s">
        <v>386</v>
      </c>
      <c r="C9012" t="s">
        <v>34</v>
      </c>
      <c r="D9012">
        <v>9000</v>
      </c>
      <c r="E9012">
        <v>2019</v>
      </c>
      <c r="F9012">
        <v>1</v>
      </c>
      <c r="G9012">
        <v>29206</v>
      </c>
      <c r="H9012" s="1">
        <v>0</v>
      </c>
      <c r="I9012">
        <v>132</v>
      </c>
      <c r="J9012">
        <f>IF($H9012=0,1,IF($I9012&lt;=1,2,0))</f>
        <v>1</v>
      </c>
      <c r="K9012">
        <v>5</v>
      </c>
      <c r="L9012">
        <f>IF(AND($J9012=0,$K9012=0),0,1)</f>
        <v>1</v>
      </c>
    </row>
    <row r="9013" spans="1:12" x14ac:dyDescent="0.2">
      <c r="A9013" t="s">
        <v>385</v>
      </c>
      <c r="B9013" t="s">
        <v>386</v>
      </c>
      <c r="C9013" t="s">
        <v>34</v>
      </c>
      <c r="D9013">
        <v>9001</v>
      </c>
      <c r="E9013">
        <v>2019</v>
      </c>
      <c r="F9013">
        <v>1</v>
      </c>
      <c r="G9013">
        <v>63166</v>
      </c>
      <c r="H9013" s="1">
        <v>0</v>
      </c>
      <c r="I9013">
        <v>20</v>
      </c>
      <c r="J9013">
        <f>IF($H9013=0,1,IF($I9013&lt;=1,2,0))</f>
        <v>1</v>
      </c>
      <c r="K9013">
        <v>5</v>
      </c>
      <c r="L9013">
        <f>IF(AND($J9013=0,$K9013=0),0,1)</f>
        <v>1</v>
      </c>
    </row>
    <row r="9014" spans="1:12" x14ac:dyDescent="0.2">
      <c r="A9014" t="s">
        <v>385</v>
      </c>
      <c r="B9014" t="s">
        <v>386</v>
      </c>
      <c r="C9014" t="s">
        <v>407</v>
      </c>
      <c r="D9014">
        <v>9100</v>
      </c>
      <c r="E9014">
        <v>2019</v>
      </c>
      <c r="F9014">
        <v>2</v>
      </c>
      <c r="G9014">
        <v>98477</v>
      </c>
      <c r="H9014" s="1">
        <v>0</v>
      </c>
      <c r="I9014">
        <v>6</v>
      </c>
      <c r="J9014">
        <f>IF($H9014=0,1,IF($I9014&lt;=1,2,0))</f>
        <v>1</v>
      </c>
      <c r="K9014">
        <v>5</v>
      </c>
      <c r="L9014">
        <f>IF(AND($J9014=0,$K9014=0),0,1)</f>
        <v>1</v>
      </c>
    </row>
    <row r="9015" spans="1:12" x14ac:dyDescent="0.2">
      <c r="A9015" t="s">
        <v>385</v>
      </c>
      <c r="B9015" t="s">
        <v>386</v>
      </c>
      <c r="C9015" t="s">
        <v>407</v>
      </c>
      <c r="D9015">
        <v>9100</v>
      </c>
      <c r="E9015">
        <v>2019</v>
      </c>
      <c r="F9015">
        <v>1</v>
      </c>
      <c r="G9015">
        <v>98480</v>
      </c>
      <c r="H9015" s="1">
        <v>0</v>
      </c>
      <c r="I9015">
        <v>2</v>
      </c>
      <c r="J9015">
        <f>IF($H9015=0,1,IF($I9015&lt;=1,2,0))</f>
        <v>1</v>
      </c>
      <c r="K9015">
        <v>5</v>
      </c>
      <c r="L9015">
        <f>IF(AND($J9015=0,$K9015=0),0,1)</f>
        <v>1</v>
      </c>
    </row>
    <row r="9016" spans="1:12" x14ac:dyDescent="0.2">
      <c r="A9016" t="s">
        <v>385</v>
      </c>
      <c r="B9016" t="s">
        <v>386</v>
      </c>
      <c r="C9016" t="s">
        <v>407</v>
      </c>
      <c r="D9016">
        <v>9110</v>
      </c>
      <c r="E9016">
        <v>2019</v>
      </c>
      <c r="F9016">
        <v>1</v>
      </c>
      <c r="G9016">
        <v>98386</v>
      </c>
      <c r="H9016" s="1">
        <v>0</v>
      </c>
      <c r="I9016">
        <v>10</v>
      </c>
      <c r="J9016">
        <f>IF($H9016=0,1,IF($I9016&lt;=1,2,0))</f>
        <v>1</v>
      </c>
      <c r="K9016">
        <v>5</v>
      </c>
      <c r="L9016">
        <f>IF(AND($J9016=0,$K9016=0),0,1)</f>
        <v>1</v>
      </c>
    </row>
    <row r="9017" spans="1:12" x14ac:dyDescent="0.2">
      <c r="A9017" t="s">
        <v>385</v>
      </c>
      <c r="B9017" t="s">
        <v>386</v>
      </c>
      <c r="C9017" t="s">
        <v>407</v>
      </c>
      <c r="D9017">
        <v>9110</v>
      </c>
      <c r="E9017">
        <v>2019</v>
      </c>
      <c r="F9017">
        <v>2</v>
      </c>
      <c r="G9017">
        <v>98384</v>
      </c>
      <c r="H9017" s="1">
        <v>0</v>
      </c>
      <c r="I9017">
        <v>10</v>
      </c>
      <c r="J9017">
        <f>IF($H9017=0,1,IF($I9017&lt;=1,2,0))</f>
        <v>1</v>
      </c>
      <c r="K9017">
        <v>5</v>
      </c>
      <c r="L9017">
        <f>IF(AND($J9017=0,$K9017=0),0,1)</f>
        <v>1</v>
      </c>
    </row>
    <row r="9018" spans="1:12" x14ac:dyDescent="0.2">
      <c r="A9018" t="s">
        <v>385</v>
      </c>
      <c r="B9018" t="s">
        <v>386</v>
      </c>
      <c r="C9018" t="s">
        <v>407</v>
      </c>
      <c r="D9018">
        <v>9110</v>
      </c>
      <c r="E9018">
        <v>2019</v>
      </c>
      <c r="F9018">
        <v>3</v>
      </c>
      <c r="G9018">
        <v>98381</v>
      </c>
      <c r="H9018" s="1">
        <v>0</v>
      </c>
      <c r="I9018">
        <v>9</v>
      </c>
      <c r="J9018">
        <f>IF($H9018=0,1,IF($I9018&lt;=1,2,0))</f>
        <v>1</v>
      </c>
      <c r="K9018">
        <v>5</v>
      </c>
      <c r="L9018">
        <f>IF(AND($J9018=0,$K9018=0),0,1)</f>
        <v>1</v>
      </c>
    </row>
    <row r="9019" spans="1:12" x14ac:dyDescent="0.2">
      <c r="A9019" t="s">
        <v>385</v>
      </c>
      <c r="B9019" t="s">
        <v>386</v>
      </c>
      <c r="C9019" t="s">
        <v>407</v>
      </c>
      <c r="D9019">
        <v>9120</v>
      </c>
      <c r="E9019">
        <v>2019</v>
      </c>
      <c r="F9019">
        <v>1</v>
      </c>
      <c r="G9019">
        <v>98575</v>
      </c>
      <c r="H9019" s="1">
        <v>0</v>
      </c>
      <c r="I9019">
        <v>12</v>
      </c>
      <c r="J9019">
        <f>IF($H9019=0,1,IF($I9019&lt;=1,2,0))</f>
        <v>1</v>
      </c>
      <c r="K9019">
        <v>5</v>
      </c>
      <c r="L9019">
        <f>IF(AND($J9019=0,$K9019=0),0,1)</f>
        <v>1</v>
      </c>
    </row>
    <row r="9020" spans="1:12" x14ac:dyDescent="0.2">
      <c r="A9020" t="s">
        <v>385</v>
      </c>
      <c r="B9020" t="s">
        <v>386</v>
      </c>
      <c r="C9020" t="s">
        <v>407</v>
      </c>
      <c r="D9020">
        <v>9210</v>
      </c>
      <c r="E9020">
        <v>2019</v>
      </c>
      <c r="F9020">
        <v>5</v>
      </c>
      <c r="G9020">
        <v>44877</v>
      </c>
      <c r="H9020" s="1">
        <v>0</v>
      </c>
      <c r="I9020">
        <v>14</v>
      </c>
      <c r="J9020">
        <f>IF($H9020=0,1,IF($I9020&lt;=1,2,0))</f>
        <v>1</v>
      </c>
      <c r="K9020">
        <v>5</v>
      </c>
      <c r="L9020">
        <f>IF(AND($J9020=0,$K9020=0),0,1)</f>
        <v>1</v>
      </c>
    </row>
    <row r="9021" spans="1:12" x14ac:dyDescent="0.2">
      <c r="A9021" t="s">
        <v>385</v>
      </c>
      <c r="B9021" t="s">
        <v>386</v>
      </c>
      <c r="C9021" t="s">
        <v>407</v>
      </c>
      <c r="D9021">
        <v>9210</v>
      </c>
      <c r="E9021">
        <v>2019</v>
      </c>
      <c r="F9021">
        <v>4</v>
      </c>
      <c r="G9021">
        <v>44876</v>
      </c>
      <c r="H9021" s="1">
        <v>0</v>
      </c>
      <c r="I9021">
        <v>12</v>
      </c>
      <c r="J9021">
        <f>IF($H9021=0,1,IF($I9021&lt;=1,2,0))</f>
        <v>1</v>
      </c>
      <c r="K9021">
        <v>5</v>
      </c>
      <c r="L9021">
        <f>IF(AND($J9021=0,$K9021=0),0,1)</f>
        <v>1</v>
      </c>
    </row>
    <row r="9022" spans="1:12" x14ac:dyDescent="0.2">
      <c r="A9022" t="s">
        <v>385</v>
      </c>
      <c r="B9022" t="s">
        <v>386</v>
      </c>
      <c r="C9022" t="s">
        <v>407</v>
      </c>
      <c r="D9022">
        <v>9210</v>
      </c>
      <c r="E9022">
        <v>2019</v>
      </c>
      <c r="F9022">
        <v>1</v>
      </c>
      <c r="G9022">
        <v>98472</v>
      </c>
      <c r="H9022" s="1">
        <v>0</v>
      </c>
      <c r="I9022">
        <v>11</v>
      </c>
      <c r="J9022">
        <f>IF($H9022=0,1,IF($I9022&lt;=1,2,0))</f>
        <v>1</v>
      </c>
      <c r="K9022">
        <v>5</v>
      </c>
      <c r="L9022">
        <f>IF(AND($J9022=0,$K9022=0),0,1)</f>
        <v>1</v>
      </c>
    </row>
    <row r="9023" spans="1:12" x14ac:dyDescent="0.2">
      <c r="A9023" t="s">
        <v>385</v>
      </c>
      <c r="B9023" t="s">
        <v>386</v>
      </c>
      <c r="C9023" t="s">
        <v>407</v>
      </c>
      <c r="D9023">
        <v>9210</v>
      </c>
      <c r="E9023">
        <v>2019</v>
      </c>
      <c r="F9023">
        <v>3</v>
      </c>
      <c r="G9023">
        <v>44875</v>
      </c>
      <c r="H9023" s="1">
        <v>0</v>
      </c>
      <c r="I9023">
        <v>11</v>
      </c>
      <c r="J9023">
        <f>IF($H9023=0,1,IF($I9023&lt;=1,2,0))</f>
        <v>1</v>
      </c>
      <c r="K9023">
        <v>5</v>
      </c>
      <c r="L9023">
        <f>IF(AND($J9023=0,$K9023=0),0,1)</f>
        <v>1</v>
      </c>
    </row>
    <row r="9024" spans="1:12" x14ac:dyDescent="0.2">
      <c r="A9024" t="s">
        <v>385</v>
      </c>
      <c r="B9024" t="s">
        <v>386</v>
      </c>
      <c r="C9024" t="s">
        <v>407</v>
      </c>
      <c r="D9024">
        <v>9210</v>
      </c>
      <c r="E9024">
        <v>2019</v>
      </c>
      <c r="F9024">
        <v>2</v>
      </c>
      <c r="G9024">
        <v>44874</v>
      </c>
      <c r="H9024" s="1">
        <v>0</v>
      </c>
      <c r="I9024">
        <v>10</v>
      </c>
      <c r="J9024">
        <f>IF($H9024=0,1,IF($I9024&lt;=1,2,0))</f>
        <v>1</v>
      </c>
      <c r="K9024">
        <v>5</v>
      </c>
      <c r="L9024">
        <f>IF(AND($J9024=0,$K9024=0),0,1)</f>
        <v>1</v>
      </c>
    </row>
    <row r="9025" spans="1:13" x14ac:dyDescent="0.2">
      <c r="A9025" t="s">
        <v>385</v>
      </c>
      <c r="B9025" t="s">
        <v>386</v>
      </c>
      <c r="C9025" t="s">
        <v>407</v>
      </c>
      <c r="D9025">
        <v>9210</v>
      </c>
      <c r="E9025">
        <v>2019</v>
      </c>
      <c r="F9025">
        <v>6</v>
      </c>
      <c r="G9025">
        <v>14349</v>
      </c>
      <c r="H9025" s="1">
        <v>0</v>
      </c>
      <c r="I9025">
        <v>9</v>
      </c>
      <c r="J9025">
        <f>IF($H9025=0,1,IF($I9025&lt;=1,2,0))</f>
        <v>1</v>
      </c>
      <c r="K9025">
        <v>5</v>
      </c>
      <c r="L9025">
        <f>IF(AND($J9025=0,$K9025=0),0,1)</f>
        <v>1</v>
      </c>
    </row>
    <row r="9026" spans="1:13" x14ac:dyDescent="0.2">
      <c r="A9026" t="s">
        <v>385</v>
      </c>
      <c r="B9026" t="s">
        <v>386</v>
      </c>
      <c r="C9026" t="s">
        <v>407</v>
      </c>
      <c r="D9026">
        <v>9300</v>
      </c>
      <c r="E9026">
        <v>2019</v>
      </c>
      <c r="F9026">
        <v>1</v>
      </c>
      <c r="G9026">
        <v>98377</v>
      </c>
      <c r="H9026" s="1">
        <v>0</v>
      </c>
      <c r="I9026">
        <v>9</v>
      </c>
      <c r="J9026">
        <f>IF($H9026=0,1,IF($I9026&lt;=1,2,0))</f>
        <v>1</v>
      </c>
      <c r="K9026">
        <v>5</v>
      </c>
      <c r="L9026">
        <f>IF(AND($J9026=0,$K9026=0),0,1)</f>
        <v>1</v>
      </c>
    </row>
    <row r="9027" spans="1:13" x14ac:dyDescent="0.2">
      <c r="A9027" t="s">
        <v>385</v>
      </c>
      <c r="B9027" t="s">
        <v>386</v>
      </c>
      <c r="C9027" t="s">
        <v>407</v>
      </c>
      <c r="D9027">
        <v>9300</v>
      </c>
      <c r="E9027">
        <v>2019</v>
      </c>
      <c r="F9027">
        <v>2</v>
      </c>
      <c r="G9027">
        <v>98375</v>
      </c>
      <c r="H9027" s="1">
        <v>0</v>
      </c>
      <c r="I9027">
        <v>9</v>
      </c>
      <c r="J9027">
        <f>IF($H9027=0,1,IF($I9027&lt;=1,2,0))</f>
        <v>1</v>
      </c>
      <c r="K9027">
        <v>5</v>
      </c>
      <c r="L9027">
        <f>IF(AND($J9027=0,$K9027=0),0,1)</f>
        <v>1</v>
      </c>
    </row>
    <row r="9028" spans="1:13" x14ac:dyDescent="0.2">
      <c r="A9028" t="s">
        <v>385</v>
      </c>
      <c r="B9028" t="s">
        <v>386</v>
      </c>
      <c r="C9028" t="s">
        <v>407</v>
      </c>
      <c r="D9028">
        <v>9300</v>
      </c>
      <c r="E9028">
        <v>2019</v>
      </c>
      <c r="F9028">
        <v>3</v>
      </c>
      <c r="G9028">
        <v>98373</v>
      </c>
      <c r="H9028" s="1">
        <v>0</v>
      </c>
      <c r="I9028">
        <v>9</v>
      </c>
      <c r="J9028">
        <f>IF($H9028=0,1,IF($I9028&lt;=1,2,0))</f>
        <v>1</v>
      </c>
      <c r="K9028">
        <v>5</v>
      </c>
      <c r="L9028">
        <f>IF(AND($J9028=0,$K9028=0),0,1)</f>
        <v>1</v>
      </c>
    </row>
    <row r="9029" spans="1:13" x14ac:dyDescent="0.2">
      <c r="A9029" t="s">
        <v>385</v>
      </c>
      <c r="B9029" t="s">
        <v>386</v>
      </c>
      <c r="C9029" t="s">
        <v>407</v>
      </c>
      <c r="D9029">
        <v>9315</v>
      </c>
      <c r="E9029">
        <v>2019</v>
      </c>
      <c r="F9029">
        <v>1</v>
      </c>
      <c r="G9029">
        <v>98441</v>
      </c>
      <c r="H9029" s="1">
        <v>0</v>
      </c>
      <c r="I9029">
        <v>10</v>
      </c>
      <c r="J9029">
        <f>IF($H9029=0,1,IF($I9029&lt;=1,2,0))</f>
        <v>1</v>
      </c>
      <c r="K9029">
        <v>5</v>
      </c>
      <c r="L9029">
        <f>IF(AND($J9029=0,$K9029=0),0,1)</f>
        <v>1</v>
      </c>
      <c r="M9029" t="s">
        <v>413</v>
      </c>
    </row>
    <row r="9030" spans="1:13" x14ac:dyDescent="0.2">
      <c r="A9030" t="s">
        <v>385</v>
      </c>
      <c r="B9030" t="s">
        <v>386</v>
      </c>
      <c r="C9030" t="s">
        <v>407</v>
      </c>
      <c r="D9030">
        <v>9700</v>
      </c>
      <c r="E9030">
        <v>2019</v>
      </c>
      <c r="F9030">
        <v>1</v>
      </c>
      <c r="G9030">
        <v>98371</v>
      </c>
      <c r="H9030" s="1">
        <v>3</v>
      </c>
      <c r="I9030">
        <v>20</v>
      </c>
      <c r="J9030">
        <f>IF($H9030=0,1,IF($I9030&lt;=1,2,0))</f>
        <v>0</v>
      </c>
      <c r="K9030">
        <v>5</v>
      </c>
      <c r="L9030">
        <f>IF(AND($J9030=0,$K9030=0),0,1)</f>
        <v>1</v>
      </c>
    </row>
    <row r="9031" spans="1:13" x14ac:dyDescent="0.2">
      <c r="A9031" t="s">
        <v>385</v>
      </c>
      <c r="B9031" t="s">
        <v>386</v>
      </c>
      <c r="C9031" t="s">
        <v>407</v>
      </c>
      <c r="D9031">
        <v>9800</v>
      </c>
      <c r="E9031">
        <v>2019</v>
      </c>
      <c r="F9031">
        <v>1</v>
      </c>
      <c r="G9031">
        <v>98461</v>
      </c>
      <c r="H9031" s="1" t="s">
        <v>1828</v>
      </c>
      <c r="I9031">
        <v>8</v>
      </c>
      <c r="J9031">
        <f>IF($H9031=0,1,IF($I9031&lt;=1,2,0))</f>
        <v>0</v>
      </c>
      <c r="K9031">
        <v>5</v>
      </c>
      <c r="L9031">
        <f>IF(AND($J9031=0,$K9031=0),0,1)</f>
        <v>1</v>
      </c>
      <c r="M9031" t="s">
        <v>414</v>
      </c>
    </row>
    <row r="9032" spans="1:13" x14ac:dyDescent="0.2">
      <c r="A9032" t="s">
        <v>385</v>
      </c>
      <c r="B9032" t="s">
        <v>386</v>
      </c>
      <c r="C9032" t="s">
        <v>407</v>
      </c>
      <c r="D9032">
        <v>9800</v>
      </c>
      <c r="E9032">
        <v>2019</v>
      </c>
      <c r="F9032">
        <v>3</v>
      </c>
      <c r="G9032">
        <v>98459</v>
      </c>
      <c r="H9032" s="1" t="s">
        <v>1828</v>
      </c>
      <c r="I9032">
        <v>4</v>
      </c>
      <c r="J9032">
        <f>IF($H9032=0,1,IF($I9032&lt;=1,2,0))</f>
        <v>0</v>
      </c>
      <c r="K9032">
        <v>5</v>
      </c>
      <c r="L9032">
        <f>IF(AND($J9032=0,$K9032=0),0,1)</f>
        <v>1</v>
      </c>
      <c r="M9032" t="s">
        <v>415</v>
      </c>
    </row>
    <row r="9033" spans="1:13" x14ac:dyDescent="0.2">
      <c r="A9033" t="s">
        <v>385</v>
      </c>
      <c r="B9033" t="s">
        <v>386</v>
      </c>
      <c r="C9033" t="s">
        <v>407</v>
      </c>
      <c r="D9033">
        <v>9800</v>
      </c>
      <c r="E9033">
        <v>2019</v>
      </c>
      <c r="F9033">
        <v>2</v>
      </c>
      <c r="G9033">
        <v>98460</v>
      </c>
      <c r="H9033" s="1" t="s">
        <v>1828</v>
      </c>
      <c r="I9033">
        <v>3</v>
      </c>
      <c r="J9033">
        <f>IF($H9033=0,1,IF($I9033&lt;=1,2,0))</f>
        <v>0</v>
      </c>
      <c r="K9033">
        <v>5</v>
      </c>
      <c r="L9033">
        <f>IF(AND($J9033=0,$K9033=0),0,1)</f>
        <v>1</v>
      </c>
      <c r="M9033" t="s">
        <v>414</v>
      </c>
    </row>
    <row r="9034" spans="1:13" x14ac:dyDescent="0.2">
      <c r="A9034" t="s">
        <v>385</v>
      </c>
      <c r="B9034" t="s">
        <v>386</v>
      </c>
      <c r="C9034" t="s">
        <v>407</v>
      </c>
      <c r="D9034">
        <v>9800</v>
      </c>
      <c r="E9034">
        <v>2019</v>
      </c>
      <c r="F9034">
        <v>4</v>
      </c>
      <c r="G9034">
        <v>98457</v>
      </c>
      <c r="H9034" s="1" t="s">
        <v>1828</v>
      </c>
      <c r="I9034">
        <v>2</v>
      </c>
      <c r="J9034">
        <f>IF($H9034=0,1,IF($I9034&lt;=1,2,0))</f>
        <v>0</v>
      </c>
      <c r="K9034">
        <v>5</v>
      </c>
      <c r="L9034">
        <f>IF(AND($J9034=0,$K9034=0),0,1)</f>
        <v>1</v>
      </c>
      <c r="M9034" t="s">
        <v>414</v>
      </c>
    </row>
    <row r="9035" spans="1:13" x14ac:dyDescent="0.2">
      <c r="A9035" t="s">
        <v>416</v>
      </c>
      <c r="B9035" t="s">
        <v>17</v>
      </c>
      <c r="C9035" t="s">
        <v>9</v>
      </c>
      <c r="D9035">
        <v>2101</v>
      </c>
      <c r="E9035">
        <v>2019</v>
      </c>
      <c r="F9035">
        <v>1</v>
      </c>
      <c r="G9035">
        <v>54505</v>
      </c>
      <c r="H9035" s="1">
        <v>4</v>
      </c>
      <c r="I9035">
        <v>1</v>
      </c>
      <c r="J9035">
        <f>IF($H9035=0,1,IF($I9035&lt;=1,2,0))</f>
        <v>2</v>
      </c>
      <c r="K9035">
        <v>0</v>
      </c>
      <c r="L9035">
        <f>IF(AND($J9035=0,$K9035=0),0,1)</f>
        <v>1</v>
      </c>
    </row>
    <row r="9036" spans="1:13" x14ac:dyDescent="0.2">
      <c r="A9036" t="s">
        <v>417</v>
      </c>
      <c r="B9036" t="s">
        <v>17</v>
      </c>
      <c r="C9036" t="s">
        <v>2</v>
      </c>
      <c r="D9036">
        <v>1001</v>
      </c>
      <c r="E9036">
        <v>2019</v>
      </c>
      <c r="F9036">
        <v>1</v>
      </c>
      <c r="G9036">
        <v>8217</v>
      </c>
      <c r="H9036" s="1">
        <v>4</v>
      </c>
      <c r="I9036">
        <v>17</v>
      </c>
      <c r="J9036">
        <f>IF($H9036=0,1,IF($I9036&lt;=1,2,0))</f>
        <v>0</v>
      </c>
      <c r="K9036">
        <v>7</v>
      </c>
      <c r="L9036">
        <f>IF(AND($J9036=0,$K9036=0),0,1)</f>
        <v>1</v>
      </c>
    </row>
    <row r="9037" spans="1:13" x14ac:dyDescent="0.2">
      <c r="A9037" t="s">
        <v>417</v>
      </c>
      <c r="B9037" t="s">
        <v>17</v>
      </c>
      <c r="C9037" t="s">
        <v>2</v>
      </c>
      <c r="D9037">
        <v>1001</v>
      </c>
      <c r="E9037">
        <v>2019</v>
      </c>
      <c r="F9037">
        <v>2</v>
      </c>
      <c r="G9037">
        <v>8218</v>
      </c>
      <c r="H9037" s="1">
        <v>4</v>
      </c>
      <c r="I9037">
        <v>16</v>
      </c>
      <c r="J9037">
        <f>IF($H9037=0,1,IF($I9037&lt;=1,2,0))</f>
        <v>0</v>
      </c>
      <c r="K9037">
        <v>7</v>
      </c>
      <c r="L9037">
        <f>IF(AND($J9037=0,$K9037=0),0,1)</f>
        <v>1</v>
      </c>
    </row>
    <row r="9038" spans="1:13" x14ac:dyDescent="0.2">
      <c r="A9038" t="s">
        <v>417</v>
      </c>
      <c r="B9038" t="s">
        <v>17</v>
      </c>
      <c r="C9038" t="s">
        <v>2</v>
      </c>
      <c r="D9038">
        <v>1001</v>
      </c>
      <c r="E9038">
        <v>2019</v>
      </c>
      <c r="F9038">
        <v>3</v>
      </c>
      <c r="G9038">
        <v>8219</v>
      </c>
      <c r="H9038" s="1">
        <v>4</v>
      </c>
      <c r="I9038">
        <v>7</v>
      </c>
      <c r="J9038">
        <f>IF($H9038=0,1,IF($I9038&lt;=1,2,0))</f>
        <v>0</v>
      </c>
      <c r="K9038">
        <v>7</v>
      </c>
      <c r="L9038">
        <f>IF(AND($J9038=0,$K9038=0),0,1)</f>
        <v>1</v>
      </c>
    </row>
    <row r="9039" spans="1:13" x14ac:dyDescent="0.2">
      <c r="A9039" t="s">
        <v>417</v>
      </c>
      <c r="B9039" t="s">
        <v>17</v>
      </c>
      <c r="C9039" t="s">
        <v>2</v>
      </c>
      <c r="D9039">
        <v>1102</v>
      </c>
      <c r="E9039">
        <v>2019</v>
      </c>
      <c r="F9039">
        <v>1</v>
      </c>
      <c r="G9039">
        <v>8210</v>
      </c>
      <c r="H9039" s="1">
        <v>3</v>
      </c>
      <c r="I9039">
        <v>12</v>
      </c>
      <c r="J9039">
        <f>IF($H9039=0,1,IF($I9039&lt;=1,2,0))</f>
        <v>0</v>
      </c>
      <c r="K9039">
        <v>7</v>
      </c>
      <c r="L9039">
        <f>IF(AND($J9039=0,$K9039=0),0,1)</f>
        <v>1</v>
      </c>
    </row>
    <row r="9040" spans="1:13" x14ac:dyDescent="0.2">
      <c r="A9040" t="s">
        <v>417</v>
      </c>
      <c r="B9040" t="s">
        <v>17</v>
      </c>
      <c r="C9040" t="s">
        <v>2</v>
      </c>
      <c r="D9040">
        <v>1102</v>
      </c>
      <c r="E9040">
        <v>2019</v>
      </c>
      <c r="F9040">
        <v>2</v>
      </c>
      <c r="G9040">
        <v>8211</v>
      </c>
      <c r="H9040" s="1">
        <v>3</v>
      </c>
      <c r="I9040">
        <v>11</v>
      </c>
      <c r="J9040">
        <f>IF($H9040=0,1,IF($I9040&lt;=1,2,0))</f>
        <v>0</v>
      </c>
      <c r="K9040">
        <v>7</v>
      </c>
      <c r="L9040">
        <f>IF(AND($J9040=0,$K9040=0),0,1)</f>
        <v>1</v>
      </c>
    </row>
    <row r="9041" spans="1:13" x14ac:dyDescent="0.2">
      <c r="A9041" t="s">
        <v>417</v>
      </c>
      <c r="B9041" t="s">
        <v>17</v>
      </c>
      <c r="C9041" t="s">
        <v>2</v>
      </c>
      <c r="D9041">
        <v>1203</v>
      </c>
      <c r="E9041">
        <v>2019</v>
      </c>
      <c r="F9041">
        <v>3</v>
      </c>
      <c r="G9041">
        <v>8213</v>
      </c>
      <c r="H9041" s="1">
        <v>3</v>
      </c>
      <c r="I9041">
        <v>18</v>
      </c>
      <c r="J9041">
        <f>IF($H9041=0,1,IF($I9041&lt;=1,2,0))</f>
        <v>0</v>
      </c>
      <c r="K9041">
        <v>7</v>
      </c>
      <c r="L9041">
        <f>IF(AND($J9041=0,$K9041=0),0,1)</f>
        <v>1</v>
      </c>
    </row>
    <row r="9042" spans="1:13" x14ac:dyDescent="0.2">
      <c r="A9042" t="s">
        <v>417</v>
      </c>
      <c r="B9042" t="s">
        <v>17</v>
      </c>
      <c r="C9042" t="s">
        <v>2</v>
      </c>
      <c r="D9042">
        <v>1203</v>
      </c>
      <c r="E9042">
        <v>2019</v>
      </c>
      <c r="F9042">
        <v>1</v>
      </c>
      <c r="G9042">
        <v>8212</v>
      </c>
      <c r="H9042" s="1">
        <v>3</v>
      </c>
      <c r="I9042">
        <v>12</v>
      </c>
      <c r="J9042">
        <f>IF($H9042=0,1,IF($I9042&lt;=1,2,0))</f>
        <v>0</v>
      </c>
      <c r="K9042">
        <v>7</v>
      </c>
      <c r="L9042">
        <f>IF(AND($J9042=0,$K9042=0),0,1)</f>
        <v>1</v>
      </c>
    </row>
    <row r="9043" spans="1:13" x14ac:dyDescent="0.2">
      <c r="A9043" t="s">
        <v>417</v>
      </c>
      <c r="B9043" t="s">
        <v>17</v>
      </c>
      <c r="C9043" t="s">
        <v>2</v>
      </c>
      <c r="D9043">
        <v>1203</v>
      </c>
      <c r="E9043">
        <v>2019</v>
      </c>
      <c r="F9043">
        <v>5</v>
      </c>
      <c r="G9043">
        <v>8215</v>
      </c>
      <c r="H9043" s="1">
        <v>3</v>
      </c>
      <c r="I9043">
        <v>12</v>
      </c>
      <c r="J9043">
        <f>IF($H9043=0,1,IF($I9043&lt;=1,2,0))</f>
        <v>0</v>
      </c>
      <c r="K9043">
        <v>7</v>
      </c>
      <c r="L9043">
        <f>IF(AND($J9043=0,$K9043=0),0,1)</f>
        <v>1</v>
      </c>
    </row>
    <row r="9044" spans="1:13" x14ac:dyDescent="0.2">
      <c r="A9044" t="s">
        <v>417</v>
      </c>
      <c r="B9044" t="s">
        <v>17</v>
      </c>
      <c r="C9044" t="s">
        <v>2</v>
      </c>
      <c r="D9044">
        <v>1203</v>
      </c>
      <c r="E9044">
        <v>2019</v>
      </c>
      <c r="F9044">
        <v>6</v>
      </c>
      <c r="G9044">
        <v>198</v>
      </c>
      <c r="H9044" s="1">
        <v>3</v>
      </c>
      <c r="I9044">
        <v>12</v>
      </c>
      <c r="J9044">
        <f>IF($H9044=0,1,IF($I9044&lt;=1,2,0))</f>
        <v>0</v>
      </c>
      <c r="K9044">
        <v>7</v>
      </c>
      <c r="L9044">
        <f>IF(AND($J9044=0,$K9044=0),0,1)</f>
        <v>1</v>
      </c>
    </row>
    <row r="9045" spans="1:13" x14ac:dyDescent="0.2">
      <c r="A9045" t="s">
        <v>417</v>
      </c>
      <c r="B9045" t="s">
        <v>17</v>
      </c>
      <c r="C9045" t="s">
        <v>2</v>
      </c>
      <c r="D9045">
        <v>1203</v>
      </c>
      <c r="E9045">
        <v>2019</v>
      </c>
      <c r="F9045">
        <v>4</v>
      </c>
      <c r="G9045">
        <v>8214</v>
      </c>
      <c r="H9045" s="1">
        <v>3</v>
      </c>
      <c r="I9045">
        <v>6</v>
      </c>
      <c r="J9045">
        <f>IF($H9045=0,1,IF($I9045&lt;=1,2,0))</f>
        <v>0</v>
      </c>
      <c r="K9045">
        <v>7</v>
      </c>
      <c r="L9045">
        <f>IF(AND($J9045=0,$K9045=0),0,1)</f>
        <v>1</v>
      </c>
    </row>
    <row r="9046" spans="1:13" x14ac:dyDescent="0.2">
      <c r="A9046" t="s">
        <v>417</v>
      </c>
      <c r="B9046" t="s">
        <v>17</v>
      </c>
      <c r="C9046" t="s">
        <v>2</v>
      </c>
      <c r="D9046">
        <v>1204</v>
      </c>
      <c r="E9046">
        <v>2019</v>
      </c>
      <c r="F9046">
        <v>3</v>
      </c>
      <c r="G9046">
        <v>8232</v>
      </c>
      <c r="H9046" s="1">
        <v>3</v>
      </c>
      <c r="I9046">
        <v>16</v>
      </c>
      <c r="J9046">
        <f>IF($H9046=0,1,IF($I9046&lt;=1,2,0))</f>
        <v>0</v>
      </c>
      <c r="K9046">
        <v>7</v>
      </c>
      <c r="L9046">
        <f>IF(AND($J9046=0,$K9046=0),0,1)</f>
        <v>1</v>
      </c>
    </row>
    <row r="9047" spans="1:13" x14ac:dyDescent="0.2">
      <c r="A9047" t="s">
        <v>417</v>
      </c>
      <c r="B9047" t="s">
        <v>17</v>
      </c>
      <c r="C9047" t="s">
        <v>2</v>
      </c>
      <c r="D9047">
        <v>1204</v>
      </c>
      <c r="E9047">
        <v>2019</v>
      </c>
      <c r="F9047">
        <v>4</v>
      </c>
      <c r="G9047">
        <v>8233</v>
      </c>
      <c r="H9047" s="1">
        <v>3</v>
      </c>
      <c r="I9047">
        <v>11</v>
      </c>
      <c r="J9047">
        <f>IF($H9047=0,1,IF($I9047&lt;=1,2,0))</f>
        <v>0</v>
      </c>
      <c r="K9047">
        <v>7</v>
      </c>
      <c r="L9047">
        <f>IF(AND($J9047=0,$K9047=0),0,1)</f>
        <v>1</v>
      </c>
    </row>
    <row r="9048" spans="1:13" x14ac:dyDescent="0.2">
      <c r="A9048" t="s">
        <v>417</v>
      </c>
      <c r="B9048" t="s">
        <v>17</v>
      </c>
      <c r="C9048" t="s">
        <v>2</v>
      </c>
      <c r="D9048">
        <v>1204</v>
      </c>
      <c r="E9048">
        <v>2019</v>
      </c>
      <c r="F9048">
        <v>1</v>
      </c>
      <c r="G9048">
        <v>8230</v>
      </c>
      <c r="H9048" s="1">
        <v>3</v>
      </c>
      <c r="I9048">
        <v>10</v>
      </c>
      <c r="J9048">
        <f>IF($H9048=0,1,IF($I9048&lt;=1,2,0))</f>
        <v>0</v>
      </c>
      <c r="K9048">
        <v>7</v>
      </c>
      <c r="L9048">
        <f>IF(AND($J9048=0,$K9048=0),0,1)</f>
        <v>1</v>
      </c>
    </row>
    <row r="9049" spans="1:13" x14ac:dyDescent="0.2">
      <c r="A9049" t="s">
        <v>417</v>
      </c>
      <c r="B9049" t="s">
        <v>17</v>
      </c>
      <c r="C9049" t="s">
        <v>2</v>
      </c>
      <c r="D9049">
        <v>1204</v>
      </c>
      <c r="E9049">
        <v>2019</v>
      </c>
      <c r="F9049">
        <v>2</v>
      </c>
      <c r="G9049">
        <v>8231</v>
      </c>
      <c r="H9049" s="1">
        <v>3</v>
      </c>
      <c r="I9049">
        <v>7</v>
      </c>
      <c r="J9049">
        <f>IF($H9049=0,1,IF($I9049&lt;=1,2,0))</f>
        <v>0</v>
      </c>
      <c r="K9049">
        <v>7</v>
      </c>
      <c r="L9049">
        <f>IF(AND($J9049=0,$K9049=0),0,1)</f>
        <v>1</v>
      </c>
    </row>
    <row r="9050" spans="1:13" x14ac:dyDescent="0.2">
      <c r="A9050" t="s">
        <v>417</v>
      </c>
      <c r="B9050" t="s">
        <v>17</v>
      </c>
      <c r="C9050" t="s">
        <v>9</v>
      </c>
      <c r="D9050">
        <v>2101</v>
      </c>
      <c r="E9050">
        <v>2019</v>
      </c>
      <c r="F9050">
        <v>5</v>
      </c>
      <c r="G9050">
        <v>50970</v>
      </c>
      <c r="H9050" s="1">
        <v>4</v>
      </c>
      <c r="I9050">
        <v>3</v>
      </c>
      <c r="J9050">
        <f>IF($H9050=0,1,IF($I9050&lt;=1,2,0))</f>
        <v>0</v>
      </c>
      <c r="K9050">
        <v>4</v>
      </c>
      <c r="L9050">
        <f>IF(AND($J9050=0,$K9050=0),0,1)</f>
        <v>1</v>
      </c>
      <c r="M9050" t="s">
        <v>418</v>
      </c>
    </row>
    <row r="9051" spans="1:13" x14ac:dyDescent="0.2">
      <c r="A9051" t="s">
        <v>417</v>
      </c>
      <c r="B9051" t="s">
        <v>17</v>
      </c>
      <c r="C9051" t="s">
        <v>2</v>
      </c>
      <c r="D9051">
        <v>3006</v>
      </c>
      <c r="E9051">
        <v>2019</v>
      </c>
      <c r="F9051">
        <v>1</v>
      </c>
      <c r="G9051">
        <v>8221</v>
      </c>
      <c r="H9051" s="1">
        <v>3</v>
      </c>
      <c r="I9051">
        <v>11</v>
      </c>
      <c r="J9051">
        <f>IF($H9051=0,1,IF($I9051&lt;=1,2,0))</f>
        <v>0</v>
      </c>
      <c r="K9051">
        <v>7</v>
      </c>
      <c r="L9051">
        <f>IF(AND($J9051=0,$K9051=0),0,1)</f>
        <v>1</v>
      </c>
    </row>
    <row r="9052" spans="1:13" x14ac:dyDescent="0.2">
      <c r="A9052" t="s">
        <v>417</v>
      </c>
      <c r="B9052" t="s">
        <v>17</v>
      </c>
      <c r="C9052" t="s">
        <v>2</v>
      </c>
      <c r="D9052">
        <v>3006</v>
      </c>
      <c r="E9052">
        <v>2019</v>
      </c>
      <c r="F9052">
        <v>4</v>
      </c>
      <c r="G9052">
        <v>8223</v>
      </c>
      <c r="H9052" s="1">
        <v>3</v>
      </c>
      <c r="I9052">
        <v>11</v>
      </c>
      <c r="J9052">
        <f>IF($H9052=0,1,IF($I9052&lt;=1,2,0))</f>
        <v>0</v>
      </c>
      <c r="K9052">
        <v>7</v>
      </c>
      <c r="L9052">
        <f>IF(AND($J9052=0,$K9052=0),0,1)</f>
        <v>1</v>
      </c>
    </row>
    <row r="9053" spans="1:13" x14ac:dyDescent="0.2">
      <c r="A9053" t="s">
        <v>417</v>
      </c>
      <c r="B9053" t="s">
        <v>17</v>
      </c>
      <c r="C9053" t="s">
        <v>2</v>
      </c>
      <c r="D9053">
        <v>3006</v>
      </c>
      <c r="E9053">
        <v>2019</v>
      </c>
      <c r="F9053">
        <v>2</v>
      </c>
      <c r="G9053">
        <v>8222</v>
      </c>
      <c r="H9053" s="1">
        <v>3</v>
      </c>
      <c r="I9053">
        <v>8</v>
      </c>
      <c r="J9053">
        <f>IF($H9053=0,1,IF($I9053&lt;=1,2,0))</f>
        <v>0</v>
      </c>
      <c r="K9053">
        <v>7</v>
      </c>
      <c r="L9053">
        <f>IF(AND($J9053=0,$K9053=0),0,1)</f>
        <v>1</v>
      </c>
    </row>
    <row r="9054" spans="1:13" x14ac:dyDescent="0.2">
      <c r="A9054" t="s">
        <v>417</v>
      </c>
      <c r="B9054" t="s">
        <v>17</v>
      </c>
      <c r="C9054" t="s">
        <v>2</v>
      </c>
      <c r="D9054">
        <v>3014</v>
      </c>
      <c r="E9054">
        <v>2019</v>
      </c>
      <c r="F9054">
        <v>1</v>
      </c>
      <c r="G9054">
        <v>8227</v>
      </c>
      <c r="H9054" s="1">
        <v>3</v>
      </c>
      <c r="I9054">
        <v>5</v>
      </c>
      <c r="J9054">
        <f>IF($H9054=0,1,IF($I9054&lt;=1,2,0))</f>
        <v>0</v>
      </c>
      <c r="K9054">
        <v>7</v>
      </c>
      <c r="L9054">
        <f>IF(AND($J9054=0,$K9054=0),0,1)</f>
        <v>1</v>
      </c>
    </row>
    <row r="9055" spans="1:13" x14ac:dyDescent="0.2">
      <c r="A9055" t="s">
        <v>417</v>
      </c>
      <c r="B9055" t="s">
        <v>17</v>
      </c>
      <c r="C9055" t="s">
        <v>2</v>
      </c>
      <c r="D9055">
        <v>3016</v>
      </c>
      <c r="E9055">
        <v>2019</v>
      </c>
      <c r="F9055">
        <v>1</v>
      </c>
      <c r="G9055">
        <v>8228</v>
      </c>
      <c r="H9055" s="1">
        <v>3</v>
      </c>
      <c r="I9055">
        <v>10</v>
      </c>
      <c r="J9055">
        <f>IF($H9055=0,1,IF($I9055&lt;=1,2,0))</f>
        <v>0</v>
      </c>
      <c r="K9055">
        <v>7</v>
      </c>
      <c r="L9055">
        <f>IF(AND($J9055=0,$K9055=0),0,1)</f>
        <v>1</v>
      </c>
    </row>
    <row r="9056" spans="1:13" x14ac:dyDescent="0.2">
      <c r="A9056" t="s">
        <v>417</v>
      </c>
      <c r="B9056" t="s">
        <v>17</v>
      </c>
      <c r="C9056" t="s">
        <v>2</v>
      </c>
      <c r="D9056">
        <v>3021</v>
      </c>
      <c r="E9056">
        <v>2019</v>
      </c>
      <c r="F9056">
        <v>1</v>
      </c>
      <c r="G9056">
        <v>8229</v>
      </c>
      <c r="H9056" s="1">
        <v>3</v>
      </c>
      <c r="I9056">
        <v>24</v>
      </c>
      <c r="J9056">
        <f>IF($H9056=0,1,IF($I9056&lt;=1,2,0))</f>
        <v>0</v>
      </c>
      <c r="K9056">
        <v>7</v>
      </c>
      <c r="L9056">
        <f>IF(AND($J9056=0,$K9056=0),0,1)</f>
        <v>1</v>
      </c>
    </row>
    <row r="9057" spans="1:12" x14ac:dyDescent="0.2">
      <c r="A9057" t="s">
        <v>417</v>
      </c>
      <c r="B9057" t="s">
        <v>17</v>
      </c>
      <c r="C9057" t="s">
        <v>2</v>
      </c>
      <c r="D9057">
        <v>3032</v>
      </c>
      <c r="E9057">
        <v>2019</v>
      </c>
      <c r="F9057">
        <v>1</v>
      </c>
      <c r="G9057">
        <v>8238</v>
      </c>
      <c r="H9057" s="1">
        <v>3</v>
      </c>
      <c r="I9057">
        <v>6</v>
      </c>
      <c r="J9057">
        <f>IF($H9057=0,1,IF($I9057&lt;=1,2,0))</f>
        <v>0</v>
      </c>
      <c r="K9057">
        <v>7</v>
      </c>
      <c r="L9057">
        <f>IF(AND($J9057=0,$K9057=0),0,1)</f>
        <v>1</v>
      </c>
    </row>
    <row r="9058" spans="1:12" x14ac:dyDescent="0.2">
      <c r="A9058" t="s">
        <v>417</v>
      </c>
      <c r="B9058" t="s">
        <v>17</v>
      </c>
      <c r="C9058" t="s">
        <v>2</v>
      </c>
      <c r="D9058">
        <v>3072</v>
      </c>
      <c r="E9058">
        <v>2019</v>
      </c>
      <c r="F9058">
        <v>1</v>
      </c>
      <c r="G9058">
        <v>8216</v>
      </c>
      <c r="H9058" s="1">
        <v>4</v>
      </c>
      <c r="I9058">
        <v>13</v>
      </c>
      <c r="J9058">
        <f>IF($H9058=0,1,IF($I9058&lt;=1,2,0))</f>
        <v>0</v>
      </c>
      <c r="K9058">
        <v>7</v>
      </c>
      <c r="L9058">
        <f>IF(AND($J9058=0,$K9058=0),0,1)</f>
        <v>1</v>
      </c>
    </row>
    <row r="9059" spans="1:12" x14ac:dyDescent="0.2">
      <c r="A9059" t="s">
        <v>417</v>
      </c>
      <c r="B9059" t="s">
        <v>17</v>
      </c>
      <c r="C9059" t="s">
        <v>2</v>
      </c>
      <c r="D9059">
        <v>3105</v>
      </c>
      <c r="E9059">
        <v>2019</v>
      </c>
      <c r="F9059">
        <v>1</v>
      </c>
      <c r="G9059">
        <v>8236</v>
      </c>
      <c r="H9059" s="1">
        <v>3</v>
      </c>
      <c r="I9059">
        <v>18</v>
      </c>
      <c r="J9059">
        <f>IF($H9059=0,1,IF($I9059&lt;=1,2,0))</f>
        <v>0</v>
      </c>
      <c r="K9059">
        <v>7</v>
      </c>
      <c r="L9059">
        <f>IF(AND($J9059=0,$K9059=0),0,1)</f>
        <v>1</v>
      </c>
    </row>
    <row r="9060" spans="1:12" x14ac:dyDescent="0.2">
      <c r="A9060" t="s">
        <v>417</v>
      </c>
      <c r="B9060" t="s">
        <v>17</v>
      </c>
      <c r="C9060" t="s">
        <v>33</v>
      </c>
      <c r="D9060">
        <v>3690</v>
      </c>
      <c r="E9060">
        <v>2019</v>
      </c>
      <c r="F9060">
        <v>1</v>
      </c>
      <c r="G9060">
        <v>19346</v>
      </c>
      <c r="H9060" s="1">
        <v>4</v>
      </c>
      <c r="I9060">
        <v>1</v>
      </c>
      <c r="J9060">
        <f>IF($H9060=0,1,IF($I9060&lt;=1,2,0))</f>
        <v>2</v>
      </c>
      <c r="K9060">
        <v>0</v>
      </c>
      <c r="L9060">
        <f>IF(AND($J9060=0,$K9060=0),0,1)</f>
        <v>1</v>
      </c>
    </row>
    <row r="9061" spans="1:12" x14ac:dyDescent="0.2">
      <c r="A9061" t="s">
        <v>417</v>
      </c>
      <c r="B9061" t="s">
        <v>17</v>
      </c>
      <c r="C9061" t="s">
        <v>61</v>
      </c>
      <c r="D9061">
        <v>3991</v>
      </c>
      <c r="E9061">
        <v>2019</v>
      </c>
      <c r="F9061">
        <v>1</v>
      </c>
      <c r="G9061">
        <v>19271</v>
      </c>
      <c r="H9061" s="1">
        <v>3</v>
      </c>
      <c r="I9061">
        <v>1</v>
      </c>
      <c r="J9061">
        <f>IF($H9061=0,1,IF($I9061&lt;=1,2,0))</f>
        <v>2</v>
      </c>
      <c r="K9061">
        <v>0</v>
      </c>
      <c r="L9061">
        <f>IF(AND($J9061=0,$K9061=0),0,1)</f>
        <v>1</v>
      </c>
    </row>
    <row r="9062" spans="1:12" x14ac:dyDescent="0.2">
      <c r="A9062" t="s">
        <v>417</v>
      </c>
      <c r="B9062" t="s">
        <v>17</v>
      </c>
      <c r="C9062" t="s">
        <v>61</v>
      </c>
      <c r="D9062">
        <v>3991</v>
      </c>
      <c r="E9062">
        <v>2019</v>
      </c>
      <c r="F9062">
        <v>2</v>
      </c>
      <c r="G9062">
        <v>19272</v>
      </c>
      <c r="H9062" s="1">
        <v>3</v>
      </c>
      <c r="I9062">
        <v>1</v>
      </c>
      <c r="J9062">
        <f>IF($H9062=0,1,IF($I9062&lt;=1,2,0))</f>
        <v>2</v>
      </c>
      <c r="K9062">
        <v>0</v>
      </c>
      <c r="L9062">
        <f>IF(AND($J9062=0,$K9062=0),0,1)</f>
        <v>1</v>
      </c>
    </row>
    <row r="9063" spans="1:12" x14ac:dyDescent="0.2">
      <c r="A9063" t="s">
        <v>417</v>
      </c>
      <c r="B9063" t="s">
        <v>17</v>
      </c>
      <c r="C9063" t="s">
        <v>61</v>
      </c>
      <c r="D9063">
        <v>3991</v>
      </c>
      <c r="E9063">
        <v>2019</v>
      </c>
      <c r="F9063">
        <v>4</v>
      </c>
      <c r="G9063">
        <v>19274</v>
      </c>
      <c r="H9063" s="1">
        <v>3</v>
      </c>
      <c r="I9063">
        <v>1</v>
      </c>
      <c r="J9063">
        <f>IF($H9063=0,1,IF($I9063&lt;=1,2,0))</f>
        <v>2</v>
      </c>
      <c r="K9063">
        <v>0</v>
      </c>
      <c r="L9063">
        <f>IF(AND($J9063=0,$K9063=0),0,1)</f>
        <v>1</v>
      </c>
    </row>
    <row r="9064" spans="1:12" x14ac:dyDescent="0.2">
      <c r="A9064" t="s">
        <v>417</v>
      </c>
      <c r="B9064" t="s">
        <v>17</v>
      </c>
      <c r="C9064" t="s">
        <v>61</v>
      </c>
      <c r="D9064">
        <v>3991</v>
      </c>
      <c r="E9064">
        <v>2019</v>
      </c>
      <c r="F9064">
        <v>5</v>
      </c>
      <c r="G9064">
        <v>19275</v>
      </c>
      <c r="H9064" s="1">
        <v>3</v>
      </c>
      <c r="I9064">
        <v>1</v>
      </c>
      <c r="J9064">
        <f>IF($H9064=0,1,IF($I9064&lt;=1,2,0))</f>
        <v>2</v>
      </c>
      <c r="K9064">
        <v>0</v>
      </c>
      <c r="L9064">
        <f>IF(AND($J9064=0,$K9064=0),0,1)</f>
        <v>1</v>
      </c>
    </row>
    <row r="9065" spans="1:12" x14ac:dyDescent="0.2">
      <c r="A9065" t="s">
        <v>417</v>
      </c>
      <c r="B9065" t="s">
        <v>17</v>
      </c>
      <c r="C9065" t="s">
        <v>61</v>
      </c>
      <c r="D9065">
        <v>3991</v>
      </c>
      <c r="E9065">
        <v>2019</v>
      </c>
      <c r="F9065">
        <v>6</v>
      </c>
      <c r="G9065">
        <v>19276</v>
      </c>
      <c r="H9065" s="1">
        <v>3</v>
      </c>
      <c r="I9065">
        <v>1</v>
      </c>
      <c r="J9065">
        <f>IF($H9065=0,1,IF($I9065&lt;=1,2,0))</f>
        <v>2</v>
      </c>
      <c r="K9065">
        <v>0</v>
      </c>
      <c r="L9065">
        <f>IF(AND($J9065=0,$K9065=0),0,1)</f>
        <v>1</v>
      </c>
    </row>
    <row r="9066" spans="1:12" x14ac:dyDescent="0.2">
      <c r="A9066" t="s">
        <v>417</v>
      </c>
      <c r="B9066" t="s">
        <v>17</v>
      </c>
      <c r="C9066" t="s">
        <v>61</v>
      </c>
      <c r="D9066">
        <v>3991</v>
      </c>
      <c r="E9066">
        <v>2019</v>
      </c>
      <c r="F9066">
        <v>7</v>
      </c>
      <c r="G9066">
        <v>19277</v>
      </c>
      <c r="H9066" s="1">
        <v>3</v>
      </c>
      <c r="I9066">
        <v>0</v>
      </c>
      <c r="J9066">
        <f>IF($H9066=0,1,IF($I9066&lt;=1,2,0))</f>
        <v>2</v>
      </c>
      <c r="K9066">
        <v>0</v>
      </c>
      <c r="L9066">
        <f>IF(AND($J9066=0,$K9066=0),0,1)</f>
        <v>1</v>
      </c>
    </row>
    <row r="9067" spans="1:12" x14ac:dyDescent="0.2">
      <c r="A9067" t="s">
        <v>417</v>
      </c>
      <c r="B9067" t="s">
        <v>17</v>
      </c>
      <c r="C9067" t="s">
        <v>33</v>
      </c>
      <c r="D9067">
        <v>3997</v>
      </c>
      <c r="E9067">
        <v>2019</v>
      </c>
      <c r="F9067">
        <v>2</v>
      </c>
      <c r="G9067">
        <v>19304</v>
      </c>
      <c r="H9067" s="1">
        <v>4</v>
      </c>
      <c r="I9067">
        <v>1</v>
      </c>
      <c r="J9067">
        <f>IF($H9067=0,1,IF($I9067&lt;=1,2,0))</f>
        <v>2</v>
      </c>
      <c r="K9067">
        <v>9</v>
      </c>
      <c r="L9067">
        <f>IF(AND($J9067=0,$K9067=0),0,1)</f>
        <v>1</v>
      </c>
    </row>
    <row r="9068" spans="1:12" x14ac:dyDescent="0.2">
      <c r="A9068" t="s">
        <v>417</v>
      </c>
      <c r="B9068" t="s">
        <v>17</v>
      </c>
      <c r="C9068" t="s">
        <v>33</v>
      </c>
      <c r="D9068">
        <v>3997</v>
      </c>
      <c r="E9068">
        <v>2019</v>
      </c>
      <c r="F9068">
        <v>3</v>
      </c>
      <c r="G9068">
        <v>19305</v>
      </c>
      <c r="H9068" s="1">
        <v>4</v>
      </c>
      <c r="I9068">
        <v>1</v>
      </c>
      <c r="J9068">
        <f>IF($H9068=0,1,IF($I9068&lt;=1,2,0))</f>
        <v>2</v>
      </c>
      <c r="K9068">
        <v>9</v>
      </c>
      <c r="L9068">
        <f>IF(AND($J9068=0,$K9068=0),0,1)</f>
        <v>1</v>
      </c>
    </row>
    <row r="9069" spans="1:12" x14ac:dyDescent="0.2">
      <c r="A9069" t="s">
        <v>417</v>
      </c>
      <c r="B9069" t="s">
        <v>17</v>
      </c>
      <c r="C9069" t="s">
        <v>9</v>
      </c>
      <c r="D9069">
        <v>3998</v>
      </c>
      <c r="E9069">
        <v>2019</v>
      </c>
      <c r="F9069">
        <v>3</v>
      </c>
      <c r="G9069">
        <v>18701</v>
      </c>
      <c r="H9069" s="1">
        <v>4</v>
      </c>
      <c r="I9069">
        <v>2</v>
      </c>
      <c r="J9069">
        <f>IF($H9069=0,1,IF($I9069&lt;=1,2,0))</f>
        <v>0</v>
      </c>
      <c r="K9069">
        <v>9</v>
      </c>
      <c r="L9069">
        <f>IF(AND($J9069=0,$K9069=0),0,1)</f>
        <v>1</v>
      </c>
    </row>
    <row r="9070" spans="1:12" x14ac:dyDescent="0.2">
      <c r="A9070" t="s">
        <v>417</v>
      </c>
      <c r="B9070" t="s">
        <v>17</v>
      </c>
      <c r="C9070" t="s">
        <v>9</v>
      </c>
      <c r="D9070">
        <v>3998</v>
      </c>
      <c r="E9070">
        <v>2019</v>
      </c>
      <c r="F9070">
        <v>1</v>
      </c>
      <c r="G9070">
        <v>50921</v>
      </c>
      <c r="H9070" s="1">
        <v>1</v>
      </c>
      <c r="I9070">
        <v>1</v>
      </c>
      <c r="J9070">
        <f>IF($H9070=0,1,IF($I9070&lt;=1,2,0))</f>
        <v>2</v>
      </c>
      <c r="K9070">
        <v>9</v>
      </c>
      <c r="L9070">
        <f>IF(AND($J9070=0,$K9070=0),0,1)</f>
        <v>1</v>
      </c>
    </row>
    <row r="9071" spans="1:12" x14ac:dyDescent="0.2">
      <c r="A9071" t="s">
        <v>417</v>
      </c>
      <c r="B9071" t="s">
        <v>17</v>
      </c>
      <c r="C9071" t="s">
        <v>9</v>
      </c>
      <c r="D9071">
        <v>3998</v>
      </c>
      <c r="E9071">
        <v>2019</v>
      </c>
      <c r="F9071">
        <v>2</v>
      </c>
      <c r="G9071">
        <v>18241</v>
      </c>
      <c r="H9071" s="1">
        <v>1</v>
      </c>
      <c r="I9071">
        <v>1</v>
      </c>
      <c r="J9071">
        <f>IF($H9071=0,1,IF($I9071&lt;=1,2,0))</f>
        <v>2</v>
      </c>
      <c r="K9071">
        <v>9</v>
      </c>
      <c r="L9071">
        <f>IF(AND($J9071=0,$K9071=0),0,1)</f>
        <v>1</v>
      </c>
    </row>
    <row r="9072" spans="1:12" x14ac:dyDescent="0.2">
      <c r="A9072" t="s">
        <v>417</v>
      </c>
      <c r="B9072" t="s">
        <v>17</v>
      </c>
      <c r="C9072" t="s">
        <v>11</v>
      </c>
      <c r="D9072">
        <v>4998</v>
      </c>
      <c r="E9072">
        <v>2019</v>
      </c>
      <c r="F9072">
        <v>2</v>
      </c>
      <c r="G9072">
        <v>50982</v>
      </c>
      <c r="H9072" s="1">
        <v>3</v>
      </c>
      <c r="I9072">
        <v>3</v>
      </c>
      <c r="J9072">
        <f>IF($H9072=0,1,IF($I9072&lt;=1,2,0))</f>
        <v>0</v>
      </c>
      <c r="K9072">
        <v>9</v>
      </c>
      <c r="L9072">
        <f>IF(AND($J9072=0,$K9072=0),0,1)</f>
        <v>1</v>
      </c>
    </row>
    <row r="9073" spans="1:13" x14ac:dyDescent="0.2">
      <c r="A9073" t="s">
        <v>417</v>
      </c>
      <c r="B9073" t="s">
        <v>17</v>
      </c>
      <c r="C9073" t="s">
        <v>11</v>
      </c>
      <c r="D9073">
        <v>8092</v>
      </c>
      <c r="E9073">
        <v>2019</v>
      </c>
      <c r="F9073">
        <v>1</v>
      </c>
      <c r="G9073">
        <v>50940</v>
      </c>
      <c r="H9073" s="1">
        <v>6</v>
      </c>
      <c r="I9073">
        <v>0</v>
      </c>
      <c r="J9073">
        <f>IF($H9073=0,1,IF($I9073&lt;=1,2,0))</f>
        <v>2</v>
      </c>
      <c r="K9073">
        <v>4</v>
      </c>
      <c r="L9073">
        <f>IF(AND($J9073=0,$K9073=0),0,1)</f>
        <v>1</v>
      </c>
    </row>
    <row r="9074" spans="1:13" x14ac:dyDescent="0.2">
      <c r="A9074" t="s">
        <v>421</v>
      </c>
      <c r="B9074" t="s">
        <v>1</v>
      </c>
      <c r="C9074" t="s">
        <v>2</v>
      </c>
      <c r="D9074">
        <v>1189</v>
      </c>
      <c r="E9074">
        <v>2019</v>
      </c>
      <c r="F9074">
        <v>1</v>
      </c>
      <c r="G9074">
        <v>8318</v>
      </c>
      <c r="H9074" s="1">
        <v>3</v>
      </c>
      <c r="I9074">
        <v>16</v>
      </c>
      <c r="J9074">
        <f>IF($H9074=0,1,IF($I9074&lt;=1,2,0))</f>
        <v>0</v>
      </c>
      <c r="K9074">
        <v>7</v>
      </c>
      <c r="L9074">
        <f>IF(AND($J9074=0,$K9074=0),0,1)</f>
        <v>1</v>
      </c>
      <c r="M9074" t="s">
        <v>422</v>
      </c>
    </row>
    <row r="9075" spans="1:13" x14ac:dyDescent="0.2">
      <c r="A9075" t="s">
        <v>421</v>
      </c>
      <c r="B9075" t="s">
        <v>1</v>
      </c>
      <c r="C9075" t="s">
        <v>2</v>
      </c>
      <c r="D9075">
        <v>1286</v>
      </c>
      <c r="E9075">
        <v>2019</v>
      </c>
      <c r="F9075">
        <v>1</v>
      </c>
      <c r="G9075">
        <v>8328</v>
      </c>
      <c r="H9075" s="1">
        <v>3</v>
      </c>
      <c r="I9075">
        <v>16</v>
      </c>
      <c r="J9075">
        <f>IF($H9075=0,1,IF($I9075&lt;=1,2,0))</f>
        <v>0</v>
      </c>
      <c r="K9075">
        <v>7</v>
      </c>
      <c r="L9075">
        <f>IF(AND($J9075=0,$K9075=0),0,1)</f>
        <v>1</v>
      </c>
      <c r="M9075" t="s">
        <v>422</v>
      </c>
    </row>
    <row r="9076" spans="1:13" x14ac:dyDescent="0.2">
      <c r="A9076" t="s">
        <v>421</v>
      </c>
      <c r="B9076" t="s">
        <v>1</v>
      </c>
      <c r="C9076" t="s">
        <v>2</v>
      </c>
      <c r="D9076">
        <v>1336</v>
      </c>
      <c r="E9076">
        <v>2019</v>
      </c>
      <c r="F9076">
        <v>1</v>
      </c>
      <c r="G9076">
        <v>8330</v>
      </c>
      <c r="H9076" s="1">
        <v>3</v>
      </c>
      <c r="I9076">
        <v>16</v>
      </c>
      <c r="J9076">
        <f>IF($H9076=0,1,IF($I9076&lt;=1,2,0))</f>
        <v>0</v>
      </c>
      <c r="K9076">
        <v>7</v>
      </c>
      <c r="L9076">
        <f>IF(AND($J9076=0,$K9076=0),0,1)</f>
        <v>1</v>
      </c>
      <c r="M9076" t="s">
        <v>422</v>
      </c>
    </row>
    <row r="9077" spans="1:13" x14ac:dyDescent="0.2">
      <c r="A9077" t="s">
        <v>421</v>
      </c>
      <c r="B9077" t="s">
        <v>1</v>
      </c>
      <c r="C9077" t="s">
        <v>2</v>
      </c>
      <c r="D9077">
        <v>1460</v>
      </c>
      <c r="E9077">
        <v>2019</v>
      </c>
      <c r="F9077">
        <v>1</v>
      </c>
      <c r="G9077">
        <v>8329</v>
      </c>
      <c r="H9077" s="1">
        <v>3</v>
      </c>
      <c r="I9077">
        <v>16</v>
      </c>
      <c r="J9077">
        <f>IF($H9077=0,1,IF($I9077&lt;=1,2,0))</f>
        <v>0</v>
      </c>
      <c r="K9077">
        <v>7</v>
      </c>
      <c r="L9077">
        <f>IF(AND($J9077=0,$K9077=0),0,1)</f>
        <v>1</v>
      </c>
      <c r="M9077" t="s">
        <v>422</v>
      </c>
    </row>
    <row r="9078" spans="1:13" x14ac:dyDescent="0.2">
      <c r="A9078" t="s">
        <v>421</v>
      </c>
      <c r="B9078" t="s">
        <v>1</v>
      </c>
      <c r="C9078" t="s">
        <v>2</v>
      </c>
      <c r="D9078">
        <v>1465</v>
      </c>
      <c r="E9078">
        <v>2019</v>
      </c>
      <c r="F9078">
        <v>1</v>
      </c>
      <c r="G9078">
        <v>8319</v>
      </c>
      <c r="H9078" s="1">
        <v>3</v>
      </c>
      <c r="I9078">
        <v>15</v>
      </c>
      <c r="J9078">
        <f>IF($H9078=0,1,IF($I9078&lt;=1,2,0))</f>
        <v>0</v>
      </c>
      <c r="K9078">
        <v>7</v>
      </c>
      <c r="L9078">
        <f>IF(AND($J9078=0,$K9078=0),0,1)</f>
        <v>1</v>
      </c>
      <c r="M9078" t="s">
        <v>422</v>
      </c>
    </row>
    <row r="9079" spans="1:13" x14ac:dyDescent="0.2">
      <c r="A9079" t="s">
        <v>421</v>
      </c>
      <c r="B9079" t="s">
        <v>1</v>
      </c>
      <c r="C9079" t="s">
        <v>2</v>
      </c>
      <c r="D9079">
        <v>1469</v>
      </c>
      <c r="E9079">
        <v>2019</v>
      </c>
      <c r="F9079">
        <v>1</v>
      </c>
      <c r="G9079">
        <v>8331</v>
      </c>
      <c r="H9079" s="1">
        <v>3</v>
      </c>
      <c r="I9079">
        <v>16</v>
      </c>
      <c r="J9079">
        <f>IF($H9079=0,1,IF($I9079&lt;=1,2,0))</f>
        <v>0</v>
      </c>
      <c r="K9079">
        <v>7</v>
      </c>
      <c r="L9079">
        <f>IF(AND($J9079=0,$K9079=0),0,1)</f>
        <v>1</v>
      </c>
      <c r="M9079" t="s">
        <v>422</v>
      </c>
    </row>
    <row r="9080" spans="1:13" x14ac:dyDescent="0.2">
      <c r="A9080" t="s">
        <v>421</v>
      </c>
      <c r="B9080" t="s">
        <v>1</v>
      </c>
      <c r="C9080" t="s">
        <v>2</v>
      </c>
      <c r="D9080">
        <v>1599</v>
      </c>
      <c r="E9080">
        <v>2019</v>
      </c>
      <c r="F9080">
        <v>1</v>
      </c>
      <c r="G9080">
        <v>8333</v>
      </c>
      <c r="H9080" s="1">
        <v>3</v>
      </c>
      <c r="I9080">
        <v>16</v>
      </c>
      <c r="J9080">
        <f>IF($H9080=0,1,IF($I9080&lt;=1,2,0))</f>
        <v>0</v>
      </c>
      <c r="K9080">
        <v>7</v>
      </c>
      <c r="L9080">
        <f>IF(AND($J9080=0,$K9080=0),0,1)</f>
        <v>1</v>
      </c>
      <c r="M9080" t="s">
        <v>422</v>
      </c>
    </row>
    <row r="9081" spans="1:13" x14ac:dyDescent="0.2">
      <c r="A9081" t="s">
        <v>421</v>
      </c>
      <c r="B9081" t="s">
        <v>1</v>
      </c>
      <c r="C9081" t="s">
        <v>2</v>
      </c>
      <c r="D9081">
        <v>1601</v>
      </c>
      <c r="E9081">
        <v>2019</v>
      </c>
      <c r="F9081">
        <v>3</v>
      </c>
      <c r="G9081">
        <v>155</v>
      </c>
      <c r="H9081" s="1">
        <v>3</v>
      </c>
      <c r="I9081">
        <v>18</v>
      </c>
      <c r="J9081">
        <f>IF($H9081=0,1,IF($I9081&lt;=1,2,0))</f>
        <v>0</v>
      </c>
      <c r="K9081">
        <v>7</v>
      </c>
      <c r="L9081">
        <f>IF(AND($J9081=0,$K9081=0),0,1)</f>
        <v>1</v>
      </c>
      <c r="M9081" t="s">
        <v>422</v>
      </c>
    </row>
    <row r="9082" spans="1:13" x14ac:dyDescent="0.2">
      <c r="A9082" t="s">
        <v>421</v>
      </c>
      <c r="B9082" t="s">
        <v>1</v>
      </c>
      <c r="C9082" t="s">
        <v>2</v>
      </c>
      <c r="D9082">
        <v>1601</v>
      </c>
      <c r="E9082">
        <v>2019</v>
      </c>
      <c r="F9082">
        <v>4</v>
      </c>
      <c r="G9082">
        <v>8315</v>
      </c>
      <c r="H9082" s="1">
        <v>3</v>
      </c>
      <c r="I9082">
        <v>18</v>
      </c>
      <c r="J9082">
        <f>IF($H9082=0,1,IF($I9082&lt;=1,2,0))</f>
        <v>0</v>
      </c>
      <c r="K9082">
        <v>7</v>
      </c>
      <c r="L9082">
        <f>IF(AND($J9082=0,$K9082=0),0,1)</f>
        <v>1</v>
      </c>
      <c r="M9082" t="s">
        <v>422</v>
      </c>
    </row>
    <row r="9083" spans="1:13" x14ac:dyDescent="0.2">
      <c r="A9083" t="s">
        <v>421</v>
      </c>
      <c r="B9083" t="s">
        <v>1</v>
      </c>
      <c r="C9083" t="s">
        <v>2</v>
      </c>
      <c r="D9083">
        <v>1601</v>
      </c>
      <c r="E9083">
        <v>2019</v>
      </c>
      <c r="F9083">
        <v>2</v>
      </c>
      <c r="G9083">
        <v>8313</v>
      </c>
      <c r="H9083" s="1">
        <v>3</v>
      </c>
      <c r="I9083">
        <v>16</v>
      </c>
      <c r="J9083">
        <f>IF($H9083=0,1,IF($I9083&lt;=1,2,0))</f>
        <v>0</v>
      </c>
      <c r="K9083">
        <v>7</v>
      </c>
      <c r="L9083">
        <f>IF(AND($J9083=0,$K9083=0),0,1)</f>
        <v>1</v>
      </c>
      <c r="M9083" t="s">
        <v>422</v>
      </c>
    </row>
    <row r="9084" spans="1:13" x14ac:dyDescent="0.2">
      <c r="A9084" t="s">
        <v>421</v>
      </c>
      <c r="B9084" t="s">
        <v>1</v>
      </c>
      <c r="C9084" t="s">
        <v>2</v>
      </c>
      <c r="D9084">
        <v>1709</v>
      </c>
      <c r="E9084">
        <v>2019</v>
      </c>
      <c r="F9084">
        <v>1</v>
      </c>
      <c r="G9084">
        <v>125</v>
      </c>
      <c r="H9084" s="1">
        <v>3</v>
      </c>
      <c r="I9084">
        <v>16</v>
      </c>
      <c r="J9084">
        <f>IF($H9084=0,1,IF($I9084&lt;=1,2,0))</f>
        <v>0</v>
      </c>
      <c r="K9084">
        <v>7</v>
      </c>
      <c r="L9084">
        <f>IF(AND($J9084=0,$K9084=0),0,1)</f>
        <v>1</v>
      </c>
      <c r="M9084" t="s">
        <v>422</v>
      </c>
    </row>
    <row r="9085" spans="1:13" x14ac:dyDescent="0.2">
      <c r="A9085" t="s">
        <v>421</v>
      </c>
      <c r="B9085" t="s">
        <v>1</v>
      </c>
      <c r="C9085" t="s">
        <v>2</v>
      </c>
      <c r="D9085">
        <v>1719</v>
      </c>
      <c r="E9085">
        <v>2019</v>
      </c>
      <c r="F9085">
        <v>1</v>
      </c>
      <c r="G9085">
        <v>8326</v>
      </c>
      <c r="H9085" s="1">
        <v>3</v>
      </c>
      <c r="I9085">
        <v>16</v>
      </c>
      <c r="J9085">
        <f>IF($H9085=0,1,IF($I9085&lt;=1,2,0))</f>
        <v>0</v>
      </c>
      <c r="K9085">
        <v>7</v>
      </c>
      <c r="L9085">
        <f>IF(AND($J9085=0,$K9085=0),0,1)</f>
        <v>1</v>
      </c>
      <c r="M9085" t="s">
        <v>422</v>
      </c>
    </row>
    <row r="9086" spans="1:13" x14ac:dyDescent="0.2">
      <c r="A9086" t="s">
        <v>421</v>
      </c>
      <c r="B9086" t="s">
        <v>1</v>
      </c>
      <c r="C9086" t="s">
        <v>2</v>
      </c>
      <c r="D9086">
        <v>1721</v>
      </c>
      <c r="E9086">
        <v>2019</v>
      </c>
      <c r="F9086">
        <v>1</v>
      </c>
      <c r="G9086">
        <v>8327</v>
      </c>
      <c r="H9086" s="1">
        <v>3</v>
      </c>
      <c r="I9086">
        <v>16</v>
      </c>
      <c r="J9086">
        <f>IF($H9086=0,1,IF($I9086&lt;=1,2,0))</f>
        <v>0</v>
      </c>
      <c r="K9086">
        <v>7</v>
      </c>
      <c r="L9086">
        <f>IF(AND($J9086=0,$K9086=0),0,1)</f>
        <v>1</v>
      </c>
      <c r="M9086" t="s">
        <v>422</v>
      </c>
    </row>
    <row r="9087" spans="1:13" x14ac:dyDescent="0.2">
      <c r="A9087" t="s">
        <v>421</v>
      </c>
      <c r="B9087" t="s">
        <v>1</v>
      </c>
      <c r="C9087" t="s">
        <v>2</v>
      </c>
      <c r="D9087">
        <v>1722</v>
      </c>
      <c r="E9087">
        <v>2019</v>
      </c>
      <c r="F9087">
        <v>1</v>
      </c>
      <c r="G9087">
        <v>8311</v>
      </c>
      <c r="H9087" s="1">
        <v>3</v>
      </c>
      <c r="I9087">
        <v>16</v>
      </c>
      <c r="J9087">
        <f>IF($H9087=0,1,IF($I9087&lt;=1,2,0))</f>
        <v>0</v>
      </c>
      <c r="K9087">
        <v>7</v>
      </c>
      <c r="L9087">
        <f>IF(AND($J9087=0,$K9087=0),0,1)</f>
        <v>1</v>
      </c>
      <c r="M9087" t="s">
        <v>422</v>
      </c>
    </row>
    <row r="9088" spans="1:13" x14ac:dyDescent="0.2">
      <c r="A9088" t="s">
        <v>421</v>
      </c>
      <c r="B9088" t="s">
        <v>1</v>
      </c>
      <c r="C9088" t="s">
        <v>2</v>
      </c>
      <c r="D9088">
        <v>1723</v>
      </c>
      <c r="E9088">
        <v>2019</v>
      </c>
      <c r="F9088">
        <v>1</v>
      </c>
      <c r="G9088">
        <v>8324</v>
      </c>
      <c r="H9088" s="1">
        <v>3</v>
      </c>
      <c r="I9088">
        <v>16</v>
      </c>
      <c r="J9088">
        <f>IF($H9088=0,1,IF($I9088&lt;=1,2,0))</f>
        <v>0</v>
      </c>
      <c r="K9088">
        <v>7</v>
      </c>
      <c r="L9088">
        <f>IF(AND($J9088=0,$K9088=0),0,1)</f>
        <v>1</v>
      </c>
      <c r="M9088" t="s">
        <v>422</v>
      </c>
    </row>
    <row r="9089" spans="1:13" x14ac:dyDescent="0.2">
      <c r="A9089" t="s">
        <v>421</v>
      </c>
      <c r="B9089" t="s">
        <v>1</v>
      </c>
      <c r="C9089" t="s">
        <v>2</v>
      </c>
      <c r="D9089">
        <v>1724</v>
      </c>
      <c r="E9089">
        <v>2019</v>
      </c>
      <c r="F9089">
        <v>1</v>
      </c>
      <c r="G9089">
        <v>156</v>
      </c>
      <c r="H9089" s="1">
        <v>3</v>
      </c>
      <c r="I9089">
        <v>16</v>
      </c>
      <c r="J9089">
        <f>IF($H9089=0,1,IF($I9089&lt;=1,2,0))</f>
        <v>0</v>
      </c>
      <c r="K9089">
        <v>7</v>
      </c>
      <c r="L9089">
        <f>IF(AND($J9089=0,$K9089=0),0,1)</f>
        <v>1</v>
      </c>
      <c r="M9089" t="s">
        <v>422</v>
      </c>
    </row>
    <row r="9090" spans="1:13" x14ac:dyDescent="0.2">
      <c r="A9090" t="s">
        <v>421</v>
      </c>
      <c r="B9090" t="s">
        <v>1</v>
      </c>
      <c r="C9090" t="s">
        <v>2</v>
      </c>
      <c r="D9090">
        <v>1725</v>
      </c>
      <c r="E9090">
        <v>2019</v>
      </c>
      <c r="F9090">
        <v>1</v>
      </c>
      <c r="G9090">
        <v>160</v>
      </c>
      <c r="H9090" s="1">
        <v>3</v>
      </c>
      <c r="I9090">
        <v>16</v>
      </c>
      <c r="J9090">
        <f>IF($H9090=0,1,IF($I9090&lt;=1,2,0))</f>
        <v>0</v>
      </c>
      <c r="K9090">
        <v>7</v>
      </c>
      <c r="L9090">
        <f>IF(AND($J9090=0,$K9090=0),0,1)</f>
        <v>1</v>
      </c>
      <c r="M9090" t="s">
        <v>422</v>
      </c>
    </row>
    <row r="9091" spans="1:13" x14ac:dyDescent="0.2">
      <c r="A9091" t="s">
        <v>421</v>
      </c>
      <c r="B9091" t="s">
        <v>1</v>
      </c>
      <c r="C9091" t="s">
        <v>2</v>
      </c>
      <c r="D9091">
        <v>1726</v>
      </c>
      <c r="E9091">
        <v>2019</v>
      </c>
      <c r="F9091">
        <v>1</v>
      </c>
      <c r="G9091">
        <v>157</v>
      </c>
      <c r="H9091" s="1">
        <v>3</v>
      </c>
      <c r="I9091">
        <v>15</v>
      </c>
      <c r="J9091">
        <f>IF($H9091=0,1,IF($I9091&lt;=1,2,0))</f>
        <v>0</v>
      </c>
      <c r="K9091">
        <v>7</v>
      </c>
      <c r="L9091">
        <f>IF(AND($J9091=0,$K9091=0),0,1)</f>
        <v>1</v>
      </c>
      <c r="M9091" t="s">
        <v>422</v>
      </c>
    </row>
    <row r="9092" spans="1:13" x14ac:dyDescent="0.2">
      <c r="A9092" t="s">
        <v>421</v>
      </c>
      <c r="B9092" t="s">
        <v>1</v>
      </c>
      <c r="C9092" t="s">
        <v>2</v>
      </c>
      <c r="D9092">
        <v>1727</v>
      </c>
      <c r="E9092">
        <v>2019</v>
      </c>
      <c r="F9092">
        <v>1</v>
      </c>
      <c r="G9092">
        <v>158</v>
      </c>
      <c r="H9092" s="1">
        <v>3</v>
      </c>
      <c r="I9092">
        <v>15</v>
      </c>
      <c r="J9092">
        <f>IF($H9092=0,1,IF($I9092&lt;=1,2,0))</f>
        <v>0</v>
      </c>
      <c r="K9092">
        <v>7</v>
      </c>
      <c r="L9092">
        <f>IF(AND($J9092=0,$K9092=0),0,1)</f>
        <v>1</v>
      </c>
      <c r="M9092" t="s">
        <v>422</v>
      </c>
    </row>
    <row r="9093" spans="1:13" x14ac:dyDescent="0.2">
      <c r="A9093" t="s">
        <v>421</v>
      </c>
      <c r="B9093" t="s">
        <v>1</v>
      </c>
      <c r="C9093" t="s">
        <v>2</v>
      </c>
      <c r="D9093">
        <v>1728</v>
      </c>
      <c r="E9093">
        <v>2019</v>
      </c>
      <c r="F9093">
        <v>1</v>
      </c>
      <c r="G9093">
        <v>159</v>
      </c>
      <c r="H9093" s="1">
        <v>3</v>
      </c>
      <c r="I9093">
        <v>16</v>
      </c>
      <c r="J9093">
        <f>IF($H9093=0,1,IF($I9093&lt;=1,2,0))</f>
        <v>0</v>
      </c>
      <c r="K9093">
        <v>7</v>
      </c>
      <c r="L9093">
        <f>IF(AND($J9093=0,$K9093=0),0,1)</f>
        <v>1</v>
      </c>
      <c r="M9093" t="s">
        <v>422</v>
      </c>
    </row>
    <row r="9094" spans="1:13" x14ac:dyDescent="0.2">
      <c r="A9094" t="s">
        <v>423</v>
      </c>
      <c r="B9094" t="s">
        <v>133</v>
      </c>
      <c r="C9094" t="s">
        <v>11</v>
      </c>
      <c r="D9094">
        <v>9321</v>
      </c>
      <c r="E9094">
        <v>2019</v>
      </c>
      <c r="F9094">
        <v>1</v>
      </c>
      <c r="G9094">
        <v>59105</v>
      </c>
      <c r="H9094" s="1">
        <v>1</v>
      </c>
      <c r="I9094">
        <v>35</v>
      </c>
      <c r="J9094">
        <f>IF($H9094=0,1,IF($I9094&lt;=1,2,0))</f>
        <v>0</v>
      </c>
      <c r="K9094">
        <v>5</v>
      </c>
      <c r="L9094">
        <f>IF(AND($J9094=0,$K9094=0),0,1)</f>
        <v>1</v>
      </c>
    </row>
    <row r="9095" spans="1:13" x14ac:dyDescent="0.2">
      <c r="A9095" t="s">
        <v>423</v>
      </c>
      <c r="B9095" t="s">
        <v>133</v>
      </c>
      <c r="C9095" t="s">
        <v>11</v>
      </c>
      <c r="D9095">
        <v>9355</v>
      </c>
      <c r="E9095">
        <v>2019</v>
      </c>
      <c r="F9095">
        <v>1</v>
      </c>
      <c r="G9095">
        <v>59106</v>
      </c>
      <c r="H9095" s="1" t="s">
        <v>1843</v>
      </c>
      <c r="I9095">
        <v>28</v>
      </c>
      <c r="J9095">
        <f>IF($H9095=0,1,IF($I9095&lt;=1,2,0))</f>
        <v>0</v>
      </c>
      <c r="K9095">
        <v>5</v>
      </c>
      <c r="L9095">
        <f>IF(AND($J9095=0,$K9095=0),0,1)</f>
        <v>1</v>
      </c>
    </row>
    <row r="9096" spans="1:13" x14ac:dyDescent="0.2">
      <c r="A9096" t="s">
        <v>424</v>
      </c>
      <c r="B9096" t="s">
        <v>17</v>
      </c>
      <c r="C9096" t="s">
        <v>9</v>
      </c>
      <c r="D9096">
        <v>2521</v>
      </c>
      <c r="E9096">
        <v>2019</v>
      </c>
      <c r="F9096">
        <v>2</v>
      </c>
      <c r="G9096">
        <v>54553</v>
      </c>
      <c r="H9096" s="1">
        <v>2</v>
      </c>
      <c r="I9096">
        <v>1</v>
      </c>
      <c r="J9096">
        <f>IF($H9096=0,1,IF($I9096&lt;=1,2,0))</f>
        <v>2</v>
      </c>
      <c r="K9096">
        <v>0</v>
      </c>
      <c r="L9096">
        <f>IF(AND($J9096=0,$K9096=0),0,1)</f>
        <v>1</v>
      </c>
      <c r="M9096" t="s">
        <v>425</v>
      </c>
    </row>
    <row r="9097" spans="1:13" x14ac:dyDescent="0.2">
      <c r="A9097" t="s">
        <v>424</v>
      </c>
      <c r="B9097" t="s">
        <v>17</v>
      </c>
      <c r="C9097" t="s">
        <v>2</v>
      </c>
      <c r="D9097">
        <v>3028</v>
      </c>
      <c r="E9097">
        <v>2019</v>
      </c>
      <c r="F9097">
        <v>1</v>
      </c>
      <c r="G9097">
        <v>8407</v>
      </c>
      <c r="H9097" s="1">
        <v>3</v>
      </c>
      <c r="I9097">
        <v>3</v>
      </c>
      <c r="J9097">
        <f>IF($H9097=0,1,IF($I9097&lt;=1,2,0))</f>
        <v>0</v>
      </c>
      <c r="K9097">
        <v>7</v>
      </c>
      <c r="L9097">
        <f>IF(AND($J9097=0,$K9097=0),0,1)</f>
        <v>1</v>
      </c>
    </row>
    <row r="9098" spans="1:13" x14ac:dyDescent="0.2">
      <c r="A9098" t="s">
        <v>424</v>
      </c>
      <c r="B9098" t="s">
        <v>17</v>
      </c>
      <c r="C9098" t="s">
        <v>33</v>
      </c>
      <c r="D9098">
        <v>3335</v>
      </c>
      <c r="E9098">
        <v>2019</v>
      </c>
      <c r="F9098">
        <v>2</v>
      </c>
      <c r="G9098">
        <v>19325</v>
      </c>
      <c r="H9098" s="1">
        <v>0</v>
      </c>
      <c r="I9098">
        <v>1</v>
      </c>
      <c r="J9098">
        <f>IF($H9098=0,1,IF($I9098&lt;=1,2,0))</f>
        <v>1</v>
      </c>
      <c r="K9098">
        <v>0</v>
      </c>
      <c r="L9098">
        <f>IF(AND($J9098=0,$K9098=0),0,1)</f>
        <v>1</v>
      </c>
    </row>
    <row r="9099" spans="1:13" x14ac:dyDescent="0.2">
      <c r="A9099" t="s">
        <v>424</v>
      </c>
      <c r="B9099" t="s">
        <v>17</v>
      </c>
      <c r="C9099" t="s">
        <v>33</v>
      </c>
      <c r="D9099">
        <v>3335</v>
      </c>
      <c r="E9099">
        <v>2019</v>
      </c>
      <c r="F9099">
        <v>3</v>
      </c>
      <c r="G9099">
        <v>19326</v>
      </c>
      <c r="H9099" s="1">
        <v>0</v>
      </c>
      <c r="I9099">
        <v>1</v>
      </c>
      <c r="J9099">
        <f>IF($H9099=0,1,IF($I9099&lt;=1,2,0))</f>
        <v>1</v>
      </c>
      <c r="K9099">
        <v>0</v>
      </c>
      <c r="L9099">
        <f>IF(AND($J9099=0,$K9099=0),0,1)</f>
        <v>1</v>
      </c>
    </row>
    <row r="9100" spans="1:13" x14ac:dyDescent="0.2">
      <c r="A9100" t="s">
        <v>424</v>
      </c>
      <c r="B9100" t="s">
        <v>17</v>
      </c>
      <c r="C9100" t="s">
        <v>33</v>
      </c>
      <c r="D9100">
        <v>3335</v>
      </c>
      <c r="E9100">
        <v>2019</v>
      </c>
      <c r="F9100">
        <v>4</v>
      </c>
      <c r="G9100">
        <v>19358</v>
      </c>
      <c r="H9100" s="1">
        <v>4</v>
      </c>
      <c r="I9100">
        <v>1</v>
      </c>
      <c r="J9100">
        <f>IF($H9100=0,1,IF($I9100&lt;=1,2,0))</f>
        <v>2</v>
      </c>
      <c r="K9100">
        <v>0</v>
      </c>
      <c r="L9100">
        <f>IF(AND($J9100=0,$K9100=0),0,1)</f>
        <v>1</v>
      </c>
    </row>
    <row r="9101" spans="1:13" x14ac:dyDescent="0.2">
      <c r="A9101" t="s">
        <v>424</v>
      </c>
      <c r="B9101" t="s">
        <v>17</v>
      </c>
      <c r="C9101" t="s">
        <v>33</v>
      </c>
      <c r="D9101">
        <v>3991</v>
      </c>
      <c r="E9101">
        <v>2019</v>
      </c>
      <c r="F9101">
        <v>3</v>
      </c>
      <c r="G9101">
        <v>19328</v>
      </c>
      <c r="H9101" s="1">
        <v>3</v>
      </c>
      <c r="I9101">
        <v>1</v>
      </c>
      <c r="J9101">
        <f>IF($H9101=0,1,IF($I9101&lt;=1,2,0))</f>
        <v>2</v>
      </c>
      <c r="K9101">
        <v>0</v>
      </c>
      <c r="L9101">
        <f>IF(AND($J9101=0,$K9101=0),0,1)</f>
        <v>1</v>
      </c>
    </row>
    <row r="9102" spans="1:13" x14ac:dyDescent="0.2">
      <c r="A9102" t="s">
        <v>424</v>
      </c>
      <c r="B9102" t="s">
        <v>17</v>
      </c>
      <c r="C9102" t="s">
        <v>33</v>
      </c>
      <c r="D9102">
        <v>3993</v>
      </c>
      <c r="E9102">
        <v>2019</v>
      </c>
      <c r="F9102">
        <v>1</v>
      </c>
      <c r="G9102">
        <v>19329</v>
      </c>
      <c r="H9102" s="1">
        <v>4</v>
      </c>
      <c r="I9102">
        <v>1</v>
      </c>
      <c r="J9102">
        <f>IF($H9102=0,1,IF($I9102&lt;=1,2,0))</f>
        <v>2</v>
      </c>
      <c r="K9102">
        <v>0</v>
      </c>
      <c r="L9102">
        <f>IF(AND($J9102=0,$K9102=0),0,1)</f>
        <v>1</v>
      </c>
    </row>
    <row r="9103" spans="1:13" x14ac:dyDescent="0.2">
      <c r="A9103" t="s">
        <v>424</v>
      </c>
      <c r="B9103" t="s">
        <v>17</v>
      </c>
      <c r="C9103" t="s">
        <v>9</v>
      </c>
      <c r="D9103">
        <v>3997</v>
      </c>
      <c r="E9103">
        <v>2019</v>
      </c>
      <c r="F9103">
        <v>1</v>
      </c>
      <c r="G9103">
        <v>18803</v>
      </c>
      <c r="H9103" s="1">
        <v>1</v>
      </c>
      <c r="I9103">
        <v>1</v>
      </c>
      <c r="J9103">
        <f>IF($H9103=0,1,IF($I9103&lt;=1,2,0))</f>
        <v>2</v>
      </c>
      <c r="K9103">
        <v>9</v>
      </c>
      <c r="L9103">
        <f>IF(AND($J9103=0,$K9103=0),0,1)</f>
        <v>1</v>
      </c>
    </row>
    <row r="9104" spans="1:13" x14ac:dyDescent="0.2">
      <c r="A9104" t="s">
        <v>424</v>
      </c>
      <c r="B9104" t="s">
        <v>17</v>
      </c>
      <c r="C9104" t="s">
        <v>9</v>
      </c>
      <c r="D9104">
        <v>4997</v>
      </c>
      <c r="E9104">
        <v>2019</v>
      </c>
      <c r="F9104">
        <v>2</v>
      </c>
      <c r="G9104">
        <v>18698</v>
      </c>
      <c r="H9104" s="1">
        <v>3</v>
      </c>
      <c r="I9104">
        <v>0</v>
      </c>
      <c r="J9104">
        <f>IF($H9104=0,1,IF($I9104&lt;=1,2,0))</f>
        <v>2</v>
      </c>
      <c r="K9104">
        <v>9</v>
      </c>
      <c r="L9104">
        <f>IF(AND($J9104=0,$K9104=0),0,1)</f>
        <v>1</v>
      </c>
    </row>
    <row r="9105" spans="1:12" x14ac:dyDescent="0.2">
      <c r="A9105" t="s">
        <v>426</v>
      </c>
      <c r="B9105" t="s">
        <v>17</v>
      </c>
      <c r="C9105" t="s">
        <v>21</v>
      </c>
      <c r="D9105">
        <v>3997</v>
      </c>
      <c r="E9105">
        <v>2019</v>
      </c>
      <c r="F9105">
        <v>4</v>
      </c>
      <c r="G9105">
        <v>48681</v>
      </c>
      <c r="H9105" s="1">
        <v>3</v>
      </c>
      <c r="I9105">
        <v>1</v>
      </c>
      <c r="J9105">
        <f>IF($H9105=0,1,IF($I9105&lt;=1,2,0))</f>
        <v>2</v>
      </c>
      <c r="K9105">
        <v>9</v>
      </c>
      <c r="L9105">
        <f>IF(AND($J9105=0,$K9105=0),0,1)</f>
        <v>1</v>
      </c>
    </row>
    <row r="9106" spans="1:12" x14ac:dyDescent="0.2">
      <c r="A9106" t="s">
        <v>426</v>
      </c>
      <c r="B9106" t="s">
        <v>17</v>
      </c>
      <c r="C9106" t="s">
        <v>21</v>
      </c>
      <c r="D9106">
        <v>3997</v>
      </c>
      <c r="E9106">
        <v>2019</v>
      </c>
      <c r="F9106">
        <v>1</v>
      </c>
      <c r="G9106">
        <v>48678</v>
      </c>
      <c r="H9106" s="1">
        <v>3</v>
      </c>
      <c r="I9106">
        <v>0</v>
      </c>
      <c r="J9106">
        <f>IF($H9106=0,1,IF($I9106&lt;=1,2,0))</f>
        <v>2</v>
      </c>
      <c r="K9106">
        <v>9</v>
      </c>
      <c r="L9106">
        <f>IF(AND($J9106=0,$K9106=0),0,1)</f>
        <v>1</v>
      </c>
    </row>
    <row r="9107" spans="1:12" x14ac:dyDescent="0.2">
      <c r="A9107" t="s">
        <v>426</v>
      </c>
      <c r="B9107" t="s">
        <v>17</v>
      </c>
      <c r="C9107" t="s">
        <v>21</v>
      </c>
      <c r="D9107">
        <v>3997</v>
      </c>
      <c r="E9107">
        <v>2019</v>
      </c>
      <c r="F9107">
        <v>2</v>
      </c>
      <c r="G9107">
        <v>48679</v>
      </c>
      <c r="H9107" s="1">
        <v>3</v>
      </c>
      <c r="I9107">
        <v>0</v>
      </c>
      <c r="J9107">
        <f>IF($H9107=0,1,IF($I9107&lt;=1,2,0))</f>
        <v>2</v>
      </c>
      <c r="K9107">
        <v>9</v>
      </c>
      <c r="L9107">
        <f>IF(AND($J9107=0,$K9107=0),0,1)</f>
        <v>1</v>
      </c>
    </row>
    <row r="9108" spans="1:12" x14ac:dyDescent="0.2">
      <c r="A9108" t="s">
        <v>426</v>
      </c>
      <c r="B9108" t="s">
        <v>17</v>
      </c>
      <c r="C9108" t="s">
        <v>21</v>
      </c>
      <c r="D9108">
        <v>3997</v>
      </c>
      <c r="E9108">
        <v>2019</v>
      </c>
      <c r="F9108">
        <v>3</v>
      </c>
      <c r="G9108">
        <v>48680</v>
      </c>
      <c r="H9108" s="1">
        <v>3</v>
      </c>
      <c r="I9108">
        <v>0</v>
      </c>
      <c r="J9108">
        <f>IF($H9108=0,1,IF($I9108&lt;=1,2,0))</f>
        <v>2</v>
      </c>
      <c r="K9108">
        <v>9</v>
      </c>
      <c r="L9108">
        <f>IF(AND($J9108=0,$K9108=0),0,1)</f>
        <v>1</v>
      </c>
    </row>
    <row r="9109" spans="1:12" x14ac:dyDescent="0.2">
      <c r="A9109" t="s">
        <v>426</v>
      </c>
      <c r="B9109" t="s">
        <v>17</v>
      </c>
      <c r="C9109" t="s">
        <v>21</v>
      </c>
      <c r="D9109">
        <v>3997</v>
      </c>
      <c r="E9109">
        <v>2019</v>
      </c>
      <c r="F9109">
        <v>5</v>
      </c>
      <c r="G9109">
        <v>48682</v>
      </c>
      <c r="H9109" s="1">
        <v>3</v>
      </c>
      <c r="I9109">
        <v>0</v>
      </c>
      <c r="J9109">
        <f>IF($H9109=0,1,IF($I9109&lt;=1,2,0))</f>
        <v>2</v>
      </c>
      <c r="K9109">
        <v>9</v>
      </c>
      <c r="L9109">
        <f>IF(AND($J9109=0,$K9109=0),0,1)</f>
        <v>1</v>
      </c>
    </row>
    <row r="9110" spans="1:12" x14ac:dyDescent="0.2">
      <c r="A9110" t="s">
        <v>426</v>
      </c>
      <c r="B9110" t="s">
        <v>17</v>
      </c>
      <c r="C9110" t="s">
        <v>21</v>
      </c>
      <c r="D9110">
        <v>3997</v>
      </c>
      <c r="E9110">
        <v>2019</v>
      </c>
      <c r="F9110">
        <v>6</v>
      </c>
      <c r="G9110">
        <v>48722</v>
      </c>
      <c r="H9110" s="1">
        <v>3</v>
      </c>
      <c r="I9110">
        <v>0</v>
      </c>
      <c r="J9110">
        <f>IF($H9110=0,1,IF($I9110&lt;=1,2,0))</f>
        <v>2</v>
      </c>
      <c r="K9110">
        <v>9</v>
      </c>
      <c r="L9110">
        <f>IF(AND($J9110=0,$K9110=0),0,1)</f>
        <v>1</v>
      </c>
    </row>
    <row r="9111" spans="1:12" x14ac:dyDescent="0.2">
      <c r="A9111" t="s">
        <v>426</v>
      </c>
      <c r="B9111" t="s">
        <v>17</v>
      </c>
      <c r="C9111" t="s">
        <v>21</v>
      </c>
      <c r="D9111">
        <v>3998</v>
      </c>
      <c r="E9111">
        <v>2019</v>
      </c>
      <c r="F9111">
        <v>1</v>
      </c>
      <c r="G9111">
        <v>48618</v>
      </c>
      <c r="H9111" s="1">
        <v>3</v>
      </c>
      <c r="I9111">
        <v>0</v>
      </c>
      <c r="J9111">
        <f>IF($H9111=0,1,IF($I9111&lt;=1,2,0))</f>
        <v>2</v>
      </c>
      <c r="K9111">
        <v>9</v>
      </c>
      <c r="L9111">
        <f>IF(AND($J9111=0,$K9111=0),0,1)</f>
        <v>1</v>
      </c>
    </row>
    <row r="9112" spans="1:12" x14ac:dyDescent="0.2">
      <c r="A9112" t="s">
        <v>426</v>
      </c>
      <c r="B9112" t="s">
        <v>17</v>
      </c>
      <c r="C9112" t="s">
        <v>21</v>
      </c>
      <c r="D9112">
        <v>3998</v>
      </c>
      <c r="E9112">
        <v>2019</v>
      </c>
      <c r="F9112">
        <v>2</v>
      </c>
      <c r="G9112">
        <v>48619</v>
      </c>
      <c r="H9112" s="1">
        <v>3</v>
      </c>
      <c r="I9112">
        <v>0</v>
      </c>
      <c r="J9112">
        <f>IF($H9112=0,1,IF($I9112&lt;=1,2,0))</f>
        <v>2</v>
      </c>
      <c r="K9112">
        <v>9</v>
      </c>
      <c r="L9112">
        <f>IF(AND($J9112=0,$K9112=0),0,1)</f>
        <v>1</v>
      </c>
    </row>
    <row r="9113" spans="1:12" x14ac:dyDescent="0.2">
      <c r="A9113" t="s">
        <v>426</v>
      </c>
      <c r="B9113" t="s">
        <v>17</v>
      </c>
      <c r="C9113" t="s">
        <v>21</v>
      </c>
      <c r="D9113">
        <v>3998</v>
      </c>
      <c r="E9113">
        <v>2019</v>
      </c>
      <c r="F9113">
        <v>3</v>
      </c>
      <c r="G9113">
        <v>48620</v>
      </c>
      <c r="H9113" s="1">
        <v>3</v>
      </c>
      <c r="I9113">
        <v>0</v>
      </c>
      <c r="J9113">
        <f>IF($H9113=0,1,IF($I9113&lt;=1,2,0))</f>
        <v>2</v>
      </c>
      <c r="K9113">
        <v>9</v>
      </c>
      <c r="L9113">
        <f>IF(AND($J9113=0,$K9113=0),0,1)</f>
        <v>1</v>
      </c>
    </row>
    <row r="9114" spans="1:12" x14ac:dyDescent="0.2">
      <c r="A9114" t="s">
        <v>426</v>
      </c>
      <c r="B9114" t="s">
        <v>17</v>
      </c>
      <c r="C9114" t="s">
        <v>21</v>
      </c>
      <c r="D9114">
        <v>3998</v>
      </c>
      <c r="E9114">
        <v>2019</v>
      </c>
      <c r="F9114">
        <v>4</v>
      </c>
      <c r="G9114">
        <v>48621</v>
      </c>
      <c r="H9114" s="1">
        <v>3</v>
      </c>
      <c r="I9114">
        <v>0</v>
      </c>
      <c r="J9114">
        <f>IF($H9114=0,1,IF($I9114&lt;=1,2,0))</f>
        <v>2</v>
      </c>
      <c r="K9114">
        <v>9</v>
      </c>
      <c r="L9114">
        <f>IF(AND($J9114=0,$K9114=0),0,1)</f>
        <v>1</v>
      </c>
    </row>
    <row r="9115" spans="1:12" x14ac:dyDescent="0.2">
      <c r="A9115" t="s">
        <v>426</v>
      </c>
      <c r="B9115" t="s">
        <v>17</v>
      </c>
      <c r="C9115" t="s">
        <v>21</v>
      </c>
      <c r="D9115">
        <v>3998</v>
      </c>
      <c r="E9115">
        <v>2019</v>
      </c>
      <c r="F9115">
        <v>5</v>
      </c>
      <c r="G9115">
        <v>48622</v>
      </c>
      <c r="H9115" s="1">
        <v>3</v>
      </c>
      <c r="I9115">
        <v>0</v>
      </c>
      <c r="J9115">
        <f>IF($H9115=0,1,IF($I9115&lt;=1,2,0))</f>
        <v>2</v>
      </c>
      <c r="K9115">
        <v>9</v>
      </c>
      <c r="L9115">
        <f>IF(AND($J9115=0,$K9115=0),0,1)</f>
        <v>1</v>
      </c>
    </row>
    <row r="9116" spans="1:12" x14ac:dyDescent="0.2">
      <c r="A9116" t="s">
        <v>429</v>
      </c>
      <c r="B9116" t="s">
        <v>17</v>
      </c>
      <c r="C9116" t="s">
        <v>21</v>
      </c>
      <c r="D9116">
        <v>3997</v>
      </c>
      <c r="E9116">
        <v>2019</v>
      </c>
      <c r="F9116">
        <v>1</v>
      </c>
      <c r="G9116">
        <v>48724</v>
      </c>
      <c r="H9116" s="1" t="s">
        <v>1823</v>
      </c>
      <c r="I9116">
        <v>0</v>
      </c>
      <c r="J9116">
        <f>IF($H9116=0,1,IF($I9116&lt;=1,2,0))</f>
        <v>2</v>
      </c>
      <c r="K9116">
        <v>9</v>
      </c>
      <c r="L9116">
        <f>IF(AND($J9116=0,$K9116=0),0,1)</f>
        <v>1</v>
      </c>
    </row>
    <row r="9117" spans="1:12" x14ac:dyDescent="0.2">
      <c r="A9117" t="s">
        <v>429</v>
      </c>
      <c r="B9117" t="s">
        <v>17</v>
      </c>
      <c r="C9117" t="s">
        <v>21</v>
      </c>
      <c r="D9117">
        <v>3997</v>
      </c>
      <c r="E9117">
        <v>2019</v>
      </c>
      <c r="F9117">
        <v>2</v>
      </c>
      <c r="G9117">
        <v>48725</v>
      </c>
      <c r="H9117" s="1" t="s">
        <v>1823</v>
      </c>
      <c r="I9117">
        <v>0</v>
      </c>
      <c r="J9117">
        <f>IF($H9117=0,1,IF($I9117&lt;=1,2,0))</f>
        <v>2</v>
      </c>
      <c r="K9117">
        <v>9</v>
      </c>
      <c r="L9117">
        <f>IF(AND($J9117=0,$K9117=0),0,1)</f>
        <v>1</v>
      </c>
    </row>
    <row r="9118" spans="1:12" x14ac:dyDescent="0.2">
      <c r="A9118" t="s">
        <v>429</v>
      </c>
      <c r="B9118" t="s">
        <v>17</v>
      </c>
      <c r="C9118" t="s">
        <v>21</v>
      </c>
      <c r="D9118">
        <v>3997</v>
      </c>
      <c r="E9118">
        <v>2019</v>
      </c>
      <c r="F9118">
        <v>3</v>
      </c>
      <c r="G9118">
        <v>48726</v>
      </c>
      <c r="H9118" s="1" t="s">
        <v>1823</v>
      </c>
      <c r="I9118">
        <v>0</v>
      </c>
      <c r="J9118">
        <f>IF($H9118=0,1,IF($I9118&lt;=1,2,0))</f>
        <v>2</v>
      </c>
      <c r="K9118">
        <v>9</v>
      </c>
      <c r="L9118">
        <f>IF(AND($J9118=0,$K9118=0),0,1)</f>
        <v>1</v>
      </c>
    </row>
    <row r="9119" spans="1:12" x14ac:dyDescent="0.2">
      <c r="A9119" t="s">
        <v>429</v>
      </c>
      <c r="B9119" t="s">
        <v>17</v>
      </c>
      <c r="C9119" t="s">
        <v>21</v>
      </c>
      <c r="D9119">
        <v>3997</v>
      </c>
      <c r="E9119">
        <v>2019</v>
      </c>
      <c r="F9119">
        <v>4</v>
      </c>
      <c r="G9119">
        <v>48727</v>
      </c>
      <c r="H9119" s="1" t="s">
        <v>1823</v>
      </c>
      <c r="I9119">
        <v>0</v>
      </c>
      <c r="J9119">
        <f>IF($H9119=0,1,IF($I9119&lt;=1,2,0))</f>
        <v>2</v>
      </c>
      <c r="K9119">
        <v>9</v>
      </c>
      <c r="L9119">
        <f>IF(AND($J9119=0,$K9119=0),0,1)</f>
        <v>1</v>
      </c>
    </row>
    <row r="9120" spans="1:12" x14ac:dyDescent="0.2">
      <c r="A9120" t="s">
        <v>429</v>
      </c>
      <c r="B9120" t="s">
        <v>17</v>
      </c>
      <c r="C9120" t="s">
        <v>21</v>
      </c>
      <c r="D9120">
        <v>3997</v>
      </c>
      <c r="E9120">
        <v>2019</v>
      </c>
      <c r="F9120">
        <v>5</v>
      </c>
      <c r="G9120">
        <v>48728</v>
      </c>
      <c r="H9120" s="1" t="s">
        <v>1823</v>
      </c>
      <c r="I9120">
        <v>0</v>
      </c>
      <c r="J9120">
        <f>IF($H9120=0,1,IF($I9120&lt;=1,2,0))</f>
        <v>2</v>
      </c>
      <c r="K9120">
        <v>9</v>
      </c>
      <c r="L9120">
        <f>IF(AND($J9120=0,$K9120=0),0,1)</f>
        <v>1</v>
      </c>
    </row>
    <row r="9121" spans="1:13" x14ac:dyDescent="0.2">
      <c r="A9121" t="s">
        <v>429</v>
      </c>
      <c r="B9121" t="s">
        <v>17</v>
      </c>
      <c r="C9121" t="s">
        <v>21</v>
      </c>
      <c r="D9121">
        <v>3998</v>
      </c>
      <c r="E9121">
        <v>2019</v>
      </c>
      <c r="F9121">
        <v>1</v>
      </c>
      <c r="G9121">
        <v>48671</v>
      </c>
      <c r="H9121" s="1" t="s">
        <v>1823</v>
      </c>
      <c r="I9121">
        <v>0</v>
      </c>
      <c r="J9121">
        <f>IF($H9121=0,1,IF($I9121&lt;=1,2,0))</f>
        <v>2</v>
      </c>
      <c r="K9121">
        <v>9</v>
      </c>
      <c r="L9121">
        <f>IF(AND($J9121=0,$K9121=0),0,1)</f>
        <v>1</v>
      </c>
    </row>
    <row r="9122" spans="1:13" x14ac:dyDescent="0.2">
      <c r="A9122" t="s">
        <v>429</v>
      </c>
      <c r="B9122" t="s">
        <v>17</v>
      </c>
      <c r="C9122" t="s">
        <v>9</v>
      </c>
      <c r="D9122">
        <v>4460</v>
      </c>
      <c r="E9122">
        <v>2019</v>
      </c>
      <c r="F9122">
        <v>1</v>
      </c>
      <c r="G9122">
        <v>48673</v>
      </c>
      <c r="H9122" s="1">
        <v>3</v>
      </c>
      <c r="I9122">
        <v>0</v>
      </c>
      <c r="J9122">
        <f>IF($H9122=0,1,IF($I9122&lt;=1,2,0))</f>
        <v>2</v>
      </c>
      <c r="K9122">
        <v>4</v>
      </c>
      <c r="L9122">
        <f>IF(AND($J9122=0,$K9122=0),0,1)</f>
        <v>1</v>
      </c>
    </row>
    <row r="9123" spans="1:13" x14ac:dyDescent="0.2">
      <c r="A9123" t="s">
        <v>429</v>
      </c>
      <c r="B9123" t="s">
        <v>17</v>
      </c>
      <c r="C9123" t="s">
        <v>9</v>
      </c>
      <c r="D9123">
        <v>4460</v>
      </c>
      <c r="E9123">
        <v>2019</v>
      </c>
      <c r="F9123">
        <v>2</v>
      </c>
      <c r="G9123">
        <v>48729</v>
      </c>
      <c r="H9123" s="1">
        <v>3</v>
      </c>
      <c r="I9123">
        <v>0</v>
      </c>
      <c r="J9123">
        <f>IF($H9123=0,1,IF($I9123&lt;=1,2,0))</f>
        <v>2</v>
      </c>
      <c r="K9123">
        <v>4</v>
      </c>
      <c r="L9123">
        <f>IF(AND($J9123=0,$K9123=0),0,1)</f>
        <v>1</v>
      </c>
    </row>
    <row r="9124" spans="1:13" x14ac:dyDescent="0.2">
      <c r="A9124" t="s">
        <v>429</v>
      </c>
      <c r="B9124" t="s">
        <v>17</v>
      </c>
      <c r="C9124" t="s">
        <v>9</v>
      </c>
      <c r="D9124">
        <v>4460</v>
      </c>
      <c r="E9124">
        <v>2019</v>
      </c>
      <c r="F9124">
        <v>3</v>
      </c>
      <c r="G9124">
        <v>48730</v>
      </c>
      <c r="H9124" s="1">
        <v>3</v>
      </c>
      <c r="I9124">
        <v>0</v>
      </c>
      <c r="J9124">
        <f>IF($H9124=0,1,IF($I9124&lt;=1,2,0))</f>
        <v>2</v>
      </c>
      <c r="K9124">
        <v>4</v>
      </c>
      <c r="L9124">
        <f>IF(AND($J9124=0,$K9124=0),0,1)</f>
        <v>1</v>
      </c>
    </row>
    <row r="9125" spans="1:13" x14ac:dyDescent="0.2">
      <c r="A9125" t="s">
        <v>429</v>
      </c>
      <c r="B9125" t="s">
        <v>17</v>
      </c>
      <c r="C9125" t="s">
        <v>9</v>
      </c>
      <c r="D9125">
        <v>4460</v>
      </c>
      <c r="E9125">
        <v>2019</v>
      </c>
      <c r="F9125">
        <v>4</v>
      </c>
      <c r="G9125">
        <v>48731</v>
      </c>
      <c r="H9125" s="1">
        <v>3</v>
      </c>
      <c r="I9125">
        <v>0</v>
      </c>
      <c r="J9125">
        <f>IF($H9125=0,1,IF($I9125&lt;=1,2,0))</f>
        <v>2</v>
      </c>
      <c r="K9125">
        <v>4</v>
      </c>
      <c r="L9125">
        <f>IF(AND($J9125=0,$K9125=0),0,1)</f>
        <v>1</v>
      </c>
    </row>
    <row r="9126" spans="1:13" x14ac:dyDescent="0.2">
      <c r="A9126" t="s">
        <v>429</v>
      </c>
      <c r="B9126" t="s">
        <v>17</v>
      </c>
      <c r="C9126" t="s">
        <v>9</v>
      </c>
      <c r="D9126">
        <v>4460</v>
      </c>
      <c r="E9126">
        <v>2019</v>
      </c>
      <c r="F9126">
        <v>5</v>
      </c>
      <c r="G9126">
        <v>48732</v>
      </c>
      <c r="H9126" s="1">
        <v>3</v>
      </c>
      <c r="I9126">
        <v>0</v>
      </c>
      <c r="J9126">
        <f>IF($H9126=0,1,IF($I9126&lt;=1,2,0))</f>
        <v>2</v>
      </c>
      <c r="K9126">
        <v>4</v>
      </c>
      <c r="L9126">
        <f>IF(AND($J9126=0,$K9126=0),0,1)</f>
        <v>1</v>
      </c>
    </row>
    <row r="9127" spans="1:13" x14ac:dyDescent="0.2">
      <c r="A9127" t="s">
        <v>431</v>
      </c>
      <c r="B9127" t="s">
        <v>6</v>
      </c>
      <c r="C9127" t="s">
        <v>9</v>
      </c>
      <c r="D9127">
        <v>1007</v>
      </c>
      <c r="E9127">
        <v>2019</v>
      </c>
      <c r="F9127">
        <v>1</v>
      </c>
      <c r="G9127">
        <v>36480</v>
      </c>
      <c r="H9127" s="1">
        <v>0</v>
      </c>
      <c r="I9127">
        <v>22</v>
      </c>
      <c r="J9127">
        <f>IF($H9127=0,1,IF($I9127&lt;=1,2,0))</f>
        <v>1</v>
      </c>
      <c r="K9127">
        <v>0</v>
      </c>
      <c r="L9127">
        <f>IF(AND($J9127=0,$K9127=0),0,1)</f>
        <v>1</v>
      </c>
      <c r="M9127" t="s">
        <v>433</v>
      </c>
    </row>
    <row r="9128" spans="1:13" x14ac:dyDescent="0.2">
      <c r="A9128" t="s">
        <v>431</v>
      </c>
      <c r="B9128" t="s">
        <v>6</v>
      </c>
      <c r="C9128" t="s">
        <v>9</v>
      </c>
      <c r="D9128">
        <v>1011</v>
      </c>
      <c r="E9128">
        <v>2019</v>
      </c>
      <c r="F9128">
        <v>1</v>
      </c>
      <c r="G9128">
        <v>36467</v>
      </c>
      <c r="H9128" s="1">
        <v>0</v>
      </c>
      <c r="I9128">
        <v>54</v>
      </c>
      <c r="J9128">
        <f>IF($H9128=0,1,IF($I9128&lt;=1,2,0))</f>
        <v>1</v>
      </c>
      <c r="K9128">
        <v>0</v>
      </c>
      <c r="L9128">
        <f>IF(AND($J9128=0,$K9128=0),0,1)</f>
        <v>1</v>
      </c>
      <c r="M9128" t="s">
        <v>433</v>
      </c>
    </row>
    <row r="9129" spans="1:13" x14ac:dyDescent="0.2">
      <c r="A9129" t="s">
        <v>431</v>
      </c>
      <c r="B9129" t="s">
        <v>6</v>
      </c>
      <c r="C9129" t="s">
        <v>2</v>
      </c>
      <c r="D9129">
        <v>1062</v>
      </c>
      <c r="E9129">
        <v>2019</v>
      </c>
      <c r="F9129">
        <v>1</v>
      </c>
      <c r="G9129">
        <v>8566</v>
      </c>
      <c r="H9129" s="1">
        <v>4</v>
      </c>
      <c r="I9129">
        <v>31</v>
      </c>
      <c r="J9129">
        <f>IF($H9129=0,1,IF($I9129&lt;=1,2,0))</f>
        <v>0</v>
      </c>
      <c r="K9129">
        <v>7</v>
      </c>
      <c r="L9129">
        <f>IF(AND($J9129=0,$K9129=0),0,1)</f>
        <v>1</v>
      </c>
      <c r="M9129" t="s">
        <v>435</v>
      </c>
    </row>
    <row r="9130" spans="1:13" x14ac:dyDescent="0.2">
      <c r="A9130" t="s">
        <v>431</v>
      </c>
      <c r="B9130" t="s">
        <v>6</v>
      </c>
      <c r="C9130" t="s">
        <v>2</v>
      </c>
      <c r="D9130">
        <v>1101</v>
      </c>
      <c r="E9130">
        <v>2019</v>
      </c>
      <c r="F9130">
        <v>1</v>
      </c>
      <c r="G9130">
        <v>8520</v>
      </c>
      <c r="H9130" s="1">
        <v>4</v>
      </c>
      <c r="I9130">
        <v>58</v>
      </c>
      <c r="J9130">
        <f>IF($H9130=0,1,IF($I9130&lt;=1,2,0))</f>
        <v>0</v>
      </c>
      <c r="K9130">
        <v>7</v>
      </c>
      <c r="L9130">
        <f>IF(AND($J9130=0,$K9130=0),0,1)</f>
        <v>1</v>
      </c>
      <c r="M9130" t="s">
        <v>436</v>
      </c>
    </row>
    <row r="9131" spans="1:13" x14ac:dyDescent="0.2">
      <c r="A9131" t="s">
        <v>431</v>
      </c>
      <c r="B9131" t="s">
        <v>6</v>
      </c>
      <c r="C9131" t="s">
        <v>2</v>
      </c>
      <c r="D9131">
        <v>1112</v>
      </c>
      <c r="E9131">
        <v>2019</v>
      </c>
      <c r="F9131">
        <v>3</v>
      </c>
      <c r="G9131">
        <v>8523</v>
      </c>
      <c r="H9131" s="1">
        <v>0</v>
      </c>
      <c r="I9131">
        <v>15</v>
      </c>
      <c r="J9131">
        <f>IF($H9131=0,1,IF($I9131&lt;=1,2,0))</f>
        <v>1</v>
      </c>
      <c r="K9131">
        <v>7</v>
      </c>
      <c r="L9131">
        <f>IF(AND($J9131=0,$K9131=0),0,1)</f>
        <v>1</v>
      </c>
      <c r="M9131" t="s">
        <v>438</v>
      </c>
    </row>
    <row r="9132" spans="1:13" x14ac:dyDescent="0.2">
      <c r="A9132" t="s">
        <v>431</v>
      </c>
      <c r="B9132" t="s">
        <v>6</v>
      </c>
      <c r="C9132" t="s">
        <v>2</v>
      </c>
      <c r="D9132">
        <v>1112</v>
      </c>
      <c r="E9132">
        <v>2019</v>
      </c>
      <c r="F9132">
        <v>2</v>
      </c>
      <c r="G9132">
        <v>8522</v>
      </c>
      <c r="H9132" s="1">
        <v>0</v>
      </c>
      <c r="I9132">
        <v>12</v>
      </c>
      <c r="J9132">
        <f>IF($H9132=0,1,IF($I9132&lt;=1,2,0))</f>
        <v>1</v>
      </c>
      <c r="K9132">
        <v>7</v>
      </c>
      <c r="L9132">
        <f>IF(AND($J9132=0,$K9132=0),0,1)</f>
        <v>1</v>
      </c>
      <c r="M9132" t="s">
        <v>438</v>
      </c>
    </row>
    <row r="9133" spans="1:13" x14ac:dyDescent="0.2">
      <c r="A9133" t="s">
        <v>431</v>
      </c>
      <c r="B9133" t="s">
        <v>6</v>
      </c>
      <c r="C9133" t="s">
        <v>2</v>
      </c>
      <c r="D9133">
        <v>1112</v>
      </c>
      <c r="E9133">
        <v>2019</v>
      </c>
      <c r="F9133">
        <v>5</v>
      </c>
      <c r="G9133">
        <v>8525</v>
      </c>
      <c r="H9133" s="1">
        <v>0</v>
      </c>
      <c r="I9133">
        <v>10</v>
      </c>
      <c r="J9133">
        <f>IF($H9133=0,1,IF($I9133&lt;=1,2,0))</f>
        <v>1</v>
      </c>
      <c r="K9133">
        <v>7</v>
      </c>
      <c r="L9133">
        <f>IF(AND($J9133=0,$K9133=0),0,1)</f>
        <v>1</v>
      </c>
      <c r="M9133" t="s">
        <v>438</v>
      </c>
    </row>
    <row r="9134" spans="1:13" x14ac:dyDescent="0.2">
      <c r="A9134" t="s">
        <v>431</v>
      </c>
      <c r="B9134" t="s">
        <v>6</v>
      </c>
      <c r="C9134" t="s">
        <v>2</v>
      </c>
      <c r="D9134">
        <v>1112</v>
      </c>
      <c r="E9134">
        <v>2019</v>
      </c>
      <c r="F9134">
        <v>4</v>
      </c>
      <c r="G9134">
        <v>8524</v>
      </c>
      <c r="H9134" s="1">
        <v>0</v>
      </c>
      <c r="I9134">
        <v>8</v>
      </c>
      <c r="J9134">
        <f>IF($H9134=0,1,IF($I9134&lt;=1,2,0))</f>
        <v>1</v>
      </c>
      <c r="K9134">
        <v>7</v>
      </c>
      <c r="L9134">
        <f>IF(AND($J9134=0,$K9134=0),0,1)</f>
        <v>1</v>
      </c>
      <c r="M9134" t="s">
        <v>439</v>
      </c>
    </row>
    <row r="9135" spans="1:13" x14ac:dyDescent="0.2">
      <c r="A9135" t="s">
        <v>431</v>
      </c>
      <c r="B9135" t="s">
        <v>6</v>
      </c>
      <c r="C9135" t="s">
        <v>2</v>
      </c>
      <c r="D9135">
        <v>1112</v>
      </c>
      <c r="E9135">
        <v>2019</v>
      </c>
      <c r="F9135">
        <v>7</v>
      </c>
      <c r="G9135">
        <v>8527</v>
      </c>
      <c r="H9135" s="1">
        <v>0</v>
      </c>
      <c r="I9135">
        <v>7</v>
      </c>
      <c r="J9135">
        <f>IF($H9135=0,1,IF($I9135&lt;=1,2,0))</f>
        <v>1</v>
      </c>
      <c r="K9135">
        <v>7</v>
      </c>
      <c r="L9135">
        <f>IF(AND($J9135=0,$K9135=0),0,1)</f>
        <v>1</v>
      </c>
      <c r="M9135" t="s">
        <v>438</v>
      </c>
    </row>
    <row r="9136" spans="1:13" x14ac:dyDescent="0.2">
      <c r="A9136" t="s">
        <v>431</v>
      </c>
      <c r="B9136" t="s">
        <v>6</v>
      </c>
      <c r="C9136" t="s">
        <v>2</v>
      </c>
      <c r="D9136">
        <v>1112</v>
      </c>
      <c r="E9136">
        <v>2019</v>
      </c>
      <c r="F9136">
        <v>1</v>
      </c>
      <c r="G9136">
        <v>106</v>
      </c>
      <c r="H9136" s="1">
        <v>0</v>
      </c>
      <c r="I9136">
        <v>4</v>
      </c>
      <c r="J9136">
        <f>IF($H9136=0,1,IF($I9136&lt;=1,2,0))</f>
        <v>1</v>
      </c>
      <c r="K9136">
        <v>7</v>
      </c>
      <c r="L9136">
        <f>IF(AND($J9136=0,$K9136=0),0,1)</f>
        <v>1</v>
      </c>
      <c r="M9136" t="s">
        <v>437</v>
      </c>
    </row>
    <row r="9137" spans="1:13" x14ac:dyDescent="0.2">
      <c r="A9137" t="s">
        <v>431</v>
      </c>
      <c r="B9137" t="s">
        <v>6</v>
      </c>
      <c r="C9137" t="s">
        <v>2</v>
      </c>
      <c r="D9137">
        <v>1162</v>
      </c>
      <c r="E9137">
        <v>2019</v>
      </c>
      <c r="F9137">
        <v>3</v>
      </c>
      <c r="G9137">
        <v>8533</v>
      </c>
      <c r="H9137" s="1">
        <v>0</v>
      </c>
      <c r="I9137">
        <v>11</v>
      </c>
      <c r="J9137">
        <f>IF($H9137=0,1,IF($I9137&lt;=1,2,0))</f>
        <v>1</v>
      </c>
      <c r="K9137">
        <v>7</v>
      </c>
      <c r="L9137">
        <f>IF(AND($J9137=0,$K9137=0),0,1)</f>
        <v>1</v>
      </c>
      <c r="M9137" t="s">
        <v>440</v>
      </c>
    </row>
    <row r="9138" spans="1:13" x14ac:dyDescent="0.2">
      <c r="A9138" t="s">
        <v>431</v>
      </c>
      <c r="B9138" t="s">
        <v>6</v>
      </c>
      <c r="C9138" t="s">
        <v>2</v>
      </c>
      <c r="D9138">
        <v>1162</v>
      </c>
      <c r="E9138">
        <v>2019</v>
      </c>
      <c r="F9138">
        <v>2</v>
      </c>
      <c r="G9138">
        <v>8532</v>
      </c>
      <c r="H9138" s="1">
        <v>0</v>
      </c>
      <c r="I9138">
        <v>6</v>
      </c>
      <c r="J9138">
        <f>IF($H9138=0,1,IF($I9138&lt;=1,2,0))</f>
        <v>1</v>
      </c>
      <c r="K9138">
        <v>7</v>
      </c>
      <c r="L9138">
        <f>IF(AND($J9138=0,$K9138=0),0,1)</f>
        <v>1</v>
      </c>
      <c r="M9138" t="s">
        <v>440</v>
      </c>
    </row>
    <row r="9139" spans="1:13" x14ac:dyDescent="0.2">
      <c r="A9139" t="s">
        <v>431</v>
      </c>
      <c r="B9139" t="s">
        <v>6</v>
      </c>
      <c r="C9139" t="s">
        <v>2</v>
      </c>
      <c r="D9139">
        <v>1162</v>
      </c>
      <c r="E9139">
        <v>2019</v>
      </c>
      <c r="F9139">
        <v>4</v>
      </c>
      <c r="G9139">
        <v>8534</v>
      </c>
      <c r="H9139" s="1">
        <v>0</v>
      </c>
      <c r="I9139">
        <v>6</v>
      </c>
      <c r="J9139">
        <f>IF($H9139=0,1,IF($I9139&lt;=1,2,0))</f>
        <v>1</v>
      </c>
      <c r="K9139">
        <v>7</v>
      </c>
      <c r="L9139">
        <f>IF(AND($J9139=0,$K9139=0),0,1)</f>
        <v>1</v>
      </c>
      <c r="M9139" t="s">
        <v>440</v>
      </c>
    </row>
    <row r="9140" spans="1:13" x14ac:dyDescent="0.2">
      <c r="A9140" t="s">
        <v>431</v>
      </c>
      <c r="B9140" t="s">
        <v>6</v>
      </c>
      <c r="C9140" t="s">
        <v>2</v>
      </c>
      <c r="D9140">
        <v>1162</v>
      </c>
      <c r="E9140">
        <v>2019</v>
      </c>
      <c r="F9140">
        <v>1</v>
      </c>
      <c r="G9140">
        <v>8531</v>
      </c>
      <c r="H9140" s="1">
        <v>0</v>
      </c>
      <c r="I9140">
        <v>4</v>
      </c>
      <c r="J9140">
        <f>IF($H9140=0,1,IF($I9140&lt;=1,2,0))</f>
        <v>1</v>
      </c>
      <c r="K9140">
        <v>7</v>
      </c>
      <c r="L9140">
        <f>IF(AND($J9140=0,$K9140=0),0,1)</f>
        <v>1</v>
      </c>
      <c r="M9140" t="s">
        <v>440</v>
      </c>
    </row>
    <row r="9141" spans="1:13" x14ac:dyDescent="0.2">
      <c r="A9141" t="s">
        <v>431</v>
      </c>
      <c r="B9141" t="s">
        <v>6</v>
      </c>
      <c r="C9141" t="s">
        <v>2</v>
      </c>
      <c r="D9141">
        <v>1401</v>
      </c>
      <c r="E9141">
        <v>2019</v>
      </c>
      <c r="F9141">
        <v>1</v>
      </c>
      <c r="G9141">
        <v>8567</v>
      </c>
      <c r="H9141" s="1">
        <v>4</v>
      </c>
      <c r="I9141">
        <v>49</v>
      </c>
      <c r="J9141">
        <f>IF($H9141=0,1,IF($I9141&lt;=1,2,0))</f>
        <v>0</v>
      </c>
      <c r="K9141">
        <v>7</v>
      </c>
      <c r="L9141">
        <f>IF(AND($J9141=0,$K9141=0),0,1)</f>
        <v>1</v>
      </c>
      <c r="M9141" t="s">
        <v>441</v>
      </c>
    </row>
    <row r="9142" spans="1:13" x14ac:dyDescent="0.2">
      <c r="A9142" t="s">
        <v>431</v>
      </c>
      <c r="B9142" t="s">
        <v>6</v>
      </c>
      <c r="C9142" t="s">
        <v>2</v>
      </c>
      <c r="D9142">
        <v>1412</v>
      </c>
      <c r="E9142">
        <v>2019</v>
      </c>
      <c r="F9142">
        <v>3</v>
      </c>
      <c r="G9142">
        <v>8537</v>
      </c>
      <c r="H9142" s="1">
        <v>0</v>
      </c>
      <c r="I9142">
        <v>20</v>
      </c>
      <c r="J9142">
        <f>IF($H9142=0,1,IF($I9142&lt;=1,2,0))</f>
        <v>1</v>
      </c>
      <c r="K9142">
        <v>7</v>
      </c>
      <c r="L9142">
        <f>IF(AND($J9142=0,$K9142=0),0,1)</f>
        <v>1</v>
      </c>
      <c r="M9142" t="s">
        <v>442</v>
      </c>
    </row>
    <row r="9143" spans="1:13" x14ac:dyDescent="0.2">
      <c r="A9143" t="s">
        <v>431</v>
      </c>
      <c r="B9143" t="s">
        <v>6</v>
      </c>
      <c r="C9143" t="s">
        <v>2</v>
      </c>
      <c r="D9143">
        <v>1412</v>
      </c>
      <c r="E9143">
        <v>2019</v>
      </c>
      <c r="F9143">
        <v>2</v>
      </c>
      <c r="G9143">
        <v>8536</v>
      </c>
      <c r="H9143" s="1">
        <v>0</v>
      </c>
      <c r="I9143">
        <v>12</v>
      </c>
      <c r="J9143">
        <f>IF($H9143=0,1,IF($I9143&lt;=1,2,0))</f>
        <v>1</v>
      </c>
      <c r="K9143">
        <v>7</v>
      </c>
      <c r="L9143">
        <f>IF(AND($J9143=0,$K9143=0),0,1)</f>
        <v>1</v>
      </c>
      <c r="M9143" t="s">
        <v>442</v>
      </c>
    </row>
    <row r="9144" spans="1:13" x14ac:dyDescent="0.2">
      <c r="A9144" t="s">
        <v>431</v>
      </c>
      <c r="B9144" t="s">
        <v>6</v>
      </c>
      <c r="C9144" t="s">
        <v>2</v>
      </c>
      <c r="D9144">
        <v>1412</v>
      </c>
      <c r="E9144">
        <v>2019</v>
      </c>
      <c r="F9144">
        <v>4</v>
      </c>
      <c r="G9144">
        <v>201</v>
      </c>
      <c r="H9144" s="1">
        <v>0</v>
      </c>
      <c r="I9144">
        <v>11</v>
      </c>
      <c r="J9144">
        <f>IF($H9144=0,1,IF($I9144&lt;=1,2,0))</f>
        <v>1</v>
      </c>
      <c r="K9144">
        <v>7</v>
      </c>
      <c r="L9144">
        <f>IF(AND($J9144=0,$K9144=0),0,1)</f>
        <v>1</v>
      </c>
    </row>
    <row r="9145" spans="1:13" x14ac:dyDescent="0.2">
      <c r="A9145" t="s">
        <v>431</v>
      </c>
      <c r="B9145" t="s">
        <v>6</v>
      </c>
      <c r="C9145" t="s">
        <v>2</v>
      </c>
      <c r="D9145">
        <v>1412</v>
      </c>
      <c r="E9145">
        <v>2019</v>
      </c>
      <c r="F9145">
        <v>1</v>
      </c>
      <c r="G9145">
        <v>8535</v>
      </c>
      <c r="H9145" s="1">
        <v>0</v>
      </c>
      <c r="I9145">
        <v>3</v>
      </c>
      <c r="J9145">
        <f>IF($H9145=0,1,IF($I9145&lt;=1,2,0))</f>
        <v>1</v>
      </c>
      <c r="K9145">
        <v>7</v>
      </c>
      <c r="L9145">
        <f>IF(AND($J9145=0,$K9145=0),0,1)</f>
        <v>1</v>
      </c>
      <c r="M9145" t="s">
        <v>442</v>
      </c>
    </row>
    <row r="9146" spans="1:13" x14ac:dyDescent="0.2">
      <c r="A9146" t="s">
        <v>431</v>
      </c>
      <c r="B9146" t="s">
        <v>6</v>
      </c>
      <c r="C9146" t="s">
        <v>9</v>
      </c>
      <c r="D9146">
        <v>1769</v>
      </c>
      <c r="E9146">
        <v>2019</v>
      </c>
      <c r="F9146">
        <v>1</v>
      </c>
      <c r="G9146">
        <v>10629</v>
      </c>
      <c r="H9146" s="1">
        <v>0</v>
      </c>
      <c r="I9146">
        <v>34</v>
      </c>
      <c r="J9146">
        <f>IF($H9146=0,1,IF($I9146&lt;=1,2,0))</f>
        <v>1</v>
      </c>
      <c r="K9146">
        <v>0</v>
      </c>
      <c r="L9146">
        <f>IF(AND($J9146=0,$K9146=0),0,1)</f>
        <v>1</v>
      </c>
      <c r="M9146" t="s">
        <v>433</v>
      </c>
    </row>
    <row r="9147" spans="1:13" x14ac:dyDescent="0.2">
      <c r="A9147" t="s">
        <v>431</v>
      </c>
      <c r="B9147" t="s">
        <v>6</v>
      </c>
      <c r="C9147" t="s">
        <v>9</v>
      </c>
      <c r="D9147">
        <v>1787</v>
      </c>
      <c r="E9147">
        <v>2019</v>
      </c>
      <c r="F9147">
        <v>1</v>
      </c>
      <c r="G9147">
        <v>36521</v>
      </c>
      <c r="H9147" s="1">
        <v>0</v>
      </c>
      <c r="I9147">
        <v>28</v>
      </c>
      <c r="J9147">
        <f>IF($H9147=0,1,IF($I9147&lt;=1,2,0))</f>
        <v>1</v>
      </c>
      <c r="K9147">
        <v>0</v>
      </c>
      <c r="L9147">
        <f>IF(AND($J9147=0,$K9147=0),0,1)</f>
        <v>1</v>
      </c>
      <c r="M9147" t="s">
        <v>443</v>
      </c>
    </row>
    <row r="9148" spans="1:13" x14ac:dyDescent="0.2">
      <c r="A9148" t="s">
        <v>431</v>
      </c>
      <c r="B9148" t="s">
        <v>6</v>
      </c>
      <c r="C9148" t="s">
        <v>9</v>
      </c>
      <c r="D9148">
        <v>2113</v>
      </c>
      <c r="E9148">
        <v>2019</v>
      </c>
      <c r="F9148">
        <v>1</v>
      </c>
      <c r="G9148">
        <v>16543</v>
      </c>
      <c r="H9148" s="1">
        <v>0</v>
      </c>
      <c r="I9148">
        <v>9</v>
      </c>
      <c r="J9148">
        <f>IF($H9148=0,1,IF($I9148&lt;=1,2,0))</f>
        <v>1</v>
      </c>
      <c r="K9148">
        <v>0</v>
      </c>
      <c r="L9148">
        <f>IF(AND($J9148=0,$K9148=0),0,1)</f>
        <v>1</v>
      </c>
      <c r="M9148" t="s">
        <v>445</v>
      </c>
    </row>
    <row r="9149" spans="1:13" x14ac:dyDescent="0.2">
      <c r="A9149" t="s">
        <v>431</v>
      </c>
      <c r="B9149" t="s">
        <v>6</v>
      </c>
      <c r="C9149" t="s">
        <v>2</v>
      </c>
      <c r="D9149">
        <v>2321</v>
      </c>
      <c r="E9149">
        <v>2019</v>
      </c>
      <c r="F9149">
        <v>1</v>
      </c>
      <c r="G9149">
        <v>8604</v>
      </c>
      <c r="H9149" s="1">
        <v>3</v>
      </c>
      <c r="I9149">
        <v>45</v>
      </c>
      <c r="J9149">
        <f>IF($H9149=0,1,IF($I9149&lt;=1,2,0))</f>
        <v>0</v>
      </c>
      <c r="K9149">
        <v>7</v>
      </c>
      <c r="L9149">
        <f>IF(AND($J9149=0,$K9149=0),0,1)</f>
        <v>1</v>
      </c>
    </row>
    <row r="9150" spans="1:13" x14ac:dyDescent="0.2">
      <c r="A9150" t="s">
        <v>431</v>
      </c>
      <c r="B9150" t="s">
        <v>6</v>
      </c>
      <c r="C9150" t="s">
        <v>9</v>
      </c>
      <c r="D9150">
        <v>2378</v>
      </c>
      <c r="E9150">
        <v>2019</v>
      </c>
      <c r="F9150">
        <v>1</v>
      </c>
      <c r="G9150">
        <v>36469</v>
      </c>
      <c r="H9150" s="1">
        <v>0</v>
      </c>
      <c r="I9150">
        <v>105</v>
      </c>
      <c r="J9150">
        <f>IF($H9150=0,1,IF($I9150&lt;=1,2,0))</f>
        <v>1</v>
      </c>
      <c r="K9150">
        <v>0</v>
      </c>
      <c r="L9150">
        <f>IF(AND($J9150=0,$K9150=0),0,1)</f>
        <v>1</v>
      </c>
      <c r="M9150" t="s">
        <v>433</v>
      </c>
    </row>
    <row r="9151" spans="1:13" x14ac:dyDescent="0.2">
      <c r="A9151" t="s">
        <v>431</v>
      </c>
      <c r="B9151" t="s">
        <v>6</v>
      </c>
      <c r="C9151" t="s">
        <v>2</v>
      </c>
      <c r="D9151">
        <v>2401</v>
      </c>
      <c r="E9151">
        <v>2019</v>
      </c>
      <c r="F9151">
        <v>1</v>
      </c>
      <c r="G9151">
        <v>8538</v>
      </c>
      <c r="H9151" s="1">
        <v>3</v>
      </c>
      <c r="I9151">
        <v>82</v>
      </c>
      <c r="J9151">
        <f>IF($H9151=0,1,IF($I9151&lt;=1,2,0))</f>
        <v>0</v>
      </c>
      <c r="K9151">
        <v>7</v>
      </c>
      <c r="L9151">
        <f>IF(AND($J9151=0,$K9151=0),0,1)</f>
        <v>1</v>
      </c>
    </row>
    <row r="9152" spans="1:13" x14ac:dyDescent="0.2">
      <c r="A9152" t="s">
        <v>431</v>
      </c>
      <c r="B9152" t="s">
        <v>6</v>
      </c>
      <c r="C9152" t="s">
        <v>9</v>
      </c>
      <c r="D9152">
        <v>2433</v>
      </c>
      <c r="E9152">
        <v>2019</v>
      </c>
      <c r="F9152">
        <v>1</v>
      </c>
      <c r="G9152">
        <v>36511</v>
      </c>
      <c r="H9152" s="1">
        <v>0</v>
      </c>
      <c r="I9152">
        <v>46</v>
      </c>
      <c r="J9152">
        <f>IF($H9152=0,1,IF($I9152&lt;=1,2,0))</f>
        <v>1</v>
      </c>
      <c r="K9152">
        <v>0</v>
      </c>
      <c r="L9152">
        <f>IF(AND($J9152=0,$K9152=0),0,1)</f>
        <v>1</v>
      </c>
      <c r="M9152" t="s">
        <v>433</v>
      </c>
    </row>
    <row r="9153" spans="1:13" x14ac:dyDescent="0.2">
      <c r="A9153" t="s">
        <v>431</v>
      </c>
      <c r="B9153" t="s">
        <v>6</v>
      </c>
      <c r="C9153" t="s">
        <v>9</v>
      </c>
      <c r="D9153">
        <v>2479</v>
      </c>
      <c r="E9153">
        <v>2019</v>
      </c>
      <c r="F9153">
        <v>1</v>
      </c>
      <c r="G9153">
        <v>36471</v>
      </c>
      <c r="H9153" s="1">
        <v>0</v>
      </c>
      <c r="I9153">
        <v>34</v>
      </c>
      <c r="J9153">
        <f>IF($H9153=0,1,IF($I9153&lt;=1,2,0))</f>
        <v>1</v>
      </c>
      <c r="K9153">
        <v>0</v>
      </c>
      <c r="L9153">
        <f>IF(AND($J9153=0,$K9153=0),0,1)</f>
        <v>1</v>
      </c>
      <c r="M9153" t="s">
        <v>443</v>
      </c>
    </row>
    <row r="9154" spans="1:13" x14ac:dyDescent="0.2">
      <c r="A9154" t="s">
        <v>431</v>
      </c>
      <c r="B9154" t="s">
        <v>6</v>
      </c>
      <c r="C9154" t="s">
        <v>9</v>
      </c>
      <c r="D9154">
        <v>2524</v>
      </c>
      <c r="E9154">
        <v>2019</v>
      </c>
      <c r="F9154">
        <v>1</v>
      </c>
      <c r="G9154">
        <v>18079</v>
      </c>
      <c r="H9154" s="1">
        <v>0</v>
      </c>
      <c r="I9154">
        <v>21</v>
      </c>
      <c r="J9154">
        <f>IF($H9154=0,1,IF($I9154&lt;=1,2,0))</f>
        <v>1</v>
      </c>
      <c r="K9154">
        <v>0</v>
      </c>
      <c r="L9154">
        <f>IF(AND($J9154=0,$K9154=0),0,1)</f>
        <v>1</v>
      </c>
      <c r="M9154" t="s">
        <v>448</v>
      </c>
    </row>
    <row r="9155" spans="1:13" x14ac:dyDescent="0.2">
      <c r="A9155" t="s">
        <v>431</v>
      </c>
      <c r="B9155" t="s">
        <v>6</v>
      </c>
      <c r="C9155" t="s">
        <v>9</v>
      </c>
      <c r="D9155">
        <v>2534</v>
      </c>
      <c r="E9155">
        <v>2019</v>
      </c>
      <c r="F9155">
        <v>1</v>
      </c>
      <c r="G9155">
        <v>36473</v>
      </c>
      <c r="H9155" s="1">
        <v>0</v>
      </c>
      <c r="I9155">
        <v>37</v>
      </c>
      <c r="J9155">
        <f>IF($H9155=0,1,IF($I9155&lt;=1,2,0))</f>
        <v>1</v>
      </c>
      <c r="K9155">
        <v>0</v>
      </c>
      <c r="L9155">
        <f>IF(AND($J9155=0,$K9155=0),0,1)</f>
        <v>1</v>
      </c>
    </row>
    <row r="9156" spans="1:13" x14ac:dyDescent="0.2">
      <c r="A9156" t="s">
        <v>431</v>
      </c>
      <c r="B9156" t="s">
        <v>6</v>
      </c>
      <c r="C9156" t="s">
        <v>2</v>
      </c>
      <c r="D9156">
        <v>2567</v>
      </c>
      <c r="E9156">
        <v>2019</v>
      </c>
      <c r="F9156">
        <v>1</v>
      </c>
      <c r="G9156">
        <v>8607</v>
      </c>
      <c r="H9156" s="1">
        <v>3</v>
      </c>
      <c r="I9156">
        <v>46</v>
      </c>
      <c r="J9156">
        <f>IF($H9156=0,1,IF($I9156&lt;=1,2,0))</f>
        <v>0</v>
      </c>
      <c r="K9156">
        <v>7</v>
      </c>
      <c r="L9156">
        <f>IF(AND($J9156=0,$K9156=0),0,1)</f>
        <v>1</v>
      </c>
    </row>
    <row r="9157" spans="1:13" x14ac:dyDescent="0.2">
      <c r="A9157" t="s">
        <v>431</v>
      </c>
      <c r="B9157" t="s">
        <v>6</v>
      </c>
      <c r="C9157" t="s">
        <v>9</v>
      </c>
      <c r="D9157">
        <v>2581</v>
      </c>
      <c r="E9157">
        <v>2019</v>
      </c>
      <c r="F9157">
        <v>1</v>
      </c>
      <c r="G9157">
        <v>36487</v>
      </c>
      <c r="H9157" s="1">
        <v>0</v>
      </c>
      <c r="I9157">
        <v>101</v>
      </c>
      <c r="J9157">
        <f>IF($H9157=0,1,IF($I9157&lt;=1,2,0))</f>
        <v>1</v>
      </c>
      <c r="K9157">
        <v>0</v>
      </c>
      <c r="L9157">
        <f>IF(AND($J9157=0,$K9157=0),0,1)</f>
        <v>1</v>
      </c>
    </row>
    <row r="9158" spans="1:13" x14ac:dyDescent="0.2">
      <c r="A9158" t="s">
        <v>431</v>
      </c>
      <c r="B9158" t="s">
        <v>6</v>
      </c>
      <c r="C9158" t="s">
        <v>9</v>
      </c>
      <c r="D9158">
        <v>2588</v>
      </c>
      <c r="E9158">
        <v>2019</v>
      </c>
      <c r="F9158">
        <v>1</v>
      </c>
      <c r="G9158">
        <v>36489</v>
      </c>
      <c r="H9158" s="1">
        <v>0</v>
      </c>
      <c r="I9158">
        <v>39</v>
      </c>
      <c r="J9158">
        <f>IF($H9158=0,1,IF($I9158&lt;=1,2,0))</f>
        <v>1</v>
      </c>
      <c r="K9158">
        <v>0</v>
      </c>
      <c r="L9158">
        <f>IF(AND($J9158=0,$K9158=0),0,1)</f>
        <v>1</v>
      </c>
    </row>
    <row r="9159" spans="1:13" x14ac:dyDescent="0.2">
      <c r="A9159" t="s">
        <v>431</v>
      </c>
      <c r="B9159" t="s">
        <v>6</v>
      </c>
      <c r="C9159" t="s">
        <v>9</v>
      </c>
      <c r="D9159">
        <v>2619</v>
      </c>
      <c r="E9159">
        <v>2019</v>
      </c>
      <c r="F9159">
        <v>1</v>
      </c>
      <c r="G9159">
        <v>36491</v>
      </c>
      <c r="H9159" s="1">
        <v>0</v>
      </c>
      <c r="I9159">
        <v>95</v>
      </c>
      <c r="J9159">
        <f>IF($H9159=0,1,IF($I9159&lt;=1,2,0))</f>
        <v>1</v>
      </c>
      <c r="K9159">
        <v>0</v>
      </c>
      <c r="L9159">
        <f>IF(AND($J9159=0,$K9159=0),0,1)</f>
        <v>1</v>
      </c>
      <c r="M9159" t="s">
        <v>433</v>
      </c>
    </row>
    <row r="9160" spans="1:13" x14ac:dyDescent="0.2">
      <c r="A9160" t="s">
        <v>431</v>
      </c>
      <c r="B9160" t="s">
        <v>6</v>
      </c>
      <c r="C9160" t="s">
        <v>9</v>
      </c>
      <c r="D9160">
        <v>2629</v>
      </c>
      <c r="E9160">
        <v>2019</v>
      </c>
      <c r="F9160">
        <v>1</v>
      </c>
      <c r="G9160">
        <v>36517</v>
      </c>
      <c r="H9160" s="1">
        <v>0</v>
      </c>
      <c r="I9160">
        <v>17</v>
      </c>
      <c r="J9160">
        <f>IF($H9160=0,1,IF($I9160&lt;=1,2,0))</f>
        <v>1</v>
      </c>
      <c r="K9160">
        <v>0</v>
      </c>
      <c r="L9160">
        <f>IF(AND($J9160=0,$K9160=0),0,1)</f>
        <v>1</v>
      </c>
      <c r="M9160" t="s">
        <v>433</v>
      </c>
    </row>
    <row r="9161" spans="1:13" x14ac:dyDescent="0.2">
      <c r="A9161" t="s">
        <v>431</v>
      </c>
      <c r="B9161" t="s">
        <v>6</v>
      </c>
      <c r="C9161" t="s">
        <v>9</v>
      </c>
      <c r="D9161">
        <v>2720</v>
      </c>
      <c r="E9161">
        <v>2019</v>
      </c>
      <c r="F9161">
        <v>1</v>
      </c>
      <c r="G9161">
        <v>36493</v>
      </c>
      <c r="H9161" s="1">
        <v>0</v>
      </c>
      <c r="I9161">
        <v>186</v>
      </c>
      <c r="J9161">
        <f>IF($H9161=0,1,IF($I9161&lt;=1,2,0))</f>
        <v>1</v>
      </c>
      <c r="K9161">
        <v>0</v>
      </c>
      <c r="L9161">
        <f>IF(AND($J9161=0,$K9161=0),0,1)</f>
        <v>1</v>
      </c>
      <c r="M9161" t="s">
        <v>433</v>
      </c>
    </row>
    <row r="9162" spans="1:13" x14ac:dyDescent="0.2">
      <c r="A9162" t="s">
        <v>431</v>
      </c>
      <c r="B9162" t="s">
        <v>6</v>
      </c>
      <c r="C9162" t="s">
        <v>9</v>
      </c>
      <c r="D9162">
        <v>2773</v>
      </c>
      <c r="E9162">
        <v>2019</v>
      </c>
      <c r="F9162">
        <v>1</v>
      </c>
      <c r="G9162">
        <v>36495</v>
      </c>
      <c r="H9162" s="1">
        <v>0</v>
      </c>
      <c r="I9162">
        <v>53</v>
      </c>
      <c r="J9162">
        <f>IF($H9162=0,1,IF($I9162&lt;=1,2,0))</f>
        <v>1</v>
      </c>
      <c r="K9162">
        <v>0</v>
      </c>
      <c r="L9162">
        <f>IF(AND($J9162=0,$K9162=0),0,1)</f>
        <v>1</v>
      </c>
      <c r="M9162" t="s">
        <v>433</v>
      </c>
    </row>
    <row r="9163" spans="1:13" x14ac:dyDescent="0.2">
      <c r="A9163" t="s">
        <v>431</v>
      </c>
      <c r="B9163" t="s">
        <v>6</v>
      </c>
      <c r="C9163" t="s">
        <v>2</v>
      </c>
      <c r="D9163">
        <v>2980</v>
      </c>
      <c r="E9163">
        <v>2019</v>
      </c>
      <c r="F9163">
        <v>1</v>
      </c>
      <c r="G9163">
        <v>8530</v>
      </c>
      <c r="H9163" s="1">
        <v>3</v>
      </c>
      <c r="I9163">
        <v>46</v>
      </c>
      <c r="J9163">
        <f>IF($H9163=0,1,IF($I9163&lt;=1,2,0))</f>
        <v>0</v>
      </c>
      <c r="K9163">
        <v>7</v>
      </c>
      <c r="L9163">
        <f>IF(AND($J9163=0,$K9163=0),0,1)</f>
        <v>1</v>
      </c>
    </row>
    <row r="9164" spans="1:13" x14ac:dyDescent="0.2">
      <c r="A9164" t="s">
        <v>431</v>
      </c>
      <c r="B9164" t="s">
        <v>6</v>
      </c>
      <c r="C9164" t="s">
        <v>2</v>
      </c>
      <c r="D9164">
        <v>3327</v>
      </c>
      <c r="E9164">
        <v>2019</v>
      </c>
      <c r="F9164">
        <v>1</v>
      </c>
      <c r="G9164">
        <v>8602</v>
      </c>
      <c r="H9164" s="1">
        <v>4</v>
      </c>
      <c r="I9164">
        <v>21</v>
      </c>
      <c r="J9164">
        <f>IF($H9164=0,1,IF($I9164&lt;=1,2,0))</f>
        <v>0</v>
      </c>
      <c r="K9164">
        <v>7</v>
      </c>
      <c r="L9164">
        <f>IF(AND($J9164=0,$K9164=0),0,1)</f>
        <v>1</v>
      </c>
      <c r="M9164" t="s">
        <v>450</v>
      </c>
    </row>
    <row r="9165" spans="1:13" x14ac:dyDescent="0.2">
      <c r="A9165" t="s">
        <v>431</v>
      </c>
      <c r="B9165" t="s">
        <v>6</v>
      </c>
      <c r="C9165" t="s">
        <v>2</v>
      </c>
      <c r="D9165">
        <v>3360</v>
      </c>
      <c r="E9165">
        <v>2019</v>
      </c>
      <c r="F9165">
        <v>1</v>
      </c>
      <c r="G9165">
        <v>8571</v>
      </c>
      <c r="H9165" s="1">
        <v>4</v>
      </c>
      <c r="I9165">
        <v>14</v>
      </c>
      <c r="J9165">
        <f>IF($H9165=0,1,IF($I9165&lt;=1,2,0))</f>
        <v>0</v>
      </c>
      <c r="K9165">
        <v>7</v>
      </c>
      <c r="L9165">
        <f>IF(AND($J9165=0,$K9165=0),0,1)</f>
        <v>1</v>
      </c>
      <c r="M9165" t="s">
        <v>451</v>
      </c>
    </row>
    <row r="9166" spans="1:13" x14ac:dyDescent="0.2">
      <c r="A9166" t="s">
        <v>431</v>
      </c>
      <c r="B9166" t="s">
        <v>6</v>
      </c>
      <c r="C9166" t="s">
        <v>2</v>
      </c>
      <c r="D9166">
        <v>3391</v>
      </c>
      <c r="E9166">
        <v>2019</v>
      </c>
      <c r="F9166">
        <v>1</v>
      </c>
      <c r="G9166">
        <v>8572</v>
      </c>
      <c r="H9166" s="1">
        <v>4</v>
      </c>
      <c r="I9166">
        <v>36</v>
      </c>
      <c r="J9166">
        <f>IF($H9166=0,1,IF($I9166&lt;=1,2,0))</f>
        <v>0</v>
      </c>
      <c r="K9166">
        <v>7</v>
      </c>
      <c r="L9166">
        <f>IF(AND($J9166=0,$K9166=0),0,1)</f>
        <v>1</v>
      </c>
      <c r="M9166" t="s">
        <v>452</v>
      </c>
    </row>
    <row r="9167" spans="1:13" x14ac:dyDescent="0.2">
      <c r="A9167" t="s">
        <v>431</v>
      </c>
      <c r="B9167" t="s">
        <v>6</v>
      </c>
      <c r="C9167" t="s">
        <v>2</v>
      </c>
      <c r="D9167">
        <v>3491</v>
      </c>
      <c r="E9167">
        <v>2019</v>
      </c>
      <c r="F9167">
        <v>1</v>
      </c>
      <c r="G9167">
        <v>199</v>
      </c>
      <c r="H9167" s="1">
        <v>4</v>
      </c>
      <c r="I9167">
        <v>13</v>
      </c>
      <c r="J9167">
        <f>IF($H9167=0,1,IF($I9167&lt;=1,2,0))</f>
        <v>0</v>
      </c>
      <c r="K9167">
        <v>7</v>
      </c>
      <c r="L9167">
        <f>IF(AND($J9167=0,$K9167=0),0,1)</f>
        <v>1</v>
      </c>
      <c r="M9167" t="s">
        <v>453</v>
      </c>
    </row>
    <row r="9168" spans="1:13" x14ac:dyDescent="0.2">
      <c r="A9168" t="s">
        <v>431</v>
      </c>
      <c r="B9168" t="s">
        <v>6</v>
      </c>
      <c r="C9168" t="s">
        <v>2</v>
      </c>
      <c r="D9168">
        <v>3658</v>
      </c>
      <c r="E9168">
        <v>2019</v>
      </c>
      <c r="F9168">
        <v>1</v>
      </c>
      <c r="G9168">
        <v>8605</v>
      </c>
      <c r="H9168" s="1">
        <v>4</v>
      </c>
      <c r="I9168">
        <v>13</v>
      </c>
      <c r="J9168">
        <f>IF($H9168=0,1,IF($I9168&lt;=1,2,0))</f>
        <v>0</v>
      </c>
      <c r="K9168">
        <v>7</v>
      </c>
      <c r="L9168">
        <f>IF(AND($J9168=0,$K9168=0),0,1)</f>
        <v>1</v>
      </c>
      <c r="M9168" t="s">
        <v>453</v>
      </c>
    </row>
    <row r="9169" spans="1:13" x14ac:dyDescent="0.2">
      <c r="A9169" t="s">
        <v>431</v>
      </c>
      <c r="B9169" t="s">
        <v>6</v>
      </c>
      <c r="C9169" t="s">
        <v>2</v>
      </c>
      <c r="D9169">
        <v>3776</v>
      </c>
      <c r="E9169">
        <v>2019</v>
      </c>
      <c r="F9169">
        <v>1</v>
      </c>
      <c r="G9169">
        <v>8603</v>
      </c>
      <c r="H9169" s="1">
        <v>4</v>
      </c>
      <c r="I9169">
        <v>14</v>
      </c>
      <c r="J9169">
        <f>IF($H9169=0,1,IF($I9169&lt;=1,2,0))</f>
        <v>0</v>
      </c>
      <c r="K9169">
        <v>7</v>
      </c>
      <c r="L9169">
        <f>IF(AND($J9169=0,$K9169=0),0,1)</f>
        <v>1</v>
      </c>
      <c r="M9169" t="s">
        <v>454</v>
      </c>
    </row>
    <row r="9170" spans="1:13" x14ac:dyDescent="0.2">
      <c r="A9170" t="s">
        <v>431</v>
      </c>
      <c r="B9170" t="s">
        <v>6</v>
      </c>
      <c r="C9170" t="s">
        <v>2</v>
      </c>
      <c r="D9170">
        <v>3799</v>
      </c>
      <c r="E9170">
        <v>2019</v>
      </c>
      <c r="F9170">
        <v>1</v>
      </c>
      <c r="G9170">
        <v>264</v>
      </c>
      <c r="H9170" s="1" t="s">
        <v>1823</v>
      </c>
      <c r="I9170">
        <v>1</v>
      </c>
      <c r="J9170">
        <f>IF($H9170=0,1,IF($I9170&lt;=1,2,0))</f>
        <v>2</v>
      </c>
      <c r="K9170">
        <v>7</v>
      </c>
      <c r="L9170">
        <f>IF(AND($J9170=0,$K9170=0),0,1)</f>
        <v>1</v>
      </c>
    </row>
    <row r="9171" spans="1:13" x14ac:dyDescent="0.2">
      <c r="A9171" t="s">
        <v>431</v>
      </c>
      <c r="B9171" t="s">
        <v>6</v>
      </c>
      <c r="C9171" t="s">
        <v>2</v>
      </c>
      <c r="D9171">
        <v>3904</v>
      </c>
      <c r="E9171">
        <v>2019</v>
      </c>
      <c r="F9171">
        <v>1</v>
      </c>
      <c r="G9171">
        <v>8601</v>
      </c>
      <c r="H9171" s="1">
        <v>4</v>
      </c>
      <c r="I9171">
        <v>11</v>
      </c>
      <c r="J9171">
        <f>IF($H9171=0,1,IF($I9171&lt;=1,2,0))</f>
        <v>0</v>
      </c>
      <c r="K9171">
        <v>7</v>
      </c>
      <c r="L9171">
        <f>IF(AND($J9171=0,$K9171=0),0,1)</f>
        <v>1</v>
      </c>
      <c r="M9171" t="s">
        <v>453</v>
      </c>
    </row>
    <row r="9172" spans="1:13" x14ac:dyDescent="0.2">
      <c r="A9172" t="s">
        <v>431</v>
      </c>
      <c r="B9172" t="s">
        <v>6</v>
      </c>
      <c r="C9172" t="s">
        <v>33</v>
      </c>
      <c r="D9172">
        <v>3991</v>
      </c>
      <c r="E9172">
        <v>2019</v>
      </c>
      <c r="F9172">
        <v>4</v>
      </c>
      <c r="G9172">
        <v>19290</v>
      </c>
      <c r="H9172" s="1">
        <v>3</v>
      </c>
      <c r="I9172">
        <v>1</v>
      </c>
      <c r="J9172">
        <f>IF($H9172=0,1,IF($I9172&lt;=1,2,0))</f>
        <v>2</v>
      </c>
      <c r="K9172">
        <v>0</v>
      </c>
      <c r="L9172">
        <f>IF(AND($J9172=0,$K9172=0),0,1)</f>
        <v>1</v>
      </c>
    </row>
    <row r="9173" spans="1:13" x14ac:dyDescent="0.2">
      <c r="A9173" t="s">
        <v>431</v>
      </c>
      <c r="B9173" t="s">
        <v>6</v>
      </c>
      <c r="C9173" t="s">
        <v>33</v>
      </c>
      <c r="D9173">
        <v>3991</v>
      </c>
      <c r="E9173">
        <v>2019</v>
      </c>
      <c r="F9173">
        <v>6</v>
      </c>
      <c r="G9173">
        <v>19292</v>
      </c>
      <c r="H9173" s="1">
        <v>3</v>
      </c>
      <c r="I9173">
        <v>1</v>
      </c>
      <c r="J9173">
        <f>IF($H9173=0,1,IF($I9173&lt;=1,2,0))</f>
        <v>2</v>
      </c>
      <c r="K9173">
        <v>0</v>
      </c>
      <c r="L9173">
        <f>IF(AND($J9173=0,$K9173=0),0,1)</f>
        <v>1</v>
      </c>
    </row>
    <row r="9174" spans="1:13" x14ac:dyDescent="0.2">
      <c r="A9174" t="s">
        <v>431</v>
      </c>
      <c r="B9174" t="s">
        <v>6</v>
      </c>
      <c r="C9174" t="s">
        <v>183</v>
      </c>
      <c r="D9174">
        <v>3992</v>
      </c>
      <c r="E9174">
        <v>2019</v>
      </c>
      <c r="F9174">
        <v>3</v>
      </c>
      <c r="G9174">
        <v>19383</v>
      </c>
      <c r="H9174" s="1">
        <v>4</v>
      </c>
      <c r="I9174">
        <v>1</v>
      </c>
      <c r="J9174">
        <f>IF($H9174=0,1,IF($I9174&lt;=1,2,0))</f>
        <v>2</v>
      </c>
      <c r="K9174">
        <v>0</v>
      </c>
      <c r="L9174">
        <f>IF(AND($J9174=0,$K9174=0),0,1)</f>
        <v>1</v>
      </c>
    </row>
    <row r="9175" spans="1:13" x14ac:dyDescent="0.2">
      <c r="A9175" t="s">
        <v>431</v>
      </c>
      <c r="B9175" t="s">
        <v>6</v>
      </c>
      <c r="C9175" t="s">
        <v>183</v>
      </c>
      <c r="D9175">
        <v>3992</v>
      </c>
      <c r="E9175">
        <v>2019</v>
      </c>
      <c r="F9175">
        <v>4</v>
      </c>
      <c r="G9175">
        <v>19384</v>
      </c>
      <c r="H9175" s="1">
        <v>4</v>
      </c>
      <c r="I9175">
        <v>1</v>
      </c>
      <c r="J9175">
        <f>IF($H9175=0,1,IF($I9175&lt;=1,2,0))</f>
        <v>2</v>
      </c>
      <c r="K9175">
        <v>0</v>
      </c>
      <c r="L9175">
        <f>IF(AND($J9175=0,$K9175=0),0,1)</f>
        <v>1</v>
      </c>
    </row>
    <row r="9176" spans="1:13" x14ac:dyDescent="0.2">
      <c r="A9176" t="s">
        <v>431</v>
      </c>
      <c r="B9176" t="s">
        <v>6</v>
      </c>
      <c r="C9176" t="s">
        <v>183</v>
      </c>
      <c r="D9176">
        <v>3992</v>
      </c>
      <c r="E9176">
        <v>2019</v>
      </c>
      <c r="F9176">
        <v>5</v>
      </c>
      <c r="G9176">
        <v>19385</v>
      </c>
      <c r="H9176" s="1">
        <v>4</v>
      </c>
      <c r="I9176">
        <v>1</v>
      </c>
      <c r="J9176">
        <f>IF($H9176=0,1,IF($I9176&lt;=1,2,0))</f>
        <v>2</v>
      </c>
      <c r="K9176">
        <v>0</v>
      </c>
      <c r="L9176">
        <f>IF(AND($J9176=0,$K9176=0),0,1)</f>
        <v>1</v>
      </c>
    </row>
    <row r="9177" spans="1:13" x14ac:dyDescent="0.2">
      <c r="A9177" t="s">
        <v>431</v>
      </c>
      <c r="B9177" t="s">
        <v>6</v>
      </c>
      <c r="C9177" t="s">
        <v>183</v>
      </c>
      <c r="D9177">
        <v>3992</v>
      </c>
      <c r="E9177">
        <v>2019</v>
      </c>
      <c r="F9177">
        <v>2</v>
      </c>
      <c r="G9177">
        <v>19382</v>
      </c>
      <c r="H9177" s="1">
        <v>4</v>
      </c>
      <c r="I9177">
        <v>0</v>
      </c>
      <c r="J9177">
        <f>IF($H9177=0,1,IF($I9177&lt;=1,2,0))</f>
        <v>2</v>
      </c>
      <c r="K9177">
        <v>0</v>
      </c>
      <c r="L9177">
        <f>IF(AND($J9177=0,$K9177=0),0,1)</f>
        <v>1</v>
      </c>
    </row>
    <row r="9178" spans="1:13" x14ac:dyDescent="0.2">
      <c r="A9178" t="s">
        <v>431</v>
      </c>
      <c r="B9178" t="s">
        <v>6</v>
      </c>
      <c r="C9178" t="s">
        <v>33</v>
      </c>
      <c r="D9178">
        <v>3997</v>
      </c>
      <c r="E9178">
        <v>2019</v>
      </c>
      <c r="F9178">
        <v>1</v>
      </c>
      <c r="G9178">
        <v>19307</v>
      </c>
      <c r="H9178" s="1">
        <v>4</v>
      </c>
      <c r="I9178">
        <v>1</v>
      </c>
      <c r="J9178">
        <f>IF($H9178=0,1,IF($I9178&lt;=1,2,0))</f>
        <v>2</v>
      </c>
      <c r="K9178">
        <v>9</v>
      </c>
      <c r="L9178">
        <f>IF(AND($J9178=0,$K9178=0),0,1)</f>
        <v>1</v>
      </c>
    </row>
    <row r="9179" spans="1:13" x14ac:dyDescent="0.2">
      <c r="A9179" t="s">
        <v>431</v>
      </c>
      <c r="B9179" t="s">
        <v>6</v>
      </c>
      <c r="C9179" t="s">
        <v>11</v>
      </c>
      <c r="D9179">
        <v>5993</v>
      </c>
      <c r="E9179">
        <v>2019</v>
      </c>
      <c r="F9179">
        <v>1</v>
      </c>
      <c r="G9179">
        <v>18209</v>
      </c>
      <c r="H9179" s="1" t="s">
        <v>1827</v>
      </c>
      <c r="I9179">
        <v>25</v>
      </c>
      <c r="J9179">
        <f>IF($H9179=0,1,IF($I9179&lt;=1,2,0))</f>
        <v>0</v>
      </c>
      <c r="K9179">
        <v>4</v>
      </c>
      <c r="L9179">
        <f>IF(AND($J9179=0,$K9179=0),0,1)</f>
        <v>1</v>
      </c>
      <c r="M9179" t="s">
        <v>458</v>
      </c>
    </row>
    <row r="9180" spans="1:13" x14ac:dyDescent="0.2">
      <c r="A9180" t="s">
        <v>431</v>
      </c>
      <c r="B9180" t="s">
        <v>6</v>
      </c>
      <c r="C9180" t="s">
        <v>33</v>
      </c>
      <c r="D9180">
        <v>6301</v>
      </c>
      <c r="E9180">
        <v>2019</v>
      </c>
      <c r="F9180">
        <v>2</v>
      </c>
      <c r="G9180">
        <v>19348</v>
      </c>
      <c r="H9180" s="1">
        <v>4</v>
      </c>
      <c r="I9180">
        <v>1</v>
      </c>
      <c r="J9180">
        <f>IF($H9180=0,1,IF($I9180&lt;=1,2,0))</f>
        <v>2</v>
      </c>
      <c r="K9180">
        <v>0</v>
      </c>
      <c r="L9180">
        <f>IF(AND($J9180=0,$K9180=0),0,1)</f>
        <v>1</v>
      </c>
    </row>
    <row r="9181" spans="1:13" x14ac:dyDescent="0.2">
      <c r="A9181" t="s">
        <v>431</v>
      </c>
      <c r="B9181" t="s">
        <v>6</v>
      </c>
      <c r="C9181" t="s">
        <v>33</v>
      </c>
      <c r="D9181">
        <v>6301</v>
      </c>
      <c r="E9181">
        <v>2019</v>
      </c>
      <c r="F9181">
        <v>1</v>
      </c>
      <c r="G9181">
        <v>19347</v>
      </c>
      <c r="H9181" s="1">
        <v>4</v>
      </c>
      <c r="I9181">
        <v>0</v>
      </c>
      <c r="J9181">
        <f>IF($H9181=0,1,IF($I9181&lt;=1,2,0))</f>
        <v>2</v>
      </c>
      <c r="K9181">
        <v>0</v>
      </c>
      <c r="L9181">
        <f>IF(AND($J9181=0,$K9181=0),0,1)</f>
        <v>1</v>
      </c>
    </row>
    <row r="9182" spans="1:13" x14ac:dyDescent="0.2">
      <c r="A9182" t="s">
        <v>431</v>
      </c>
      <c r="B9182" t="s">
        <v>6</v>
      </c>
      <c r="C9182" t="s">
        <v>33</v>
      </c>
      <c r="D9182">
        <v>6301</v>
      </c>
      <c r="E9182">
        <v>2019</v>
      </c>
      <c r="F9182">
        <v>3</v>
      </c>
      <c r="G9182">
        <v>19349</v>
      </c>
      <c r="H9182" s="1">
        <v>4</v>
      </c>
      <c r="I9182">
        <v>0</v>
      </c>
      <c r="J9182">
        <f>IF($H9182=0,1,IF($I9182&lt;=1,2,0))</f>
        <v>2</v>
      </c>
      <c r="K9182">
        <v>0</v>
      </c>
      <c r="L9182">
        <f>IF(AND($J9182=0,$K9182=0),0,1)</f>
        <v>1</v>
      </c>
    </row>
    <row r="9183" spans="1:13" x14ac:dyDescent="0.2">
      <c r="A9183" t="s">
        <v>431</v>
      </c>
      <c r="B9183" t="s">
        <v>6</v>
      </c>
      <c r="C9183" t="s">
        <v>33</v>
      </c>
      <c r="D9183">
        <v>6301</v>
      </c>
      <c r="E9183">
        <v>2019</v>
      </c>
      <c r="F9183">
        <v>4</v>
      </c>
      <c r="G9183">
        <v>19350</v>
      </c>
      <c r="H9183" s="1">
        <v>4</v>
      </c>
      <c r="I9183">
        <v>0</v>
      </c>
      <c r="J9183">
        <f>IF($H9183=0,1,IF($I9183&lt;=1,2,0))</f>
        <v>2</v>
      </c>
      <c r="K9183">
        <v>0</v>
      </c>
      <c r="L9183">
        <f>IF(AND($J9183=0,$K9183=0),0,1)</f>
        <v>1</v>
      </c>
    </row>
    <row r="9184" spans="1:13" x14ac:dyDescent="0.2">
      <c r="A9184" t="s">
        <v>431</v>
      </c>
      <c r="B9184" t="s">
        <v>6</v>
      </c>
      <c r="C9184" t="s">
        <v>33</v>
      </c>
      <c r="D9184">
        <v>6301</v>
      </c>
      <c r="E9184">
        <v>2019</v>
      </c>
      <c r="F9184">
        <v>5</v>
      </c>
      <c r="G9184">
        <v>19351</v>
      </c>
      <c r="H9184" s="1">
        <v>4</v>
      </c>
      <c r="I9184">
        <v>0</v>
      </c>
      <c r="J9184">
        <f>IF($H9184=0,1,IF($I9184&lt;=1,2,0))</f>
        <v>2</v>
      </c>
      <c r="K9184">
        <v>0</v>
      </c>
      <c r="L9184">
        <f>IF(AND($J9184=0,$K9184=0),0,1)</f>
        <v>1</v>
      </c>
    </row>
    <row r="9185" spans="1:13" x14ac:dyDescent="0.2">
      <c r="A9185" t="s">
        <v>431</v>
      </c>
      <c r="B9185" t="s">
        <v>6</v>
      </c>
      <c r="C9185" t="s">
        <v>11</v>
      </c>
      <c r="D9185">
        <v>6998</v>
      </c>
      <c r="E9185">
        <v>2019</v>
      </c>
      <c r="F9185">
        <v>10</v>
      </c>
      <c r="G9185">
        <v>13364</v>
      </c>
      <c r="H9185" s="1">
        <v>4</v>
      </c>
      <c r="I9185">
        <v>10</v>
      </c>
      <c r="J9185">
        <f>IF($H9185=0,1,IF($I9185&lt;=1,2,0))</f>
        <v>0</v>
      </c>
      <c r="K9185">
        <v>4</v>
      </c>
      <c r="L9185">
        <f>IF(AND($J9185=0,$K9185=0),0,1)</f>
        <v>1</v>
      </c>
      <c r="M9185" t="s">
        <v>459</v>
      </c>
    </row>
    <row r="9186" spans="1:13" x14ac:dyDescent="0.2">
      <c r="A9186" t="s">
        <v>431</v>
      </c>
      <c r="B9186" t="s">
        <v>6</v>
      </c>
      <c r="C9186" t="s">
        <v>11</v>
      </c>
      <c r="D9186">
        <v>6998</v>
      </c>
      <c r="E9186">
        <v>2019</v>
      </c>
      <c r="F9186">
        <v>11</v>
      </c>
      <c r="G9186">
        <v>13365</v>
      </c>
      <c r="H9186" s="1">
        <v>4</v>
      </c>
      <c r="I9186">
        <v>7</v>
      </c>
      <c r="J9186">
        <f>IF($H9186=0,1,IF($I9186&lt;=1,2,0))</f>
        <v>0</v>
      </c>
      <c r="K9186">
        <v>4</v>
      </c>
      <c r="L9186">
        <f>IF(AND($J9186=0,$K9186=0),0,1)</f>
        <v>1</v>
      </c>
      <c r="M9186" t="s">
        <v>459</v>
      </c>
    </row>
    <row r="9187" spans="1:13" x14ac:dyDescent="0.2">
      <c r="A9187" t="s">
        <v>431</v>
      </c>
      <c r="B9187" t="s">
        <v>6</v>
      </c>
      <c r="C9187" t="s">
        <v>11</v>
      </c>
      <c r="D9187">
        <v>6998</v>
      </c>
      <c r="E9187">
        <v>2019</v>
      </c>
      <c r="F9187">
        <v>4</v>
      </c>
      <c r="G9187">
        <v>13358</v>
      </c>
      <c r="H9187" s="1">
        <v>4</v>
      </c>
      <c r="I9187">
        <v>5</v>
      </c>
      <c r="J9187">
        <f>IF($H9187=0,1,IF($I9187&lt;=1,2,0))</f>
        <v>0</v>
      </c>
      <c r="K9187">
        <v>4</v>
      </c>
      <c r="L9187">
        <f>IF(AND($J9187=0,$K9187=0),0,1)</f>
        <v>1</v>
      </c>
      <c r="M9187" t="s">
        <v>459</v>
      </c>
    </row>
    <row r="9188" spans="1:13" x14ac:dyDescent="0.2">
      <c r="A9188" t="s">
        <v>431</v>
      </c>
      <c r="B9188" t="s">
        <v>6</v>
      </c>
      <c r="C9188" t="s">
        <v>11</v>
      </c>
      <c r="D9188">
        <v>6998</v>
      </c>
      <c r="E9188">
        <v>2019</v>
      </c>
      <c r="F9188">
        <v>3</v>
      </c>
      <c r="G9188">
        <v>13357</v>
      </c>
      <c r="H9188" s="1">
        <v>4</v>
      </c>
      <c r="I9188">
        <v>4</v>
      </c>
      <c r="J9188">
        <f>IF($H9188=0,1,IF($I9188&lt;=1,2,0))</f>
        <v>0</v>
      </c>
      <c r="K9188">
        <v>4</v>
      </c>
      <c r="L9188">
        <f>IF(AND($J9188=0,$K9188=0),0,1)</f>
        <v>1</v>
      </c>
      <c r="M9188" t="s">
        <v>459</v>
      </c>
    </row>
    <row r="9189" spans="1:13" x14ac:dyDescent="0.2">
      <c r="A9189" t="s">
        <v>431</v>
      </c>
      <c r="B9189" t="s">
        <v>6</v>
      </c>
      <c r="C9189" t="s">
        <v>11</v>
      </c>
      <c r="D9189">
        <v>6998</v>
      </c>
      <c r="E9189">
        <v>2019</v>
      </c>
      <c r="F9189">
        <v>9</v>
      </c>
      <c r="G9189">
        <v>13363</v>
      </c>
      <c r="H9189" s="1">
        <v>4</v>
      </c>
      <c r="I9189">
        <v>3</v>
      </c>
      <c r="J9189">
        <f>IF($H9189=0,1,IF($I9189&lt;=1,2,0))</f>
        <v>0</v>
      </c>
      <c r="K9189">
        <v>4</v>
      </c>
      <c r="L9189">
        <f>IF(AND($J9189=0,$K9189=0),0,1)</f>
        <v>1</v>
      </c>
      <c r="M9189" t="s">
        <v>459</v>
      </c>
    </row>
    <row r="9190" spans="1:13" x14ac:dyDescent="0.2">
      <c r="A9190" t="s">
        <v>431</v>
      </c>
      <c r="B9190" t="s">
        <v>6</v>
      </c>
      <c r="C9190" t="s">
        <v>11</v>
      </c>
      <c r="D9190">
        <v>6998</v>
      </c>
      <c r="E9190">
        <v>2019</v>
      </c>
      <c r="F9190">
        <v>16</v>
      </c>
      <c r="G9190">
        <v>13370</v>
      </c>
      <c r="H9190" s="1">
        <v>4</v>
      </c>
      <c r="I9190">
        <v>3</v>
      </c>
      <c r="J9190">
        <f>IF($H9190=0,1,IF($I9190&lt;=1,2,0))</f>
        <v>0</v>
      </c>
      <c r="K9190">
        <v>4</v>
      </c>
      <c r="L9190">
        <f>IF(AND($J9190=0,$K9190=0),0,1)</f>
        <v>1</v>
      </c>
      <c r="M9190" t="s">
        <v>459</v>
      </c>
    </row>
    <row r="9191" spans="1:13" x14ac:dyDescent="0.2">
      <c r="A9191" t="s">
        <v>431</v>
      </c>
      <c r="B9191" t="s">
        <v>6</v>
      </c>
      <c r="C9191" t="s">
        <v>11</v>
      </c>
      <c r="D9191">
        <v>6998</v>
      </c>
      <c r="E9191">
        <v>2019</v>
      </c>
      <c r="F9191">
        <v>1</v>
      </c>
      <c r="G9191">
        <v>13355</v>
      </c>
      <c r="H9191" s="1">
        <v>4</v>
      </c>
      <c r="I9191">
        <v>2</v>
      </c>
      <c r="J9191">
        <f>IF($H9191=0,1,IF($I9191&lt;=1,2,0))</f>
        <v>0</v>
      </c>
      <c r="K9191">
        <v>4</v>
      </c>
      <c r="L9191">
        <f>IF(AND($J9191=0,$K9191=0),0,1)</f>
        <v>1</v>
      </c>
      <c r="M9191" t="s">
        <v>459</v>
      </c>
    </row>
    <row r="9192" spans="1:13" x14ac:dyDescent="0.2">
      <c r="A9192" t="s">
        <v>431</v>
      </c>
      <c r="B9192" t="s">
        <v>6</v>
      </c>
      <c r="C9192" t="s">
        <v>11</v>
      </c>
      <c r="D9192">
        <v>6998</v>
      </c>
      <c r="E9192">
        <v>2019</v>
      </c>
      <c r="F9192">
        <v>15</v>
      </c>
      <c r="G9192">
        <v>13369</v>
      </c>
      <c r="H9192" s="1">
        <v>4</v>
      </c>
      <c r="I9192">
        <v>2</v>
      </c>
      <c r="J9192">
        <f>IF($H9192=0,1,IF($I9192&lt;=1,2,0))</f>
        <v>0</v>
      </c>
      <c r="K9192">
        <v>4</v>
      </c>
      <c r="L9192">
        <f>IF(AND($J9192=0,$K9192=0),0,1)</f>
        <v>1</v>
      </c>
      <c r="M9192" t="s">
        <v>459</v>
      </c>
    </row>
    <row r="9193" spans="1:13" x14ac:dyDescent="0.2">
      <c r="A9193" t="s">
        <v>431</v>
      </c>
      <c r="B9193" t="s">
        <v>6</v>
      </c>
      <c r="C9193" t="s">
        <v>11</v>
      </c>
      <c r="D9193">
        <v>6998</v>
      </c>
      <c r="E9193">
        <v>2019</v>
      </c>
      <c r="F9193">
        <v>21</v>
      </c>
      <c r="G9193">
        <v>13375</v>
      </c>
      <c r="H9193" s="1">
        <v>4</v>
      </c>
      <c r="I9193">
        <v>2</v>
      </c>
      <c r="J9193">
        <f>IF($H9193=0,1,IF($I9193&lt;=1,2,0))</f>
        <v>0</v>
      </c>
      <c r="K9193">
        <v>4</v>
      </c>
      <c r="L9193">
        <f>IF(AND($J9193=0,$K9193=0),0,1)</f>
        <v>1</v>
      </c>
      <c r="M9193" t="s">
        <v>459</v>
      </c>
    </row>
    <row r="9194" spans="1:13" x14ac:dyDescent="0.2">
      <c r="A9194" t="s">
        <v>431</v>
      </c>
      <c r="B9194" t="s">
        <v>6</v>
      </c>
      <c r="C9194" t="s">
        <v>11</v>
      </c>
      <c r="D9194">
        <v>6998</v>
      </c>
      <c r="E9194">
        <v>2019</v>
      </c>
      <c r="F9194">
        <v>5</v>
      </c>
      <c r="G9194">
        <v>13359</v>
      </c>
      <c r="H9194" s="1">
        <v>4</v>
      </c>
      <c r="I9194">
        <v>1</v>
      </c>
      <c r="J9194">
        <f>IF($H9194=0,1,IF($I9194&lt;=1,2,0))</f>
        <v>2</v>
      </c>
      <c r="K9194">
        <v>0</v>
      </c>
      <c r="L9194">
        <f>IF(AND($J9194=0,$K9194=0),0,1)</f>
        <v>1</v>
      </c>
      <c r="M9194" t="s">
        <v>459</v>
      </c>
    </row>
    <row r="9195" spans="1:13" x14ac:dyDescent="0.2">
      <c r="A9195" t="s">
        <v>431</v>
      </c>
      <c r="B9195" t="s">
        <v>6</v>
      </c>
      <c r="C9195" t="s">
        <v>11</v>
      </c>
      <c r="D9195">
        <v>6998</v>
      </c>
      <c r="E9195">
        <v>2019</v>
      </c>
      <c r="F9195">
        <v>8</v>
      </c>
      <c r="G9195">
        <v>13362</v>
      </c>
      <c r="H9195" s="1">
        <v>4</v>
      </c>
      <c r="I9195">
        <v>1</v>
      </c>
      <c r="J9195">
        <f>IF($H9195=0,1,IF($I9195&lt;=1,2,0))</f>
        <v>2</v>
      </c>
      <c r="K9195">
        <v>0</v>
      </c>
      <c r="L9195">
        <f>IF(AND($J9195=0,$K9195=0),0,1)</f>
        <v>1</v>
      </c>
      <c r="M9195" t="s">
        <v>459</v>
      </c>
    </row>
    <row r="9196" spans="1:13" x14ac:dyDescent="0.2">
      <c r="A9196" t="s">
        <v>431</v>
      </c>
      <c r="B9196" t="s">
        <v>6</v>
      </c>
      <c r="C9196" t="s">
        <v>11</v>
      </c>
      <c r="D9196">
        <v>6998</v>
      </c>
      <c r="E9196">
        <v>2019</v>
      </c>
      <c r="F9196">
        <v>13</v>
      </c>
      <c r="G9196">
        <v>13367</v>
      </c>
      <c r="H9196" s="1">
        <v>4</v>
      </c>
      <c r="I9196">
        <v>1</v>
      </c>
      <c r="J9196">
        <f>IF($H9196=0,1,IF($I9196&lt;=1,2,0))</f>
        <v>2</v>
      </c>
      <c r="K9196">
        <v>0</v>
      </c>
      <c r="L9196">
        <f>IF(AND($J9196=0,$K9196=0),0,1)</f>
        <v>1</v>
      </c>
      <c r="M9196" t="s">
        <v>459</v>
      </c>
    </row>
    <row r="9197" spans="1:13" x14ac:dyDescent="0.2">
      <c r="A9197" t="s">
        <v>431</v>
      </c>
      <c r="B9197" t="s">
        <v>6</v>
      </c>
      <c r="C9197" t="s">
        <v>11</v>
      </c>
      <c r="D9197">
        <v>6998</v>
      </c>
      <c r="E9197">
        <v>2019</v>
      </c>
      <c r="F9197">
        <v>2</v>
      </c>
      <c r="G9197">
        <v>13356</v>
      </c>
      <c r="H9197" s="1">
        <v>4</v>
      </c>
      <c r="I9197">
        <v>0</v>
      </c>
      <c r="J9197">
        <f>IF($H9197=0,1,IF($I9197&lt;=1,2,0))</f>
        <v>2</v>
      </c>
      <c r="K9197">
        <v>0</v>
      </c>
      <c r="L9197">
        <f>IF(AND($J9197=0,$K9197=0),0,1)</f>
        <v>1</v>
      </c>
      <c r="M9197" t="s">
        <v>459</v>
      </c>
    </row>
    <row r="9198" spans="1:13" x14ac:dyDescent="0.2">
      <c r="A9198" t="s">
        <v>431</v>
      </c>
      <c r="B9198" t="s">
        <v>6</v>
      </c>
      <c r="C9198" t="s">
        <v>11</v>
      </c>
      <c r="D9198">
        <v>6998</v>
      </c>
      <c r="E9198">
        <v>2019</v>
      </c>
      <c r="F9198">
        <v>12</v>
      </c>
      <c r="G9198">
        <v>13366</v>
      </c>
      <c r="H9198" s="1">
        <v>4</v>
      </c>
      <c r="I9198">
        <v>0</v>
      </c>
      <c r="J9198">
        <f>IF($H9198=0,1,IF($I9198&lt;=1,2,0))</f>
        <v>2</v>
      </c>
      <c r="K9198">
        <v>0</v>
      </c>
      <c r="L9198">
        <f>IF(AND($J9198=0,$K9198=0),0,1)</f>
        <v>1</v>
      </c>
      <c r="M9198" t="s">
        <v>459</v>
      </c>
    </row>
    <row r="9199" spans="1:13" x14ac:dyDescent="0.2">
      <c r="A9199" t="s">
        <v>431</v>
      </c>
      <c r="B9199" t="s">
        <v>6</v>
      </c>
      <c r="C9199" t="s">
        <v>11</v>
      </c>
      <c r="D9199">
        <v>6998</v>
      </c>
      <c r="E9199">
        <v>2019</v>
      </c>
      <c r="F9199">
        <v>17</v>
      </c>
      <c r="G9199">
        <v>13371</v>
      </c>
      <c r="H9199" s="1">
        <v>4</v>
      </c>
      <c r="I9199">
        <v>0</v>
      </c>
      <c r="J9199">
        <f>IF($H9199=0,1,IF($I9199&lt;=1,2,0))</f>
        <v>2</v>
      </c>
      <c r="K9199">
        <v>0</v>
      </c>
      <c r="L9199">
        <f>IF(AND($J9199=0,$K9199=0),0,1)</f>
        <v>1</v>
      </c>
      <c r="M9199" t="s">
        <v>459</v>
      </c>
    </row>
    <row r="9200" spans="1:13" x14ac:dyDescent="0.2">
      <c r="A9200" t="s">
        <v>431</v>
      </c>
      <c r="B9200" t="s">
        <v>6</v>
      </c>
      <c r="C9200" t="s">
        <v>11</v>
      </c>
      <c r="D9200">
        <v>6998</v>
      </c>
      <c r="E9200">
        <v>2019</v>
      </c>
      <c r="F9200">
        <v>19</v>
      </c>
      <c r="G9200">
        <v>13373</v>
      </c>
      <c r="H9200" s="1">
        <v>4</v>
      </c>
      <c r="I9200">
        <v>0</v>
      </c>
      <c r="J9200">
        <f>IF($H9200=0,1,IF($I9200&lt;=1,2,0))</f>
        <v>2</v>
      </c>
      <c r="K9200">
        <v>0</v>
      </c>
      <c r="L9200">
        <f>IF(AND($J9200=0,$K9200=0),0,1)</f>
        <v>1</v>
      </c>
      <c r="M9200" t="s">
        <v>459</v>
      </c>
    </row>
    <row r="9201" spans="1:13" x14ac:dyDescent="0.2">
      <c r="A9201" t="s">
        <v>431</v>
      </c>
      <c r="B9201" t="s">
        <v>6</v>
      </c>
      <c r="C9201" t="s">
        <v>11</v>
      </c>
      <c r="D9201">
        <v>6998</v>
      </c>
      <c r="E9201">
        <v>2019</v>
      </c>
      <c r="F9201">
        <v>20</v>
      </c>
      <c r="G9201">
        <v>13374</v>
      </c>
      <c r="H9201" s="1">
        <v>4</v>
      </c>
      <c r="I9201">
        <v>0</v>
      </c>
      <c r="J9201">
        <f>IF($H9201=0,1,IF($I9201&lt;=1,2,0))</f>
        <v>2</v>
      </c>
      <c r="K9201">
        <v>0</v>
      </c>
      <c r="L9201">
        <f>IF(AND($J9201=0,$K9201=0),0,1)</f>
        <v>1</v>
      </c>
      <c r="M9201" t="s">
        <v>459</v>
      </c>
    </row>
    <row r="9202" spans="1:13" x14ac:dyDescent="0.2">
      <c r="A9202" t="s">
        <v>431</v>
      </c>
      <c r="B9202" t="s">
        <v>6</v>
      </c>
      <c r="C9202" t="s">
        <v>11</v>
      </c>
      <c r="D9202">
        <v>6998</v>
      </c>
      <c r="E9202">
        <v>2019</v>
      </c>
      <c r="F9202">
        <v>22</v>
      </c>
      <c r="G9202">
        <v>17975</v>
      </c>
      <c r="H9202" s="1">
        <v>4</v>
      </c>
      <c r="I9202">
        <v>0</v>
      </c>
      <c r="J9202">
        <f>IF($H9202=0,1,IF($I9202&lt;=1,2,0))</f>
        <v>2</v>
      </c>
      <c r="K9202">
        <v>0</v>
      </c>
      <c r="L9202">
        <f>IF(AND($J9202=0,$K9202=0),0,1)</f>
        <v>1</v>
      </c>
      <c r="M9202" t="s">
        <v>459</v>
      </c>
    </row>
    <row r="9203" spans="1:13" x14ac:dyDescent="0.2">
      <c r="A9203" t="s">
        <v>431</v>
      </c>
      <c r="B9203" t="s">
        <v>6</v>
      </c>
      <c r="C9203" t="s">
        <v>11</v>
      </c>
      <c r="D9203">
        <v>6999</v>
      </c>
      <c r="E9203">
        <v>2019</v>
      </c>
      <c r="F9203">
        <v>4</v>
      </c>
      <c r="G9203">
        <v>13341</v>
      </c>
      <c r="H9203" s="1">
        <v>4</v>
      </c>
      <c r="I9203">
        <v>7</v>
      </c>
      <c r="J9203">
        <f>IF($H9203=0,1,IF($I9203&lt;=1,2,0))</f>
        <v>0</v>
      </c>
      <c r="K9203">
        <v>9</v>
      </c>
      <c r="L9203">
        <f>IF(AND($J9203=0,$K9203=0),0,1)</f>
        <v>1</v>
      </c>
      <c r="M9203" t="s">
        <v>459</v>
      </c>
    </row>
    <row r="9204" spans="1:13" x14ac:dyDescent="0.2">
      <c r="A9204" t="s">
        <v>431</v>
      </c>
      <c r="B9204" t="s">
        <v>6</v>
      </c>
      <c r="C9204" t="s">
        <v>11</v>
      </c>
      <c r="D9204">
        <v>6999</v>
      </c>
      <c r="E9204">
        <v>2019</v>
      </c>
      <c r="F9204">
        <v>2</v>
      </c>
      <c r="G9204">
        <v>13339</v>
      </c>
      <c r="H9204" s="1">
        <v>4</v>
      </c>
      <c r="I9204">
        <v>3</v>
      </c>
      <c r="J9204">
        <f>IF($H9204=0,1,IF($I9204&lt;=1,2,0))</f>
        <v>0</v>
      </c>
      <c r="K9204">
        <v>9</v>
      </c>
      <c r="L9204">
        <f>IF(AND($J9204=0,$K9204=0),0,1)</f>
        <v>1</v>
      </c>
      <c r="M9204" t="s">
        <v>459</v>
      </c>
    </row>
    <row r="9205" spans="1:13" x14ac:dyDescent="0.2">
      <c r="A9205" t="s">
        <v>431</v>
      </c>
      <c r="B9205" t="s">
        <v>6</v>
      </c>
      <c r="C9205" t="s">
        <v>11</v>
      </c>
      <c r="D9205">
        <v>6999</v>
      </c>
      <c r="E9205">
        <v>2019</v>
      </c>
      <c r="F9205">
        <v>10</v>
      </c>
      <c r="G9205">
        <v>13347</v>
      </c>
      <c r="H9205" s="1">
        <v>4</v>
      </c>
      <c r="I9205">
        <v>2</v>
      </c>
      <c r="J9205">
        <f>IF($H9205=0,1,IF($I9205&lt;=1,2,0))</f>
        <v>0</v>
      </c>
      <c r="K9205">
        <v>9</v>
      </c>
      <c r="L9205">
        <f>IF(AND($J9205=0,$K9205=0),0,1)</f>
        <v>1</v>
      </c>
      <c r="M9205" t="s">
        <v>459</v>
      </c>
    </row>
    <row r="9206" spans="1:13" x14ac:dyDescent="0.2">
      <c r="A9206" t="s">
        <v>431</v>
      </c>
      <c r="B9206" t="s">
        <v>6</v>
      </c>
      <c r="C9206" t="s">
        <v>11</v>
      </c>
      <c r="D9206">
        <v>6999</v>
      </c>
      <c r="E9206">
        <v>2019</v>
      </c>
      <c r="F9206">
        <v>17</v>
      </c>
      <c r="G9206">
        <v>18903</v>
      </c>
      <c r="H9206" s="1">
        <v>4</v>
      </c>
      <c r="I9206">
        <v>2</v>
      </c>
      <c r="J9206">
        <f>IF($H9206=0,1,IF($I9206&lt;=1,2,0))</f>
        <v>0</v>
      </c>
      <c r="K9206">
        <v>9</v>
      </c>
      <c r="L9206">
        <f>IF(AND($J9206=0,$K9206=0),0,1)</f>
        <v>1</v>
      </c>
      <c r="M9206" t="s">
        <v>459</v>
      </c>
    </row>
    <row r="9207" spans="1:13" x14ac:dyDescent="0.2">
      <c r="A9207" t="s">
        <v>431</v>
      </c>
      <c r="B9207" t="s">
        <v>6</v>
      </c>
      <c r="C9207" t="s">
        <v>11</v>
      </c>
      <c r="D9207">
        <v>6999</v>
      </c>
      <c r="E9207">
        <v>2019</v>
      </c>
      <c r="F9207">
        <v>18</v>
      </c>
      <c r="G9207">
        <v>18904</v>
      </c>
      <c r="H9207" s="1">
        <v>4</v>
      </c>
      <c r="I9207">
        <v>1</v>
      </c>
      <c r="J9207">
        <f>IF($H9207=0,1,IF($I9207&lt;=1,2,0))</f>
        <v>2</v>
      </c>
      <c r="K9207">
        <v>9</v>
      </c>
      <c r="L9207">
        <f>IF(AND($J9207=0,$K9207=0),0,1)</f>
        <v>1</v>
      </c>
      <c r="M9207" t="s">
        <v>459</v>
      </c>
    </row>
    <row r="9208" spans="1:13" x14ac:dyDescent="0.2">
      <c r="A9208" t="s">
        <v>431</v>
      </c>
      <c r="B9208" t="s">
        <v>6</v>
      </c>
      <c r="C9208" t="s">
        <v>11</v>
      </c>
      <c r="D9208">
        <v>6999</v>
      </c>
      <c r="E9208">
        <v>2019</v>
      </c>
      <c r="F9208">
        <v>19</v>
      </c>
      <c r="G9208">
        <v>19092</v>
      </c>
      <c r="H9208" s="1">
        <v>4</v>
      </c>
      <c r="I9208">
        <v>1</v>
      </c>
      <c r="J9208">
        <f>IF($H9208=0,1,IF($I9208&lt;=1,2,0))</f>
        <v>2</v>
      </c>
      <c r="K9208">
        <v>9</v>
      </c>
      <c r="L9208">
        <f>IF(AND($J9208=0,$K9208=0),0,1)</f>
        <v>1</v>
      </c>
    </row>
    <row r="9209" spans="1:13" x14ac:dyDescent="0.2">
      <c r="A9209" t="s">
        <v>431</v>
      </c>
      <c r="B9209" t="s">
        <v>6</v>
      </c>
      <c r="C9209" t="s">
        <v>11</v>
      </c>
      <c r="D9209">
        <v>6999</v>
      </c>
      <c r="E9209">
        <v>2019</v>
      </c>
      <c r="F9209">
        <v>1</v>
      </c>
      <c r="G9209">
        <v>13338</v>
      </c>
      <c r="H9209" s="1">
        <v>4</v>
      </c>
      <c r="I9209">
        <v>0</v>
      </c>
      <c r="J9209">
        <f>IF($H9209=0,1,IF($I9209&lt;=1,2,0))</f>
        <v>2</v>
      </c>
      <c r="K9209">
        <v>9</v>
      </c>
      <c r="L9209">
        <f>IF(AND($J9209=0,$K9209=0),0,1)</f>
        <v>1</v>
      </c>
      <c r="M9209" t="s">
        <v>459</v>
      </c>
    </row>
    <row r="9210" spans="1:13" x14ac:dyDescent="0.2">
      <c r="A9210" t="s">
        <v>431</v>
      </c>
      <c r="B9210" t="s">
        <v>6</v>
      </c>
      <c r="C9210" t="s">
        <v>11</v>
      </c>
      <c r="D9210">
        <v>6999</v>
      </c>
      <c r="E9210">
        <v>2019</v>
      </c>
      <c r="F9210">
        <v>3</v>
      </c>
      <c r="G9210">
        <v>13340</v>
      </c>
      <c r="H9210" s="1">
        <v>4</v>
      </c>
      <c r="I9210">
        <v>0</v>
      </c>
      <c r="J9210">
        <f>IF($H9210=0,1,IF($I9210&lt;=1,2,0))</f>
        <v>2</v>
      </c>
      <c r="K9210">
        <v>9</v>
      </c>
      <c r="L9210">
        <f>IF(AND($J9210=0,$K9210=0),0,1)</f>
        <v>1</v>
      </c>
      <c r="M9210" t="s">
        <v>459</v>
      </c>
    </row>
    <row r="9211" spans="1:13" x14ac:dyDescent="0.2">
      <c r="A9211" t="s">
        <v>431</v>
      </c>
      <c r="B9211" t="s">
        <v>6</v>
      </c>
      <c r="C9211" t="s">
        <v>11</v>
      </c>
      <c r="D9211">
        <v>6999</v>
      </c>
      <c r="E9211">
        <v>2019</v>
      </c>
      <c r="F9211">
        <v>7</v>
      </c>
      <c r="G9211">
        <v>13343</v>
      </c>
      <c r="H9211" s="1">
        <v>4</v>
      </c>
      <c r="I9211">
        <v>0</v>
      </c>
      <c r="J9211">
        <f>IF($H9211=0,1,IF($I9211&lt;=1,2,0))</f>
        <v>2</v>
      </c>
      <c r="K9211">
        <v>9</v>
      </c>
      <c r="L9211">
        <f>IF(AND($J9211=0,$K9211=0),0,1)</f>
        <v>1</v>
      </c>
      <c r="M9211" t="s">
        <v>459</v>
      </c>
    </row>
    <row r="9212" spans="1:13" x14ac:dyDescent="0.2">
      <c r="A9212" t="s">
        <v>431</v>
      </c>
      <c r="B9212" t="s">
        <v>6</v>
      </c>
      <c r="C9212" t="s">
        <v>11</v>
      </c>
      <c r="D9212">
        <v>6999</v>
      </c>
      <c r="E9212">
        <v>2019</v>
      </c>
      <c r="F9212">
        <v>8</v>
      </c>
      <c r="G9212">
        <v>13344</v>
      </c>
      <c r="H9212" s="1">
        <v>4</v>
      </c>
      <c r="I9212">
        <v>0</v>
      </c>
      <c r="J9212">
        <f>IF($H9212=0,1,IF($I9212&lt;=1,2,0))</f>
        <v>2</v>
      </c>
      <c r="K9212">
        <v>9</v>
      </c>
      <c r="L9212">
        <f>IF(AND($J9212=0,$K9212=0),0,1)</f>
        <v>1</v>
      </c>
      <c r="M9212" t="s">
        <v>459</v>
      </c>
    </row>
    <row r="9213" spans="1:13" x14ac:dyDescent="0.2">
      <c r="A9213" t="s">
        <v>431</v>
      </c>
      <c r="B9213" t="s">
        <v>6</v>
      </c>
      <c r="C9213" t="s">
        <v>11</v>
      </c>
      <c r="D9213">
        <v>6999</v>
      </c>
      <c r="E9213">
        <v>2019</v>
      </c>
      <c r="F9213">
        <v>9</v>
      </c>
      <c r="G9213">
        <v>13345</v>
      </c>
      <c r="H9213" s="1">
        <v>4</v>
      </c>
      <c r="I9213">
        <v>0</v>
      </c>
      <c r="J9213">
        <f>IF($H9213=0,1,IF($I9213&lt;=1,2,0))</f>
        <v>2</v>
      </c>
      <c r="K9213">
        <v>9</v>
      </c>
      <c r="L9213">
        <f>IF(AND($J9213=0,$K9213=0),0,1)</f>
        <v>1</v>
      </c>
      <c r="M9213" t="s">
        <v>459</v>
      </c>
    </row>
    <row r="9214" spans="1:13" x14ac:dyDescent="0.2">
      <c r="A9214" t="s">
        <v>431</v>
      </c>
      <c r="B9214" t="s">
        <v>6</v>
      </c>
      <c r="C9214" t="s">
        <v>11</v>
      </c>
      <c r="D9214">
        <v>6999</v>
      </c>
      <c r="E9214">
        <v>2019</v>
      </c>
      <c r="F9214">
        <v>13</v>
      </c>
      <c r="G9214">
        <v>13349</v>
      </c>
      <c r="H9214" s="1">
        <v>4</v>
      </c>
      <c r="I9214">
        <v>0</v>
      </c>
      <c r="J9214">
        <f>IF($H9214=0,1,IF($I9214&lt;=1,2,0))</f>
        <v>2</v>
      </c>
      <c r="K9214">
        <v>9</v>
      </c>
      <c r="L9214">
        <f>IF(AND($J9214=0,$K9214=0),0,1)</f>
        <v>1</v>
      </c>
      <c r="M9214" t="s">
        <v>459</v>
      </c>
    </row>
    <row r="9215" spans="1:13" x14ac:dyDescent="0.2">
      <c r="A9215" t="s">
        <v>431</v>
      </c>
      <c r="B9215" t="s">
        <v>6</v>
      </c>
      <c r="C9215" t="s">
        <v>11</v>
      </c>
      <c r="D9215">
        <v>9302</v>
      </c>
      <c r="E9215">
        <v>2019</v>
      </c>
      <c r="F9215">
        <v>1</v>
      </c>
      <c r="G9215">
        <v>36509</v>
      </c>
      <c r="H9215" s="1">
        <v>4</v>
      </c>
      <c r="I9215">
        <v>12</v>
      </c>
      <c r="J9215">
        <f>IF($H9215=0,1,IF($I9215&lt;=1,2,0))</f>
        <v>0</v>
      </c>
      <c r="K9215">
        <v>5</v>
      </c>
      <c r="L9215">
        <f>IF(AND($J9215=0,$K9215=0),0,1)</f>
        <v>1</v>
      </c>
      <c r="M9215" t="s">
        <v>449</v>
      </c>
    </row>
    <row r="9216" spans="1:13" x14ac:dyDescent="0.2">
      <c r="A9216" t="s">
        <v>431</v>
      </c>
      <c r="B9216" t="s">
        <v>6</v>
      </c>
      <c r="C9216" t="s">
        <v>11</v>
      </c>
      <c r="D9216">
        <v>9511</v>
      </c>
      <c r="E9216">
        <v>2019</v>
      </c>
      <c r="F9216">
        <v>1</v>
      </c>
      <c r="G9216">
        <v>8609</v>
      </c>
      <c r="H9216" s="1">
        <v>4</v>
      </c>
      <c r="I9216">
        <v>10</v>
      </c>
      <c r="J9216">
        <f>IF($H9216=0,1,IF($I9216&lt;=1,2,0))</f>
        <v>0</v>
      </c>
      <c r="K9216">
        <v>5</v>
      </c>
      <c r="L9216">
        <f>IF(AND($J9216=0,$K9216=0),0,1)</f>
        <v>1</v>
      </c>
    </row>
    <row r="9217" spans="1:13" x14ac:dyDescent="0.2">
      <c r="A9217" t="s">
        <v>431</v>
      </c>
      <c r="B9217" t="s">
        <v>6</v>
      </c>
      <c r="C9217" t="s">
        <v>11</v>
      </c>
      <c r="D9217">
        <v>9713</v>
      </c>
      <c r="E9217">
        <v>2019</v>
      </c>
      <c r="F9217">
        <v>1</v>
      </c>
      <c r="G9217">
        <v>36510</v>
      </c>
      <c r="H9217" s="1">
        <v>4</v>
      </c>
      <c r="I9217">
        <v>8</v>
      </c>
      <c r="J9217">
        <f>IF($H9217=0,1,IF($I9217&lt;=1,2,0))</f>
        <v>0</v>
      </c>
      <c r="K9217">
        <v>5</v>
      </c>
      <c r="L9217">
        <f>IF(AND($J9217=0,$K9217=0),0,1)</f>
        <v>1</v>
      </c>
      <c r="M9217" t="s">
        <v>449</v>
      </c>
    </row>
    <row r="9218" spans="1:13" x14ac:dyDescent="0.2">
      <c r="A9218" t="s">
        <v>463</v>
      </c>
      <c r="B9218" t="s">
        <v>17</v>
      </c>
      <c r="C9218" t="s">
        <v>9</v>
      </c>
      <c r="D9218">
        <v>2101</v>
      </c>
      <c r="E9218">
        <v>2019</v>
      </c>
      <c r="F9218">
        <v>1</v>
      </c>
      <c r="G9218">
        <v>55101</v>
      </c>
      <c r="H9218" s="1">
        <v>4</v>
      </c>
      <c r="I9218">
        <v>1</v>
      </c>
      <c r="J9218">
        <f>IF($H9218=0,1,IF($I9218&lt;=1,2,0))</f>
        <v>2</v>
      </c>
      <c r="K9218">
        <v>0</v>
      </c>
      <c r="L9218">
        <f>IF(AND($J9218=0,$K9218=0),0,1)</f>
        <v>1</v>
      </c>
    </row>
    <row r="9219" spans="1:13" x14ac:dyDescent="0.2">
      <c r="A9219" t="s">
        <v>463</v>
      </c>
      <c r="B9219" t="s">
        <v>17</v>
      </c>
      <c r="C9219" t="s">
        <v>9</v>
      </c>
      <c r="D9219">
        <v>3333</v>
      </c>
      <c r="E9219">
        <v>2019</v>
      </c>
      <c r="F9219">
        <v>1</v>
      </c>
      <c r="G9219">
        <v>98205</v>
      </c>
      <c r="H9219" s="1">
        <v>3</v>
      </c>
      <c r="I9219">
        <v>1</v>
      </c>
      <c r="J9219">
        <f>IF($H9219=0,1,IF($I9219&lt;=1,2,0))</f>
        <v>2</v>
      </c>
      <c r="K9219">
        <v>0</v>
      </c>
      <c r="L9219">
        <f>IF(AND($J9219=0,$K9219=0),0,1)</f>
        <v>1</v>
      </c>
    </row>
    <row r="9220" spans="1:13" x14ac:dyDescent="0.2">
      <c r="A9220" t="s">
        <v>465</v>
      </c>
      <c r="B9220" t="s">
        <v>6</v>
      </c>
      <c r="C9220" t="s">
        <v>2</v>
      </c>
      <c r="D9220">
        <v>3855</v>
      </c>
      <c r="E9220">
        <v>2019</v>
      </c>
      <c r="F9220">
        <v>1</v>
      </c>
      <c r="G9220">
        <v>8471</v>
      </c>
      <c r="H9220" s="1">
        <v>4</v>
      </c>
      <c r="I9220">
        <v>16</v>
      </c>
      <c r="J9220">
        <f>IF($H9220=0,1,IF($I9220&lt;=1,2,0))</f>
        <v>0</v>
      </c>
      <c r="K9220">
        <v>7</v>
      </c>
      <c r="L9220">
        <f>IF(AND($J9220=0,$K9220=0),0,1)</f>
        <v>1</v>
      </c>
    </row>
    <row r="9221" spans="1:13" x14ac:dyDescent="0.2">
      <c r="A9221" t="s">
        <v>465</v>
      </c>
      <c r="B9221" t="s">
        <v>6</v>
      </c>
      <c r="C9221" t="s">
        <v>11</v>
      </c>
      <c r="D9221">
        <v>6020</v>
      </c>
      <c r="E9221">
        <v>2019</v>
      </c>
      <c r="F9221">
        <v>1</v>
      </c>
      <c r="G9221">
        <v>56993</v>
      </c>
      <c r="H9221" s="1">
        <v>3</v>
      </c>
      <c r="I9221">
        <v>23</v>
      </c>
      <c r="J9221">
        <f>IF($H9221=0,1,IF($I9221&lt;=1,2,0))</f>
        <v>0</v>
      </c>
      <c r="K9221">
        <v>4</v>
      </c>
      <c r="L9221">
        <f>IF(AND($J9221=0,$K9221=0),0,1)</f>
        <v>1</v>
      </c>
      <c r="M9221" t="s">
        <v>469</v>
      </c>
    </row>
    <row r="9222" spans="1:13" x14ac:dyDescent="0.2">
      <c r="A9222" t="s">
        <v>465</v>
      </c>
      <c r="B9222" t="s">
        <v>6</v>
      </c>
      <c r="C9222" t="s">
        <v>11</v>
      </c>
      <c r="D9222">
        <v>6020</v>
      </c>
      <c r="E9222">
        <v>2019</v>
      </c>
      <c r="F9222">
        <v>2</v>
      </c>
      <c r="G9222">
        <v>56994</v>
      </c>
      <c r="H9222" s="1">
        <v>3</v>
      </c>
      <c r="I9222">
        <v>22</v>
      </c>
      <c r="J9222">
        <f>IF($H9222=0,1,IF($I9222&lt;=1,2,0))</f>
        <v>0</v>
      </c>
      <c r="K9222">
        <v>4</v>
      </c>
      <c r="L9222">
        <f>IF(AND($J9222=0,$K9222=0),0,1)</f>
        <v>1</v>
      </c>
      <c r="M9222" t="s">
        <v>469</v>
      </c>
    </row>
    <row r="9223" spans="1:13" x14ac:dyDescent="0.2">
      <c r="A9223" t="s">
        <v>465</v>
      </c>
      <c r="B9223" t="s">
        <v>6</v>
      </c>
      <c r="C9223" t="s">
        <v>11</v>
      </c>
      <c r="D9223">
        <v>6800</v>
      </c>
      <c r="E9223">
        <v>2019</v>
      </c>
      <c r="F9223">
        <v>1</v>
      </c>
      <c r="G9223">
        <v>56982</v>
      </c>
      <c r="H9223" s="1">
        <v>3</v>
      </c>
      <c r="I9223">
        <v>13</v>
      </c>
      <c r="J9223">
        <f>IF($H9223=0,1,IF($I9223&lt;=1,2,0))</f>
        <v>0</v>
      </c>
      <c r="K9223">
        <v>4</v>
      </c>
      <c r="L9223">
        <f>IF(AND($J9223=0,$K9223=0),0,1)</f>
        <v>1</v>
      </c>
      <c r="M9223" t="s">
        <v>469</v>
      </c>
    </row>
    <row r="9224" spans="1:13" x14ac:dyDescent="0.2">
      <c r="A9224" t="s">
        <v>465</v>
      </c>
      <c r="B9224" t="s">
        <v>6</v>
      </c>
      <c r="C9224" t="s">
        <v>11</v>
      </c>
      <c r="D9224">
        <v>6990</v>
      </c>
      <c r="E9224">
        <v>2019</v>
      </c>
      <c r="F9224">
        <v>1</v>
      </c>
      <c r="G9224">
        <v>56995</v>
      </c>
      <c r="H9224" s="1">
        <v>3</v>
      </c>
      <c r="I9224">
        <v>4</v>
      </c>
      <c r="J9224">
        <f>IF($H9224=0,1,IF($I9224&lt;=1,2,0))</f>
        <v>0</v>
      </c>
      <c r="K9224">
        <v>4</v>
      </c>
      <c r="L9224">
        <f>IF(AND($J9224=0,$K9224=0),0,1)</f>
        <v>1</v>
      </c>
      <c r="M9224" t="s">
        <v>469</v>
      </c>
    </row>
    <row r="9225" spans="1:13" x14ac:dyDescent="0.2">
      <c r="A9225" t="s">
        <v>465</v>
      </c>
      <c r="B9225" t="s">
        <v>6</v>
      </c>
      <c r="C9225" t="s">
        <v>11</v>
      </c>
      <c r="D9225">
        <v>9040</v>
      </c>
      <c r="E9225">
        <v>2019</v>
      </c>
      <c r="F9225">
        <v>1</v>
      </c>
      <c r="G9225">
        <v>56983</v>
      </c>
      <c r="H9225" s="1">
        <v>1</v>
      </c>
      <c r="I9225">
        <v>5</v>
      </c>
      <c r="J9225">
        <f>IF($H9225=0,1,IF($I9225&lt;=1,2,0))</f>
        <v>0</v>
      </c>
      <c r="K9225">
        <v>5</v>
      </c>
      <c r="L9225">
        <f>IF(AND($J9225=0,$K9225=0),0,1)</f>
        <v>1</v>
      </c>
      <c r="M9225" t="s">
        <v>469</v>
      </c>
    </row>
    <row r="9226" spans="1:13" x14ac:dyDescent="0.2">
      <c r="A9226" t="s">
        <v>473</v>
      </c>
      <c r="B9226" t="s">
        <v>6</v>
      </c>
      <c r="C9226" t="s">
        <v>9</v>
      </c>
      <c r="D9226">
        <v>2812</v>
      </c>
      <c r="E9226">
        <v>2019</v>
      </c>
      <c r="F9226">
        <v>1</v>
      </c>
      <c r="G9226">
        <v>17297</v>
      </c>
      <c r="H9226" s="1">
        <v>0</v>
      </c>
      <c r="I9226">
        <v>43</v>
      </c>
      <c r="J9226">
        <f>IF($H9226=0,1,IF($I9226&lt;=1,2,0))</f>
        <v>1</v>
      </c>
      <c r="K9226">
        <v>0</v>
      </c>
      <c r="L9226">
        <f>IF(AND($J9226=0,$K9226=0),0,1)</f>
        <v>1</v>
      </c>
      <c r="M9226" t="s">
        <v>448</v>
      </c>
    </row>
    <row r="9227" spans="1:13" x14ac:dyDescent="0.2">
      <c r="A9227" t="s">
        <v>474</v>
      </c>
      <c r="B9227" t="s">
        <v>1</v>
      </c>
      <c r="C9227" t="s">
        <v>2</v>
      </c>
      <c r="D9227">
        <v>1001</v>
      </c>
      <c r="E9227">
        <v>2019</v>
      </c>
      <c r="F9227">
        <v>1</v>
      </c>
      <c r="G9227">
        <v>7285</v>
      </c>
      <c r="H9227" s="1">
        <v>1.5</v>
      </c>
      <c r="I9227">
        <v>15</v>
      </c>
      <c r="J9227">
        <f>IF($H9227=0,1,IF($I9227&lt;=1,2,0))</f>
        <v>0</v>
      </c>
      <c r="K9227">
        <v>7</v>
      </c>
      <c r="L9227">
        <f>IF(AND($J9227=0,$K9227=0),0,1)</f>
        <v>1</v>
      </c>
      <c r="M9227" t="s">
        <v>475</v>
      </c>
    </row>
    <row r="9228" spans="1:13" x14ac:dyDescent="0.2">
      <c r="A9228" t="s">
        <v>479</v>
      </c>
      <c r="B9228" t="s">
        <v>381</v>
      </c>
      <c r="C9228" t="s">
        <v>382</v>
      </c>
      <c r="D9228">
        <v>6310</v>
      </c>
      <c r="E9228">
        <v>2019</v>
      </c>
      <c r="F9228">
        <v>1</v>
      </c>
      <c r="G9228">
        <v>16364</v>
      </c>
      <c r="H9228" s="1">
        <v>3</v>
      </c>
      <c r="I9228">
        <v>23</v>
      </c>
      <c r="J9228">
        <f>IF($H9228=0,1,IF($I9228&lt;=1,2,0))</f>
        <v>0</v>
      </c>
      <c r="K9228">
        <v>6</v>
      </c>
      <c r="L9228">
        <f>IF(AND($J9228=0,$K9228=0),0,1)</f>
        <v>1</v>
      </c>
    </row>
    <row r="9229" spans="1:13" x14ac:dyDescent="0.2">
      <c r="A9229" t="s">
        <v>479</v>
      </c>
      <c r="B9229" t="s">
        <v>381</v>
      </c>
      <c r="C9229" t="s">
        <v>382</v>
      </c>
      <c r="D9229">
        <v>6800</v>
      </c>
      <c r="E9229">
        <v>2019</v>
      </c>
      <c r="F9229">
        <v>1</v>
      </c>
      <c r="G9229">
        <v>16351</v>
      </c>
      <c r="H9229" s="1">
        <v>0</v>
      </c>
      <c r="I9229">
        <v>181</v>
      </c>
      <c r="J9229">
        <f>IF($H9229=0,1,IF($I9229&lt;=1,2,0))</f>
        <v>1</v>
      </c>
      <c r="K9229">
        <v>6</v>
      </c>
      <c r="L9229">
        <f>IF(AND($J9229=0,$K9229=0),0,1)</f>
        <v>1</v>
      </c>
      <c r="M9229" t="s">
        <v>480</v>
      </c>
    </row>
    <row r="9230" spans="1:13" x14ac:dyDescent="0.2">
      <c r="A9230" t="s">
        <v>479</v>
      </c>
      <c r="B9230" t="s">
        <v>381</v>
      </c>
      <c r="C9230" t="s">
        <v>382</v>
      </c>
      <c r="D9230">
        <v>6804</v>
      </c>
      <c r="E9230">
        <v>2019</v>
      </c>
      <c r="F9230">
        <v>9</v>
      </c>
      <c r="G9230">
        <v>16360</v>
      </c>
      <c r="H9230" s="1">
        <v>4</v>
      </c>
      <c r="I9230">
        <v>21</v>
      </c>
      <c r="J9230">
        <f>IF($H9230=0,1,IF($I9230&lt;=1,2,0))</f>
        <v>0</v>
      </c>
      <c r="K9230">
        <v>6</v>
      </c>
      <c r="L9230">
        <f>IF(AND($J9230=0,$K9230=0),0,1)</f>
        <v>1</v>
      </c>
      <c r="M9230" t="s">
        <v>480</v>
      </c>
    </row>
    <row r="9231" spans="1:13" x14ac:dyDescent="0.2">
      <c r="A9231" t="s">
        <v>479</v>
      </c>
      <c r="B9231" t="s">
        <v>381</v>
      </c>
      <c r="C9231" t="s">
        <v>382</v>
      </c>
      <c r="D9231">
        <v>6804</v>
      </c>
      <c r="E9231">
        <v>2019</v>
      </c>
      <c r="F9231">
        <v>4</v>
      </c>
      <c r="G9231">
        <v>16355</v>
      </c>
      <c r="H9231" s="1">
        <v>4</v>
      </c>
      <c r="I9231">
        <v>19</v>
      </c>
      <c r="J9231">
        <f>IF($H9231=0,1,IF($I9231&lt;=1,2,0))</f>
        <v>0</v>
      </c>
      <c r="K9231">
        <v>6</v>
      </c>
      <c r="L9231">
        <f>IF(AND($J9231=0,$K9231=0),0,1)</f>
        <v>1</v>
      </c>
      <c r="M9231" t="s">
        <v>480</v>
      </c>
    </row>
    <row r="9232" spans="1:13" x14ac:dyDescent="0.2">
      <c r="A9232" t="s">
        <v>479</v>
      </c>
      <c r="B9232" t="s">
        <v>381</v>
      </c>
      <c r="C9232" t="s">
        <v>382</v>
      </c>
      <c r="D9232">
        <v>6804</v>
      </c>
      <c r="E9232">
        <v>2019</v>
      </c>
      <c r="F9232">
        <v>1</v>
      </c>
      <c r="G9232">
        <v>16352</v>
      </c>
      <c r="H9232" s="1">
        <v>4</v>
      </c>
      <c r="I9232">
        <v>18</v>
      </c>
      <c r="J9232">
        <f>IF($H9232=0,1,IF($I9232&lt;=1,2,0))</f>
        <v>0</v>
      </c>
      <c r="K9232">
        <v>6</v>
      </c>
      <c r="L9232">
        <f>IF(AND($J9232=0,$K9232=0),0,1)</f>
        <v>1</v>
      </c>
      <c r="M9232" t="s">
        <v>480</v>
      </c>
    </row>
    <row r="9233" spans="1:13" x14ac:dyDescent="0.2">
      <c r="A9233" t="s">
        <v>479</v>
      </c>
      <c r="B9233" t="s">
        <v>381</v>
      </c>
      <c r="C9233" t="s">
        <v>382</v>
      </c>
      <c r="D9233">
        <v>6804</v>
      </c>
      <c r="E9233">
        <v>2019</v>
      </c>
      <c r="F9233">
        <v>6</v>
      </c>
      <c r="G9233">
        <v>16357</v>
      </c>
      <c r="H9233" s="1">
        <v>4</v>
      </c>
      <c r="I9233">
        <v>18</v>
      </c>
      <c r="J9233">
        <f>IF($H9233=0,1,IF($I9233&lt;=1,2,0))</f>
        <v>0</v>
      </c>
      <c r="K9233">
        <v>6</v>
      </c>
      <c r="L9233">
        <f>IF(AND($J9233=0,$K9233=0),0,1)</f>
        <v>1</v>
      </c>
      <c r="M9233" t="s">
        <v>480</v>
      </c>
    </row>
    <row r="9234" spans="1:13" x14ac:dyDescent="0.2">
      <c r="A9234" t="s">
        <v>479</v>
      </c>
      <c r="B9234" t="s">
        <v>381</v>
      </c>
      <c r="C9234" t="s">
        <v>382</v>
      </c>
      <c r="D9234">
        <v>6804</v>
      </c>
      <c r="E9234">
        <v>2019</v>
      </c>
      <c r="F9234">
        <v>7</v>
      </c>
      <c r="G9234">
        <v>16358</v>
      </c>
      <c r="H9234" s="1">
        <v>4</v>
      </c>
      <c r="I9234">
        <v>18</v>
      </c>
      <c r="J9234">
        <f>IF($H9234=0,1,IF($I9234&lt;=1,2,0))</f>
        <v>0</v>
      </c>
      <c r="K9234">
        <v>6</v>
      </c>
      <c r="L9234">
        <f>IF(AND($J9234=0,$K9234=0),0,1)</f>
        <v>1</v>
      </c>
      <c r="M9234" t="s">
        <v>480</v>
      </c>
    </row>
    <row r="9235" spans="1:13" x14ac:dyDescent="0.2">
      <c r="A9235" t="s">
        <v>479</v>
      </c>
      <c r="B9235" t="s">
        <v>381</v>
      </c>
      <c r="C9235" t="s">
        <v>382</v>
      </c>
      <c r="D9235">
        <v>6804</v>
      </c>
      <c r="E9235">
        <v>2019</v>
      </c>
      <c r="F9235">
        <v>8</v>
      </c>
      <c r="G9235">
        <v>16359</v>
      </c>
      <c r="H9235" s="1">
        <v>4</v>
      </c>
      <c r="I9235">
        <v>18</v>
      </c>
      <c r="J9235">
        <f>IF($H9235=0,1,IF($I9235&lt;=1,2,0))</f>
        <v>0</v>
      </c>
      <c r="K9235">
        <v>6</v>
      </c>
      <c r="L9235">
        <f>IF(AND($J9235=0,$K9235=0),0,1)</f>
        <v>1</v>
      </c>
      <c r="M9235" t="s">
        <v>480</v>
      </c>
    </row>
    <row r="9236" spans="1:13" x14ac:dyDescent="0.2">
      <c r="A9236" t="s">
        <v>479</v>
      </c>
      <c r="B9236" t="s">
        <v>381</v>
      </c>
      <c r="C9236" t="s">
        <v>382</v>
      </c>
      <c r="D9236">
        <v>6804</v>
      </c>
      <c r="E9236">
        <v>2019</v>
      </c>
      <c r="F9236">
        <v>2</v>
      </c>
      <c r="G9236">
        <v>16353</v>
      </c>
      <c r="H9236" s="1">
        <v>4</v>
      </c>
      <c r="I9236">
        <v>17</v>
      </c>
      <c r="J9236">
        <f>IF($H9236=0,1,IF($I9236&lt;=1,2,0))</f>
        <v>0</v>
      </c>
      <c r="K9236">
        <v>6</v>
      </c>
      <c r="L9236">
        <f>IF(AND($J9236=0,$K9236=0),0,1)</f>
        <v>1</v>
      </c>
      <c r="M9236" t="s">
        <v>480</v>
      </c>
    </row>
    <row r="9237" spans="1:13" x14ac:dyDescent="0.2">
      <c r="A9237" t="s">
        <v>479</v>
      </c>
      <c r="B9237" t="s">
        <v>381</v>
      </c>
      <c r="C9237" t="s">
        <v>382</v>
      </c>
      <c r="D9237">
        <v>6804</v>
      </c>
      <c r="E9237">
        <v>2019</v>
      </c>
      <c r="F9237">
        <v>5</v>
      </c>
      <c r="G9237">
        <v>16356</v>
      </c>
      <c r="H9237" s="1">
        <v>4</v>
      </c>
      <c r="I9237">
        <v>17</v>
      </c>
      <c r="J9237">
        <f>IF($H9237=0,1,IF($I9237&lt;=1,2,0))</f>
        <v>0</v>
      </c>
      <c r="K9237">
        <v>6</v>
      </c>
      <c r="L9237">
        <f>IF(AND($J9237=0,$K9237=0),0,1)</f>
        <v>1</v>
      </c>
      <c r="M9237" t="s">
        <v>480</v>
      </c>
    </row>
    <row r="9238" spans="1:13" x14ac:dyDescent="0.2">
      <c r="A9238" t="s">
        <v>479</v>
      </c>
      <c r="B9238" t="s">
        <v>381</v>
      </c>
      <c r="C9238" t="s">
        <v>382</v>
      </c>
      <c r="D9238">
        <v>6804</v>
      </c>
      <c r="E9238">
        <v>2019</v>
      </c>
      <c r="F9238">
        <v>3</v>
      </c>
      <c r="G9238">
        <v>16354</v>
      </c>
      <c r="H9238" s="1">
        <v>4</v>
      </c>
      <c r="I9238">
        <v>16</v>
      </c>
      <c r="J9238">
        <f>IF($H9238=0,1,IF($I9238&lt;=1,2,0))</f>
        <v>0</v>
      </c>
      <c r="K9238">
        <v>6</v>
      </c>
      <c r="L9238">
        <f>IF(AND($J9238=0,$K9238=0),0,1)</f>
        <v>1</v>
      </c>
      <c r="M9238" t="s">
        <v>480</v>
      </c>
    </row>
    <row r="9239" spans="1:13" x14ac:dyDescent="0.2">
      <c r="A9239" t="s">
        <v>479</v>
      </c>
      <c r="B9239" t="s">
        <v>381</v>
      </c>
      <c r="C9239" t="s">
        <v>382</v>
      </c>
      <c r="D9239">
        <v>6806</v>
      </c>
      <c r="E9239">
        <v>2019</v>
      </c>
      <c r="F9239">
        <v>1</v>
      </c>
      <c r="G9239">
        <v>16361</v>
      </c>
      <c r="H9239" s="1">
        <v>4</v>
      </c>
      <c r="I9239">
        <v>19</v>
      </c>
      <c r="J9239">
        <f>IF($H9239=0,1,IF($I9239&lt;=1,2,0))</f>
        <v>0</v>
      </c>
      <c r="K9239">
        <v>6</v>
      </c>
      <c r="L9239">
        <f>IF(AND($J9239=0,$K9239=0),0,1)</f>
        <v>1</v>
      </c>
      <c r="M9239" t="s">
        <v>481</v>
      </c>
    </row>
    <row r="9240" spans="1:13" x14ac:dyDescent="0.2">
      <c r="A9240" t="s">
        <v>479</v>
      </c>
      <c r="B9240" t="s">
        <v>381</v>
      </c>
      <c r="C9240" t="s">
        <v>382</v>
      </c>
      <c r="D9240">
        <v>8415</v>
      </c>
      <c r="E9240">
        <v>2019</v>
      </c>
      <c r="F9240">
        <v>1</v>
      </c>
      <c r="G9240">
        <v>16363</v>
      </c>
      <c r="H9240" s="1">
        <v>3</v>
      </c>
      <c r="I9240">
        <v>9</v>
      </c>
      <c r="J9240">
        <f>IF($H9240=0,1,IF($I9240&lt;=1,2,0))</f>
        <v>0</v>
      </c>
      <c r="K9240">
        <v>6</v>
      </c>
      <c r="L9240">
        <f>IF(AND($J9240=0,$K9240=0),0,1)</f>
        <v>1</v>
      </c>
    </row>
    <row r="9241" spans="1:13" x14ac:dyDescent="0.2">
      <c r="A9241" t="s">
        <v>483</v>
      </c>
      <c r="B9241" t="s">
        <v>71</v>
      </c>
      <c r="C9241" t="s">
        <v>72</v>
      </c>
      <c r="D9241">
        <v>3900</v>
      </c>
      <c r="E9241">
        <v>2019</v>
      </c>
      <c r="F9241">
        <v>14</v>
      </c>
      <c r="G9241">
        <v>15022</v>
      </c>
      <c r="H9241" s="1" t="s">
        <v>1827</v>
      </c>
      <c r="I9241">
        <v>3</v>
      </c>
      <c r="J9241">
        <f>IF($H9241=0,1,IF($I9241&lt;=1,2,0))</f>
        <v>0</v>
      </c>
      <c r="K9241">
        <v>9</v>
      </c>
      <c r="L9241">
        <f>IF(AND($J9241=0,$K9241=0),0,1)</f>
        <v>1</v>
      </c>
    </row>
    <row r="9242" spans="1:13" x14ac:dyDescent="0.2">
      <c r="A9242" t="s">
        <v>483</v>
      </c>
      <c r="B9242" t="s">
        <v>71</v>
      </c>
      <c r="C9242" t="s">
        <v>72</v>
      </c>
      <c r="D9242">
        <v>3900</v>
      </c>
      <c r="E9242">
        <v>2019</v>
      </c>
      <c r="F9242">
        <v>10</v>
      </c>
      <c r="G9242">
        <v>15018</v>
      </c>
      <c r="H9242" s="1" t="s">
        <v>1827</v>
      </c>
      <c r="I9242">
        <v>1</v>
      </c>
      <c r="J9242">
        <f>IF($H9242=0,1,IF($I9242&lt;=1,2,0))</f>
        <v>2</v>
      </c>
      <c r="K9242">
        <v>9</v>
      </c>
      <c r="L9242">
        <f>IF(AND($J9242=0,$K9242=0),0,1)</f>
        <v>1</v>
      </c>
    </row>
    <row r="9243" spans="1:13" x14ac:dyDescent="0.2">
      <c r="A9243" t="s">
        <v>483</v>
      </c>
      <c r="B9243" t="s">
        <v>71</v>
      </c>
      <c r="C9243" t="s">
        <v>72</v>
      </c>
      <c r="D9243">
        <v>3900</v>
      </c>
      <c r="E9243">
        <v>2019</v>
      </c>
      <c r="F9243">
        <v>1</v>
      </c>
      <c r="G9243">
        <v>15008</v>
      </c>
      <c r="H9243" s="1" t="s">
        <v>1827</v>
      </c>
      <c r="I9243">
        <v>0</v>
      </c>
      <c r="J9243">
        <f>IF($H9243=0,1,IF($I9243&lt;=1,2,0))</f>
        <v>2</v>
      </c>
      <c r="K9243">
        <v>9</v>
      </c>
      <c r="L9243">
        <f>IF(AND($J9243=0,$K9243=0),0,1)</f>
        <v>1</v>
      </c>
    </row>
    <row r="9244" spans="1:13" x14ac:dyDescent="0.2">
      <c r="A9244" t="s">
        <v>483</v>
      </c>
      <c r="B9244" t="s">
        <v>71</v>
      </c>
      <c r="C9244" t="s">
        <v>72</v>
      </c>
      <c r="D9244">
        <v>3900</v>
      </c>
      <c r="E9244">
        <v>2019</v>
      </c>
      <c r="F9244">
        <v>2</v>
      </c>
      <c r="G9244">
        <v>15010</v>
      </c>
      <c r="H9244" s="1" t="s">
        <v>1827</v>
      </c>
      <c r="I9244">
        <v>0</v>
      </c>
      <c r="J9244">
        <f>IF($H9244=0,1,IF($I9244&lt;=1,2,0))</f>
        <v>2</v>
      </c>
      <c r="K9244">
        <v>9</v>
      </c>
      <c r="L9244">
        <f>IF(AND($J9244=0,$K9244=0),0,1)</f>
        <v>1</v>
      </c>
    </row>
    <row r="9245" spans="1:13" x14ac:dyDescent="0.2">
      <c r="A9245" t="s">
        <v>483</v>
      </c>
      <c r="B9245" t="s">
        <v>71</v>
      </c>
      <c r="C9245" t="s">
        <v>72</v>
      </c>
      <c r="D9245">
        <v>3900</v>
      </c>
      <c r="E9245">
        <v>2019</v>
      </c>
      <c r="F9245">
        <v>3</v>
      </c>
      <c r="G9245">
        <v>15007</v>
      </c>
      <c r="H9245" s="1" t="s">
        <v>1827</v>
      </c>
      <c r="I9245">
        <v>0</v>
      </c>
      <c r="J9245">
        <f>IF($H9245=0,1,IF($I9245&lt;=1,2,0))</f>
        <v>2</v>
      </c>
      <c r="K9245">
        <v>9</v>
      </c>
      <c r="L9245">
        <f>IF(AND($J9245=0,$K9245=0),0,1)</f>
        <v>1</v>
      </c>
    </row>
    <row r="9246" spans="1:13" x14ac:dyDescent="0.2">
      <c r="A9246" t="s">
        <v>483</v>
      </c>
      <c r="B9246" t="s">
        <v>71</v>
      </c>
      <c r="C9246" t="s">
        <v>72</v>
      </c>
      <c r="D9246">
        <v>3900</v>
      </c>
      <c r="E9246">
        <v>2019</v>
      </c>
      <c r="F9246">
        <v>4</v>
      </c>
      <c r="G9246">
        <v>15012</v>
      </c>
      <c r="H9246" s="1" t="s">
        <v>1827</v>
      </c>
      <c r="I9246">
        <v>0</v>
      </c>
      <c r="J9246">
        <f>IF($H9246=0,1,IF($I9246&lt;=1,2,0))</f>
        <v>2</v>
      </c>
      <c r="K9246">
        <v>9</v>
      </c>
      <c r="L9246">
        <f>IF(AND($J9246=0,$K9246=0),0,1)</f>
        <v>1</v>
      </c>
    </row>
    <row r="9247" spans="1:13" x14ac:dyDescent="0.2">
      <c r="A9247" t="s">
        <v>483</v>
      </c>
      <c r="B9247" t="s">
        <v>71</v>
      </c>
      <c r="C9247" t="s">
        <v>72</v>
      </c>
      <c r="D9247">
        <v>3900</v>
      </c>
      <c r="E9247">
        <v>2019</v>
      </c>
      <c r="F9247">
        <v>5</v>
      </c>
      <c r="G9247">
        <v>15013</v>
      </c>
      <c r="H9247" s="1" t="s">
        <v>1827</v>
      </c>
      <c r="I9247">
        <v>0</v>
      </c>
      <c r="J9247">
        <f>IF($H9247=0,1,IF($I9247&lt;=1,2,0))</f>
        <v>2</v>
      </c>
      <c r="K9247">
        <v>9</v>
      </c>
      <c r="L9247">
        <f>IF(AND($J9247=0,$K9247=0),0,1)</f>
        <v>1</v>
      </c>
    </row>
    <row r="9248" spans="1:13" x14ac:dyDescent="0.2">
      <c r="A9248" t="s">
        <v>483</v>
      </c>
      <c r="B9248" t="s">
        <v>71</v>
      </c>
      <c r="C9248" t="s">
        <v>72</v>
      </c>
      <c r="D9248">
        <v>3900</v>
      </c>
      <c r="E9248">
        <v>2019</v>
      </c>
      <c r="F9248">
        <v>6</v>
      </c>
      <c r="G9248">
        <v>15014</v>
      </c>
      <c r="H9248" s="1" t="s">
        <v>1827</v>
      </c>
      <c r="I9248">
        <v>0</v>
      </c>
      <c r="J9248">
        <f>IF($H9248=0,1,IF($I9248&lt;=1,2,0))</f>
        <v>2</v>
      </c>
      <c r="K9248">
        <v>9</v>
      </c>
      <c r="L9248">
        <f>IF(AND($J9248=0,$K9248=0),0,1)</f>
        <v>1</v>
      </c>
    </row>
    <row r="9249" spans="1:12" x14ac:dyDescent="0.2">
      <c r="A9249" t="s">
        <v>483</v>
      </c>
      <c r="B9249" t="s">
        <v>71</v>
      </c>
      <c r="C9249" t="s">
        <v>72</v>
      </c>
      <c r="D9249">
        <v>3900</v>
      </c>
      <c r="E9249">
        <v>2019</v>
      </c>
      <c r="F9249">
        <v>7</v>
      </c>
      <c r="G9249">
        <v>15015</v>
      </c>
      <c r="H9249" s="1" t="s">
        <v>1827</v>
      </c>
      <c r="I9249">
        <v>0</v>
      </c>
      <c r="J9249">
        <f>IF($H9249=0,1,IF($I9249&lt;=1,2,0))</f>
        <v>2</v>
      </c>
      <c r="K9249">
        <v>9</v>
      </c>
      <c r="L9249">
        <f>IF(AND($J9249=0,$K9249=0),0,1)</f>
        <v>1</v>
      </c>
    </row>
    <row r="9250" spans="1:12" x14ac:dyDescent="0.2">
      <c r="A9250" t="s">
        <v>483</v>
      </c>
      <c r="B9250" t="s">
        <v>71</v>
      </c>
      <c r="C9250" t="s">
        <v>72</v>
      </c>
      <c r="D9250">
        <v>3900</v>
      </c>
      <c r="E9250">
        <v>2019</v>
      </c>
      <c r="F9250">
        <v>8</v>
      </c>
      <c r="G9250">
        <v>15016</v>
      </c>
      <c r="H9250" s="1" t="s">
        <v>1827</v>
      </c>
      <c r="I9250">
        <v>0</v>
      </c>
      <c r="J9250">
        <f>IF($H9250=0,1,IF($I9250&lt;=1,2,0))</f>
        <v>2</v>
      </c>
      <c r="K9250">
        <v>9</v>
      </c>
      <c r="L9250">
        <f>IF(AND($J9250=0,$K9250=0),0,1)</f>
        <v>1</v>
      </c>
    </row>
    <row r="9251" spans="1:12" x14ac:dyDescent="0.2">
      <c r="A9251" t="s">
        <v>483</v>
      </c>
      <c r="B9251" t="s">
        <v>71</v>
      </c>
      <c r="C9251" t="s">
        <v>72</v>
      </c>
      <c r="D9251">
        <v>3900</v>
      </c>
      <c r="E9251">
        <v>2019</v>
      </c>
      <c r="F9251">
        <v>9</v>
      </c>
      <c r="G9251">
        <v>15017</v>
      </c>
      <c r="H9251" s="1" t="s">
        <v>1827</v>
      </c>
      <c r="I9251">
        <v>0</v>
      </c>
      <c r="J9251">
        <f>IF($H9251=0,1,IF($I9251&lt;=1,2,0))</f>
        <v>2</v>
      </c>
      <c r="K9251">
        <v>9</v>
      </c>
      <c r="L9251">
        <f>IF(AND($J9251=0,$K9251=0),0,1)</f>
        <v>1</v>
      </c>
    </row>
    <row r="9252" spans="1:12" x14ac:dyDescent="0.2">
      <c r="A9252" t="s">
        <v>483</v>
      </c>
      <c r="B9252" t="s">
        <v>71</v>
      </c>
      <c r="C9252" t="s">
        <v>72</v>
      </c>
      <c r="D9252">
        <v>3900</v>
      </c>
      <c r="E9252">
        <v>2019</v>
      </c>
      <c r="F9252">
        <v>11</v>
      </c>
      <c r="G9252">
        <v>15019</v>
      </c>
      <c r="H9252" s="1" t="s">
        <v>1827</v>
      </c>
      <c r="I9252">
        <v>0</v>
      </c>
      <c r="J9252">
        <f>IF($H9252=0,1,IF($I9252&lt;=1,2,0))</f>
        <v>2</v>
      </c>
      <c r="K9252">
        <v>9</v>
      </c>
      <c r="L9252">
        <f>IF(AND($J9252=0,$K9252=0),0,1)</f>
        <v>1</v>
      </c>
    </row>
    <row r="9253" spans="1:12" x14ac:dyDescent="0.2">
      <c r="A9253" t="s">
        <v>483</v>
      </c>
      <c r="B9253" t="s">
        <v>71</v>
      </c>
      <c r="C9253" t="s">
        <v>72</v>
      </c>
      <c r="D9253">
        <v>3900</v>
      </c>
      <c r="E9253">
        <v>2019</v>
      </c>
      <c r="F9253">
        <v>12</v>
      </c>
      <c r="G9253">
        <v>15020</v>
      </c>
      <c r="H9253" s="1" t="s">
        <v>1827</v>
      </c>
      <c r="I9253">
        <v>0</v>
      </c>
      <c r="J9253">
        <f>IF($H9253=0,1,IF($I9253&lt;=1,2,0))</f>
        <v>2</v>
      </c>
      <c r="K9253">
        <v>9</v>
      </c>
      <c r="L9253">
        <f>IF(AND($J9253=0,$K9253=0),0,1)</f>
        <v>1</v>
      </c>
    </row>
    <row r="9254" spans="1:12" x14ac:dyDescent="0.2">
      <c r="A9254" t="s">
        <v>483</v>
      </c>
      <c r="B9254" t="s">
        <v>71</v>
      </c>
      <c r="C9254" t="s">
        <v>72</v>
      </c>
      <c r="D9254">
        <v>3900</v>
      </c>
      <c r="E9254">
        <v>2019</v>
      </c>
      <c r="F9254">
        <v>13</v>
      </c>
      <c r="G9254">
        <v>15021</v>
      </c>
      <c r="H9254" s="1" t="s">
        <v>1827</v>
      </c>
      <c r="I9254">
        <v>0</v>
      </c>
      <c r="J9254">
        <f>IF($H9254=0,1,IF($I9254&lt;=1,2,0))</f>
        <v>2</v>
      </c>
      <c r="K9254">
        <v>9</v>
      </c>
      <c r="L9254">
        <f>IF(AND($J9254=0,$K9254=0),0,1)</f>
        <v>1</v>
      </c>
    </row>
    <row r="9255" spans="1:12" x14ac:dyDescent="0.2">
      <c r="A9255" t="s">
        <v>483</v>
      </c>
      <c r="B9255" t="s">
        <v>71</v>
      </c>
      <c r="C9255" t="s">
        <v>72</v>
      </c>
      <c r="D9255">
        <v>3900</v>
      </c>
      <c r="E9255">
        <v>2019</v>
      </c>
      <c r="F9255">
        <v>16</v>
      </c>
      <c r="G9255">
        <v>15060</v>
      </c>
      <c r="H9255" s="1" t="s">
        <v>1827</v>
      </c>
      <c r="I9255">
        <v>0</v>
      </c>
      <c r="J9255">
        <f>IF($H9255=0,1,IF($I9255&lt;=1,2,0))</f>
        <v>2</v>
      </c>
      <c r="K9255">
        <v>9</v>
      </c>
      <c r="L9255">
        <f>IF(AND($J9255=0,$K9255=0),0,1)</f>
        <v>1</v>
      </c>
    </row>
    <row r="9256" spans="1:12" x14ac:dyDescent="0.2">
      <c r="A9256" t="s">
        <v>483</v>
      </c>
      <c r="B9256" t="s">
        <v>71</v>
      </c>
      <c r="C9256" t="s">
        <v>72</v>
      </c>
      <c r="D9256">
        <v>3900</v>
      </c>
      <c r="E9256">
        <v>2019</v>
      </c>
      <c r="F9256">
        <v>17</v>
      </c>
      <c r="G9256">
        <v>15061</v>
      </c>
      <c r="H9256" s="1" t="s">
        <v>1827</v>
      </c>
      <c r="I9256">
        <v>0</v>
      </c>
      <c r="J9256">
        <f>IF($H9256=0,1,IF($I9256&lt;=1,2,0))</f>
        <v>2</v>
      </c>
      <c r="K9256">
        <v>9</v>
      </c>
      <c r="L9256">
        <f>IF(AND($J9256=0,$K9256=0),0,1)</f>
        <v>1</v>
      </c>
    </row>
    <row r="9257" spans="1:12" x14ac:dyDescent="0.2">
      <c r="A9257" t="s">
        <v>483</v>
      </c>
      <c r="B9257" t="s">
        <v>71</v>
      </c>
      <c r="C9257" t="s">
        <v>72</v>
      </c>
      <c r="D9257">
        <v>3900</v>
      </c>
      <c r="E9257">
        <v>2019</v>
      </c>
      <c r="F9257">
        <v>18</v>
      </c>
      <c r="G9257">
        <v>15062</v>
      </c>
      <c r="H9257" s="1" t="s">
        <v>1827</v>
      </c>
      <c r="I9257">
        <v>0</v>
      </c>
      <c r="J9257">
        <f>IF($H9257=0,1,IF($I9257&lt;=1,2,0))</f>
        <v>2</v>
      </c>
      <c r="K9257">
        <v>9</v>
      </c>
      <c r="L9257">
        <f>IF(AND($J9257=0,$K9257=0),0,1)</f>
        <v>1</v>
      </c>
    </row>
    <row r="9258" spans="1:12" x14ac:dyDescent="0.2">
      <c r="A9258" t="s">
        <v>483</v>
      </c>
      <c r="B9258" t="s">
        <v>71</v>
      </c>
      <c r="C9258" t="s">
        <v>72</v>
      </c>
      <c r="D9258">
        <v>3900</v>
      </c>
      <c r="E9258">
        <v>2019</v>
      </c>
      <c r="F9258">
        <v>19</v>
      </c>
      <c r="G9258">
        <v>15063</v>
      </c>
      <c r="H9258" s="1" t="s">
        <v>1827</v>
      </c>
      <c r="I9258">
        <v>0</v>
      </c>
      <c r="J9258">
        <f>IF($H9258=0,1,IF($I9258&lt;=1,2,0))</f>
        <v>2</v>
      </c>
      <c r="K9258">
        <v>9</v>
      </c>
      <c r="L9258">
        <f>IF(AND($J9258=0,$K9258=0),0,1)</f>
        <v>1</v>
      </c>
    </row>
    <row r="9259" spans="1:12" x14ac:dyDescent="0.2">
      <c r="A9259" t="s">
        <v>483</v>
      </c>
      <c r="B9259" t="s">
        <v>71</v>
      </c>
      <c r="C9259" t="s">
        <v>72</v>
      </c>
      <c r="D9259">
        <v>3900</v>
      </c>
      <c r="E9259">
        <v>2019</v>
      </c>
      <c r="F9259">
        <v>20</v>
      </c>
      <c r="G9259">
        <v>15064</v>
      </c>
      <c r="H9259" s="1" t="s">
        <v>1827</v>
      </c>
      <c r="I9259">
        <v>0</v>
      </c>
      <c r="J9259">
        <f>IF($H9259=0,1,IF($I9259&lt;=1,2,0))</f>
        <v>2</v>
      </c>
      <c r="K9259">
        <v>9</v>
      </c>
      <c r="L9259">
        <f>IF(AND($J9259=0,$K9259=0),0,1)</f>
        <v>1</v>
      </c>
    </row>
    <row r="9260" spans="1:12" x14ac:dyDescent="0.2">
      <c r="A9260" t="s">
        <v>483</v>
      </c>
      <c r="B9260" t="s">
        <v>71</v>
      </c>
      <c r="C9260" t="s">
        <v>72</v>
      </c>
      <c r="D9260">
        <v>3900</v>
      </c>
      <c r="E9260">
        <v>2019</v>
      </c>
      <c r="F9260">
        <v>21</v>
      </c>
      <c r="G9260">
        <v>15065</v>
      </c>
      <c r="H9260" s="1" t="s">
        <v>1827</v>
      </c>
      <c r="I9260">
        <v>0</v>
      </c>
      <c r="J9260">
        <f>IF($H9260=0,1,IF($I9260&lt;=1,2,0))</f>
        <v>2</v>
      </c>
      <c r="K9260">
        <v>9</v>
      </c>
      <c r="L9260">
        <f>IF(AND($J9260=0,$K9260=0),0,1)</f>
        <v>1</v>
      </c>
    </row>
    <row r="9261" spans="1:12" x14ac:dyDescent="0.2">
      <c r="A9261" t="s">
        <v>483</v>
      </c>
      <c r="B9261" t="s">
        <v>71</v>
      </c>
      <c r="C9261" t="s">
        <v>72</v>
      </c>
      <c r="D9261">
        <v>3900</v>
      </c>
      <c r="E9261">
        <v>2019</v>
      </c>
      <c r="F9261">
        <v>22</v>
      </c>
      <c r="G9261">
        <v>15066</v>
      </c>
      <c r="H9261" s="1" t="s">
        <v>1827</v>
      </c>
      <c r="I9261">
        <v>0</v>
      </c>
      <c r="J9261">
        <f>IF($H9261=0,1,IF($I9261&lt;=1,2,0))</f>
        <v>2</v>
      </c>
      <c r="K9261">
        <v>9</v>
      </c>
      <c r="L9261">
        <f>IF(AND($J9261=0,$K9261=0),0,1)</f>
        <v>1</v>
      </c>
    </row>
    <row r="9262" spans="1:12" x14ac:dyDescent="0.2">
      <c r="A9262" t="s">
        <v>483</v>
      </c>
      <c r="B9262" t="s">
        <v>71</v>
      </c>
      <c r="C9262" t="s">
        <v>72</v>
      </c>
      <c r="D9262">
        <v>3900</v>
      </c>
      <c r="E9262">
        <v>2019</v>
      </c>
      <c r="F9262">
        <v>23</v>
      </c>
      <c r="G9262">
        <v>15067</v>
      </c>
      <c r="H9262" s="1" t="s">
        <v>1827</v>
      </c>
      <c r="I9262">
        <v>0</v>
      </c>
      <c r="J9262">
        <f>IF($H9262=0,1,IF($I9262&lt;=1,2,0))</f>
        <v>2</v>
      </c>
      <c r="K9262">
        <v>9</v>
      </c>
      <c r="L9262">
        <f>IF(AND($J9262=0,$K9262=0),0,1)</f>
        <v>1</v>
      </c>
    </row>
    <row r="9263" spans="1:12" x14ac:dyDescent="0.2">
      <c r="A9263" t="s">
        <v>483</v>
      </c>
      <c r="B9263" t="s">
        <v>71</v>
      </c>
      <c r="C9263" t="s">
        <v>72</v>
      </c>
      <c r="D9263">
        <v>3900</v>
      </c>
      <c r="E9263">
        <v>2019</v>
      </c>
      <c r="F9263">
        <v>24</v>
      </c>
      <c r="G9263">
        <v>15068</v>
      </c>
      <c r="H9263" s="1" t="s">
        <v>1827</v>
      </c>
      <c r="I9263">
        <v>0</v>
      </c>
      <c r="J9263">
        <f>IF($H9263=0,1,IF($I9263&lt;=1,2,0))</f>
        <v>2</v>
      </c>
      <c r="K9263">
        <v>9</v>
      </c>
      <c r="L9263">
        <f>IF(AND($J9263=0,$K9263=0),0,1)</f>
        <v>1</v>
      </c>
    </row>
    <row r="9264" spans="1:12" x14ac:dyDescent="0.2">
      <c r="A9264" t="s">
        <v>483</v>
      </c>
      <c r="B9264" t="s">
        <v>71</v>
      </c>
      <c r="C9264" t="s">
        <v>72</v>
      </c>
      <c r="D9264">
        <v>3900</v>
      </c>
      <c r="E9264">
        <v>2019</v>
      </c>
      <c r="F9264">
        <v>25</v>
      </c>
      <c r="G9264">
        <v>15069</v>
      </c>
      <c r="H9264" s="1" t="s">
        <v>1827</v>
      </c>
      <c r="I9264">
        <v>0</v>
      </c>
      <c r="J9264">
        <f>IF($H9264=0,1,IF($I9264&lt;=1,2,0))</f>
        <v>2</v>
      </c>
      <c r="K9264">
        <v>9</v>
      </c>
      <c r="L9264">
        <f>IF(AND($J9264=0,$K9264=0),0,1)</f>
        <v>1</v>
      </c>
    </row>
    <row r="9265" spans="1:13" x14ac:dyDescent="0.2">
      <c r="A9265" t="s">
        <v>483</v>
      </c>
      <c r="B9265" t="s">
        <v>71</v>
      </c>
      <c r="C9265" t="s">
        <v>72</v>
      </c>
      <c r="D9265">
        <v>3900</v>
      </c>
      <c r="E9265">
        <v>2019</v>
      </c>
      <c r="F9265">
        <v>26</v>
      </c>
      <c r="G9265">
        <v>15070</v>
      </c>
      <c r="H9265" s="1" t="s">
        <v>1827</v>
      </c>
      <c r="I9265">
        <v>0</v>
      </c>
      <c r="J9265">
        <f>IF($H9265=0,1,IF($I9265&lt;=1,2,0))</f>
        <v>2</v>
      </c>
      <c r="K9265">
        <v>9</v>
      </c>
      <c r="L9265">
        <f>IF(AND($J9265=0,$K9265=0),0,1)</f>
        <v>1</v>
      </c>
    </row>
    <row r="9266" spans="1:13" x14ac:dyDescent="0.2">
      <c r="A9266" t="s">
        <v>483</v>
      </c>
      <c r="B9266" t="s">
        <v>71</v>
      </c>
      <c r="C9266" t="s">
        <v>72</v>
      </c>
      <c r="D9266">
        <v>3900</v>
      </c>
      <c r="E9266">
        <v>2019</v>
      </c>
      <c r="F9266">
        <v>27</v>
      </c>
      <c r="G9266">
        <v>15071</v>
      </c>
      <c r="H9266" s="1" t="s">
        <v>1827</v>
      </c>
      <c r="I9266">
        <v>0</v>
      </c>
      <c r="J9266">
        <f>IF($H9266=0,1,IF($I9266&lt;=1,2,0))</f>
        <v>2</v>
      </c>
      <c r="K9266">
        <v>9</v>
      </c>
      <c r="L9266">
        <f>IF(AND($J9266=0,$K9266=0),0,1)</f>
        <v>1</v>
      </c>
    </row>
    <row r="9267" spans="1:13" x14ac:dyDescent="0.2">
      <c r="A9267" t="s">
        <v>483</v>
      </c>
      <c r="B9267" t="s">
        <v>71</v>
      </c>
      <c r="C9267" t="s">
        <v>72</v>
      </c>
      <c r="D9267">
        <v>3900</v>
      </c>
      <c r="E9267">
        <v>2019</v>
      </c>
      <c r="F9267">
        <v>28</v>
      </c>
      <c r="G9267">
        <v>15072</v>
      </c>
      <c r="H9267" s="1" t="s">
        <v>1827</v>
      </c>
      <c r="I9267">
        <v>0</v>
      </c>
      <c r="J9267">
        <f>IF($H9267=0,1,IF($I9267&lt;=1,2,0))</f>
        <v>2</v>
      </c>
      <c r="K9267">
        <v>9</v>
      </c>
      <c r="L9267">
        <f>IF(AND($J9267=0,$K9267=0),0,1)</f>
        <v>1</v>
      </c>
    </row>
    <row r="9268" spans="1:13" x14ac:dyDescent="0.2">
      <c r="A9268" t="s">
        <v>483</v>
      </c>
      <c r="B9268" t="s">
        <v>71</v>
      </c>
      <c r="C9268" t="s">
        <v>72</v>
      </c>
      <c r="D9268">
        <v>3999</v>
      </c>
      <c r="E9268">
        <v>2019</v>
      </c>
      <c r="F9268">
        <v>1</v>
      </c>
      <c r="G9268">
        <v>13293</v>
      </c>
      <c r="H9268" s="1" t="s">
        <v>221</v>
      </c>
      <c r="I9268">
        <v>2</v>
      </c>
      <c r="J9268">
        <f>IF($H9268=0,1,IF($I9268&lt;=1,2,0))</f>
        <v>0</v>
      </c>
      <c r="K9268">
        <v>9</v>
      </c>
      <c r="L9268">
        <f>IF(AND($J9268=0,$K9268=0),0,1)</f>
        <v>1</v>
      </c>
    </row>
    <row r="9269" spans="1:13" x14ac:dyDescent="0.2">
      <c r="A9269" t="s">
        <v>483</v>
      </c>
      <c r="B9269" t="s">
        <v>71</v>
      </c>
      <c r="C9269" t="s">
        <v>72</v>
      </c>
      <c r="D9269">
        <v>4004</v>
      </c>
      <c r="E9269">
        <v>2019</v>
      </c>
      <c r="F9269">
        <v>1</v>
      </c>
      <c r="G9269">
        <v>10252</v>
      </c>
      <c r="H9269" s="1">
        <v>3</v>
      </c>
      <c r="I9269">
        <v>143</v>
      </c>
      <c r="J9269">
        <f>IF($H9269=0,1,IF($I9269&lt;=1,2,0))</f>
        <v>0</v>
      </c>
      <c r="K9269">
        <v>4</v>
      </c>
      <c r="L9269">
        <f>IF(AND($J9269=0,$K9269=0),0,1)</f>
        <v>1</v>
      </c>
      <c r="M9269" t="s">
        <v>485</v>
      </c>
    </row>
    <row r="9270" spans="1:13" x14ac:dyDescent="0.2">
      <c r="A9270" t="s">
        <v>483</v>
      </c>
      <c r="B9270" t="s">
        <v>71</v>
      </c>
      <c r="C9270" t="s">
        <v>72</v>
      </c>
      <c r="D9270">
        <v>4004</v>
      </c>
      <c r="E9270">
        <v>2019</v>
      </c>
      <c r="F9270">
        <v>2</v>
      </c>
      <c r="G9270">
        <v>10253</v>
      </c>
      <c r="H9270" s="1">
        <v>3</v>
      </c>
      <c r="I9270">
        <v>94</v>
      </c>
      <c r="J9270">
        <f>IF($H9270=0,1,IF($I9270&lt;=1,2,0))</f>
        <v>0</v>
      </c>
      <c r="K9270">
        <v>4</v>
      </c>
      <c r="L9270">
        <f>IF(AND($J9270=0,$K9270=0),0,1)</f>
        <v>1</v>
      </c>
      <c r="M9270" t="s">
        <v>486</v>
      </c>
    </row>
    <row r="9271" spans="1:13" x14ac:dyDescent="0.2">
      <c r="A9271" t="s">
        <v>483</v>
      </c>
      <c r="B9271" t="s">
        <v>71</v>
      </c>
      <c r="C9271" t="s">
        <v>72</v>
      </c>
      <c r="D9271">
        <v>4007</v>
      </c>
      <c r="E9271">
        <v>2019</v>
      </c>
      <c r="F9271">
        <v>1</v>
      </c>
      <c r="G9271">
        <v>10283</v>
      </c>
      <c r="H9271" s="1">
        <v>3</v>
      </c>
      <c r="I9271">
        <v>94</v>
      </c>
      <c r="J9271">
        <f>IF($H9271=0,1,IF($I9271&lt;=1,2,0))</f>
        <v>0</v>
      </c>
      <c r="K9271">
        <v>1</v>
      </c>
      <c r="L9271">
        <f>IF(AND($J9271=0,$K9271=0),0,1)</f>
        <v>1</v>
      </c>
    </row>
    <row r="9272" spans="1:13" x14ac:dyDescent="0.2">
      <c r="A9272" t="s">
        <v>483</v>
      </c>
      <c r="B9272" t="s">
        <v>71</v>
      </c>
      <c r="C9272" t="s">
        <v>72</v>
      </c>
      <c r="D9272">
        <v>4101</v>
      </c>
      <c r="E9272">
        <v>2019</v>
      </c>
      <c r="F9272">
        <v>1</v>
      </c>
      <c r="G9272">
        <v>10296</v>
      </c>
      <c r="H9272" s="1">
        <v>3</v>
      </c>
      <c r="I9272">
        <v>121</v>
      </c>
      <c r="J9272">
        <f>IF($H9272=0,1,IF($I9272&lt;=1,2,0))</f>
        <v>0</v>
      </c>
      <c r="K9272">
        <v>1</v>
      </c>
      <c r="L9272">
        <f>IF(AND($J9272=0,$K9272=0),0,1)</f>
        <v>1</v>
      </c>
      <c r="M9272" t="s">
        <v>485</v>
      </c>
    </row>
    <row r="9273" spans="1:13" x14ac:dyDescent="0.2">
      <c r="A9273" t="s">
        <v>483</v>
      </c>
      <c r="B9273" t="s">
        <v>71</v>
      </c>
      <c r="C9273" t="s">
        <v>72</v>
      </c>
      <c r="D9273">
        <v>4101</v>
      </c>
      <c r="E9273">
        <v>2019</v>
      </c>
      <c r="F9273">
        <v>2</v>
      </c>
      <c r="G9273">
        <v>10297</v>
      </c>
      <c r="H9273" s="1">
        <v>3</v>
      </c>
      <c r="I9273">
        <v>86</v>
      </c>
      <c r="J9273">
        <f>IF($H9273=0,1,IF($I9273&lt;=1,2,0))</f>
        <v>0</v>
      </c>
      <c r="K9273">
        <v>1</v>
      </c>
      <c r="L9273">
        <f>IF(AND($J9273=0,$K9273=0),0,1)</f>
        <v>1</v>
      </c>
      <c r="M9273" t="s">
        <v>486</v>
      </c>
    </row>
    <row r="9274" spans="1:13" x14ac:dyDescent="0.2">
      <c r="A9274" t="s">
        <v>483</v>
      </c>
      <c r="B9274" t="s">
        <v>71</v>
      </c>
      <c r="C9274" t="s">
        <v>72</v>
      </c>
      <c r="D9274">
        <v>4111</v>
      </c>
      <c r="E9274">
        <v>2019</v>
      </c>
      <c r="F9274">
        <v>1</v>
      </c>
      <c r="G9274">
        <v>10294</v>
      </c>
      <c r="H9274" s="1">
        <v>3</v>
      </c>
      <c r="I9274">
        <v>96</v>
      </c>
      <c r="J9274">
        <f>IF($H9274=0,1,IF($I9274&lt;=1,2,0))</f>
        <v>0</v>
      </c>
      <c r="K9274">
        <v>1</v>
      </c>
      <c r="L9274">
        <f>IF(AND($J9274=0,$K9274=0),0,1)</f>
        <v>1</v>
      </c>
    </row>
    <row r="9275" spans="1:13" x14ac:dyDescent="0.2">
      <c r="A9275" t="s">
        <v>483</v>
      </c>
      <c r="B9275" t="s">
        <v>71</v>
      </c>
      <c r="C9275" t="s">
        <v>72</v>
      </c>
      <c r="D9275">
        <v>4150</v>
      </c>
      <c r="E9275">
        <v>2019</v>
      </c>
      <c r="F9275" t="s">
        <v>489</v>
      </c>
      <c r="G9275">
        <v>18983</v>
      </c>
      <c r="H9275" s="1">
        <v>0</v>
      </c>
      <c r="I9275">
        <v>94</v>
      </c>
      <c r="J9275">
        <f>IF($H9275=0,1,IF($I9275&lt;=1,2,0))</f>
        <v>1</v>
      </c>
      <c r="K9275">
        <v>0</v>
      </c>
      <c r="L9275">
        <f>IF(AND($J9275=0,$K9275=0),0,1)</f>
        <v>1</v>
      </c>
    </row>
    <row r="9276" spans="1:13" x14ac:dyDescent="0.2">
      <c r="A9276" t="s">
        <v>483</v>
      </c>
      <c r="B9276" t="s">
        <v>71</v>
      </c>
      <c r="C9276" t="s">
        <v>72</v>
      </c>
      <c r="D9276">
        <v>4501</v>
      </c>
      <c r="E9276">
        <v>2019</v>
      </c>
      <c r="F9276" t="s">
        <v>489</v>
      </c>
      <c r="G9276">
        <v>18982</v>
      </c>
      <c r="H9276" s="1">
        <v>0</v>
      </c>
      <c r="I9276">
        <v>36</v>
      </c>
      <c r="J9276">
        <f>IF($H9276=0,1,IF($I9276&lt;=1,2,0))</f>
        <v>1</v>
      </c>
      <c r="K9276">
        <v>0</v>
      </c>
      <c r="L9276">
        <f>IF(AND($J9276=0,$K9276=0),0,1)</f>
        <v>1</v>
      </c>
    </row>
    <row r="9277" spans="1:13" x14ac:dyDescent="0.2">
      <c r="A9277" t="s">
        <v>483</v>
      </c>
      <c r="B9277" t="s">
        <v>71</v>
      </c>
      <c r="C9277" t="s">
        <v>72</v>
      </c>
      <c r="D9277">
        <v>4520</v>
      </c>
      <c r="E9277">
        <v>2019</v>
      </c>
      <c r="F9277">
        <v>1</v>
      </c>
      <c r="G9277">
        <v>10264</v>
      </c>
      <c r="H9277" s="1">
        <v>3</v>
      </c>
      <c r="I9277">
        <v>48</v>
      </c>
      <c r="J9277">
        <f>IF($H9277=0,1,IF($I9277&lt;=1,2,0))</f>
        <v>0</v>
      </c>
      <c r="K9277">
        <v>1</v>
      </c>
      <c r="L9277">
        <f>IF(AND($J9277=0,$K9277=0),0,1)</f>
        <v>1</v>
      </c>
    </row>
    <row r="9278" spans="1:13" x14ac:dyDescent="0.2">
      <c r="A9278" t="s">
        <v>483</v>
      </c>
      <c r="B9278" t="s">
        <v>71</v>
      </c>
      <c r="C9278" t="s">
        <v>72</v>
      </c>
      <c r="D9278">
        <v>4523</v>
      </c>
      <c r="E9278">
        <v>2019</v>
      </c>
      <c r="F9278">
        <v>2</v>
      </c>
      <c r="G9278">
        <v>10266</v>
      </c>
      <c r="H9278" s="1">
        <v>3</v>
      </c>
      <c r="I9278">
        <v>75</v>
      </c>
      <c r="J9278">
        <f>IF($H9278=0,1,IF($I9278&lt;=1,2,0))</f>
        <v>0</v>
      </c>
      <c r="K9278">
        <v>1</v>
      </c>
      <c r="L9278">
        <f>IF(AND($J9278=0,$K9278=0),0,1)</f>
        <v>1</v>
      </c>
      <c r="M9278" t="s">
        <v>485</v>
      </c>
    </row>
    <row r="9279" spans="1:13" x14ac:dyDescent="0.2">
      <c r="A9279" t="s">
        <v>483</v>
      </c>
      <c r="B9279" t="s">
        <v>71</v>
      </c>
      <c r="C9279" t="s">
        <v>72</v>
      </c>
      <c r="D9279">
        <v>4523</v>
      </c>
      <c r="E9279">
        <v>2019</v>
      </c>
      <c r="F9279">
        <v>1</v>
      </c>
      <c r="G9279">
        <v>10265</v>
      </c>
      <c r="H9279" s="1">
        <v>3</v>
      </c>
      <c r="I9279">
        <v>74</v>
      </c>
      <c r="J9279">
        <f>IF($H9279=0,1,IF($I9279&lt;=1,2,0))</f>
        <v>0</v>
      </c>
      <c r="K9279">
        <v>1</v>
      </c>
      <c r="L9279">
        <f>IF(AND($J9279=0,$K9279=0),0,1)</f>
        <v>1</v>
      </c>
      <c r="M9279" t="s">
        <v>491</v>
      </c>
    </row>
    <row r="9280" spans="1:13" x14ac:dyDescent="0.2">
      <c r="A9280" t="s">
        <v>483</v>
      </c>
      <c r="B9280" t="s">
        <v>71</v>
      </c>
      <c r="C9280" t="s">
        <v>72</v>
      </c>
      <c r="D9280">
        <v>4523</v>
      </c>
      <c r="E9280">
        <v>2019</v>
      </c>
      <c r="F9280">
        <v>3</v>
      </c>
      <c r="G9280">
        <v>10267</v>
      </c>
      <c r="H9280" s="1">
        <v>3</v>
      </c>
      <c r="I9280">
        <v>61</v>
      </c>
      <c r="J9280">
        <f>IF($H9280=0,1,IF($I9280&lt;=1,2,0))</f>
        <v>0</v>
      </c>
      <c r="K9280">
        <v>1</v>
      </c>
      <c r="L9280">
        <f>IF(AND($J9280=0,$K9280=0),0,1)</f>
        <v>1</v>
      </c>
    </row>
    <row r="9281" spans="1:13" x14ac:dyDescent="0.2">
      <c r="A9281" t="s">
        <v>483</v>
      </c>
      <c r="B9281" t="s">
        <v>71</v>
      </c>
      <c r="C9281" t="s">
        <v>72</v>
      </c>
      <c r="D9281">
        <v>4599</v>
      </c>
      <c r="E9281">
        <v>2019</v>
      </c>
      <c r="F9281">
        <v>1</v>
      </c>
      <c r="G9281">
        <v>15109</v>
      </c>
      <c r="H9281" s="1">
        <v>0</v>
      </c>
      <c r="I9281">
        <v>138</v>
      </c>
      <c r="J9281">
        <f>IF($H9281=0,1,IF($I9281&lt;=1,2,0))</f>
        <v>1</v>
      </c>
      <c r="K9281">
        <v>0</v>
      </c>
      <c r="L9281">
        <f>IF(AND($J9281=0,$K9281=0),0,1)</f>
        <v>1</v>
      </c>
      <c r="M9281" t="s">
        <v>491</v>
      </c>
    </row>
    <row r="9282" spans="1:13" x14ac:dyDescent="0.2">
      <c r="A9282" t="s">
        <v>483</v>
      </c>
      <c r="B9282" t="s">
        <v>71</v>
      </c>
      <c r="C9282" t="s">
        <v>72</v>
      </c>
      <c r="D9282">
        <v>4701</v>
      </c>
      <c r="E9282">
        <v>2019</v>
      </c>
      <c r="F9282">
        <v>1</v>
      </c>
      <c r="G9282">
        <v>10288</v>
      </c>
      <c r="H9282" s="1">
        <v>3</v>
      </c>
      <c r="I9282">
        <v>95</v>
      </c>
      <c r="J9282">
        <f>IF($H9282=0,1,IF($I9282&lt;=1,2,0))</f>
        <v>0</v>
      </c>
      <c r="K9282">
        <v>1</v>
      </c>
      <c r="L9282">
        <f>IF(AND($J9282=0,$K9282=0),0,1)</f>
        <v>1</v>
      </c>
    </row>
    <row r="9283" spans="1:13" x14ac:dyDescent="0.2">
      <c r="A9283" t="s">
        <v>483</v>
      </c>
      <c r="B9283" t="s">
        <v>71</v>
      </c>
      <c r="C9283" t="s">
        <v>72</v>
      </c>
      <c r="D9283">
        <v>4701</v>
      </c>
      <c r="E9283">
        <v>2019</v>
      </c>
      <c r="F9283" t="s">
        <v>84</v>
      </c>
      <c r="G9283">
        <v>16412</v>
      </c>
      <c r="H9283" s="1">
        <v>3</v>
      </c>
      <c r="I9283">
        <v>3</v>
      </c>
      <c r="J9283">
        <f>IF($H9283=0,1,IF($I9283&lt;=1,2,0))</f>
        <v>0</v>
      </c>
      <c r="K9283">
        <v>1</v>
      </c>
      <c r="L9283">
        <f>IF(AND($J9283=0,$K9283=0),0,1)</f>
        <v>1</v>
      </c>
      <c r="M9283" t="s">
        <v>85</v>
      </c>
    </row>
    <row r="9284" spans="1:13" x14ac:dyDescent="0.2">
      <c r="A9284" t="s">
        <v>483</v>
      </c>
      <c r="B9284" t="s">
        <v>71</v>
      </c>
      <c r="C9284" t="s">
        <v>72</v>
      </c>
      <c r="D9284">
        <v>4732</v>
      </c>
      <c r="E9284">
        <v>2019</v>
      </c>
      <c r="F9284" t="s">
        <v>84</v>
      </c>
      <c r="G9284">
        <v>16416</v>
      </c>
      <c r="H9284" s="1">
        <v>3</v>
      </c>
      <c r="I9284">
        <v>1</v>
      </c>
      <c r="J9284">
        <f>IF($H9284=0,1,IF($I9284&lt;=1,2,0))</f>
        <v>2</v>
      </c>
      <c r="K9284">
        <v>0</v>
      </c>
      <c r="L9284">
        <f>IF(AND($J9284=0,$K9284=0),0,1)</f>
        <v>1</v>
      </c>
      <c r="M9284" t="s">
        <v>85</v>
      </c>
    </row>
    <row r="9285" spans="1:13" x14ac:dyDescent="0.2">
      <c r="A9285" t="s">
        <v>483</v>
      </c>
      <c r="B9285" t="s">
        <v>71</v>
      </c>
      <c r="C9285" t="s">
        <v>72</v>
      </c>
      <c r="D9285">
        <v>4799</v>
      </c>
      <c r="E9285">
        <v>2019</v>
      </c>
      <c r="F9285">
        <v>1</v>
      </c>
      <c r="G9285">
        <v>14014</v>
      </c>
      <c r="H9285" s="1">
        <v>0</v>
      </c>
      <c r="I9285">
        <v>88</v>
      </c>
      <c r="J9285">
        <f>IF($H9285=0,1,IF($I9285&lt;=1,2,0))</f>
        <v>1</v>
      </c>
      <c r="K9285">
        <v>0</v>
      </c>
      <c r="L9285">
        <f>IF(AND($J9285=0,$K9285=0),0,1)</f>
        <v>1</v>
      </c>
      <c r="M9285" t="s">
        <v>496</v>
      </c>
    </row>
    <row r="9286" spans="1:13" x14ac:dyDescent="0.2">
      <c r="A9286" t="s">
        <v>483</v>
      </c>
      <c r="B9286" t="s">
        <v>71</v>
      </c>
      <c r="C9286" t="s">
        <v>72</v>
      </c>
      <c r="D9286">
        <v>4900</v>
      </c>
      <c r="E9286">
        <v>2019</v>
      </c>
      <c r="F9286">
        <v>4</v>
      </c>
      <c r="G9286">
        <v>15076</v>
      </c>
      <c r="H9286" s="1" t="s">
        <v>1827</v>
      </c>
      <c r="I9286">
        <v>1</v>
      </c>
      <c r="J9286">
        <f>IF($H9286=0,1,IF($I9286&lt;=1,2,0))</f>
        <v>2</v>
      </c>
      <c r="K9286">
        <v>9</v>
      </c>
      <c r="L9286">
        <f>IF(AND($J9286=0,$K9286=0),0,1)</f>
        <v>1</v>
      </c>
    </row>
    <row r="9287" spans="1:13" x14ac:dyDescent="0.2">
      <c r="A9287" t="s">
        <v>483</v>
      </c>
      <c r="B9287" t="s">
        <v>71</v>
      </c>
      <c r="C9287" t="s">
        <v>72</v>
      </c>
      <c r="D9287">
        <v>4900</v>
      </c>
      <c r="E9287">
        <v>2019</v>
      </c>
      <c r="F9287">
        <v>20</v>
      </c>
      <c r="G9287">
        <v>15090</v>
      </c>
      <c r="H9287" s="1" t="s">
        <v>1827</v>
      </c>
      <c r="I9287">
        <v>1</v>
      </c>
      <c r="J9287">
        <f>IF($H9287=0,1,IF($I9287&lt;=1,2,0))</f>
        <v>2</v>
      </c>
      <c r="K9287">
        <v>9</v>
      </c>
      <c r="L9287">
        <f>IF(AND($J9287=0,$K9287=0),0,1)</f>
        <v>1</v>
      </c>
    </row>
    <row r="9288" spans="1:13" x14ac:dyDescent="0.2">
      <c r="A9288" t="s">
        <v>483</v>
      </c>
      <c r="B9288" t="s">
        <v>71</v>
      </c>
      <c r="C9288" t="s">
        <v>72</v>
      </c>
      <c r="D9288">
        <v>4900</v>
      </c>
      <c r="E9288">
        <v>2019</v>
      </c>
      <c r="F9288">
        <v>24</v>
      </c>
      <c r="G9288">
        <v>15094</v>
      </c>
      <c r="H9288" s="1" t="s">
        <v>1827</v>
      </c>
      <c r="I9288">
        <v>1</v>
      </c>
      <c r="J9288">
        <f>IF($H9288=0,1,IF($I9288&lt;=1,2,0))</f>
        <v>2</v>
      </c>
      <c r="K9288">
        <v>9</v>
      </c>
      <c r="L9288">
        <f>IF(AND($J9288=0,$K9288=0),0,1)</f>
        <v>1</v>
      </c>
    </row>
    <row r="9289" spans="1:13" x14ac:dyDescent="0.2">
      <c r="A9289" t="s">
        <v>483</v>
      </c>
      <c r="B9289" t="s">
        <v>71</v>
      </c>
      <c r="C9289" t="s">
        <v>72</v>
      </c>
      <c r="D9289">
        <v>4900</v>
      </c>
      <c r="E9289">
        <v>2019</v>
      </c>
      <c r="F9289">
        <v>1</v>
      </c>
      <c r="G9289">
        <v>15073</v>
      </c>
      <c r="H9289" s="1" t="s">
        <v>1827</v>
      </c>
      <c r="I9289">
        <v>0</v>
      </c>
      <c r="J9289">
        <f>IF($H9289=0,1,IF($I9289&lt;=1,2,0))</f>
        <v>2</v>
      </c>
      <c r="K9289">
        <v>9</v>
      </c>
      <c r="L9289">
        <f>IF(AND($J9289=0,$K9289=0),0,1)</f>
        <v>1</v>
      </c>
    </row>
    <row r="9290" spans="1:13" x14ac:dyDescent="0.2">
      <c r="A9290" t="s">
        <v>483</v>
      </c>
      <c r="B9290" t="s">
        <v>71</v>
      </c>
      <c r="C9290" t="s">
        <v>72</v>
      </c>
      <c r="D9290">
        <v>4900</v>
      </c>
      <c r="E9290">
        <v>2019</v>
      </c>
      <c r="F9290">
        <v>2</v>
      </c>
      <c r="G9290">
        <v>15074</v>
      </c>
      <c r="H9290" s="1" t="s">
        <v>1827</v>
      </c>
      <c r="I9290">
        <v>0</v>
      </c>
      <c r="J9290">
        <f>IF($H9290=0,1,IF($I9290&lt;=1,2,0))</f>
        <v>2</v>
      </c>
      <c r="K9290">
        <v>9</v>
      </c>
      <c r="L9290">
        <f>IF(AND($J9290=0,$K9290=0),0,1)</f>
        <v>1</v>
      </c>
    </row>
    <row r="9291" spans="1:13" x14ac:dyDescent="0.2">
      <c r="A9291" t="s">
        <v>483</v>
      </c>
      <c r="B9291" t="s">
        <v>71</v>
      </c>
      <c r="C9291" t="s">
        <v>72</v>
      </c>
      <c r="D9291">
        <v>4900</v>
      </c>
      <c r="E9291">
        <v>2019</v>
      </c>
      <c r="F9291">
        <v>3</v>
      </c>
      <c r="G9291">
        <v>15075</v>
      </c>
      <c r="H9291" s="1" t="s">
        <v>1827</v>
      </c>
      <c r="I9291">
        <v>0</v>
      </c>
      <c r="J9291">
        <f>IF($H9291=0,1,IF($I9291&lt;=1,2,0))</f>
        <v>2</v>
      </c>
      <c r="K9291">
        <v>9</v>
      </c>
      <c r="L9291">
        <f>IF(AND($J9291=0,$K9291=0),0,1)</f>
        <v>1</v>
      </c>
    </row>
    <row r="9292" spans="1:13" x14ac:dyDescent="0.2">
      <c r="A9292" t="s">
        <v>483</v>
      </c>
      <c r="B9292" t="s">
        <v>71</v>
      </c>
      <c r="C9292" t="s">
        <v>72</v>
      </c>
      <c r="D9292">
        <v>4900</v>
      </c>
      <c r="E9292">
        <v>2019</v>
      </c>
      <c r="F9292">
        <v>5</v>
      </c>
      <c r="G9292">
        <v>15077</v>
      </c>
      <c r="H9292" s="1" t="s">
        <v>1827</v>
      </c>
      <c r="I9292">
        <v>0</v>
      </c>
      <c r="J9292">
        <f>IF($H9292=0,1,IF($I9292&lt;=1,2,0))</f>
        <v>2</v>
      </c>
      <c r="K9292">
        <v>9</v>
      </c>
      <c r="L9292">
        <f>IF(AND($J9292=0,$K9292=0),0,1)</f>
        <v>1</v>
      </c>
    </row>
    <row r="9293" spans="1:13" x14ac:dyDescent="0.2">
      <c r="A9293" t="s">
        <v>483</v>
      </c>
      <c r="B9293" t="s">
        <v>71</v>
      </c>
      <c r="C9293" t="s">
        <v>72</v>
      </c>
      <c r="D9293">
        <v>4900</v>
      </c>
      <c r="E9293">
        <v>2019</v>
      </c>
      <c r="F9293">
        <v>6</v>
      </c>
      <c r="G9293">
        <v>15078</v>
      </c>
      <c r="H9293" s="1" t="s">
        <v>1827</v>
      </c>
      <c r="I9293">
        <v>0</v>
      </c>
      <c r="J9293">
        <f>IF($H9293=0,1,IF($I9293&lt;=1,2,0))</f>
        <v>2</v>
      </c>
      <c r="K9293">
        <v>9</v>
      </c>
      <c r="L9293">
        <f>IF(AND($J9293=0,$K9293=0),0,1)</f>
        <v>1</v>
      </c>
    </row>
    <row r="9294" spans="1:13" x14ac:dyDescent="0.2">
      <c r="A9294" t="s">
        <v>483</v>
      </c>
      <c r="B9294" t="s">
        <v>71</v>
      </c>
      <c r="C9294" t="s">
        <v>72</v>
      </c>
      <c r="D9294">
        <v>4900</v>
      </c>
      <c r="E9294">
        <v>2019</v>
      </c>
      <c r="F9294">
        <v>7</v>
      </c>
      <c r="G9294">
        <v>15079</v>
      </c>
      <c r="H9294" s="1" t="s">
        <v>1827</v>
      </c>
      <c r="I9294">
        <v>0</v>
      </c>
      <c r="J9294">
        <f>IF($H9294=0,1,IF($I9294&lt;=1,2,0))</f>
        <v>2</v>
      </c>
      <c r="K9294">
        <v>9</v>
      </c>
      <c r="L9294">
        <f>IF(AND($J9294=0,$K9294=0),0,1)</f>
        <v>1</v>
      </c>
    </row>
    <row r="9295" spans="1:13" x14ac:dyDescent="0.2">
      <c r="A9295" t="s">
        <v>483</v>
      </c>
      <c r="B9295" t="s">
        <v>71</v>
      </c>
      <c r="C9295" t="s">
        <v>72</v>
      </c>
      <c r="D9295">
        <v>4900</v>
      </c>
      <c r="E9295">
        <v>2019</v>
      </c>
      <c r="F9295">
        <v>8</v>
      </c>
      <c r="G9295">
        <v>15080</v>
      </c>
      <c r="H9295" s="1" t="s">
        <v>1827</v>
      </c>
      <c r="I9295">
        <v>0</v>
      </c>
      <c r="J9295">
        <f>IF($H9295=0,1,IF($I9295&lt;=1,2,0))</f>
        <v>2</v>
      </c>
      <c r="K9295">
        <v>9</v>
      </c>
      <c r="L9295">
        <f>IF(AND($J9295=0,$K9295=0),0,1)</f>
        <v>1</v>
      </c>
    </row>
    <row r="9296" spans="1:13" x14ac:dyDescent="0.2">
      <c r="A9296" t="s">
        <v>483</v>
      </c>
      <c r="B9296" t="s">
        <v>71</v>
      </c>
      <c r="C9296" t="s">
        <v>72</v>
      </c>
      <c r="D9296">
        <v>4900</v>
      </c>
      <c r="E9296">
        <v>2019</v>
      </c>
      <c r="F9296">
        <v>9</v>
      </c>
      <c r="G9296">
        <v>15081</v>
      </c>
      <c r="H9296" s="1" t="s">
        <v>1827</v>
      </c>
      <c r="I9296">
        <v>0</v>
      </c>
      <c r="J9296">
        <f>IF($H9296=0,1,IF($I9296&lt;=1,2,0))</f>
        <v>2</v>
      </c>
      <c r="K9296">
        <v>9</v>
      </c>
      <c r="L9296">
        <f>IF(AND($J9296=0,$K9296=0),0,1)</f>
        <v>1</v>
      </c>
    </row>
    <row r="9297" spans="1:12" x14ac:dyDescent="0.2">
      <c r="A9297" t="s">
        <v>483</v>
      </c>
      <c r="B9297" t="s">
        <v>71</v>
      </c>
      <c r="C9297" t="s">
        <v>72</v>
      </c>
      <c r="D9297">
        <v>4900</v>
      </c>
      <c r="E9297">
        <v>2019</v>
      </c>
      <c r="F9297">
        <v>10</v>
      </c>
      <c r="G9297">
        <v>15082</v>
      </c>
      <c r="H9297" s="1" t="s">
        <v>1827</v>
      </c>
      <c r="I9297">
        <v>0</v>
      </c>
      <c r="J9297">
        <f>IF($H9297=0,1,IF($I9297&lt;=1,2,0))</f>
        <v>2</v>
      </c>
      <c r="K9297">
        <v>9</v>
      </c>
      <c r="L9297">
        <f>IF(AND($J9297=0,$K9297=0),0,1)</f>
        <v>1</v>
      </c>
    </row>
    <row r="9298" spans="1:12" x14ac:dyDescent="0.2">
      <c r="A9298" t="s">
        <v>483</v>
      </c>
      <c r="B9298" t="s">
        <v>71</v>
      </c>
      <c r="C9298" t="s">
        <v>72</v>
      </c>
      <c r="D9298">
        <v>4900</v>
      </c>
      <c r="E9298">
        <v>2019</v>
      </c>
      <c r="F9298">
        <v>11</v>
      </c>
      <c r="G9298">
        <v>15083</v>
      </c>
      <c r="H9298" s="1" t="s">
        <v>1827</v>
      </c>
      <c r="I9298">
        <v>0</v>
      </c>
      <c r="J9298">
        <f>IF($H9298=0,1,IF($I9298&lt;=1,2,0))</f>
        <v>2</v>
      </c>
      <c r="K9298">
        <v>9</v>
      </c>
      <c r="L9298">
        <f>IF(AND($J9298=0,$K9298=0),0,1)</f>
        <v>1</v>
      </c>
    </row>
    <row r="9299" spans="1:12" x14ac:dyDescent="0.2">
      <c r="A9299" t="s">
        <v>483</v>
      </c>
      <c r="B9299" t="s">
        <v>71</v>
      </c>
      <c r="C9299" t="s">
        <v>72</v>
      </c>
      <c r="D9299">
        <v>4900</v>
      </c>
      <c r="E9299">
        <v>2019</v>
      </c>
      <c r="F9299">
        <v>12</v>
      </c>
      <c r="G9299">
        <v>15084</v>
      </c>
      <c r="H9299" s="1" t="s">
        <v>1827</v>
      </c>
      <c r="I9299">
        <v>0</v>
      </c>
      <c r="J9299">
        <f>IF($H9299=0,1,IF($I9299&lt;=1,2,0))</f>
        <v>2</v>
      </c>
      <c r="K9299">
        <v>9</v>
      </c>
      <c r="L9299">
        <f>IF(AND($J9299=0,$K9299=0),0,1)</f>
        <v>1</v>
      </c>
    </row>
    <row r="9300" spans="1:12" x14ac:dyDescent="0.2">
      <c r="A9300" t="s">
        <v>483</v>
      </c>
      <c r="B9300" t="s">
        <v>71</v>
      </c>
      <c r="C9300" t="s">
        <v>72</v>
      </c>
      <c r="D9300">
        <v>4900</v>
      </c>
      <c r="E9300">
        <v>2019</v>
      </c>
      <c r="F9300">
        <v>14</v>
      </c>
      <c r="G9300">
        <v>15085</v>
      </c>
      <c r="H9300" s="1" t="s">
        <v>1827</v>
      </c>
      <c r="I9300">
        <v>0</v>
      </c>
      <c r="J9300">
        <f>IF($H9300=0,1,IF($I9300&lt;=1,2,0))</f>
        <v>2</v>
      </c>
      <c r="K9300">
        <v>9</v>
      </c>
      <c r="L9300">
        <f>IF(AND($J9300=0,$K9300=0),0,1)</f>
        <v>1</v>
      </c>
    </row>
    <row r="9301" spans="1:12" x14ac:dyDescent="0.2">
      <c r="A9301" t="s">
        <v>483</v>
      </c>
      <c r="B9301" t="s">
        <v>71</v>
      </c>
      <c r="C9301" t="s">
        <v>72</v>
      </c>
      <c r="D9301">
        <v>4900</v>
      </c>
      <c r="E9301">
        <v>2019</v>
      </c>
      <c r="F9301">
        <v>16</v>
      </c>
      <c r="G9301">
        <v>15086</v>
      </c>
      <c r="H9301" s="1" t="s">
        <v>1827</v>
      </c>
      <c r="I9301">
        <v>0</v>
      </c>
      <c r="J9301">
        <f>IF($H9301=0,1,IF($I9301&lt;=1,2,0))</f>
        <v>2</v>
      </c>
      <c r="K9301">
        <v>9</v>
      </c>
      <c r="L9301">
        <f>IF(AND($J9301=0,$K9301=0),0,1)</f>
        <v>1</v>
      </c>
    </row>
    <row r="9302" spans="1:12" x14ac:dyDescent="0.2">
      <c r="A9302" t="s">
        <v>483</v>
      </c>
      <c r="B9302" t="s">
        <v>71</v>
      </c>
      <c r="C9302" t="s">
        <v>72</v>
      </c>
      <c r="D9302">
        <v>4900</v>
      </c>
      <c r="E9302">
        <v>2019</v>
      </c>
      <c r="F9302">
        <v>17</v>
      </c>
      <c r="G9302">
        <v>15087</v>
      </c>
      <c r="H9302" s="1" t="s">
        <v>1827</v>
      </c>
      <c r="I9302">
        <v>0</v>
      </c>
      <c r="J9302">
        <f>IF($H9302=0,1,IF($I9302&lt;=1,2,0))</f>
        <v>2</v>
      </c>
      <c r="K9302">
        <v>9</v>
      </c>
      <c r="L9302">
        <f>IF(AND($J9302=0,$K9302=0),0,1)</f>
        <v>1</v>
      </c>
    </row>
    <row r="9303" spans="1:12" x14ac:dyDescent="0.2">
      <c r="A9303" t="s">
        <v>483</v>
      </c>
      <c r="B9303" t="s">
        <v>71</v>
      </c>
      <c r="C9303" t="s">
        <v>72</v>
      </c>
      <c r="D9303">
        <v>4900</v>
      </c>
      <c r="E9303">
        <v>2019</v>
      </c>
      <c r="F9303">
        <v>18</v>
      </c>
      <c r="G9303">
        <v>15088</v>
      </c>
      <c r="H9303" s="1" t="s">
        <v>1827</v>
      </c>
      <c r="I9303">
        <v>0</v>
      </c>
      <c r="J9303">
        <f>IF($H9303=0,1,IF($I9303&lt;=1,2,0))</f>
        <v>2</v>
      </c>
      <c r="K9303">
        <v>9</v>
      </c>
      <c r="L9303">
        <f>IF(AND($J9303=0,$K9303=0),0,1)</f>
        <v>1</v>
      </c>
    </row>
    <row r="9304" spans="1:12" x14ac:dyDescent="0.2">
      <c r="A9304" t="s">
        <v>483</v>
      </c>
      <c r="B9304" t="s">
        <v>71</v>
      </c>
      <c r="C9304" t="s">
        <v>72</v>
      </c>
      <c r="D9304">
        <v>4900</v>
      </c>
      <c r="E9304">
        <v>2019</v>
      </c>
      <c r="F9304">
        <v>19</v>
      </c>
      <c r="G9304">
        <v>15089</v>
      </c>
      <c r="H9304" s="1" t="s">
        <v>1827</v>
      </c>
      <c r="I9304">
        <v>0</v>
      </c>
      <c r="J9304">
        <f>IF($H9304=0,1,IF($I9304&lt;=1,2,0))</f>
        <v>2</v>
      </c>
      <c r="K9304">
        <v>9</v>
      </c>
      <c r="L9304">
        <f>IF(AND($J9304=0,$K9304=0),0,1)</f>
        <v>1</v>
      </c>
    </row>
    <row r="9305" spans="1:12" x14ac:dyDescent="0.2">
      <c r="A9305" t="s">
        <v>483</v>
      </c>
      <c r="B9305" t="s">
        <v>71</v>
      </c>
      <c r="C9305" t="s">
        <v>72</v>
      </c>
      <c r="D9305">
        <v>4900</v>
      </c>
      <c r="E9305">
        <v>2019</v>
      </c>
      <c r="F9305">
        <v>21</v>
      </c>
      <c r="G9305">
        <v>15091</v>
      </c>
      <c r="H9305" s="1" t="s">
        <v>1827</v>
      </c>
      <c r="I9305">
        <v>0</v>
      </c>
      <c r="J9305">
        <f>IF($H9305=0,1,IF($I9305&lt;=1,2,0))</f>
        <v>2</v>
      </c>
      <c r="K9305">
        <v>9</v>
      </c>
      <c r="L9305">
        <f>IF(AND($J9305=0,$K9305=0),0,1)</f>
        <v>1</v>
      </c>
    </row>
    <row r="9306" spans="1:12" x14ac:dyDescent="0.2">
      <c r="A9306" t="s">
        <v>483</v>
      </c>
      <c r="B9306" t="s">
        <v>71</v>
      </c>
      <c r="C9306" t="s">
        <v>72</v>
      </c>
      <c r="D9306">
        <v>4900</v>
      </c>
      <c r="E9306">
        <v>2019</v>
      </c>
      <c r="F9306">
        <v>22</v>
      </c>
      <c r="G9306">
        <v>15092</v>
      </c>
      <c r="H9306" s="1" t="s">
        <v>1827</v>
      </c>
      <c r="I9306">
        <v>0</v>
      </c>
      <c r="J9306">
        <f>IF($H9306=0,1,IF($I9306&lt;=1,2,0))</f>
        <v>2</v>
      </c>
      <c r="K9306">
        <v>9</v>
      </c>
      <c r="L9306">
        <f>IF(AND($J9306=0,$K9306=0),0,1)</f>
        <v>1</v>
      </c>
    </row>
    <row r="9307" spans="1:12" x14ac:dyDescent="0.2">
      <c r="A9307" t="s">
        <v>483</v>
      </c>
      <c r="B9307" t="s">
        <v>71</v>
      </c>
      <c r="C9307" t="s">
        <v>72</v>
      </c>
      <c r="D9307">
        <v>4900</v>
      </c>
      <c r="E9307">
        <v>2019</v>
      </c>
      <c r="F9307">
        <v>23</v>
      </c>
      <c r="G9307">
        <v>15093</v>
      </c>
      <c r="H9307" s="1" t="s">
        <v>1827</v>
      </c>
      <c r="I9307">
        <v>0</v>
      </c>
      <c r="J9307">
        <f>IF($H9307=0,1,IF($I9307&lt;=1,2,0))</f>
        <v>2</v>
      </c>
      <c r="K9307">
        <v>9</v>
      </c>
      <c r="L9307">
        <f>IF(AND($J9307=0,$K9307=0),0,1)</f>
        <v>1</v>
      </c>
    </row>
    <row r="9308" spans="1:12" x14ac:dyDescent="0.2">
      <c r="A9308" t="s">
        <v>483</v>
      </c>
      <c r="B9308" t="s">
        <v>71</v>
      </c>
      <c r="C9308" t="s">
        <v>72</v>
      </c>
      <c r="D9308">
        <v>4900</v>
      </c>
      <c r="E9308">
        <v>2019</v>
      </c>
      <c r="F9308">
        <v>25</v>
      </c>
      <c r="G9308">
        <v>15095</v>
      </c>
      <c r="H9308" s="1" t="s">
        <v>1827</v>
      </c>
      <c r="I9308">
        <v>0</v>
      </c>
      <c r="J9308">
        <f>IF($H9308=0,1,IF($I9308&lt;=1,2,0))</f>
        <v>2</v>
      </c>
      <c r="K9308">
        <v>9</v>
      </c>
      <c r="L9308">
        <f>IF(AND($J9308=0,$K9308=0),0,1)</f>
        <v>1</v>
      </c>
    </row>
    <row r="9309" spans="1:12" x14ac:dyDescent="0.2">
      <c r="A9309" t="s">
        <v>483</v>
      </c>
      <c r="B9309" t="s">
        <v>71</v>
      </c>
      <c r="C9309" t="s">
        <v>72</v>
      </c>
      <c r="D9309">
        <v>4900</v>
      </c>
      <c r="E9309">
        <v>2019</v>
      </c>
      <c r="F9309">
        <v>26</v>
      </c>
      <c r="G9309">
        <v>15096</v>
      </c>
      <c r="H9309" s="1" t="s">
        <v>1827</v>
      </c>
      <c r="I9309">
        <v>0</v>
      </c>
      <c r="J9309">
        <f>IF($H9309=0,1,IF($I9309&lt;=1,2,0))</f>
        <v>2</v>
      </c>
      <c r="K9309">
        <v>9</v>
      </c>
      <c r="L9309">
        <f>IF(AND($J9309=0,$K9309=0),0,1)</f>
        <v>1</v>
      </c>
    </row>
    <row r="9310" spans="1:12" x14ac:dyDescent="0.2">
      <c r="A9310" t="s">
        <v>483</v>
      </c>
      <c r="B9310" t="s">
        <v>71</v>
      </c>
      <c r="C9310" t="s">
        <v>72</v>
      </c>
      <c r="D9310">
        <v>4900</v>
      </c>
      <c r="E9310">
        <v>2019</v>
      </c>
      <c r="F9310">
        <v>27</v>
      </c>
      <c r="G9310">
        <v>15097</v>
      </c>
      <c r="H9310" s="1" t="s">
        <v>1827</v>
      </c>
      <c r="I9310">
        <v>0</v>
      </c>
      <c r="J9310">
        <f>IF($H9310=0,1,IF($I9310&lt;=1,2,0))</f>
        <v>2</v>
      </c>
      <c r="K9310">
        <v>9</v>
      </c>
      <c r="L9310">
        <f>IF(AND($J9310=0,$K9310=0),0,1)</f>
        <v>1</v>
      </c>
    </row>
    <row r="9311" spans="1:12" x14ac:dyDescent="0.2">
      <c r="A9311" t="s">
        <v>483</v>
      </c>
      <c r="B9311" t="s">
        <v>71</v>
      </c>
      <c r="C9311" t="s">
        <v>72</v>
      </c>
      <c r="D9311">
        <v>4900</v>
      </c>
      <c r="E9311">
        <v>2019</v>
      </c>
      <c r="F9311">
        <v>28</v>
      </c>
      <c r="G9311">
        <v>15098</v>
      </c>
      <c r="H9311" s="1" t="s">
        <v>1827</v>
      </c>
      <c r="I9311">
        <v>0</v>
      </c>
      <c r="J9311">
        <f>IF($H9311=0,1,IF($I9311&lt;=1,2,0))</f>
        <v>2</v>
      </c>
      <c r="K9311">
        <v>9</v>
      </c>
      <c r="L9311">
        <f>IF(AND($J9311=0,$K9311=0),0,1)</f>
        <v>1</v>
      </c>
    </row>
    <row r="9312" spans="1:12" x14ac:dyDescent="0.2">
      <c r="A9312" t="s">
        <v>483</v>
      </c>
      <c r="B9312" t="s">
        <v>71</v>
      </c>
      <c r="C9312" t="s">
        <v>72</v>
      </c>
      <c r="D9312">
        <v>4998</v>
      </c>
      <c r="E9312">
        <v>2019</v>
      </c>
      <c r="F9312">
        <v>1</v>
      </c>
      <c r="G9312">
        <v>10280</v>
      </c>
      <c r="H9312" s="1">
        <v>3</v>
      </c>
      <c r="I9312">
        <v>24</v>
      </c>
      <c r="J9312">
        <f>IF($H9312=0,1,IF($I9312&lt;=1,2,0))</f>
        <v>0</v>
      </c>
      <c r="K9312">
        <v>9</v>
      </c>
      <c r="L9312">
        <f>IF(AND($J9312=0,$K9312=0),0,1)</f>
        <v>1</v>
      </c>
    </row>
    <row r="9313" spans="1:13" x14ac:dyDescent="0.2">
      <c r="A9313" t="s">
        <v>483</v>
      </c>
      <c r="B9313" t="s">
        <v>71</v>
      </c>
      <c r="C9313" t="s">
        <v>72</v>
      </c>
      <c r="D9313">
        <v>4999</v>
      </c>
      <c r="E9313">
        <v>2019</v>
      </c>
      <c r="F9313">
        <v>1</v>
      </c>
      <c r="G9313">
        <v>10643</v>
      </c>
      <c r="H9313" s="1" t="s">
        <v>221</v>
      </c>
      <c r="I9313">
        <v>113</v>
      </c>
      <c r="J9313">
        <f>IF($H9313=0,1,IF($I9313&lt;=1,2,0))</f>
        <v>0</v>
      </c>
      <c r="K9313">
        <v>9</v>
      </c>
      <c r="L9313">
        <f>IF(AND($J9313=0,$K9313=0),0,1)</f>
        <v>1</v>
      </c>
      <c r="M9313" t="s">
        <v>497</v>
      </c>
    </row>
    <row r="9314" spans="1:13" x14ac:dyDescent="0.2">
      <c r="A9314" t="s">
        <v>483</v>
      </c>
      <c r="B9314" t="s">
        <v>71</v>
      </c>
      <c r="C9314" t="s">
        <v>72</v>
      </c>
      <c r="D9314">
        <v>8100</v>
      </c>
      <c r="E9314">
        <v>2019</v>
      </c>
      <c r="F9314">
        <v>3</v>
      </c>
      <c r="G9314">
        <v>10291</v>
      </c>
      <c r="H9314" s="1">
        <v>3</v>
      </c>
      <c r="I9314">
        <v>1</v>
      </c>
      <c r="J9314">
        <f>IF($H9314=0,1,IF($I9314&lt;=1,2,0))</f>
        <v>2</v>
      </c>
      <c r="K9314">
        <v>0</v>
      </c>
      <c r="L9314">
        <f>IF(AND($J9314=0,$K9314=0),0,1)</f>
        <v>1</v>
      </c>
    </row>
    <row r="9315" spans="1:13" x14ac:dyDescent="0.2">
      <c r="A9315" t="s">
        <v>483</v>
      </c>
      <c r="B9315" t="s">
        <v>71</v>
      </c>
      <c r="C9315" t="s">
        <v>72</v>
      </c>
      <c r="D9315">
        <v>9101</v>
      </c>
      <c r="E9315">
        <v>2019</v>
      </c>
      <c r="F9315">
        <v>1</v>
      </c>
      <c r="G9315">
        <v>15454</v>
      </c>
      <c r="H9315" s="1" t="s">
        <v>1828</v>
      </c>
      <c r="I9315">
        <v>3</v>
      </c>
      <c r="J9315">
        <f>IF($H9315=0,1,IF($I9315&lt;=1,2,0))</f>
        <v>0</v>
      </c>
      <c r="K9315">
        <v>5</v>
      </c>
      <c r="L9315">
        <f>IF(AND($J9315=0,$K9315=0),0,1)</f>
        <v>1</v>
      </c>
    </row>
    <row r="9316" spans="1:13" x14ac:dyDescent="0.2">
      <c r="A9316" t="s">
        <v>483</v>
      </c>
      <c r="B9316" t="s">
        <v>71</v>
      </c>
      <c r="C9316" t="s">
        <v>72</v>
      </c>
      <c r="D9316">
        <v>9101</v>
      </c>
      <c r="E9316">
        <v>2019</v>
      </c>
      <c r="F9316">
        <v>8</v>
      </c>
      <c r="G9316">
        <v>15461</v>
      </c>
      <c r="H9316" s="1" t="s">
        <v>1828</v>
      </c>
      <c r="I9316">
        <v>2</v>
      </c>
      <c r="J9316">
        <f>IF($H9316=0,1,IF($I9316&lt;=1,2,0))</f>
        <v>0</v>
      </c>
      <c r="K9316">
        <v>5</v>
      </c>
      <c r="L9316">
        <f>IF(AND($J9316=0,$K9316=0),0,1)</f>
        <v>1</v>
      </c>
    </row>
    <row r="9317" spans="1:13" x14ac:dyDescent="0.2">
      <c r="A9317" t="s">
        <v>483</v>
      </c>
      <c r="B9317" t="s">
        <v>71</v>
      </c>
      <c r="C9317" t="s">
        <v>72</v>
      </c>
      <c r="D9317">
        <v>9101</v>
      </c>
      <c r="E9317">
        <v>2019</v>
      </c>
      <c r="F9317">
        <v>9</v>
      </c>
      <c r="G9317">
        <v>15462</v>
      </c>
      <c r="H9317" s="1" t="s">
        <v>1828</v>
      </c>
      <c r="I9317">
        <v>2</v>
      </c>
      <c r="J9317">
        <f>IF($H9317=0,1,IF($I9317&lt;=1,2,0))</f>
        <v>0</v>
      </c>
      <c r="K9317">
        <v>5</v>
      </c>
      <c r="L9317">
        <f>IF(AND($J9317=0,$K9317=0),0,1)</f>
        <v>1</v>
      </c>
    </row>
    <row r="9318" spans="1:13" x14ac:dyDescent="0.2">
      <c r="A9318" t="s">
        <v>483</v>
      </c>
      <c r="B9318" t="s">
        <v>71</v>
      </c>
      <c r="C9318" t="s">
        <v>72</v>
      </c>
      <c r="D9318">
        <v>9101</v>
      </c>
      <c r="E9318">
        <v>2019</v>
      </c>
      <c r="F9318">
        <v>17</v>
      </c>
      <c r="G9318">
        <v>15470</v>
      </c>
      <c r="H9318" s="1" t="s">
        <v>1828</v>
      </c>
      <c r="I9318">
        <v>2</v>
      </c>
      <c r="J9318">
        <f>IF($H9318=0,1,IF($I9318&lt;=1,2,0))</f>
        <v>0</v>
      </c>
      <c r="K9318">
        <v>5</v>
      </c>
      <c r="L9318">
        <f>IF(AND($J9318=0,$K9318=0),0,1)</f>
        <v>1</v>
      </c>
    </row>
    <row r="9319" spans="1:13" x14ac:dyDescent="0.2">
      <c r="A9319" t="s">
        <v>483</v>
      </c>
      <c r="B9319" t="s">
        <v>71</v>
      </c>
      <c r="C9319" t="s">
        <v>72</v>
      </c>
      <c r="D9319">
        <v>9101</v>
      </c>
      <c r="E9319">
        <v>2019</v>
      </c>
      <c r="F9319">
        <v>15</v>
      </c>
      <c r="G9319">
        <v>15468</v>
      </c>
      <c r="H9319" s="1" t="s">
        <v>1828</v>
      </c>
      <c r="I9319">
        <v>1</v>
      </c>
      <c r="J9319">
        <f>IF($H9319=0,1,IF($I9319&lt;=1,2,0))</f>
        <v>2</v>
      </c>
      <c r="K9319">
        <v>5</v>
      </c>
      <c r="L9319">
        <f>IF(AND($J9319=0,$K9319=0),0,1)</f>
        <v>1</v>
      </c>
    </row>
    <row r="9320" spans="1:13" x14ac:dyDescent="0.2">
      <c r="A9320" t="s">
        <v>483</v>
      </c>
      <c r="B9320" t="s">
        <v>71</v>
      </c>
      <c r="C9320" t="s">
        <v>72</v>
      </c>
      <c r="D9320">
        <v>9101</v>
      </c>
      <c r="E9320">
        <v>2019</v>
      </c>
      <c r="F9320">
        <v>26</v>
      </c>
      <c r="G9320">
        <v>15479</v>
      </c>
      <c r="H9320" s="1" t="s">
        <v>1828</v>
      </c>
      <c r="I9320">
        <v>1</v>
      </c>
      <c r="J9320">
        <f>IF($H9320=0,1,IF($I9320&lt;=1,2,0))</f>
        <v>2</v>
      </c>
      <c r="K9320">
        <v>5</v>
      </c>
      <c r="L9320">
        <f>IF(AND($J9320=0,$K9320=0),0,1)</f>
        <v>1</v>
      </c>
    </row>
    <row r="9321" spans="1:13" x14ac:dyDescent="0.2">
      <c r="A9321" t="s">
        <v>483</v>
      </c>
      <c r="B9321" t="s">
        <v>71</v>
      </c>
      <c r="C9321" t="s">
        <v>72</v>
      </c>
      <c r="D9321">
        <v>9101</v>
      </c>
      <c r="E9321">
        <v>2019</v>
      </c>
      <c r="F9321">
        <v>2</v>
      </c>
      <c r="G9321">
        <v>15455</v>
      </c>
      <c r="H9321" s="1" t="s">
        <v>1828</v>
      </c>
      <c r="I9321">
        <v>0</v>
      </c>
      <c r="J9321">
        <f>IF($H9321=0,1,IF($I9321&lt;=1,2,0))</f>
        <v>2</v>
      </c>
      <c r="K9321">
        <v>5</v>
      </c>
      <c r="L9321">
        <f>IF(AND($J9321=0,$K9321=0),0,1)</f>
        <v>1</v>
      </c>
    </row>
    <row r="9322" spans="1:13" x14ac:dyDescent="0.2">
      <c r="A9322" t="s">
        <v>483</v>
      </c>
      <c r="B9322" t="s">
        <v>71</v>
      </c>
      <c r="C9322" t="s">
        <v>72</v>
      </c>
      <c r="D9322">
        <v>9101</v>
      </c>
      <c r="E9322">
        <v>2019</v>
      </c>
      <c r="F9322">
        <v>3</v>
      </c>
      <c r="G9322">
        <v>15456</v>
      </c>
      <c r="H9322" s="1" t="s">
        <v>1828</v>
      </c>
      <c r="I9322">
        <v>0</v>
      </c>
      <c r="J9322">
        <f>IF($H9322=0,1,IF($I9322&lt;=1,2,0))</f>
        <v>2</v>
      </c>
      <c r="K9322">
        <v>5</v>
      </c>
      <c r="L9322">
        <f>IF(AND($J9322=0,$K9322=0),0,1)</f>
        <v>1</v>
      </c>
    </row>
    <row r="9323" spans="1:13" x14ac:dyDescent="0.2">
      <c r="A9323" t="s">
        <v>483</v>
      </c>
      <c r="B9323" t="s">
        <v>71</v>
      </c>
      <c r="C9323" t="s">
        <v>72</v>
      </c>
      <c r="D9323">
        <v>9101</v>
      </c>
      <c r="E9323">
        <v>2019</v>
      </c>
      <c r="F9323">
        <v>4</v>
      </c>
      <c r="G9323">
        <v>15457</v>
      </c>
      <c r="H9323" s="1" t="s">
        <v>1828</v>
      </c>
      <c r="I9323">
        <v>0</v>
      </c>
      <c r="J9323">
        <f>IF($H9323=0,1,IF($I9323&lt;=1,2,0))</f>
        <v>2</v>
      </c>
      <c r="K9323">
        <v>5</v>
      </c>
      <c r="L9323">
        <f>IF(AND($J9323=0,$K9323=0),0,1)</f>
        <v>1</v>
      </c>
    </row>
    <row r="9324" spans="1:13" x14ac:dyDescent="0.2">
      <c r="A9324" t="s">
        <v>483</v>
      </c>
      <c r="B9324" t="s">
        <v>71</v>
      </c>
      <c r="C9324" t="s">
        <v>72</v>
      </c>
      <c r="D9324">
        <v>9101</v>
      </c>
      <c r="E9324">
        <v>2019</v>
      </c>
      <c r="F9324">
        <v>5</v>
      </c>
      <c r="G9324">
        <v>15458</v>
      </c>
      <c r="H9324" s="1" t="s">
        <v>1828</v>
      </c>
      <c r="I9324">
        <v>0</v>
      </c>
      <c r="J9324">
        <f>IF($H9324=0,1,IF($I9324&lt;=1,2,0))</f>
        <v>2</v>
      </c>
      <c r="K9324">
        <v>5</v>
      </c>
      <c r="L9324">
        <f>IF(AND($J9324=0,$K9324=0),0,1)</f>
        <v>1</v>
      </c>
    </row>
    <row r="9325" spans="1:13" x14ac:dyDescent="0.2">
      <c r="A9325" t="s">
        <v>483</v>
      </c>
      <c r="B9325" t="s">
        <v>71</v>
      </c>
      <c r="C9325" t="s">
        <v>72</v>
      </c>
      <c r="D9325">
        <v>9101</v>
      </c>
      <c r="E9325">
        <v>2019</v>
      </c>
      <c r="F9325">
        <v>6</v>
      </c>
      <c r="G9325">
        <v>15459</v>
      </c>
      <c r="H9325" s="1" t="s">
        <v>1828</v>
      </c>
      <c r="I9325">
        <v>0</v>
      </c>
      <c r="J9325">
        <f>IF($H9325=0,1,IF($I9325&lt;=1,2,0))</f>
        <v>2</v>
      </c>
      <c r="K9325">
        <v>5</v>
      </c>
      <c r="L9325">
        <f>IF(AND($J9325=0,$K9325=0),0,1)</f>
        <v>1</v>
      </c>
    </row>
    <row r="9326" spans="1:13" x14ac:dyDescent="0.2">
      <c r="A9326" t="s">
        <v>483</v>
      </c>
      <c r="B9326" t="s">
        <v>71</v>
      </c>
      <c r="C9326" t="s">
        <v>72</v>
      </c>
      <c r="D9326">
        <v>9101</v>
      </c>
      <c r="E9326">
        <v>2019</v>
      </c>
      <c r="F9326">
        <v>7</v>
      </c>
      <c r="G9326">
        <v>15460</v>
      </c>
      <c r="H9326" s="1" t="s">
        <v>1828</v>
      </c>
      <c r="I9326">
        <v>0</v>
      </c>
      <c r="J9326">
        <f>IF($H9326=0,1,IF($I9326&lt;=1,2,0))</f>
        <v>2</v>
      </c>
      <c r="K9326">
        <v>5</v>
      </c>
      <c r="L9326">
        <f>IF(AND($J9326=0,$K9326=0),0,1)</f>
        <v>1</v>
      </c>
    </row>
    <row r="9327" spans="1:13" x14ac:dyDescent="0.2">
      <c r="A9327" t="s">
        <v>483</v>
      </c>
      <c r="B9327" t="s">
        <v>71</v>
      </c>
      <c r="C9327" t="s">
        <v>72</v>
      </c>
      <c r="D9327">
        <v>9101</v>
      </c>
      <c r="E9327">
        <v>2019</v>
      </c>
      <c r="F9327">
        <v>10</v>
      </c>
      <c r="G9327">
        <v>15463</v>
      </c>
      <c r="H9327" s="1" t="s">
        <v>1828</v>
      </c>
      <c r="I9327">
        <v>0</v>
      </c>
      <c r="J9327">
        <f>IF($H9327=0,1,IF($I9327&lt;=1,2,0))</f>
        <v>2</v>
      </c>
      <c r="K9327">
        <v>5</v>
      </c>
      <c r="L9327">
        <f>IF(AND($J9327=0,$K9327=0),0,1)</f>
        <v>1</v>
      </c>
    </row>
    <row r="9328" spans="1:13" x14ac:dyDescent="0.2">
      <c r="A9328" t="s">
        <v>483</v>
      </c>
      <c r="B9328" t="s">
        <v>71</v>
      </c>
      <c r="C9328" t="s">
        <v>72</v>
      </c>
      <c r="D9328">
        <v>9101</v>
      </c>
      <c r="E9328">
        <v>2019</v>
      </c>
      <c r="F9328">
        <v>11</v>
      </c>
      <c r="G9328">
        <v>15464</v>
      </c>
      <c r="H9328" s="1" t="s">
        <v>1828</v>
      </c>
      <c r="I9328">
        <v>0</v>
      </c>
      <c r="J9328">
        <f>IF($H9328=0,1,IF($I9328&lt;=1,2,0))</f>
        <v>2</v>
      </c>
      <c r="K9328">
        <v>5</v>
      </c>
      <c r="L9328">
        <f>IF(AND($J9328=0,$K9328=0),0,1)</f>
        <v>1</v>
      </c>
    </row>
    <row r="9329" spans="1:13" x14ac:dyDescent="0.2">
      <c r="A9329" t="s">
        <v>483</v>
      </c>
      <c r="B9329" t="s">
        <v>71</v>
      </c>
      <c r="C9329" t="s">
        <v>72</v>
      </c>
      <c r="D9329">
        <v>9101</v>
      </c>
      <c r="E9329">
        <v>2019</v>
      </c>
      <c r="F9329">
        <v>12</v>
      </c>
      <c r="G9329">
        <v>15465</v>
      </c>
      <c r="H9329" s="1" t="s">
        <v>1828</v>
      </c>
      <c r="I9329">
        <v>0</v>
      </c>
      <c r="J9329">
        <f>IF($H9329=0,1,IF($I9329&lt;=1,2,0))</f>
        <v>2</v>
      </c>
      <c r="K9329">
        <v>5</v>
      </c>
      <c r="L9329">
        <f>IF(AND($J9329=0,$K9329=0),0,1)</f>
        <v>1</v>
      </c>
    </row>
    <row r="9330" spans="1:13" x14ac:dyDescent="0.2">
      <c r="A9330" t="s">
        <v>483</v>
      </c>
      <c r="B9330" t="s">
        <v>71</v>
      </c>
      <c r="C9330" t="s">
        <v>72</v>
      </c>
      <c r="D9330">
        <v>9101</v>
      </c>
      <c r="E9330">
        <v>2019</v>
      </c>
      <c r="F9330">
        <v>13</v>
      </c>
      <c r="G9330">
        <v>15466</v>
      </c>
      <c r="H9330" s="1" t="s">
        <v>1828</v>
      </c>
      <c r="I9330">
        <v>0</v>
      </c>
      <c r="J9330">
        <f>IF($H9330=0,1,IF($I9330&lt;=1,2,0))</f>
        <v>2</v>
      </c>
      <c r="K9330">
        <v>5</v>
      </c>
      <c r="L9330">
        <f>IF(AND($J9330=0,$K9330=0),0,1)</f>
        <v>1</v>
      </c>
    </row>
    <row r="9331" spans="1:13" x14ac:dyDescent="0.2">
      <c r="A9331" t="s">
        <v>483</v>
      </c>
      <c r="B9331" t="s">
        <v>71</v>
      </c>
      <c r="C9331" t="s">
        <v>72</v>
      </c>
      <c r="D9331">
        <v>9101</v>
      </c>
      <c r="E9331">
        <v>2019</v>
      </c>
      <c r="F9331">
        <v>14</v>
      </c>
      <c r="G9331">
        <v>15467</v>
      </c>
      <c r="H9331" s="1" t="s">
        <v>1828</v>
      </c>
      <c r="I9331">
        <v>0</v>
      </c>
      <c r="J9331">
        <f>IF($H9331=0,1,IF($I9331&lt;=1,2,0))</f>
        <v>2</v>
      </c>
      <c r="K9331">
        <v>5</v>
      </c>
      <c r="L9331">
        <f>IF(AND($J9331=0,$K9331=0),0,1)</f>
        <v>1</v>
      </c>
    </row>
    <row r="9332" spans="1:13" x14ac:dyDescent="0.2">
      <c r="A9332" t="s">
        <v>483</v>
      </c>
      <c r="B9332" t="s">
        <v>71</v>
      </c>
      <c r="C9332" t="s">
        <v>72</v>
      </c>
      <c r="D9332">
        <v>9101</v>
      </c>
      <c r="E9332">
        <v>2019</v>
      </c>
      <c r="F9332">
        <v>16</v>
      </c>
      <c r="G9332">
        <v>15469</v>
      </c>
      <c r="H9332" s="1" t="s">
        <v>1828</v>
      </c>
      <c r="I9332">
        <v>0</v>
      </c>
      <c r="J9332">
        <f>IF($H9332=0,1,IF($I9332&lt;=1,2,0))</f>
        <v>2</v>
      </c>
      <c r="K9332">
        <v>5</v>
      </c>
      <c r="L9332">
        <f>IF(AND($J9332=0,$K9332=0),0,1)</f>
        <v>1</v>
      </c>
    </row>
    <row r="9333" spans="1:13" x14ac:dyDescent="0.2">
      <c r="A9333" t="s">
        <v>483</v>
      </c>
      <c r="B9333" t="s">
        <v>71</v>
      </c>
      <c r="C9333" t="s">
        <v>72</v>
      </c>
      <c r="D9333">
        <v>9101</v>
      </c>
      <c r="E9333">
        <v>2019</v>
      </c>
      <c r="F9333">
        <v>18</v>
      </c>
      <c r="G9333">
        <v>15471</v>
      </c>
      <c r="H9333" s="1" t="s">
        <v>1828</v>
      </c>
      <c r="I9333">
        <v>0</v>
      </c>
      <c r="J9333">
        <f>IF($H9333=0,1,IF($I9333&lt;=1,2,0))</f>
        <v>2</v>
      </c>
      <c r="K9333">
        <v>5</v>
      </c>
      <c r="L9333">
        <f>IF(AND($J9333=0,$K9333=0),0,1)</f>
        <v>1</v>
      </c>
    </row>
    <row r="9334" spans="1:13" x14ac:dyDescent="0.2">
      <c r="A9334" t="s">
        <v>483</v>
      </c>
      <c r="B9334" t="s">
        <v>71</v>
      </c>
      <c r="C9334" t="s">
        <v>72</v>
      </c>
      <c r="D9334">
        <v>9101</v>
      </c>
      <c r="E9334">
        <v>2019</v>
      </c>
      <c r="F9334">
        <v>19</v>
      </c>
      <c r="G9334">
        <v>15472</v>
      </c>
      <c r="H9334" s="1" t="s">
        <v>1828</v>
      </c>
      <c r="I9334">
        <v>0</v>
      </c>
      <c r="J9334">
        <f>IF($H9334=0,1,IF($I9334&lt;=1,2,0))</f>
        <v>2</v>
      </c>
      <c r="K9334">
        <v>5</v>
      </c>
      <c r="L9334">
        <f>IF(AND($J9334=0,$K9334=0),0,1)</f>
        <v>1</v>
      </c>
    </row>
    <row r="9335" spans="1:13" x14ac:dyDescent="0.2">
      <c r="A9335" t="s">
        <v>483</v>
      </c>
      <c r="B9335" t="s">
        <v>71</v>
      </c>
      <c r="C9335" t="s">
        <v>72</v>
      </c>
      <c r="D9335">
        <v>9101</v>
      </c>
      <c r="E9335">
        <v>2019</v>
      </c>
      <c r="F9335">
        <v>20</v>
      </c>
      <c r="G9335">
        <v>15473</v>
      </c>
      <c r="H9335" s="1" t="s">
        <v>1828</v>
      </c>
      <c r="I9335">
        <v>0</v>
      </c>
      <c r="J9335">
        <f>IF($H9335=0,1,IF($I9335&lt;=1,2,0))</f>
        <v>2</v>
      </c>
      <c r="K9335">
        <v>5</v>
      </c>
      <c r="L9335">
        <f>IF(AND($J9335=0,$K9335=0),0,1)</f>
        <v>1</v>
      </c>
    </row>
    <row r="9336" spans="1:13" x14ac:dyDescent="0.2">
      <c r="A9336" t="s">
        <v>483</v>
      </c>
      <c r="B9336" t="s">
        <v>71</v>
      </c>
      <c r="C9336" t="s">
        <v>72</v>
      </c>
      <c r="D9336">
        <v>9101</v>
      </c>
      <c r="E9336">
        <v>2019</v>
      </c>
      <c r="F9336">
        <v>21</v>
      </c>
      <c r="G9336">
        <v>15474</v>
      </c>
      <c r="H9336" s="1" t="s">
        <v>1828</v>
      </c>
      <c r="I9336">
        <v>0</v>
      </c>
      <c r="J9336">
        <f>IF($H9336=0,1,IF($I9336&lt;=1,2,0))</f>
        <v>2</v>
      </c>
      <c r="K9336">
        <v>5</v>
      </c>
      <c r="L9336">
        <f>IF(AND($J9336=0,$K9336=0),0,1)</f>
        <v>1</v>
      </c>
    </row>
    <row r="9337" spans="1:13" x14ac:dyDescent="0.2">
      <c r="A9337" t="s">
        <v>483</v>
      </c>
      <c r="B9337" t="s">
        <v>71</v>
      </c>
      <c r="C9337" t="s">
        <v>72</v>
      </c>
      <c r="D9337">
        <v>9101</v>
      </c>
      <c r="E9337">
        <v>2019</v>
      </c>
      <c r="F9337">
        <v>22</v>
      </c>
      <c r="G9337">
        <v>15475</v>
      </c>
      <c r="H9337" s="1" t="s">
        <v>1828</v>
      </c>
      <c r="I9337">
        <v>0</v>
      </c>
      <c r="J9337">
        <f>IF($H9337=0,1,IF($I9337&lt;=1,2,0))</f>
        <v>2</v>
      </c>
      <c r="K9337">
        <v>5</v>
      </c>
      <c r="L9337">
        <f>IF(AND($J9337=0,$K9337=0),0,1)</f>
        <v>1</v>
      </c>
    </row>
    <row r="9338" spans="1:13" x14ac:dyDescent="0.2">
      <c r="A9338" t="s">
        <v>483</v>
      </c>
      <c r="B9338" t="s">
        <v>71</v>
      </c>
      <c r="C9338" t="s">
        <v>72</v>
      </c>
      <c r="D9338">
        <v>9101</v>
      </c>
      <c r="E9338">
        <v>2019</v>
      </c>
      <c r="F9338">
        <v>23</v>
      </c>
      <c r="G9338">
        <v>15476</v>
      </c>
      <c r="H9338" s="1" t="s">
        <v>1828</v>
      </c>
      <c r="I9338">
        <v>0</v>
      </c>
      <c r="J9338">
        <f>IF($H9338=0,1,IF($I9338&lt;=1,2,0))</f>
        <v>2</v>
      </c>
      <c r="K9338">
        <v>5</v>
      </c>
      <c r="L9338">
        <f>IF(AND($J9338=0,$K9338=0),0,1)</f>
        <v>1</v>
      </c>
    </row>
    <row r="9339" spans="1:13" x14ac:dyDescent="0.2">
      <c r="A9339" t="s">
        <v>483</v>
      </c>
      <c r="B9339" t="s">
        <v>71</v>
      </c>
      <c r="C9339" t="s">
        <v>72</v>
      </c>
      <c r="D9339">
        <v>9101</v>
      </c>
      <c r="E9339">
        <v>2019</v>
      </c>
      <c r="F9339">
        <v>24</v>
      </c>
      <c r="G9339">
        <v>15477</v>
      </c>
      <c r="H9339" s="1" t="s">
        <v>1828</v>
      </c>
      <c r="I9339">
        <v>0</v>
      </c>
      <c r="J9339">
        <f>IF($H9339=0,1,IF($I9339&lt;=1,2,0))</f>
        <v>2</v>
      </c>
      <c r="K9339">
        <v>5</v>
      </c>
      <c r="L9339">
        <f>IF(AND($J9339=0,$K9339=0),0,1)</f>
        <v>1</v>
      </c>
    </row>
    <row r="9340" spans="1:13" x14ac:dyDescent="0.2">
      <c r="A9340" t="s">
        <v>483</v>
      </c>
      <c r="B9340" t="s">
        <v>71</v>
      </c>
      <c r="C9340" t="s">
        <v>72</v>
      </c>
      <c r="D9340">
        <v>9101</v>
      </c>
      <c r="E9340">
        <v>2019</v>
      </c>
      <c r="F9340">
        <v>25</v>
      </c>
      <c r="G9340">
        <v>15478</v>
      </c>
      <c r="H9340" s="1" t="s">
        <v>1828</v>
      </c>
      <c r="I9340">
        <v>0</v>
      </c>
      <c r="J9340">
        <f>IF($H9340=0,1,IF($I9340&lt;=1,2,0))</f>
        <v>2</v>
      </c>
      <c r="K9340">
        <v>5</v>
      </c>
      <c r="L9340">
        <f>IF(AND($J9340=0,$K9340=0),0,1)</f>
        <v>1</v>
      </c>
    </row>
    <row r="9341" spans="1:13" x14ac:dyDescent="0.2">
      <c r="A9341" t="s">
        <v>483</v>
      </c>
      <c r="B9341" t="s">
        <v>71</v>
      </c>
      <c r="C9341" t="s">
        <v>72</v>
      </c>
      <c r="D9341">
        <v>9101</v>
      </c>
      <c r="E9341">
        <v>2019</v>
      </c>
      <c r="F9341">
        <v>27</v>
      </c>
      <c r="G9341">
        <v>15480</v>
      </c>
      <c r="H9341" s="1" t="s">
        <v>1828</v>
      </c>
      <c r="I9341">
        <v>0</v>
      </c>
      <c r="J9341">
        <f>IF($H9341=0,1,IF($I9341&lt;=1,2,0))</f>
        <v>2</v>
      </c>
      <c r="K9341">
        <v>5</v>
      </c>
      <c r="L9341">
        <f>IF(AND($J9341=0,$K9341=0),0,1)</f>
        <v>1</v>
      </c>
    </row>
    <row r="9342" spans="1:13" x14ac:dyDescent="0.2">
      <c r="A9342" t="s">
        <v>483</v>
      </c>
      <c r="B9342" t="s">
        <v>71</v>
      </c>
      <c r="C9342" t="s">
        <v>72</v>
      </c>
      <c r="D9342">
        <v>9101</v>
      </c>
      <c r="E9342">
        <v>2019</v>
      </c>
      <c r="F9342">
        <v>28</v>
      </c>
      <c r="G9342">
        <v>15481</v>
      </c>
      <c r="H9342" s="1" t="s">
        <v>1828</v>
      </c>
      <c r="I9342">
        <v>0</v>
      </c>
      <c r="J9342">
        <f>IF($H9342=0,1,IF($I9342&lt;=1,2,0))</f>
        <v>2</v>
      </c>
      <c r="K9342">
        <v>5</v>
      </c>
      <c r="L9342">
        <f>IF(AND($J9342=0,$K9342=0),0,1)</f>
        <v>1</v>
      </c>
    </row>
    <row r="9343" spans="1:13" x14ac:dyDescent="0.2">
      <c r="A9343" t="s">
        <v>498</v>
      </c>
      <c r="B9343" t="s">
        <v>381</v>
      </c>
      <c r="C9343" t="s">
        <v>382</v>
      </c>
      <c r="D9343">
        <v>6004</v>
      </c>
      <c r="E9343">
        <v>2019</v>
      </c>
      <c r="F9343">
        <v>1</v>
      </c>
      <c r="G9343">
        <v>14114</v>
      </c>
      <c r="H9343" s="1">
        <v>1.5</v>
      </c>
      <c r="I9343">
        <v>33</v>
      </c>
      <c r="J9343">
        <f>IF($H9343=0,1,IF($I9343&lt;=1,2,0))</f>
        <v>0</v>
      </c>
      <c r="K9343">
        <v>6</v>
      </c>
      <c r="L9343">
        <f>IF(AND($J9343=0,$K9343=0),0,1)</f>
        <v>1</v>
      </c>
      <c r="M9343" t="s">
        <v>1937</v>
      </c>
    </row>
    <row r="9344" spans="1:13" x14ac:dyDescent="0.2">
      <c r="A9344" t="s">
        <v>498</v>
      </c>
      <c r="B9344" t="s">
        <v>381</v>
      </c>
      <c r="C9344" t="s">
        <v>382</v>
      </c>
      <c r="D9344">
        <v>6006</v>
      </c>
      <c r="E9344">
        <v>2019</v>
      </c>
      <c r="F9344">
        <v>1</v>
      </c>
      <c r="G9344">
        <v>14115</v>
      </c>
      <c r="H9344" s="1">
        <v>3</v>
      </c>
      <c r="I9344">
        <v>59</v>
      </c>
      <c r="J9344">
        <f>IF($H9344=0,1,IF($I9344&lt;=1,2,0))</f>
        <v>0</v>
      </c>
      <c r="K9344">
        <v>6</v>
      </c>
      <c r="L9344">
        <f>IF(AND($J9344=0,$K9344=0),0,1)</f>
        <v>1</v>
      </c>
    </row>
    <row r="9345" spans="1:13" x14ac:dyDescent="0.2">
      <c r="A9345" t="s">
        <v>498</v>
      </c>
      <c r="B9345" t="s">
        <v>381</v>
      </c>
      <c r="C9345" t="s">
        <v>382</v>
      </c>
      <c r="D9345">
        <v>6016</v>
      </c>
      <c r="E9345">
        <v>2019</v>
      </c>
      <c r="F9345">
        <v>1</v>
      </c>
      <c r="G9345">
        <v>14121</v>
      </c>
      <c r="H9345" s="1">
        <v>3</v>
      </c>
      <c r="I9345">
        <v>45</v>
      </c>
      <c r="J9345">
        <f>IF($H9345=0,1,IF($I9345&lt;=1,2,0))</f>
        <v>0</v>
      </c>
      <c r="K9345">
        <v>6</v>
      </c>
      <c r="L9345">
        <f>IF(AND($J9345=0,$K9345=0),0,1)</f>
        <v>1</v>
      </c>
    </row>
    <row r="9346" spans="1:13" x14ac:dyDescent="0.2">
      <c r="A9346" t="s">
        <v>498</v>
      </c>
      <c r="B9346" t="s">
        <v>381</v>
      </c>
      <c r="C9346" t="s">
        <v>382</v>
      </c>
      <c r="D9346">
        <v>6016</v>
      </c>
      <c r="E9346">
        <v>2019</v>
      </c>
      <c r="F9346" t="s">
        <v>59</v>
      </c>
      <c r="G9346">
        <v>14122</v>
      </c>
      <c r="H9346" s="1">
        <v>0</v>
      </c>
      <c r="I9346">
        <v>0</v>
      </c>
      <c r="J9346">
        <f>IF($H9346=0,1,IF($I9346&lt;=1,2,0))</f>
        <v>1</v>
      </c>
      <c r="K9346">
        <v>6</v>
      </c>
      <c r="L9346">
        <f>IF(AND($J9346=0,$K9346=0),0,1)</f>
        <v>1</v>
      </c>
      <c r="M9346" t="s">
        <v>384</v>
      </c>
    </row>
    <row r="9347" spans="1:13" x14ac:dyDescent="0.2">
      <c r="A9347" t="s">
        <v>498</v>
      </c>
      <c r="B9347" t="s">
        <v>381</v>
      </c>
      <c r="C9347" t="s">
        <v>382</v>
      </c>
      <c r="D9347">
        <v>6017</v>
      </c>
      <c r="E9347">
        <v>2019</v>
      </c>
      <c r="F9347">
        <v>1</v>
      </c>
      <c r="G9347">
        <v>14123</v>
      </c>
      <c r="H9347" s="1">
        <v>3</v>
      </c>
      <c r="I9347">
        <v>20</v>
      </c>
      <c r="J9347">
        <f>IF($H9347=0,1,IF($I9347&lt;=1,2,0))</f>
        <v>0</v>
      </c>
      <c r="K9347">
        <v>6</v>
      </c>
      <c r="L9347">
        <f>IF(AND($J9347=0,$K9347=0),0,1)</f>
        <v>1</v>
      </c>
      <c r="M9347" t="s">
        <v>500</v>
      </c>
    </row>
    <row r="9348" spans="1:13" x14ac:dyDescent="0.2">
      <c r="A9348" t="s">
        <v>498</v>
      </c>
      <c r="B9348" t="s">
        <v>381</v>
      </c>
      <c r="C9348" t="s">
        <v>382</v>
      </c>
      <c r="D9348">
        <v>6017</v>
      </c>
      <c r="E9348">
        <v>2019</v>
      </c>
      <c r="F9348" t="s">
        <v>59</v>
      </c>
      <c r="G9348">
        <v>14124</v>
      </c>
      <c r="H9348" s="1">
        <v>0</v>
      </c>
      <c r="I9348">
        <v>0</v>
      </c>
      <c r="J9348">
        <f>IF($H9348=0,1,IF($I9348&lt;=1,2,0))</f>
        <v>1</v>
      </c>
      <c r="K9348">
        <v>6</v>
      </c>
      <c r="L9348">
        <f>IF(AND($J9348=0,$K9348=0),0,1)</f>
        <v>1</v>
      </c>
      <c r="M9348" t="s">
        <v>384</v>
      </c>
    </row>
    <row r="9349" spans="1:13" x14ac:dyDescent="0.2">
      <c r="A9349" t="s">
        <v>498</v>
      </c>
      <c r="B9349" t="s">
        <v>381</v>
      </c>
      <c r="C9349" t="s">
        <v>382</v>
      </c>
      <c r="D9349">
        <v>6018</v>
      </c>
      <c r="E9349">
        <v>2019</v>
      </c>
      <c r="F9349">
        <v>1</v>
      </c>
      <c r="G9349">
        <v>14125</v>
      </c>
      <c r="H9349" s="1">
        <v>3</v>
      </c>
      <c r="I9349">
        <v>77</v>
      </c>
      <c r="J9349">
        <f>IF($H9349=0,1,IF($I9349&lt;=1,2,0))</f>
        <v>0</v>
      </c>
      <c r="K9349">
        <v>6</v>
      </c>
      <c r="L9349">
        <f>IF(AND($J9349=0,$K9349=0),0,1)</f>
        <v>1</v>
      </c>
      <c r="M9349" t="s">
        <v>501</v>
      </c>
    </row>
    <row r="9350" spans="1:13" x14ac:dyDescent="0.2">
      <c r="A9350" t="s">
        <v>498</v>
      </c>
      <c r="B9350" t="s">
        <v>381</v>
      </c>
      <c r="C9350" t="s">
        <v>382</v>
      </c>
      <c r="D9350">
        <v>6018</v>
      </c>
      <c r="E9350">
        <v>2019</v>
      </c>
      <c r="F9350" t="s">
        <v>59</v>
      </c>
      <c r="G9350">
        <v>14126</v>
      </c>
      <c r="H9350" s="1">
        <v>0</v>
      </c>
      <c r="I9350">
        <v>0</v>
      </c>
      <c r="J9350">
        <f>IF($H9350=0,1,IF($I9350&lt;=1,2,0))</f>
        <v>1</v>
      </c>
      <c r="K9350">
        <v>6</v>
      </c>
      <c r="L9350">
        <f>IF(AND($J9350=0,$K9350=0),0,1)</f>
        <v>1</v>
      </c>
      <c r="M9350" t="s">
        <v>384</v>
      </c>
    </row>
    <row r="9351" spans="1:13" x14ac:dyDescent="0.2">
      <c r="A9351" t="s">
        <v>498</v>
      </c>
      <c r="B9351" t="s">
        <v>381</v>
      </c>
      <c r="C9351" t="s">
        <v>382</v>
      </c>
      <c r="D9351">
        <v>6021</v>
      </c>
      <c r="E9351">
        <v>2019</v>
      </c>
      <c r="F9351">
        <v>1</v>
      </c>
      <c r="G9351">
        <v>14127</v>
      </c>
      <c r="H9351" s="1">
        <v>3</v>
      </c>
      <c r="I9351">
        <v>10</v>
      </c>
      <c r="J9351">
        <f>IF($H9351=0,1,IF($I9351&lt;=1,2,0))</f>
        <v>0</v>
      </c>
      <c r="K9351">
        <v>6</v>
      </c>
      <c r="L9351">
        <f>IF(AND($J9351=0,$K9351=0),0,1)</f>
        <v>1</v>
      </c>
    </row>
    <row r="9352" spans="1:13" x14ac:dyDescent="0.2">
      <c r="A9352" t="s">
        <v>498</v>
      </c>
      <c r="B9352" t="s">
        <v>381</v>
      </c>
      <c r="C9352" t="s">
        <v>382</v>
      </c>
      <c r="D9352">
        <v>6039</v>
      </c>
      <c r="E9352">
        <v>2019</v>
      </c>
      <c r="F9352">
        <v>1</v>
      </c>
      <c r="G9352">
        <v>14128</v>
      </c>
      <c r="H9352" s="1">
        <v>3</v>
      </c>
      <c r="I9352">
        <v>16</v>
      </c>
      <c r="J9352">
        <f>IF($H9352=0,1,IF($I9352&lt;=1,2,0))</f>
        <v>0</v>
      </c>
      <c r="K9352">
        <v>6</v>
      </c>
      <c r="L9352">
        <f>IF(AND($J9352=0,$K9352=0),0,1)</f>
        <v>1</v>
      </c>
    </row>
    <row r="9353" spans="1:13" x14ac:dyDescent="0.2">
      <c r="A9353" t="s">
        <v>498</v>
      </c>
      <c r="B9353" t="s">
        <v>381</v>
      </c>
      <c r="C9353" t="s">
        <v>382</v>
      </c>
      <c r="D9353">
        <v>6040</v>
      </c>
      <c r="E9353">
        <v>2019</v>
      </c>
      <c r="F9353">
        <v>1</v>
      </c>
      <c r="G9353">
        <v>14129</v>
      </c>
      <c r="H9353" s="1">
        <v>3</v>
      </c>
      <c r="I9353">
        <v>29</v>
      </c>
      <c r="J9353">
        <f>IF($H9353=0,1,IF($I9353&lt;=1,2,0))</f>
        <v>0</v>
      </c>
      <c r="K9353">
        <v>6</v>
      </c>
      <c r="L9353">
        <f>IF(AND($J9353=0,$K9353=0),0,1)</f>
        <v>1</v>
      </c>
    </row>
    <row r="9354" spans="1:13" x14ac:dyDescent="0.2">
      <c r="A9354" t="s">
        <v>498</v>
      </c>
      <c r="B9354" t="s">
        <v>381</v>
      </c>
      <c r="C9354" t="s">
        <v>382</v>
      </c>
      <c r="D9354">
        <v>6041</v>
      </c>
      <c r="E9354">
        <v>2019</v>
      </c>
      <c r="F9354">
        <v>1</v>
      </c>
      <c r="G9354">
        <v>14130</v>
      </c>
      <c r="H9354" s="1">
        <v>3</v>
      </c>
      <c r="I9354">
        <v>25</v>
      </c>
      <c r="J9354">
        <f>IF($H9354=0,1,IF($I9354&lt;=1,2,0))</f>
        <v>0</v>
      </c>
      <c r="K9354">
        <v>6</v>
      </c>
      <c r="L9354">
        <f>IF(AND($J9354=0,$K9354=0),0,1)</f>
        <v>1</v>
      </c>
      <c r="M9354" t="s">
        <v>502</v>
      </c>
    </row>
    <row r="9355" spans="1:13" x14ac:dyDescent="0.2">
      <c r="A9355" t="s">
        <v>498</v>
      </c>
      <c r="B9355" t="s">
        <v>381</v>
      </c>
      <c r="C9355" t="s">
        <v>382</v>
      </c>
      <c r="D9355">
        <v>6042</v>
      </c>
      <c r="E9355">
        <v>2019</v>
      </c>
      <c r="F9355">
        <v>1</v>
      </c>
      <c r="G9355">
        <v>14131</v>
      </c>
      <c r="H9355" s="1">
        <v>3</v>
      </c>
      <c r="I9355">
        <v>21</v>
      </c>
      <c r="J9355">
        <f>IF($H9355=0,1,IF($I9355&lt;=1,2,0))</f>
        <v>0</v>
      </c>
      <c r="K9355">
        <v>6</v>
      </c>
      <c r="L9355">
        <f>IF(AND($J9355=0,$K9355=0),0,1)</f>
        <v>1</v>
      </c>
    </row>
    <row r="9356" spans="1:13" x14ac:dyDescent="0.2">
      <c r="A9356" t="s">
        <v>498</v>
      </c>
      <c r="B9356" t="s">
        <v>381</v>
      </c>
      <c r="C9356" t="s">
        <v>382</v>
      </c>
      <c r="D9356">
        <v>6043</v>
      </c>
      <c r="E9356">
        <v>2019</v>
      </c>
      <c r="F9356">
        <v>1</v>
      </c>
      <c r="G9356">
        <v>14132</v>
      </c>
      <c r="H9356" s="1">
        <v>3</v>
      </c>
      <c r="I9356">
        <v>50</v>
      </c>
      <c r="J9356">
        <f>IF($H9356=0,1,IF($I9356&lt;=1,2,0))</f>
        <v>0</v>
      </c>
      <c r="K9356">
        <v>6</v>
      </c>
      <c r="L9356">
        <f>IF(AND($J9356=0,$K9356=0),0,1)</f>
        <v>1</v>
      </c>
      <c r="M9356" t="s">
        <v>503</v>
      </c>
    </row>
    <row r="9357" spans="1:13" x14ac:dyDescent="0.2">
      <c r="A9357" t="s">
        <v>498</v>
      </c>
      <c r="B9357" t="s">
        <v>381</v>
      </c>
      <c r="C9357" t="s">
        <v>382</v>
      </c>
      <c r="D9357">
        <v>6043</v>
      </c>
      <c r="E9357">
        <v>2019</v>
      </c>
      <c r="F9357" t="s">
        <v>59</v>
      </c>
      <c r="G9357">
        <v>14133</v>
      </c>
      <c r="H9357" s="1">
        <v>0</v>
      </c>
      <c r="I9357">
        <v>0</v>
      </c>
      <c r="J9357">
        <f>IF($H9357=0,1,IF($I9357&lt;=1,2,0))</f>
        <v>1</v>
      </c>
      <c r="K9357">
        <v>6</v>
      </c>
      <c r="L9357">
        <f>IF(AND($J9357=0,$K9357=0),0,1)</f>
        <v>1</v>
      </c>
      <c r="M9357" t="s">
        <v>384</v>
      </c>
    </row>
    <row r="9358" spans="1:13" x14ac:dyDescent="0.2">
      <c r="A9358" t="s">
        <v>498</v>
      </c>
      <c r="B9358" t="s">
        <v>381</v>
      </c>
      <c r="C9358" t="s">
        <v>382</v>
      </c>
      <c r="D9358">
        <v>6045</v>
      </c>
      <c r="E9358">
        <v>2019</v>
      </c>
      <c r="F9358">
        <v>1</v>
      </c>
      <c r="G9358">
        <v>14134</v>
      </c>
      <c r="H9358" s="1">
        <v>3</v>
      </c>
      <c r="I9358">
        <v>59</v>
      </c>
      <c r="J9358">
        <f>IF($H9358=0,1,IF($I9358&lt;=1,2,0))</f>
        <v>0</v>
      </c>
      <c r="K9358">
        <v>6</v>
      </c>
      <c r="L9358">
        <f>IF(AND($J9358=0,$K9358=0),0,1)</f>
        <v>1</v>
      </c>
    </row>
    <row r="9359" spans="1:13" x14ac:dyDescent="0.2">
      <c r="A9359" t="s">
        <v>498</v>
      </c>
      <c r="B9359" t="s">
        <v>381</v>
      </c>
      <c r="C9359" t="s">
        <v>382</v>
      </c>
      <c r="D9359">
        <v>6045</v>
      </c>
      <c r="E9359">
        <v>2019</v>
      </c>
      <c r="F9359" t="s">
        <v>59</v>
      </c>
      <c r="G9359">
        <v>14135</v>
      </c>
      <c r="H9359" s="1">
        <v>0</v>
      </c>
      <c r="I9359">
        <v>0</v>
      </c>
      <c r="J9359">
        <f>IF($H9359=0,1,IF($I9359&lt;=1,2,0))</f>
        <v>1</v>
      </c>
      <c r="K9359">
        <v>6</v>
      </c>
      <c r="L9359">
        <f>IF(AND($J9359=0,$K9359=0),0,1)</f>
        <v>1</v>
      </c>
      <c r="M9359" t="s">
        <v>384</v>
      </c>
    </row>
    <row r="9360" spans="1:13" x14ac:dyDescent="0.2">
      <c r="A9360" t="s">
        <v>498</v>
      </c>
      <c r="B9360" t="s">
        <v>381</v>
      </c>
      <c r="C9360" t="s">
        <v>382</v>
      </c>
      <c r="D9360">
        <v>6051</v>
      </c>
      <c r="E9360">
        <v>2019</v>
      </c>
      <c r="F9360">
        <v>1</v>
      </c>
      <c r="G9360">
        <v>14136</v>
      </c>
      <c r="H9360" s="1">
        <v>1.5</v>
      </c>
      <c r="I9360">
        <v>51</v>
      </c>
      <c r="J9360">
        <f>IF($H9360=0,1,IF($I9360&lt;=1,2,0))</f>
        <v>0</v>
      </c>
      <c r="K9360">
        <v>6</v>
      </c>
      <c r="L9360">
        <f>IF(AND($J9360=0,$K9360=0),0,1)</f>
        <v>1</v>
      </c>
      <c r="M9360" t="s">
        <v>504</v>
      </c>
    </row>
    <row r="9361" spans="1:13" x14ac:dyDescent="0.2">
      <c r="A9361" t="s">
        <v>498</v>
      </c>
      <c r="B9361" t="s">
        <v>381</v>
      </c>
      <c r="C9361" t="s">
        <v>382</v>
      </c>
      <c r="D9361">
        <v>6053</v>
      </c>
      <c r="E9361">
        <v>2019</v>
      </c>
      <c r="F9361">
        <v>1</v>
      </c>
      <c r="G9361">
        <v>14137</v>
      </c>
      <c r="H9361" s="1">
        <v>3</v>
      </c>
      <c r="I9361">
        <v>38</v>
      </c>
      <c r="J9361">
        <f>IF($H9361=0,1,IF($I9361&lt;=1,2,0))</f>
        <v>0</v>
      </c>
      <c r="K9361">
        <v>6</v>
      </c>
      <c r="L9361">
        <f>IF(AND($J9361=0,$K9361=0),0,1)</f>
        <v>1</v>
      </c>
    </row>
    <row r="9362" spans="1:13" x14ac:dyDescent="0.2">
      <c r="A9362" t="s">
        <v>498</v>
      </c>
      <c r="B9362" t="s">
        <v>381</v>
      </c>
      <c r="C9362" t="s">
        <v>382</v>
      </c>
      <c r="D9362">
        <v>6054</v>
      </c>
      <c r="E9362">
        <v>2019</v>
      </c>
      <c r="F9362">
        <v>1</v>
      </c>
      <c r="G9362">
        <v>14138</v>
      </c>
      <c r="H9362" s="1">
        <v>3</v>
      </c>
      <c r="I9362">
        <v>13</v>
      </c>
      <c r="J9362">
        <f>IF($H9362=0,1,IF($I9362&lt;=1,2,0))</f>
        <v>0</v>
      </c>
      <c r="K9362">
        <v>6</v>
      </c>
      <c r="L9362">
        <f>IF(AND($J9362=0,$K9362=0),0,1)</f>
        <v>1</v>
      </c>
    </row>
    <row r="9363" spans="1:13" x14ac:dyDescent="0.2">
      <c r="A9363" t="s">
        <v>498</v>
      </c>
      <c r="B9363" t="s">
        <v>381</v>
      </c>
      <c r="C9363" t="s">
        <v>382</v>
      </c>
      <c r="D9363">
        <v>6061</v>
      </c>
      <c r="E9363">
        <v>2019</v>
      </c>
      <c r="F9363">
        <v>1</v>
      </c>
      <c r="G9363">
        <v>14139</v>
      </c>
      <c r="H9363" s="1">
        <v>3</v>
      </c>
      <c r="I9363">
        <v>22</v>
      </c>
      <c r="J9363">
        <f>IF($H9363=0,1,IF($I9363&lt;=1,2,0))</f>
        <v>0</v>
      </c>
      <c r="K9363">
        <v>6</v>
      </c>
      <c r="L9363">
        <f>IF(AND($J9363=0,$K9363=0),0,1)</f>
        <v>1</v>
      </c>
    </row>
    <row r="9364" spans="1:13" x14ac:dyDescent="0.2">
      <c r="A9364" t="s">
        <v>498</v>
      </c>
      <c r="B9364" t="s">
        <v>381</v>
      </c>
      <c r="C9364" t="s">
        <v>382</v>
      </c>
      <c r="D9364">
        <v>6065</v>
      </c>
      <c r="E9364">
        <v>2019</v>
      </c>
      <c r="F9364">
        <v>1</v>
      </c>
      <c r="G9364">
        <v>14140</v>
      </c>
      <c r="H9364" s="1">
        <v>3</v>
      </c>
      <c r="I9364">
        <v>23</v>
      </c>
      <c r="J9364">
        <f>IF($H9364=0,1,IF($I9364&lt;=1,2,0))</f>
        <v>0</v>
      </c>
      <c r="K9364">
        <v>6</v>
      </c>
      <c r="L9364">
        <f>IF(AND($J9364=0,$K9364=0),0,1)</f>
        <v>1</v>
      </c>
    </row>
    <row r="9365" spans="1:13" x14ac:dyDescent="0.2">
      <c r="A9365" t="s">
        <v>498</v>
      </c>
      <c r="B9365" t="s">
        <v>381</v>
      </c>
      <c r="C9365" t="s">
        <v>382</v>
      </c>
      <c r="D9365">
        <v>6065</v>
      </c>
      <c r="E9365">
        <v>2019</v>
      </c>
      <c r="F9365" t="s">
        <v>59</v>
      </c>
      <c r="G9365">
        <v>14141</v>
      </c>
      <c r="H9365" s="1">
        <v>0</v>
      </c>
      <c r="I9365">
        <v>0</v>
      </c>
      <c r="J9365">
        <f>IF($H9365=0,1,IF($I9365&lt;=1,2,0))</f>
        <v>1</v>
      </c>
      <c r="K9365">
        <v>6</v>
      </c>
      <c r="L9365">
        <f>IF(AND($J9365=0,$K9365=0),0,1)</f>
        <v>1</v>
      </c>
      <c r="M9365" t="s">
        <v>384</v>
      </c>
    </row>
    <row r="9366" spans="1:13" x14ac:dyDescent="0.2">
      <c r="A9366" t="s">
        <v>498</v>
      </c>
      <c r="B9366" t="s">
        <v>381</v>
      </c>
      <c r="C9366" t="s">
        <v>382</v>
      </c>
      <c r="D9366">
        <v>6068</v>
      </c>
      <c r="E9366">
        <v>2019</v>
      </c>
      <c r="F9366">
        <v>1</v>
      </c>
      <c r="G9366">
        <v>14142</v>
      </c>
      <c r="H9366" s="1">
        <v>3</v>
      </c>
      <c r="I9366">
        <v>25</v>
      </c>
      <c r="J9366">
        <f>IF($H9366=0,1,IF($I9366&lt;=1,2,0))</f>
        <v>0</v>
      </c>
      <c r="K9366">
        <v>6</v>
      </c>
      <c r="L9366">
        <f>IF(AND($J9366=0,$K9366=0),0,1)</f>
        <v>1</v>
      </c>
    </row>
    <row r="9367" spans="1:13" x14ac:dyDescent="0.2">
      <c r="A9367" t="s">
        <v>498</v>
      </c>
      <c r="B9367" t="s">
        <v>381</v>
      </c>
      <c r="C9367" t="s">
        <v>382</v>
      </c>
      <c r="D9367">
        <v>6068</v>
      </c>
      <c r="E9367">
        <v>2019</v>
      </c>
      <c r="F9367" t="s">
        <v>59</v>
      </c>
      <c r="G9367">
        <v>14143</v>
      </c>
      <c r="H9367" s="1">
        <v>0</v>
      </c>
      <c r="I9367">
        <v>0</v>
      </c>
      <c r="J9367">
        <f>IF($H9367=0,1,IF($I9367&lt;=1,2,0))</f>
        <v>1</v>
      </c>
      <c r="K9367">
        <v>6</v>
      </c>
      <c r="L9367">
        <f>IF(AND($J9367=0,$K9367=0),0,1)</f>
        <v>1</v>
      </c>
      <c r="M9367" t="s">
        <v>384</v>
      </c>
    </row>
    <row r="9368" spans="1:13" x14ac:dyDescent="0.2">
      <c r="A9368" t="s">
        <v>498</v>
      </c>
      <c r="B9368" t="s">
        <v>381</v>
      </c>
      <c r="C9368" t="s">
        <v>382</v>
      </c>
      <c r="D9368">
        <v>6071</v>
      </c>
      <c r="E9368">
        <v>2019</v>
      </c>
      <c r="F9368">
        <v>1</v>
      </c>
      <c r="G9368">
        <v>14144</v>
      </c>
      <c r="H9368" s="1">
        <v>3</v>
      </c>
      <c r="I9368">
        <v>16</v>
      </c>
      <c r="J9368">
        <f>IF($H9368=0,1,IF($I9368&lt;=1,2,0))</f>
        <v>0</v>
      </c>
      <c r="K9368">
        <v>6</v>
      </c>
      <c r="L9368">
        <f>IF(AND($J9368=0,$K9368=0),0,1)</f>
        <v>1</v>
      </c>
    </row>
    <row r="9369" spans="1:13" x14ac:dyDescent="0.2">
      <c r="A9369" t="s">
        <v>498</v>
      </c>
      <c r="B9369" t="s">
        <v>381</v>
      </c>
      <c r="C9369" t="s">
        <v>382</v>
      </c>
      <c r="D9369">
        <v>6071</v>
      </c>
      <c r="E9369">
        <v>2019</v>
      </c>
      <c r="F9369" t="s">
        <v>59</v>
      </c>
      <c r="G9369">
        <v>14145</v>
      </c>
      <c r="H9369" s="1">
        <v>0</v>
      </c>
      <c r="I9369">
        <v>0</v>
      </c>
      <c r="J9369">
        <f>IF($H9369=0,1,IF($I9369&lt;=1,2,0))</f>
        <v>1</v>
      </c>
      <c r="K9369">
        <v>6</v>
      </c>
      <c r="L9369">
        <f>IF(AND($J9369=0,$K9369=0),0,1)</f>
        <v>1</v>
      </c>
      <c r="M9369" t="s">
        <v>384</v>
      </c>
    </row>
    <row r="9370" spans="1:13" x14ac:dyDescent="0.2">
      <c r="A9370" t="s">
        <v>498</v>
      </c>
      <c r="B9370" t="s">
        <v>381</v>
      </c>
      <c r="C9370" t="s">
        <v>382</v>
      </c>
      <c r="D9370">
        <v>6072</v>
      </c>
      <c r="E9370">
        <v>2019</v>
      </c>
      <c r="F9370">
        <v>1</v>
      </c>
      <c r="G9370">
        <v>14146</v>
      </c>
      <c r="H9370" s="1">
        <v>3</v>
      </c>
      <c r="I9370">
        <v>61</v>
      </c>
      <c r="J9370">
        <f>IF($H9370=0,1,IF($I9370&lt;=1,2,0))</f>
        <v>0</v>
      </c>
      <c r="K9370">
        <v>6</v>
      </c>
      <c r="L9370">
        <f>IF(AND($J9370=0,$K9370=0),0,1)</f>
        <v>1</v>
      </c>
    </row>
    <row r="9371" spans="1:13" x14ac:dyDescent="0.2">
      <c r="A9371" t="s">
        <v>498</v>
      </c>
      <c r="B9371" t="s">
        <v>381</v>
      </c>
      <c r="C9371" t="s">
        <v>382</v>
      </c>
      <c r="D9371">
        <v>6072</v>
      </c>
      <c r="E9371">
        <v>2019</v>
      </c>
      <c r="F9371" t="s">
        <v>59</v>
      </c>
      <c r="G9371">
        <v>14147</v>
      </c>
      <c r="H9371" s="1">
        <v>0</v>
      </c>
      <c r="I9371">
        <v>0</v>
      </c>
      <c r="J9371">
        <f>IF($H9371=0,1,IF($I9371&lt;=1,2,0))</f>
        <v>1</v>
      </c>
      <c r="K9371">
        <v>6</v>
      </c>
      <c r="L9371">
        <f>IF(AND($J9371=0,$K9371=0),0,1)</f>
        <v>1</v>
      </c>
      <c r="M9371" t="s">
        <v>384</v>
      </c>
    </row>
    <row r="9372" spans="1:13" x14ac:dyDescent="0.2">
      <c r="A9372" t="s">
        <v>498</v>
      </c>
      <c r="B9372" t="s">
        <v>381</v>
      </c>
      <c r="C9372" t="s">
        <v>382</v>
      </c>
      <c r="D9372">
        <v>6086</v>
      </c>
      <c r="E9372">
        <v>2019</v>
      </c>
      <c r="F9372">
        <v>1</v>
      </c>
      <c r="G9372">
        <v>14148</v>
      </c>
      <c r="H9372" s="1">
        <v>3</v>
      </c>
      <c r="I9372">
        <v>23</v>
      </c>
      <c r="J9372">
        <f>IF($H9372=0,1,IF($I9372&lt;=1,2,0))</f>
        <v>0</v>
      </c>
      <c r="K9372">
        <v>6</v>
      </c>
      <c r="L9372">
        <f>IF(AND($J9372=0,$K9372=0),0,1)</f>
        <v>1</v>
      </c>
    </row>
    <row r="9373" spans="1:13" x14ac:dyDescent="0.2">
      <c r="A9373" t="s">
        <v>498</v>
      </c>
      <c r="B9373" t="s">
        <v>381</v>
      </c>
      <c r="C9373" t="s">
        <v>382</v>
      </c>
      <c r="D9373">
        <v>6094</v>
      </c>
      <c r="E9373">
        <v>2019</v>
      </c>
      <c r="F9373">
        <v>1</v>
      </c>
      <c r="G9373">
        <v>14150</v>
      </c>
      <c r="H9373" s="1">
        <v>1.5</v>
      </c>
      <c r="I9373">
        <v>6</v>
      </c>
      <c r="J9373">
        <f>IF($H9373=0,1,IF($I9373&lt;=1,2,0))</f>
        <v>0</v>
      </c>
      <c r="K9373">
        <v>6</v>
      </c>
      <c r="L9373">
        <f>IF(AND($J9373=0,$K9373=0),0,1)</f>
        <v>1</v>
      </c>
      <c r="M9373" t="s">
        <v>505</v>
      </c>
    </row>
    <row r="9374" spans="1:13" x14ac:dyDescent="0.2">
      <c r="A9374" t="s">
        <v>498</v>
      </c>
      <c r="B9374" t="s">
        <v>381</v>
      </c>
      <c r="C9374" t="s">
        <v>382</v>
      </c>
      <c r="D9374">
        <v>6095</v>
      </c>
      <c r="E9374">
        <v>2019</v>
      </c>
      <c r="F9374">
        <v>1</v>
      </c>
      <c r="G9374">
        <v>14152</v>
      </c>
      <c r="H9374" s="1">
        <v>3</v>
      </c>
      <c r="I9374">
        <v>15</v>
      </c>
      <c r="J9374">
        <f>IF($H9374=0,1,IF($I9374&lt;=1,2,0))</f>
        <v>0</v>
      </c>
      <c r="K9374">
        <v>6</v>
      </c>
      <c r="L9374">
        <f>IF(AND($J9374=0,$K9374=0),0,1)</f>
        <v>1</v>
      </c>
    </row>
    <row r="9375" spans="1:13" x14ac:dyDescent="0.2">
      <c r="A9375" t="s">
        <v>498</v>
      </c>
      <c r="B9375" t="s">
        <v>381</v>
      </c>
      <c r="C9375" t="s">
        <v>382</v>
      </c>
      <c r="D9375">
        <v>6098</v>
      </c>
      <c r="E9375">
        <v>2019</v>
      </c>
      <c r="F9375">
        <v>1</v>
      </c>
      <c r="G9375">
        <v>14153</v>
      </c>
      <c r="H9375" s="1">
        <v>3</v>
      </c>
      <c r="I9375">
        <v>17</v>
      </c>
      <c r="J9375">
        <f>IF($H9375=0,1,IF($I9375&lt;=1,2,0))</f>
        <v>0</v>
      </c>
      <c r="K9375">
        <v>6</v>
      </c>
      <c r="L9375">
        <f>IF(AND($J9375=0,$K9375=0),0,1)</f>
        <v>1</v>
      </c>
    </row>
    <row r="9376" spans="1:13" x14ac:dyDescent="0.2">
      <c r="A9376" t="s">
        <v>498</v>
      </c>
      <c r="B9376" t="s">
        <v>381</v>
      </c>
      <c r="C9376" t="s">
        <v>382</v>
      </c>
      <c r="D9376">
        <v>6114</v>
      </c>
      <c r="E9376">
        <v>2019</v>
      </c>
      <c r="F9376">
        <v>1</v>
      </c>
      <c r="G9376">
        <v>16465</v>
      </c>
      <c r="H9376" s="1">
        <v>3</v>
      </c>
      <c r="I9376">
        <v>18</v>
      </c>
      <c r="J9376">
        <f>IF($H9376=0,1,IF($I9376&lt;=1,2,0))</f>
        <v>0</v>
      </c>
      <c r="K9376">
        <v>6</v>
      </c>
      <c r="L9376">
        <f>IF(AND($J9376=0,$K9376=0),0,1)</f>
        <v>1</v>
      </c>
    </row>
    <row r="9377" spans="1:13" x14ac:dyDescent="0.2">
      <c r="A9377" t="s">
        <v>498</v>
      </c>
      <c r="B9377" t="s">
        <v>381</v>
      </c>
      <c r="C9377" t="s">
        <v>382</v>
      </c>
      <c r="D9377">
        <v>6116</v>
      </c>
      <c r="E9377">
        <v>2019</v>
      </c>
      <c r="F9377">
        <v>1</v>
      </c>
      <c r="G9377">
        <v>14154</v>
      </c>
      <c r="H9377" s="1">
        <v>3</v>
      </c>
      <c r="I9377">
        <v>32</v>
      </c>
      <c r="J9377">
        <f>IF($H9377=0,1,IF($I9377&lt;=1,2,0))</f>
        <v>0</v>
      </c>
      <c r="K9377">
        <v>6</v>
      </c>
      <c r="L9377">
        <f>IF(AND($J9377=0,$K9377=0),0,1)</f>
        <v>1</v>
      </c>
    </row>
    <row r="9378" spans="1:13" x14ac:dyDescent="0.2">
      <c r="A9378" t="s">
        <v>498</v>
      </c>
      <c r="B9378" t="s">
        <v>381</v>
      </c>
      <c r="C9378" t="s">
        <v>382</v>
      </c>
      <c r="D9378">
        <v>6116</v>
      </c>
      <c r="E9378">
        <v>2019</v>
      </c>
      <c r="F9378" t="s">
        <v>59</v>
      </c>
      <c r="G9378">
        <v>14155</v>
      </c>
      <c r="H9378" s="1">
        <v>0</v>
      </c>
      <c r="I9378">
        <v>0</v>
      </c>
      <c r="J9378">
        <f>IF($H9378=0,1,IF($I9378&lt;=1,2,0))</f>
        <v>1</v>
      </c>
      <c r="K9378">
        <v>6</v>
      </c>
      <c r="L9378">
        <f>IF(AND($J9378=0,$K9378=0),0,1)</f>
        <v>1</v>
      </c>
      <c r="M9378" t="s">
        <v>384</v>
      </c>
    </row>
    <row r="9379" spans="1:13" x14ac:dyDescent="0.2">
      <c r="A9379" t="s">
        <v>498</v>
      </c>
      <c r="B9379" t="s">
        <v>381</v>
      </c>
      <c r="C9379" t="s">
        <v>382</v>
      </c>
      <c r="D9379">
        <v>6122</v>
      </c>
      <c r="E9379">
        <v>2019</v>
      </c>
      <c r="F9379">
        <v>1</v>
      </c>
      <c r="G9379">
        <v>14157</v>
      </c>
      <c r="H9379" s="1">
        <v>3</v>
      </c>
      <c r="I9379">
        <v>20</v>
      </c>
      <c r="J9379">
        <f>IF($H9379=0,1,IF($I9379&lt;=1,2,0))</f>
        <v>0</v>
      </c>
      <c r="K9379">
        <v>6</v>
      </c>
      <c r="L9379">
        <f>IF(AND($J9379=0,$K9379=0),0,1)</f>
        <v>1</v>
      </c>
    </row>
    <row r="9380" spans="1:13" x14ac:dyDescent="0.2">
      <c r="A9380" t="s">
        <v>498</v>
      </c>
      <c r="B9380" t="s">
        <v>381</v>
      </c>
      <c r="C9380" t="s">
        <v>382</v>
      </c>
      <c r="D9380">
        <v>6128</v>
      </c>
      <c r="E9380">
        <v>2019</v>
      </c>
      <c r="F9380">
        <v>1</v>
      </c>
      <c r="G9380">
        <v>14159</v>
      </c>
      <c r="H9380" s="1">
        <v>1.5</v>
      </c>
      <c r="I9380">
        <v>32</v>
      </c>
      <c r="J9380">
        <f>IF($H9380=0,1,IF($I9380&lt;=1,2,0))</f>
        <v>0</v>
      </c>
      <c r="K9380">
        <v>6</v>
      </c>
      <c r="L9380">
        <f>IF(AND($J9380=0,$K9380=0),0,1)</f>
        <v>1</v>
      </c>
      <c r="M9380" t="s">
        <v>506</v>
      </c>
    </row>
    <row r="9381" spans="1:13" x14ac:dyDescent="0.2">
      <c r="A9381" t="s">
        <v>498</v>
      </c>
      <c r="B9381" t="s">
        <v>381</v>
      </c>
      <c r="C9381" t="s">
        <v>382</v>
      </c>
      <c r="D9381">
        <v>6129</v>
      </c>
      <c r="E9381">
        <v>2019</v>
      </c>
      <c r="F9381">
        <v>1</v>
      </c>
      <c r="G9381">
        <v>14160</v>
      </c>
      <c r="H9381" s="1">
        <v>3</v>
      </c>
      <c r="I9381">
        <v>20</v>
      </c>
      <c r="J9381">
        <f>IF($H9381=0,1,IF($I9381&lt;=1,2,0))</f>
        <v>0</v>
      </c>
      <c r="K9381">
        <v>6</v>
      </c>
      <c r="L9381">
        <f>IF(AND($J9381=0,$K9381=0),0,1)</f>
        <v>1</v>
      </c>
    </row>
    <row r="9382" spans="1:13" x14ac:dyDescent="0.2">
      <c r="A9382" t="s">
        <v>498</v>
      </c>
      <c r="B9382" t="s">
        <v>381</v>
      </c>
      <c r="C9382" t="s">
        <v>382</v>
      </c>
      <c r="D9382">
        <v>6131</v>
      </c>
      <c r="E9382">
        <v>2019</v>
      </c>
      <c r="F9382">
        <v>1</v>
      </c>
      <c r="G9382">
        <v>14167</v>
      </c>
      <c r="H9382" s="1">
        <v>1.5</v>
      </c>
      <c r="I9382">
        <v>21</v>
      </c>
      <c r="J9382">
        <f>IF($H9382=0,1,IF($I9382&lt;=1,2,0))</f>
        <v>0</v>
      </c>
      <c r="K9382">
        <v>6</v>
      </c>
      <c r="L9382">
        <f>IF(AND($J9382=0,$K9382=0),0,1)</f>
        <v>1</v>
      </c>
      <c r="M9382" t="s">
        <v>507</v>
      </c>
    </row>
    <row r="9383" spans="1:13" x14ac:dyDescent="0.2">
      <c r="A9383" t="s">
        <v>498</v>
      </c>
      <c r="B9383" t="s">
        <v>381</v>
      </c>
      <c r="C9383" t="s">
        <v>382</v>
      </c>
      <c r="D9383">
        <v>6137</v>
      </c>
      <c r="E9383">
        <v>2019</v>
      </c>
      <c r="F9383">
        <v>1</v>
      </c>
      <c r="G9383">
        <v>14168</v>
      </c>
      <c r="H9383" s="1">
        <v>3</v>
      </c>
      <c r="I9383">
        <v>36</v>
      </c>
      <c r="J9383">
        <f>IF($H9383=0,1,IF($I9383&lt;=1,2,0))</f>
        <v>0</v>
      </c>
      <c r="K9383">
        <v>6</v>
      </c>
      <c r="L9383">
        <f>IF(AND($J9383=0,$K9383=0),0,1)</f>
        <v>1</v>
      </c>
    </row>
    <row r="9384" spans="1:13" x14ac:dyDescent="0.2">
      <c r="A9384" t="s">
        <v>498</v>
      </c>
      <c r="B9384" t="s">
        <v>381</v>
      </c>
      <c r="C9384" t="s">
        <v>382</v>
      </c>
      <c r="D9384">
        <v>6143</v>
      </c>
      <c r="E9384">
        <v>2019</v>
      </c>
      <c r="F9384">
        <v>1</v>
      </c>
      <c r="G9384">
        <v>14169</v>
      </c>
      <c r="H9384" s="1">
        <v>3</v>
      </c>
      <c r="I9384">
        <v>20</v>
      </c>
      <c r="J9384">
        <f>IF($H9384=0,1,IF($I9384&lt;=1,2,0))</f>
        <v>0</v>
      </c>
      <c r="K9384">
        <v>6</v>
      </c>
      <c r="L9384">
        <f>IF(AND($J9384=0,$K9384=0),0,1)</f>
        <v>1</v>
      </c>
    </row>
    <row r="9385" spans="1:13" x14ac:dyDescent="0.2">
      <c r="A9385" t="s">
        <v>498</v>
      </c>
      <c r="B9385" t="s">
        <v>381</v>
      </c>
      <c r="C9385" t="s">
        <v>382</v>
      </c>
      <c r="D9385">
        <v>6173</v>
      </c>
      <c r="E9385">
        <v>2019</v>
      </c>
      <c r="F9385">
        <v>1</v>
      </c>
      <c r="G9385">
        <v>14170</v>
      </c>
      <c r="H9385" s="1">
        <v>3</v>
      </c>
      <c r="I9385">
        <v>30</v>
      </c>
      <c r="J9385">
        <f>IF($H9385=0,1,IF($I9385&lt;=1,2,0))</f>
        <v>0</v>
      </c>
      <c r="K9385">
        <v>6</v>
      </c>
      <c r="L9385">
        <f>IF(AND($J9385=0,$K9385=0),0,1)</f>
        <v>1</v>
      </c>
    </row>
    <row r="9386" spans="1:13" x14ac:dyDescent="0.2">
      <c r="A9386" t="s">
        <v>498</v>
      </c>
      <c r="B9386" t="s">
        <v>381</v>
      </c>
      <c r="C9386" t="s">
        <v>382</v>
      </c>
      <c r="D9386">
        <v>6178</v>
      </c>
      <c r="E9386">
        <v>2019</v>
      </c>
      <c r="F9386">
        <v>1</v>
      </c>
      <c r="G9386">
        <v>16474</v>
      </c>
      <c r="H9386" s="1">
        <v>3</v>
      </c>
      <c r="I9386">
        <v>29</v>
      </c>
      <c r="J9386">
        <f>IF($H9386=0,1,IF($I9386&lt;=1,2,0))</f>
        <v>0</v>
      </c>
      <c r="K9386">
        <v>6</v>
      </c>
      <c r="L9386">
        <f>IF(AND($J9386=0,$K9386=0),0,1)</f>
        <v>1</v>
      </c>
      <c r="M9386" t="s">
        <v>508</v>
      </c>
    </row>
    <row r="9387" spans="1:13" x14ac:dyDescent="0.2">
      <c r="A9387" t="s">
        <v>498</v>
      </c>
      <c r="B9387" t="s">
        <v>381</v>
      </c>
      <c r="C9387" t="s">
        <v>382</v>
      </c>
      <c r="D9387">
        <v>6186</v>
      </c>
      <c r="E9387">
        <v>2019</v>
      </c>
      <c r="F9387">
        <v>1</v>
      </c>
      <c r="G9387">
        <v>14171</v>
      </c>
      <c r="H9387" s="1">
        <v>3</v>
      </c>
      <c r="I9387">
        <v>21</v>
      </c>
      <c r="J9387">
        <f>IF($H9387=0,1,IF($I9387&lt;=1,2,0))</f>
        <v>0</v>
      </c>
      <c r="K9387">
        <v>6</v>
      </c>
      <c r="L9387">
        <f>IF(AND($J9387=0,$K9387=0),0,1)</f>
        <v>1</v>
      </c>
    </row>
    <row r="9388" spans="1:13" x14ac:dyDescent="0.2">
      <c r="A9388" t="s">
        <v>498</v>
      </c>
      <c r="B9388" t="s">
        <v>381</v>
      </c>
      <c r="C9388" t="s">
        <v>382</v>
      </c>
      <c r="D9388">
        <v>6190</v>
      </c>
      <c r="E9388">
        <v>2019</v>
      </c>
      <c r="F9388">
        <v>1</v>
      </c>
      <c r="G9388">
        <v>14172</v>
      </c>
      <c r="H9388" s="1">
        <v>3</v>
      </c>
      <c r="I9388">
        <v>9</v>
      </c>
      <c r="J9388">
        <f>IF($H9388=0,1,IF($I9388&lt;=1,2,0))</f>
        <v>0</v>
      </c>
      <c r="K9388">
        <v>6</v>
      </c>
      <c r="L9388">
        <f>IF(AND($J9388=0,$K9388=0),0,1)</f>
        <v>1</v>
      </c>
    </row>
    <row r="9389" spans="1:13" x14ac:dyDescent="0.2">
      <c r="A9389" t="s">
        <v>498</v>
      </c>
      <c r="B9389" t="s">
        <v>381</v>
      </c>
      <c r="C9389" t="s">
        <v>382</v>
      </c>
      <c r="D9389">
        <v>6192</v>
      </c>
      <c r="E9389">
        <v>2019</v>
      </c>
      <c r="F9389">
        <v>1</v>
      </c>
      <c r="G9389">
        <v>14173</v>
      </c>
      <c r="H9389" s="1">
        <v>1.5</v>
      </c>
      <c r="I9389">
        <v>10</v>
      </c>
      <c r="J9389">
        <f>IF($H9389=0,1,IF($I9389&lt;=1,2,0))</f>
        <v>0</v>
      </c>
      <c r="K9389">
        <v>6</v>
      </c>
      <c r="L9389">
        <f>IF(AND($J9389=0,$K9389=0),0,1)</f>
        <v>1</v>
      </c>
      <c r="M9389" t="s">
        <v>509</v>
      </c>
    </row>
    <row r="9390" spans="1:13" x14ac:dyDescent="0.2">
      <c r="A9390" t="s">
        <v>498</v>
      </c>
      <c r="B9390" t="s">
        <v>381</v>
      </c>
      <c r="C9390" t="s">
        <v>382</v>
      </c>
      <c r="D9390">
        <v>6205</v>
      </c>
      <c r="E9390">
        <v>2019</v>
      </c>
      <c r="F9390">
        <v>1</v>
      </c>
      <c r="G9390">
        <v>14174</v>
      </c>
      <c r="H9390" s="1">
        <v>3</v>
      </c>
      <c r="I9390">
        <v>12</v>
      </c>
      <c r="J9390">
        <f>IF($H9390=0,1,IF($I9390&lt;=1,2,0))</f>
        <v>0</v>
      </c>
      <c r="K9390">
        <v>6</v>
      </c>
      <c r="L9390">
        <f>IF(AND($J9390=0,$K9390=0),0,1)</f>
        <v>1</v>
      </c>
    </row>
    <row r="9391" spans="1:13" x14ac:dyDescent="0.2">
      <c r="A9391" t="s">
        <v>498</v>
      </c>
      <c r="B9391" t="s">
        <v>381</v>
      </c>
      <c r="C9391" t="s">
        <v>382</v>
      </c>
      <c r="D9391">
        <v>6209</v>
      </c>
      <c r="E9391">
        <v>2019</v>
      </c>
      <c r="F9391">
        <v>1</v>
      </c>
      <c r="G9391">
        <v>14175</v>
      </c>
      <c r="H9391" s="1">
        <v>3</v>
      </c>
      <c r="I9391">
        <v>26</v>
      </c>
      <c r="J9391">
        <f>IF($H9391=0,1,IF($I9391&lt;=1,2,0))</f>
        <v>0</v>
      </c>
      <c r="K9391">
        <v>6</v>
      </c>
      <c r="L9391">
        <f>IF(AND($J9391=0,$K9391=0),0,1)</f>
        <v>1</v>
      </c>
    </row>
    <row r="9392" spans="1:13" x14ac:dyDescent="0.2">
      <c r="A9392" t="s">
        <v>498</v>
      </c>
      <c r="B9392" t="s">
        <v>381</v>
      </c>
      <c r="C9392" t="s">
        <v>382</v>
      </c>
      <c r="D9392">
        <v>6236</v>
      </c>
      <c r="E9392">
        <v>2019</v>
      </c>
      <c r="F9392">
        <v>1</v>
      </c>
      <c r="G9392">
        <v>14177</v>
      </c>
      <c r="H9392" s="1">
        <v>3</v>
      </c>
      <c r="I9392">
        <v>4</v>
      </c>
      <c r="J9392">
        <f>IF($H9392=0,1,IF($I9392&lt;=1,2,0))</f>
        <v>0</v>
      </c>
      <c r="K9392">
        <v>6</v>
      </c>
      <c r="L9392">
        <f>IF(AND($J9392=0,$K9392=0),0,1)</f>
        <v>1</v>
      </c>
    </row>
    <row r="9393" spans="1:13" x14ac:dyDescent="0.2">
      <c r="A9393" t="s">
        <v>498</v>
      </c>
      <c r="B9393" t="s">
        <v>381</v>
      </c>
      <c r="C9393" t="s">
        <v>382</v>
      </c>
      <c r="D9393">
        <v>6259</v>
      </c>
      <c r="E9393">
        <v>2019</v>
      </c>
      <c r="F9393">
        <v>1</v>
      </c>
      <c r="G9393">
        <v>14179</v>
      </c>
      <c r="H9393" s="1">
        <v>3</v>
      </c>
      <c r="I9393">
        <v>20</v>
      </c>
      <c r="J9393">
        <f>IF($H9393=0,1,IF($I9393&lt;=1,2,0))</f>
        <v>0</v>
      </c>
      <c r="K9393">
        <v>6</v>
      </c>
      <c r="L9393">
        <f>IF(AND($J9393=0,$K9393=0),0,1)</f>
        <v>1</v>
      </c>
    </row>
    <row r="9394" spans="1:13" x14ac:dyDescent="0.2">
      <c r="A9394" t="s">
        <v>498</v>
      </c>
      <c r="B9394" t="s">
        <v>381</v>
      </c>
      <c r="C9394" t="s">
        <v>382</v>
      </c>
      <c r="D9394">
        <v>6285</v>
      </c>
      <c r="E9394">
        <v>2019</v>
      </c>
      <c r="F9394">
        <v>1</v>
      </c>
      <c r="G9394">
        <v>14180</v>
      </c>
      <c r="H9394" s="1">
        <v>3</v>
      </c>
      <c r="I9394">
        <v>23</v>
      </c>
      <c r="J9394">
        <f>IF($H9394=0,1,IF($I9394&lt;=1,2,0))</f>
        <v>0</v>
      </c>
      <c r="K9394">
        <v>6</v>
      </c>
      <c r="L9394">
        <f>IF(AND($J9394=0,$K9394=0),0,1)</f>
        <v>1</v>
      </c>
    </row>
    <row r="9395" spans="1:13" x14ac:dyDescent="0.2">
      <c r="A9395" t="s">
        <v>498</v>
      </c>
      <c r="B9395" t="s">
        <v>381</v>
      </c>
      <c r="C9395" t="s">
        <v>382</v>
      </c>
      <c r="D9395">
        <v>6301</v>
      </c>
      <c r="E9395">
        <v>2019</v>
      </c>
      <c r="F9395">
        <v>1</v>
      </c>
      <c r="G9395">
        <v>14181</v>
      </c>
      <c r="H9395" s="1">
        <v>3</v>
      </c>
      <c r="I9395">
        <v>40</v>
      </c>
      <c r="J9395">
        <f>IF($H9395=0,1,IF($I9395&lt;=1,2,0))</f>
        <v>0</v>
      </c>
      <c r="K9395">
        <v>6</v>
      </c>
      <c r="L9395">
        <f>IF(AND($J9395=0,$K9395=0),0,1)</f>
        <v>1</v>
      </c>
    </row>
    <row r="9396" spans="1:13" x14ac:dyDescent="0.2">
      <c r="A9396" t="s">
        <v>498</v>
      </c>
      <c r="B9396" t="s">
        <v>381</v>
      </c>
      <c r="C9396" t="s">
        <v>382</v>
      </c>
      <c r="D9396">
        <v>6301</v>
      </c>
      <c r="E9396">
        <v>2019</v>
      </c>
      <c r="F9396" t="s">
        <v>59</v>
      </c>
      <c r="G9396">
        <v>14182</v>
      </c>
      <c r="H9396" s="1">
        <v>0</v>
      </c>
      <c r="I9396">
        <v>0</v>
      </c>
      <c r="J9396">
        <f>IF($H9396=0,1,IF($I9396&lt;=1,2,0))</f>
        <v>1</v>
      </c>
      <c r="K9396">
        <v>6</v>
      </c>
      <c r="L9396">
        <f>IF(AND($J9396=0,$K9396=0),0,1)</f>
        <v>1</v>
      </c>
      <c r="M9396" t="s">
        <v>384</v>
      </c>
    </row>
    <row r="9397" spans="1:13" x14ac:dyDescent="0.2">
      <c r="A9397" t="s">
        <v>498</v>
      </c>
      <c r="B9397" t="s">
        <v>381</v>
      </c>
      <c r="C9397" t="s">
        <v>382</v>
      </c>
      <c r="D9397">
        <v>6327</v>
      </c>
      <c r="E9397">
        <v>2019</v>
      </c>
      <c r="F9397">
        <v>1</v>
      </c>
      <c r="G9397">
        <v>14184</v>
      </c>
      <c r="H9397" s="1">
        <v>3</v>
      </c>
      <c r="I9397">
        <v>25</v>
      </c>
      <c r="J9397">
        <f>IF($H9397=0,1,IF($I9397&lt;=1,2,0))</f>
        <v>0</v>
      </c>
      <c r="K9397">
        <v>6</v>
      </c>
      <c r="L9397">
        <f>IF(AND($J9397=0,$K9397=0),0,1)</f>
        <v>1</v>
      </c>
    </row>
    <row r="9398" spans="1:13" x14ac:dyDescent="0.2">
      <c r="A9398" t="s">
        <v>498</v>
      </c>
      <c r="B9398" t="s">
        <v>381</v>
      </c>
      <c r="C9398" t="s">
        <v>382</v>
      </c>
      <c r="D9398">
        <v>6335</v>
      </c>
      <c r="E9398">
        <v>2019</v>
      </c>
      <c r="F9398">
        <v>1</v>
      </c>
      <c r="G9398">
        <v>14185</v>
      </c>
      <c r="H9398" s="1">
        <v>3</v>
      </c>
      <c r="I9398">
        <v>20</v>
      </c>
      <c r="J9398">
        <f>IF($H9398=0,1,IF($I9398&lt;=1,2,0))</f>
        <v>0</v>
      </c>
      <c r="K9398">
        <v>6</v>
      </c>
      <c r="L9398">
        <f>IF(AND($J9398=0,$K9398=0),0,1)</f>
        <v>1</v>
      </c>
    </row>
    <row r="9399" spans="1:13" x14ac:dyDescent="0.2">
      <c r="A9399" t="s">
        <v>498</v>
      </c>
      <c r="B9399" t="s">
        <v>381</v>
      </c>
      <c r="C9399" t="s">
        <v>382</v>
      </c>
      <c r="D9399">
        <v>6344</v>
      </c>
      <c r="E9399">
        <v>2019</v>
      </c>
      <c r="F9399">
        <v>1</v>
      </c>
      <c r="G9399">
        <v>14186</v>
      </c>
      <c r="H9399" s="1">
        <v>3</v>
      </c>
      <c r="I9399">
        <v>16</v>
      </c>
      <c r="J9399">
        <f>IF($H9399=0,1,IF($I9399&lt;=1,2,0))</f>
        <v>0</v>
      </c>
      <c r="K9399">
        <v>6</v>
      </c>
      <c r="L9399">
        <f>IF(AND($J9399=0,$K9399=0),0,1)</f>
        <v>1</v>
      </c>
    </row>
    <row r="9400" spans="1:13" x14ac:dyDescent="0.2">
      <c r="A9400" t="s">
        <v>498</v>
      </c>
      <c r="B9400" t="s">
        <v>381</v>
      </c>
      <c r="C9400" t="s">
        <v>382</v>
      </c>
      <c r="D9400">
        <v>6346</v>
      </c>
      <c r="E9400">
        <v>2019</v>
      </c>
      <c r="F9400">
        <v>1</v>
      </c>
      <c r="G9400">
        <v>14187</v>
      </c>
      <c r="H9400" s="1">
        <v>3</v>
      </c>
      <c r="I9400">
        <v>28</v>
      </c>
      <c r="J9400">
        <f>IF($H9400=0,1,IF($I9400&lt;=1,2,0))</f>
        <v>0</v>
      </c>
      <c r="K9400">
        <v>6</v>
      </c>
      <c r="L9400">
        <f>IF(AND($J9400=0,$K9400=0),0,1)</f>
        <v>1</v>
      </c>
      <c r="M9400" t="s">
        <v>510</v>
      </c>
    </row>
    <row r="9401" spans="1:13" x14ac:dyDescent="0.2">
      <c r="A9401" t="s">
        <v>498</v>
      </c>
      <c r="B9401" t="s">
        <v>381</v>
      </c>
      <c r="C9401" t="s">
        <v>382</v>
      </c>
      <c r="D9401">
        <v>6348</v>
      </c>
      <c r="E9401">
        <v>2019</v>
      </c>
      <c r="F9401">
        <v>1</v>
      </c>
      <c r="G9401">
        <v>14197</v>
      </c>
      <c r="H9401" s="1">
        <v>1.5</v>
      </c>
      <c r="I9401">
        <v>17</v>
      </c>
      <c r="J9401">
        <f>IF($H9401=0,1,IF($I9401&lt;=1,2,0))</f>
        <v>0</v>
      </c>
      <c r="K9401">
        <v>6</v>
      </c>
      <c r="L9401">
        <f>IF(AND($J9401=0,$K9401=0),0,1)</f>
        <v>1</v>
      </c>
      <c r="M9401" t="s">
        <v>505</v>
      </c>
    </row>
    <row r="9402" spans="1:13" x14ac:dyDescent="0.2">
      <c r="A9402" t="s">
        <v>498</v>
      </c>
      <c r="B9402" t="s">
        <v>381</v>
      </c>
      <c r="C9402" t="s">
        <v>382</v>
      </c>
      <c r="D9402">
        <v>6349</v>
      </c>
      <c r="E9402">
        <v>2019</v>
      </c>
      <c r="F9402">
        <v>1</v>
      </c>
      <c r="G9402">
        <v>14198</v>
      </c>
      <c r="H9402" s="1">
        <v>3</v>
      </c>
      <c r="I9402">
        <v>8</v>
      </c>
      <c r="J9402">
        <f>IF($H9402=0,1,IF($I9402&lt;=1,2,0))</f>
        <v>0</v>
      </c>
      <c r="K9402">
        <v>6</v>
      </c>
      <c r="L9402">
        <f>IF(AND($J9402=0,$K9402=0),0,1)</f>
        <v>1</v>
      </c>
    </row>
    <row r="9403" spans="1:13" x14ac:dyDescent="0.2">
      <c r="A9403" t="s">
        <v>498</v>
      </c>
      <c r="B9403" t="s">
        <v>381</v>
      </c>
      <c r="C9403" t="s">
        <v>382</v>
      </c>
      <c r="D9403">
        <v>6351</v>
      </c>
      <c r="E9403">
        <v>2019</v>
      </c>
      <c r="F9403">
        <v>1</v>
      </c>
      <c r="G9403">
        <v>14199</v>
      </c>
      <c r="H9403" s="1">
        <v>1.5</v>
      </c>
      <c r="I9403">
        <v>21</v>
      </c>
      <c r="J9403">
        <f>IF($H9403=0,1,IF($I9403&lt;=1,2,0))</f>
        <v>0</v>
      </c>
      <c r="K9403">
        <v>6</v>
      </c>
      <c r="L9403">
        <f>IF(AND($J9403=0,$K9403=0),0,1)</f>
        <v>1</v>
      </c>
      <c r="M9403" t="s">
        <v>511</v>
      </c>
    </row>
    <row r="9404" spans="1:13" x14ac:dyDescent="0.2">
      <c r="A9404" t="s">
        <v>498</v>
      </c>
      <c r="B9404" t="s">
        <v>381</v>
      </c>
      <c r="C9404" t="s">
        <v>382</v>
      </c>
      <c r="D9404">
        <v>6361</v>
      </c>
      <c r="E9404">
        <v>2019</v>
      </c>
      <c r="F9404">
        <v>1</v>
      </c>
      <c r="G9404">
        <v>14200</v>
      </c>
      <c r="H9404" s="1">
        <v>1.5</v>
      </c>
      <c r="I9404">
        <v>24</v>
      </c>
      <c r="J9404">
        <f>IF($H9404=0,1,IF($I9404&lt;=1,2,0))</f>
        <v>0</v>
      </c>
      <c r="K9404">
        <v>6</v>
      </c>
      <c r="L9404">
        <f>IF(AND($J9404=0,$K9404=0),0,1)</f>
        <v>1</v>
      </c>
      <c r="M9404" t="s">
        <v>1938</v>
      </c>
    </row>
    <row r="9405" spans="1:13" x14ac:dyDescent="0.2">
      <c r="A9405" t="s">
        <v>498</v>
      </c>
      <c r="B9405" t="s">
        <v>381</v>
      </c>
      <c r="C9405" t="s">
        <v>382</v>
      </c>
      <c r="D9405">
        <v>6374</v>
      </c>
      <c r="E9405">
        <v>2019</v>
      </c>
      <c r="F9405">
        <v>1</v>
      </c>
      <c r="G9405">
        <v>14201</v>
      </c>
      <c r="H9405" s="1">
        <v>3</v>
      </c>
      <c r="I9405">
        <v>30</v>
      </c>
      <c r="J9405">
        <f>IF($H9405=0,1,IF($I9405&lt;=1,2,0))</f>
        <v>0</v>
      </c>
      <c r="K9405">
        <v>6</v>
      </c>
      <c r="L9405">
        <f>IF(AND($J9405=0,$K9405=0),0,1)</f>
        <v>1</v>
      </c>
    </row>
    <row r="9406" spans="1:13" x14ac:dyDescent="0.2">
      <c r="A9406" t="s">
        <v>498</v>
      </c>
      <c r="B9406" t="s">
        <v>381</v>
      </c>
      <c r="C9406" t="s">
        <v>382</v>
      </c>
      <c r="D9406">
        <v>6375</v>
      </c>
      <c r="E9406">
        <v>2019</v>
      </c>
      <c r="F9406">
        <v>1</v>
      </c>
      <c r="G9406">
        <v>16426</v>
      </c>
      <c r="H9406" s="1">
        <v>1.5</v>
      </c>
      <c r="I9406">
        <v>14</v>
      </c>
      <c r="J9406">
        <f>IF($H9406=0,1,IF($I9406&lt;=1,2,0))</f>
        <v>0</v>
      </c>
      <c r="K9406">
        <v>6</v>
      </c>
      <c r="L9406">
        <f>IF(AND($J9406=0,$K9406=0),0,1)</f>
        <v>1</v>
      </c>
      <c r="M9406" t="s">
        <v>1939</v>
      </c>
    </row>
    <row r="9407" spans="1:13" x14ac:dyDescent="0.2">
      <c r="A9407" t="s">
        <v>498</v>
      </c>
      <c r="B9407" t="s">
        <v>381</v>
      </c>
      <c r="C9407" t="s">
        <v>382</v>
      </c>
      <c r="D9407">
        <v>6388</v>
      </c>
      <c r="E9407">
        <v>2019</v>
      </c>
      <c r="F9407">
        <v>1</v>
      </c>
      <c r="G9407">
        <v>14202</v>
      </c>
      <c r="H9407" s="1">
        <v>3</v>
      </c>
      <c r="I9407">
        <v>20</v>
      </c>
      <c r="J9407">
        <f>IF($H9407=0,1,IF($I9407&lt;=1,2,0))</f>
        <v>0</v>
      </c>
      <c r="K9407">
        <v>6</v>
      </c>
      <c r="L9407">
        <f>IF(AND($J9407=0,$K9407=0),0,1)</f>
        <v>1</v>
      </c>
    </row>
    <row r="9408" spans="1:13" x14ac:dyDescent="0.2">
      <c r="A9408" t="s">
        <v>498</v>
      </c>
      <c r="B9408" t="s">
        <v>381</v>
      </c>
      <c r="C9408" t="s">
        <v>382</v>
      </c>
      <c r="D9408">
        <v>6391</v>
      </c>
      <c r="E9408">
        <v>2019</v>
      </c>
      <c r="F9408">
        <v>1</v>
      </c>
      <c r="G9408">
        <v>14203</v>
      </c>
      <c r="H9408" s="1">
        <v>3</v>
      </c>
      <c r="I9408">
        <v>23</v>
      </c>
      <c r="J9408">
        <f>IF($H9408=0,1,IF($I9408&lt;=1,2,0))</f>
        <v>0</v>
      </c>
      <c r="K9408">
        <v>6</v>
      </c>
      <c r="L9408">
        <f>IF(AND($J9408=0,$K9408=0),0,1)</f>
        <v>1</v>
      </c>
      <c r="M9408" t="s">
        <v>512</v>
      </c>
    </row>
    <row r="9409" spans="1:13" x14ac:dyDescent="0.2">
      <c r="A9409" t="s">
        <v>498</v>
      </c>
      <c r="B9409" t="s">
        <v>381</v>
      </c>
      <c r="C9409" t="s">
        <v>382</v>
      </c>
      <c r="D9409">
        <v>6394</v>
      </c>
      <c r="E9409">
        <v>2019</v>
      </c>
      <c r="F9409">
        <v>1</v>
      </c>
      <c r="G9409">
        <v>14205</v>
      </c>
      <c r="H9409" s="1">
        <v>3</v>
      </c>
      <c r="I9409">
        <v>12</v>
      </c>
      <c r="J9409">
        <f>IF($H9409=0,1,IF($I9409&lt;=1,2,0))</f>
        <v>0</v>
      </c>
      <c r="K9409">
        <v>6</v>
      </c>
      <c r="L9409">
        <f>IF(AND($J9409=0,$K9409=0),0,1)</f>
        <v>1</v>
      </c>
    </row>
    <row r="9410" spans="1:13" x14ac:dyDescent="0.2">
      <c r="A9410" t="s">
        <v>498</v>
      </c>
      <c r="B9410" t="s">
        <v>381</v>
      </c>
      <c r="C9410" t="s">
        <v>382</v>
      </c>
      <c r="D9410">
        <v>6405</v>
      </c>
      <c r="E9410">
        <v>2019</v>
      </c>
      <c r="F9410">
        <v>1</v>
      </c>
      <c r="G9410">
        <v>14227</v>
      </c>
      <c r="H9410" s="1">
        <v>3</v>
      </c>
      <c r="I9410">
        <v>23</v>
      </c>
      <c r="J9410">
        <f>IF($H9410=0,1,IF($I9410&lt;=1,2,0))</f>
        <v>0</v>
      </c>
      <c r="K9410">
        <v>6</v>
      </c>
      <c r="L9410">
        <f>IF(AND($J9410=0,$K9410=0),0,1)</f>
        <v>1</v>
      </c>
    </row>
    <row r="9411" spans="1:13" x14ac:dyDescent="0.2">
      <c r="A9411" t="s">
        <v>498</v>
      </c>
      <c r="B9411" t="s">
        <v>381</v>
      </c>
      <c r="C9411" t="s">
        <v>382</v>
      </c>
      <c r="D9411">
        <v>6430</v>
      </c>
      <c r="E9411">
        <v>2019</v>
      </c>
      <c r="F9411">
        <v>1</v>
      </c>
      <c r="G9411">
        <v>14228</v>
      </c>
      <c r="H9411" s="1">
        <v>3</v>
      </c>
      <c r="I9411">
        <v>21</v>
      </c>
      <c r="J9411">
        <f>IF($H9411=0,1,IF($I9411&lt;=1,2,0))</f>
        <v>0</v>
      </c>
      <c r="K9411">
        <v>6</v>
      </c>
      <c r="L9411">
        <f>IF(AND($J9411=0,$K9411=0),0,1)</f>
        <v>1</v>
      </c>
    </row>
    <row r="9412" spans="1:13" x14ac:dyDescent="0.2">
      <c r="A9412" t="s">
        <v>498</v>
      </c>
      <c r="B9412" t="s">
        <v>381</v>
      </c>
      <c r="C9412" t="s">
        <v>382</v>
      </c>
      <c r="D9412">
        <v>6489</v>
      </c>
      <c r="E9412">
        <v>2019</v>
      </c>
      <c r="F9412">
        <v>1</v>
      </c>
      <c r="G9412">
        <v>14965</v>
      </c>
      <c r="H9412" s="1">
        <v>3</v>
      </c>
      <c r="I9412">
        <v>21</v>
      </c>
      <c r="J9412">
        <f>IF($H9412=0,1,IF($I9412&lt;=1,2,0))</f>
        <v>0</v>
      </c>
      <c r="K9412">
        <v>6</v>
      </c>
      <c r="L9412">
        <f>IF(AND($J9412=0,$K9412=0),0,1)</f>
        <v>1</v>
      </c>
    </row>
    <row r="9413" spans="1:13" x14ac:dyDescent="0.2">
      <c r="A9413" t="s">
        <v>498</v>
      </c>
      <c r="B9413" t="s">
        <v>381</v>
      </c>
      <c r="C9413" t="s">
        <v>382</v>
      </c>
      <c r="D9413">
        <v>6490</v>
      </c>
      <c r="E9413">
        <v>2019</v>
      </c>
      <c r="F9413">
        <v>1</v>
      </c>
      <c r="G9413">
        <v>14229</v>
      </c>
      <c r="H9413" s="1">
        <v>1.5</v>
      </c>
      <c r="I9413">
        <v>15</v>
      </c>
      <c r="J9413">
        <f>IF($H9413=0,1,IF($I9413&lt;=1,2,0))</f>
        <v>0</v>
      </c>
      <c r="K9413">
        <v>6</v>
      </c>
      <c r="L9413">
        <f>IF(AND($J9413=0,$K9413=0),0,1)</f>
        <v>1</v>
      </c>
      <c r="M9413" t="s">
        <v>1940</v>
      </c>
    </row>
    <row r="9414" spans="1:13" x14ac:dyDescent="0.2">
      <c r="A9414" t="s">
        <v>498</v>
      </c>
      <c r="B9414" t="s">
        <v>381</v>
      </c>
      <c r="C9414" t="s">
        <v>382</v>
      </c>
      <c r="D9414">
        <v>6493</v>
      </c>
      <c r="E9414">
        <v>2019</v>
      </c>
      <c r="F9414">
        <v>1</v>
      </c>
      <c r="G9414">
        <v>14230</v>
      </c>
      <c r="H9414" s="1">
        <v>3</v>
      </c>
      <c r="I9414">
        <v>14</v>
      </c>
      <c r="J9414">
        <f>IF($H9414=0,1,IF($I9414&lt;=1,2,0))</f>
        <v>0</v>
      </c>
      <c r="K9414">
        <v>6</v>
      </c>
      <c r="L9414">
        <f>IF(AND($J9414=0,$K9414=0),0,1)</f>
        <v>1</v>
      </c>
    </row>
    <row r="9415" spans="1:13" x14ac:dyDescent="0.2">
      <c r="A9415" t="s">
        <v>498</v>
      </c>
      <c r="B9415" t="s">
        <v>381</v>
      </c>
      <c r="C9415" t="s">
        <v>382</v>
      </c>
      <c r="D9415">
        <v>6494</v>
      </c>
      <c r="E9415">
        <v>2019</v>
      </c>
      <c r="F9415">
        <v>1</v>
      </c>
      <c r="G9415">
        <v>14231</v>
      </c>
      <c r="H9415" s="1">
        <v>3</v>
      </c>
      <c r="I9415">
        <v>6</v>
      </c>
      <c r="J9415">
        <f>IF($H9415=0,1,IF($I9415&lt;=1,2,0))</f>
        <v>0</v>
      </c>
      <c r="K9415">
        <v>6</v>
      </c>
      <c r="L9415">
        <f>IF(AND($J9415=0,$K9415=0),0,1)</f>
        <v>1</v>
      </c>
    </row>
    <row r="9416" spans="1:13" x14ac:dyDescent="0.2">
      <c r="A9416" t="s">
        <v>498</v>
      </c>
      <c r="B9416" t="s">
        <v>381</v>
      </c>
      <c r="C9416" t="s">
        <v>382</v>
      </c>
      <c r="D9416">
        <v>6511</v>
      </c>
      <c r="E9416">
        <v>2019</v>
      </c>
      <c r="F9416">
        <v>1</v>
      </c>
      <c r="G9416">
        <v>14233</v>
      </c>
      <c r="H9416" s="1">
        <v>1.5</v>
      </c>
      <c r="I9416">
        <v>30</v>
      </c>
      <c r="J9416">
        <f>IF($H9416=0,1,IF($I9416&lt;=1,2,0))</f>
        <v>0</v>
      </c>
      <c r="K9416">
        <v>6</v>
      </c>
      <c r="L9416">
        <f>IF(AND($J9416=0,$K9416=0),0,1)</f>
        <v>1</v>
      </c>
      <c r="M9416" t="s">
        <v>513</v>
      </c>
    </row>
    <row r="9417" spans="1:13" x14ac:dyDescent="0.2">
      <c r="A9417" t="s">
        <v>498</v>
      </c>
      <c r="B9417" t="s">
        <v>381</v>
      </c>
      <c r="C9417" t="s">
        <v>382</v>
      </c>
      <c r="D9417">
        <v>6518</v>
      </c>
      <c r="E9417">
        <v>2019</v>
      </c>
      <c r="F9417">
        <v>1</v>
      </c>
      <c r="G9417">
        <v>14234</v>
      </c>
      <c r="H9417" s="1">
        <v>3</v>
      </c>
      <c r="I9417">
        <v>9</v>
      </c>
      <c r="J9417">
        <f>IF($H9417=0,1,IF($I9417&lt;=1,2,0))</f>
        <v>0</v>
      </c>
      <c r="K9417">
        <v>6</v>
      </c>
      <c r="L9417">
        <f>IF(AND($J9417=0,$K9417=0),0,1)</f>
        <v>1</v>
      </c>
      <c r="M9417" t="s">
        <v>514</v>
      </c>
    </row>
    <row r="9418" spans="1:13" x14ac:dyDescent="0.2">
      <c r="A9418" t="s">
        <v>498</v>
      </c>
      <c r="B9418" t="s">
        <v>381</v>
      </c>
      <c r="C9418" t="s">
        <v>382</v>
      </c>
      <c r="D9418">
        <v>6521</v>
      </c>
      <c r="E9418">
        <v>2019</v>
      </c>
      <c r="F9418">
        <v>1</v>
      </c>
      <c r="G9418">
        <v>14235</v>
      </c>
      <c r="H9418" s="1">
        <v>3</v>
      </c>
      <c r="I9418">
        <v>23</v>
      </c>
      <c r="J9418">
        <f>IF($H9418=0,1,IF($I9418&lt;=1,2,0))</f>
        <v>0</v>
      </c>
      <c r="K9418">
        <v>6</v>
      </c>
      <c r="L9418">
        <f>IF(AND($J9418=0,$K9418=0),0,1)</f>
        <v>1</v>
      </c>
    </row>
    <row r="9419" spans="1:13" x14ac:dyDescent="0.2">
      <c r="A9419" t="s">
        <v>498</v>
      </c>
      <c r="B9419" t="s">
        <v>381</v>
      </c>
      <c r="C9419" t="s">
        <v>382</v>
      </c>
      <c r="D9419">
        <v>6571</v>
      </c>
      <c r="E9419">
        <v>2019</v>
      </c>
      <c r="F9419">
        <v>1</v>
      </c>
      <c r="G9419">
        <v>14236</v>
      </c>
      <c r="H9419" s="1">
        <v>3</v>
      </c>
      <c r="I9419">
        <v>20</v>
      </c>
      <c r="J9419">
        <f>IF($H9419=0,1,IF($I9419&lt;=1,2,0))</f>
        <v>0</v>
      </c>
      <c r="K9419">
        <v>6</v>
      </c>
      <c r="L9419">
        <f>IF(AND($J9419=0,$K9419=0),0,1)</f>
        <v>1</v>
      </c>
    </row>
    <row r="9420" spans="1:13" x14ac:dyDescent="0.2">
      <c r="A9420" t="s">
        <v>498</v>
      </c>
      <c r="B9420" t="s">
        <v>381</v>
      </c>
      <c r="C9420" t="s">
        <v>382</v>
      </c>
      <c r="D9420">
        <v>6604</v>
      </c>
      <c r="E9420">
        <v>2019</v>
      </c>
      <c r="F9420">
        <v>1</v>
      </c>
      <c r="G9420">
        <v>14237</v>
      </c>
      <c r="H9420" s="1">
        <v>3</v>
      </c>
      <c r="I9420">
        <v>20</v>
      </c>
      <c r="J9420">
        <f>IF($H9420=0,1,IF($I9420&lt;=1,2,0))</f>
        <v>0</v>
      </c>
      <c r="K9420">
        <v>6</v>
      </c>
      <c r="L9420">
        <f>IF(AND($J9420=0,$K9420=0),0,1)</f>
        <v>1</v>
      </c>
    </row>
    <row r="9421" spans="1:13" x14ac:dyDescent="0.2">
      <c r="A9421" t="s">
        <v>498</v>
      </c>
      <c r="B9421" t="s">
        <v>381</v>
      </c>
      <c r="C9421" t="s">
        <v>382</v>
      </c>
      <c r="D9421">
        <v>6605</v>
      </c>
      <c r="E9421">
        <v>2019</v>
      </c>
      <c r="F9421">
        <v>1</v>
      </c>
      <c r="G9421">
        <v>14238</v>
      </c>
      <c r="H9421" s="1">
        <v>3</v>
      </c>
      <c r="I9421">
        <v>10</v>
      </c>
      <c r="J9421">
        <f>IF($H9421=0,1,IF($I9421&lt;=1,2,0))</f>
        <v>0</v>
      </c>
      <c r="K9421">
        <v>6</v>
      </c>
      <c r="L9421">
        <f>IF(AND($J9421=0,$K9421=0),0,1)</f>
        <v>1</v>
      </c>
    </row>
    <row r="9422" spans="1:13" x14ac:dyDescent="0.2">
      <c r="A9422" t="s">
        <v>498</v>
      </c>
      <c r="B9422" t="s">
        <v>381</v>
      </c>
      <c r="C9422" t="s">
        <v>382</v>
      </c>
      <c r="D9422">
        <v>6616</v>
      </c>
      <c r="E9422">
        <v>2019</v>
      </c>
      <c r="F9422">
        <v>1</v>
      </c>
      <c r="G9422">
        <v>14239</v>
      </c>
      <c r="H9422" s="1">
        <v>3</v>
      </c>
      <c r="I9422">
        <v>9</v>
      </c>
      <c r="J9422">
        <f>IF($H9422=0,1,IF($I9422&lt;=1,2,0))</f>
        <v>0</v>
      </c>
      <c r="K9422">
        <v>6</v>
      </c>
      <c r="L9422">
        <f>IF(AND($J9422=0,$K9422=0),0,1)</f>
        <v>1</v>
      </c>
    </row>
    <row r="9423" spans="1:13" x14ac:dyDescent="0.2">
      <c r="A9423" t="s">
        <v>498</v>
      </c>
      <c r="B9423" t="s">
        <v>381</v>
      </c>
      <c r="C9423" t="s">
        <v>382</v>
      </c>
      <c r="D9423">
        <v>6616</v>
      </c>
      <c r="E9423">
        <v>2019</v>
      </c>
      <c r="F9423" t="s">
        <v>59</v>
      </c>
      <c r="G9423">
        <v>15164</v>
      </c>
      <c r="H9423" s="1">
        <v>0</v>
      </c>
      <c r="I9423">
        <v>0</v>
      </c>
      <c r="J9423">
        <f>IF($H9423=0,1,IF($I9423&lt;=1,2,0))</f>
        <v>1</v>
      </c>
      <c r="K9423">
        <v>6</v>
      </c>
      <c r="L9423">
        <f>IF(AND($J9423=0,$K9423=0),0,1)</f>
        <v>1</v>
      </c>
      <c r="M9423" t="s">
        <v>384</v>
      </c>
    </row>
    <row r="9424" spans="1:13" x14ac:dyDescent="0.2">
      <c r="A9424" t="s">
        <v>498</v>
      </c>
      <c r="B9424" t="s">
        <v>381</v>
      </c>
      <c r="C9424" t="s">
        <v>382</v>
      </c>
      <c r="D9424">
        <v>6621</v>
      </c>
      <c r="E9424">
        <v>2019</v>
      </c>
      <c r="F9424">
        <v>1</v>
      </c>
      <c r="G9424">
        <v>14240</v>
      </c>
      <c r="H9424" s="1">
        <v>3</v>
      </c>
      <c r="I9424">
        <v>6</v>
      </c>
      <c r="J9424">
        <f>IF($H9424=0,1,IF($I9424&lt;=1,2,0))</f>
        <v>0</v>
      </c>
      <c r="K9424">
        <v>6</v>
      </c>
      <c r="L9424">
        <f>IF(AND($J9424=0,$K9424=0),0,1)</f>
        <v>1</v>
      </c>
    </row>
    <row r="9425" spans="1:13" x14ac:dyDescent="0.2">
      <c r="A9425" t="s">
        <v>498</v>
      </c>
      <c r="B9425" t="s">
        <v>381</v>
      </c>
      <c r="C9425" t="s">
        <v>382</v>
      </c>
      <c r="D9425">
        <v>6680</v>
      </c>
      <c r="E9425">
        <v>2019</v>
      </c>
      <c r="F9425">
        <v>1</v>
      </c>
      <c r="G9425">
        <v>14241</v>
      </c>
      <c r="H9425" s="1">
        <v>3</v>
      </c>
      <c r="I9425">
        <v>25</v>
      </c>
      <c r="J9425">
        <f>IF($H9425=0,1,IF($I9425&lt;=1,2,0))</f>
        <v>0</v>
      </c>
      <c r="K9425">
        <v>6</v>
      </c>
      <c r="L9425">
        <f>IF(AND($J9425=0,$K9425=0),0,1)</f>
        <v>1</v>
      </c>
    </row>
    <row r="9426" spans="1:13" x14ac:dyDescent="0.2">
      <c r="A9426" t="s">
        <v>498</v>
      </c>
      <c r="B9426" t="s">
        <v>381</v>
      </c>
      <c r="C9426" t="s">
        <v>382</v>
      </c>
      <c r="D9426">
        <v>6735</v>
      </c>
      <c r="E9426">
        <v>2019</v>
      </c>
      <c r="F9426">
        <v>1</v>
      </c>
      <c r="G9426">
        <v>14242</v>
      </c>
      <c r="H9426" s="1">
        <v>3</v>
      </c>
      <c r="I9426">
        <v>9</v>
      </c>
      <c r="J9426">
        <f>IF($H9426=0,1,IF($I9426&lt;=1,2,0))</f>
        <v>0</v>
      </c>
      <c r="K9426">
        <v>6</v>
      </c>
      <c r="L9426">
        <f>IF(AND($J9426=0,$K9426=0),0,1)</f>
        <v>1</v>
      </c>
    </row>
    <row r="9427" spans="1:13" x14ac:dyDescent="0.2">
      <c r="A9427" t="s">
        <v>498</v>
      </c>
      <c r="B9427" t="s">
        <v>381</v>
      </c>
      <c r="C9427" t="s">
        <v>382</v>
      </c>
      <c r="D9427">
        <v>6745</v>
      </c>
      <c r="E9427">
        <v>2019</v>
      </c>
      <c r="F9427">
        <v>1</v>
      </c>
      <c r="G9427">
        <v>14964</v>
      </c>
      <c r="H9427" s="1">
        <v>1.5</v>
      </c>
      <c r="I9427">
        <v>14</v>
      </c>
      <c r="J9427">
        <f>IF($H9427=0,1,IF($I9427&lt;=1,2,0))</f>
        <v>0</v>
      </c>
      <c r="K9427">
        <v>6</v>
      </c>
      <c r="L9427">
        <f>IF(AND($J9427=0,$K9427=0),0,1)</f>
        <v>1</v>
      </c>
      <c r="M9427" t="s">
        <v>511</v>
      </c>
    </row>
    <row r="9428" spans="1:13" x14ac:dyDescent="0.2">
      <c r="A9428" t="s">
        <v>498</v>
      </c>
      <c r="B9428" t="s">
        <v>381</v>
      </c>
      <c r="C9428" t="s">
        <v>382</v>
      </c>
      <c r="D9428">
        <v>6751</v>
      </c>
      <c r="E9428">
        <v>2019</v>
      </c>
      <c r="F9428">
        <v>1</v>
      </c>
      <c r="G9428">
        <v>14243</v>
      </c>
      <c r="H9428" s="1">
        <v>3</v>
      </c>
      <c r="I9428">
        <v>29</v>
      </c>
      <c r="J9428">
        <f>IF($H9428=0,1,IF($I9428&lt;=1,2,0))</f>
        <v>0</v>
      </c>
      <c r="K9428">
        <v>6</v>
      </c>
      <c r="L9428">
        <f>IF(AND($J9428=0,$K9428=0),0,1)</f>
        <v>1</v>
      </c>
    </row>
    <row r="9429" spans="1:13" x14ac:dyDescent="0.2">
      <c r="A9429" t="s">
        <v>498</v>
      </c>
      <c r="B9429" t="s">
        <v>381</v>
      </c>
      <c r="C9429" t="s">
        <v>382</v>
      </c>
      <c r="D9429">
        <v>6751</v>
      </c>
      <c r="E9429">
        <v>2019</v>
      </c>
      <c r="F9429" t="s">
        <v>59</v>
      </c>
      <c r="G9429">
        <v>14244</v>
      </c>
      <c r="H9429" s="1">
        <v>0</v>
      </c>
      <c r="I9429">
        <v>0</v>
      </c>
      <c r="J9429">
        <f>IF($H9429=0,1,IF($I9429&lt;=1,2,0))</f>
        <v>1</v>
      </c>
      <c r="K9429">
        <v>6</v>
      </c>
      <c r="L9429">
        <f>IF(AND($J9429=0,$K9429=0),0,1)</f>
        <v>1</v>
      </c>
      <c r="M9429" t="s">
        <v>384</v>
      </c>
    </row>
    <row r="9430" spans="1:13" x14ac:dyDescent="0.2">
      <c r="A9430" t="s">
        <v>498</v>
      </c>
      <c r="B9430" t="s">
        <v>381</v>
      </c>
      <c r="C9430" t="s">
        <v>382</v>
      </c>
      <c r="D9430">
        <v>6765</v>
      </c>
      <c r="E9430">
        <v>2019</v>
      </c>
      <c r="F9430">
        <v>1</v>
      </c>
      <c r="G9430">
        <v>14245</v>
      </c>
      <c r="H9430" s="1">
        <v>1.5</v>
      </c>
      <c r="I9430">
        <v>20</v>
      </c>
      <c r="J9430">
        <f>IF($H9430=0,1,IF($I9430&lt;=1,2,0))</f>
        <v>0</v>
      </c>
      <c r="K9430">
        <v>6</v>
      </c>
      <c r="L9430">
        <f>IF(AND($J9430=0,$K9430=0),0,1)</f>
        <v>1</v>
      </c>
      <c r="M9430" t="s">
        <v>1941</v>
      </c>
    </row>
    <row r="9431" spans="1:13" x14ac:dyDescent="0.2">
      <c r="A9431" t="s">
        <v>498</v>
      </c>
      <c r="B9431" t="s">
        <v>381</v>
      </c>
      <c r="C9431" t="s">
        <v>382</v>
      </c>
      <c r="D9431">
        <v>6786</v>
      </c>
      <c r="E9431">
        <v>2019</v>
      </c>
      <c r="F9431">
        <v>1</v>
      </c>
      <c r="G9431">
        <v>15346</v>
      </c>
      <c r="H9431" s="1">
        <v>1.5</v>
      </c>
      <c r="I9431">
        <v>17</v>
      </c>
      <c r="J9431">
        <f>IF($H9431=0,1,IF($I9431&lt;=1,2,0))</f>
        <v>0</v>
      </c>
      <c r="K9431">
        <v>6</v>
      </c>
      <c r="L9431">
        <f>IF(AND($J9431=0,$K9431=0),0,1)</f>
        <v>1</v>
      </c>
      <c r="M9431" t="s">
        <v>515</v>
      </c>
    </row>
    <row r="9432" spans="1:13" x14ac:dyDescent="0.2">
      <c r="A9432" t="s">
        <v>498</v>
      </c>
      <c r="B9432" t="s">
        <v>381</v>
      </c>
      <c r="C9432" t="s">
        <v>382</v>
      </c>
      <c r="D9432">
        <v>6796</v>
      </c>
      <c r="E9432">
        <v>2019</v>
      </c>
      <c r="F9432">
        <v>1</v>
      </c>
      <c r="G9432">
        <v>14246</v>
      </c>
      <c r="H9432" s="1">
        <v>3</v>
      </c>
      <c r="I9432">
        <v>0</v>
      </c>
      <c r="J9432">
        <f>IF($H9432=0,1,IF($I9432&lt;=1,2,0))</f>
        <v>2</v>
      </c>
      <c r="K9432">
        <v>6</v>
      </c>
      <c r="L9432">
        <f>IF(AND($J9432=0,$K9432=0),0,1)</f>
        <v>1</v>
      </c>
    </row>
    <row r="9433" spans="1:13" x14ac:dyDescent="0.2">
      <c r="A9433" t="s">
        <v>498</v>
      </c>
      <c r="B9433" t="s">
        <v>381</v>
      </c>
      <c r="C9433" t="s">
        <v>382</v>
      </c>
      <c r="D9433">
        <v>6798</v>
      </c>
      <c r="E9433">
        <v>2019</v>
      </c>
      <c r="F9433">
        <v>1</v>
      </c>
      <c r="G9433">
        <v>14247</v>
      </c>
      <c r="H9433" s="1">
        <v>3</v>
      </c>
      <c r="I9433">
        <v>26</v>
      </c>
      <c r="J9433">
        <f>IF($H9433=0,1,IF($I9433&lt;=1,2,0))</f>
        <v>0</v>
      </c>
      <c r="K9433">
        <v>6</v>
      </c>
      <c r="L9433">
        <f>IF(AND($J9433=0,$K9433=0),0,1)</f>
        <v>1</v>
      </c>
    </row>
    <row r="9434" spans="1:13" x14ac:dyDescent="0.2">
      <c r="A9434" t="s">
        <v>498</v>
      </c>
      <c r="B9434" t="s">
        <v>381</v>
      </c>
      <c r="C9434" t="s">
        <v>382</v>
      </c>
      <c r="D9434">
        <v>6802</v>
      </c>
      <c r="E9434">
        <v>2019</v>
      </c>
      <c r="F9434">
        <v>1</v>
      </c>
      <c r="G9434">
        <v>14248</v>
      </c>
      <c r="H9434" s="1">
        <v>3</v>
      </c>
      <c r="I9434">
        <v>17</v>
      </c>
      <c r="J9434">
        <f>IF($H9434=0,1,IF($I9434&lt;=1,2,0))</f>
        <v>0</v>
      </c>
      <c r="K9434">
        <v>6</v>
      </c>
      <c r="L9434">
        <f>IF(AND($J9434=0,$K9434=0),0,1)</f>
        <v>1</v>
      </c>
    </row>
    <row r="9435" spans="1:13" x14ac:dyDescent="0.2">
      <c r="A9435" t="s">
        <v>498</v>
      </c>
      <c r="B9435" t="s">
        <v>381</v>
      </c>
      <c r="C9435" t="s">
        <v>382</v>
      </c>
      <c r="D9435">
        <v>6802</v>
      </c>
      <c r="E9435">
        <v>2019</v>
      </c>
      <c r="F9435" t="s">
        <v>59</v>
      </c>
      <c r="G9435">
        <v>14249</v>
      </c>
      <c r="H9435" s="1">
        <v>0</v>
      </c>
      <c r="I9435">
        <v>0</v>
      </c>
      <c r="J9435">
        <f>IF($H9435=0,1,IF($I9435&lt;=1,2,0))</f>
        <v>1</v>
      </c>
      <c r="K9435">
        <v>6</v>
      </c>
      <c r="L9435">
        <f>IF(AND($J9435=0,$K9435=0),0,1)</f>
        <v>1</v>
      </c>
      <c r="M9435" t="s">
        <v>384</v>
      </c>
    </row>
    <row r="9436" spans="1:13" x14ac:dyDescent="0.2">
      <c r="A9436" t="s">
        <v>498</v>
      </c>
      <c r="B9436" t="s">
        <v>381</v>
      </c>
      <c r="C9436" t="s">
        <v>382</v>
      </c>
      <c r="D9436">
        <v>6820</v>
      </c>
      <c r="E9436">
        <v>2019</v>
      </c>
      <c r="F9436">
        <v>1</v>
      </c>
      <c r="G9436">
        <v>14280</v>
      </c>
      <c r="H9436" s="1">
        <v>3</v>
      </c>
      <c r="I9436">
        <v>50</v>
      </c>
      <c r="J9436">
        <f>IF($H9436=0,1,IF($I9436&lt;=1,2,0))</f>
        <v>0</v>
      </c>
      <c r="K9436">
        <v>6</v>
      </c>
      <c r="L9436">
        <f>IF(AND($J9436=0,$K9436=0),0,1)</f>
        <v>1</v>
      </c>
    </row>
    <row r="9437" spans="1:13" x14ac:dyDescent="0.2">
      <c r="A9437" t="s">
        <v>498</v>
      </c>
      <c r="B9437" t="s">
        <v>381</v>
      </c>
      <c r="C9437" t="s">
        <v>382</v>
      </c>
      <c r="D9437">
        <v>6827</v>
      </c>
      <c r="E9437">
        <v>2019</v>
      </c>
      <c r="F9437">
        <v>1</v>
      </c>
      <c r="G9437">
        <v>14281</v>
      </c>
      <c r="H9437" s="1">
        <v>3</v>
      </c>
      <c r="I9437">
        <v>34</v>
      </c>
      <c r="J9437">
        <f>IF($H9437=0,1,IF($I9437&lt;=1,2,0))</f>
        <v>0</v>
      </c>
      <c r="K9437">
        <v>6</v>
      </c>
      <c r="L9437">
        <f>IF(AND($J9437=0,$K9437=0),0,1)</f>
        <v>1</v>
      </c>
      <c r="M9437" t="s">
        <v>508</v>
      </c>
    </row>
    <row r="9438" spans="1:13" x14ac:dyDescent="0.2">
      <c r="A9438" t="s">
        <v>498</v>
      </c>
      <c r="B9438" t="s">
        <v>381</v>
      </c>
      <c r="C9438" t="s">
        <v>382</v>
      </c>
      <c r="D9438">
        <v>6827</v>
      </c>
      <c r="E9438">
        <v>2019</v>
      </c>
      <c r="F9438">
        <v>3</v>
      </c>
      <c r="G9438">
        <v>14206</v>
      </c>
      <c r="H9438" s="1">
        <v>3</v>
      </c>
      <c r="I9438">
        <v>34</v>
      </c>
      <c r="J9438">
        <f>IF($H9438=0,1,IF($I9438&lt;=1,2,0))</f>
        <v>0</v>
      </c>
      <c r="K9438">
        <v>6</v>
      </c>
      <c r="L9438">
        <f>IF(AND($J9438=0,$K9438=0),0,1)</f>
        <v>1</v>
      </c>
      <c r="M9438" t="s">
        <v>508</v>
      </c>
    </row>
    <row r="9439" spans="1:13" x14ac:dyDescent="0.2">
      <c r="A9439" t="s">
        <v>498</v>
      </c>
      <c r="B9439" t="s">
        <v>381</v>
      </c>
      <c r="C9439" t="s">
        <v>382</v>
      </c>
      <c r="D9439">
        <v>6827</v>
      </c>
      <c r="E9439">
        <v>2019</v>
      </c>
      <c r="F9439">
        <v>2</v>
      </c>
      <c r="G9439">
        <v>14282</v>
      </c>
      <c r="H9439" s="1">
        <v>3</v>
      </c>
      <c r="I9439">
        <v>30</v>
      </c>
      <c r="J9439">
        <f>IF($H9439=0,1,IF($I9439&lt;=1,2,0))</f>
        <v>0</v>
      </c>
      <c r="K9439">
        <v>6</v>
      </c>
      <c r="L9439">
        <f>IF(AND($J9439=0,$K9439=0),0,1)</f>
        <v>1</v>
      </c>
      <c r="M9439" t="s">
        <v>508</v>
      </c>
    </row>
    <row r="9440" spans="1:13" x14ac:dyDescent="0.2">
      <c r="A9440" t="s">
        <v>498</v>
      </c>
      <c r="B9440" t="s">
        <v>381</v>
      </c>
      <c r="C9440" t="s">
        <v>382</v>
      </c>
      <c r="D9440">
        <v>6827</v>
      </c>
      <c r="E9440">
        <v>2019</v>
      </c>
      <c r="F9440" t="s">
        <v>59</v>
      </c>
      <c r="G9440">
        <v>14283</v>
      </c>
      <c r="H9440" s="1">
        <v>0</v>
      </c>
      <c r="I9440">
        <v>0</v>
      </c>
      <c r="J9440">
        <f>IF($H9440=0,1,IF($I9440&lt;=1,2,0))</f>
        <v>1</v>
      </c>
      <c r="K9440">
        <v>6</v>
      </c>
      <c r="L9440">
        <f>IF(AND($J9440=0,$K9440=0),0,1)</f>
        <v>1</v>
      </c>
      <c r="M9440" t="s">
        <v>384</v>
      </c>
    </row>
    <row r="9441" spans="1:13" x14ac:dyDescent="0.2">
      <c r="A9441" t="s">
        <v>498</v>
      </c>
      <c r="B9441" t="s">
        <v>381</v>
      </c>
      <c r="C9441" t="s">
        <v>382</v>
      </c>
      <c r="D9441">
        <v>6827</v>
      </c>
      <c r="E9441">
        <v>2019</v>
      </c>
      <c r="F9441" t="s">
        <v>60</v>
      </c>
      <c r="G9441">
        <v>14284</v>
      </c>
      <c r="H9441" s="1">
        <v>0</v>
      </c>
      <c r="I9441">
        <v>0</v>
      </c>
      <c r="J9441">
        <f>IF($H9441=0,1,IF($I9441&lt;=1,2,0))</f>
        <v>1</v>
      </c>
      <c r="K9441">
        <v>6</v>
      </c>
      <c r="L9441">
        <f>IF(AND($J9441=0,$K9441=0),0,1)</f>
        <v>1</v>
      </c>
      <c r="M9441" t="s">
        <v>384</v>
      </c>
    </row>
    <row r="9442" spans="1:13" x14ac:dyDescent="0.2">
      <c r="A9442" t="s">
        <v>498</v>
      </c>
      <c r="B9442" t="s">
        <v>381</v>
      </c>
      <c r="C9442" t="s">
        <v>382</v>
      </c>
      <c r="D9442">
        <v>6827</v>
      </c>
      <c r="E9442">
        <v>2019</v>
      </c>
      <c r="F9442" t="s">
        <v>77</v>
      </c>
      <c r="G9442">
        <v>14285</v>
      </c>
      <c r="H9442" s="1">
        <v>0</v>
      </c>
      <c r="I9442">
        <v>0</v>
      </c>
      <c r="J9442">
        <f>IF($H9442=0,1,IF($I9442&lt;=1,2,0))</f>
        <v>1</v>
      </c>
      <c r="K9442">
        <v>6</v>
      </c>
      <c r="L9442">
        <f>IF(AND($J9442=0,$K9442=0),0,1)</f>
        <v>1</v>
      </c>
      <c r="M9442" t="s">
        <v>384</v>
      </c>
    </row>
    <row r="9443" spans="1:13" x14ac:dyDescent="0.2">
      <c r="A9443" t="s">
        <v>498</v>
      </c>
      <c r="B9443" t="s">
        <v>381</v>
      </c>
      <c r="C9443" t="s">
        <v>382</v>
      </c>
      <c r="D9443">
        <v>6848</v>
      </c>
      <c r="E9443">
        <v>2019</v>
      </c>
      <c r="F9443">
        <v>1</v>
      </c>
      <c r="G9443">
        <v>17743</v>
      </c>
      <c r="H9443" s="1">
        <v>1.5</v>
      </c>
      <c r="I9443">
        <v>19</v>
      </c>
      <c r="J9443">
        <f>IF($H9443=0,1,IF($I9443&lt;=1,2,0))</f>
        <v>0</v>
      </c>
      <c r="K9443">
        <v>6</v>
      </c>
      <c r="L9443">
        <f>IF(AND($J9443=0,$K9443=0),0,1)</f>
        <v>1</v>
      </c>
      <c r="M9443" t="s">
        <v>516</v>
      </c>
    </row>
    <row r="9444" spans="1:13" x14ac:dyDescent="0.2">
      <c r="A9444" t="s">
        <v>498</v>
      </c>
      <c r="B9444" t="s">
        <v>381</v>
      </c>
      <c r="C9444" t="s">
        <v>382</v>
      </c>
      <c r="D9444">
        <v>6871</v>
      </c>
      <c r="E9444">
        <v>2019</v>
      </c>
      <c r="F9444">
        <v>1</v>
      </c>
      <c r="G9444">
        <v>14286</v>
      </c>
      <c r="H9444" s="1">
        <v>3</v>
      </c>
      <c r="I9444">
        <v>64</v>
      </c>
      <c r="J9444">
        <f>IF($H9444=0,1,IF($I9444&lt;=1,2,0))</f>
        <v>0</v>
      </c>
      <c r="K9444">
        <v>6</v>
      </c>
      <c r="L9444">
        <f>IF(AND($J9444=0,$K9444=0),0,1)</f>
        <v>1</v>
      </c>
    </row>
    <row r="9445" spans="1:13" x14ac:dyDescent="0.2">
      <c r="A9445" t="s">
        <v>498</v>
      </c>
      <c r="B9445" t="s">
        <v>381</v>
      </c>
      <c r="C9445" t="s">
        <v>382</v>
      </c>
      <c r="D9445">
        <v>6898</v>
      </c>
      <c r="E9445">
        <v>2019</v>
      </c>
      <c r="F9445">
        <v>1</v>
      </c>
      <c r="G9445">
        <v>14287</v>
      </c>
      <c r="H9445" s="1">
        <v>3</v>
      </c>
      <c r="I9445">
        <v>25</v>
      </c>
      <c r="J9445">
        <f>IF($H9445=0,1,IF($I9445&lt;=1,2,0))</f>
        <v>0</v>
      </c>
      <c r="K9445">
        <v>6</v>
      </c>
      <c r="L9445">
        <f>IF(AND($J9445=0,$K9445=0),0,1)</f>
        <v>1</v>
      </c>
    </row>
    <row r="9446" spans="1:13" x14ac:dyDescent="0.2">
      <c r="A9446" t="s">
        <v>498</v>
      </c>
      <c r="B9446" t="s">
        <v>381</v>
      </c>
      <c r="C9446" t="s">
        <v>382</v>
      </c>
      <c r="D9446">
        <v>6898</v>
      </c>
      <c r="E9446">
        <v>2019</v>
      </c>
      <c r="F9446">
        <v>2</v>
      </c>
      <c r="G9446">
        <v>14288</v>
      </c>
      <c r="H9446" s="1">
        <v>3</v>
      </c>
      <c r="I9446">
        <v>20</v>
      </c>
      <c r="J9446">
        <f>IF($H9446=0,1,IF($I9446&lt;=1,2,0))</f>
        <v>0</v>
      </c>
      <c r="K9446">
        <v>6</v>
      </c>
      <c r="L9446">
        <f>IF(AND($J9446=0,$K9446=0),0,1)</f>
        <v>1</v>
      </c>
    </row>
    <row r="9447" spans="1:13" x14ac:dyDescent="0.2">
      <c r="A9447" t="s">
        <v>498</v>
      </c>
      <c r="B9447" t="s">
        <v>381</v>
      </c>
      <c r="C9447" t="s">
        <v>382</v>
      </c>
      <c r="D9447">
        <v>6905</v>
      </c>
      <c r="E9447">
        <v>2019</v>
      </c>
      <c r="F9447">
        <v>1</v>
      </c>
      <c r="G9447">
        <v>14967</v>
      </c>
      <c r="H9447" s="1">
        <v>1.5</v>
      </c>
      <c r="I9447">
        <v>15</v>
      </c>
      <c r="J9447">
        <f>IF($H9447=0,1,IF($I9447&lt;=1,2,0))</f>
        <v>0</v>
      </c>
      <c r="K9447">
        <v>6</v>
      </c>
      <c r="L9447">
        <f>IF(AND($J9447=0,$K9447=0),0,1)</f>
        <v>1</v>
      </c>
      <c r="M9447" t="s">
        <v>511</v>
      </c>
    </row>
    <row r="9448" spans="1:13" x14ac:dyDescent="0.2">
      <c r="A9448" t="s">
        <v>498</v>
      </c>
      <c r="B9448" t="s">
        <v>381</v>
      </c>
      <c r="C9448" t="s">
        <v>382</v>
      </c>
      <c r="D9448">
        <v>6914</v>
      </c>
      <c r="E9448">
        <v>2019</v>
      </c>
      <c r="F9448">
        <v>1</v>
      </c>
      <c r="G9448">
        <v>14291</v>
      </c>
      <c r="H9448" s="1">
        <v>3</v>
      </c>
      <c r="I9448">
        <v>24</v>
      </c>
      <c r="J9448">
        <f>IF($H9448=0,1,IF($I9448&lt;=1,2,0))</f>
        <v>0</v>
      </c>
      <c r="K9448">
        <v>6</v>
      </c>
      <c r="L9448">
        <f>IF(AND($J9448=0,$K9448=0),0,1)</f>
        <v>1</v>
      </c>
    </row>
    <row r="9449" spans="1:13" x14ac:dyDescent="0.2">
      <c r="A9449" t="s">
        <v>498</v>
      </c>
      <c r="B9449" t="s">
        <v>381</v>
      </c>
      <c r="C9449" t="s">
        <v>382</v>
      </c>
      <c r="D9449">
        <v>6921</v>
      </c>
      <c r="E9449">
        <v>2019</v>
      </c>
      <c r="F9449">
        <v>1</v>
      </c>
      <c r="G9449">
        <v>14292</v>
      </c>
      <c r="H9449" s="1">
        <v>3</v>
      </c>
      <c r="I9449">
        <v>12</v>
      </c>
      <c r="J9449">
        <f>IF($H9449=0,1,IF($I9449&lt;=1,2,0))</f>
        <v>0</v>
      </c>
      <c r="K9449">
        <v>6</v>
      </c>
      <c r="L9449">
        <f>IF(AND($J9449=0,$K9449=0),0,1)</f>
        <v>1</v>
      </c>
    </row>
    <row r="9450" spans="1:13" x14ac:dyDescent="0.2">
      <c r="A9450" t="s">
        <v>498</v>
      </c>
      <c r="B9450" t="s">
        <v>381</v>
      </c>
      <c r="C9450" t="s">
        <v>382</v>
      </c>
      <c r="D9450">
        <v>6935</v>
      </c>
      <c r="E9450">
        <v>2019</v>
      </c>
      <c r="F9450">
        <v>1</v>
      </c>
      <c r="G9450">
        <v>14963</v>
      </c>
      <c r="H9450" s="1">
        <v>3</v>
      </c>
      <c r="I9450">
        <v>13</v>
      </c>
      <c r="J9450">
        <f>IF($H9450=0,1,IF($I9450&lt;=1,2,0))</f>
        <v>0</v>
      </c>
      <c r="K9450">
        <v>6</v>
      </c>
      <c r="L9450">
        <f>IF(AND($J9450=0,$K9450=0),0,1)</f>
        <v>1</v>
      </c>
    </row>
    <row r="9451" spans="1:13" x14ac:dyDescent="0.2">
      <c r="A9451" t="s">
        <v>498</v>
      </c>
      <c r="B9451" t="s">
        <v>381</v>
      </c>
      <c r="C9451" t="s">
        <v>382</v>
      </c>
      <c r="D9451">
        <v>6946</v>
      </c>
      <c r="E9451">
        <v>2019</v>
      </c>
      <c r="F9451">
        <v>1</v>
      </c>
      <c r="G9451">
        <v>14293</v>
      </c>
      <c r="H9451" s="1">
        <v>1.5</v>
      </c>
      <c r="I9451">
        <v>23</v>
      </c>
      <c r="J9451">
        <f>IF($H9451=0,1,IF($I9451&lt;=1,2,0))</f>
        <v>0</v>
      </c>
      <c r="K9451">
        <v>6</v>
      </c>
      <c r="L9451">
        <f>IF(AND($J9451=0,$K9451=0),0,1)</f>
        <v>1</v>
      </c>
      <c r="M9451" t="s">
        <v>516</v>
      </c>
    </row>
    <row r="9452" spans="1:13" x14ac:dyDescent="0.2">
      <c r="A9452" t="s">
        <v>498</v>
      </c>
      <c r="B9452" t="s">
        <v>381</v>
      </c>
      <c r="C9452" t="s">
        <v>382</v>
      </c>
      <c r="D9452">
        <v>6950</v>
      </c>
      <c r="E9452">
        <v>2019</v>
      </c>
      <c r="F9452">
        <v>1</v>
      </c>
      <c r="G9452">
        <v>14294</v>
      </c>
      <c r="H9452" s="1">
        <v>3</v>
      </c>
      <c r="I9452">
        <v>12</v>
      </c>
      <c r="J9452">
        <f>IF($H9452=0,1,IF($I9452&lt;=1,2,0))</f>
        <v>0</v>
      </c>
      <c r="K9452">
        <v>6</v>
      </c>
      <c r="L9452">
        <f>IF(AND($J9452=0,$K9452=0),0,1)</f>
        <v>1</v>
      </c>
    </row>
    <row r="9453" spans="1:13" x14ac:dyDescent="0.2">
      <c r="A9453" t="s">
        <v>498</v>
      </c>
      <c r="B9453" t="s">
        <v>381</v>
      </c>
      <c r="C9453" t="s">
        <v>382</v>
      </c>
      <c r="D9453">
        <v>6950</v>
      </c>
      <c r="E9453">
        <v>2019</v>
      </c>
      <c r="F9453">
        <v>3</v>
      </c>
      <c r="G9453">
        <v>14296</v>
      </c>
      <c r="H9453" s="1">
        <v>3</v>
      </c>
      <c r="I9453">
        <v>12</v>
      </c>
      <c r="J9453">
        <f>IF($H9453=0,1,IF($I9453&lt;=1,2,0))</f>
        <v>0</v>
      </c>
      <c r="K9453">
        <v>6</v>
      </c>
      <c r="L9453">
        <f>IF(AND($J9453=0,$K9453=0),0,1)</f>
        <v>1</v>
      </c>
    </row>
    <row r="9454" spans="1:13" x14ac:dyDescent="0.2">
      <c r="A9454" t="s">
        <v>498</v>
      </c>
      <c r="B9454" t="s">
        <v>381</v>
      </c>
      <c r="C9454" t="s">
        <v>382</v>
      </c>
      <c r="D9454">
        <v>6950</v>
      </c>
      <c r="E9454">
        <v>2019</v>
      </c>
      <c r="F9454">
        <v>2</v>
      </c>
      <c r="G9454">
        <v>14295</v>
      </c>
      <c r="H9454" s="1">
        <v>3</v>
      </c>
      <c r="I9454">
        <v>9</v>
      </c>
      <c r="J9454">
        <f>IF($H9454=0,1,IF($I9454&lt;=1,2,0))</f>
        <v>0</v>
      </c>
      <c r="K9454">
        <v>6</v>
      </c>
      <c r="L9454">
        <f>IF(AND($J9454=0,$K9454=0),0,1)</f>
        <v>1</v>
      </c>
    </row>
    <row r="9455" spans="1:13" x14ac:dyDescent="0.2">
      <c r="A9455" t="s">
        <v>498</v>
      </c>
      <c r="B9455" t="s">
        <v>381</v>
      </c>
      <c r="C9455" t="s">
        <v>382</v>
      </c>
      <c r="D9455">
        <v>8085</v>
      </c>
      <c r="E9455">
        <v>2019</v>
      </c>
      <c r="F9455">
        <v>1</v>
      </c>
      <c r="G9455">
        <v>14297</v>
      </c>
      <c r="H9455" s="1">
        <v>1.5</v>
      </c>
      <c r="I9455">
        <v>13</v>
      </c>
      <c r="J9455">
        <f>IF($H9455=0,1,IF($I9455&lt;=1,2,0))</f>
        <v>0</v>
      </c>
      <c r="K9455">
        <v>6</v>
      </c>
      <c r="L9455">
        <f>IF(AND($J9455=0,$K9455=0),0,1)</f>
        <v>1</v>
      </c>
      <c r="M9455" t="s">
        <v>517</v>
      </c>
    </row>
    <row r="9456" spans="1:13" x14ac:dyDescent="0.2">
      <c r="A9456" t="s">
        <v>498</v>
      </c>
      <c r="B9456" t="s">
        <v>381</v>
      </c>
      <c r="C9456" t="s">
        <v>382</v>
      </c>
      <c r="D9456">
        <v>8104</v>
      </c>
      <c r="E9456">
        <v>2019</v>
      </c>
      <c r="F9456">
        <v>1</v>
      </c>
      <c r="G9456">
        <v>14299</v>
      </c>
      <c r="H9456" s="1">
        <v>3</v>
      </c>
      <c r="I9456">
        <v>10</v>
      </c>
      <c r="J9456">
        <f>IF($H9456=0,1,IF($I9456&lt;=1,2,0))</f>
        <v>0</v>
      </c>
      <c r="K9456">
        <v>6</v>
      </c>
      <c r="L9456">
        <f>IF(AND($J9456=0,$K9456=0),0,1)</f>
        <v>1</v>
      </c>
    </row>
    <row r="9457" spans="1:13" x14ac:dyDescent="0.2">
      <c r="A9457" t="s">
        <v>498</v>
      </c>
      <c r="B9457" t="s">
        <v>381</v>
      </c>
      <c r="C9457" t="s">
        <v>382</v>
      </c>
      <c r="D9457">
        <v>8147</v>
      </c>
      <c r="E9457">
        <v>2019</v>
      </c>
      <c r="F9457">
        <v>1</v>
      </c>
      <c r="G9457">
        <v>14882</v>
      </c>
      <c r="H9457" s="1">
        <v>3</v>
      </c>
      <c r="I9457">
        <v>8</v>
      </c>
      <c r="J9457">
        <f>IF($H9457=0,1,IF($I9457&lt;=1,2,0))</f>
        <v>0</v>
      </c>
      <c r="K9457">
        <v>6</v>
      </c>
      <c r="L9457">
        <f>IF(AND($J9457=0,$K9457=0),0,1)</f>
        <v>1</v>
      </c>
    </row>
    <row r="9458" spans="1:13" x14ac:dyDescent="0.2">
      <c r="A9458" t="s">
        <v>498</v>
      </c>
      <c r="B9458" t="s">
        <v>381</v>
      </c>
      <c r="C9458" t="s">
        <v>382</v>
      </c>
      <c r="D9458">
        <v>8201</v>
      </c>
      <c r="E9458">
        <v>2019</v>
      </c>
      <c r="F9458">
        <v>1</v>
      </c>
      <c r="G9458">
        <v>14300</v>
      </c>
      <c r="H9458" s="1">
        <v>1.5</v>
      </c>
      <c r="I9458">
        <v>13</v>
      </c>
      <c r="J9458">
        <f>IF($H9458=0,1,IF($I9458&lt;=1,2,0))</f>
        <v>0</v>
      </c>
      <c r="K9458">
        <v>6</v>
      </c>
      <c r="L9458">
        <f>IF(AND($J9458=0,$K9458=0),0,1)</f>
        <v>1</v>
      </c>
      <c r="M9458" t="s">
        <v>509</v>
      </c>
    </row>
    <row r="9459" spans="1:13" x14ac:dyDescent="0.2">
      <c r="A9459" t="s">
        <v>498</v>
      </c>
      <c r="B9459" t="s">
        <v>381</v>
      </c>
      <c r="C9459" t="s">
        <v>382</v>
      </c>
      <c r="D9459">
        <v>8210</v>
      </c>
      <c r="E9459">
        <v>2019</v>
      </c>
      <c r="F9459">
        <v>2</v>
      </c>
      <c r="G9459">
        <v>14302</v>
      </c>
      <c r="H9459" s="1">
        <v>1.5</v>
      </c>
      <c r="I9459">
        <v>21</v>
      </c>
      <c r="J9459">
        <f>IF($H9459=0,1,IF($I9459&lt;=1,2,0))</f>
        <v>0</v>
      </c>
      <c r="K9459">
        <v>6</v>
      </c>
      <c r="L9459">
        <f>IF(AND($J9459=0,$K9459=0),0,1)</f>
        <v>1</v>
      </c>
      <c r="M9459" t="s">
        <v>499</v>
      </c>
    </row>
    <row r="9460" spans="1:13" x14ac:dyDescent="0.2">
      <c r="A9460" t="s">
        <v>498</v>
      </c>
      <c r="B9460" t="s">
        <v>381</v>
      </c>
      <c r="C9460" t="s">
        <v>382</v>
      </c>
      <c r="D9460">
        <v>8210</v>
      </c>
      <c r="E9460">
        <v>2019</v>
      </c>
      <c r="F9460">
        <v>1</v>
      </c>
      <c r="G9460">
        <v>14301</v>
      </c>
      <c r="H9460" s="1">
        <v>1.5</v>
      </c>
      <c r="I9460">
        <v>16</v>
      </c>
      <c r="J9460">
        <f>IF($H9460=0,1,IF($I9460&lt;=1,2,0))</f>
        <v>0</v>
      </c>
      <c r="K9460">
        <v>6</v>
      </c>
      <c r="L9460">
        <f>IF(AND($J9460=0,$K9460=0),0,1)</f>
        <v>1</v>
      </c>
      <c r="M9460" t="s">
        <v>499</v>
      </c>
    </row>
    <row r="9461" spans="1:13" x14ac:dyDescent="0.2">
      <c r="A9461" t="s">
        <v>498</v>
      </c>
      <c r="B9461" t="s">
        <v>381</v>
      </c>
      <c r="C9461" t="s">
        <v>382</v>
      </c>
      <c r="D9461">
        <v>8217</v>
      </c>
      <c r="E9461">
        <v>2019</v>
      </c>
      <c r="F9461">
        <v>1</v>
      </c>
      <c r="G9461">
        <v>17295</v>
      </c>
      <c r="H9461" s="1">
        <v>3</v>
      </c>
      <c r="I9461">
        <v>7</v>
      </c>
      <c r="J9461">
        <f>IF($H9461=0,1,IF($I9461&lt;=1,2,0))</f>
        <v>0</v>
      </c>
      <c r="K9461">
        <v>6</v>
      </c>
      <c r="L9461">
        <f>IF(AND($J9461=0,$K9461=0),0,1)</f>
        <v>1</v>
      </c>
    </row>
    <row r="9462" spans="1:13" x14ac:dyDescent="0.2">
      <c r="A9462" t="s">
        <v>498</v>
      </c>
      <c r="B9462" t="s">
        <v>381</v>
      </c>
      <c r="C9462" t="s">
        <v>382</v>
      </c>
      <c r="D9462">
        <v>8246</v>
      </c>
      <c r="E9462">
        <v>2019</v>
      </c>
      <c r="F9462">
        <v>1</v>
      </c>
      <c r="G9462">
        <v>14303</v>
      </c>
      <c r="H9462" s="1">
        <v>3</v>
      </c>
      <c r="I9462">
        <v>13</v>
      </c>
      <c r="J9462">
        <f>IF($H9462=0,1,IF($I9462&lt;=1,2,0))</f>
        <v>0</v>
      </c>
      <c r="K9462">
        <v>6</v>
      </c>
      <c r="L9462">
        <f>IF(AND($J9462=0,$K9462=0),0,1)</f>
        <v>1</v>
      </c>
    </row>
    <row r="9463" spans="1:13" x14ac:dyDescent="0.2">
      <c r="A9463" t="s">
        <v>498</v>
      </c>
      <c r="B9463" t="s">
        <v>381</v>
      </c>
      <c r="C9463" t="s">
        <v>382</v>
      </c>
      <c r="D9463">
        <v>8254</v>
      </c>
      <c r="E9463">
        <v>2019</v>
      </c>
      <c r="F9463">
        <v>1</v>
      </c>
      <c r="G9463">
        <v>17296</v>
      </c>
      <c r="H9463" s="1">
        <v>1.5</v>
      </c>
      <c r="I9463">
        <v>5</v>
      </c>
      <c r="J9463">
        <f>IF($H9463=0,1,IF($I9463&lt;=1,2,0))</f>
        <v>0</v>
      </c>
      <c r="K9463">
        <v>6</v>
      </c>
      <c r="L9463">
        <f>IF(AND($J9463=0,$K9463=0),0,1)</f>
        <v>1</v>
      </c>
      <c r="M9463" t="s">
        <v>518</v>
      </c>
    </row>
    <row r="9464" spans="1:13" x14ac:dyDescent="0.2">
      <c r="A9464" t="s">
        <v>498</v>
      </c>
      <c r="B9464" t="s">
        <v>381</v>
      </c>
      <c r="C9464" t="s">
        <v>382</v>
      </c>
      <c r="D9464">
        <v>8345</v>
      </c>
      <c r="E9464">
        <v>2019</v>
      </c>
      <c r="F9464">
        <v>1</v>
      </c>
      <c r="G9464">
        <v>14305</v>
      </c>
      <c r="H9464" s="1">
        <v>3</v>
      </c>
      <c r="I9464">
        <v>7</v>
      </c>
      <c r="J9464">
        <f>IF($H9464=0,1,IF($I9464&lt;=1,2,0))</f>
        <v>0</v>
      </c>
      <c r="K9464">
        <v>6</v>
      </c>
      <c r="L9464">
        <f>IF(AND($J9464=0,$K9464=0),0,1)</f>
        <v>1</v>
      </c>
    </row>
    <row r="9465" spans="1:13" x14ac:dyDescent="0.2">
      <c r="A9465" t="s">
        <v>498</v>
      </c>
      <c r="B9465" t="s">
        <v>381</v>
      </c>
      <c r="C9465" t="s">
        <v>382</v>
      </c>
      <c r="D9465">
        <v>8346</v>
      </c>
      <c r="E9465">
        <v>2019</v>
      </c>
      <c r="F9465">
        <v>1</v>
      </c>
      <c r="G9465">
        <v>14306</v>
      </c>
      <c r="H9465" s="1">
        <v>3</v>
      </c>
      <c r="I9465">
        <v>12</v>
      </c>
      <c r="J9465">
        <f>IF($H9465=0,1,IF($I9465&lt;=1,2,0))</f>
        <v>0</v>
      </c>
      <c r="K9465">
        <v>6</v>
      </c>
      <c r="L9465">
        <f>IF(AND($J9465=0,$K9465=0),0,1)</f>
        <v>1</v>
      </c>
    </row>
    <row r="9466" spans="1:13" x14ac:dyDescent="0.2">
      <c r="A9466" t="s">
        <v>498</v>
      </c>
      <c r="B9466" t="s">
        <v>381</v>
      </c>
      <c r="C9466" t="s">
        <v>382</v>
      </c>
      <c r="D9466">
        <v>8350</v>
      </c>
      <c r="E9466">
        <v>2019</v>
      </c>
      <c r="F9466">
        <v>1</v>
      </c>
      <c r="G9466">
        <v>14307</v>
      </c>
      <c r="H9466" s="1">
        <v>3</v>
      </c>
      <c r="I9466">
        <v>18</v>
      </c>
      <c r="J9466">
        <f>IF($H9466=0,1,IF($I9466&lt;=1,2,0))</f>
        <v>0</v>
      </c>
      <c r="K9466">
        <v>6</v>
      </c>
      <c r="L9466">
        <f>IF(AND($J9466=0,$K9466=0),0,1)</f>
        <v>1</v>
      </c>
    </row>
    <row r="9467" spans="1:13" x14ac:dyDescent="0.2">
      <c r="A9467" t="s">
        <v>498</v>
      </c>
      <c r="B9467" t="s">
        <v>381</v>
      </c>
      <c r="C9467" t="s">
        <v>382</v>
      </c>
      <c r="D9467">
        <v>8488</v>
      </c>
      <c r="E9467">
        <v>2019</v>
      </c>
      <c r="F9467">
        <v>1</v>
      </c>
      <c r="G9467">
        <v>14309</v>
      </c>
      <c r="H9467" s="1">
        <v>3</v>
      </c>
      <c r="I9467">
        <v>23</v>
      </c>
      <c r="J9467">
        <f>IF($H9467=0,1,IF($I9467&lt;=1,2,0))</f>
        <v>0</v>
      </c>
      <c r="K9467">
        <v>6</v>
      </c>
      <c r="L9467">
        <f>IF(AND($J9467=0,$K9467=0),0,1)</f>
        <v>1</v>
      </c>
      <c r="M9467" t="s">
        <v>514</v>
      </c>
    </row>
    <row r="9468" spans="1:13" x14ac:dyDescent="0.2">
      <c r="A9468" t="s">
        <v>498</v>
      </c>
      <c r="B9468" t="s">
        <v>381</v>
      </c>
      <c r="C9468" t="s">
        <v>382</v>
      </c>
      <c r="D9468">
        <v>8507</v>
      </c>
      <c r="E9468">
        <v>2019</v>
      </c>
      <c r="F9468">
        <v>1</v>
      </c>
      <c r="G9468">
        <v>14310</v>
      </c>
      <c r="H9468" s="1">
        <v>3</v>
      </c>
      <c r="I9468">
        <v>17</v>
      </c>
      <c r="J9468">
        <f>IF($H9468=0,1,IF($I9468&lt;=1,2,0))</f>
        <v>0</v>
      </c>
      <c r="K9468">
        <v>6</v>
      </c>
      <c r="L9468">
        <f>IF(AND($J9468=0,$K9468=0),0,1)</f>
        <v>1</v>
      </c>
    </row>
    <row r="9469" spans="1:13" x14ac:dyDescent="0.2">
      <c r="A9469" t="s">
        <v>498</v>
      </c>
      <c r="B9469" t="s">
        <v>381</v>
      </c>
      <c r="C9469" t="s">
        <v>382</v>
      </c>
      <c r="D9469">
        <v>8508</v>
      </c>
      <c r="E9469">
        <v>2019</v>
      </c>
      <c r="F9469">
        <v>1</v>
      </c>
      <c r="G9469">
        <v>14311</v>
      </c>
      <c r="H9469" s="1">
        <v>3</v>
      </c>
      <c r="I9469">
        <v>10</v>
      </c>
      <c r="J9469">
        <f>IF($H9469=0,1,IF($I9469&lt;=1,2,0))</f>
        <v>0</v>
      </c>
      <c r="K9469">
        <v>6</v>
      </c>
      <c r="L9469">
        <f>IF(AND($J9469=0,$K9469=0),0,1)</f>
        <v>1</v>
      </c>
    </row>
    <row r="9470" spans="1:13" x14ac:dyDescent="0.2">
      <c r="A9470" t="s">
        <v>498</v>
      </c>
      <c r="B9470" t="s">
        <v>381</v>
      </c>
      <c r="C9470" t="s">
        <v>382</v>
      </c>
      <c r="D9470">
        <v>8560</v>
      </c>
      <c r="E9470">
        <v>2019</v>
      </c>
      <c r="F9470">
        <v>1</v>
      </c>
      <c r="G9470">
        <v>14312</v>
      </c>
      <c r="H9470" s="1">
        <v>3</v>
      </c>
      <c r="I9470">
        <v>19</v>
      </c>
      <c r="J9470">
        <f>IF($H9470=0,1,IF($I9470&lt;=1,2,0))</f>
        <v>0</v>
      </c>
      <c r="K9470">
        <v>6</v>
      </c>
      <c r="L9470">
        <f>IF(AND($J9470=0,$K9470=0),0,1)</f>
        <v>1</v>
      </c>
    </row>
    <row r="9471" spans="1:13" x14ac:dyDescent="0.2">
      <c r="A9471" t="s">
        <v>498</v>
      </c>
      <c r="B9471" t="s">
        <v>381</v>
      </c>
      <c r="C9471" t="s">
        <v>382</v>
      </c>
      <c r="D9471">
        <v>8675</v>
      </c>
      <c r="E9471">
        <v>2019</v>
      </c>
      <c r="F9471">
        <v>1</v>
      </c>
      <c r="G9471">
        <v>14313</v>
      </c>
      <c r="H9471" s="1">
        <v>3</v>
      </c>
      <c r="I9471">
        <v>31</v>
      </c>
      <c r="J9471">
        <f>IF($H9471=0,1,IF($I9471&lt;=1,2,0))</f>
        <v>0</v>
      </c>
      <c r="K9471">
        <v>6</v>
      </c>
      <c r="L9471">
        <f>IF(AND($J9471=0,$K9471=0),0,1)</f>
        <v>1</v>
      </c>
      <c r="M9471" t="s">
        <v>519</v>
      </c>
    </row>
    <row r="9472" spans="1:13" x14ac:dyDescent="0.2">
      <c r="A9472" t="s">
        <v>498</v>
      </c>
      <c r="B9472" t="s">
        <v>381</v>
      </c>
      <c r="C9472" t="s">
        <v>382</v>
      </c>
      <c r="D9472">
        <v>8689</v>
      </c>
      <c r="E9472">
        <v>2019</v>
      </c>
      <c r="F9472">
        <v>1</v>
      </c>
      <c r="G9472">
        <v>14314</v>
      </c>
      <c r="H9472" s="1">
        <v>3</v>
      </c>
      <c r="I9472">
        <v>29</v>
      </c>
      <c r="J9472">
        <f>IF($H9472=0,1,IF($I9472&lt;=1,2,0))</f>
        <v>0</v>
      </c>
      <c r="K9472">
        <v>6</v>
      </c>
      <c r="L9472">
        <f>IF(AND($J9472=0,$K9472=0),0,1)</f>
        <v>1</v>
      </c>
    </row>
    <row r="9473" spans="1:13" x14ac:dyDescent="0.2">
      <c r="A9473" t="s">
        <v>498</v>
      </c>
      <c r="B9473" t="s">
        <v>381</v>
      </c>
      <c r="C9473" t="s">
        <v>382</v>
      </c>
      <c r="D9473">
        <v>8818</v>
      </c>
      <c r="E9473">
        <v>2019</v>
      </c>
      <c r="F9473">
        <v>1</v>
      </c>
      <c r="G9473">
        <v>14315</v>
      </c>
      <c r="H9473" s="1">
        <v>3</v>
      </c>
      <c r="I9473">
        <v>13</v>
      </c>
      <c r="J9473">
        <f>IF($H9473=0,1,IF($I9473&lt;=1,2,0))</f>
        <v>0</v>
      </c>
      <c r="K9473">
        <v>6</v>
      </c>
      <c r="L9473">
        <f>IF(AND($J9473=0,$K9473=0),0,1)</f>
        <v>1</v>
      </c>
    </row>
    <row r="9474" spans="1:13" x14ac:dyDescent="0.2">
      <c r="A9474" t="s">
        <v>498</v>
      </c>
      <c r="B9474" t="s">
        <v>381</v>
      </c>
      <c r="C9474" t="s">
        <v>382</v>
      </c>
      <c r="D9474">
        <v>8876</v>
      </c>
      <c r="E9474">
        <v>2019</v>
      </c>
      <c r="F9474">
        <v>1</v>
      </c>
      <c r="G9474">
        <v>14316</v>
      </c>
      <c r="H9474" s="1">
        <v>1.5</v>
      </c>
      <c r="I9474">
        <v>18</v>
      </c>
      <c r="J9474">
        <f>IF($H9474=0,1,IF($I9474&lt;=1,2,0))</f>
        <v>0</v>
      </c>
      <c r="K9474">
        <v>6</v>
      </c>
      <c r="L9474">
        <f>IF(AND($J9474=0,$K9474=0),0,1)</f>
        <v>1</v>
      </c>
      <c r="M9474" t="s">
        <v>520</v>
      </c>
    </row>
    <row r="9475" spans="1:13" x14ac:dyDescent="0.2">
      <c r="A9475" t="s">
        <v>498</v>
      </c>
      <c r="B9475" t="s">
        <v>381</v>
      </c>
      <c r="C9475" t="s">
        <v>382</v>
      </c>
      <c r="D9475">
        <v>8886</v>
      </c>
      <c r="E9475">
        <v>2019</v>
      </c>
      <c r="F9475">
        <v>1</v>
      </c>
      <c r="G9475">
        <v>14317</v>
      </c>
      <c r="H9475" s="1">
        <v>1</v>
      </c>
      <c r="I9475">
        <v>23</v>
      </c>
      <c r="J9475">
        <f>IF($H9475=0,1,IF($I9475&lt;=1,2,0))</f>
        <v>0</v>
      </c>
      <c r="K9475">
        <v>6</v>
      </c>
      <c r="L9475">
        <f>IF(AND($J9475=0,$K9475=0),0,1)</f>
        <v>1</v>
      </c>
      <c r="M9475" t="s">
        <v>521</v>
      </c>
    </row>
    <row r="9476" spans="1:13" x14ac:dyDescent="0.2">
      <c r="A9476" t="s">
        <v>522</v>
      </c>
      <c r="B9476" t="s">
        <v>17</v>
      </c>
      <c r="C9476" t="s">
        <v>9</v>
      </c>
      <c r="D9476">
        <v>3101</v>
      </c>
      <c r="E9476">
        <v>2019</v>
      </c>
      <c r="F9476">
        <v>1</v>
      </c>
      <c r="G9476">
        <v>55402</v>
      </c>
      <c r="H9476" s="1">
        <v>3</v>
      </c>
      <c r="I9476">
        <v>0</v>
      </c>
      <c r="J9476">
        <f>IF($H9476=0,1,IF($I9476&lt;=1,2,0))</f>
        <v>2</v>
      </c>
      <c r="K9476">
        <v>0</v>
      </c>
      <c r="L9476">
        <f>IF(AND($J9476=0,$K9476=0),0,1)</f>
        <v>1</v>
      </c>
      <c r="M9476" t="s">
        <v>181</v>
      </c>
    </row>
    <row r="9477" spans="1:13" x14ac:dyDescent="0.2">
      <c r="A9477" t="s">
        <v>524</v>
      </c>
      <c r="B9477" t="s">
        <v>6</v>
      </c>
      <c r="C9477" t="s">
        <v>11</v>
      </c>
      <c r="D9477">
        <v>4999</v>
      </c>
      <c r="E9477">
        <v>2019</v>
      </c>
      <c r="F9477">
        <v>1</v>
      </c>
      <c r="G9477">
        <v>13332</v>
      </c>
      <c r="H9477" s="1">
        <v>4</v>
      </c>
      <c r="I9477">
        <v>1</v>
      </c>
      <c r="J9477">
        <f>IF($H9477=0,1,IF($I9477&lt;=1,2,0))</f>
        <v>2</v>
      </c>
      <c r="K9477">
        <v>9</v>
      </c>
      <c r="L9477">
        <f>IF(AND($J9477=0,$K9477=0),0,1)</f>
        <v>1</v>
      </c>
    </row>
    <row r="9478" spans="1:13" x14ac:dyDescent="0.2">
      <c r="A9478" t="s">
        <v>524</v>
      </c>
      <c r="B9478" t="s">
        <v>6</v>
      </c>
      <c r="C9478" t="s">
        <v>11</v>
      </c>
      <c r="D9478">
        <v>4999</v>
      </c>
      <c r="E9478">
        <v>2019</v>
      </c>
      <c r="F9478">
        <v>2</v>
      </c>
      <c r="G9478">
        <v>13331</v>
      </c>
      <c r="H9478" s="1">
        <v>4</v>
      </c>
      <c r="I9478">
        <v>1</v>
      </c>
      <c r="J9478">
        <f>IF($H9478=0,1,IF($I9478&lt;=1,2,0))</f>
        <v>2</v>
      </c>
      <c r="K9478">
        <v>9</v>
      </c>
      <c r="L9478">
        <f>IF(AND($J9478=0,$K9478=0),0,1)</f>
        <v>1</v>
      </c>
    </row>
    <row r="9479" spans="1:13" x14ac:dyDescent="0.2">
      <c r="A9479" t="s">
        <v>525</v>
      </c>
      <c r="B9479" t="s">
        <v>17</v>
      </c>
      <c r="C9479" t="s">
        <v>21</v>
      </c>
      <c r="D9479">
        <v>3993</v>
      </c>
      <c r="E9479">
        <v>2019</v>
      </c>
      <c r="F9479">
        <v>2</v>
      </c>
      <c r="G9479">
        <v>98170</v>
      </c>
      <c r="H9479" s="1">
        <v>3</v>
      </c>
      <c r="I9479">
        <v>1</v>
      </c>
      <c r="J9479">
        <f>IF($H9479=0,1,IF($I9479&lt;=1,2,0))</f>
        <v>2</v>
      </c>
      <c r="K9479">
        <v>0</v>
      </c>
      <c r="L9479">
        <f>IF(AND($J9479=0,$K9479=0),0,1)</f>
        <v>1</v>
      </c>
    </row>
    <row r="9480" spans="1:13" x14ac:dyDescent="0.2">
      <c r="A9480" t="s">
        <v>525</v>
      </c>
      <c r="B9480" t="s">
        <v>17</v>
      </c>
      <c r="C9480" t="s">
        <v>21</v>
      </c>
      <c r="D9480">
        <v>3993</v>
      </c>
      <c r="E9480">
        <v>2019</v>
      </c>
      <c r="F9480">
        <v>3</v>
      </c>
      <c r="G9480">
        <v>98168</v>
      </c>
      <c r="H9480" s="1">
        <v>3</v>
      </c>
      <c r="I9480">
        <v>0</v>
      </c>
      <c r="J9480">
        <f>IF($H9480=0,1,IF($I9480&lt;=1,2,0))</f>
        <v>2</v>
      </c>
      <c r="K9480">
        <v>0</v>
      </c>
      <c r="L9480">
        <f>IF(AND($J9480=0,$K9480=0),0,1)</f>
        <v>1</v>
      </c>
    </row>
    <row r="9481" spans="1:13" x14ac:dyDescent="0.2">
      <c r="A9481" t="s">
        <v>525</v>
      </c>
      <c r="B9481" t="s">
        <v>17</v>
      </c>
      <c r="C9481" t="s">
        <v>21</v>
      </c>
      <c r="D9481">
        <v>3993</v>
      </c>
      <c r="E9481">
        <v>2019</v>
      </c>
      <c r="F9481">
        <v>4</v>
      </c>
      <c r="G9481">
        <v>55090</v>
      </c>
      <c r="H9481" s="1">
        <v>3</v>
      </c>
      <c r="I9481">
        <v>0</v>
      </c>
      <c r="J9481">
        <f>IF($H9481=0,1,IF($I9481&lt;=1,2,0))</f>
        <v>2</v>
      </c>
      <c r="K9481">
        <v>0</v>
      </c>
      <c r="L9481">
        <f>IF(AND($J9481=0,$K9481=0),0,1)</f>
        <v>1</v>
      </c>
    </row>
    <row r="9482" spans="1:13" x14ac:dyDescent="0.2">
      <c r="A9482" t="s">
        <v>525</v>
      </c>
      <c r="B9482" t="s">
        <v>17</v>
      </c>
      <c r="C9482" t="s">
        <v>21</v>
      </c>
      <c r="D9482">
        <v>3993</v>
      </c>
      <c r="E9482">
        <v>2019</v>
      </c>
      <c r="F9482">
        <v>6</v>
      </c>
      <c r="G9482">
        <v>55091</v>
      </c>
      <c r="H9482" s="1">
        <v>3</v>
      </c>
      <c r="I9482">
        <v>0</v>
      </c>
      <c r="J9482">
        <f>IF($H9482=0,1,IF($I9482&lt;=1,2,0))</f>
        <v>2</v>
      </c>
      <c r="K9482">
        <v>0</v>
      </c>
      <c r="L9482">
        <f>IF(AND($J9482=0,$K9482=0),0,1)</f>
        <v>1</v>
      </c>
    </row>
    <row r="9483" spans="1:13" x14ac:dyDescent="0.2">
      <c r="A9483" t="s">
        <v>525</v>
      </c>
      <c r="B9483" t="s">
        <v>17</v>
      </c>
      <c r="C9483" t="s">
        <v>21</v>
      </c>
      <c r="D9483">
        <v>3998</v>
      </c>
      <c r="E9483">
        <v>2019</v>
      </c>
      <c r="F9483">
        <v>1</v>
      </c>
      <c r="G9483">
        <v>16362</v>
      </c>
      <c r="H9483" s="1">
        <v>4</v>
      </c>
      <c r="I9483">
        <v>1</v>
      </c>
      <c r="J9483">
        <f>IF($H9483=0,1,IF($I9483&lt;=1,2,0))</f>
        <v>2</v>
      </c>
      <c r="K9483">
        <v>9</v>
      </c>
      <c r="L9483">
        <f>IF(AND($J9483=0,$K9483=0),0,1)</f>
        <v>1</v>
      </c>
      <c r="M9483" t="s">
        <v>1942</v>
      </c>
    </row>
    <row r="9484" spans="1:13" x14ac:dyDescent="0.2">
      <c r="A9484" t="s">
        <v>525</v>
      </c>
      <c r="B9484" t="s">
        <v>17</v>
      </c>
      <c r="C9484" t="s">
        <v>11</v>
      </c>
      <c r="D9484">
        <v>9101</v>
      </c>
      <c r="E9484">
        <v>2019</v>
      </c>
      <c r="F9484">
        <v>2</v>
      </c>
      <c r="G9484">
        <v>14404</v>
      </c>
      <c r="H9484" s="1">
        <v>3</v>
      </c>
      <c r="I9484">
        <v>3</v>
      </c>
      <c r="J9484">
        <f>IF($H9484=0,1,IF($I9484&lt;=1,2,0))</f>
        <v>0</v>
      </c>
      <c r="K9484">
        <v>5</v>
      </c>
      <c r="L9484">
        <f>IF(AND($J9484=0,$K9484=0),0,1)</f>
        <v>1</v>
      </c>
      <c r="M9484" t="s">
        <v>530</v>
      </c>
    </row>
    <row r="9485" spans="1:13" x14ac:dyDescent="0.2">
      <c r="A9485" t="s">
        <v>525</v>
      </c>
      <c r="B9485" t="s">
        <v>17</v>
      </c>
      <c r="C9485" t="s">
        <v>11</v>
      </c>
      <c r="D9485">
        <v>9101</v>
      </c>
      <c r="E9485">
        <v>2019</v>
      </c>
      <c r="F9485">
        <v>1</v>
      </c>
      <c r="G9485">
        <v>98244</v>
      </c>
      <c r="H9485" s="1">
        <v>3</v>
      </c>
      <c r="I9485">
        <v>1</v>
      </c>
      <c r="J9485">
        <f>IF($H9485=0,1,IF($I9485&lt;=1,2,0))</f>
        <v>2</v>
      </c>
      <c r="K9485">
        <v>5</v>
      </c>
      <c r="L9485">
        <f>IF(AND($J9485=0,$K9485=0),0,1)</f>
        <v>1</v>
      </c>
      <c r="M9485" t="s">
        <v>530</v>
      </c>
    </row>
    <row r="9486" spans="1:13" x14ac:dyDescent="0.2">
      <c r="A9486" t="s">
        <v>525</v>
      </c>
      <c r="B9486" t="s">
        <v>17</v>
      </c>
      <c r="C9486" t="s">
        <v>11</v>
      </c>
      <c r="D9486">
        <v>9103</v>
      </c>
      <c r="E9486">
        <v>2019</v>
      </c>
      <c r="F9486">
        <v>1</v>
      </c>
      <c r="G9486">
        <v>98236</v>
      </c>
      <c r="H9486" s="1">
        <v>3</v>
      </c>
      <c r="I9486">
        <v>2</v>
      </c>
      <c r="J9486">
        <f>IF($H9486=0,1,IF($I9486&lt;=1,2,0))</f>
        <v>0</v>
      </c>
      <c r="K9486">
        <v>5</v>
      </c>
      <c r="L9486">
        <f>IF(AND($J9486=0,$K9486=0),0,1)</f>
        <v>1</v>
      </c>
      <c r="M9486" t="s">
        <v>530</v>
      </c>
    </row>
    <row r="9487" spans="1:13" x14ac:dyDescent="0.2">
      <c r="A9487" t="s">
        <v>531</v>
      </c>
      <c r="B9487" t="s">
        <v>17</v>
      </c>
      <c r="C9487" t="s">
        <v>33</v>
      </c>
      <c r="D9487">
        <v>4205</v>
      </c>
      <c r="E9487">
        <v>2019</v>
      </c>
      <c r="F9487">
        <v>2</v>
      </c>
      <c r="G9487">
        <v>17956</v>
      </c>
      <c r="H9487" s="1">
        <v>4</v>
      </c>
      <c r="I9487">
        <v>0</v>
      </c>
      <c r="J9487">
        <f>IF($H9487=0,1,IF($I9487&lt;=1,2,0))</f>
        <v>2</v>
      </c>
      <c r="K9487">
        <v>0</v>
      </c>
      <c r="L9487">
        <f>IF(AND($J9487=0,$K9487=0),0,1)</f>
        <v>1</v>
      </c>
    </row>
    <row r="9488" spans="1:13" x14ac:dyDescent="0.2">
      <c r="A9488" t="s">
        <v>533</v>
      </c>
      <c r="B9488" t="s">
        <v>6</v>
      </c>
      <c r="C9488" t="s">
        <v>11</v>
      </c>
      <c r="D9488">
        <v>4999</v>
      </c>
      <c r="E9488">
        <v>2019</v>
      </c>
      <c r="F9488">
        <v>3</v>
      </c>
      <c r="G9488">
        <v>18827</v>
      </c>
      <c r="H9488" s="1">
        <v>3</v>
      </c>
      <c r="I9488">
        <v>1</v>
      </c>
      <c r="J9488">
        <f>IF($H9488=0,1,IF($I9488&lt;=1,2,0))</f>
        <v>2</v>
      </c>
      <c r="K9488">
        <v>9</v>
      </c>
      <c r="L9488">
        <f>IF(AND($J9488=0,$K9488=0),0,1)</f>
        <v>1</v>
      </c>
    </row>
    <row r="9489" spans="1:13" x14ac:dyDescent="0.2">
      <c r="A9489" t="s">
        <v>538</v>
      </c>
      <c r="B9489" t="s">
        <v>17</v>
      </c>
      <c r="C9489" t="s">
        <v>9</v>
      </c>
      <c r="D9489">
        <v>3980</v>
      </c>
      <c r="E9489">
        <v>2019</v>
      </c>
      <c r="F9489">
        <v>1</v>
      </c>
      <c r="G9489">
        <v>48630</v>
      </c>
      <c r="H9489" s="1">
        <v>3</v>
      </c>
      <c r="I9489">
        <v>1</v>
      </c>
      <c r="J9489">
        <f>IF($H9489=0,1,IF($I9489&lt;=1,2,0))</f>
        <v>2</v>
      </c>
      <c r="K9489">
        <v>0</v>
      </c>
      <c r="L9489">
        <f>IF(AND($J9489=0,$K9489=0),0,1)</f>
        <v>1</v>
      </c>
    </row>
    <row r="9490" spans="1:13" x14ac:dyDescent="0.2">
      <c r="A9490" t="s">
        <v>538</v>
      </c>
      <c r="B9490" t="s">
        <v>17</v>
      </c>
      <c r="C9490" t="s">
        <v>21</v>
      </c>
      <c r="D9490">
        <v>3997</v>
      </c>
      <c r="E9490">
        <v>2019</v>
      </c>
      <c r="F9490">
        <v>1</v>
      </c>
      <c r="G9490">
        <v>48704</v>
      </c>
      <c r="H9490" s="1">
        <v>3</v>
      </c>
      <c r="I9490">
        <v>0</v>
      </c>
      <c r="J9490">
        <f>IF($H9490=0,1,IF($I9490&lt;=1,2,0))</f>
        <v>2</v>
      </c>
      <c r="K9490">
        <v>9</v>
      </c>
      <c r="L9490">
        <f>IF(AND($J9490=0,$K9490=0),0,1)</f>
        <v>1</v>
      </c>
    </row>
    <row r="9491" spans="1:13" x14ac:dyDescent="0.2">
      <c r="A9491" t="s">
        <v>538</v>
      </c>
      <c r="B9491" t="s">
        <v>17</v>
      </c>
      <c r="C9491" t="s">
        <v>21</v>
      </c>
      <c r="D9491">
        <v>3997</v>
      </c>
      <c r="E9491">
        <v>2019</v>
      </c>
      <c r="F9491">
        <v>2</v>
      </c>
      <c r="G9491">
        <v>48705</v>
      </c>
      <c r="H9491" s="1">
        <v>3</v>
      </c>
      <c r="I9491">
        <v>0</v>
      </c>
      <c r="J9491">
        <f>IF($H9491=0,1,IF($I9491&lt;=1,2,0))</f>
        <v>2</v>
      </c>
      <c r="K9491">
        <v>9</v>
      </c>
      <c r="L9491">
        <f>IF(AND($J9491=0,$K9491=0),0,1)</f>
        <v>1</v>
      </c>
    </row>
    <row r="9492" spans="1:13" x14ac:dyDescent="0.2">
      <c r="A9492" t="s">
        <v>538</v>
      </c>
      <c r="B9492" t="s">
        <v>17</v>
      </c>
      <c r="C9492" t="s">
        <v>21</v>
      </c>
      <c r="D9492">
        <v>3997</v>
      </c>
      <c r="E9492">
        <v>2019</v>
      </c>
      <c r="F9492">
        <v>4</v>
      </c>
      <c r="G9492">
        <v>48707</v>
      </c>
      <c r="H9492" s="1">
        <v>3</v>
      </c>
      <c r="I9492">
        <v>0</v>
      </c>
      <c r="J9492">
        <f>IF($H9492=0,1,IF($I9492&lt;=1,2,0))</f>
        <v>2</v>
      </c>
      <c r="K9492">
        <v>9</v>
      </c>
      <c r="L9492">
        <f>IF(AND($J9492=0,$K9492=0),0,1)</f>
        <v>1</v>
      </c>
    </row>
    <row r="9493" spans="1:13" x14ac:dyDescent="0.2">
      <c r="A9493" t="s">
        <v>538</v>
      </c>
      <c r="B9493" t="s">
        <v>17</v>
      </c>
      <c r="C9493" t="s">
        <v>21</v>
      </c>
      <c r="D9493">
        <v>3997</v>
      </c>
      <c r="E9493">
        <v>2019</v>
      </c>
      <c r="F9493">
        <v>5</v>
      </c>
      <c r="G9493">
        <v>48708</v>
      </c>
      <c r="H9493" s="1">
        <v>3</v>
      </c>
      <c r="I9493">
        <v>0</v>
      </c>
      <c r="J9493">
        <f>IF($H9493=0,1,IF($I9493&lt;=1,2,0))</f>
        <v>2</v>
      </c>
      <c r="K9493">
        <v>9</v>
      </c>
      <c r="L9493">
        <f>IF(AND($J9493=0,$K9493=0),0,1)</f>
        <v>1</v>
      </c>
    </row>
    <row r="9494" spans="1:13" x14ac:dyDescent="0.2">
      <c r="A9494" t="s">
        <v>538</v>
      </c>
      <c r="B9494" t="s">
        <v>17</v>
      </c>
      <c r="C9494" t="s">
        <v>21</v>
      </c>
      <c r="D9494">
        <v>3998</v>
      </c>
      <c r="E9494">
        <v>2019</v>
      </c>
      <c r="F9494">
        <v>4</v>
      </c>
      <c r="G9494">
        <v>48634</v>
      </c>
      <c r="H9494" s="1">
        <v>3</v>
      </c>
      <c r="I9494">
        <v>1</v>
      </c>
      <c r="J9494">
        <f>IF($H9494=0,1,IF($I9494&lt;=1,2,0))</f>
        <v>2</v>
      </c>
      <c r="K9494">
        <v>9</v>
      </c>
      <c r="L9494">
        <f>IF(AND($J9494=0,$K9494=0),0,1)</f>
        <v>1</v>
      </c>
    </row>
    <row r="9495" spans="1:13" x14ac:dyDescent="0.2">
      <c r="A9495" t="s">
        <v>538</v>
      </c>
      <c r="B9495" t="s">
        <v>17</v>
      </c>
      <c r="C9495" t="s">
        <v>21</v>
      </c>
      <c r="D9495">
        <v>3998</v>
      </c>
      <c r="E9495">
        <v>2019</v>
      </c>
      <c r="F9495">
        <v>1</v>
      </c>
      <c r="G9495">
        <v>48631</v>
      </c>
      <c r="H9495" s="1">
        <v>3</v>
      </c>
      <c r="I9495">
        <v>0</v>
      </c>
      <c r="J9495">
        <f>IF($H9495=0,1,IF($I9495&lt;=1,2,0))</f>
        <v>2</v>
      </c>
      <c r="K9495">
        <v>9</v>
      </c>
      <c r="L9495">
        <f>IF(AND($J9495=0,$K9495=0),0,1)</f>
        <v>1</v>
      </c>
    </row>
    <row r="9496" spans="1:13" x14ac:dyDescent="0.2">
      <c r="A9496" t="s">
        <v>538</v>
      </c>
      <c r="B9496" t="s">
        <v>17</v>
      </c>
      <c r="C9496" t="s">
        <v>21</v>
      </c>
      <c r="D9496">
        <v>3998</v>
      </c>
      <c r="E9496">
        <v>2019</v>
      </c>
      <c r="F9496">
        <v>2</v>
      </c>
      <c r="G9496">
        <v>48632</v>
      </c>
      <c r="H9496" s="1">
        <v>3</v>
      </c>
      <c r="I9496">
        <v>0</v>
      </c>
      <c r="J9496">
        <f>IF($H9496=0,1,IF($I9496&lt;=1,2,0))</f>
        <v>2</v>
      </c>
      <c r="K9496">
        <v>9</v>
      </c>
      <c r="L9496">
        <f>IF(AND($J9496=0,$K9496=0),0,1)</f>
        <v>1</v>
      </c>
    </row>
    <row r="9497" spans="1:13" x14ac:dyDescent="0.2">
      <c r="A9497" t="s">
        <v>538</v>
      </c>
      <c r="B9497" t="s">
        <v>17</v>
      </c>
      <c r="C9497" t="s">
        <v>21</v>
      </c>
      <c r="D9497">
        <v>3998</v>
      </c>
      <c r="E9497">
        <v>2019</v>
      </c>
      <c r="F9497">
        <v>5</v>
      </c>
      <c r="G9497">
        <v>48635</v>
      </c>
      <c r="H9497" s="1">
        <v>3</v>
      </c>
      <c r="I9497">
        <v>0</v>
      </c>
      <c r="J9497">
        <f>IF($H9497=0,1,IF($I9497&lt;=1,2,0))</f>
        <v>2</v>
      </c>
      <c r="K9497">
        <v>9</v>
      </c>
      <c r="L9497">
        <f>IF(AND($J9497=0,$K9497=0),0,1)</f>
        <v>1</v>
      </c>
    </row>
    <row r="9498" spans="1:13" x14ac:dyDescent="0.2">
      <c r="A9498" t="s">
        <v>541</v>
      </c>
      <c r="B9498" t="s">
        <v>6</v>
      </c>
      <c r="C9498" t="s">
        <v>9</v>
      </c>
      <c r="D9498">
        <v>3999</v>
      </c>
      <c r="E9498">
        <v>2019</v>
      </c>
      <c r="F9498">
        <v>2</v>
      </c>
      <c r="G9498">
        <v>10174</v>
      </c>
      <c r="H9498" s="1">
        <v>4</v>
      </c>
      <c r="I9498">
        <v>0</v>
      </c>
      <c r="J9498">
        <f>IF($H9498=0,1,IF($I9498&lt;=1,2,0))</f>
        <v>2</v>
      </c>
      <c r="K9498">
        <v>9</v>
      </c>
      <c r="L9498">
        <f>IF(AND($J9498=0,$K9498=0),0,1)</f>
        <v>1</v>
      </c>
      <c r="M9498" t="s">
        <v>542</v>
      </c>
    </row>
    <row r="9499" spans="1:13" x14ac:dyDescent="0.2">
      <c r="A9499" t="s">
        <v>541</v>
      </c>
      <c r="B9499" t="s">
        <v>6</v>
      </c>
      <c r="C9499" t="s">
        <v>11</v>
      </c>
      <c r="D9499">
        <v>6400</v>
      </c>
      <c r="E9499">
        <v>2019</v>
      </c>
      <c r="F9499">
        <v>1</v>
      </c>
      <c r="G9499">
        <v>13591</v>
      </c>
      <c r="H9499" s="1">
        <v>4</v>
      </c>
      <c r="I9499">
        <v>5</v>
      </c>
      <c r="J9499">
        <f>IF($H9499=0,1,IF($I9499&lt;=1,2,0))</f>
        <v>0</v>
      </c>
      <c r="K9499">
        <v>4</v>
      </c>
      <c r="L9499">
        <f>IF(AND($J9499=0,$K9499=0),0,1)</f>
        <v>1</v>
      </c>
      <c r="M9499" t="s">
        <v>543</v>
      </c>
    </row>
    <row r="9500" spans="1:13" x14ac:dyDescent="0.2">
      <c r="A9500" t="s">
        <v>545</v>
      </c>
      <c r="B9500" t="s">
        <v>133</v>
      </c>
      <c r="C9500" t="s">
        <v>2</v>
      </c>
      <c r="D9500">
        <v>2001</v>
      </c>
      <c r="E9500">
        <v>2019</v>
      </c>
      <c r="F9500">
        <v>1</v>
      </c>
      <c r="G9500">
        <v>8783</v>
      </c>
      <c r="H9500" s="1">
        <v>1</v>
      </c>
      <c r="I9500">
        <v>6</v>
      </c>
      <c r="J9500">
        <f>IF($H9500=0,1,IF($I9500&lt;=1,2,0))</f>
        <v>0</v>
      </c>
      <c r="K9500">
        <v>7</v>
      </c>
      <c r="L9500">
        <f>IF(AND($J9500=0,$K9500=0),0,1)</f>
        <v>1</v>
      </c>
    </row>
    <row r="9501" spans="1:13" x14ac:dyDescent="0.2">
      <c r="A9501" t="s">
        <v>545</v>
      </c>
      <c r="B9501" t="s">
        <v>133</v>
      </c>
      <c r="C9501" t="s">
        <v>21</v>
      </c>
      <c r="D9501">
        <v>3901</v>
      </c>
      <c r="E9501">
        <v>2019</v>
      </c>
      <c r="F9501">
        <v>13</v>
      </c>
      <c r="G9501">
        <v>19011</v>
      </c>
      <c r="H9501" s="1" t="s">
        <v>1827</v>
      </c>
      <c r="I9501">
        <v>2</v>
      </c>
      <c r="J9501">
        <f>IF($H9501=0,1,IF($I9501&lt;=1,2,0))</f>
        <v>0</v>
      </c>
      <c r="K9501">
        <v>9</v>
      </c>
      <c r="L9501">
        <f>IF(AND($J9501=0,$K9501=0),0,1)</f>
        <v>1</v>
      </c>
    </row>
    <row r="9502" spans="1:13" x14ac:dyDescent="0.2">
      <c r="A9502" t="s">
        <v>545</v>
      </c>
      <c r="B9502" t="s">
        <v>133</v>
      </c>
      <c r="C9502" t="s">
        <v>21</v>
      </c>
      <c r="D9502">
        <v>3901</v>
      </c>
      <c r="E9502">
        <v>2019</v>
      </c>
      <c r="F9502">
        <v>1</v>
      </c>
      <c r="G9502">
        <v>29222</v>
      </c>
      <c r="H9502" s="1" t="s">
        <v>1833</v>
      </c>
      <c r="I9502">
        <v>1</v>
      </c>
      <c r="J9502">
        <f>IF($H9502=0,1,IF($I9502&lt;=1,2,0))</f>
        <v>2</v>
      </c>
      <c r="K9502">
        <v>9</v>
      </c>
      <c r="L9502">
        <f>IF(AND($J9502=0,$K9502=0),0,1)</f>
        <v>1</v>
      </c>
      <c r="M9502" t="s">
        <v>546</v>
      </c>
    </row>
    <row r="9503" spans="1:13" x14ac:dyDescent="0.2">
      <c r="A9503" t="s">
        <v>545</v>
      </c>
      <c r="B9503" t="s">
        <v>133</v>
      </c>
      <c r="C9503" t="s">
        <v>21</v>
      </c>
      <c r="D9503">
        <v>3901</v>
      </c>
      <c r="E9503">
        <v>2019</v>
      </c>
      <c r="F9503">
        <v>2</v>
      </c>
      <c r="G9503">
        <v>18676</v>
      </c>
      <c r="H9503" s="1" t="s">
        <v>1827</v>
      </c>
      <c r="I9503">
        <v>1</v>
      </c>
      <c r="J9503">
        <f>IF($H9503=0,1,IF($I9503&lt;=1,2,0))</f>
        <v>2</v>
      </c>
      <c r="K9503">
        <v>9</v>
      </c>
      <c r="L9503">
        <f>IF(AND($J9503=0,$K9503=0),0,1)</f>
        <v>1</v>
      </c>
      <c r="M9503" t="s">
        <v>546</v>
      </c>
    </row>
    <row r="9504" spans="1:13" x14ac:dyDescent="0.2">
      <c r="A9504" t="s">
        <v>545</v>
      </c>
      <c r="B9504" t="s">
        <v>133</v>
      </c>
      <c r="C9504" t="s">
        <v>21</v>
      </c>
      <c r="D9504">
        <v>3901</v>
      </c>
      <c r="E9504">
        <v>2019</v>
      </c>
      <c r="F9504">
        <v>3</v>
      </c>
      <c r="G9504">
        <v>153</v>
      </c>
      <c r="H9504" s="1" t="s">
        <v>1827</v>
      </c>
      <c r="I9504">
        <v>1</v>
      </c>
      <c r="J9504">
        <f>IF($H9504=0,1,IF($I9504&lt;=1,2,0))</f>
        <v>2</v>
      </c>
      <c r="K9504">
        <v>9</v>
      </c>
      <c r="L9504">
        <f>IF(AND($J9504=0,$K9504=0),0,1)</f>
        <v>1</v>
      </c>
    </row>
    <row r="9505" spans="1:13" x14ac:dyDescent="0.2">
      <c r="A9505" t="s">
        <v>545</v>
      </c>
      <c r="B9505" t="s">
        <v>133</v>
      </c>
      <c r="C9505" t="s">
        <v>21</v>
      </c>
      <c r="D9505">
        <v>3901</v>
      </c>
      <c r="E9505">
        <v>2019</v>
      </c>
      <c r="F9505">
        <v>4</v>
      </c>
      <c r="G9505">
        <v>154</v>
      </c>
      <c r="H9505" s="1" t="s">
        <v>1827</v>
      </c>
      <c r="I9505">
        <v>1</v>
      </c>
      <c r="J9505">
        <f>IF($H9505=0,1,IF($I9505&lt;=1,2,0))</f>
        <v>2</v>
      </c>
      <c r="K9505">
        <v>9</v>
      </c>
      <c r="L9505">
        <f>IF(AND($J9505=0,$K9505=0),0,1)</f>
        <v>1</v>
      </c>
    </row>
    <row r="9506" spans="1:13" x14ac:dyDescent="0.2">
      <c r="A9506" t="s">
        <v>545</v>
      </c>
      <c r="B9506" t="s">
        <v>133</v>
      </c>
      <c r="C9506" t="s">
        <v>21</v>
      </c>
      <c r="D9506">
        <v>3901</v>
      </c>
      <c r="E9506">
        <v>2019</v>
      </c>
      <c r="F9506">
        <v>5</v>
      </c>
      <c r="G9506">
        <v>18723</v>
      </c>
      <c r="H9506" s="1" t="s">
        <v>1827</v>
      </c>
      <c r="I9506">
        <v>1</v>
      </c>
      <c r="J9506">
        <f>IF($H9506=0,1,IF($I9506&lt;=1,2,0))</f>
        <v>2</v>
      </c>
      <c r="K9506">
        <v>9</v>
      </c>
      <c r="L9506">
        <f>IF(AND($J9506=0,$K9506=0),0,1)</f>
        <v>1</v>
      </c>
    </row>
    <row r="9507" spans="1:13" x14ac:dyDescent="0.2">
      <c r="A9507" t="s">
        <v>545</v>
      </c>
      <c r="B9507" t="s">
        <v>133</v>
      </c>
      <c r="C9507" t="s">
        <v>21</v>
      </c>
      <c r="D9507">
        <v>3901</v>
      </c>
      <c r="E9507">
        <v>2019</v>
      </c>
      <c r="F9507">
        <v>7</v>
      </c>
      <c r="G9507">
        <v>18725</v>
      </c>
      <c r="H9507" s="1" t="s">
        <v>1827</v>
      </c>
      <c r="I9507">
        <v>1</v>
      </c>
      <c r="J9507">
        <f>IF($H9507=0,1,IF($I9507&lt;=1,2,0))</f>
        <v>2</v>
      </c>
      <c r="K9507">
        <v>9</v>
      </c>
      <c r="L9507">
        <f>IF(AND($J9507=0,$K9507=0),0,1)</f>
        <v>1</v>
      </c>
      <c r="M9507" t="s">
        <v>546</v>
      </c>
    </row>
    <row r="9508" spans="1:13" x14ac:dyDescent="0.2">
      <c r="A9508" t="s">
        <v>545</v>
      </c>
      <c r="B9508" t="s">
        <v>133</v>
      </c>
      <c r="C9508" t="s">
        <v>21</v>
      </c>
      <c r="D9508">
        <v>3901</v>
      </c>
      <c r="E9508">
        <v>2019</v>
      </c>
      <c r="F9508">
        <v>9</v>
      </c>
      <c r="G9508">
        <v>18889</v>
      </c>
      <c r="H9508" s="1" t="s">
        <v>1827</v>
      </c>
      <c r="I9508">
        <v>1</v>
      </c>
      <c r="J9508">
        <f>IF($H9508=0,1,IF($I9508&lt;=1,2,0))</f>
        <v>2</v>
      </c>
      <c r="K9508">
        <v>9</v>
      </c>
      <c r="L9508">
        <f>IF(AND($J9508=0,$K9508=0),0,1)</f>
        <v>1</v>
      </c>
    </row>
    <row r="9509" spans="1:13" x14ac:dyDescent="0.2">
      <c r="A9509" t="s">
        <v>545</v>
      </c>
      <c r="B9509" t="s">
        <v>133</v>
      </c>
      <c r="C9509" t="s">
        <v>21</v>
      </c>
      <c r="D9509">
        <v>3901</v>
      </c>
      <c r="E9509">
        <v>2019</v>
      </c>
      <c r="F9509">
        <v>10</v>
      </c>
      <c r="G9509">
        <v>18890</v>
      </c>
      <c r="H9509" s="1" t="s">
        <v>1827</v>
      </c>
      <c r="I9509">
        <v>1</v>
      </c>
      <c r="J9509">
        <f>IF($H9509=0,1,IF($I9509&lt;=1,2,0))</f>
        <v>2</v>
      </c>
      <c r="K9509">
        <v>9</v>
      </c>
      <c r="L9509">
        <f>IF(AND($J9509=0,$K9509=0),0,1)</f>
        <v>1</v>
      </c>
    </row>
    <row r="9510" spans="1:13" x14ac:dyDescent="0.2">
      <c r="A9510" t="s">
        <v>545</v>
      </c>
      <c r="B9510" t="s">
        <v>133</v>
      </c>
      <c r="C9510" t="s">
        <v>21</v>
      </c>
      <c r="D9510">
        <v>3901</v>
      </c>
      <c r="E9510">
        <v>2019</v>
      </c>
      <c r="F9510">
        <v>11</v>
      </c>
      <c r="G9510">
        <v>18891</v>
      </c>
      <c r="H9510" s="1" t="s">
        <v>1827</v>
      </c>
      <c r="I9510">
        <v>1</v>
      </c>
      <c r="J9510">
        <f>IF($H9510=0,1,IF($I9510&lt;=1,2,0))</f>
        <v>2</v>
      </c>
      <c r="K9510">
        <v>9</v>
      </c>
      <c r="L9510">
        <f>IF(AND($J9510=0,$K9510=0),0,1)</f>
        <v>1</v>
      </c>
      <c r="M9510" t="s">
        <v>546</v>
      </c>
    </row>
    <row r="9511" spans="1:13" x14ac:dyDescent="0.2">
      <c r="A9511" t="s">
        <v>545</v>
      </c>
      <c r="B9511" t="s">
        <v>133</v>
      </c>
      <c r="C9511" t="s">
        <v>21</v>
      </c>
      <c r="D9511">
        <v>3901</v>
      </c>
      <c r="E9511">
        <v>2019</v>
      </c>
      <c r="F9511">
        <v>12</v>
      </c>
      <c r="G9511">
        <v>18937</v>
      </c>
      <c r="H9511" s="1" t="s">
        <v>1827</v>
      </c>
      <c r="I9511">
        <v>1</v>
      </c>
      <c r="J9511">
        <f>IF($H9511=0,1,IF($I9511&lt;=1,2,0))</f>
        <v>2</v>
      </c>
      <c r="K9511">
        <v>9</v>
      </c>
      <c r="L9511">
        <f>IF(AND($J9511=0,$K9511=0),0,1)</f>
        <v>1</v>
      </c>
    </row>
    <row r="9512" spans="1:13" x14ac:dyDescent="0.2">
      <c r="A9512" t="s">
        <v>545</v>
      </c>
      <c r="B9512" t="s">
        <v>133</v>
      </c>
      <c r="C9512" t="s">
        <v>21</v>
      </c>
      <c r="D9512">
        <v>3901</v>
      </c>
      <c r="E9512">
        <v>2019</v>
      </c>
      <c r="F9512">
        <v>14</v>
      </c>
      <c r="G9512">
        <v>19023</v>
      </c>
      <c r="H9512" s="1" t="s">
        <v>1827</v>
      </c>
      <c r="I9512">
        <v>1</v>
      </c>
      <c r="J9512">
        <f>IF($H9512=0,1,IF($I9512&lt;=1,2,0))</f>
        <v>2</v>
      </c>
      <c r="K9512">
        <v>9</v>
      </c>
      <c r="L9512">
        <f>IF(AND($J9512=0,$K9512=0),0,1)</f>
        <v>1</v>
      </c>
    </row>
    <row r="9513" spans="1:13" x14ac:dyDescent="0.2">
      <c r="A9513" t="s">
        <v>545</v>
      </c>
      <c r="B9513" t="s">
        <v>133</v>
      </c>
      <c r="C9513" t="s">
        <v>21</v>
      </c>
      <c r="D9513">
        <v>3951</v>
      </c>
      <c r="E9513">
        <v>2019</v>
      </c>
      <c r="F9513">
        <v>2</v>
      </c>
      <c r="G9513">
        <v>229</v>
      </c>
      <c r="H9513" s="1">
        <v>3</v>
      </c>
      <c r="I9513">
        <v>0</v>
      </c>
      <c r="J9513">
        <f>IF($H9513=0,1,IF($I9513&lt;=1,2,0))</f>
        <v>2</v>
      </c>
      <c r="K9513">
        <v>0</v>
      </c>
      <c r="L9513">
        <f>IF(AND($J9513=0,$K9513=0),0,1)</f>
        <v>1</v>
      </c>
    </row>
    <row r="9514" spans="1:13" x14ac:dyDescent="0.2">
      <c r="A9514" t="s">
        <v>545</v>
      </c>
      <c r="B9514" t="s">
        <v>133</v>
      </c>
      <c r="C9514" t="s">
        <v>21</v>
      </c>
      <c r="D9514">
        <v>3997</v>
      </c>
      <c r="E9514">
        <v>2019</v>
      </c>
      <c r="F9514">
        <v>2</v>
      </c>
      <c r="G9514">
        <v>269</v>
      </c>
      <c r="H9514" s="1" t="s">
        <v>1827</v>
      </c>
      <c r="I9514">
        <v>1</v>
      </c>
      <c r="J9514">
        <f>IF($H9514=0,1,IF($I9514&lt;=1,2,0))</f>
        <v>2</v>
      </c>
      <c r="K9514">
        <v>9</v>
      </c>
      <c r="L9514">
        <f>IF(AND($J9514=0,$K9514=0),0,1)</f>
        <v>1</v>
      </c>
    </row>
    <row r="9515" spans="1:13" x14ac:dyDescent="0.2">
      <c r="A9515" t="s">
        <v>545</v>
      </c>
      <c r="B9515" t="s">
        <v>133</v>
      </c>
      <c r="C9515" t="s">
        <v>21</v>
      </c>
      <c r="D9515">
        <v>3999</v>
      </c>
      <c r="E9515">
        <v>2019</v>
      </c>
      <c r="F9515">
        <v>2</v>
      </c>
      <c r="G9515">
        <v>18728</v>
      </c>
      <c r="H9515" s="1">
        <v>4</v>
      </c>
      <c r="I9515">
        <v>1</v>
      </c>
      <c r="J9515">
        <f>IF($H9515=0,1,IF($I9515&lt;=1,2,0))</f>
        <v>2</v>
      </c>
      <c r="K9515">
        <v>9</v>
      </c>
      <c r="L9515">
        <f>IF(AND($J9515=0,$K9515=0),0,1)</f>
        <v>1</v>
      </c>
    </row>
    <row r="9516" spans="1:13" x14ac:dyDescent="0.2">
      <c r="A9516" t="s">
        <v>545</v>
      </c>
      <c r="B9516" t="s">
        <v>133</v>
      </c>
      <c r="C9516" t="s">
        <v>21</v>
      </c>
      <c r="D9516">
        <v>3999</v>
      </c>
      <c r="E9516">
        <v>2019</v>
      </c>
      <c r="F9516">
        <v>3</v>
      </c>
      <c r="G9516">
        <v>18892</v>
      </c>
      <c r="H9516" s="1">
        <v>4</v>
      </c>
      <c r="I9516">
        <v>1</v>
      </c>
      <c r="J9516">
        <f>IF($H9516=0,1,IF($I9516&lt;=1,2,0))</f>
        <v>2</v>
      </c>
      <c r="K9516">
        <v>9</v>
      </c>
      <c r="L9516">
        <f>IF(AND($J9516=0,$K9516=0),0,1)</f>
        <v>1</v>
      </c>
    </row>
    <row r="9517" spans="1:13" x14ac:dyDescent="0.2">
      <c r="A9517" t="s">
        <v>545</v>
      </c>
      <c r="B9517" t="s">
        <v>133</v>
      </c>
      <c r="C9517" t="s">
        <v>21</v>
      </c>
      <c r="D9517">
        <v>3999</v>
      </c>
      <c r="E9517">
        <v>2019</v>
      </c>
      <c r="F9517">
        <v>4</v>
      </c>
      <c r="G9517">
        <v>19013</v>
      </c>
      <c r="H9517" s="1">
        <v>4</v>
      </c>
      <c r="I9517">
        <v>1</v>
      </c>
      <c r="J9517">
        <f>IF($H9517=0,1,IF($I9517&lt;=1,2,0))</f>
        <v>2</v>
      </c>
      <c r="K9517">
        <v>9</v>
      </c>
      <c r="L9517">
        <f>IF(AND($J9517=0,$K9517=0),0,1)</f>
        <v>1</v>
      </c>
    </row>
    <row r="9518" spans="1:13" x14ac:dyDescent="0.2">
      <c r="A9518" t="s">
        <v>545</v>
      </c>
      <c r="B9518" t="s">
        <v>133</v>
      </c>
      <c r="C9518" t="s">
        <v>11</v>
      </c>
      <c r="D9518">
        <v>5300</v>
      </c>
      <c r="E9518">
        <v>2019</v>
      </c>
      <c r="F9518">
        <v>1</v>
      </c>
      <c r="G9518">
        <v>50675</v>
      </c>
      <c r="H9518" s="1">
        <v>3</v>
      </c>
      <c r="I9518">
        <v>38</v>
      </c>
      <c r="J9518">
        <f>IF($H9518=0,1,IF($I9518&lt;=1,2,0))</f>
        <v>0</v>
      </c>
      <c r="K9518">
        <v>4</v>
      </c>
      <c r="L9518">
        <f>IF(AND($J9518=0,$K9518=0),0,1)</f>
        <v>1</v>
      </c>
      <c r="M9518" t="s">
        <v>549</v>
      </c>
    </row>
    <row r="9519" spans="1:13" x14ac:dyDescent="0.2">
      <c r="A9519" t="s">
        <v>545</v>
      </c>
      <c r="B9519" t="s">
        <v>133</v>
      </c>
      <c r="C9519" t="s">
        <v>11</v>
      </c>
      <c r="D9519">
        <v>5510</v>
      </c>
      <c r="E9519">
        <v>2019</v>
      </c>
      <c r="F9519">
        <v>1</v>
      </c>
      <c r="G9519">
        <v>50676</v>
      </c>
      <c r="H9519" s="1" t="s">
        <v>1827</v>
      </c>
      <c r="I9519">
        <v>11</v>
      </c>
      <c r="J9519">
        <f>IF($H9519=0,1,IF($I9519&lt;=1,2,0))</f>
        <v>0</v>
      </c>
      <c r="K9519">
        <v>4</v>
      </c>
      <c r="L9519">
        <f>IF(AND($J9519=0,$K9519=0),0,1)</f>
        <v>1</v>
      </c>
      <c r="M9519" t="s">
        <v>550</v>
      </c>
    </row>
    <row r="9520" spans="1:13" x14ac:dyDescent="0.2">
      <c r="A9520" t="s">
        <v>545</v>
      </c>
      <c r="B9520" t="s">
        <v>133</v>
      </c>
      <c r="C9520" t="s">
        <v>11</v>
      </c>
      <c r="D9520">
        <v>9903</v>
      </c>
      <c r="E9520">
        <v>2019</v>
      </c>
      <c r="F9520">
        <v>1</v>
      </c>
      <c r="G9520">
        <v>50714</v>
      </c>
      <c r="H9520" s="1">
        <v>3</v>
      </c>
      <c r="I9520">
        <v>5</v>
      </c>
      <c r="J9520">
        <f>IF($H9520=0,1,IF($I9520&lt;=1,2,0))</f>
        <v>0</v>
      </c>
      <c r="K9520">
        <v>5</v>
      </c>
      <c r="L9520">
        <f>IF(AND($J9520=0,$K9520=0),0,1)</f>
        <v>1</v>
      </c>
    </row>
    <row r="9521" spans="1:13" x14ac:dyDescent="0.2">
      <c r="A9521" t="s">
        <v>552</v>
      </c>
      <c r="B9521" t="s">
        <v>17</v>
      </c>
      <c r="C9521" t="s">
        <v>9</v>
      </c>
      <c r="D9521">
        <v>3005</v>
      </c>
      <c r="E9521">
        <v>2019</v>
      </c>
      <c r="F9521">
        <v>1</v>
      </c>
      <c r="G9521">
        <v>41192</v>
      </c>
      <c r="H9521" s="1">
        <v>0</v>
      </c>
      <c r="I9521">
        <v>17</v>
      </c>
      <c r="J9521">
        <f>IF($H9521=0,1,IF($I9521&lt;=1,2,0))</f>
        <v>1</v>
      </c>
      <c r="K9521">
        <v>0</v>
      </c>
      <c r="L9521">
        <f>IF(AND($J9521=0,$K9521=0),0,1)</f>
        <v>1</v>
      </c>
    </row>
    <row r="9522" spans="1:13" x14ac:dyDescent="0.2">
      <c r="A9522" t="s">
        <v>552</v>
      </c>
      <c r="B9522" t="s">
        <v>17</v>
      </c>
      <c r="C9522" t="s">
        <v>9</v>
      </c>
      <c r="D9522">
        <v>3005</v>
      </c>
      <c r="E9522">
        <v>2019</v>
      </c>
      <c r="F9522">
        <v>2</v>
      </c>
      <c r="G9522">
        <v>41193</v>
      </c>
      <c r="H9522" s="1">
        <v>0</v>
      </c>
      <c r="I9522">
        <v>10</v>
      </c>
      <c r="J9522">
        <f>IF($H9522=0,1,IF($I9522&lt;=1,2,0))</f>
        <v>1</v>
      </c>
      <c r="K9522">
        <v>0</v>
      </c>
      <c r="L9522">
        <f>IF(AND($J9522=0,$K9522=0),0,1)</f>
        <v>1</v>
      </c>
    </row>
    <row r="9523" spans="1:13" x14ac:dyDescent="0.2">
      <c r="A9523" t="s">
        <v>552</v>
      </c>
      <c r="B9523" t="s">
        <v>17</v>
      </c>
      <c r="C9523" t="s">
        <v>9</v>
      </c>
      <c r="D9523">
        <v>3005</v>
      </c>
      <c r="E9523">
        <v>2019</v>
      </c>
      <c r="F9523">
        <v>3</v>
      </c>
      <c r="G9523">
        <v>41194</v>
      </c>
      <c r="H9523" s="1">
        <v>0</v>
      </c>
      <c r="I9523">
        <v>10</v>
      </c>
      <c r="J9523">
        <f>IF($H9523=0,1,IF($I9523&lt;=1,2,0))</f>
        <v>1</v>
      </c>
      <c r="K9523">
        <v>0</v>
      </c>
      <c r="L9523">
        <f>IF(AND($J9523=0,$K9523=0),0,1)</f>
        <v>1</v>
      </c>
    </row>
    <row r="9524" spans="1:13" x14ac:dyDescent="0.2">
      <c r="A9524" t="s">
        <v>552</v>
      </c>
      <c r="B9524" t="s">
        <v>17</v>
      </c>
      <c r="C9524" t="s">
        <v>9</v>
      </c>
      <c r="D9524">
        <v>3005</v>
      </c>
      <c r="E9524">
        <v>2019</v>
      </c>
      <c r="F9524">
        <v>4</v>
      </c>
      <c r="G9524">
        <v>41195</v>
      </c>
      <c r="H9524" s="1">
        <v>0</v>
      </c>
      <c r="I9524">
        <v>10</v>
      </c>
      <c r="J9524">
        <f>IF($H9524=0,1,IF($I9524&lt;=1,2,0))</f>
        <v>1</v>
      </c>
      <c r="K9524">
        <v>0</v>
      </c>
      <c r="L9524">
        <f>IF(AND($J9524=0,$K9524=0),0,1)</f>
        <v>1</v>
      </c>
    </row>
    <row r="9525" spans="1:13" x14ac:dyDescent="0.2">
      <c r="A9525" t="s">
        <v>552</v>
      </c>
      <c r="B9525" t="s">
        <v>17</v>
      </c>
      <c r="C9525" t="s">
        <v>9</v>
      </c>
      <c r="D9525">
        <v>3005</v>
      </c>
      <c r="E9525">
        <v>2019</v>
      </c>
      <c r="F9525">
        <v>5</v>
      </c>
      <c r="G9525">
        <v>41196</v>
      </c>
      <c r="H9525" s="1">
        <v>0</v>
      </c>
      <c r="I9525">
        <v>9</v>
      </c>
      <c r="J9525">
        <f>IF($H9525=0,1,IF($I9525&lt;=1,2,0))</f>
        <v>1</v>
      </c>
      <c r="K9525">
        <v>0</v>
      </c>
      <c r="L9525">
        <f>IF(AND($J9525=0,$K9525=0),0,1)</f>
        <v>1</v>
      </c>
    </row>
    <row r="9526" spans="1:13" x14ac:dyDescent="0.2">
      <c r="A9526" t="s">
        <v>552</v>
      </c>
      <c r="B9526" t="s">
        <v>17</v>
      </c>
      <c r="C9526" t="s">
        <v>9</v>
      </c>
      <c r="D9526">
        <v>3005</v>
      </c>
      <c r="E9526">
        <v>2019</v>
      </c>
      <c r="F9526">
        <v>6</v>
      </c>
      <c r="G9526">
        <v>41197</v>
      </c>
      <c r="H9526" s="1">
        <v>0</v>
      </c>
      <c r="I9526">
        <v>8</v>
      </c>
      <c r="J9526">
        <f>IF($H9526=0,1,IF($I9526&lt;=1,2,0))</f>
        <v>1</v>
      </c>
      <c r="K9526">
        <v>0</v>
      </c>
      <c r="L9526">
        <f>IF(AND($J9526=0,$K9526=0),0,1)</f>
        <v>1</v>
      </c>
      <c r="M9526" t="s">
        <v>553</v>
      </c>
    </row>
    <row r="9527" spans="1:13" x14ac:dyDescent="0.2">
      <c r="A9527" t="s">
        <v>552</v>
      </c>
      <c r="B9527" t="s">
        <v>17</v>
      </c>
      <c r="C9527" t="s">
        <v>11</v>
      </c>
      <c r="D9527">
        <v>5650</v>
      </c>
      <c r="E9527">
        <v>2019</v>
      </c>
      <c r="F9527">
        <v>1</v>
      </c>
      <c r="G9527">
        <v>18984</v>
      </c>
      <c r="H9527" s="1">
        <v>4</v>
      </c>
      <c r="I9527">
        <v>1</v>
      </c>
      <c r="J9527">
        <f>IF($H9527=0,1,IF($I9527&lt;=1,2,0))</f>
        <v>2</v>
      </c>
      <c r="K9527">
        <v>0</v>
      </c>
      <c r="L9527">
        <f>IF(AND($J9527=0,$K9527=0),0,1)</f>
        <v>1</v>
      </c>
    </row>
    <row r="9528" spans="1:13" x14ac:dyDescent="0.2">
      <c r="A9528" t="s">
        <v>552</v>
      </c>
      <c r="B9528" t="s">
        <v>17</v>
      </c>
      <c r="C9528" t="s">
        <v>11</v>
      </c>
      <c r="D9528">
        <v>8008</v>
      </c>
      <c r="E9528">
        <v>2019</v>
      </c>
      <c r="F9528">
        <v>1</v>
      </c>
      <c r="G9528">
        <v>41177</v>
      </c>
      <c r="H9528" s="1">
        <v>0</v>
      </c>
      <c r="I9528">
        <v>12</v>
      </c>
      <c r="J9528">
        <f>IF($H9528=0,1,IF($I9528&lt;=1,2,0))</f>
        <v>1</v>
      </c>
      <c r="K9528">
        <v>0</v>
      </c>
      <c r="L9528">
        <f>IF(AND($J9528=0,$K9528=0),0,1)</f>
        <v>1</v>
      </c>
    </row>
    <row r="9529" spans="1:13" x14ac:dyDescent="0.2">
      <c r="A9529" t="s">
        <v>556</v>
      </c>
      <c r="B9529" t="s">
        <v>71</v>
      </c>
      <c r="C9529" t="s">
        <v>72</v>
      </c>
      <c r="D9529">
        <v>3900</v>
      </c>
      <c r="E9529">
        <v>2019</v>
      </c>
      <c r="F9529">
        <v>8</v>
      </c>
      <c r="G9529">
        <v>44668</v>
      </c>
      <c r="H9529" s="1" t="s">
        <v>1827</v>
      </c>
      <c r="I9529">
        <v>1</v>
      </c>
      <c r="J9529">
        <f>IF($H9529=0,1,IF($I9529&lt;=1,2,0))</f>
        <v>2</v>
      </c>
      <c r="K9529">
        <v>9</v>
      </c>
      <c r="L9529">
        <f>IF(AND($J9529=0,$K9529=0),0,1)</f>
        <v>1</v>
      </c>
    </row>
    <row r="9530" spans="1:13" x14ac:dyDescent="0.2">
      <c r="A9530" t="s">
        <v>556</v>
      </c>
      <c r="B9530" t="s">
        <v>71</v>
      </c>
      <c r="C9530" t="s">
        <v>72</v>
      </c>
      <c r="D9530">
        <v>3900</v>
      </c>
      <c r="E9530">
        <v>2019</v>
      </c>
      <c r="F9530">
        <v>13</v>
      </c>
      <c r="G9530">
        <v>44673</v>
      </c>
      <c r="H9530" s="1" t="s">
        <v>1827</v>
      </c>
      <c r="I9530">
        <v>1</v>
      </c>
      <c r="J9530">
        <f>IF($H9530=0,1,IF($I9530&lt;=1,2,0))</f>
        <v>2</v>
      </c>
      <c r="K9530">
        <v>9</v>
      </c>
      <c r="L9530">
        <f>IF(AND($J9530=0,$K9530=0),0,1)</f>
        <v>1</v>
      </c>
    </row>
    <row r="9531" spans="1:13" x14ac:dyDescent="0.2">
      <c r="A9531" t="s">
        <v>556</v>
      </c>
      <c r="B9531" t="s">
        <v>71</v>
      </c>
      <c r="C9531" t="s">
        <v>72</v>
      </c>
      <c r="D9531">
        <v>3998</v>
      </c>
      <c r="E9531">
        <v>2019</v>
      </c>
      <c r="F9531">
        <v>14</v>
      </c>
      <c r="G9531">
        <v>44693</v>
      </c>
      <c r="H9531" s="1" t="s">
        <v>1827</v>
      </c>
      <c r="I9531">
        <v>5</v>
      </c>
      <c r="J9531">
        <f>IF($H9531=0,1,IF($I9531&lt;=1,2,0))</f>
        <v>0</v>
      </c>
      <c r="K9531">
        <v>9</v>
      </c>
      <c r="L9531">
        <f>IF(AND($J9531=0,$K9531=0),0,1)</f>
        <v>1</v>
      </c>
    </row>
    <row r="9532" spans="1:13" x14ac:dyDescent="0.2">
      <c r="A9532" t="s">
        <v>556</v>
      </c>
      <c r="B9532" t="s">
        <v>71</v>
      </c>
      <c r="C9532" t="s">
        <v>72</v>
      </c>
      <c r="D9532">
        <v>3998</v>
      </c>
      <c r="E9532">
        <v>2019</v>
      </c>
      <c r="F9532">
        <v>16</v>
      </c>
      <c r="G9532">
        <v>44695</v>
      </c>
      <c r="H9532" s="1" t="s">
        <v>1827</v>
      </c>
      <c r="I9532">
        <v>2</v>
      </c>
      <c r="J9532">
        <f>IF($H9532=0,1,IF($I9532&lt;=1,2,0))</f>
        <v>0</v>
      </c>
      <c r="K9532">
        <v>9</v>
      </c>
      <c r="L9532">
        <f>IF(AND($J9532=0,$K9532=0),0,1)</f>
        <v>1</v>
      </c>
    </row>
    <row r="9533" spans="1:13" x14ac:dyDescent="0.2">
      <c r="A9533" t="s">
        <v>556</v>
      </c>
      <c r="B9533" t="s">
        <v>71</v>
      </c>
      <c r="C9533" t="s">
        <v>72</v>
      </c>
      <c r="D9533">
        <v>3998</v>
      </c>
      <c r="E9533">
        <v>2019</v>
      </c>
      <c r="F9533">
        <v>3</v>
      </c>
      <c r="G9533">
        <v>44682</v>
      </c>
      <c r="H9533" s="1" t="s">
        <v>1827</v>
      </c>
      <c r="I9533">
        <v>1</v>
      </c>
      <c r="J9533">
        <f>IF($H9533=0,1,IF($I9533&lt;=1,2,0))</f>
        <v>2</v>
      </c>
      <c r="K9533">
        <v>9</v>
      </c>
      <c r="L9533">
        <f>IF(AND($J9533=0,$K9533=0),0,1)</f>
        <v>1</v>
      </c>
    </row>
    <row r="9534" spans="1:13" x14ac:dyDescent="0.2">
      <c r="A9534" t="s">
        <v>556</v>
      </c>
      <c r="B9534" t="s">
        <v>71</v>
      </c>
      <c r="C9534" t="s">
        <v>72</v>
      </c>
      <c r="D9534">
        <v>3998</v>
      </c>
      <c r="E9534">
        <v>2019</v>
      </c>
      <c r="F9534">
        <v>6</v>
      </c>
      <c r="G9534">
        <v>44685</v>
      </c>
      <c r="H9534" s="1" t="s">
        <v>1827</v>
      </c>
      <c r="I9534">
        <v>1</v>
      </c>
      <c r="J9534">
        <f>IF($H9534=0,1,IF($I9534&lt;=1,2,0))</f>
        <v>2</v>
      </c>
      <c r="K9534">
        <v>9</v>
      </c>
      <c r="L9534">
        <f>IF(AND($J9534=0,$K9534=0),0,1)</f>
        <v>1</v>
      </c>
    </row>
    <row r="9535" spans="1:13" x14ac:dyDescent="0.2">
      <c r="A9535" t="s">
        <v>556</v>
      </c>
      <c r="B9535" t="s">
        <v>71</v>
      </c>
      <c r="C9535" t="s">
        <v>72</v>
      </c>
      <c r="D9535">
        <v>3998</v>
      </c>
      <c r="E9535">
        <v>2019</v>
      </c>
      <c r="F9535">
        <v>7</v>
      </c>
      <c r="G9535">
        <v>44686</v>
      </c>
      <c r="H9535" s="1" t="s">
        <v>1827</v>
      </c>
      <c r="I9535">
        <v>1</v>
      </c>
      <c r="J9535">
        <f>IF($H9535=0,1,IF($I9535&lt;=1,2,0))</f>
        <v>2</v>
      </c>
      <c r="K9535">
        <v>9</v>
      </c>
      <c r="L9535">
        <f>IF(AND($J9535=0,$K9535=0),0,1)</f>
        <v>1</v>
      </c>
    </row>
    <row r="9536" spans="1:13" x14ac:dyDescent="0.2">
      <c r="A9536" t="s">
        <v>556</v>
      </c>
      <c r="B9536" t="s">
        <v>71</v>
      </c>
      <c r="C9536" t="s">
        <v>72</v>
      </c>
      <c r="D9536">
        <v>3998</v>
      </c>
      <c r="E9536">
        <v>2019</v>
      </c>
      <c r="F9536">
        <v>12</v>
      </c>
      <c r="G9536">
        <v>44691</v>
      </c>
      <c r="H9536" s="1" t="s">
        <v>1827</v>
      </c>
      <c r="I9536">
        <v>1</v>
      </c>
      <c r="J9536">
        <f>IF($H9536=0,1,IF($I9536&lt;=1,2,0))</f>
        <v>2</v>
      </c>
      <c r="K9536">
        <v>9</v>
      </c>
      <c r="L9536">
        <f>IF(AND($J9536=0,$K9536=0),0,1)</f>
        <v>1</v>
      </c>
    </row>
    <row r="9537" spans="1:12" x14ac:dyDescent="0.2">
      <c r="A9537" t="s">
        <v>556</v>
      </c>
      <c r="B9537" t="s">
        <v>71</v>
      </c>
      <c r="C9537" t="s">
        <v>72</v>
      </c>
      <c r="D9537">
        <v>3998</v>
      </c>
      <c r="E9537">
        <v>2019</v>
      </c>
      <c r="F9537">
        <v>13</v>
      </c>
      <c r="G9537">
        <v>44692</v>
      </c>
      <c r="H9537" s="1" t="s">
        <v>1827</v>
      </c>
      <c r="I9537">
        <v>1</v>
      </c>
      <c r="J9537">
        <f>IF($H9537=0,1,IF($I9537&lt;=1,2,0))</f>
        <v>2</v>
      </c>
      <c r="K9537">
        <v>9</v>
      </c>
      <c r="L9537">
        <f>IF(AND($J9537=0,$K9537=0),0,1)</f>
        <v>1</v>
      </c>
    </row>
    <row r="9538" spans="1:12" x14ac:dyDescent="0.2">
      <c r="A9538" t="s">
        <v>556</v>
      </c>
      <c r="B9538" t="s">
        <v>71</v>
      </c>
      <c r="C9538" t="s">
        <v>72</v>
      </c>
      <c r="D9538">
        <v>3998</v>
      </c>
      <c r="E9538">
        <v>2019</v>
      </c>
      <c r="F9538">
        <v>18</v>
      </c>
      <c r="G9538">
        <v>44697</v>
      </c>
      <c r="H9538" s="1" t="s">
        <v>1827</v>
      </c>
      <c r="I9538">
        <v>1</v>
      </c>
      <c r="J9538">
        <f>IF($H9538=0,1,IF($I9538&lt;=1,2,0))</f>
        <v>2</v>
      </c>
      <c r="K9538">
        <v>9</v>
      </c>
      <c r="L9538">
        <f>IF(AND($J9538=0,$K9538=0),0,1)</f>
        <v>1</v>
      </c>
    </row>
    <row r="9539" spans="1:12" x14ac:dyDescent="0.2">
      <c r="A9539" t="s">
        <v>556</v>
      </c>
      <c r="B9539" t="s">
        <v>71</v>
      </c>
      <c r="C9539" t="s">
        <v>72</v>
      </c>
      <c r="D9539">
        <v>3998</v>
      </c>
      <c r="E9539">
        <v>2019</v>
      </c>
      <c r="F9539">
        <v>1</v>
      </c>
      <c r="G9539">
        <v>44680</v>
      </c>
      <c r="H9539" s="1" t="s">
        <v>1827</v>
      </c>
      <c r="I9539">
        <v>0</v>
      </c>
      <c r="J9539">
        <f>IF($H9539=0,1,IF($I9539&lt;=1,2,0))</f>
        <v>2</v>
      </c>
      <c r="K9539">
        <v>9</v>
      </c>
      <c r="L9539">
        <f>IF(AND($J9539=0,$K9539=0),0,1)</f>
        <v>1</v>
      </c>
    </row>
    <row r="9540" spans="1:12" x14ac:dyDescent="0.2">
      <c r="A9540" t="s">
        <v>556</v>
      </c>
      <c r="B9540" t="s">
        <v>71</v>
      </c>
      <c r="C9540" t="s">
        <v>72</v>
      </c>
      <c r="D9540">
        <v>3998</v>
      </c>
      <c r="E9540">
        <v>2019</v>
      </c>
      <c r="F9540">
        <v>2</v>
      </c>
      <c r="G9540">
        <v>44681</v>
      </c>
      <c r="H9540" s="1" t="s">
        <v>1827</v>
      </c>
      <c r="I9540">
        <v>0</v>
      </c>
      <c r="J9540">
        <f>IF($H9540=0,1,IF($I9540&lt;=1,2,0))</f>
        <v>2</v>
      </c>
      <c r="K9540">
        <v>9</v>
      </c>
      <c r="L9540">
        <f>IF(AND($J9540=0,$K9540=0),0,1)</f>
        <v>1</v>
      </c>
    </row>
    <row r="9541" spans="1:12" x14ac:dyDescent="0.2">
      <c r="A9541" t="s">
        <v>556</v>
      </c>
      <c r="B9541" t="s">
        <v>71</v>
      </c>
      <c r="C9541" t="s">
        <v>72</v>
      </c>
      <c r="D9541">
        <v>3998</v>
      </c>
      <c r="E9541">
        <v>2019</v>
      </c>
      <c r="F9541">
        <v>4</v>
      </c>
      <c r="G9541">
        <v>44683</v>
      </c>
      <c r="H9541" s="1" t="s">
        <v>1827</v>
      </c>
      <c r="I9541">
        <v>0</v>
      </c>
      <c r="J9541">
        <f>IF($H9541=0,1,IF($I9541&lt;=1,2,0))</f>
        <v>2</v>
      </c>
      <c r="K9541">
        <v>9</v>
      </c>
      <c r="L9541">
        <f>IF(AND($J9541=0,$K9541=0),0,1)</f>
        <v>1</v>
      </c>
    </row>
    <row r="9542" spans="1:12" x14ac:dyDescent="0.2">
      <c r="A9542" t="s">
        <v>556</v>
      </c>
      <c r="B9542" t="s">
        <v>71</v>
      </c>
      <c r="C9542" t="s">
        <v>72</v>
      </c>
      <c r="D9542">
        <v>3998</v>
      </c>
      <c r="E9542">
        <v>2019</v>
      </c>
      <c r="F9542">
        <v>5</v>
      </c>
      <c r="G9542">
        <v>44684</v>
      </c>
      <c r="H9542" s="1" t="s">
        <v>1827</v>
      </c>
      <c r="I9542">
        <v>0</v>
      </c>
      <c r="J9542">
        <f>IF($H9542=0,1,IF($I9542&lt;=1,2,0))</f>
        <v>2</v>
      </c>
      <c r="K9542">
        <v>9</v>
      </c>
      <c r="L9542">
        <f>IF(AND($J9542=0,$K9542=0),0,1)</f>
        <v>1</v>
      </c>
    </row>
    <row r="9543" spans="1:12" x14ac:dyDescent="0.2">
      <c r="A9543" t="s">
        <v>556</v>
      </c>
      <c r="B9543" t="s">
        <v>71</v>
      </c>
      <c r="C9543" t="s">
        <v>72</v>
      </c>
      <c r="D9543">
        <v>3998</v>
      </c>
      <c r="E9543">
        <v>2019</v>
      </c>
      <c r="F9543">
        <v>8</v>
      </c>
      <c r="G9543">
        <v>44687</v>
      </c>
      <c r="H9543" s="1" t="s">
        <v>1827</v>
      </c>
      <c r="I9543">
        <v>0</v>
      </c>
      <c r="J9543">
        <f>IF($H9543=0,1,IF($I9543&lt;=1,2,0))</f>
        <v>2</v>
      </c>
      <c r="K9543">
        <v>9</v>
      </c>
      <c r="L9543">
        <f>IF(AND($J9543=0,$K9543=0),0,1)</f>
        <v>1</v>
      </c>
    </row>
    <row r="9544" spans="1:12" x14ac:dyDescent="0.2">
      <c r="A9544" t="s">
        <v>556</v>
      </c>
      <c r="B9544" t="s">
        <v>71</v>
      </c>
      <c r="C9544" t="s">
        <v>72</v>
      </c>
      <c r="D9544">
        <v>3998</v>
      </c>
      <c r="E9544">
        <v>2019</v>
      </c>
      <c r="F9544">
        <v>9</v>
      </c>
      <c r="G9544">
        <v>44688</v>
      </c>
      <c r="H9544" s="1" t="s">
        <v>1827</v>
      </c>
      <c r="I9544">
        <v>0</v>
      </c>
      <c r="J9544">
        <f>IF($H9544=0,1,IF($I9544&lt;=1,2,0))</f>
        <v>2</v>
      </c>
      <c r="K9544">
        <v>9</v>
      </c>
      <c r="L9544">
        <f>IF(AND($J9544=0,$K9544=0),0,1)</f>
        <v>1</v>
      </c>
    </row>
    <row r="9545" spans="1:12" x14ac:dyDescent="0.2">
      <c r="A9545" t="s">
        <v>556</v>
      </c>
      <c r="B9545" t="s">
        <v>71</v>
      </c>
      <c r="C9545" t="s">
        <v>72</v>
      </c>
      <c r="D9545">
        <v>3998</v>
      </c>
      <c r="E9545">
        <v>2019</v>
      </c>
      <c r="F9545">
        <v>10</v>
      </c>
      <c r="G9545">
        <v>44689</v>
      </c>
      <c r="H9545" s="1" t="s">
        <v>1827</v>
      </c>
      <c r="I9545">
        <v>0</v>
      </c>
      <c r="J9545">
        <f>IF($H9545=0,1,IF($I9545&lt;=1,2,0))</f>
        <v>2</v>
      </c>
      <c r="K9545">
        <v>9</v>
      </c>
      <c r="L9545">
        <f>IF(AND($J9545=0,$K9545=0),0,1)</f>
        <v>1</v>
      </c>
    </row>
    <row r="9546" spans="1:12" x14ac:dyDescent="0.2">
      <c r="A9546" t="s">
        <v>556</v>
      </c>
      <c r="B9546" t="s">
        <v>71</v>
      </c>
      <c r="C9546" t="s">
        <v>72</v>
      </c>
      <c r="D9546">
        <v>3998</v>
      </c>
      <c r="E9546">
        <v>2019</v>
      </c>
      <c r="F9546">
        <v>11</v>
      </c>
      <c r="G9546">
        <v>44690</v>
      </c>
      <c r="H9546" s="1" t="s">
        <v>1827</v>
      </c>
      <c r="I9546">
        <v>0</v>
      </c>
      <c r="J9546">
        <f>IF($H9546=0,1,IF($I9546&lt;=1,2,0))</f>
        <v>2</v>
      </c>
      <c r="K9546">
        <v>9</v>
      </c>
      <c r="L9546">
        <f>IF(AND($J9546=0,$K9546=0),0,1)</f>
        <v>1</v>
      </c>
    </row>
    <row r="9547" spans="1:12" x14ac:dyDescent="0.2">
      <c r="A9547" t="s">
        <v>556</v>
      </c>
      <c r="B9547" t="s">
        <v>71</v>
      </c>
      <c r="C9547" t="s">
        <v>72</v>
      </c>
      <c r="D9547">
        <v>3998</v>
      </c>
      <c r="E9547">
        <v>2019</v>
      </c>
      <c r="F9547">
        <v>15</v>
      </c>
      <c r="G9547">
        <v>44694</v>
      </c>
      <c r="H9547" s="1" t="s">
        <v>1827</v>
      </c>
      <c r="I9547">
        <v>0</v>
      </c>
      <c r="J9547">
        <f>IF($H9547=0,1,IF($I9547&lt;=1,2,0))</f>
        <v>2</v>
      </c>
      <c r="K9547">
        <v>9</v>
      </c>
      <c r="L9547">
        <f>IF(AND($J9547=0,$K9547=0),0,1)</f>
        <v>1</v>
      </c>
    </row>
    <row r="9548" spans="1:12" x14ac:dyDescent="0.2">
      <c r="A9548" t="s">
        <v>556</v>
      </c>
      <c r="B9548" t="s">
        <v>71</v>
      </c>
      <c r="C9548" t="s">
        <v>72</v>
      </c>
      <c r="D9548">
        <v>3998</v>
      </c>
      <c r="E9548">
        <v>2019</v>
      </c>
      <c r="F9548">
        <v>17</v>
      </c>
      <c r="G9548">
        <v>44696</v>
      </c>
      <c r="H9548" s="1" t="s">
        <v>1827</v>
      </c>
      <c r="I9548">
        <v>0</v>
      </c>
      <c r="J9548">
        <f>IF($H9548=0,1,IF($I9548&lt;=1,2,0))</f>
        <v>2</v>
      </c>
      <c r="K9548">
        <v>9</v>
      </c>
      <c r="L9548">
        <f>IF(AND($J9548=0,$K9548=0),0,1)</f>
        <v>1</v>
      </c>
    </row>
    <row r="9549" spans="1:12" x14ac:dyDescent="0.2">
      <c r="A9549" t="s">
        <v>556</v>
      </c>
      <c r="B9549" t="s">
        <v>71</v>
      </c>
      <c r="C9549" t="s">
        <v>72</v>
      </c>
      <c r="D9549">
        <v>3998</v>
      </c>
      <c r="E9549">
        <v>2019</v>
      </c>
      <c r="F9549">
        <v>19</v>
      </c>
      <c r="G9549">
        <v>44698</v>
      </c>
      <c r="H9549" s="1" t="s">
        <v>1827</v>
      </c>
      <c r="I9549">
        <v>0</v>
      </c>
      <c r="J9549">
        <f>IF($H9549=0,1,IF($I9549&lt;=1,2,0))</f>
        <v>2</v>
      </c>
      <c r="K9549">
        <v>9</v>
      </c>
      <c r="L9549">
        <f>IF(AND($J9549=0,$K9549=0),0,1)</f>
        <v>1</v>
      </c>
    </row>
    <row r="9550" spans="1:12" x14ac:dyDescent="0.2">
      <c r="A9550" t="s">
        <v>556</v>
      </c>
      <c r="B9550" t="s">
        <v>71</v>
      </c>
      <c r="C9550" t="s">
        <v>72</v>
      </c>
      <c r="D9550">
        <v>3999</v>
      </c>
      <c r="E9550">
        <v>2019</v>
      </c>
      <c r="F9550">
        <v>1</v>
      </c>
      <c r="G9550">
        <v>44699</v>
      </c>
      <c r="H9550" s="1" t="s">
        <v>1837</v>
      </c>
      <c r="I9550">
        <v>0</v>
      </c>
      <c r="J9550">
        <f>IF($H9550=0,1,IF($I9550&lt;=1,2,0))</f>
        <v>2</v>
      </c>
      <c r="K9550">
        <v>9</v>
      </c>
      <c r="L9550">
        <f>IF(AND($J9550=0,$K9550=0),0,1)</f>
        <v>1</v>
      </c>
    </row>
    <row r="9551" spans="1:12" x14ac:dyDescent="0.2">
      <c r="A9551" t="s">
        <v>556</v>
      </c>
      <c r="B9551" t="s">
        <v>71</v>
      </c>
      <c r="C9551" t="s">
        <v>72</v>
      </c>
      <c r="D9551">
        <v>4400</v>
      </c>
      <c r="E9551">
        <v>2019</v>
      </c>
      <c r="F9551">
        <v>1</v>
      </c>
      <c r="G9551">
        <v>44630</v>
      </c>
      <c r="H9551" s="1">
        <v>0</v>
      </c>
      <c r="I9551">
        <v>46</v>
      </c>
      <c r="J9551">
        <f>IF($H9551=0,1,IF($I9551&lt;=1,2,0))</f>
        <v>1</v>
      </c>
      <c r="K9551">
        <v>0</v>
      </c>
      <c r="L9551">
        <f>IF(AND($J9551=0,$K9551=0),0,1)</f>
        <v>1</v>
      </c>
    </row>
    <row r="9552" spans="1:12" x14ac:dyDescent="0.2">
      <c r="A9552" t="s">
        <v>556</v>
      </c>
      <c r="B9552" t="s">
        <v>71</v>
      </c>
      <c r="C9552" t="s">
        <v>72</v>
      </c>
      <c r="D9552">
        <v>4990</v>
      </c>
      <c r="E9552">
        <v>2019</v>
      </c>
      <c r="F9552">
        <v>1</v>
      </c>
      <c r="G9552">
        <v>16219</v>
      </c>
      <c r="H9552" s="1">
        <v>3</v>
      </c>
      <c r="I9552">
        <v>11</v>
      </c>
      <c r="J9552">
        <f>IF($H9552=0,1,IF($I9552&lt;=1,2,0))</f>
        <v>0</v>
      </c>
      <c r="K9552">
        <v>9</v>
      </c>
      <c r="L9552">
        <f>IF(AND($J9552=0,$K9552=0),0,1)</f>
        <v>1</v>
      </c>
    </row>
    <row r="9553" spans="1:12" x14ac:dyDescent="0.2">
      <c r="A9553" t="s">
        <v>556</v>
      </c>
      <c r="B9553" t="s">
        <v>71</v>
      </c>
      <c r="C9553" t="s">
        <v>72</v>
      </c>
      <c r="D9553">
        <v>4998</v>
      </c>
      <c r="E9553">
        <v>2019</v>
      </c>
      <c r="F9553">
        <v>1</v>
      </c>
      <c r="G9553">
        <v>44745</v>
      </c>
      <c r="H9553" s="1" t="s">
        <v>1827</v>
      </c>
      <c r="I9553">
        <v>5</v>
      </c>
      <c r="J9553">
        <f>IF($H9553=0,1,IF($I9553&lt;=1,2,0))</f>
        <v>0</v>
      </c>
      <c r="K9553">
        <v>9</v>
      </c>
      <c r="L9553">
        <f>IF(AND($J9553=0,$K9553=0),0,1)</f>
        <v>1</v>
      </c>
    </row>
    <row r="9554" spans="1:12" x14ac:dyDescent="0.2">
      <c r="A9554" t="s">
        <v>556</v>
      </c>
      <c r="B9554" t="s">
        <v>71</v>
      </c>
      <c r="C9554" t="s">
        <v>72</v>
      </c>
      <c r="D9554">
        <v>4998</v>
      </c>
      <c r="E9554">
        <v>2019</v>
      </c>
      <c r="F9554">
        <v>18</v>
      </c>
      <c r="G9554">
        <v>44762</v>
      </c>
      <c r="H9554" s="1" t="s">
        <v>1827</v>
      </c>
      <c r="I9554">
        <v>5</v>
      </c>
      <c r="J9554">
        <f>IF($H9554=0,1,IF($I9554&lt;=1,2,0))</f>
        <v>0</v>
      </c>
      <c r="K9554">
        <v>9</v>
      </c>
      <c r="L9554">
        <f>IF(AND($J9554=0,$K9554=0),0,1)</f>
        <v>1</v>
      </c>
    </row>
    <row r="9555" spans="1:12" x14ac:dyDescent="0.2">
      <c r="A9555" t="s">
        <v>556</v>
      </c>
      <c r="B9555" t="s">
        <v>71</v>
      </c>
      <c r="C9555" t="s">
        <v>72</v>
      </c>
      <c r="D9555">
        <v>4998</v>
      </c>
      <c r="E9555">
        <v>2019</v>
      </c>
      <c r="F9555">
        <v>8</v>
      </c>
      <c r="G9555">
        <v>44752</v>
      </c>
      <c r="H9555" s="1" t="s">
        <v>1827</v>
      </c>
      <c r="I9555">
        <v>2</v>
      </c>
      <c r="J9555">
        <f>IF($H9555=0,1,IF($I9555&lt;=1,2,0))</f>
        <v>0</v>
      </c>
      <c r="K9555">
        <v>9</v>
      </c>
      <c r="L9555">
        <f>IF(AND($J9555=0,$K9555=0),0,1)</f>
        <v>1</v>
      </c>
    </row>
    <row r="9556" spans="1:12" x14ac:dyDescent="0.2">
      <c r="A9556" t="s">
        <v>556</v>
      </c>
      <c r="B9556" t="s">
        <v>71</v>
      </c>
      <c r="C9556" t="s">
        <v>72</v>
      </c>
      <c r="D9556">
        <v>4998</v>
      </c>
      <c r="E9556">
        <v>2019</v>
      </c>
      <c r="F9556">
        <v>9</v>
      </c>
      <c r="G9556">
        <v>44753</v>
      </c>
      <c r="H9556" s="1" t="s">
        <v>1827</v>
      </c>
      <c r="I9556">
        <v>2</v>
      </c>
      <c r="J9556">
        <f>IF($H9556=0,1,IF($I9556&lt;=1,2,0))</f>
        <v>0</v>
      </c>
      <c r="K9556">
        <v>9</v>
      </c>
      <c r="L9556">
        <f>IF(AND($J9556=0,$K9556=0),0,1)</f>
        <v>1</v>
      </c>
    </row>
    <row r="9557" spans="1:12" x14ac:dyDescent="0.2">
      <c r="A9557" t="s">
        <v>556</v>
      </c>
      <c r="B9557" t="s">
        <v>71</v>
      </c>
      <c r="C9557" t="s">
        <v>72</v>
      </c>
      <c r="D9557">
        <v>4998</v>
      </c>
      <c r="E9557">
        <v>2019</v>
      </c>
      <c r="F9557">
        <v>2</v>
      </c>
      <c r="G9557">
        <v>44746</v>
      </c>
      <c r="H9557" s="1" t="s">
        <v>1827</v>
      </c>
      <c r="I9557">
        <v>1</v>
      </c>
      <c r="J9557">
        <f>IF($H9557=0,1,IF($I9557&lt;=1,2,0))</f>
        <v>2</v>
      </c>
      <c r="K9557">
        <v>9</v>
      </c>
      <c r="L9557">
        <f>IF(AND($J9557=0,$K9557=0),0,1)</f>
        <v>1</v>
      </c>
    </row>
    <row r="9558" spans="1:12" x14ac:dyDescent="0.2">
      <c r="A9558" t="s">
        <v>556</v>
      </c>
      <c r="B9558" t="s">
        <v>71</v>
      </c>
      <c r="C9558" t="s">
        <v>72</v>
      </c>
      <c r="D9558">
        <v>4998</v>
      </c>
      <c r="E9558">
        <v>2019</v>
      </c>
      <c r="F9558">
        <v>3</v>
      </c>
      <c r="G9558">
        <v>44747</v>
      </c>
      <c r="H9558" s="1" t="s">
        <v>1827</v>
      </c>
      <c r="I9558">
        <v>1</v>
      </c>
      <c r="J9558">
        <f>IF($H9558=0,1,IF($I9558&lt;=1,2,0))</f>
        <v>2</v>
      </c>
      <c r="K9558">
        <v>9</v>
      </c>
      <c r="L9558">
        <f>IF(AND($J9558=0,$K9558=0),0,1)</f>
        <v>1</v>
      </c>
    </row>
    <row r="9559" spans="1:12" x14ac:dyDescent="0.2">
      <c r="A9559" t="s">
        <v>556</v>
      </c>
      <c r="B9559" t="s">
        <v>71</v>
      </c>
      <c r="C9559" t="s">
        <v>72</v>
      </c>
      <c r="D9559">
        <v>4998</v>
      </c>
      <c r="E9559">
        <v>2019</v>
      </c>
      <c r="F9559">
        <v>10</v>
      </c>
      <c r="G9559">
        <v>44754</v>
      </c>
      <c r="H9559" s="1" t="s">
        <v>1827</v>
      </c>
      <c r="I9559">
        <v>1</v>
      </c>
      <c r="J9559">
        <f>IF($H9559=0,1,IF($I9559&lt;=1,2,0))</f>
        <v>2</v>
      </c>
      <c r="K9559">
        <v>9</v>
      </c>
      <c r="L9559">
        <f>IF(AND($J9559=0,$K9559=0),0,1)</f>
        <v>1</v>
      </c>
    </row>
    <row r="9560" spans="1:12" x14ac:dyDescent="0.2">
      <c r="A9560" t="s">
        <v>556</v>
      </c>
      <c r="B9560" t="s">
        <v>71</v>
      </c>
      <c r="C9560" t="s">
        <v>72</v>
      </c>
      <c r="D9560">
        <v>4998</v>
      </c>
      <c r="E9560">
        <v>2019</v>
      </c>
      <c r="F9560">
        <v>4</v>
      </c>
      <c r="G9560">
        <v>44748</v>
      </c>
      <c r="H9560" s="1" t="s">
        <v>1827</v>
      </c>
      <c r="I9560">
        <v>0</v>
      </c>
      <c r="J9560">
        <f>IF($H9560=0,1,IF($I9560&lt;=1,2,0))</f>
        <v>2</v>
      </c>
      <c r="K9560">
        <v>9</v>
      </c>
      <c r="L9560">
        <f>IF(AND($J9560=0,$K9560=0),0,1)</f>
        <v>1</v>
      </c>
    </row>
    <row r="9561" spans="1:12" x14ac:dyDescent="0.2">
      <c r="A9561" t="s">
        <v>556</v>
      </c>
      <c r="B9561" t="s">
        <v>71</v>
      </c>
      <c r="C9561" t="s">
        <v>72</v>
      </c>
      <c r="D9561">
        <v>4998</v>
      </c>
      <c r="E9561">
        <v>2019</v>
      </c>
      <c r="F9561">
        <v>5</v>
      </c>
      <c r="G9561">
        <v>44749</v>
      </c>
      <c r="H9561" s="1" t="s">
        <v>1827</v>
      </c>
      <c r="I9561">
        <v>0</v>
      </c>
      <c r="J9561">
        <f>IF($H9561=0,1,IF($I9561&lt;=1,2,0))</f>
        <v>2</v>
      </c>
      <c r="K9561">
        <v>9</v>
      </c>
      <c r="L9561">
        <f>IF(AND($J9561=0,$K9561=0),0,1)</f>
        <v>1</v>
      </c>
    </row>
    <row r="9562" spans="1:12" x14ac:dyDescent="0.2">
      <c r="A9562" t="s">
        <v>556</v>
      </c>
      <c r="B9562" t="s">
        <v>71</v>
      </c>
      <c r="C9562" t="s">
        <v>72</v>
      </c>
      <c r="D9562">
        <v>4998</v>
      </c>
      <c r="E9562">
        <v>2019</v>
      </c>
      <c r="F9562">
        <v>6</v>
      </c>
      <c r="G9562">
        <v>44750</v>
      </c>
      <c r="H9562" s="1" t="s">
        <v>1827</v>
      </c>
      <c r="I9562">
        <v>0</v>
      </c>
      <c r="J9562">
        <f>IF($H9562=0,1,IF($I9562&lt;=1,2,0))</f>
        <v>2</v>
      </c>
      <c r="K9562">
        <v>9</v>
      </c>
      <c r="L9562">
        <f>IF(AND($J9562=0,$K9562=0),0,1)</f>
        <v>1</v>
      </c>
    </row>
    <row r="9563" spans="1:12" x14ac:dyDescent="0.2">
      <c r="A9563" t="s">
        <v>556</v>
      </c>
      <c r="B9563" t="s">
        <v>71</v>
      </c>
      <c r="C9563" t="s">
        <v>72</v>
      </c>
      <c r="D9563">
        <v>4998</v>
      </c>
      <c r="E9563">
        <v>2019</v>
      </c>
      <c r="F9563">
        <v>7</v>
      </c>
      <c r="G9563">
        <v>44751</v>
      </c>
      <c r="H9563" s="1" t="s">
        <v>1827</v>
      </c>
      <c r="I9563">
        <v>0</v>
      </c>
      <c r="J9563">
        <f>IF($H9563=0,1,IF($I9563&lt;=1,2,0))</f>
        <v>2</v>
      </c>
      <c r="K9563">
        <v>9</v>
      </c>
      <c r="L9563">
        <f>IF(AND($J9563=0,$K9563=0),0,1)</f>
        <v>1</v>
      </c>
    </row>
    <row r="9564" spans="1:12" x14ac:dyDescent="0.2">
      <c r="A9564" t="s">
        <v>556</v>
      </c>
      <c r="B9564" t="s">
        <v>71</v>
      </c>
      <c r="C9564" t="s">
        <v>72</v>
      </c>
      <c r="D9564">
        <v>4998</v>
      </c>
      <c r="E9564">
        <v>2019</v>
      </c>
      <c r="F9564">
        <v>11</v>
      </c>
      <c r="G9564">
        <v>44755</v>
      </c>
      <c r="H9564" s="1" t="s">
        <v>1827</v>
      </c>
      <c r="I9564">
        <v>0</v>
      </c>
      <c r="J9564">
        <f>IF($H9564=0,1,IF($I9564&lt;=1,2,0))</f>
        <v>2</v>
      </c>
      <c r="K9564">
        <v>9</v>
      </c>
      <c r="L9564">
        <f>IF(AND($J9564=0,$K9564=0),0,1)</f>
        <v>1</v>
      </c>
    </row>
    <row r="9565" spans="1:12" x14ac:dyDescent="0.2">
      <c r="A9565" t="s">
        <v>556</v>
      </c>
      <c r="B9565" t="s">
        <v>71</v>
      </c>
      <c r="C9565" t="s">
        <v>72</v>
      </c>
      <c r="D9565">
        <v>4998</v>
      </c>
      <c r="E9565">
        <v>2019</v>
      </c>
      <c r="F9565">
        <v>12</v>
      </c>
      <c r="G9565">
        <v>44756</v>
      </c>
      <c r="H9565" s="1" t="s">
        <v>1827</v>
      </c>
      <c r="I9565">
        <v>0</v>
      </c>
      <c r="J9565">
        <f>IF($H9565=0,1,IF($I9565&lt;=1,2,0))</f>
        <v>2</v>
      </c>
      <c r="K9565">
        <v>9</v>
      </c>
      <c r="L9565">
        <f>IF(AND($J9565=0,$K9565=0),0,1)</f>
        <v>1</v>
      </c>
    </row>
    <row r="9566" spans="1:12" x14ac:dyDescent="0.2">
      <c r="A9566" t="s">
        <v>556</v>
      </c>
      <c r="B9566" t="s">
        <v>71</v>
      </c>
      <c r="C9566" t="s">
        <v>72</v>
      </c>
      <c r="D9566">
        <v>4998</v>
      </c>
      <c r="E9566">
        <v>2019</v>
      </c>
      <c r="F9566">
        <v>13</v>
      </c>
      <c r="G9566">
        <v>44757</v>
      </c>
      <c r="H9566" s="1" t="s">
        <v>1827</v>
      </c>
      <c r="I9566">
        <v>0</v>
      </c>
      <c r="J9566">
        <f>IF($H9566=0,1,IF($I9566&lt;=1,2,0))</f>
        <v>2</v>
      </c>
      <c r="K9566">
        <v>9</v>
      </c>
      <c r="L9566">
        <f>IF(AND($J9566=0,$K9566=0),0,1)</f>
        <v>1</v>
      </c>
    </row>
    <row r="9567" spans="1:12" x14ac:dyDescent="0.2">
      <c r="A9567" t="s">
        <v>556</v>
      </c>
      <c r="B9567" t="s">
        <v>71</v>
      </c>
      <c r="C9567" t="s">
        <v>72</v>
      </c>
      <c r="D9567">
        <v>4998</v>
      </c>
      <c r="E9567">
        <v>2019</v>
      </c>
      <c r="F9567">
        <v>14</v>
      </c>
      <c r="G9567">
        <v>44758</v>
      </c>
      <c r="H9567" s="1" t="s">
        <v>1827</v>
      </c>
      <c r="I9567">
        <v>0</v>
      </c>
      <c r="J9567">
        <f>IF($H9567=0,1,IF($I9567&lt;=1,2,0))</f>
        <v>2</v>
      </c>
      <c r="K9567">
        <v>9</v>
      </c>
      <c r="L9567">
        <f>IF(AND($J9567=0,$K9567=0),0,1)</f>
        <v>1</v>
      </c>
    </row>
    <row r="9568" spans="1:12" x14ac:dyDescent="0.2">
      <c r="A9568" t="s">
        <v>556</v>
      </c>
      <c r="B9568" t="s">
        <v>71</v>
      </c>
      <c r="C9568" t="s">
        <v>72</v>
      </c>
      <c r="D9568">
        <v>4998</v>
      </c>
      <c r="E9568">
        <v>2019</v>
      </c>
      <c r="F9568">
        <v>15</v>
      </c>
      <c r="G9568">
        <v>44759</v>
      </c>
      <c r="H9568" s="1" t="s">
        <v>1827</v>
      </c>
      <c r="I9568">
        <v>0</v>
      </c>
      <c r="J9568">
        <f>IF($H9568=0,1,IF($I9568&lt;=1,2,0))</f>
        <v>2</v>
      </c>
      <c r="K9568">
        <v>9</v>
      </c>
      <c r="L9568">
        <f>IF(AND($J9568=0,$K9568=0),0,1)</f>
        <v>1</v>
      </c>
    </row>
    <row r="9569" spans="1:12" x14ac:dyDescent="0.2">
      <c r="A9569" t="s">
        <v>556</v>
      </c>
      <c r="B9569" t="s">
        <v>71</v>
      </c>
      <c r="C9569" t="s">
        <v>72</v>
      </c>
      <c r="D9569">
        <v>4998</v>
      </c>
      <c r="E9569">
        <v>2019</v>
      </c>
      <c r="F9569">
        <v>16</v>
      </c>
      <c r="G9569">
        <v>44760</v>
      </c>
      <c r="H9569" s="1" t="s">
        <v>1827</v>
      </c>
      <c r="I9569">
        <v>0</v>
      </c>
      <c r="J9569">
        <f>IF($H9569=0,1,IF($I9569&lt;=1,2,0))</f>
        <v>2</v>
      </c>
      <c r="K9569">
        <v>9</v>
      </c>
      <c r="L9569">
        <f>IF(AND($J9569=0,$K9569=0),0,1)</f>
        <v>1</v>
      </c>
    </row>
    <row r="9570" spans="1:12" x14ac:dyDescent="0.2">
      <c r="A9570" t="s">
        <v>556</v>
      </c>
      <c r="B9570" t="s">
        <v>71</v>
      </c>
      <c r="C9570" t="s">
        <v>72</v>
      </c>
      <c r="D9570">
        <v>4998</v>
      </c>
      <c r="E9570">
        <v>2019</v>
      </c>
      <c r="F9570">
        <v>17</v>
      </c>
      <c r="G9570">
        <v>44761</v>
      </c>
      <c r="H9570" s="1" t="s">
        <v>1827</v>
      </c>
      <c r="I9570">
        <v>0</v>
      </c>
      <c r="J9570">
        <f>IF($H9570=0,1,IF($I9570&lt;=1,2,0))</f>
        <v>2</v>
      </c>
      <c r="K9570">
        <v>9</v>
      </c>
      <c r="L9570">
        <f>IF(AND($J9570=0,$K9570=0),0,1)</f>
        <v>1</v>
      </c>
    </row>
    <row r="9571" spans="1:12" x14ac:dyDescent="0.2">
      <c r="A9571" t="s">
        <v>556</v>
      </c>
      <c r="B9571" t="s">
        <v>71</v>
      </c>
      <c r="C9571" t="s">
        <v>72</v>
      </c>
      <c r="D9571">
        <v>4998</v>
      </c>
      <c r="E9571">
        <v>2019</v>
      </c>
      <c r="F9571">
        <v>19</v>
      </c>
      <c r="G9571">
        <v>44763</v>
      </c>
      <c r="H9571" s="1" t="s">
        <v>1827</v>
      </c>
      <c r="I9571">
        <v>0</v>
      </c>
      <c r="J9571">
        <f>IF($H9571=0,1,IF($I9571&lt;=1,2,0))</f>
        <v>2</v>
      </c>
      <c r="K9571">
        <v>9</v>
      </c>
      <c r="L9571">
        <f>IF(AND($J9571=0,$K9571=0),0,1)</f>
        <v>1</v>
      </c>
    </row>
    <row r="9572" spans="1:12" x14ac:dyDescent="0.2">
      <c r="A9572" t="s">
        <v>556</v>
      </c>
      <c r="B9572" t="s">
        <v>71</v>
      </c>
      <c r="C9572" t="s">
        <v>72</v>
      </c>
      <c r="D9572">
        <v>4999</v>
      </c>
      <c r="E9572">
        <v>2019</v>
      </c>
      <c r="F9572">
        <v>1</v>
      </c>
      <c r="G9572">
        <v>44703</v>
      </c>
      <c r="H9572" s="1">
        <v>1</v>
      </c>
      <c r="I9572">
        <v>12</v>
      </c>
      <c r="J9572">
        <f>IF($H9572=0,1,IF($I9572&lt;=1,2,0))</f>
        <v>0</v>
      </c>
      <c r="K9572">
        <v>9</v>
      </c>
      <c r="L9572">
        <f>IF(AND($J9572=0,$K9572=0),0,1)</f>
        <v>1</v>
      </c>
    </row>
    <row r="9573" spans="1:12" x14ac:dyDescent="0.2">
      <c r="A9573" t="s">
        <v>556</v>
      </c>
      <c r="B9573" t="s">
        <v>71</v>
      </c>
      <c r="C9573" t="s">
        <v>72</v>
      </c>
      <c r="D9573">
        <v>8020</v>
      </c>
      <c r="E9573">
        <v>2019</v>
      </c>
      <c r="F9573">
        <v>1</v>
      </c>
      <c r="G9573">
        <v>44636</v>
      </c>
      <c r="H9573" s="1" t="s">
        <v>1827</v>
      </c>
      <c r="I9573">
        <v>2</v>
      </c>
      <c r="J9573">
        <f>IF($H9573=0,1,IF($I9573&lt;=1,2,0))</f>
        <v>0</v>
      </c>
      <c r="K9573">
        <v>4</v>
      </c>
      <c r="L9573">
        <f>IF(AND($J9573=0,$K9573=0),0,1)</f>
        <v>1</v>
      </c>
    </row>
    <row r="9574" spans="1:12" x14ac:dyDescent="0.2">
      <c r="A9574" t="s">
        <v>556</v>
      </c>
      <c r="B9574" t="s">
        <v>71</v>
      </c>
      <c r="C9574" t="s">
        <v>72</v>
      </c>
      <c r="D9574">
        <v>8020</v>
      </c>
      <c r="E9574">
        <v>2019</v>
      </c>
      <c r="F9574">
        <v>12</v>
      </c>
      <c r="G9574">
        <v>44647</v>
      </c>
      <c r="H9574" s="1" t="s">
        <v>1827</v>
      </c>
      <c r="I9574">
        <v>1</v>
      </c>
      <c r="J9574">
        <f>IF($H9574=0,1,IF($I9574&lt;=1,2,0))</f>
        <v>2</v>
      </c>
      <c r="K9574">
        <v>0</v>
      </c>
      <c r="L9574">
        <f>IF(AND($J9574=0,$K9574=0),0,1)</f>
        <v>1</v>
      </c>
    </row>
    <row r="9575" spans="1:12" x14ac:dyDescent="0.2">
      <c r="A9575" t="s">
        <v>556</v>
      </c>
      <c r="B9575" t="s">
        <v>71</v>
      </c>
      <c r="C9575" t="s">
        <v>72</v>
      </c>
      <c r="D9575">
        <v>8020</v>
      </c>
      <c r="E9575">
        <v>2019</v>
      </c>
      <c r="F9575">
        <v>18</v>
      </c>
      <c r="G9575">
        <v>44653</v>
      </c>
      <c r="H9575" s="1" t="s">
        <v>1827</v>
      </c>
      <c r="I9575">
        <v>1</v>
      </c>
      <c r="J9575">
        <f>IF($H9575=0,1,IF($I9575&lt;=1,2,0))</f>
        <v>2</v>
      </c>
      <c r="K9575">
        <v>0</v>
      </c>
      <c r="L9575">
        <f>IF(AND($J9575=0,$K9575=0),0,1)</f>
        <v>1</v>
      </c>
    </row>
    <row r="9576" spans="1:12" x14ac:dyDescent="0.2">
      <c r="A9576" t="s">
        <v>556</v>
      </c>
      <c r="B9576" t="s">
        <v>71</v>
      </c>
      <c r="C9576" t="s">
        <v>72</v>
      </c>
      <c r="D9576">
        <v>8020</v>
      </c>
      <c r="E9576">
        <v>2019</v>
      </c>
      <c r="F9576">
        <v>2</v>
      </c>
      <c r="G9576">
        <v>44637</v>
      </c>
      <c r="H9576" s="1" t="s">
        <v>1827</v>
      </c>
      <c r="I9576">
        <v>0</v>
      </c>
      <c r="J9576">
        <f>IF($H9576=0,1,IF($I9576&lt;=1,2,0))</f>
        <v>2</v>
      </c>
      <c r="K9576">
        <v>0</v>
      </c>
      <c r="L9576">
        <f>IF(AND($J9576=0,$K9576=0),0,1)</f>
        <v>1</v>
      </c>
    </row>
    <row r="9577" spans="1:12" x14ac:dyDescent="0.2">
      <c r="A9577" t="s">
        <v>556</v>
      </c>
      <c r="B9577" t="s">
        <v>71</v>
      </c>
      <c r="C9577" t="s">
        <v>72</v>
      </c>
      <c r="D9577">
        <v>8020</v>
      </c>
      <c r="E9577">
        <v>2019</v>
      </c>
      <c r="F9577">
        <v>3</v>
      </c>
      <c r="G9577">
        <v>44638</v>
      </c>
      <c r="H9577" s="1" t="s">
        <v>1827</v>
      </c>
      <c r="I9577">
        <v>0</v>
      </c>
      <c r="J9577">
        <f>IF($H9577=0,1,IF($I9577&lt;=1,2,0))</f>
        <v>2</v>
      </c>
      <c r="K9577">
        <v>0</v>
      </c>
      <c r="L9577">
        <f>IF(AND($J9577=0,$K9577=0),0,1)</f>
        <v>1</v>
      </c>
    </row>
    <row r="9578" spans="1:12" x14ac:dyDescent="0.2">
      <c r="A9578" t="s">
        <v>556</v>
      </c>
      <c r="B9578" t="s">
        <v>71</v>
      </c>
      <c r="C9578" t="s">
        <v>72</v>
      </c>
      <c r="D9578">
        <v>8020</v>
      </c>
      <c r="E9578">
        <v>2019</v>
      </c>
      <c r="F9578">
        <v>4</v>
      </c>
      <c r="G9578">
        <v>44639</v>
      </c>
      <c r="H9578" s="1" t="s">
        <v>1827</v>
      </c>
      <c r="I9578">
        <v>0</v>
      </c>
      <c r="J9578">
        <f>IF($H9578=0,1,IF($I9578&lt;=1,2,0))</f>
        <v>2</v>
      </c>
      <c r="K9578">
        <v>0</v>
      </c>
      <c r="L9578">
        <f>IF(AND($J9578=0,$K9578=0),0,1)</f>
        <v>1</v>
      </c>
    </row>
    <row r="9579" spans="1:12" x14ac:dyDescent="0.2">
      <c r="A9579" t="s">
        <v>556</v>
      </c>
      <c r="B9579" t="s">
        <v>71</v>
      </c>
      <c r="C9579" t="s">
        <v>72</v>
      </c>
      <c r="D9579">
        <v>8020</v>
      </c>
      <c r="E9579">
        <v>2019</v>
      </c>
      <c r="F9579">
        <v>5</v>
      </c>
      <c r="G9579">
        <v>44640</v>
      </c>
      <c r="H9579" s="1" t="s">
        <v>1827</v>
      </c>
      <c r="I9579">
        <v>0</v>
      </c>
      <c r="J9579">
        <f>IF($H9579=0,1,IF($I9579&lt;=1,2,0))</f>
        <v>2</v>
      </c>
      <c r="K9579">
        <v>0</v>
      </c>
      <c r="L9579">
        <f>IF(AND($J9579=0,$K9579=0),0,1)</f>
        <v>1</v>
      </c>
    </row>
    <row r="9580" spans="1:12" x14ac:dyDescent="0.2">
      <c r="A9580" t="s">
        <v>556</v>
      </c>
      <c r="B9580" t="s">
        <v>71</v>
      </c>
      <c r="C9580" t="s">
        <v>72</v>
      </c>
      <c r="D9580">
        <v>8020</v>
      </c>
      <c r="E9580">
        <v>2019</v>
      </c>
      <c r="F9580">
        <v>6</v>
      </c>
      <c r="G9580">
        <v>44641</v>
      </c>
      <c r="H9580" s="1" t="s">
        <v>1827</v>
      </c>
      <c r="I9580">
        <v>0</v>
      </c>
      <c r="J9580">
        <f>IF($H9580=0,1,IF($I9580&lt;=1,2,0))</f>
        <v>2</v>
      </c>
      <c r="K9580">
        <v>0</v>
      </c>
      <c r="L9580">
        <f>IF(AND($J9580=0,$K9580=0),0,1)</f>
        <v>1</v>
      </c>
    </row>
    <row r="9581" spans="1:12" x14ac:dyDescent="0.2">
      <c r="A9581" t="s">
        <v>556</v>
      </c>
      <c r="B9581" t="s">
        <v>71</v>
      </c>
      <c r="C9581" t="s">
        <v>72</v>
      </c>
      <c r="D9581">
        <v>8020</v>
      </c>
      <c r="E9581">
        <v>2019</v>
      </c>
      <c r="F9581">
        <v>7</v>
      </c>
      <c r="G9581">
        <v>44642</v>
      </c>
      <c r="H9581" s="1" t="s">
        <v>1827</v>
      </c>
      <c r="I9581">
        <v>0</v>
      </c>
      <c r="J9581">
        <f>IF($H9581=0,1,IF($I9581&lt;=1,2,0))</f>
        <v>2</v>
      </c>
      <c r="K9581">
        <v>0</v>
      </c>
      <c r="L9581">
        <f>IF(AND($J9581=0,$K9581=0),0,1)</f>
        <v>1</v>
      </c>
    </row>
    <row r="9582" spans="1:12" x14ac:dyDescent="0.2">
      <c r="A9582" t="s">
        <v>556</v>
      </c>
      <c r="B9582" t="s">
        <v>71</v>
      </c>
      <c r="C9582" t="s">
        <v>72</v>
      </c>
      <c r="D9582">
        <v>8020</v>
      </c>
      <c r="E9582">
        <v>2019</v>
      </c>
      <c r="F9582">
        <v>8</v>
      </c>
      <c r="G9582">
        <v>44643</v>
      </c>
      <c r="H9582" s="1" t="s">
        <v>1827</v>
      </c>
      <c r="I9582">
        <v>0</v>
      </c>
      <c r="J9582">
        <f>IF($H9582=0,1,IF($I9582&lt;=1,2,0))</f>
        <v>2</v>
      </c>
      <c r="K9582">
        <v>0</v>
      </c>
      <c r="L9582">
        <f>IF(AND($J9582=0,$K9582=0),0,1)</f>
        <v>1</v>
      </c>
    </row>
    <row r="9583" spans="1:12" x14ac:dyDescent="0.2">
      <c r="A9583" t="s">
        <v>556</v>
      </c>
      <c r="B9583" t="s">
        <v>71</v>
      </c>
      <c r="C9583" t="s">
        <v>72</v>
      </c>
      <c r="D9583">
        <v>8020</v>
      </c>
      <c r="E9583">
        <v>2019</v>
      </c>
      <c r="F9583">
        <v>9</v>
      </c>
      <c r="G9583">
        <v>44644</v>
      </c>
      <c r="H9583" s="1" t="s">
        <v>1827</v>
      </c>
      <c r="I9583">
        <v>0</v>
      </c>
      <c r="J9583">
        <f>IF($H9583=0,1,IF($I9583&lt;=1,2,0))</f>
        <v>2</v>
      </c>
      <c r="K9583">
        <v>0</v>
      </c>
      <c r="L9583">
        <f>IF(AND($J9583=0,$K9583=0),0,1)</f>
        <v>1</v>
      </c>
    </row>
    <row r="9584" spans="1:12" x14ac:dyDescent="0.2">
      <c r="A9584" t="s">
        <v>556</v>
      </c>
      <c r="B9584" t="s">
        <v>71</v>
      </c>
      <c r="C9584" t="s">
        <v>72</v>
      </c>
      <c r="D9584">
        <v>8020</v>
      </c>
      <c r="E9584">
        <v>2019</v>
      </c>
      <c r="F9584">
        <v>10</v>
      </c>
      <c r="G9584">
        <v>44645</v>
      </c>
      <c r="H9584" s="1" t="s">
        <v>1827</v>
      </c>
      <c r="I9584">
        <v>0</v>
      </c>
      <c r="J9584">
        <f>IF($H9584=0,1,IF($I9584&lt;=1,2,0))</f>
        <v>2</v>
      </c>
      <c r="K9584">
        <v>0</v>
      </c>
      <c r="L9584">
        <f>IF(AND($J9584=0,$K9584=0),0,1)</f>
        <v>1</v>
      </c>
    </row>
    <row r="9585" spans="1:12" x14ac:dyDescent="0.2">
      <c r="A9585" t="s">
        <v>556</v>
      </c>
      <c r="B9585" t="s">
        <v>71</v>
      </c>
      <c r="C9585" t="s">
        <v>72</v>
      </c>
      <c r="D9585">
        <v>8020</v>
      </c>
      <c r="E9585">
        <v>2019</v>
      </c>
      <c r="F9585">
        <v>11</v>
      </c>
      <c r="G9585">
        <v>44646</v>
      </c>
      <c r="H9585" s="1" t="s">
        <v>1827</v>
      </c>
      <c r="I9585">
        <v>0</v>
      </c>
      <c r="J9585">
        <f>IF($H9585=0,1,IF($I9585&lt;=1,2,0))</f>
        <v>2</v>
      </c>
      <c r="K9585">
        <v>0</v>
      </c>
      <c r="L9585">
        <f>IF(AND($J9585=0,$K9585=0),0,1)</f>
        <v>1</v>
      </c>
    </row>
    <row r="9586" spans="1:12" x14ac:dyDescent="0.2">
      <c r="A9586" t="s">
        <v>556</v>
      </c>
      <c r="B9586" t="s">
        <v>71</v>
      </c>
      <c r="C9586" t="s">
        <v>72</v>
      </c>
      <c r="D9586">
        <v>8020</v>
      </c>
      <c r="E9586">
        <v>2019</v>
      </c>
      <c r="F9586">
        <v>13</v>
      </c>
      <c r="G9586">
        <v>44648</v>
      </c>
      <c r="H9586" s="1" t="s">
        <v>1827</v>
      </c>
      <c r="I9586">
        <v>0</v>
      </c>
      <c r="J9586">
        <f>IF($H9586=0,1,IF($I9586&lt;=1,2,0))</f>
        <v>2</v>
      </c>
      <c r="K9586">
        <v>0</v>
      </c>
      <c r="L9586">
        <f>IF(AND($J9586=0,$K9586=0),0,1)</f>
        <v>1</v>
      </c>
    </row>
    <row r="9587" spans="1:12" x14ac:dyDescent="0.2">
      <c r="A9587" t="s">
        <v>556</v>
      </c>
      <c r="B9587" t="s">
        <v>71</v>
      </c>
      <c r="C9587" t="s">
        <v>72</v>
      </c>
      <c r="D9587">
        <v>8020</v>
      </c>
      <c r="E9587">
        <v>2019</v>
      </c>
      <c r="F9587">
        <v>14</v>
      </c>
      <c r="G9587">
        <v>44649</v>
      </c>
      <c r="H9587" s="1" t="s">
        <v>1827</v>
      </c>
      <c r="I9587">
        <v>0</v>
      </c>
      <c r="J9587">
        <f>IF($H9587=0,1,IF($I9587&lt;=1,2,0))</f>
        <v>2</v>
      </c>
      <c r="K9587">
        <v>0</v>
      </c>
      <c r="L9587">
        <f>IF(AND($J9587=0,$K9587=0),0,1)</f>
        <v>1</v>
      </c>
    </row>
    <row r="9588" spans="1:12" x14ac:dyDescent="0.2">
      <c r="A9588" t="s">
        <v>556</v>
      </c>
      <c r="B9588" t="s">
        <v>71</v>
      </c>
      <c r="C9588" t="s">
        <v>72</v>
      </c>
      <c r="D9588">
        <v>8020</v>
      </c>
      <c r="E9588">
        <v>2019</v>
      </c>
      <c r="F9588">
        <v>15</v>
      </c>
      <c r="G9588">
        <v>44650</v>
      </c>
      <c r="H9588" s="1" t="s">
        <v>1827</v>
      </c>
      <c r="I9588">
        <v>0</v>
      </c>
      <c r="J9588">
        <f>IF($H9588=0,1,IF($I9588&lt;=1,2,0))</f>
        <v>2</v>
      </c>
      <c r="K9588">
        <v>0</v>
      </c>
      <c r="L9588">
        <f>IF(AND($J9588=0,$K9588=0),0,1)</f>
        <v>1</v>
      </c>
    </row>
    <row r="9589" spans="1:12" x14ac:dyDescent="0.2">
      <c r="A9589" t="s">
        <v>556</v>
      </c>
      <c r="B9589" t="s">
        <v>71</v>
      </c>
      <c r="C9589" t="s">
        <v>72</v>
      </c>
      <c r="D9589">
        <v>8020</v>
      </c>
      <c r="E9589">
        <v>2019</v>
      </c>
      <c r="F9589">
        <v>16</v>
      </c>
      <c r="G9589">
        <v>44651</v>
      </c>
      <c r="H9589" s="1" t="s">
        <v>1827</v>
      </c>
      <c r="I9589">
        <v>0</v>
      </c>
      <c r="J9589">
        <f>IF($H9589=0,1,IF($I9589&lt;=1,2,0))</f>
        <v>2</v>
      </c>
      <c r="K9589">
        <v>0</v>
      </c>
      <c r="L9589">
        <f>IF(AND($J9589=0,$K9589=0),0,1)</f>
        <v>1</v>
      </c>
    </row>
    <row r="9590" spans="1:12" x14ac:dyDescent="0.2">
      <c r="A9590" t="s">
        <v>556</v>
      </c>
      <c r="B9590" t="s">
        <v>71</v>
      </c>
      <c r="C9590" t="s">
        <v>72</v>
      </c>
      <c r="D9590">
        <v>8020</v>
      </c>
      <c r="E9590">
        <v>2019</v>
      </c>
      <c r="F9590">
        <v>17</v>
      </c>
      <c r="G9590">
        <v>44652</v>
      </c>
      <c r="H9590" s="1" t="s">
        <v>1827</v>
      </c>
      <c r="I9590">
        <v>0</v>
      </c>
      <c r="J9590">
        <f>IF($H9590=0,1,IF($I9590&lt;=1,2,0))</f>
        <v>2</v>
      </c>
      <c r="K9590">
        <v>0</v>
      </c>
      <c r="L9590">
        <f>IF(AND($J9590=0,$K9590=0),0,1)</f>
        <v>1</v>
      </c>
    </row>
    <row r="9591" spans="1:12" x14ac:dyDescent="0.2">
      <c r="A9591" t="s">
        <v>556</v>
      </c>
      <c r="B9591" t="s">
        <v>71</v>
      </c>
      <c r="C9591" t="s">
        <v>72</v>
      </c>
      <c r="D9591">
        <v>8020</v>
      </c>
      <c r="E9591">
        <v>2019</v>
      </c>
      <c r="F9591">
        <v>19</v>
      </c>
      <c r="G9591">
        <v>44654</v>
      </c>
      <c r="H9591" s="1" t="s">
        <v>1827</v>
      </c>
      <c r="I9591">
        <v>0</v>
      </c>
      <c r="J9591">
        <f>IF($H9591=0,1,IF($I9591&lt;=1,2,0))</f>
        <v>2</v>
      </c>
      <c r="K9591">
        <v>0</v>
      </c>
      <c r="L9591">
        <f>IF(AND($J9591=0,$K9591=0),0,1)</f>
        <v>1</v>
      </c>
    </row>
    <row r="9592" spans="1:12" x14ac:dyDescent="0.2">
      <c r="A9592" t="s">
        <v>556</v>
      </c>
      <c r="B9592" t="s">
        <v>71</v>
      </c>
      <c r="C9592" t="s">
        <v>72</v>
      </c>
      <c r="D9592">
        <v>9000</v>
      </c>
      <c r="E9592">
        <v>2019</v>
      </c>
      <c r="F9592">
        <v>1</v>
      </c>
      <c r="G9592">
        <v>44705</v>
      </c>
      <c r="H9592" s="1" t="s">
        <v>1828</v>
      </c>
      <c r="I9592">
        <v>10</v>
      </c>
      <c r="J9592">
        <f>IF($H9592=0,1,IF($I9592&lt;=1,2,0))</f>
        <v>0</v>
      </c>
      <c r="K9592">
        <v>5</v>
      </c>
      <c r="L9592">
        <f>IF(AND($J9592=0,$K9592=0),0,1)</f>
        <v>1</v>
      </c>
    </row>
    <row r="9593" spans="1:12" x14ac:dyDescent="0.2">
      <c r="A9593" t="s">
        <v>556</v>
      </c>
      <c r="B9593" t="s">
        <v>71</v>
      </c>
      <c r="C9593" t="s">
        <v>72</v>
      </c>
      <c r="D9593">
        <v>9000</v>
      </c>
      <c r="E9593">
        <v>2019</v>
      </c>
      <c r="F9593">
        <v>18</v>
      </c>
      <c r="G9593">
        <v>44722</v>
      </c>
      <c r="H9593" s="1" t="s">
        <v>1828</v>
      </c>
      <c r="I9593">
        <v>8</v>
      </c>
      <c r="J9593">
        <f>IF($H9593=0,1,IF($I9593&lt;=1,2,0))</f>
        <v>0</v>
      </c>
      <c r="K9593">
        <v>5</v>
      </c>
      <c r="L9593">
        <f>IF(AND($J9593=0,$K9593=0),0,1)</f>
        <v>1</v>
      </c>
    </row>
    <row r="9594" spans="1:12" x14ac:dyDescent="0.2">
      <c r="A9594" t="s">
        <v>556</v>
      </c>
      <c r="B9594" t="s">
        <v>71</v>
      </c>
      <c r="C9594" t="s">
        <v>72</v>
      </c>
      <c r="D9594">
        <v>9000</v>
      </c>
      <c r="E9594">
        <v>2019</v>
      </c>
      <c r="F9594">
        <v>2</v>
      </c>
      <c r="G9594">
        <v>44706</v>
      </c>
      <c r="H9594" s="1" t="s">
        <v>1828</v>
      </c>
      <c r="I9594">
        <v>4</v>
      </c>
      <c r="J9594">
        <f>IF($H9594=0,1,IF($I9594&lt;=1,2,0))</f>
        <v>0</v>
      </c>
      <c r="K9594">
        <v>5</v>
      </c>
      <c r="L9594">
        <f>IF(AND($J9594=0,$K9594=0),0,1)</f>
        <v>1</v>
      </c>
    </row>
    <row r="9595" spans="1:12" x14ac:dyDescent="0.2">
      <c r="A9595" t="s">
        <v>556</v>
      </c>
      <c r="B9595" t="s">
        <v>71</v>
      </c>
      <c r="C9595" t="s">
        <v>72</v>
      </c>
      <c r="D9595">
        <v>9000</v>
      </c>
      <c r="E9595">
        <v>2019</v>
      </c>
      <c r="F9595">
        <v>6</v>
      </c>
      <c r="G9595">
        <v>44710</v>
      </c>
      <c r="H9595" s="1" t="s">
        <v>1828</v>
      </c>
      <c r="I9595">
        <v>4</v>
      </c>
      <c r="J9595">
        <f>IF($H9595=0,1,IF($I9595&lt;=1,2,0))</f>
        <v>0</v>
      </c>
      <c r="K9595">
        <v>5</v>
      </c>
      <c r="L9595">
        <f>IF(AND($J9595=0,$K9595=0),0,1)</f>
        <v>1</v>
      </c>
    </row>
    <row r="9596" spans="1:12" x14ac:dyDescent="0.2">
      <c r="A9596" t="s">
        <v>556</v>
      </c>
      <c r="B9596" t="s">
        <v>71</v>
      </c>
      <c r="C9596" t="s">
        <v>72</v>
      </c>
      <c r="D9596">
        <v>9000</v>
      </c>
      <c r="E9596">
        <v>2019</v>
      </c>
      <c r="F9596">
        <v>7</v>
      </c>
      <c r="G9596">
        <v>44711</v>
      </c>
      <c r="H9596" s="1" t="s">
        <v>1828</v>
      </c>
      <c r="I9596">
        <v>4</v>
      </c>
      <c r="J9596">
        <f>IF($H9596=0,1,IF($I9596&lt;=1,2,0))</f>
        <v>0</v>
      </c>
      <c r="K9596">
        <v>5</v>
      </c>
      <c r="L9596">
        <f>IF(AND($J9596=0,$K9596=0),0,1)</f>
        <v>1</v>
      </c>
    </row>
    <row r="9597" spans="1:12" x14ac:dyDescent="0.2">
      <c r="A9597" t="s">
        <v>556</v>
      </c>
      <c r="B9597" t="s">
        <v>71</v>
      </c>
      <c r="C9597" t="s">
        <v>72</v>
      </c>
      <c r="D9597">
        <v>9000</v>
      </c>
      <c r="E9597">
        <v>2019</v>
      </c>
      <c r="F9597">
        <v>13</v>
      </c>
      <c r="G9597">
        <v>44717</v>
      </c>
      <c r="H9597" s="1" t="s">
        <v>1828</v>
      </c>
      <c r="I9597">
        <v>3</v>
      </c>
      <c r="J9597">
        <f>IF($H9597=0,1,IF($I9597&lt;=1,2,0))</f>
        <v>0</v>
      </c>
      <c r="K9597">
        <v>5</v>
      </c>
      <c r="L9597">
        <f>IF(AND($J9597=0,$K9597=0),0,1)</f>
        <v>1</v>
      </c>
    </row>
    <row r="9598" spans="1:12" x14ac:dyDescent="0.2">
      <c r="A9598" t="s">
        <v>556</v>
      </c>
      <c r="B9598" t="s">
        <v>71</v>
      </c>
      <c r="C9598" t="s">
        <v>72</v>
      </c>
      <c r="D9598">
        <v>9000</v>
      </c>
      <c r="E9598">
        <v>2019</v>
      </c>
      <c r="F9598">
        <v>17</v>
      </c>
      <c r="G9598">
        <v>44721</v>
      </c>
      <c r="H9598" s="1" t="s">
        <v>1828</v>
      </c>
      <c r="I9598">
        <v>3</v>
      </c>
      <c r="J9598">
        <f>IF($H9598=0,1,IF($I9598&lt;=1,2,0))</f>
        <v>0</v>
      </c>
      <c r="K9598">
        <v>5</v>
      </c>
      <c r="L9598">
        <f>IF(AND($J9598=0,$K9598=0),0,1)</f>
        <v>1</v>
      </c>
    </row>
    <row r="9599" spans="1:12" x14ac:dyDescent="0.2">
      <c r="A9599" t="s">
        <v>556</v>
      </c>
      <c r="B9599" t="s">
        <v>71</v>
      </c>
      <c r="C9599" t="s">
        <v>72</v>
      </c>
      <c r="D9599">
        <v>9000</v>
      </c>
      <c r="E9599">
        <v>2019</v>
      </c>
      <c r="F9599">
        <v>3</v>
      </c>
      <c r="G9599">
        <v>44707</v>
      </c>
      <c r="H9599" s="1" t="s">
        <v>1828</v>
      </c>
      <c r="I9599">
        <v>2</v>
      </c>
      <c r="J9599">
        <f>IF($H9599=0,1,IF($I9599&lt;=1,2,0))</f>
        <v>0</v>
      </c>
      <c r="K9599">
        <v>5</v>
      </c>
      <c r="L9599">
        <f>IF(AND($J9599=0,$K9599=0),0,1)</f>
        <v>1</v>
      </c>
    </row>
    <row r="9600" spans="1:12" x14ac:dyDescent="0.2">
      <c r="A9600" t="s">
        <v>556</v>
      </c>
      <c r="B9600" t="s">
        <v>71</v>
      </c>
      <c r="C9600" t="s">
        <v>72</v>
      </c>
      <c r="D9600">
        <v>9000</v>
      </c>
      <c r="E9600">
        <v>2019</v>
      </c>
      <c r="F9600">
        <v>9</v>
      </c>
      <c r="G9600">
        <v>44713</v>
      </c>
      <c r="H9600" s="1" t="s">
        <v>1828</v>
      </c>
      <c r="I9600">
        <v>2</v>
      </c>
      <c r="J9600">
        <f>IF($H9600=0,1,IF($I9600&lt;=1,2,0))</f>
        <v>0</v>
      </c>
      <c r="K9600">
        <v>5</v>
      </c>
      <c r="L9600">
        <f>IF(AND($J9600=0,$K9600=0),0,1)</f>
        <v>1</v>
      </c>
    </row>
    <row r="9601" spans="1:13" x14ac:dyDescent="0.2">
      <c r="A9601" t="s">
        <v>556</v>
      </c>
      <c r="B9601" t="s">
        <v>71</v>
      </c>
      <c r="C9601" t="s">
        <v>72</v>
      </c>
      <c r="D9601">
        <v>9000</v>
      </c>
      <c r="E9601">
        <v>2019</v>
      </c>
      <c r="F9601">
        <v>12</v>
      </c>
      <c r="G9601">
        <v>44716</v>
      </c>
      <c r="H9601" s="1" t="s">
        <v>1828</v>
      </c>
      <c r="I9601">
        <v>2</v>
      </c>
      <c r="J9601">
        <f>IF($H9601=0,1,IF($I9601&lt;=1,2,0))</f>
        <v>0</v>
      </c>
      <c r="K9601">
        <v>5</v>
      </c>
      <c r="L9601">
        <f>IF(AND($J9601=0,$K9601=0),0,1)</f>
        <v>1</v>
      </c>
    </row>
    <row r="9602" spans="1:13" x14ac:dyDescent="0.2">
      <c r="A9602" t="s">
        <v>556</v>
      </c>
      <c r="B9602" t="s">
        <v>71</v>
      </c>
      <c r="C9602" t="s">
        <v>72</v>
      </c>
      <c r="D9602">
        <v>9000</v>
      </c>
      <c r="E9602">
        <v>2019</v>
      </c>
      <c r="F9602">
        <v>19</v>
      </c>
      <c r="G9602">
        <v>44723</v>
      </c>
      <c r="H9602" s="1" t="s">
        <v>1828</v>
      </c>
      <c r="I9602">
        <v>2</v>
      </c>
      <c r="J9602">
        <f>IF($H9602=0,1,IF($I9602&lt;=1,2,0))</f>
        <v>0</v>
      </c>
      <c r="K9602">
        <v>5</v>
      </c>
      <c r="L9602">
        <f>IF(AND($J9602=0,$K9602=0),0,1)</f>
        <v>1</v>
      </c>
    </row>
    <row r="9603" spans="1:13" x14ac:dyDescent="0.2">
      <c r="A9603" t="s">
        <v>556</v>
      </c>
      <c r="B9603" t="s">
        <v>71</v>
      </c>
      <c r="C9603" t="s">
        <v>72</v>
      </c>
      <c r="D9603">
        <v>9000</v>
      </c>
      <c r="E9603">
        <v>2019</v>
      </c>
      <c r="F9603">
        <v>4</v>
      </c>
      <c r="G9603">
        <v>44708</v>
      </c>
      <c r="H9603" s="1" t="s">
        <v>1828</v>
      </c>
      <c r="I9603">
        <v>1</v>
      </c>
      <c r="J9603">
        <f>IF($H9603=0,1,IF($I9603&lt;=1,2,0))</f>
        <v>2</v>
      </c>
      <c r="K9603">
        <v>5</v>
      </c>
      <c r="L9603">
        <f>IF(AND($J9603=0,$K9603=0),0,1)</f>
        <v>1</v>
      </c>
    </row>
    <row r="9604" spans="1:13" x14ac:dyDescent="0.2">
      <c r="A9604" t="s">
        <v>556</v>
      </c>
      <c r="B9604" t="s">
        <v>71</v>
      </c>
      <c r="C9604" t="s">
        <v>72</v>
      </c>
      <c r="D9604">
        <v>9000</v>
      </c>
      <c r="E9604">
        <v>2019</v>
      </c>
      <c r="F9604">
        <v>5</v>
      </c>
      <c r="G9604">
        <v>44709</v>
      </c>
      <c r="H9604" s="1" t="s">
        <v>1828</v>
      </c>
      <c r="I9604">
        <v>1</v>
      </c>
      <c r="J9604">
        <f>IF($H9604=0,1,IF($I9604&lt;=1,2,0))</f>
        <v>2</v>
      </c>
      <c r="K9604">
        <v>5</v>
      </c>
      <c r="L9604">
        <f>IF(AND($J9604=0,$K9604=0),0,1)</f>
        <v>1</v>
      </c>
    </row>
    <row r="9605" spans="1:13" x14ac:dyDescent="0.2">
      <c r="A9605" t="s">
        <v>556</v>
      </c>
      <c r="B9605" t="s">
        <v>71</v>
      </c>
      <c r="C9605" t="s">
        <v>72</v>
      </c>
      <c r="D9605">
        <v>9000</v>
      </c>
      <c r="E9605">
        <v>2019</v>
      </c>
      <c r="F9605">
        <v>8</v>
      </c>
      <c r="G9605">
        <v>44712</v>
      </c>
      <c r="H9605" s="1" t="s">
        <v>1828</v>
      </c>
      <c r="I9605">
        <v>1</v>
      </c>
      <c r="J9605">
        <f>IF($H9605=0,1,IF($I9605&lt;=1,2,0))</f>
        <v>2</v>
      </c>
      <c r="K9605">
        <v>5</v>
      </c>
      <c r="L9605">
        <f>IF(AND($J9605=0,$K9605=0),0,1)</f>
        <v>1</v>
      </c>
    </row>
    <row r="9606" spans="1:13" x14ac:dyDescent="0.2">
      <c r="A9606" t="s">
        <v>556</v>
      </c>
      <c r="B9606" t="s">
        <v>71</v>
      </c>
      <c r="C9606" t="s">
        <v>72</v>
      </c>
      <c r="D9606">
        <v>9000</v>
      </c>
      <c r="E9606">
        <v>2019</v>
      </c>
      <c r="F9606">
        <v>16</v>
      </c>
      <c r="G9606">
        <v>44720</v>
      </c>
      <c r="H9606" s="1" t="s">
        <v>1828</v>
      </c>
      <c r="I9606">
        <v>1</v>
      </c>
      <c r="J9606">
        <f>IF($H9606=0,1,IF($I9606&lt;=1,2,0))</f>
        <v>2</v>
      </c>
      <c r="K9606">
        <v>5</v>
      </c>
      <c r="L9606">
        <f>IF(AND($J9606=0,$K9606=0),0,1)</f>
        <v>1</v>
      </c>
    </row>
    <row r="9607" spans="1:13" x14ac:dyDescent="0.2">
      <c r="A9607" t="s">
        <v>556</v>
      </c>
      <c r="B9607" t="s">
        <v>71</v>
      </c>
      <c r="C9607" t="s">
        <v>72</v>
      </c>
      <c r="D9607">
        <v>9000</v>
      </c>
      <c r="E9607">
        <v>2019</v>
      </c>
      <c r="F9607">
        <v>10</v>
      </c>
      <c r="G9607">
        <v>44714</v>
      </c>
      <c r="H9607" s="1" t="s">
        <v>1828</v>
      </c>
      <c r="I9607">
        <v>0</v>
      </c>
      <c r="J9607">
        <f>IF($H9607=0,1,IF($I9607&lt;=1,2,0))</f>
        <v>2</v>
      </c>
      <c r="K9607">
        <v>5</v>
      </c>
      <c r="L9607">
        <f>IF(AND($J9607=0,$K9607=0),0,1)</f>
        <v>1</v>
      </c>
    </row>
    <row r="9608" spans="1:13" x14ac:dyDescent="0.2">
      <c r="A9608" t="s">
        <v>556</v>
      </c>
      <c r="B9608" t="s">
        <v>71</v>
      </c>
      <c r="C9608" t="s">
        <v>72</v>
      </c>
      <c r="D9608">
        <v>9000</v>
      </c>
      <c r="E9608">
        <v>2019</v>
      </c>
      <c r="F9608">
        <v>11</v>
      </c>
      <c r="G9608">
        <v>44715</v>
      </c>
      <c r="H9608" s="1" t="s">
        <v>1828</v>
      </c>
      <c r="I9608">
        <v>0</v>
      </c>
      <c r="J9608">
        <f>IF($H9608=0,1,IF($I9608&lt;=1,2,0))</f>
        <v>2</v>
      </c>
      <c r="K9608">
        <v>5</v>
      </c>
      <c r="L9608">
        <f>IF(AND($J9608=0,$K9608=0),0,1)</f>
        <v>1</v>
      </c>
    </row>
    <row r="9609" spans="1:13" x14ac:dyDescent="0.2">
      <c r="A9609" t="s">
        <v>556</v>
      </c>
      <c r="B9609" t="s">
        <v>71</v>
      </c>
      <c r="C9609" t="s">
        <v>72</v>
      </c>
      <c r="D9609">
        <v>9000</v>
      </c>
      <c r="E9609">
        <v>2019</v>
      </c>
      <c r="F9609">
        <v>14</v>
      </c>
      <c r="G9609">
        <v>44718</v>
      </c>
      <c r="H9609" s="1" t="s">
        <v>1828</v>
      </c>
      <c r="I9609">
        <v>0</v>
      </c>
      <c r="J9609">
        <f>IF($H9609=0,1,IF($I9609&lt;=1,2,0))</f>
        <v>2</v>
      </c>
      <c r="K9609">
        <v>5</v>
      </c>
      <c r="L9609">
        <f>IF(AND($J9609=0,$K9609=0),0,1)</f>
        <v>1</v>
      </c>
    </row>
    <row r="9610" spans="1:13" x14ac:dyDescent="0.2">
      <c r="A9610" t="s">
        <v>556</v>
      </c>
      <c r="B9610" t="s">
        <v>71</v>
      </c>
      <c r="C9610" t="s">
        <v>72</v>
      </c>
      <c r="D9610">
        <v>9000</v>
      </c>
      <c r="E9610">
        <v>2019</v>
      </c>
      <c r="F9610">
        <v>15</v>
      </c>
      <c r="G9610">
        <v>44719</v>
      </c>
      <c r="H9610" s="1" t="s">
        <v>1828</v>
      </c>
      <c r="I9610">
        <v>0</v>
      </c>
      <c r="J9610">
        <f>IF($H9610=0,1,IF($I9610&lt;=1,2,0))</f>
        <v>2</v>
      </c>
      <c r="K9610">
        <v>5</v>
      </c>
      <c r="L9610">
        <f>IF(AND($J9610=0,$K9610=0),0,1)</f>
        <v>1</v>
      </c>
    </row>
    <row r="9611" spans="1:13" x14ac:dyDescent="0.2">
      <c r="A9611" t="s">
        <v>556</v>
      </c>
      <c r="B9611" t="s">
        <v>71</v>
      </c>
      <c r="C9611" t="s">
        <v>72</v>
      </c>
      <c r="D9611">
        <v>9500</v>
      </c>
      <c r="E9611">
        <v>2019</v>
      </c>
      <c r="F9611">
        <v>1</v>
      </c>
      <c r="G9611">
        <v>44620</v>
      </c>
      <c r="H9611" s="1">
        <v>0</v>
      </c>
      <c r="I9611">
        <v>20</v>
      </c>
      <c r="J9611">
        <f>IF($H9611=0,1,IF($I9611&lt;=1,2,0))</f>
        <v>1</v>
      </c>
      <c r="K9611">
        <v>5</v>
      </c>
      <c r="L9611">
        <f>IF(AND($J9611=0,$K9611=0),0,1)</f>
        <v>1</v>
      </c>
    </row>
    <row r="9612" spans="1:13" x14ac:dyDescent="0.2">
      <c r="A9612" t="s">
        <v>561</v>
      </c>
      <c r="B9612" t="s">
        <v>1</v>
      </c>
      <c r="C9612" t="s">
        <v>2</v>
      </c>
      <c r="D9612">
        <v>3998</v>
      </c>
      <c r="E9612">
        <v>2019</v>
      </c>
      <c r="F9612">
        <v>1</v>
      </c>
      <c r="G9612">
        <v>247</v>
      </c>
      <c r="H9612" s="1">
        <v>4</v>
      </c>
      <c r="I9612">
        <v>1</v>
      </c>
      <c r="J9612">
        <f>IF($H9612=0,1,IF($I9612&lt;=1,2,0))</f>
        <v>2</v>
      </c>
      <c r="K9612">
        <v>7</v>
      </c>
      <c r="L9612">
        <f>IF(AND($J9612=0,$K9612=0),0,1)</f>
        <v>1</v>
      </c>
    </row>
    <row r="9613" spans="1:13" x14ac:dyDescent="0.2">
      <c r="A9613" t="s">
        <v>562</v>
      </c>
      <c r="B9613" t="s">
        <v>17</v>
      </c>
      <c r="C9613" t="s">
        <v>9</v>
      </c>
      <c r="D9613">
        <v>1401</v>
      </c>
      <c r="E9613">
        <v>2019</v>
      </c>
      <c r="F9613">
        <v>1</v>
      </c>
      <c r="G9613">
        <v>99632</v>
      </c>
      <c r="H9613" s="1">
        <v>1</v>
      </c>
      <c r="I9613">
        <v>3</v>
      </c>
      <c r="J9613">
        <f>IF($H9613=0,1,IF($I9613&lt;=1,2,0))</f>
        <v>0</v>
      </c>
      <c r="K9613">
        <v>8</v>
      </c>
      <c r="L9613">
        <f>IF(AND($J9613=0,$K9613=0),0,1)</f>
        <v>1</v>
      </c>
      <c r="M9613" t="s">
        <v>563</v>
      </c>
    </row>
    <row r="9614" spans="1:13" x14ac:dyDescent="0.2">
      <c r="A9614" t="s">
        <v>562</v>
      </c>
      <c r="B9614" t="s">
        <v>17</v>
      </c>
      <c r="C9614" t="s">
        <v>9</v>
      </c>
      <c r="D9614">
        <v>1403</v>
      </c>
      <c r="E9614">
        <v>2019</v>
      </c>
      <c r="F9614">
        <v>2</v>
      </c>
      <c r="G9614">
        <v>99498</v>
      </c>
      <c r="H9614" s="1">
        <v>1</v>
      </c>
      <c r="I9614">
        <v>3</v>
      </c>
      <c r="J9614">
        <f>IF($H9614=0,1,IF($I9614&lt;=1,2,0))</f>
        <v>0</v>
      </c>
      <c r="K9614">
        <v>8</v>
      </c>
      <c r="L9614">
        <f>IF(AND($J9614=0,$K9614=0),0,1)</f>
        <v>1</v>
      </c>
      <c r="M9614" t="s">
        <v>564</v>
      </c>
    </row>
    <row r="9615" spans="1:13" x14ac:dyDescent="0.2">
      <c r="A9615" t="s">
        <v>562</v>
      </c>
      <c r="B9615" t="s">
        <v>17</v>
      </c>
      <c r="C9615" t="s">
        <v>9</v>
      </c>
      <c r="D9615">
        <v>1403</v>
      </c>
      <c r="E9615">
        <v>2019</v>
      </c>
      <c r="F9615">
        <v>1</v>
      </c>
      <c r="G9615">
        <v>99499</v>
      </c>
      <c r="H9615" s="1">
        <v>1</v>
      </c>
      <c r="I9615">
        <v>2</v>
      </c>
      <c r="J9615">
        <f>IF($H9615=0,1,IF($I9615&lt;=1,2,0))</f>
        <v>0</v>
      </c>
      <c r="K9615">
        <v>8</v>
      </c>
      <c r="L9615">
        <f>IF(AND($J9615=0,$K9615=0),0,1)</f>
        <v>1</v>
      </c>
      <c r="M9615" t="s">
        <v>564</v>
      </c>
    </row>
    <row r="9616" spans="1:13" x14ac:dyDescent="0.2">
      <c r="A9616" t="s">
        <v>562</v>
      </c>
      <c r="B9616" t="s">
        <v>17</v>
      </c>
      <c r="C9616" t="s">
        <v>9</v>
      </c>
      <c r="D9616">
        <v>1403</v>
      </c>
      <c r="E9616">
        <v>2019</v>
      </c>
      <c r="F9616">
        <v>3</v>
      </c>
      <c r="G9616">
        <v>99497</v>
      </c>
      <c r="H9616" s="1">
        <v>1</v>
      </c>
      <c r="I9616">
        <v>0</v>
      </c>
      <c r="J9616">
        <f>IF($H9616=0,1,IF($I9616&lt;=1,2,0))</f>
        <v>2</v>
      </c>
      <c r="K9616">
        <v>8</v>
      </c>
      <c r="L9616">
        <f>IF(AND($J9616=0,$K9616=0),0,1)</f>
        <v>1</v>
      </c>
      <c r="M9616" t="s">
        <v>564</v>
      </c>
    </row>
    <row r="9617" spans="1:13" x14ac:dyDescent="0.2">
      <c r="A9617" t="s">
        <v>562</v>
      </c>
      <c r="B9617" t="s">
        <v>17</v>
      </c>
      <c r="C9617" t="s">
        <v>9</v>
      </c>
      <c r="D9617">
        <v>1405</v>
      </c>
      <c r="E9617">
        <v>2019</v>
      </c>
      <c r="F9617">
        <v>1</v>
      </c>
      <c r="G9617">
        <v>99567</v>
      </c>
      <c r="H9617" s="1">
        <v>1</v>
      </c>
      <c r="I9617">
        <v>0</v>
      </c>
      <c r="J9617">
        <f>IF($H9617=0,1,IF($I9617&lt;=1,2,0))</f>
        <v>2</v>
      </c>
      <c r="K9617">
        <v>8</v>
      </c>
      <c r="L9617">
        <f>IF(AND($J9617=0,$K9617=0),0,1)</f>
        <v>1</v>
      </c>
      <c r="M9617" t="s">
        <v>564</v>
      </c>
    </row>
    <row r="9618" spans="1:13" x14ac:dyDescent="0.2">
      <c r="A9618" t="s">
        <v>562</v>
      </c>
      <c r="B9618" t="s">
        <v>17</v>
      </c>
      <c r="C9618" t="s">
        <v>9</v>
      </c>
      <c r="D9618">
        <v>1407</v>
      </c>
      <c r="E9618">
        <v>2019</v>
      </c>
      <c r="F9618">
        <v>1</v>
      </c>
      <c r="G9618">
        <v>99505</v>
      </c>
      <c r="H9618" s="1">
        <v>1</v>
      </c>
      <c r="I9618">
        <v>0</v>
      </c>
      <c r="J9618">
        <f>IF($H9618=0,1,IF($I9618&lt;=1,2,0))</f>
        <v>2</v>
      </c>
      <c r="K9618">
        <v>8</v>
      </c>
      <c r="L9618">
        <f>IF(AND($J9618=0,$K9618=0),0,1)</f>
        <v>1</v>
      </c>
      <c r="M9618" t="s">
        <v>564</v>
      </c>
    </row>
    <row r="9619" spans="1:13" x14ac:dyDescent="0.2">
      <c r="A9619" t="s">
        <v>562</v>
      </c>
      <c r="B9619" t="s">
        <v>17</v>
      </c>
      <c r="C9619" t="s">
        <v>9</v>
      </c>
      <c r="D9619">
        <v>1409</v>
      </c>
      <c r="E9619">
        <v>2019</v>
      </c>
      <c r="F9619">
        <v>2</v>
      </c>
      <c r="G9619">
        <v>99495</v>
      </c>
      <c r="H9619" s="1">
        <v>1</v>
      </c>
      <c r="I9619">
        <v>3</v>
      </c>
      <c r="J9619">
        <f>IF($H9619=0,1,IF($I9619&lt;=1,2,0))</f>
        <v>0</v>
      </c>
      <c r="K9619">
        <v>8</v>
      </c>
      <c r="L9619">
        <f>IF(AND($J9619=0,$K9619=0),0,1)</f>
        <v>1</v>
      </c>
      <c r="M9619" t="s">
        <v>564</v>
      </c>
    </row>
    <row r="9620" spans="1:13" x14ac:dyDescent="0.2">
      <c r="A9620" t="s">
        <v>562</v>
      </c>
      <c r="B9620" t="s">
        <v>17</v>
      </c>
      <c r="C9620" t="s">
        <v>9</v>
      </c>
      <c r="D9620">
        <v>1409</v>
      </c>
      <c r="E9620">
        <v>2019</v>
      </c>
      <c r="F9620">
        <v>1</v>
      </c>
      <c r="G9620">
        <v>99496</v>
      </c>
      <c r="H9620" s="1">
        <v>1</v>
      </c>
      <c r="I9620">
        <v>1</v>
      </c>
      <c r="J9620">
        <f>IF($H9620=0,1,IF($I9620&lt;=1,2,0))</f>
        <v>2</v>
      </c>
      <c r="K9620">
        <v>8</v>
      </c>
      <c r="L9620">
        <f>IF(AND($J9620=0,$K9620=0),0,1)</f>
        <v>1</v>
      </c>
      <c r="M9620" t="s">
        <v>564</v>
      </c>
    </row>
    <row r="9621" spans="1:13" x14ac:dyDescent="0.2">
      <c r="A9621" t="s">
        <v>562</v>
      </c>
      <c r="B9621" t="s">
        <v>17</v>
      </c>
      <c r="C9621" t="s">
        <v>9</v>
      </c>
      <c r="D9621">
        <v>1409</v>
      </c>
      <c r="E9621">
        <v>2019</v>
      </c>
      <c r="F9621">
        <v>3</v>
      </c>
      <c r="G9621">
        <v>99494</v>
      </c>
      <c r="H9621" s="1">
        <v>1</v>
      </c>
      <c r="I9621">
        <v>1</v>
      </c>
      <c r="J9621">
        <f>IF($H9621=0,1,IF($I9621&lt;=1,2,0))</f>
        <v>2</v>
      </c>
      <c r="K9621">
        <v>8</v>
      </c>
      <c r="L9621">
        <f>IF(AND($J9621=0,$K9621=0),0,1)</f>
        <v>1</v>
      </c>
      <c r="M9621" t="s">
        <v>564</v>
      </c>
    </row>
    <row r="9622" spans="1:13" x14ac:dyDescent="0.2">
      <c r="A9622" t="s">
        <v>562</v>
      </c>
      <c r="B9622" t="s">
        <v>17</v>
      </c>
      <c r="C9622" t="s">
        <v>9</v>
      </c>
      <c r="D9622">
        <v>1411</v>
      </c>
      <c r="E9622">
        <v>2019</v>
      </c>
      <c r="F9622">
        <v>1</v>
      </c>
      <c r="G9622">
        <v>99566</v>
      </c>
      <c r="H9622" s="1">
        <v>1</v>
      </c>
      <c r="I9622">
        <v>1</v>
      </c>
      <c r="J9622">
        <f>IF($H9622=0,1,IF($I9622&lt;=1,2,0))</f>
        <v>2</v>
      </c>
      <c r="K9622">
        <v>8</v>
      </c>
      <c r="L9622">
        <f>IF(AND($J9622=0,$K9622=0),0,1)</f>
        <v>1</v>
      </c>
      <c r="M9622" t="s">
        <v>564</v>
      </c>
    </row>
    <row r="9623" spans="1:13" x14ac:dyDescent="0.2">
      <c r="A9623" t="s">
        <v>562</v>
      </c>
      <c r="B9623" t="s">
        <v>17</v>
      </c>
      <c r="C9623" t="s">
        <v>9</v>
      </c>
      <c r="D9623">
        <v>1413</v>
      </c>
      <c r="E9623">
        <v>2019</v>
      </c>
      <c r="F9623">
        <v>1</v>
      </c>
      <c r="G9623">
        <v>99493</v>
      </c>
      <c r="H9623" s="1">
        <v>1</v>
      </c>
      <c r="I9623">
        <v>0</v>
      </c>
      <c r="J9623">
        <f>IF($H9623=0,1,IF($I9623&lt;=1,2,0))</f>
        <v>2</v>
      </c>
      <c r="K9623">
        <v>8</v>
      </c>
      <c r="L9623">
        <f>IF(AND($J9623=0,$K9623=0),0,1)</f>
        <v>1</v>
      </c>
      <c r="M9623" t="s">
        <v>564</v>
      </c>
    </row>
    <row r="9624" spans="1:13" x14ac:dyDescent="0.2">
      <c r="A9624" t="s">
        <v>562</v>
      </c>
      <c r="B9624" t="s">
        <v>17</v>
      </c>
      <c r="C9624" t="s">
        <v>9</v>
      </c>
      <c r="D9624">
        <v>1415</v>
      </c>
      <c r="E9624">
        <v>2019</v>
      </c>
      <c r="F9624">
        <v>1</v>
      </c>
      <c r="G9624">
        <v>99631</v>
      </c>
      <c r="H9624" s="1">
        <v>1</v>
      </c>
      <c r="I9624">
        <v>0</v>
      </c>
      <c r="J9624">
        <f>IF($H9624=0,1,IF($I9624&lt;=1,2,0))</f>
        <v>2</v>
      </c>
      <c r="K9624">
        <v>8</v>
      </c>
      <c r="L9624">
        <f>IF(AND($J9624=0,$K9624=0),0,1)</f>
        <v>1</v>
      </c>
      <c r="M9624" t="s">
        <v>564</v>
      </c>
    </row>
    <row r="9625" spans="1:13" x14ac:dyDescent="0.2">
      <c r="A9625" t="s">
        <v>562</v>
      </c>
      <c r="B9625" t="s">
        <v>17</v>
      </c>
      <c r="C9625" t="s">
        <v>9</v>
      </c>
      <c r="D9625">
        <v>1417</v>
      </c>
      <c r="E9625">
        <v>2019</v>
      </c>
      <c r="F9625">
        <v>1</v>
      </c>
      <c r="G9625">
        <v>99492</v>
      </c>
      <c r="H9625" s="1">
        <v>1</v>
      </c>
      <c r="I9625">
        <v>3</v>
      </c>
      <c r="J9625">
        <f>IF($H9625=0,1,IF($I9625&lt;=1,2,0))</f>
        <v>0</v>
      </c>
      <c r="K9625">
        <v>8</v>
      </c>
      <c r="L9625">
        <f>IF(AND($J9625=0,$K9625=0),0,1)</f>
        <v>1</v>
      </c>
      <c r="M9625" t="s">
        <v>564</v>
      </c>
    </row>
    <row r="9626" spans="1:13" x14ac:dyDescent="0.2">
      <c r="A9626" t="s">
        <v>562</v>
      </c>
      <c r="B9626" t="s">
        <v>17</v>
      </c>
      <c r="C9626" t="s">
        <v>9</v>
      </c>
      <c r="D9626">
        <v>1419</v>
      </c>
      <c r="E9626">
        <v>2019</v>
      </c>
      <c r="F9626">
        <v>1</v>
      </c>
      <c r="G9626">
        <v>99565</v>
      </c>
      <c r="H9626" s="1">
        <v>1</v>
      </c>
      <c r="I9626">
        <v>1</v>
      </c>
      <c r="J9626">
        <f>IF($H9626=0,1,IF($I9626&lt;=1,2,0))</f>
        <v>2</v>
      </c>
      <c r="K9626">
        <v>8</v>
      </c>
      <c r="L9626">
        <f>IF(AND($J9626=0,$K9626=0),0,1)</f>
        <v>1</v>
      </c>
      <c r="M9626" t="s">
        <v>564</v>
      </c>
    </row>
    <row r="9627" spans="1:13" x14ac:dyDescent="0.2">
      <c r="A9627" t="s">
        <v>562</v>
      </c>
      <c r="B9627" t="s">
        <v>17</v>
      </c>
      <c r="C9627" t="s">
        <v>9</v>
      </c>
      <c r="D9627">
        <v>1421</v>
      </c>
      <c r="E9627">
        <v>2019</v>
      </c>
      <c r="F9627">
        <v>1</v>
      </c>
      <c r="G9627">
        <v>99450</v>
      </c>
      <c r="H9627" s="1">
        <v>1</v>
      </c>
      <c r="I9627">
        <v>1</v>
      </c>
      <c r="J9627">
        <f>IF($H9627=0,1,IF($I9627&lt;=1,2,0))</f>
        <v>2</v>
      </c>
      <c r="K9627">
        <v>8</v>
      </c>
      <c r="L9627">
        <f>IF(AND($J9627=0,$K9627=0),0,1)</f>
        <v>1</v>
      </c>
      <c r="M9627" t="s">
        <v>564</v>
      </c>
    </row>
    <row r="9628" spans="1:13" x14ac:dyDescent="0.2">
      <c r="A9628" t="s">
        <v>562</v>
      </c>
      <c r="B9628" t="s">
        <v>17</v>
      </c>
      <c r="C9628" t="s">
        <v>9</v>
      </c>
      <c r="D9628">
        <v>1423</v>
      </c>
      <c r="E9628">
        <v>2019</v>
      </c>
      <c r="F9628">
        <v>1</v>
      </c>
      <c r="G9628">
        <v>99491</v>
      </c>
      <c r="H9628" s="1">
        <v>1</v>
      </c>
      <c r="I9628">
        <v>1</v>
      </c>
      <c r="J9628">
        <f>IF($H9628=0,1,IF($I9628&lt;=1,2,0))</f>
        <v>2</v>
      </c>
      <c r="K9628">
        <v>8</v>
      </c>
      <c r="L9628">
        <f>IF(AND($J9628=0,$K9628=0),0,1)</f>
        <v>1</v>
      </c>
      <c r="M9628" t="s">
        <v>564</v>
      </c>
    </row>
    <row r="9629" spans="1:13" x14ac:dyDescent="0.2">
      <c r="A9629" t="s">
        <v>562</v>
      </c>
      <c r="B9629" t="s">
        <v>17</v>
      </c>
      <c r="C9629" t="s">
        <v>9</v>
      </c>
      <c r="D9629">
        <v>1425</v>
      </c>
      <c r="E9629">
        <v>2019</v>
      </c>
      <c r="F9629">
        <v>1</v>
      </c>
      <c r="G9629">
        <v>99564</v>
      </c>
      <c r="H9629" s="1">
        <v>1</v>
      </c>
      <c r="I9629">
        <v>51</v>
      </c>
      <c r="J9629">
        <f>IF($H9629=0,1,IF($I9629&lt;=1,2,0))</f>
        <v>0</v>
      </c>
      <c r="K9629">
        <v>8</v>
      </c>
      <c r="L9629">
        <f>IF(AND($J9629=0,$K9629=0),0,1)</f>
        <v>1</v>
      </c>
      <c r="M9629" t="s">
        <v>565</v>
      </c>
    </row>
    <row r="9630" spans="1:13" x14ac:dyDescent="0.2">
      <c r="A9630" t="s">
        <v>562</v>
      </c>
      <c r="B9630" t="s">
        <v>17</v>
      </c>
      <c r="C9630" t="s">
        <v>9</v>
      </c>
      <c r="D9630">
        <v>1425</v>
      </c>
      <c r="E9630">
        <v>2019</v>
      </c>
      <c r="F9630">
        <v>2</v>
      </c>
      <c r="G9630">
        <v>99563</v>
      </c>
      <c r="H9630" s="1">
        <v>1</v>
      </c>
      <c r="I9630">
        <v>31</v>
      </c>
      <c r="J9630">
        <f>IF($H9630=0,1,IF($I9630&lt;=1,2,0))</f>
        <v>0</v>
      </c>
      <c r="K9630">
        <v>8</v>
      </c>
      <c r="L9630">
        <f>IF(AND($J9630=0,$K9630=0),0,1)</f>
        <v>1</v>
      </c>
      <c r="M9630" t="s">
        <v>565</v>
      </c>
    </row>
    <row r="9631" spans="1:13" x14ac:dyDescent="0.2">
      <c r="A9631" t="s">
        <v>562</v>
      </c>
      <c r="B9631" t="s">
        <v>17</v>
      </c>
      <c r="C9631" t="s">
        <v>9</v>
      </c>
      <c r="D9631">
        <v>1425</v>
      </c>
      <c r="E9631">
        <v>2019</v>
      </c>
      <c r="F9631">
        <v>3</v>
      </c>
      <c r="G9631">
        <v>99562</v>
      </c>
      <c r="H9631" s="1">
        <v>1</v>
      </c>
      <c r="I9631">
        <v>12</v>
      </c>
      <c r="J9631">
        <f>IF($H9631=0,1,IF($I9631&lt;=1,2,0))</f>
        <v>0</v>
      </c>
      <c r="K9631">
        <v>8</v>
      </c>
      <c r="L9631">
        <f>IF(AND($J9631=0,$K9631=0),0,1)</f>
        <v>1</v>
      </c>
      <c r="M9631" t="s">
        <v>565</v>
      </c>
    </row>
    <row r="9632" spans="1:13" x14ac:dyDescent="0.2">
      <c r="A9632" t="s">
        <v>562</v>
      </c>
      <c r="B9632" t="s">
        <v>17</v>
      </c>
      <c r="C9632" t="s">
        <v>9</v>
      </c>
      <c r="D9632">
        <v>1427</v>
      </c>
      <c r="E9632">
        <v>2019</v>
      </c>
      <c r="F9632">
        <v>1</v>
      </c>
      <c r="G9632">
        <v>99630</v>
      </c>
      <c r="H9632" s="1">
        <v>1</v>
      </c>
      <c r="I9632">
        <v>0</v>
      </c>
      <c r="J9632">
        <f>IF($H9632=0,1,IF($I9632&lt;=1,2,0))</f>
        <v>2</v>
      </c>
      <c r="K9632">
        <v>8</v>
      </c>
      <c r="L9632">
        <f>IF(AND($J9632=0,$K9632=0),0,1)</f>
        <v>1</v>
      </c>
      <c r="M9632" t="s">
        <v>564</v>
      </c>
    </row>
    <row r="9633" spans="1:13" x14ac:dyDescent="0.2">
      <c r="A9633" t="s">
        <v>562</v>
      </c>
      <c r="B9633" t="s">
        <v>17</v>
      </c>
      <c r="C9633" t="s">
        <v>9</v>
      </c>
      <c r="D9633">
        <v>1429</v>
      </c>
      <c r="E9633">
        <v>2019</v>
      </c>
      <c r="F9633">
        <v>1</v>
      </c>
      <c r="G9633">
        <v>99490</v>
      </c>
      <c r="H9633" s="1">
        <v>1</v>
      </c>
      <c r="I9633">
        <v>2</v>
      </c>
      <c r="J9633">
        <f>IF($H9633=0,1,IF($I9633&lt;=1,2,0))</f>
        <v>0</v>
      </c>
      <c r="K9633">
        <v>8</v>
      </c>
      <c r="L9633">
        <f>IF(AND($J9633=0,$K9633=0),0,1)</f>
        <v>1</v>
      </c>
      <c r="M9633" t="s">
        <v>564</v>
      </c>
    </row>
    <row r="9634" spans="1:13" x14ac:dyDescent="0.2">
      <c r="A9634" t="s">
        <v>562</v>
      </c>
      <c r="B9634" t="s">
        <v>17</v>
      </c>
      <c r="C9634" t="s">
        <v>9</v>
      </c>
      <c r="D9634">
        <v>1431</v>
      </c>
      <c r="E9634">
        <v>2019</v>
      </c>
      <c r="F9634">
        <v>1</v>
      </c>
      <c r="G9634">
        <v>99561</v>
      </c>
      <c r="H9634" s="1">
        <v>1</v>
      </c>
      <c r="I9634">
        <v>0</v>
      </c>
      <c r="J9634">
        <f>IF($H9634=0,1,IF($I9634&lt;=1,2,0))</f>
        <v>2</v>
      </c>
      <c r="K9634">
        <v>8</v>
      </c>
      <c r="L9634">
        <f>IF(AND($J9634=0,$K9634=0),0,1)</f>
        <v>1</v>
      </c>
      <c r="M9634" t="s">
        <v>564</v>
      </c>
    </row>
    <row r="9635" spans="1:13" x14ac:dyDescent="0.2">
      <c r="A9635" t="s">
        <v>562</v>
      </c>
      <c r="B9635" t="s">
        <v>17</v>
      </c>
      <c r="C9635" t="s">
        <v>9</v>
      </c>
      <c r="D9635">
        <v>1433</v>
      </c>
      <c r="E9635">
        <v>2019</v>
      </c>
      <c r="F9635">
        <v>1</v>
      </c>
      <c r="G9635">
        <v>99571</v>
      </c>
      <c r="H9635" s="1">
        <v>1</v>
      </c>
      <c r="I9635">
        <v>0</v>
      </c>
      <c r="J9635">
        <f>IF($H9635=0,1,IF($I9635&lt;=1,2,0))</f>
        <v>2</v>
      </c>
      <c r="K9635">
        <v>8</v>
      </c>
      <c r="L9635">
        <f>IF(AND($J9635=0,$K9635=0),0,1)</f>
        <v>1</v>
      </c>
      <c r="M9635" t="s">
        <v>564</v>
      </c>
    </row>
    <row r="9636" spans="1:13" x14ac:dyDescent="0.2">
      <c r="A9636" t="s">
        <v>562</v>
      </c>
      <c r="B9636" t="s">
        <v>17</v>
      </c>
      <c r="C9636" t="s">
        <v>9</v>
      </c>
      <c r="D9636">
        <v>1435</v>
      </c>
      <c r="E9636">
        <v>2019</v>
      </c>
      <c r="F9636">
        <v>1</v>
      </c>
      <c r="G9636">
        <v>99489</v>
      </c>
      <c r="H9636" s="1">
        <v>1</v>
      </c>
      <c r="I9636">
        <v>2</v>
      </c>
      <c r="J9636">
        <f>IF($H9636=0,1,IF($I9636&lt;=1,2,0))</f>
        <v>0</v>
      </c>
      <c r="K9636">
        <v>8</v>
      </c>
      <c r="L9636">
        <f>IF(AND($J9636=0,$K9636=0),0,1)</f>
        <v>1</v>
      </c>
      <c r="M9636" t="s">
        <v>564</v>
      </c>
    </row>
    <row r="9637" spans="1:13" x14ac:dyDescent="0.2">
      <c r="A9637" t="s">
        <v>562</v>
      </c>
      <c r="B9637" t="s">
        <v>17</v>
      </c>
      <c r="C9637" t="s">
        <v>9</v>
      </c>
      <c r="D9637">
        <v>1435</v>
      </c>
      <c r="E9637">
        <v>2019</v>
      </c>
      <c r="F9637">
        <v>2</v>
      </c>
      <c r="G9637">
        <v>99488</v>
      </c>
      <c r="H9637" s="1">
        <v>1</v>
      </c>
      <c r="I9637">
        <v>2</v>
      </c>
      <c r="J9637">
        <f>IF($H9637=0,1,IF($I9637&lt;=1,2,0))</f>
        <v>0</v>
      </c>
      <c r="K9637">
        <v>8</v>
      </c>
      <c r="L9637">
        <f>IF(AND($J9637=0,$K9637=0),0,1)</f>
        <v>1</v>
      </c>
      <c r="M9637" t="s">
        <v>564</v>
      </c>
    </row>
    <row r="9638" spans="1:13" x14ac:dyDescent="0.2">
      <c r="A9638" t="s">
        <v>562</v>
      </c>
      <c r="B9638" t="s">
        <v>17</v>
      </c>
      <c r="C9638" t="s">
        <v>9</v>
      </c>
      <c r="D9638">
        <v>1435</v>
      </c>
      <c r="E9638">
        <v>2019</v>
      </c>
      <c r="F9638">
        <v>3</v>
      </c>
      <c r="G9638">
        <v>99487</v>
      </c>
      <c r="H9638" s="1">
        <v>1</v>
      </c>
      <c r="I9638">
        <v>2</v>
      </c>
      <c r="J9638">
        <f>IF($H9638=0,1,IF($I9638&lt;=1,2,0))</f>
        <v>0</v>
      </c>
      <c r="K9638">
        <v>8</v>
      </c>
      <c r="L9638">
        <f>IF(AND($J9638=0,$K9638=0),0,1)</f>
        <v>1</v>
      </c>
      <c r="M9638" t="s">
        <v>564</v>
      </c>
    </row>
    <row r="9639" spans="1:13" x14ac:dyDescent="0.2">
      <c r="A9639" t="s">
        <v>562</v>
      </c>
      <c r="B9639" t="s">
        <v>17</v>
      </c>
      <c r="C9639" t="s">
        <v>9</v>
      </c>
      <c r="D9639">
        <v>1437</v>
      </c>
      <c r="E9639">
        <v>2019</v>
      </c>
      <c r="F9639">
        <v>1</v>
      </c>
      <c r="G9639">
        <v>99560</v>
      </c>
      <c r="H9639" s="1">
        <v>1</v>
      </c>
      <c r="I9639">
        <v>4</v>
      </c>
      <c r="J9639">
        <f>IF($H9639=0,1,IF($I9639&lt;=1,2,0))</f>
        <v>0</v>
      </c>
      <c r="K9639">
        <v>8</v>
      </c>
      <c r="L9639">
        <f>IF(AND($J9639=0,$K9639=0),0,1)</f>
        <v>1</v>
      </c>
      <c r="M9639" t="s">
        <v>564</v>
      </c>
    </row>
    <row r="9640" spans="1:13" x14ac:dyDescent="0.2">
      <c r="A9640" t="s">
        <v>562</v>
      </c>
      <c r="B9640" t="s">
        <v>17</v>
      </c>
      <c r="C9640" t="s">
        <v>9</v>
      </c>
      <c r="D9640">
        <v>1437</v>
      </c>
      <c r="E9640">
        <v>2019</v>
      </c>
      <c r="F9640">
        <v>2</v>
      </c>
      <c r="G9640">
        <v>99559</v>
      </c>
      <c r="H9640" s="1">
        <v>1</v>
      </c>
      <c r="I9640">
        <v>4</v>
      </c>
      <c r="J9640">
        <f>IF($H9640=0,1,IF($I9640&lt;=1,2,0))</f>
        <v>0</v>
      </c>
      <c r="K9640">
        <v>8</v>
      </c>
      <c r="L9640">
        <f>IF(AND($J9640=0,$K9640=0),0,1)</f>
        <v>1</v>
      </c>
      <c r="M9640" t="s">
        <v>564</v>
      </c>
    </row>
    <row r="9641" spans="1:13" x14ac:dyDescent="0.2">
      <c r="A9641" t="s">
        <v>562</v>
      </c>
      <c r="B9641" t="s">
        <v>17</v>
      </c>
      <c r="C9641" t="s">
        <v>9</v>
      </c>
      <c r="D9641">
        <v>1437</v>
      </c>
      <c r="E9641">
        <v>2019</v>
      </c>
      <c r="F9641">
        <v>6</v>
      </c>
      <c r="G9641">
        <v>99555</v>
      </c>
      <c r="H9641" s="1">
        <v>1</v>
      </c>
      <c r="I9641">
        <v>4</v>
      </c>
      <c r="J9641">
        <f>IF($H9641=0,1,IF($I9641&lt;=1,2,0))</f>
        <v>0</v>
      </c>
      <c r="K9641">
        <v>8</v>
      </c>
      <c r="L9641">
        <f>IF(AND($J9641=0,$K9641=0),0,1)</f>
        <v>1</v>
      </c>
      <c r="M9641" t="s">
        <v>564</v>
      </c>
    </row>
    <row r="9642" spans="1:13" x14ac:dyDescent="0.2">
      <c r="A9642" t="s">
        <v>562</v>
      </c>
      <c r="B9642" t="s">
        <v>17</v>
      </c>
      <c r="C9642" t="s">
        <v>9</v>
      </c>
      <c r="D9642">
        <v>1437</v>
      </c>
      <c r="E9642">
        <v>2019</v>
      </c>
      <c r="F9642">
        <v>5</v>
      </c>
      <c r="G9642">
        <v>99556</v>
      </c>
      <c r="H9642" s="1">
        <v>1</v>
      </c>
      <c r="I9642">
        <v>3</v>
      </c>
      <c r="J9642">
        <f>IF($H9642=0,1,IF($I9642&lt;=1,2,0))</f>
        <v>0</v>
      </c>
      <c r="K9642">
        <v>8</v>
      </c>
      <c r="L9642">
        <f>IF(AND($J9642=0,$K9642=0),0,1)</f>
        <v>1</v>
      </c>
      <c r="M9642" t="s">
        <v>564</v>
      </c>
    </row>
    <row r="9643" spans="1:13" x14ac:dyDescent="0.2">
      <c r="A9643" t="s">
        <v>562</v>
      </c>
      <c r="B9643" t="s">
        <v>17</v>
      </c>
      <c r="C9643" t="s">
        <v>9</v>
      </c>
      <c r="D9643">
        <v>1437</v>
      </c>
      <c r="E9643">
        <v>2019</v>
      </c>
      <c r="F9643">
        <v>4</v>
      </c>
      <c r="G9643">
        <v>99557</v>
      </c>
      <c r="H9643" s="1">
        <v>1</v>
      </c>
      <c r="I9643">
        <v>0</v>
      </c>
      <c r="J9643">
        <f>IF($H9643=0,1,IF($I9643&lt;=1,2,0))</f>
        <v>2</v>
      </c>
      <c r="K9643">
        <v>8</v>
      </c>
      <c r="L9643">
        <f>IF(AND($J9643=0,$K9643=0),0,1)</f>
        <v>1</v>
      </c>
      <c r="M9643" t="s">
        <v>564</v>
      </c>
    </row>
    <row r="9644" spans="1:13" x14ac:dyDescent="0.2">
      <c r="A9644" t="s">
        <v>562</v>
      </c>
      <c r="B9644" t="s">
        <v>17</v>
      </c>
      <c r="C9644" t="s">
        <v>9</v>
      </c>
      <c r="D9644">
        <v>1443</v>
      </c>
      <c r="E9644">
        <v>2019</v>
      </c>
      <c r="F9644">
        <v>2</v>
      </c>
      <c r="G9644">
        <v>99484</v>
      </c>
      <c r="H9644" s="1">
        <v>1</v>
      </c>
      <c r="I9644">
        <v>4</v>
      </c>
      <c r="J9644">
        <f>IF($H9644=0,1,IF($I9644&lt;=1,2,0))</f>
        <v>0</v>
      </c>
      <c r="K9644">
        <v>8</v>
      </c>
      <c r="L9644">
        <f>IF(AND($J9644=0,$K9644=0),0,1)</f>
        <v>1</v>
      </c>
      <c r="M9644" t="s">
        <v>564</v>
      </c>
    </row>
    <row r="9645" spans="1:13" x14ac:dyDescent="0.2">
      <c r="A9645" t="s">
        <v>562</v>
      </c>
      <c r="B9645" t="s">
        <v>17</v>
      </c>
      <c r="C9645" t="s">
        <v>9</v>
      </c>
      <c r="D9645">
        <v>1445</v>
      </c>
      <c r="E9645">
        <v>2019</v>
      </c>
      <c r="F9645">
        <v>1</v>
      </c>
      <c r="G9645">
        <v>99554</v>
      </c>
      <c r="H9645" s="1">
        <v>1</v>
      </c>
      <c r="I9645">
        <v>1</v>
      </c>
      <c r="J9645">
        <f>IF($H9645=0,1,IF($I9645&lt;=1,2,0))</f>
        <v>2</v>
      </c>
      <c r="K9645">
        <v>8</v>
      </c>
      <c r="L9645">
        <f>IF(AND($J9645=0,$K9645=0),0,1)</f>
        <v>1</v>
      </c>
      <c r="M9645" t="s">
        <v>564</v>
      </c>
    </row>
    <row r="9646" spans="1:13" x14ac:dyDescent="0.2">
      <c r="A9646" t="s">
        <v>562</v>
      </c>
      <c r="B9646" t="s">
        <v>17</v>
      </c>
      <c r="C9646" t="s">
        <v>9</v>
      </c>
      <c r="D9646">
        <v>1447</v>
      </c>
      <c r="E9646">
        <v>2019</v>
      </c>
      <c r="F9646">
        <v>1</v>
      </c>
      <c r="G9646">
        <v>99449</v>
      </c>
      <c r="H9646" s="1">
        <v>1</v>
      </c>
      <c r="I9646">
        <v>5</v>
      </c>
      <c r="J9646">
        <f>IF($H9646=0,1,IF($I9646&lt;=1,2,0))</f>
        <v>0</v>
      </c>
      <c r="K9646">
        <v>8</v>
      </c>
      <c r="L9646">
        <f>IF(AND($J9646=0,$K9646=0),0,1)</f>
        <v>1</v>
      </c>
      <c r="M9646" t="s">
        <v>564</v>
      </c>
    </row>
    <row r="9647" spans="1:13" x14ac:dyDescent="0.2">
      <c r="A9647" t="s">
        <v>562</v>
      </c>
      <c r="B9647" t="s">
        <v>17</v>
      </c>
      <c r="C9647" t="s">
        <v>9</v>
      </c>
      <c r="D9647">
        <v>1447</v>
      </c>
      <c r="E9647">
        <v>2019</v>
      </c>
      <c r="F9647">
        <v>2</v>
      </c>
      <c r="G9647">
        <v>39512</v>
      </c>
      <c r="H9647" s="1">
        <v>1</v>
      </c>
      <c r="I9647">
        <v>1</v>
      </c>
      <c r="J9647">
        <f>IF($H9647=0,1,IF($I9647&lt;=1,2,0))</f>
        <v>2</v>
      </c>
      <c r="K9647">
        <v>8</v>
      </c>
      <c r="L9647">
        <f>IF(AND($J9647=0,$K9647=0),0,1)</f>
        <v>1</v>
      </c>
    </row>
    <row r="9648" spans="1:13" x14ac:dyDescent="0.2">
      <c r="A9648" t="s">
        <v>562</v>
      </c>
      <c r="B9648" t="s">
        <v>17</v>
      </c>
      <c r="C9648" t="s">
        <v>9</v>
      </c>
      <c r="D9648">
        <v>1449</v>
      </c>
      <c r="E9648">
        <v>2019</v>
      </c>
      <c r="F9648">
        <v>2</v>
      </c>
      <c r="G9648">
        <v>99482</v>
      </c>
      <c r="H9648" s="1">
        <v>1</v>
      </c>
      <c r="I9648">
        <v>1</v>
      </c>
      <c r="J9648">
        <f>IF($H9648=0,1,IF($I9648&lt;=1,2,0))</f>
        <v>2</v>
      </c>
      <c r="K9648">
        <v>8</v>
      </c>
      <c r="L9648">
        <f>IF(AND($J9648=0,$K9648=0),0,1)</f>
        <v>1</v>
      </c>
      <c r="M9648" t="s">
        <v>564</v>
      </c>
    </row>
    <row r="9649" spans="1:13" x14ac:dyDescent="0.2">
      <c r="A9649" t="s">
        <v>562</v>
      </c>
      <c r="B9649" t="s">
        <v>17</v>
      </c>
      <c r="C9649" t="s">
        <v>9</v>
      </c>
      <c r="D9649">
        <v>1449</v>
      </c>
      <c r="E9649">
        <v>2019</v>
      </c>
      <c r="F9649">
        <v>1</v>
      </c>
      <c r="G9649">
        <v>99483</v>
      </c>
      <c r="H9649" s="1">
        <v>1</v>
      </c>
      <c r="I9649">
        <v>0</v>
      </c>
      <c r="J9649">
        <f>IF($H9649=0,1,IF($I9649&lt;=1,2,0))</f>
        <v>2</v>
      </c>
      <c r="K9649">
        <v>8</v>
      </c>
      <c r="L9649">
        <f>IF(AND($J9649=0,$K9649=0),0,1)</f>
        <v>1</v>
      </c>
      <c r="M9649" t="s">
        <v>564</v>
      </c>
    </row>
    <row r="9650" spans="1:13" x14ac:dyDescent="0.2">
      <c r="A9650" t="s">
        <v>562</v>
      </c>
      <c r="B9650" t="s">
        <v>17</v>
      </c>
      <c r="C9650" t="s">
        <v>9</v>
      </c>
      <c r="D9650">
        <v>1451</v>
      </c>
      <c r="E9650">
        <v>2019</v>
      </c>
      <c r="F9650">
        <v>2</v>
      </c>
      <c r="G9650">
        <v>99552</v>
      </c>
      <c r="H9650" s="1">
        <v>1</v>
      </c>
      <c r="I9650">
        <v>2</v>
      </c>
      <c r="J9650">
        <f>IF($H9650=0,1,IF($I9650&lt;=1,2,0))</f>
        <v>0</v>
      </c>
      <c r="K9650">
        <v>8</v>
      </c>
      <c r="L9650">
        <f>IF(AND($J9650=0,$K9650=0),0,1)</f>
        <v>1</v>
      </c>
      <c r="M9650" t="s">
        <v>564</v>
      </c>
    </row>
    <row r="9651" spans="1:13" x14ac:dyDescent="0.2">
      <c r="A9651" t="s">
        <v>562</v>
      </c>
      <c r="B9651" t="s">
        <v>17</v>
      </c>
      <c r="C9651" t="s">
        <v>9</v>
      </c>
      <c r="D9651">
        <v>1451</v>
      </c>
      <c r="E9651">
        <v>2019</v>
      </c>
      <c r="F9651">
        <v>3</v>
      </c>
      <c r="G9651">
        <v>17323</v>
      </c>
      <c r="H9651" s="1">
        <v>1</v>
      </c>
      <c r="I9651">
        <v>2</v>
      </c>
      <c r="J9651">
        <f>IF($H9651=0,1,IF($I9651&lt;=1,2,0))</f>
        <v>0</v>
      </c>
      <c r="K9651">
        <v>8</v>
      </c>
      <c r="L9651">
        <f>IF(AND($J9651=0,$K9651=0),0,1)</f>
        <v>1</v>
      </c>
    </row>
    <row r="9652" spans="1:13" x14ac:dyDescent="0.2">
      <c r="A9652" t="s">
        <v>562</v>
      </c>
      <c r="B9652" t="s">
        <v>17</v>
      </c>
      <c r="C9652" t="s">
        <v>9</v>
      </c>
      <c r="D9652">
        <v>1451</v>
      </c>
      <c r="E9652">
        <v>2019</v>
      </c>
      <c r="F9652">
        <v>1</v>
      </c>
      <c r="G9652">
        <v>99553</v>
      </c>
      <c r="H9652" s="1">
        <v>1</v>
      </c>
      <c r="I9652">
        <v>0</v>
      </c>
      <c r="J9652">
        <f>IF($H9652=0,1,IF($I9652&lt;=1,2,0))</f>
        <v>2</v>
      </c>
      <c r="K9652">
        <v>8</v>
      </c>
      <c r="L9652">
        <f>IF(AND($J9652=0,$K9652=0),0,1)</f>
        <v>1</v>
      </c>
      <c r="M9652" t="s">
        <v>564</v>
      </c>
    </row>
    <row r="9653" spans="1:13" x14ac:dyDescent="0.2">
      <c r="A9653" t="s">
        <v>562</v>
      </c>
      <c r="B9653" t="s">
        <v>17</v>
      </c>
      <c r="C9653" t="s">
        <v>9</v>
      </c>
      <c r="D9653">
        <v>1453</v>
      </c>
      <c r="E9653">
        <v>2019</v>
      </c>
      <c r="F9653">
        <v>1</v>
      </c>
      <c r="G9653">
        <v>99628</v>
      </c>
      <c r="H9653" s="1">
        <v>1</v>
      </c>
      <c r="I9653">
        <v>10</v>
      </c>
      <c r="J9653">
        <f>IF($H9653=0,1,IF($I9653&lt;=1,2,0))</f>
        <v>0</v>
      </c>
      <c r="K9653">
        <v>8</v>
      </c>
      <c r="L9653">
        <f>IF(AND($J9653=0,$K9653=0),0,1)</f>
        <v>1</v>
      </c>
      <c r="M9653" t="s">
        <v>564</v>
      </c>
    </row>
    <row r="9654" spans="1:13" x14ac:dyDescent="0.2">
      <c r="A9654" t="s">
        <v>562</v>
      </c>
      <c r="B9654" t="s">
        <v>17</v>
      </c>
      <c r="C9654" t="s">
        <v>9</v>
      </c>
      <c r="D9654">
        <v>1453</v>
      </c>
      <c r="E9654">
        <v>2019</v>
      </c>
      <c r="F9654">
        <v>2</v>
      </c>
      <c r="G9654">
        <v>99627</v>
      </c>
      <c r="H9654" s="1">
        <v>1</v>
      </c>
      <c r="I9654">
        <v>6</v>
      </c>
      <c r="J9654">
        <f>IF($H9654=0,1,IF($I9654&lt;=1,2,0))</f>
        <v>0</v>
      </c>
      <c r="K9654">
        <v>8</v>
      </c>
      <c r="L9654">
        <f>IF(AND($J9654=0,$K9654=0),0,1)</f>
        <v>1</v>
      </c>
      <c r="M9654" t="s">
        <v>564</v>
      </c>
    </row>
    <row r="9655" spans="1:13" x14ac:dyDescent="0.2">
      <c r="A9655" t="s">
        <v>562</v>
      </c>
      <c r="B9655" t="s">
        <v>17</v>
      </c>
      <c r="C9655" t="s">
        <v>9</v>
      </c>
      <c r="D9655">
        <v>1453</v>
      </c>
      <c r="E9655">
        <v>2019</v>
      </c>
      <c r="F9655">
        <v>4</v>
      </c>
      <c r="G9655">
        <v>99625</v>
      </c>
      <c r="H9655" s="1">
        <v>1</v>
      </c>
      <c r="I9655">
        <v>0</v>
      </c>
      <c r="J9655">
        <f>IF($H9655=0,1,IF($I9655&lt;=1,2,0))</f>
        <v>2</v>
      </c>
      <c r="K9655">
        <v>8</v>
      </c>
      <c r="L9655">
        <f>IF(AND($J9655=0,$K9655=0),0,1)</f>
        <v>1</v>
      </c>
      <c r="M9655" t="s">
        <v>564</v>
      </c>
    </row>
    <row r="9656" spans="1:13" x14ac:dyDescent="0.2">
      <c r="A9656" t="s">
        <v>562</v>
      </c>
      <c r="B9656" t="s">
        <v>17</v>
      </c>
      <c r="C9656" t="s">
        <v>9</v>
      </c>
      <c r="D9656">
        <v>1455</v>
      </c>
      <c r="E9656">
        <v>2019</v>
      </c>
      <c r="F9656">
        <v>1</v>
      </c>
      <c r="G9656">
        <v>99481</v>
      </c>
      <c r="H9656" s="1">
        <v>1</v>
      </c>
      <c r="I9656">
        <v>4</v>
      </c>
      <c r="J9656">
        <f>IF($H9656=0,1,IF($I9656&lt;=1,2,0))</f>
        <v>0</v>
      </c>
      <c r="K9656">
        <v>8</v>
      </c>
      <c r="L9656">
        <f>IF(AND($J9656=0,$K9656=0),0,1)</f>
        <v>1</v>
      </c>
      <c r="M9656" t="s">
        <v>564</v>
      </c>
    </row>
    <row r="9657" spans="1:13" x14ac:dyDescent="0.2">
      <c r="A9657" t="s">
        <v>562</v>
      </c>
      <c r="B9657" t="s">
        <v>17</v>
      </c>
      <c r="C9657" t="s">
        <v>9</v>
      </c>
      <c r="D9657">
        <v>1457</v>
      </c>
      <c r="E9657">
        <v>2019</v>
      </c>
      <c r="F9657">
        <v>1</v>
      </c>
      <c r="G9657">
        <v>99551</v>
      </c>
      <c r="H9657" s="1">
        <v>1</v>
      </c>
      <c r="I9657">
        <v>1</v>
      </c>
      <c r="J9657">
        <f>IF($H9657=0,1,IF($I9657&lt;=1,2,0))</f>
        <v>2</v>
      </c>
      <c r="K9657">
        <v>8</v>
      </c>
      <c r="L9657">
        <f>IF(AND($J9657=0,$K9657=0),0,1)</f>
        <v>1</v>
      </c>
      <c r="M9657" t="s">
        <v>564</v>
      </c>
    </row>
    <row r="9658" spans="1:13" x14ac:dyDescent="0.2">
      <c r="A9658" t="s">
        <v>562</v>
      </c>
      <c r="B9658" t="s">
        <v>17</v>
      </c>
      <c r="C9658" t="s">
        <v>9</v>
      </c>
      <c r="D9658">
        <v>1459</v>
      </c>
      <c r="E9658">
        <v>2019</v>
      </c>
      <c r="F9658">
        <v>1</v>
      </c>
      <c r="G9658">
        <v>99504</v>
      </c>
      <c r="H9658" s="1">
        <v>1</v>
      </c>
      <c r="I9658">
        <v>3</v>
      </c>
      <c r="J9658">
        <f>IF($H9658=0,1,IF($I9658&lt;=1,2,0))</f>
        <v>0</v>
      </c>
      <c r="K9658">
        <v>8</v>
      </c>
      <c r="L9658">
        <f>IF(AND($J9658=0,$K9658=0),0,1)</f>
        <v>1</v>
      </c>
      <c r="M9658" t="s">
        <v>564</v>
      </c>
    </row>
    <row r="9659" spans="1:13" x14ac:dyDescent="0.2">
      <c r="A9659" t="s">
        <v>562</v>
      </c>
      <c r="B9659" t="s">
        <v>17</v>
      </c>
      <c r="C9659" t="s">
        <v>9</v>
      </c>
      <c r="D9659">
        <v>1461</v>
      </c>
      <c r="E9659">
        <v>2019</v>
      </c>
      <c r="F9659">
        <v>1</v>
      </c>
      <c r="G9659">
        <v>99480</v>
      </c>
      <c r="H9659" s="1">
        <v>1</v>
      </c>
      <c r="I9659">
        <v>9</v>
      </c>
      <c r="J9659">
        <f>IF($H9659=0,1,IF($I9659&lt;=1,2,0))</f>
        <v>0</v>
      </c>
      <c r="K9659">
        <v>8</v>
      </c>
      <c r="L9659">
        <f>IF(AND($J9659=0,$K9659=0),0,1)</f>
        <v>1</v>
      </c>
      <c r="M9659" t="s">
        <v>564</v>
      </c>
    </row>
    <row r="9660" spans="1:13" x14ac:dyDescent="0.2">
      <c r="A9660" t="s">
        <v>562</v>
      </c>
      <c r="B9660" t="s">
        <v>17</v>
      </c>
      <c r="C9660" t="s">
        <v>21</v>
      </c>
      <c r="D9660">
        <v>1531</v>
      </c>
      <c r="E9660">
        <v>2019</v>
      </c>
      <c r="F9660">
        <v>1</v>
      </c>
      <c r="G9660">
        <v>99624</v>
      </c>
      <c r="H9660" s="1">
        <v>1</v>
      </c>
      <c r="I9660">
        <v>0</v>
      </c>
      <c r="J9660">
        <f>IF($H9660=0,1,IF($I9660&lt;=1,2,0))</f>
        <v>2</v>
      </c>
      <c r="K9660">
        <v>0</v>
      </c>
      <c r="L9660">
        <f>IF(AND($J9660=0,$K9660=0),0,1)</f>
        <v>1</v>
      </c>
      <c r="M9660" t="s">
        <v>567</v>
      </c>
    </row>
    <row r="9661" spans="1:13" x14ac:dyDescent="0.2">
      <c r="A9661" t="s">
        <v>562</v>
      </c>
      <c r="B9661" t="s">
        <v>17</v>
      </c>
      <c r="C9661" t="s">
        <v>21</v>
      </c>
      <c r="D9661">
        <v>1531</v>
      </c>
      <c r="E9661">
        <v>2019</v>
      </c>
      <c r="F9661">
        <v>2</v>
      </c>
      <c r="G9661">
        <v>99623</v>
      </c>
      <c r="H9661" s="1">
        <v>1</v>
      </c>
      <c r="I9661">
        <v>0</v>
      </c>
      <c r="J9661">
        <f>IF($H9661=0,1,IF($I9661&lt;=1,2,0))</f>
        <v>2</v>
      </c>
      <c r="K9661">
        <v>0</v>
      </c>
      <c r="L9661">
        <f>IF(AND($J9661=0,$K9661=0),0,1)</f>
        <v>1</v>
      </c>
      <c r="M9661" t="s">
        <v>567</v>
      </c>
    </row>
    <row r="9662" spans="1:13" x14ac:dyDescent="0.2">
      <c r="A9662" t="s">
        <v>562</v>
      </c>
      <c r="B9662" t="s">
        <v>17</v>
      </c>
      <c r="C9662" t="s">
        <v>21</v>
      </c>
      <c r="D9662">
        <v>1531</v>
      </c>
      <c r="E9662">
        <v>2019</v>
      </c>
      <c r="F9662">
        <v>3</v>
      </c>
      <c r="G9662">
        <v>99622</v>
      </c>
      <c r="H9662" s="1">
        <v>1</v>
      </c>
      <c r="I9662">
        <v>0</v>
      </c>
      <c r="J9662">
        <f>IF($H9662=0,1,IF($I9662&lt;=1,2,0))</f>
        <v>2</v>
      </c>
      <c r="K9662">
        <v>0</v>
      </c>
      <c r="L9662">
        <f>IF(AND($J9662=0,$K9662=0),0,1)</f>
        <v>1</v>
      </c>
      <c r="M9662" t="s">
        <v>567</v>
      </c>
    </row>
    <row r="9663" spans="1:13" x14ac:dyDescent="0.2">
      <c r="A9663" t="s">
        <v>562</v>
      </c>
      <c r="B9663" t="s">
        <v>17</v>
      </c>
      <c r="C9663" t="s">
        <v>21</v>
      </c>
      <c r="D9663">
        <v>1531</v>
      </c>
      <c r="E9663">
        <v>2019</v>
      </c>
      <c r="F9663">
        <v>5</v>
      </c>
      <c r="G9663">
        <v>99620</v>
      </c>
      <c r="H9663" s="1">
        <v>1</v>
      </c>
      <c r="I9663">
        <v>0</v>
      </c>
      <c r="J9663">
        <f>IF($H9663=0,1,IF($I9663&lt;=1,2,0))</f>
        <v>2</v>
      </c>
      <c r="K9663">
        <v>0</v>
      </c>
      <c r="L9663">
        <f>IF(AND($J9663=0,$K9663=0),0,1)</f>
        <v>1</v>
      </c>
      <c r="M9663" t="s">
        <v>567</v>
      </c>
    </row>
    <row r="9664" spans="1:13" x14ac:dyDescent="0.2">
      <c r="A9664" t="s">
        <v>562</v>
      </c>
      <c r="B9664" t="s">
        <v>17</v>
      </c>
      <c r="C9664" t="s">
        <v>21</v>
      </c>
      <c r="D9664">
        <v>1531</v>
      </c>
      <c r="E9664">
        <v>2019</v>
      </c>
      <c r="F9664">
        <v>9</v>
      </c>
      <c r="G9664">
        <v>99616</v>
      </c>
      <c r="H9664" s="1">
        <v>1</v>
      </c>
      <c r="I9664">
        <v>0</v>
      </c>
      <c r="J9664">
        <f>IF($H9664=0,1,IF($I9664&lt;=1,2,0))</f>
        <v>2</v>
      </c>
      <c r="K9664">
        <v>0</v>
      </c>
      <c r="L9664">
        <f>IF(AND($J9664=0,$K9664=0),0,1)</f>
        <v>1</v>
      </c>
      <c r="M9664" t="s">
        <v>567</v>
      </c>
    </row>
    <row r="9665" spans="1:13" x14ac:dyDescent="0.2">
      <c r="A9665" t="s">
        <v>562</v>
      </c>
      <c r="B9665" t="s">
        <v>17</v>
      </c>
      <c r="C9665" t="s">
        <v>21</v>
      </c>
      <c r="D9665">
        <v>1531</v>
      </c>
      <c r="E9665">
        <v>2019</v>
      </c>
      <c r="F9665">
        <v>13</v>
      </c>
      <c r="G9665">
        <v>99612</v>
      </c>
      <c r="H9665" s="1">
        <v>1</v>
      </c>
      <c r="I9665">
        <v>0</v>
      </c>
      <c r="J9665">
        <f>IF($H9665=0,1,IF($I9665&lt;=1,2,0))</f>
        <v>2</v>
      </c>
      <c r="K9665">
        <v>0</v>
      </c>
      <c r="L9665">
        <f>IF(AND($J9665=0,$K9665=0),0,1)</f>
        <v>1</v>
      </c>
      <c r="M9665" t="s">
        <v>567</v>
      </c>
    </row>
    <row r="9666" spans="1:13" x14ac:dyDescent="0.2">
      <c r="A9666" t="s">
        <v>562</v>
      </c>
      <c r="B9666" t="s">
        <v>17</v>
      </c>
      <c r="C9666" t="s">
        <v>21</v>
      </c>
      <c r="D9666">
        <v>1531</v>
      </c>
      <c r="E9666">
        <v>2019</v>
      </c>
      <c r="F9666">
        <v>15</v>
      </c>
      <c r="G9666">
        <v>99610</v>
      </c>
      <c r="H9666" s="1">
        <v>1</v>
      </c>
      <c r="I9666">
        <v>0</v>
      </c>
      <c r="J9666">
        <f>IF($H9666=0,1,IF($I9666&lt;=1,2,0))</f>
        <v>2</v>
      </c>
      <c r="K9666">
        <v>0</v>
      </c>
      <c r="L9666">
        <f>IF(AND($J9666=0,$K9666=0),0,1)</f>
        <v>1</v>
      </c>
      <c r="M9666" t="s">
        <v>567</v>
      </c>
    </row>
    <row r="9667" spans="1:13" x14ac:dyDescent="0.2">
      <c r="A9667" t="s">
        <v>562</v>
      </c>
      <c r="B9667" t="s">
        <v>17</v>
      </c>
      <c r="C9667" t="s">
        <v>21</v>
      </c>
      <c r="D9667">
        <v>1531</v>
      </c>
      <c r="E9667">
        <v>2019</v>
      </c>
      <c r="F9667">
        <v>20</v>
      </c>
      <c r="G9667">
        <v>99605</v>
      </c>
      <c r="H9667" s="1">
        <v>1</v>
      </c>
      <c r="I9667">
        <v>0</v>
      </c>
      <c r="J9667">
        <f>IF($H9667=0,1,IF($I9667&lt;=1,2,0))</f>
        <v>2</v>
      </c>
      <c r="K9667">
        <v>0</v>
      </c>
      <c r="L9667">
        <f>IF(AND($J9667=0,$K9667=0),0,1)</f>
        <v>1</v>
      </c>
      <c r="M9667" t="s">
        <v>567</v>
      </c>
    </row>
    <row r="9668" spans="1:13" x14ac:dyDescent="0.2">
      <c r="A9668" t="s">
        <v>562</v>
      </c>
      <c r="B9668" t="s">
        <v>17</v>
      </c>
      <c r="C9668" t="s">
        <v>21</v>
      </c>
      <c r="D9668">
        <v>1551</v>
      </c>
      <c r="E9668">
        <v>2019</v>
      </c>
      <c r="F9668">
        <v>5</v>
      </c>
      <c r="G9668">
        <v>99545</v>
      </c>
      <c r="H9668" s="1">
        <v>1</v>
      </c>
      <c r="I9668">
        <v>1</v>
      </c>
      <c r="J9668">
        <f>IF($H9668=0,1,IF($I9668&lt;=1,2,0))</f>
        <v>2</v>
      </c>
      <c r="K9668">
        <v>0</v>
      </c>
      <c r="L9668">
        <f>IF(AND($J9668=0,$K9668=0),0,1)</f>
        <v>1</v>
      </c>
      <c r="M9668" t="s">
        <v>566</v>
      </c>
    </row>
    <row r="9669" spans="1:13" x14ac:dyDescent="0.2">
      <c r="A9669" t="s">
        <v>562</v>
      </c>
      <c r="B9669" t="s">
        <v>17</v>
      </c>
      <c r="C9669" t="s">
        <v>21</v>
      </c>
      <c r="D9669">
        <v>1551</v>
      </c>
      <c r="E9669">
        <v>2019</v>
      </c>
      <c r="F9669">
        <v>3</v>
      </c>
      <c r="G9669">
        <v>99547</v>
      </c>
      <c r="H9669" s="1">
        <v>1</v>
      </c>
      <c r="I9669">
        <v>0</v>
      </c>
      <c r="J9669">
        <f>IF($H9669=0,1,IF($I9669&lt;=1,2,0))</f>
        <v>2</v>
      </c>
      <c r="K9669">
        <v>0</v>
      </c>
      <c r="L9669">
        <f>IF(AND($J9669=0,$K9669=0),0,1)</f>
        <v>1</v>
      </c>
      <c r="M9669" t="s">
        <v>566</v>
      </c>
    </row>
    <row r="9670" spans="1:13" x14ac:dyDescent="0.2">
      <c r="A9670" t="s">
        <v>568</v>
      </c>
      <c r="B9670" t="s">
        <v>17</v>
      </c>
      <c r="C9670" t="s">
        <v>11</v>
      </c>
      <c r="D9670">
        <v>6021</v>
      </c>
      <c r="E9670">
        <v>2019</v>
      </c>
      <c r="F9670">
        <v>2</v>
      </c>
      <c r="G9670">
        <v>13283</v>
      </c>
      <c r="H9670" s="1" t="s">
        <v>1824</v>
      </c>
      <c r="I9670">
        <v>1</v>
      </c>
      <c r="J9670">
        <f>IF($H9670=0,1,IF($I9670&lt;=1,2,0))</f>
        <v>2</v>
      </c>
      <c r="K9670">
        <v>0</v>
      </c>
      <c r="L9670">
        <f>IF(AND($J9670=0,$K9670=0),0,1)</f>
        <v>1</v>
      </c>
    </row>
    <row r="9671" spans="1:13" x14ac:dyDescent="0.2">
      <c r="A9671" t="s">
        <v>568</v>
      </c>
      <c r="B9671" t="s">
        <v>17</v>
      </c>
      <c r="C9671" t="s">
        <v>11</v>
      </c>
      <c r="D9671">
        <v>6990</v>
      </c>
      <c r="E9671">
        <v>2019</v>
      </c>
      <c r="F9671">
        <v>1</v>
      </c>
      <c r="G9671">
        <v>13279</v>
      </c>
      <c r="H9671" s="1" t="s">
        <v>1824</v>
      </c>
      <c r="I9671">
        <v>0</v>
      </c>
      <c r="J9671">
        <f>IF($H9671=0,1,IF($I9671&lt;=1,2,0))</f>
        <v>2</v>
      </c>
      <c r="K9671">
        <v>0</v>
      </c>
      <c r="L9671">
        <f>IF(AND($J9671=0,$K9671=0),0,1)</f>
        <v>1</v>
      </c>
    </row>
    <row r="9672" spans="1:13" x14ac:dyDescent="0.2">
      <c r="A9672" t="s">
        <v>568</v>
      </c>
      <c r="B9672" t="s">
        <v>17</v>
      </c>
      <c r="C9672" t="s">
        <v>11</v>
      </c>
      <c r="D9672">
        <v>6990</v>
      </c>
      <c r="E9672">
        <v>2019</v>
      </c>
      <c r="F9672">
        <v>2</v>
      </c>
      <c r="G9672">
        <v>13284</v>
      </c>
      <c r="H9672" s="1" t="s">
        <v>1824</v>
      </c>
      <c r="I9672">
        <v>0</v>
      </c>
      <c r="J9672">
        <f>IF($H9672=0,1,IF($I9672&lt;=1,2,0))</f>
        <v>2</v>
      </c>
      <c r="K9672">
        <v>0</v>
      </c>
      <c r="L9672">
        <f>IF(AND($J9672=0,$K9672=0),0,1)</f>
        <v>1</v>
      </c>
    </row>
    <row r="9673" spans="1:13" x14ac:dyDescent="0.2">
      <c r="A9673" t="s">
        <v>568</v>
      </c>
      <c r="B9673" t="s">
        <v>17</v>
      </c>
      <c r="C9673" t="s">
        <v>11</v>
      </c>
      <c r="D9673">
        <v>6999</v>
      </c>
      <c r="E9673">
        <v>2019</v>
      </c>
      <c r="F9673">
        <v>1</v>
      </c>
      <c r="G9673">
        <v>13280</v>
      </c>
      <c r="H9673" s="1">
        <v>4</v>
      </c>
      <c r="I9673">
        <v>1</v>
      </c>
      <c r="J9673">
        <f>IF($H9673=0,1,IF($I9673&lt;=1,2,0))</f>
        <v>2</v>
      </c>
      <c r="K9673">
        <v>9</v>
      </c>
      <c r="L9673">
        <f>IF(AND($J9673=0,$K9673=0),0,1)</f>
        <v>1</v>
      </c>
    </row>
    <row r="9674" spans="1:13" x14ac:dyDescent="0.2">
      <c r="A9674" t="s">
        <v>568</v>
      </c>
      <c r="B9674" t="s">
        <v>17</v>
      </c>
      <c r="C9674" t="s">
        <v>11</v>
      </c>
      <c r="D9674">
        <v>6999</v>
      </c>
      <c r="E9674">
        <v>2019</v>
      </c>
      <c r="F9674">
        <v>2</v>
      </c>
      <c r="G9674">
        <v>13281</v>
      </c>
      <c r="H9674" s="1">
        <v>4</v>
      </c>
      <c r="I9674">
        <v>0</v>
      </c>
      <c r="J9674">
        <f>IF($H9674=0,1,IF($I9674&lt;=1,2,0))</f>
        <v>2</v>
      </c>
      <c r="K9674">
        <v>9</v>
      </c>
      <c r="L9674">
        <f>IF(AND($J9674=0,$K9674=0),0,1)</f>
        <v>1</v>
      </c>
    </row>
    <row r="9675" spans="1:13" x14ac:dyDescent="0.2">
      <c r="A9675" t="s">
        <v>569</v>
      </c>
      <c r="B9675" t="s">
        <v>71</v>
      </c>
      <c r="C9675" t="s">
        <v>72</v>
      </c>
      <c r="D9675">
        <v>4100</v>
      </c>
      <c r="E9675">
        <v>2019</v>
      </c>
      <c r="F9675" t="s">
        <v>84</v>
      </c>
      <c r="G9675">
        <v>16419</v>
      </c>
      <c r="H9675" s="1">
        <v>3</v>
      </c>
      <c r="I9675">
        <v>1</v>
      </c>
      <c r="J9675">
        <f>IF($H9675=0,1,IF($I9675&lt;=1,2,0))</f>
        <v>2</v>
      </c>
      <c r="K9675">
        <v>0</v>
      </c>
      <c r="L9675">
        <f>IF(AND($J9675=0,$K9675=0),0,1)</f>
        <v>1</v>
      </c>
      <c r="M9675" t="s">
        <v>85</v>
      </c>
    </row>
    <row r="9676" spans="1:13" x14ac:dyDescent="0.2">
      <c r="A9676" t="s">
        <v>569</v>
      </c>
      <c r="B9676" t="s">
        <v>71</v>
      </c>
      <c r="C9676" t="s">
        <v>72</v>
      </c>
      <c r="D9676">
        <v>9000</v>
      </c>
      <c r="E9676">
        <v>2019</v>
      </c>
      <c r="F9676">
        <v>1</v>
      </c>
      <c r="G9676">
        <v>14278</v>
      </c>
      <c r="H9676" s="1">
        <v>0</v>
      </c>
      <c r="I9676">
        <v>4</v>
      </c>
      <c r="J9676">
        <f>IF($H9676=0,1,IF($I9676&lt;=1,2,0))</f>
        <v>1</v>
      </c>
      <c r="K9676">
        <v>5</v>
      </c>
      <c r="L9676">
        <f>IF(AND($J9676=0,$K9676=0),0,1)</f>
        <v>1</v>
      </c>
    </row>
    <row r="9677" spans="1:13" x14ac:dyDescent="0.2">
      <c r="A9677" t="s">
        <v>570</v>
      </c>
      <c r="B9677" t="s">
        <v>17</v>
      </c>
      <c r="C9677" t="s">
        <v>2</v>
      </c>
      <c r="D9677">
        <v>1001</v>
      </c>
      <c r="E9677">
        <v>2019</v>
      </c>
      <c r="F9677">
        <v>2</v>
      </c>
      <c r="G9677">
        <v>8857</v>
      </c>
      <c r="H9677" s="1">
        <v>3</v>
      </c>
      <c r="I9677">
        <v>15</v>
      </c>
      <c r="J9677">
        <f>IF($H9677=0,1,IF($I9677&lt;=1,2,0))</f>
        <v>0</v>
      </c>
      <c r="K9677">
        <v>7</v>
      </c>
      <c r="L9677">
        <f>IF(AND($J9677=0,$K9677=0),0,1)</f>
        <v>1</v>
      </c>
    </row>
    <row r="9678" spans="1:13" x14ac:dyDescent="0.2">
      <c r="A9678" t="s">
        <v>570</v>
      </c>
      <c r="B9678" t="s">
        <v>17</v>
      </c>
      <c r="C9678" t="s">
        <v>2</v>
      </c>
      <c r="D9678">
        <v>1001</v>
      </c>
      <c r="E9678">
        <v>2019</v>
      </c>
      <c r="F9678">
        <v>1</v>
      </c>
      <c r="G9678">
        <v>8856</v>
      </c>
      <c r="H9678" s="1">
        <v>3</v>
      </c>
      <c r="I9678">
        <v>9</v>
      </c>
      <c r="J9678">
        <f>IF($H9678=0,1,IF($I9678&lt;=1,2,0))</f>
        <v>0</v>
      </c>
      <c r="K9678">
        <v>7</v>
      </c>
      <c r="L9678">
        <f>IF(AND($J9678=0,$K9678=0),0,1)</f>
        <v>1</v>
      </c>
    </row>
    <row r="9679" spans="1:13" x14ac:dyDescent="0.2">
      <c r="A9679" t="s">
        <v>570</v>
      </c>
      <c r="B9679" t="s">
        <v>17</v>
      </c>
      <c r="C9679" t="s">
        <v>2</v>
      </c>
      <c r="D9679">
        <v>1501</v>
      </c>
      <c r="E9679">
        <v>2019</v>
      </c>
      <c r="F9679">
        <v>2</v>
      </c>
      <c r="G9679">
        <v>8851</v>
      </c>
      <c r="H9679" s="1">
        <v>2</v>
      </c>
      <c r="I9679">
        <v>28</v>
      </c>
      <c r="J9679">
        <f>IF($H9679=0,1,IF($I9679&lt;=1,2,0))</f>
        <v>0</v>
      </c>
      <c r="K9679">
        <v>7</v>
      </c>
      <c r="L9679">
        <f>IF(AND($J9679=0,$K9679=0),0,1)</f>
        <v>1</v>
      </c>
      <c r="M9679" t="s">
        <v>572</v>
      </c>
    </row>
    <row r="9680" spans="1:13" x14ac:dyDescent="0.2">
      <c r="A9680" t="s">
        <v>570</v>
      </c>
      <c r="B9680" t="s">
        <v>17</v>
      </c>
      <c r="C9680" t="s">
        <v>2</v>
      </c>
      <c r="D9680">
        <v>1501</v>
      </c>
      <c r="E9680">
        <v>2019</v>
      </c>
      <c r="F9680">
        <v>1</v>
      </c>
      <c r="G9680">
        <v>8850</v>
      </c>
      <c r="H9680" s="1">
        <v>2</v>
      </c>
      <c r="I9680">
        <v>21</v>
      </c>
      <c r="J9680">
        <f>IF($H9680=0,1,IF($I9680&lt;=1,2,0))</f>
        <v>0</v>
      </c>
      <c r="K9680">
        <v>7</v>
      </c>
      <c r="L9680">
        <f>IF(AND($J9680=0,$K9680=0),0,1)</f>
        <v>1</v>
      </c>
      <c r="M9680" t="s">
        <v>572</v>
      </c>
    </row>
    <row r="9681" spans="1:12" x14ac:dyDescent="0.2">
      <c r="A9681" t="s">
        <v>570</v>
      </c>
      <c r="B9681" t="s">
        <v>17</v>
      </c>
      <c r="C9681" t="s">
        <v>2</v>
      </c>
      <c r="D9681">
        <v>3139</v>
      </c>
      <c r="E9681">
        <v>2019</v>
      </c>
      <c r="F9681">
        <v>1</v>
      </c>
      <c r="G9681">
        <v>8859</v>
      </c>
      <c r="H9681" s="1">
        <v>3</v>
      </c>
      <c r="I9681">
        <v>8</v>
      </c>
      <c r="J9681">
        <f>IF($H9681=0,1,IF($I9681&lt;=1,2,0))</f>
        <v>0</v>
      </c>
      <c r="K9681">
        <v>7</v>
      </c>
      <c r="L9681">
        <f>IF(AND($J9681=0,$K9681=0),0,1)</f>
        <v>1</v>
      </c>
    </row>
    <row r="9682" spans="1:12" x14ac:dyDescent="0.2">
      <c r="A9682" t="s">
        <v>570</v>
      </c>
      <c r="B9682" t="s">
        <v>17</v>
      </c>
      <c r="C9682" t="s">
        <v>2</v>
      </c>
      <c r="D9682">
        <v>3140</v>
      </c>
      <c r="E9682">
        <v>2019</v>
      </c>
      <c r="F9682">
        <v>1</v>
      </c>
      <c r="G9682">
        <v>8860</v>
      </c>
      <c r="H9682" s="1">
        <v>3</v>
      </c>
      <c r="I9682">
        <v>7</v>
      </c>
      <c r="J9682">
        <f>IF($H9682=0,1,IF($I9682&lt;=1,2,0))</f>
        <v>0</v>
      </c>
      <c r="K9682">
        <v>7</v>
      </c>
      <c r="L9682">
        <f>IF(AND($J9682=0,$K9682=0),0,1)</f>
        <v>1</v>
      </c>
    </row>
    <row r="9683" spans="1:12" x14ac:dyDescent="0.2">
      <c r="A9683" t="s">
        <v>570</v>
      </c>
      <c r="B9683" t="s">
        <v>17</v>
      </c>
      <c r="C9683" t="s">
        <v>2</v>
      </c>
      <c r="D9683">
        <v>3990</v>
      </c>
      <c r="E9683">
        <v>2019</v>
      </c>
      <c r="F9683">
        <v>1</v>
      </c>
      <c r="G9683">
        <v>8854</v>
      </c>
      <c r="H9683" s="1">
        <v>3</v>
      </c>
      <c r="I9683">
        <v>1</v>
      </c>
      <c r="J9683">
        <f>IF($H9683=0,1,IF($I9683&lt;=1,2,0))</f>
        <v>2</v>
      </c>
      <c r="K9683">
        <v>7</v>
      </c>
      <c r="L9683">
        <f>IF(AND($J9683=0,$K9683=0),0,1)</f>
        <v>1</v>
      </c>
    </row>
    <row r="9684" spans="1:12" x14ac:dyDescent="0.2">
      <c r="A9684" t="s">
        <v>570</v>
      </c>
      <c r="B9684" t="s">
        <v>17</v>
      </c>
      <c r="C9684" t="s">
        <v>61</v>
      </c>
      <c r="D9684">
        <v>3991</v>
      </c>
      <c r="E9684">
        <v>2019</v>
      </c>
      <c r="F9684">
        <v>1</v>
      </c>
      <c r="G9684">
        <v>19308</v>
      </c>
      <c r="H9684" s="1">
        <v>3</v>
      </c>
      <c r="I9684">
        <v>0</v>
      </c>
      <c r="J9684">
        <f>IF($H9684=0,1,IF($I9684&lt;=1,2,0))</f>
        <v>2</v>
      </c>
      <c r="K9684">
        <v>0</v>
      </c>
      <c r="L9684">
        <f>IF(AND($J9684=0,$K9684=0),0,1)</f>
        <v>1</v>
      </c>
    </row>
    <row r="9685" spans="1:12" x14ac:dyDescent="0.2">
      <c r="A9685" t="s">
        <v>570</v>
      </c>
      <c r="B9685" t="s">
        <v>17</v>
      </c>
      <c r="C9685" t="s">
        <v>2</v>
      </c>
      <c r="D9685">
        <v>3991</v>
      </c>
      <c r="E9685">
        <v>2019</v>
      </c>
      <c r="F9685">
        <v>1</v>
      </c>
      <c r="G9685">
        <v>8853</v>
      </c>
      <c r="H9685" s="1">
        <v>3</v>
      </c>
      <c r="I9685">
        <v>0</v>
      </c>
      <c r="J9685">
        <f>IF($H9685=0,1,IF($I9685&lt;=1,2,0))</f>
        <v>2</v>
      </c>
      <c r="K9685">
        <v>7</v>
      </c>
      <c r="L9685">
        <f>IF(AND($J9685=0,$K9685=0),0,1)</f>
        <v>1</v>
      </c>
    </row>
    <row r="9686" spans="1:12" x14ac:dyDescent="0.2">
      <c r="A9686" t="s">
        <v>570</v>
      </c>
      <c r="B9686" t="s">
        <v>17</v>
      </c>
      <c r="C9686" t="s">
        <v>2</v>
      </c>
      <c r="D9686">
        <v>3992</v>
      </c>
      <c r="E9686">
        <v>2019</v>
      </c>
      <c r="F9686">
        <v>1</v>
      </c>
      <c r="G9686">
        <v>8855</v>
      </c>
      <c r="H9686" s="1">
        <v>4</v>
      </c>
      <c r="I9686">
        <v>5</v>
      </c>
      <c r="J9686">
        <f>IF($H9686=0,1,IF($I9686&lt;=1,2,0))</f>
        <v>0</v>
      </c>
      <c r="K9686">
        <v>7</v>
      </c>
      <c r="L9686">
        <f>IF(AND($J9686=0,$K9686=0),0,1)</f>
        <v>1</v>
      </c>
    </row>
    <row r="9687" spans="1:12" x14ac:dyDescent="0.2">
      <c r="A9687" t="s">
        <v>570</v>
      </c>
      <c r="B9687" t="s">
        <v>17</v>
      </c>
      <c r="C9687" t="s">
        <v>9</v>
      </c>
      <c r="D9687">
        <v>3995</v>
      </c>
      <c r="E9687">
        <v>2019</v>
      </c>
      <c r="F9687">
        <v>20</v>
      </c>
      <c r="G9687">
        <v>99584</v>
      </c>
      <c r="H9687" s="1" t="s">
        <v>1840</v>
      </c>
      <c r="I9687">
        <v>1</v>
      </c>
      <c r="J9687">
        <f>IF($H9687=0,1,IF($I9687&lt;=1,2,0))</f>
        <v>2</v>
      </c>
      <c r="K9687">
        <v>0</v>
      </c>
      <c r="L9687">
        <f>IF(AND($J9687=0,$K9687=0),0,1)</f>
        <v>1</v>
      </c>
    </row>
    <row r="9688" spans="1:12" x14ac:dyDescent="0.2">
      <c r="A9688" t="s">
        <v>570</v>
      </c>
      <c r="B9688" t="s">
        <v>17</v>
      </c>
      <c r="C9688" t="s">
        <v>9</v>
      </c>
      <c r="D9688">
        <v>3995</v>
      </c>
      <c r="E9688">
        <v>2019</v>
      </c>
      <c r="F9688">
        <v>2</v>
      </c>
      <c r="G9688">
        <v>10616</v>
      </c>
      <c r="H9688" s="1" t="s">
        <v>1833</v>
      </c>
      <c r="I9688">
        <v>0</v>
      </c>
      <c r="J9688">
        <f>IF($H9688=0,1,IF($I9688&lt;=1,2,0))</f>
        <v>2</v>
      </c>
      <c r="K9688">
        <v>0</v>
      </c>
      <c r="L9688">
        <f>IF(AND($J9688=0,$K9688=0),0,1)</f>
        <v>1</v>
      </c>
    </row>
    <row r="9689" spans="1:12" x14ac:dyDescent="0.2">
      <c r="A9689" t="s">
        <v>570</v>
      </c>
      <c r="B9689" t="s">
        <v>17</v>
      </c>
      <c r="C9689" t="s">
        <v>9</v>
      </c>
      <c r="D9689">
        <v>3995</v>
      </c>
      <c r="E9689">
        <v>2019</v>
      </c>
      <c r="F9689">
        <v>3</v>
      </c>
      <c r="G9689">
        <v>10613</v>
      </c>
      <c r="H9689" s="1" t="s">
        <v>1833</v>
      </c>
      <c r="I9689">
        <v>0</v>
      </c>
      <c r="J9689">
        <f>IF($H9689=0,1,IF($I9689&lt;=1,2,0))</f>
        <v>2</v>
      </c>
      <c r="K9689">
        <v>0</v>
      </c>
      <c r="L9689">
        <f>IF(AND($J9689=0,$K9689=0),0,1)</f>
        <v>1</v>
      </c>
    </row>
    <row r="9690" spans="1:12" x14ac:dyDescent="0.2">
      <c r="A9690" t="s">
        <v>570</v>
      </c>
      <c r="B9690" t="s">
        <v>17</v>
      </c>
      <c r="C9690" t="s">
        <v>9</v>
      </c>
      <c r="D9690">
        <v>3995</v>
      </c>
      <c r="E9690">
        <v>2019</v>
      </c>
      <c r="F9690">
        <v>4</v>
      </c>
      <c r="G9690">
        <v>10615</v>
      </c>
      <c r="H9690" s="1" t="s">
        <v>1833</v>
      </c>
      <c r="I9690">
        <v>0</v>
      </c>
      <c r="J9690">
        <f>IF($H9690=0,1,IF($I9690&lt;=1,2,0))</f>
        <v>2</v>
      </c>
      <c r="K9690">
        <v>0</v>
      </c>
      <c r="L9690">
        <f>IF(AND($J9690=0,$K9690=0),0,1)</f>
        <v>1</v>
      </c>
    </row>
    <row r="9691" spans="1:12" x14ac:dyDescent="0.2">
      <c r="A9691" t="s">
        <v>570</v>
      </c>
      <c r="B9691" t="s">
        <v>17</v>
      </c>
      <c r="C9691" t="s">
        <v>9</v>
      </c>
      <c r="D9691">
        <v>3995</v>
      </c>
      <c r="E9691">
        <v>2019</v>
      </c>
      <c r="F9691">
        <v>5</v>
      </c>
      <c r="G9691">
        <v>99595</v>
      </c>
      <c r="H9691" s="1" t="s">
        <v>1840</v>
      </c>
      <c r="I9691">
        <v>0</v>
      </c>
      <c r="J9691">
        <f>IF($H9691=0,1,IF($I9691&lt;=1,2,0))</f>
        <v>2</v>
      </c>
      <c r="K9691">
        <v>0</v>
      </c>
      <c r="L9691">
        <f>IF(AND($J9691=0,$K9691=0),0,1)</f>
        <v>1</v>
      </c>
    </row>
    <row r="9692" spans="1:12" x14ac:dyDescent="0.2">
      <c r="A9692" t="s">
        <v>570</v>
      </c>
      <c r="B9692" t="s">
        <v>17</v>
      </c>
      <c r="C9692" t="s">
        <v>9</v>
      </c>
      <c r="D9692">
        <v>3995</v>
      </c>
      <c r="E9692">
        <v>2019</v>
      </c>
      <c r="F9692">
        <v>6</v>
      </c>
      <c r="G9692">
        <v>99594</v>
      </c>
      <c r="H9692" s="1" t="s">
        <v>1840</v>
      </c>
      <c r="I9692">
        <v>0</v>
      </c>
      <c r="J9692">
        <f>IF($H9692=0,1,IF($I9692&lt;=1,2,0))</f>
        <v>2</v>
      </c>
      <c r="K9692">
        <v>0</v>
      </c>
      <c r="L9692">
        <f>IF(AND($J9692=0,$K9692=0),0,1)</f>
        <v>1</v>
      </c>
    </row>
    <row r="9693" spans="1:12" x14ac:dyDescent="0.2">
      <c r="A9693" t="s">
        <v>570</v>
      </c>
      <c r="B9693" t="s">
        <v>17</v>
      </c>
      <c r="C9693" t="s">
        <v>9</v>
      </c>
      <c r="D9693">
        <v>3995</v>
      </c>
      <c r="E9693">
        <v>2019</v>
      </c>
      <c r="F9693">
        <v>7</v>
      </c>
      <c r="G9693">
        <v>99593</v>
      </c>
      <c r="H9693" s="1" t="s">
        <v>1840</v>
      </c>
      <c r="I9693">
        <v>0</v>
      </c>
      <c r="J9693">
        <f>IF($H9693=0,1,IF($I9693&lt;=1,2,0))</f>
        <v>2</v>
      </c>
      <c r="K9693">
        <v>0</v>
      </c>
      <c r="L9693">
        <f>IF(AND($J9693=0,$K9693=0),0,1)</f>
        <v>1</v>
      </c>
    </row>
    <row r="9694" spans="1:12" x14ac:dyDescent="0.2">
      <c r="A9694" t="s">
        <v>570</v>
      </c>
      <c r="B9694" t="s">
        <v>17</v>
      </c>
      <c r="C9694" t="s">
        <v>9</v>
      </c>
      <c r="D9694">
        <v>3995</v>
      </c>
      <c r="E9694">
        <v>2019</v>
      </c>
      <c r="F9694">
        <v>8</v>
      </c>
      <c r="G9694">
        <v>10617</v>
      </c>
      <c r="H9694" s="1" t="s">
        <v>1833</v>
      </c>
      <c r="I9694">
        <v>0</v>
      </c>
      <c r="J9694">
        <f>IF($H9694=0,1,IF($I9694&lt;=1,2,0))</f>
        <v>2</v>
      </c>
      <c r="K9694">
        <v>0</v>
      </c>
      <c r="L9694">
        <f>IF(AND($J9694=0,$K9694=0),0,1)</f>
        <v>1</v>
      </c>
    </row>
    <row r="9695" spans="1:12" x14ac:dyDescent="0.2">
      <c r="A9695" t="s">
        <v>570</v>
      </c>
      <c r="B9695" t="s">
        <v>17</v>
      </c>
      <c r="C9695" t="s">
        <v>9</v>
      </c>
      <c r="D9695">
        <v>3995</v>
      </c>
      <c r="E9695">
        <v>2019</v>
      </c>
      <c r="F9695">
        <v>9</v>
      </c>
      <c r="G9695">
        <v>99592</v>
      </c>
      <c r="H9695" s="1" t="s">
        <v>1840</v>
      </c>
      <c r="I9695">
        <v>0</v>
      </c>
      <c r="J9695">
        <f>IF($H9695=0,1,IF($I9695&lt;=1,2,0))</f>
        <v>2</v>
      </c>
      <c r="K9695">
        <v>0</v>
      </c>
      <c r="L9695">
        <f>IF(AND($J9695=0,$K9695=0),0,1)</f>
        <v>1</v>
      </c>
    </row>
    <row r="9696" spans="1:12" x14ac:dyDescent="0.2">
      <c r="A9696" t="s">
        <v>570</v>
      </c>
      <c r="B9696" t="s">
        <v>17</v>
      </c>
      <c r="C9696" t="s">
        <v>9</v>
      </c>
      <c r="D9696">
        <v>3995</v>
      </c>
      <c r="E9696">
        <v>2019</v>
      </c>
      <c r="F9696">
        <v>11</v>
      </c>
      <c r="G9696">
        <v>99590</v>
      </c>
      <c r="H9696" s="1" t="s">
        <v>1840</v>
      </c>
      <c r="I9696">
        <v>0</v>
      </c>
      <c r="J9696">
        <f>IF($H9696=0,1,IF($I9696&lt;=1,2,0))</f>
        <v>2</v>
      </c>
      <c r="K9696">
        <v>0</v>
      </c>
      <c r="L9696">
        <f>IF(AND($J9696=0,$K9696=0),0,1)</f>
        <v>1</v>
      </c>
    </row>
    <row r="9697" spans="1:12" x14ac:dyDescent="0.2">
      <c r="A9697" t="s">
        <v>570</v>
      </c>
      <c r="B9697" t="s">
        <v>17</v>
      </c>
      <c r="C9697" t="s">
        <v>9</v>
      </c>
      <c r="D9697">
        <v>3995</v>
      </c>
      <c r="E9697">
        <v>2019</v>
      </c>
      <c r="F9697">
        <v>13</v>
      </c>
      <c r="G9697">
        <v>99588</v>
      </c>
      <c r="H9697" s="1" t="s">
        <v>1840</v>
      </c>
      <c r="I9697">
        <v>0</v>
      </c>
      <c r="J9697">
        <f>IF($H9697=0,1,IF($I9697&lt;=1,2,0))</f>
        <v>2</v>
      </c>
      <c r="K9697">
        <v>0</v>
      </c>
      <c r="L9697">
        <f>IF(AND($J9697=0,$K9697=0),0,1)</f>
        <v>1</v>
      </c>
    </row>
    <row r="9698" spans="1:12" x14ac:dyDescent="0.2">
      <c r="A9698" t="s">
        <v>570</v>
      </c>
      <c r="B9698" t="s">
        <v>17</v>
      </c>
      <c r="C9698" t="s">
        <v>9</v>
      </c>
      <c r="D9698">
        <v>3995</v>
      </c>
      <c r="E9698">
        <v>2019</v>
      </c>
      <c r="F9698">
        <v>15</v>
      </c>
      <c r="G9698">
        <v>99587</v>
      </c>
      <c r="H9698" s="1" t="s">
        <v>1840</v>
      </c>
      <c r="I9698">
        <v>0</v>
      </c>
      <c r="J9698">
        <f>IF($H9698=0,1,IF($I9698&lt;=1,2,0))</f>
        <v>2</v>
      </c>
      <c r="K9698">
        <v>0</v>
      </c>
      <c r="L9698">
        <f>IF(AND($J9698=0,$K9698=0),0,1)</f>
        <v>1</v>
      </c>
    </row>
    <row r="9699" spans="1:12" x14ac:dyDescent="0.2">
      <c r="A9699" t="s">
        <v>570</v>
      </c>
      <c r="B9699" t="s">
        <v>17</v>
      </c>
      <c r="C9699" t="s">
        <v>9</v>
      </c>
      <c r="D9699">
        <v>3995</v>
      </c>
      <c r="E9699">
        <v>2019</v>
      </c>
      <c r="F9699">
        <v>17</v>
      </c>
      <c r="G9699">
        <v>10618</v>
      </c>
      <c r="H9699" s="1" t="s">
        <v>1833</v>
      </c>
      <c r="I9699">
        <v>0</v>
      </c>
      <c r="J9699">
        <f>IF($H9699=0,1,IF($I9699&lt;=1,2,0))</f>
        <v>2</v>
      </c>
      <c r="K9699">
        <v>0</v>
      </c>
      <c r="L9699">
        <f>IF(AND($J9699=0,$K9699=0),0,1)</f>
        <v>1</v>
      </c>
    </row>
    <row r="9700" spans="1:12" x14ac:dyDescent="0.2">
      <c r="A9700" t="s">
        <v>570</v>
      </c>
      <c r="B9700" t="s">
        <v>17</v>
      </c>
      <c r="C9700" t="s">
        <v>9</v>
      </c>
      <c r="D9700">
        <v>3995</v>
      </c>
      <c r="E9700">
        <v>2019</v>
      </c>
      <c r="F9700">
        <v>18</v>
      </c>
      <c r="G9700">
        <v>99585</v>
      </c>
      <c r="H9700" s="1" t="s">
        <v>1840</v>
      </c>
      <c r="I9700">
        <v>0</v>
      </c>
      <c r="J9700">
        <f>IF($H9700=0,1,IF($I9700&lt;=1,2,0))</f>
        <v>2</v>
      </c>
      <c r="K9700">
        <v>0</v>
      </c>
      <c r="L9700">
        <f>IF(AND($J9700=0,$K9700=0),0,1)</f>
        <v>1</v>
      </c>
    </row>
    <row r="9701" spans="1:12" x14ac:dyDescent="0.2">
      <c r="A9701" t="s">
        <v>570</v>
      </c>
      <c r="B9701" t="s">
        <v>17</v>
      </c>
      <c r="C9701" t="s">
        <v>9</v>
      </c>
      <c r="D9701">
        <v>3995</v>
      </c>
      <c r="E9701">
        <v>2019</v>
      </c>
      <c r="F9701">
        <v>19</v>
      </c>
      <c r="G9701">
        <v>10620</v>
      </c>
      <c r="H9701" s="1" t="s">
        <v>1833</v>
      </c>
      <c r="I9701">
        <v>0</v>
      </c>
      <c r="J9701">
        <f>IF($H9701=0,1,IF($I9701&lt;=1,2,0))</f>
        <v>2</v>
      </c>
      <c r="K9701">
        <v>0</v>
      </c>
      <c r="L9701">
        <f>IF(AND($J9701=0,$K9701=0),0,1)</f>
        <v>1</v>
      </c>
    </row>
    <row r="9702" spans="1:12" x14ac:dyDescent="0.2">
      <c r="A9702" t="s">
        <v>570</v>
      </c>
      <c r="B9702" t="s">
        <v>17</v>
      </c>
      <c r="C9702" t="s">
        <v>9</v>
      </c>
      <c r="D9702">
        <v>3995</v>
      </c>
      <c r="E9702">
        <v>2019</v>
      </c>
      <c r="F9702">
        <v>21</v>
      </c>
      <c r="G9702">
        <v>10621</v>
      </c>
      <c r="H9702" s="1" t="s">
        <v>1833</v>
      </c>
      <c r="I9702">
        <v>0</v>
      </c>
      <c r="J9702">
        <f>IF($H9702=0,1,IF($I9702&lt;=1,2,0))</f>
        <v>2</v>
      </c>
      <c r="K9702">
        <v>0</v>
      </c>
      <c r="L9702">
        <f>IF(AND($J9702=0,$K9702=0),0,1)</f>
        <v>1</v>
      </c>
    </row>
    <row r="9703" spans="1:12" x14ac:dyDescent="0.2">
      <c r="A9703" t="s">
        <v>570</v>
      </c>
      <c r="B9703" t="s">
        <v>17</v>
      </c>
      <c r="C9703" t="s">
        <v>21</v>
      </c>
      <c r="D9703">
        <v>3998</v>
      </c>
      <c r="E9703">
        <v>2019</v>
      </c>
      <c r="F9703">
        <v>20</v>
      </c>
      <c r="G9703">
        <v>99523</v>
      </c>
      <c r="H9703" s="1" t="s">
        <v>1827</v>
      </c>
      <c r="I9703">
        <v>3</v>
      </c>
      <c r="J9703">
        <f>IF($H9703=0,1,IF($I9703&lt;=1,2,0))</f>
        <v>0</v>
      </c>
      <c r="K9703">
        <v>9</v>
      </c>
      <c r="L9703">
        <f>IF(AND($J9703=0,$K9703=0),0,1)</f>
        <v>1</v>
      </c>
    </row>
    <row r="9704" spans="1:12" x14ac:dyDescent="0.2">
      <c r="A9704" t="s">
        <v>570</v>
      </c>
      <c r="B9704" t="s">
        <v>17</v>
      </c>
      <c r="C9704" t="s">
        <v>21</v>
      </c>
      <c r="D9704">
        <v>3998</v>
      </c>
      <c r="E9704">
        <v>2019</v>
      </c>
      <c r="F9704">
        <v>6</v>
      </c>
      <c r="G9704">
        <v>99533</v>
      </c>
      <c r="H9704" s="1" t="s">
        <v>1827</v>
      </c>
      <c r="I9704">
        <v>2</v>
      </c>
      <c r="J9704">
        <f>IF($H9704=0,1,IF($I9704&lt;=1,2,0))</f>
        <v>0</v>
      </c>
      <c r="K9704">
        <v>9</v>
      </c>
      <c r="L9704">
        <f>IF(AND($J9704=0,$K9704=0),0,1)</f>
        <v>1</v>
      </c>
    </row>
    <row r="9705" spans="1:12" x14ac:dyDescent="0.2">
      <c r="A9705" t="s">
        <v>570</v>
      </c>
      <c r="B9705" t="s">
        <v>17</v>
      </c>
      <c r="C9705" t="s">
        <v>21</v>
      </c>
      <c r="D9705">
        <v>3998</v>
      </c>
      <c r="E9705">
        <v>2019</v>
      </c>
      <c r="F9705">
        <v>9</v>
      </c>
      <c r="G9705">
        <v>99531</v>
      </c>
      <c r="H9705" s="1" t="s">
        <v>1827</v>
      </c>
      <c r="I9705">
        <v>1</v>
      </c>
      <c r="J9705">
        <f>IF($H9705=0,1,IF($I9705&lt;=1,2,0))</f>
        <v>2</v>
      </c>
      <c r="K9705">
        <v>9</v>
      </c>
      <c r="L9705">
        <f>IF(AND($J9705=0,$K9705=0),0,1)</f>
        <v>1</v>
      </c>
    </row>
    <row r="9706" spans="1:12" x14ac:dyDescent="0.2">
      <c r="A9706" t="s">
        <v>570</v>
      </c>
      <c r="B9706" t="s">
        <v>17</v>
      </c>
      <c r="C9706" t="s">
        <v>21</v>
      </c>
      <c r="D9706">
        <v>3998</v>
      </c>
      <c r="E9706">
        <v>2019</v>
      </c>
      <c r="F9706">
        <v>3</v>
      </c>
      <c r="G9706">
        <v>10622</v>
      </c>
      <c r="H9706" s="1" t="s">
        <v>1833</v>
      </c>
      <c r="I9706">
        <v>0</v>
      </c>
      <c r="J9706">
        <f>IF($H9706=0,1,IF($I9706&lt;=1,2,0))</f>
        <v>2</v>
      </c>
      <c r="K9706">
        <v>9</v>
      </c>
      <c r="L9706">
        <f>IF(AND($J9706=0,$K9706=0),0,1)</f>
        <v>1</v>
      </c>
    </row>
    <row r="9707" spans="1:12" x14ac:dyDescent="0.2">
      <c r="A9707" t="s">
        <v>570</v>
      </c>
      <c r="B9707" t="s">
        <v>17</v>
      </c>
      <c r="C9707" t="s">
        <v>21</v>
      </c>
      <c r="D9707">
        <v>3998</v>
      </c>
      <c r="E9707">
        <v>2019</v>
      </c>
      <c r="F9707">
        <v>4</v>
      </c>
      <c r="G9707">
        <v>10623</v>
      </c>
      <c r="H9707" s="1" t="s">
        <v>1833</v>
      </c>
      <c r="I9707">
        <v>0</v>
      </c>
      <c r="J9707">
        <f>IF($H9707=0,1,IF($I9707&lt;=1,2,0))</f>
        <v>2</v>
      </c>
      <c r="K9707">
        <v>9</v>
      </c>
      <c r="L9707">
        <f>IF(AND($J9707=0,$K9707=0),0,1)</f>
        <v>1</v>
      </c>
    </row>
    <row r="9708" spans="1:12" x14ac:dyDescent="0.2">
      <c r="A9708" t="s">
        <v>570</v>
      </c>
      <c r="B9708" t="s">
        <v>17</v>
      </c>
      <c r="C9708" t="s">
        <v>21</v>
      </c>
      <c r="D9708">
        <v>3998</v>
      </c>
      <c r="E9708">
        <v>2019</v>
      </c>
      <c r="F9708">
        <v>5</v>
      </c>
      <c r="G9708">
        <v>99534</v>
      </c>
      <c r="H9708" s="1" t="s">
        <v>1827</v>
      </c>
      <c r="I9708">
        <v>0</v>
      </c>
      <c r="J9708">
        <f>IF($H9708=0,1,IF($I9708&lt;=1,2,0))</f>
        <v>2</v>
      </c>
      <c r="K9708">
        <v>9</v>
      </c>
      <c r="L9708">
        <f>IF(AND($J9708=0,$K9708=0),0,1)</f>
        <v>1</v>
      </c>
    </row>
    <row r="9709" spans="1:12" x14ac:dyDescent="0.2">
      <c r="A9709" t="s">
        <v>570</v>
      </c>
      <c r="B9709" t="s">
        <v>17</v>
      </c>
      <c r="C9709" t="s">
        <v>21</v>
      </c>
      <c r="D9709">
        <v>3998</v>
      </c>
      <c r="E9709">
        <v>2019</v>
      </c>
      <c r="F9709">
        <v>7</v>
      </c>
      <c r="G9709">
        <v>99532</v>
      </c>
      <c r="H9709" s="1" t="s">
        <v>1827</v>
      </c>
      <c r="I9709">
        <v>0</v>
      </c>
      <c r="J9709">
        <f>IF($H9709=0,1,IF($I9709&lt;=1,2,0))</f>
        <v>2</v>
      </c>
      <c r="K9709">
        <v>9</v>
      </c>
      <c r="L9709">
        <f>IF(AND($J9709=0,$K9709=0),0,1)</f>
        <v>1</v>
      </c>
    </row>
    <row r="9710" spans="1:12" x14ac:dyDescent="0.2">
      <c r="A9710" t="s">
        <v>570</v>
      </c>
      <c r="B9710" t="s">
        <v>17</v>
      </c>
      <c r="C9710" t="s">
        <v>21</v>
      </c>
      <c r="D9710">
        <v>3998</v>
      </c>
      <c r="E9710">
        <v>2019</v>
      </c>
      <c r="F9710">
        <v>8</v>
      </c>
      <c r="G9710">
        <v>10624</v>
      </c>
      <c r="H9710" s="1" t="s">
        <v>1833</v>
      </c>
      <c r="I9710">
        <v>0</v>
      </c>
      <c r="J9710">
        <f>IF($H9710=0,1,IF($I9710&lt;=1,2,0))</f>
        <v>2</v>
      </c>
      <c r="K9710">
        <v>9</v>
      </c>
      <c r="L9710">
        <f>IF(AND($J9710=0,$K9710=0),0,1)</f>
        <v>1</v>
      </c>
    </row>
    <row r="9711" spans="1:12" x14ac:dyDescent="0.2">
      <c r="A9711" t="s">
        <v>570</v>
      </c>
      <c r="B9711" t="s">
        <v>17</v>
      </c>
      <c r="C9711" t="s">
        <v>21</v>
      </c>
      <c r="D9711">
        <v>3998</v>
      </c>
      <c r="E9711">
        <v>2019</v>
      </c>
      <c r="F9711">
        <v>11</v>
      </c>
      <c r="G9711">
        <v>99529</v>
      </c>
      <c r="H9711" s="1" t="s">
        <v>1827</v>
      </c>
      <c r="I9711">
        <v>0</v>
      </c>
      <c r="J9711">
        <f>IF($H9711=0,1,IF($I9711&lt;=1,2,0))</f>
        <v>2</v>
      </c>
      <c r="K9711">
        <v>9</v>
      </c>
      <c r="L9711">
        <f>IF(AND($J9711=0,$K9711=0),0,1)</f>
        <v>1</v>
      </c>
    </row>
    <row r="9712" spans="1:12" x14ac:dyDescent="0.2">
      <c r="A9712" t="s">
        <v>570</v>
      </c>
      <c r="B9712" t="s">
        <v>17</v>
      </c>
      <c r="C9712" t="s">
        <v>21</v>
      </c>
      <c r="D9712">
        <v>3998</v>
      </c>
      <c r="E9712">
        <v>2019</v>
      </c>
      <c r="F9712">
        <v>13</v>
      </c>
      <c r="G9712">
        <v>99527</v>
      </c>
      <c r="H9712" s="1" t="s">
        <v>1827</v>
      </c>
      <c r="I9712">
        <v>0</v>
      </c>
      <c r="J9712">
        <f>IF($H9712=0,1,IF($I9712&lt;=1,2,0))</f>
        <v>2</v>
      </c>
      <c r="K9712">
        <v>9</v>
      </c>
      <c r="L9712">
        <f>IF(AND($J9712=0,$K9712=0),0,1)</f>
        <v>1</v>
      </c>
    </row>
    <row r="9713" spans="1:12" x14ac:dyDescent="0.2">
      <c r="A9713" t="s">
        <v>570</v>
      </c>
      <c r="B9713" t="s">
        <v>17</v>
      </c>
      <c r="C9713" t="s">
        <v>21</v>
      </c>
      <c r="D9713">
        <v>3998</v>
      </c>
      <c r="E9713">
        <v>2019</v>
      </c>
      <c r="F9713">
        <v>15</v>
      </c>
      <c r="G9713">
        <v>99526</v>
      </c>
      <c r="H9713" s="1" t="s">
        <v>1827</v>
      </c>
      <c r="I9713">
        <v>0</v>
      </c>
      <c r="J9713">
        <f>IF($H9713=0,1,IF($I9713&lt;=1,2,0))</f>
        <v>2</v>
      </c>
      <c r="K9713">
        <v>9</v>
      </c>
      <c r="L9713">
        <f>IF(AND($J9713=0,$K9713=0),0,1)</f>
        <v>1</v>
      </c>
    </row>
    <row r="9714" spans="1:12" x14ac:dyDescent="0.2">
      <c r="A9714" t="s">
        <v>570</v>
      </c>
      <c r="B9714" t="s">
        <v>17</v>
      </c>
      <c r="C9714" t="s">
        <v>21</v>
      </c>
      <c r="D9714">
        <v>3998</v>
      </c>
      <c r="E9714">
        <v>2019</v>
      </c>
      <c r="F9714">
        <v>16</v>
      </c>
      <c r="G9714">
        <v>99525</v>
      </c>
      <c r="H9714" s="1" t="s">
        <v>1827</v>
      </c>
      <c r="I9714">
        <v>0</v>
      </c>
      <c r="J9714">
        <f>IF($H9714=0,1,IF($I9714&lt;=1,2,0))</f>
        <v>2</v>
      </c>
      <c r="K9714">
        <v>9</v>
      </c>
      <c r="L9714">
        <f>IF(AND($J9714=0,$K9714=0),0,1)</f>
        <v>1</v>
      </c>
    </row>
    <row r="9715" spans="1:12" x14ac:dyDescent="0.2">
      <c r="A9715" t="s">
        <v>570</v>
      </c>
      <c r="B9715" t="s">
        <v>17</v>
      </c>
      <c r="C9715" t="s">
        <v>21</v>
      </c>
      <c r="D9715">
        <v>3998</v>
      </c>
      <c r="E9715">
        <v>2019</v>
      </c>
      <c r="F9715">
        <v>17</v>
      </c>
      <c r="G9715">
        <v>10626</v>
      </c>
      <c r="H9715" s="1" t="s">
        <v>1833</v>
      </c>
      <c r="I9715">
        <v>0</v>
      </c>
      <c r="J9715">
        <f>IF($H9715=0,1,IF($I9715&lt;=1,2,0))</f>
        <v>2</v>
      </c>
      <c r="K9715">
        <v>9</v>
      </c>
      <c r="L9715">
        <f>IF(AND($J9715=0,$K9715=0),0,1)</f>
        <v>1</v>
      </c>
    </row>
    <row r="9716" spans="1:12" x14ac:dyDescent="0.2">
      <c r="A9716" t="s">
        <v>570</v>
      </c>
      <c r="B9716" t="s">
        <v>17</v>
      </c>
      <c r="C9716" t="s">
        <v>21</v>
      </c>
      <c r="D9716">
        <v>3998</v>
      </c>
      <c r="E9716">
        <v>2019</v>
      </c>
      <c r="F9716">
        <v>18</v>
      </c>
      <c r="G9716">
        <v>99524</v>
      </c>
      <c r="H9716" s="1" t="s">
        <v>1827</v>
      </c>
      <c r="I9716">
        <v>0</v>
      </c>
      <c r="J9716">
        <f>IF($H9716=0,1,IF($I9716&lt;=1,2,0))</f>
        <v>2</v>
      </c>
      <c r="K9716">
        <v>9</v>
      </c>
      <c r="L9716">
        <f>IF(AND($J9716=0,$K9716=0),0,1)</f>
        <v>1</v>
      </c>
    </row>
    <row r="9717" spans="1:12" x14ac:dyDescent="0.2">
      <c r="A9717" t="s">
        <v>570</v>
      </c>
      <c r="B9717" t="s">
        <v>17</v>
      </c>
      <c r="C9717" t="s">
        <v>21</v>
      </c>
      <c r="D9717">
        <v>3998</v>
      </c>
      <c r="E9717">
        <v>2019</v>
      </c>
      <c r="F9717">
        <v>19</v>
      </c>
      <c r="G9717">
        <v>10627</v>
      </c>
      <c r="H9717" s="1" t="s">
        <v>1833</v>
      </c>
      <c r="I9717">
        <v>0</v>
      </c>
      <c r="J9717">
        <f>IF($H9717=0,1,IF($I9717&lt;=1,2,0))</f>
        <v>2</v>
      </c>
      <c r="K9717">
        <v>9</v>
      </c>
      <c r="L9717">
        <f>IF(AND($J9717=0,$K9717=0),0,1)</f>
        <v>1</v>
      </c>
    </row>
    <row r="9718" spans="1:12" x14ac:dyDescent="0.2">
      <c r="A9718" t="s">
        <v>570</v>
      </c>
      <c r="B9718" t="s">
        <v>17</v>
      </c>
      <c r="C9718" t="s">
        <v>21</v>
      </c>
      <c r="D9718">
        <v>3998</v>
      </c>
      <c r="E9718">
        <v>2019</v>
      </c>
      <c r="F9718">
        <v>21</v>
      </c>
      <c r="G9718">
        <v>10628</v>
      </c>
      <c r="H9718" s="1" t="s">
        <v>1833</v>
      </c>
      <c r="I9718">
        <v>0</v>
      </c>
      <c r="J9718">
        <f>IF($H9718=0,1,IF($I9718&lt;=1,2,0))</f>
        <v>2</v>
      </c>
      <c r="K9718">
        <v>9</v>
      </c>
      <c r="L9718">
        <f>IF(AND($J9718=0,$K9718=0),0,1)</f>
        <v>1</v>
      </c>
    </row>
    <row r="9719" spans="1:12" x14ac:dyDescent="0.2">
      <c r="A9719" t="s">
        <v>570</v>
      </c>
      <c r="B9719" t="s">
        <v>17</v>
      </c>
      <c r="C9719" t="s">
        <v>9</v>
      </c>
      <c r="D9719">
        <v>4801</v>
      </c>
      <c r="E9719">
        <v>2019</v>
      </c>
      <c r="F9719">
        <v>1</v>
      </c>
      <c r="G9719">
        <v>39511</v>
      </c>
      <c r="H9719" s="1">
        <v>3</v>
      </c>
      <c r="I9719">
        <v>1</v>
      </c>
      <c r="J9719">
        <f>IF($H9719=0,1,IF($I9719&lt;=1,2,0))</f>
        <v>2</v>
      </c>
      <c r="K9719">
        <v>0</v>
      </c>
      <c r="L9719">
        <f>IF(AND($J9719=0,$K9719=0),0,1)</f>
        <v>1</v>
      </c>
    </row>
    <row r="9720" spans="1:12" x14ac:dyDescent="0.2">
      <c r="A9720" t="s">
        <v>570</v>
      </c>
      <c r="B9720" t="s">
        <v>17</v>
      </c>
      <c r="C9720" t="s">
        <v>11</v>
      </c>
      <c r="D9720">
        <v>8097</v>
      </c>
      <c r="E9720">
        <v>2019</v>
      </c>
      <c r="F9720">
        <v>3</v>
      </c>
      <c r="G9720">
        <v>10635</v>
      </c>
      <c r="H9720" s="1">
        <v>3</v>
      </c>
      <c r="I9720">
        <v>0</v>
      </c>
      <c r="J9720">
        <f>IF($H9720=0,1,IF($I9720&lt;=1,2,0))</f>
        <v>2</v>
      </c>
      <c r="K9720">
        <v>0</v>
      </c>
      <c r="L9720">
        <f>IF(AND($J9720=0,$K9720=0),0,1)</f>
        <v>1</v>
      </c>
    </row>
    <row r="9721" spans="1:12" x14ac:dyDescent="0.2">
      <c r="A9721" t="s">
        <v>570</v>
      </c>
      <c r="B9721" t="s">
        <v>17</v>
      </c>
      <c r="C9721" t="s">
        <v>11</v>
      </c>
      <c r="D9721">
        <v>8097</v>
      </c>
      <c r="E9721">
        <v>2019</v>
      </c>
      <c r="F9721">
        <v>4</v>
      </c>
      <c r="G9721">
        <v>99521</v>
      </c>
      <c r="H9721" s="1">
        <v>3</v>
      </c>
      <c r="I9721">
        <v>0</v>
      </c>
      <c r="J9721">
        <f>IF($H9721=0,1,IF($I9721&lt;=1,2,0))</f>
        <v>2</v>
      </c>
      <c r="K9721">
        <v>0</v>
      </c>
      <c r="L9721">
        <f>IF(AND($J9721=0,$K9721=0),0,1)</f>
        <v>1</v>
      </c>
    </row>
    <row r="9722" spans="1:12" x14ac:dyDescent="0.2">
      <c r="A9722" t="s">
        <v>570</v>
      </c>
      <c r="B9722" t="s">
        <v>17</v>
      </c>
      <c r="C9722" t="s">
        <v>11</v>
      </c>
      <c r="D9722">
        <v>8097</v>
      </c>
      <c r="E9722">
        <v>2019</v>
      </c>
      <c r="F9722">
        <v>5</v>
      </c>
      <c r="G9722">
        <v>99520</v>
      </c>
      <c r="H9722" s="1">
        <v>3</v>
      </c>
      <c r="I9722">
        <v>0</v>
      </c>
      <c r="J9722">
        <f>IF($H9722=0,1,IF($I9722&lt;=1,2,0))</f>
        <v>2</v>
      </c>
      <c r="K9722">
        <v>0</v>
      </c>
      <c r="L9722">
        <f>IF(AND($J9722=0,$K9722=0),0,1)</f>
        <v>1</v>
      </c>
    </row>
    <row r="9723" spans="1:12" x14ac:dyDescent="0.2">
      <c r="A9723" t="s">
        <v>570</v>
      </c>
      <c r="B9723" t="s">
        <v>17</v>
      </c>
      <c r="C9723" t="s">
        <v>11</v>
      </c>
      <c r="D9723">
        <v>8097</v>
      </c>
      <c r="E9723">
        <v>2019</v>
      </c>
      <c r="F9723">
        <v>6</v>
      </c>
      <c r="G9723">
        <v>99519</v>
      </c>
      <c r="H9723" s="1">
        <v>3</v>
      </c>
      <c r="I9723">
        <v>0</v>
      </c>
      <c r="J9723">
        <f>IF($H9723=0,1,IF($I9723&lt;=1,2,0))</f>
        <v>2</v>
      </c>
      <c r="K9723">
        <v>0</v>
      </c>
      <c r="L9723">
        <f>IF(AND($J9723=0,$K9723=0),0,1)</f>
        <v>1</v>
      </c>
    </row>
    <row r="9724" spans="1:12" x14ac:dyDescent="0.2">
      <c r="A9724" t="s">
        <v>570</v>
      </c>
      <c r="B9724" t="s">
        <v>17</v>
      </c>
      <c r="C9724" t="s">
        <v>11</v>
      </c>
      <c r="D9724">
        <v>8097</v>
      </c>
      <c r="E9724">
        <v>2019</v>
      </c>
      <c r="F9724">
        <v>7</v>
      </c>
      <c r="G9724">
        <v>10636</v>
      </c>
      <c r="H9724" s="1">
        <v>3</v>
      </c>
      <c r="I9724">
        <v>0</v>
      </c>
      <c r="J9724">
        <f>IF($H9724=0,1,IF($I9724&lt;=1,2,0))</f>
        <v>2</v>
      </c>
      <c r="K9724">
        <v>0</v>
      </c>
      <c r="L9724">
        <f>IF(AND($J9724=0,$K9724=0),0,1)</f>
        <v>1</v>
      </c>
    </row>
    <row r="9725" spans="1:12" x14ac:dyDescent="0.2">
      <c r="A9725" t="s">
        <v>570</v>
      </c>
      <c r="B9725" t="s">
        <v>17</v>
      </c>
      <c r="C9725" t="s">
        <v>11</v>
      </c>
      <c r="D9725">
        <v>8097</v>
      </c>
      <c r="E9725">
        <v>2019</v>
      </c>
      <c r="F9725">
        <v>10</v>
      </c>
      <c r="G9725">
        <v>99516</v>
      </c>
      <c r="H9725" s="1">
        <v>3</v>
      </c>
      <c r="I9725">
        <v>0</v>
      </c>
      <c r="J9725">
        <f>IF($H9725=0,1,IF($I9725&lt;=1,2,0))</f>
        <v>2</v>
      </c>
      <c r="K9725">
        <v>0</v>
      </c>
      <c r="L9725">
        <f>IF(AND($J9725=0,$K9725=0),0,1)</f>
        <v>1</v>
      </c>
    </row>
    <row r="9726" spans="1:12" x14ac:dyDescent="0.2">
      <c r="A9726" t="s">
        <v>570</v>
      </c>
      <c r="B9726" t="s">
        <v>17</v>
      </c>
      <c r="C9726" t="s">
        <v>11</v>
      </c>
      <c r="D9726">
        <v>8097</v>
      </c>
      <c r="E9726">
        <v>2019</v>
      </c>
      <c r="F9726">
        <v>13</v>
      </c>
      <c r="G9726">
        <v>10637</v>
      </c>
      <c r="H9726" s="1">
        <v>3</v>
      </c>
      <c r="I9726">
        <v>0</v>
      </c>
      <c r="J9726">
        <f>IF($H9726=0,1,IF($I9726&lt;=1,2,0))</f>
        <v>2</v>
      </c>
      <c r="K9726">
        <v>0</v>
      </c>
      <c r="L9726">
        <f>IF(AND($J9726=0,$K9726=0),0,1)</f>
        <v>1</v>
      </c>
    </row>
    <row r="9727" spans="1:12" x14ac:dyDescent="0.2">
      <c r="A9727" t="s">
        <v>570</v>
      </c>
      <c r="B9727" t="s">
        <v>17</v>
      </c>
      <c r="C9727" t="s">
        <v>11</v>
      </c>
      <c r="D9727">
        <v>8097</v>
      </c>
      <c r="E9727">
        <v>2019</v>
      </c>
      <c r="F9727">
        <v>14</v>
      </c>
      <c r="G9727">
        <v>99513</v>
      </c>
      <c r="H9727" s="1">
        <v>3</v>
      </c>
      <c r="I9727">
        <v>0</v>
      </c>
      <c r="J9727">
        <f>IF($H9727=0,1,IF($I9727&lt;=1,2,0))</f>
        <v>2</v>
      </c>
      <c r="K9727">
        <v>0</v>
      </c>
      <c r="L9727">
        <f>IF(AND($J9727=0,$K9727=0),0,1)</f>
        <v>1</v>
      </c>
    </row>
    <row r="9728" spans="1:12" x14ac:dyDescent="0.2">
      <c r="A9728" t="s">
        <v>570</v>
      </c>
      <c r="B9728" t="s">
        <v>17</v>
      </c>
      <c r="C9728" t="s">
        <v>11</v>
      </c>
      <c r="D9728">
        <v>8097</v>
      </c>
      <c r="E9728">
        <v>2019</v>
      </c>
      <c r="F9728">
        <v>15</v>
      </c>
      <c r="G9728">
        <v>99512</v>
      </c>
      <c r="H9728" s="1">
        <v>3</v>
      </c>
      <c r="I9728">
        <v>0</v>
      </c>
      <c r="J9728">
        <f>IF($H9728=0,1,IF($I9728&lt;=1,2,0))</f>
        <v>2</v>
      </c>
      <c r="K9728">
        <v>0</v>
      </c>
      <c r="L9728">
        <f>IF(AND($J9728=0,$K9728=0),0,1)</f>
        <v>1</v>
      </c>
    </row>
    <row r="9729" spans="1:13" x14ac:dyDescent="0.2">
      <c r="A9729" t="s">
        <v>570</v>
      </c>
      <c r="B9729" t="s">
        <v>17</v>
      </c>
      <c r="C9729" t="s">
        <v>11</v>
      </c>
      <c r="D9729">
        <v>8500</v>
      </c>
      <c r="E9729">
        <v>2019</v>
      </c>
      <c r="F9729">
        <v>4</v>
      </c>
      <c r="G9729">
        <v>99581</v>
      </c>
      <c r="H9729" s="1">
        <v>3</v>
      </c>
      <c r="I9729">
        <v>1</v>
      </c>
      <c r="J9729">
        <f>IF($H9729=0,1,IF($I9729&lt;=1,2,0))</f>
        <v>2</v>
      </c>
      <c r="K9729">
        <v>0</v>
      </c>
      <c r="L9729">
        <f>IF(AND($J9729=0,$K9729=0),0,1)</f>
        <v>1</v>
      </c>
    </row>
    <row r="9730" spans="1:13" x14ac:dyDescent="0.2">
      <c r="A9730" t="s">
        <v>570</v>
      </c>
      <c r="B9730" t="s">
        <v>17</v>
      </c>
      <c r="C9730" t="s">
        <v>11</v>
      </c>
      <c r="D9730">
        <v>8500</v>
      </c>
      <c r="E9730">
        <v>2019</v>
      </c>
      <c r="F9730">
        <v>3</v>
      </c>
      <c r="G9730">
        <v>10640</v>
      </c>
      <c r="H9730" s="1">
        <v>3</v>
      </c>
      <c r="I9730">
        <v>0</v>
      </c>
      <c r="J9730">
        <f>IF($H9730=0,1,IF($I9730&lt;=1,2,0))</f>
        <v>2</v>
      </c>
      <c r="K9730">
        <v>0</v>
      </c>
      <c r="L9730">
        <f>IF(AND($J9730=0,$K9730=0),0,1)</f>
        <v>1</v>
      </c>
    </row>
    <row r="9731" spans="1:13" x14ac:dyDescent="0.2">
      <c r="A9731" t="s">
        <v>570</v>
      </c>
      <c r="B9731" t="s">
        <v>17</v>
      </c>
      <c r="C9731" t="s">
        <v>11</v>
      </c>
      <c r="D9731">
        <v>8500</v>
      </c>
      <c r="E9731">
        <v>2019</v>
      </c>
      <c r="F9731">
        <v>5</v>
      </c>
      <c r="G9731">
        <v>99580</v>
      </c>
      <c r="H9731" s="1">
        <v>3</v>
      </c>
      <c r="I9731">
        <v>0</v>
      </c>
      <c r="J9731">
        <f>IF($H9731=0,1,IF($I9731&lt;=1,2,0))</f>
        <v>2</v>
      </c>
      <c r="K9731">
        <v>0</v>
      </c>
      <c r="L9731">
        <f>IF(AND($J9731=0,$K9731=0),0,1)</f>
        <v>1</v>
      </c>
    </row>
    <row r="9732" spans="1:13" x14ac:dyDescent="0.2">
      <c r="A9732" t="s">
        <v>570</v>
      </c>
      <c r="B9732" t="s">
        <v>17</v>
      </c>
      <c r="C9732" t="s">
        <v>11</v>
      </c>
      <c r="D9732">
        <v>8500</v>
      </c>
      <c r="E9732">
        <v>2019</v>
      </c>
      <c r="F9732">
        <v>6</v>
      </c>
      <c r="G9732">
        <v>99579</v>
      </c>
      <c r="H9732" s="1">
        <v>3</v>
      </c>
      <c r="I9732">
        <v>0</v>
      </c>
      <c r="J9732">
        <f>IF($H9732=0,1,IF($I9732&lt;=1,2,0))</f>
        <v>2</v>
      </c>
      <c r="K9732">
        <v>0</v>
      </c>
      <c r="L9732">
        <f>IF(AND($J9732=0,$K9732=0),0,1)</f>
        <v>1</v>
      </c>
    </row>
    <row r="9733" spans="1:13" x14ac:dyDescent="0.2">
      <c r="A9733" t="s">
        <v>570</v>
      </c>
      <c r="B9733" t="s">
        <v>17</v>
      </c>
      <c r="C9733" t="s">
        <v>11</v>
      </c>
      <c r="D9733">
        <v>8500</v>
      </c>
      <c r="E9733">
        <v>2019</v>
      </c>
      <c r="F9733">
        <v>7</v>
      </c>
      <c r="G9733">
        <v>10641</v>
      </c>
      <c r="H9733" s="1">
        <v>3</v>
      </c>
      <c r="I9733">
        <v>0</v>
      </c>
      <c r="J9733">
        <f>IF($H9733=0,1,IF($I9733&lt;=1,2,0))</f>
        <v>2</v>
      </c>
      <c r="K9733">
        <v>0</v>
      </c>
      <c r="L9733">
        <f>IF(AND($J9733=0,$K9733=0),0,1)</f>
        <v>1</v>
      </c>
    </row>
    <row r="9734" spans="1:13" x14ac:dyDescent="0.2">
      <c r="A9734" t="s">
        <v>570</v>
      </c>
      <c r="B9734" t="s">
        <v>17</v>
      </c>
      <c r="C9734" t="s">
        <v>11</v>
      </c>
      <c r="D9734">
        <v>8500</v>
      </c>
      <c r="E9734">
        <v>2019</v>
      </c>
      <c r="F9734">
        <v>10</v>
      </c>
      <c r="G9734">
        <v>99576</v>
      </c>
      <c r="H9734" s="1">
        <v>3</v>
      </c>
      <c r="I9734">
        <v>0</v>
      </c>
      <c r="J9734">
        <f>IF($H9734=0,1,IF($I9734&lt;=1,2,0))</f>
        <v>2</v>
      </c>
      <c r="K9734">
        <v>0</v>
      </c>
      <c r="L9734">
        <f>IF(AND($J9734=0,$K9734=0),0,1)</f>
        <v>1</v>
      </c>
    </row>
    <row r="9735" spans="1:13" x14ac:dyDescent="0.2">
      <c r="A9735" t="s">
        <v>570</v>
      </c>
      <c r="B9735" t="s">
        <v>17</v>
      </c>
      <c r="C9735" t="s">
        <v>11</v>
      </c>
      <c r="D9735">
        <v>8500</v>
      </c>
      <c r="E9735">
        <v>2019</v>
      </c>
      <c r="F9735">
        <v>13</v>
      </c>
      <c r="G9735">
        <v>10642</v>
      </c>
      <c r="H9735" s="1">
        <v>3</v>
      </c>
      <c r="I9735">
        <v>0</v>
      </c>
      <c r="J9735">
        <f>IF($H9735=0,1,IF($I9735&lt;=1,2,0))</f>
        <v>2</v>
      </c>
      <c r="K9735">
        <v>0</v>
      </c>
      <c r="L9735">
        <f>IF(AND($J9735=0,$K9735=0),0,1)</f>
        <v>1</v>
      </c>
    </row>
    <row r="9736" spans="1:13" x14ac:dyDescent="0.2">
      <c r="A9736" t="s">
        <v>570</v>
      </c>
      <c r="B9736" t="s">
        <v>17</v>
      </c>
      <c r="C9736" t="s">
        <v>11</v>
      </c>
      <c r="D9736">
        <v>8500</v>
      </c>
      <c r="E9736">
        <v>2019</v>
      </c>
      <c r="F9736">
        <v>14</v>
      </c>
      <c r="G9736">
        <v>99573</v>
      </c>
      <c r="H9736" s="1">
        <v>3</v>
      </c>
      <c r="I9736">
        <v>0</v>
      </c>
      <c r="J9736">
        <f>IF($H9736=0,1,IF($I9736&lt;=1,2,0))</f>
        <v>2</v>
      </c>
      <c r="K9736">
        <v>0</v>
      </c>
      <c r="L9736">
        <f>IF(AND($J9736=0,$K9736=0),0,1)</f>
        <v>1</v>
      </c>
    </row>
    <row r="9737" spans="1:13" x14ac:dyDescent="0.2">
      <c r="A9737" t="s">
        <v>570</v>
      </c>
      <c r="B9737" t="s">
        <v>17</v>
      </c>
      <c r="C9737" t="s">
        <v>11</v>
      </c>
      <c r="D9737">
        <v>8500</v>
      </c>
      <c r="E9737">
        <v>2019</v>
      </c>
      <c r="F9737">
        <v>15</v>
      </c>
      <c r="G9737">
        <v>99572</v>
      </c>
      <c r="H9737" s="1">
        <v>3</v>
      </c>
      <c r="I9737">
        <v>0</v>
      </c>
      <c r="J9737">
        <f>IF($H9737=0,1,IF($I9737&lt;=1,2,0))</f>
        <v>2</v>
      </c>
      <c r="K9737">
        <v>0</v>
      </c>
      <c r="L9737">
        <f>IF(AND($J9737=0,$K9737=0),0,1)</f>
        <v>1</v>
      </c>
    </row>
    <row r="9738" spans="1:13" x14ac:dyDescent="0.2">
      <c r="A9738" t="s">
        <v>576</v>
      </c>
      <c r="B9738" t="s">
        <v>1</v>
      </c>
      <c r="C9738" t="s">
        <v>2</v>
      </c>
      <c r="D9738">
        <v>3099</v>
      </c>
      <c r="E9738">
        <v>2019</v>
      </c>
      <c r="F9738">
        <v>1</v>
      </c>
      <c r="G9738">
        <v>255</v>
      </c>
      <c r="H9738" s="1" t="s">
        <v>1824</v>
      </c>
      <c r="I9738">
        <v>0</v>
      </c>
      <c r="J9738">
        <f>IF($H9738=0,1,IF($I9738&lt;=1,2,0))</f>
        <v>2</v>
      </c>
      <c r="K9738">
        <v>7</v>
      </c>
      <c r="L9738">
        <f>IF(AND($J9738=0,$K9738=0),0,1)</f>
        <v>1</v>
      </c>
    </row>
    <row r="9739" spans="1:13" x14ac:dyDescent="0.2">
      <c r="A9739" t="s">
        <v>576</v>
      </c>
      <c r="B9739" t="s">
        <v>1</v>
      </c>
      <c r="C9739" t="s">
        <v>2</v>
      </c>
      <c r="D9739">
        <v>3099</v>
      </c>
      <c r="E9739">
        <v>2019</v>
      </c>
      <c r="F9739">
        <v>2</v>
      </c>
      <c r="G9739">
        <v>256</v>
      </c>
      <c r="H9739" s="1" t="s">
        <v>1824</v>
      </c>
      <c r="I9739">
        <v>0</v>
      </c>
      <c r="J9739">
        <f>IF($H9739=0,1,IF($I9739&lt;=1,2,0))</f>
        <v>2</v>
      </c>
      <c r="K9739">
        <v>7</v>
      </c>
      <c r="L9739">
        <f>IF(AND($J9739=0,$K9739=0),0,1)</f>
        <v>1</v>
      </c>
      <c r="M9739" t="s">
        <v>53</v>
      </c>
    </row>
    <row r="9740" spans="1:13" x14ac:dyDescent="0.2">
      <c r="A9740" t="s">
        <v>576</v>
      </c>
      <c r="B9740" t="s">
        <v>1</v>
      </c>
      <c r="C9740" t="s">
        <v>2</v>
      </c>
      <c r="D9740">
        <v>3376</v>
      </c>
      <c r="E9740">
        <v>2019</v>
      </c>
      <c r="F9740">
        <v>1</v>
      </c>
      <c r="G9740">
        <v>9329</v>
      </c>
      <c r="H9740" s="1">
        <v>4</v>
      </c>
      <c r="I9740">
        <v>14</v>
      </c>
      <c r="J9740">
        <f>IF($H9740=0,1,IF($I9740&lt;=1,2,0))</f>
        <v>0</v>
      </c>
      <c r="K9740">
        <v>7</v>
      </c>
      <c r="L9740">
        <f>IF(AND($J9740=0,$K9740=0),0,1)</f>
        <v>1</v>
      </c>
    </row>
    <row r="9741" spans="1:13" x14ac:dyDescent="0.2">
      <c r="A9741" t="s">
        <v>576</v>
      </c>
      <c r="B9741" t="s">
        <v>1</v>
      </c>
      <c r="C9741" t="s">
        <v>2</v>
      </c>
      <c r="D9741">
        <v>3387</v>
      </c>
      <c r="E9741">
        <v>2019</v>
      </c>
      <c r="F9741">
        <v>1</v>
      </c>
      <c r="G9741">
        <v>94</v>
      </c>
      <c r="H9741" s="1">
        <v>4</v>
      </c>
      <c r="I9741">
        <v>15</v>
      </c>
      <c r="J9741">
        <f>IF($H9741=0,1,IF($I9741&lt;=1,2,0))</f>
        <v>0</v>
      </c>
      <c r="K9741">
        <v>7</v>
      </c>
      <c r="L9741">
        <f>IF(AND($J9741=0,$K9741=0),0,1)</f>
        <v>1</v>
      </c>
      <c r="M9741" t="s">
        <v>1946</v>
      </c>
    </row>
    <row r="9742" spans="1:13" x14ac:dyDescent="0.2">
      <c r="A9742" t="s">
        <v>576</v>
      </c>
      <c r="B9742" t="s">
        <v>1</v>
      </c>
      <c r="C9742" t="s">
        <v>2</v>
      </c>
      <c r="D9742">
        <v>3394</v>
      </c>
      <c r="E9742">
        <v>2019</v>
      </c>
      <c r="F9742">
        <v>1</v>
      </c>
      <c r="G9742">
        <v>134</v>
      </c>
      <c r="H9742" s="1">
        <v>4</v>
      </c>
      <c r="I9742">
        <v>5</v>
      </c>
      <c r="J9742">
        <f>IF($H9742=0,1,IF($I9742&lt;=1,2,0))</f>
        <v>0</v>
      </c>
      <c r="K9742">
        <v>7</v>
      </c>
      <c r="L9742">
        <f>IF(AND($J9742=0,$K9742=0),0,1)</f>
        <v>1</v>
      </c>
    </row>
    <row r="9743" spans="1:13" x14ac:dyDescent="0.2">
      <c r="A9743" t="s">
        <v>576</v>
      </c>
      <c r="B9743" t="s">
        <v>1</v>
      </c>
      <c r="C9743" t="s">
        <v>2</v>
      </c>
      <c r="D9743">
        <v>3397</v>
      </c>
      <c r="E9743">
        <v>2019</v>
      </c>
      <c r="F9743">
        <v>1</v>
      </c>
      <c r="G9743">
        <v>9330</v>
      </c>
      <c r="H9743" s="1">
        <v>4</v>
      </c>
      <c r="I9743">
        <v>5</v>
      </c>
      <c r="J9743">
        <f>IF($H9743=0,1,IF($I9743&lt;=1,2,0))</f>
        <v>0</v>
      </c>
      <c r="K9743">
        <v>7</v>
      </c>
      <c r="L9743">
        <f>IF(AND($J9743=0,$K9743=0),0,1)</f>
        <v>1</v>
      </c>
    </row>
    <row r="9744" spans="1:13" x14ac:dyDescent="0.2">
      <c r="A9744" t="s">
        <v>576</v>
      </c>
      <c r="B9744" t="s">
        <v>1</v>
      </c>
      <c r="C9744" t="s">
        <v>2</v>
      </c>
      <c r="D9744">
        <v>3593</v>
      </c>
      <c r="E9744">
        <v>2019</v>
      </c>
      <c r="F9744">
        <v>3</v>
      </c>
      <c r="G9744">
        <v>9297</v>
      </c>
      <c r="H9744" s="1">
        <v>4</v>
      </c>
      <c r="I9744">
        <v>14</v>
      </c>
      <c r="J9744">
        <f>IF($H9744=0,1,IF($I9744&lt;=1,2,0))</f>
        <v>0</v>
      </c>
      <c r="K9744">
        <v>7</v>
      </c>
      <c r="L9744">
        <f>IF(AND($J9744=0,$K9744=0),0,1)</f>
        <v>1</v>
      </c>
      <c r="M9744" t="s">
        <v>577</v>
      </c>
    </row>
    <row r="9745" spans="1:13" x14ac:dyDescent="0.2">
      <c r="A9745" t="s">
        <v>576</v>
      </c>
      <c r="B9745" t="s">
        <v>1</v>
      </c>
      <c r="C9745" t="s">
        <v>2</v>
      </c>
      <c r="D9745">
        <v>3593</v>
      </c>
      <c r="E9745">
        <v>2019</v>
      </c>
      <c r="F9745">
        <v>1</v>
      </c>
      <c r="G9745">
        <v>9295</v>
      </c>
      <c r="H9745" s="1">
        <v>4</v>
      </c>
      <c r="I9745">
        <v>12</v>
      </c>
      <c r="J9745">
        <f>IF($H9745=0,1,IF($I9745&lt;=1,2,0))</f>
        <v>0</v>
      </c>
      <c r="K9745">
        <v>7</v>
      </c>
      <c r="L9745">
        <f>IF(AND($J9745=0,$K9745=0),0,1)</f>
        <v>1</v>
      </c>
      <c r="M9745" t="s">
        <v>577</v>
      </c>
    </row>
    <row r="9746" spans="1:13" x14ac:dyDescent="0.2">
      <c r="A9746" t="s">
        <v>576</v>
      </c>
      <c r="B9746" t="s">
        <v>1</v>
      </c>
      <c r="C9746" t="s">
        <v>2</v>
      </c>
      <c r="D9746">
        <v>3593</v>
      </c>
      <c r="E9746">
        <v>2019</v>
      </c>
      <c r="F9746">
        <v>2</v>
      </c>
      <c r="G9746">
        <v>9296</v>
      </c>
      <c r="H9746" s="1">
        <v>4</v>
      </c>
      <c r="I9746">
        <v>11</v>
      </c>
      <c r="J9746">
        <f>IF($H9746=0,1,IF($I9746&lt;=1,2,0))</f>
        <v>0</v>
      </c>
      <c r="K9746">
        <v>7</v>
      </c>
      <c r="L9746">
        <f>IF(AND($J9746=0,$K9746=0),0,1)</f>
        <v>1</v>
      </c>
      <c r="M9746" t="s">
        <v>577</v>
      </c>
    </row>
    <row r="9747" spans="1:13" x14ac:dyDescent="0.2">
      <c r="A9747" t="s">
        <v>580</v>
      </c>
      <c r="B9747" t="s">
        <v>581</v>
      </c>
      <c r="C9747" t="s">
        <v>7</v>
      </c>
      <c r="D9747">
        <v>1005</v>
      </c>
      <c r="E9747">
        <v>2019</v>
      </c>
      <c r="F9747">
        <v>2</v>
      </c>
      <c r="G9747">
        <v>98231</v>
      </c>
      <c r="H9747" s="1" t="s">
        <v>1831</v>
      </c>
      <c r="I9747">
        <v>1</v>
      </c>
      <c r="J9747">
        <f>IF($H9747=0,1,IF($I9747&lt;=1,2,0))</f>
        <v>2</v>
      </c>
      <c r="K9747">
        <v>0</v>
      </c>
      <c r="L9747">
        <f>IF(AND($J9747=0,$K9747=0),0,1)</f>
        <v>1</v>
      </c>
      <c r="M9747" t="s">
        <v>585</v>
      </c>
    </row>
    <row r="9748" spans="1:13" x14ac:dyDescent="0.2">
      <c r="A9748" t="s">
        <v>580</v>
      </c>
      <c r="B9748" t="s">
        <v>581</v>
      </c>
      <c r="C9748" t="s">
        <v>7</v>
      </c>
      <c r="D9748">
        <v>1005</v>
      </c>
      <c r="E9748">
        <v>2019</v>
      </c>
      <c r="F9748">
        <v>7</v>
      </c>
      <c r="G9748">
        <v>98225</v>
      </c>
      <c r="H9748" s="1" t="s">
        <v>1831</v>
      </c>
      <c r="I9748">
        <v>1</v>
      </c>
      <c r="J9748">
        <f>IF($H9748=0,1,IF($I9748&lt;=1,2,0))</f>
        <v>2</v>
      </c>
      <c r="K9748">
        <v>0</v>
      </c>
      <c r="L9748">
        <f>IF(AND($J9748=0,$K9748=0),0,1)</f>
        <v>1</v>
      </c>
      <c r="M9748" t="s">
        <v>585</v>
      </c>
    </row>
    <row r="9749" spans="1:13" x14ac:dyDescent="0.2">
      <c r="A9749" t="s">
        <v>580</v>
      </c>
      <c r="B9749" t="s">
        <v>581</v>
      </c>
      <c r="C9749" t="s">
        <v>7</v>
      </c>
      <c r="D9749">
        <v>1005</v>
      </c>
      <c r="E9749">
        <v>2019</v>
      </c>
      <c r="F9749">
        <v>8</v>
      </c>
      <c r="G9749">
        <v>98224</v>
      </c>
      <c r="H9749" s="1" t="s">
        <v>1831</v>
      </c>
      <c r="I9749">
        <v>1</v>
      </c>
      <c r="J9749">
        <f>IF($H9749=0,1,IF($I9749&lt;=1,2,0))</f>
        <v>2</v>
      </c>
      <c r="K9749">
        <v>0</v>
      </c>
      <c r="L9749">
        <f>IF(AND($J9749=0,$K9749=0),0,1)</f>
        <v>1</v>
      </c>
      <c r="M9749" t="s">
        <v>585</v>
      </c>
    </row>
    <row r="9750" spans="1:13" x14ac:dyDescent="0.2">
      <c r="A9750" t="s">
        <v>580</v>
      </c>
      <c r="B9750" t="s">
        <v>581</v>
      </c>
      <c r="C9750" t="s">
        <v>7</v>
      </c>
      <c r="D9750">
        <v>1005</v>
      </c>
      <c r="E9750">
        <v>2019</v>
      </c>
      <c r="F9750">
        <v>27</v>
      </c>
      <c r="G9750">
        <v>98203</v>
      </c>
      <c r="H9750" s="1" t="s">
        <v>1831</v>
      </c>
      <c r="I9750">
        <v>1</v>
      </c>
      <c r="J9750">
        <f>IF($H9750=0,1,IF($I9750&lt;=1,2,0))</f>
        <v>2</v>
      </c>
      <c r="K9750">
        <v>0</v>
      </c>
      <c r="L9750">
        <f>IF(AND($J9750=0,$K9750=0),0,1)</f>
        <v>1</v>
      </c>
      <c r="M9750" t="s">
        <v>585</v>
      </c>
    </row>
    <row r="9751" spans="1:13" x14ac:dyDescent="0.2">
      <c r="A9751" t="s">
        <v>580</v>
      </c>
      <c r="B9751" t="s">
        <v>581</v>
      </c>
      <c r="C9751" t="s">
        <v>2</v>
      </c>
      <c r="D9751">
        <v>1105</v>
      </c>
      <c r="E9751">
        <v>2019</v>
      </c>
      <c r="F9751">
        <v>1</v>
      </c>
      <c r="G9751">
        <v>8948</v>
      </c>
      <c r="H9751" s="1" t="s">
        <v>1831</v>
      </c>
      <c r="I9751">
        <v>11</v>
      </c>
      <c r="J9751">
        <f>IF($H9751=0,1,IF($I9751&lt;=1,2,0))</f>
        <v>0</v>
      </c>
      <c r="K9751">
        <v>7</v>
      </c>
      <c r="L9751">
        <f>IF(AND($J9751=0,$K9751=0),0,1)</f>
        <v>1</v>
      </c>
      <c r="M9751" t="s">
        <v>586</v>
      </c>
    </row>
    <row r="9752" spans="1:13" x14ac:dyDescent="0.2">
      <c r="A9752" t="s">
        <v>580</v>
      </c>
      <c r="B9752" t="s">
        <v>581</v>
      </c>
      <c r="C9752" t="s">
        <v>2</v>
      </c>
      <c r="D9752">
        <v>1500</v>
      </c>
      <c r="E9752">
        <v>2019</v>
      </c>
      <c r="F9752">
        <v>1</v>
      </c>
      <c r="G9752">
        <v>127</v>
      </c>
      <c r="H9752" s="1" t="s">
        <v>1831</v>
      </c>
      <c r="I9752">
        <v>22</v>
      </c>
      <c r="J9752">
        <f>IF($H9752=0,1,IF($I9752&lt;=1,2,0))</f>
        <v>0</v>
      </c>
      <c r="K9752">
        <v>7</v>
      </c>
      <c r="L9752">
        <f>IF(AND($J9752=0,$K9752=0),0,1)</f>
        <v>1</v>
      </c>
      <c r="M9752" t="s">
        <v>586</v>
      </c>
    </row>
    <row r="9753" spans="1:13" x14ac:dyDescent="0.2">
      <c r="A9753" t="s">
        <v>580</v>
      </c>
      <c r="B9753" t="s">
        <v>581</v>
      </c>
      <c r="C9753" t="s">
        <v>2</v>
      </c>
      <c r="D9753">
        <v>1510</v>
      </c>
      <c r="E9753">
        <v>2019</v>
      </c>
      <c r="F9753">
        <v>1</v>
      </c>
      <c r="G9753">
        <v>1</v>
      </c>
      <c r="H9753" s="1" t="s">
        <v>1831</v>
      </c>
      <c r="I9753">
        <v>19</v>
      </c>
      <c r="J9753">
        <f>IF($H9753=0,1,IF($I9753&lt;=1,2,0))</f>
        <v>0</v>
      </c>
      <c r="K9753">
        <v>7</v>
      </c>
      <c r="L9753">
        <f>IF(AND($J9753=0,$K9753=0),0,1)</f>
        <v>1</v>
      </c>
      <c r="M9753" t="s">
        <v>586</v>
      </c>
    </row>
    <row r="9754" spans="1:13" x14ac:dyDescent="0.2">
      <c r="A9754" t="s">
        <v>580</v>
      </c>
      <c r="B9754" t="s">
        <v>581</v>
      </c>
      <c r="C9754" t="s">
        <v>2</v>
      </c>
      <c r="D9754">
        <v>1532</v>
      </c>
      <c r="E9754">
        <v>2019</v>
      </c>
      <c r="F9754">
        <v>2</v>
      </c>
      <c r="G9754">
        <v>140</v>
      </c>
      <c r="H9754" s="1" t="s">
        <v>1831</v>
      </c>
      <c r="I9754">
        <v>19</v>
      </c>
      <c r="J9754">
        <f>IF($H9754=0,1,IF($I9754&lt;=1,2,0))</f>
        <v>0</v>
      </c>
      <c r="K9754">
        <v>7</v>
      </c>
      <c r="L9754">
        <f>IF(AND($J9754=0,$K9754=0),0,1)</f>
        <v>1</v>
      </c>
      <c r="M9754" t="s">
        <v>586</v>
      </c>
    </row>
    <row r="9755" spans="1:13" x14ac:dyDescent="0.2">
      <c r="A9755" t="s">
        <v>580</v>
      </c>
      <c r="B9755" t="s">
        <v>581</v>
      </c>
      <c r="C9755" t="s">
        <v>2</v>
      </c>
      <c r="D9755">
        <v>1532</v>
      </c>
      <c r="E9755">
        <v>2019</v>
      </c>
      <c r="F9755">
        <v>1</v>
      </c>
      <c r="G9755">
        <v>137</v>
      </c>
      <c r="H9755" s="1" t="s">
        <v>1831</v>
      </c>
      <c r="I9755">
        <v>18</v>
      </c>
      <c r="J9755">
        <f>IF($H9755=0,1,IF($I9755&lt;=1,2,0))</f>
        <v>0</v>
      </c>
      <c r="K9755">
        <v>7</v>
      </c>
      <c r="L9755">
        <f>IF(AND($J9755=0,$K9755=0),0,1)</f>
        <v>1</v>
      </c>
      <c r="M9755" t="s">
        <v>586</v>
      </c>
    </row>
    <row r="9756" spans="1:13" x14ac:dyDescent="0.2">
      <c r="A9756" t="s">
        <v>580</v>
      </c>
      <c r="B9756" t="s">
        <v>581</v>
      </c>
      <c r="C9756" t="s">
        <v>2</v>
      </c>
      <c r="D9756">
        <v>1550</v>
      </c>
      <c r="E9756">
        <v>2019</v>
      </c>
      <c r="F9756">
        <v>1</v>
      </c>
      <c r="G9756">
        <v>8941</v>
      </c>
      <c r="H9756" s="1" t="s">
        <v>1831</v>
      </c>
      <c r="I9756">
        <v>14</v>
      </c>
      <c r="J9756">
        <f>IF($H9756=0,1,IF($I9756&lt;=1,2,0))</f>
        <v>0</v>
      </c>
      <c r="K9756">
        <v>7</v>
      </c>
      <c r="L9756">
        <f>IF(AND($J9756=0,$K9756=0),0,1)</f>
        <v>1</v>
      </c>
      <c r="M9756" t="s">
        <v>586</v>
      </c>
    </row>
    <row r="9757" spans="1:13" x14ac:dyDescent="0.2">
      <c r="A9757" t="s">
        <v>580</v>
      </c>
      <c r="B9757" t="s">
        <v>581</v>
      </c>
      <c r="C9757" t="s">
        <v>2</v>
      </c>
      <c r="D9757">
        <v>1589</v>
      </c>
      <c r="E9757">
        <v>2019</v>
      </c>
      <c r="F9757">
        <v>1</v>
      </c>
      <c r="G9757">
        <v>141</v>
      </c>
      <c r="H9757" s="1" t="s">
        <v>1831</v>
      </c>
      <c r="I9757">
        <v>19</v>
      </c>
      <c r="J9757">
        <f>IF($H9757=0,1,IF($I9757&lt;=1,2,0))</f>
        <v>0</v>
      </c>
      <c r="K9757">
        <v>7</v>
      </c>
      <c r="L9757">
        <f>IF(AND($J9757=0,$K9757=0),0,1)</f>
        <v>1</v>
      </c>
      <c r="M9757" t="s">
        <v>586</v>
      </c>
    </row>
    <row r="9758" spans="1:13" x14ac:dyDescent="0.2">
      <c r="A9758" t="s">
        <v>580</v>
      </c>
      <c r="B9758" t="s">
        <v>581</v>
      </c>
      <c r="C9758" t="s">
        <v>2</v>
      </c>
      <c r="D9758">
        <v>1591</v>
      </c>
      <c r="E9758">
        <v>2019</v>
      </c>
      <c r="F9758">
        <v>1</v>
      </c>
      <c r="G9758">
        <v>8942</v>
      </c>
      <c r="H9758" s="1" t="s">
        <v>1831</v>
      </c>
      <c r="I9758">
        <v>18</v>
      </c>
      <c r="J9758">
        <f>IF($H9758=0,1,IF($I9758&lt;=1,2,0))</f>
        <v>0</v>
      </c>
      <c r="K9758">
        <v>7</v>
      </c>
      <c r="L9758">
        <f>IF(AND($J9758=0,$K9758=0),0,1)</f>
        <v>1</v>
      </c>
      <c r="M9758" t="s">
        <v>586</v>
      </c>
    </row>
    <row r="9759" spans="1:13" x14ac:dyDescent="0.2">
      <c r="A9759" t="s">
        <v>580</v>
      </c>
      <c r="B9759" t="s">
        <v>581</v>
      </c>
      <c r="C9759" t="s">
        <v>2</v>
      </c>
      <c r="D9759">
        <v>1693</v>
      </c>
      <c r="E9759">
        <v>2019</v>
      </c>
      <c r="F9759">
        <v>1</v>
      </c>
      <c r="G9759">
        <v>3</v>
      </c>
      <c r="H9759" s="1" t="s">
        <v>1831</v>
      </c>
      <c r="I9759">
        <v>21</v>
      </c>
      <c r="J9759">
        <f>IF($H9759=0,1,IF($I9759&lt;=1,2,0))</f>
        <v>0</v>
      </c>
      <c r="K9759">
        <v>7</v>
      </c>
      <c r="L9759">
        <f>IF(AND($J9759=0,$K9759=0),0,1)</f>
        <v>1</v>
      </c>
      <c r="M9759" t="s">
        <v>586</v>
      </c>
    </row>
    <row r="9760" spans="1:13" x14ac:dyDescent="0.2">
      <c r="A9760" t="s">
        <v>580</v>
      </c>
      <c r="B9760" t="s">
        <v>581</v>
      </c>
      <c r="C9760" t="s">
        <v>2</v>
      </c>
      <c r="D9760">
        <v>1693</v>
      </c>
      <c r="E9760">
        <v>2019</v>
      </c>
      <c r="F9760">
        <v>3</v>
      </c>
      <c r="G9760">
        <v>142</v>
      </c>
      <c r="H9760" s="1" t="s">
        <v>1831</v>
      </c>
      <c r="I9760">
        <v>21</v>
      </c>
      <c r="J9760">
        <f>IF($H9760=0,1,IF($I9760&lt;=1,2,0))</f>
        <v>0</v>
      </c>
      <c r="K9760">
        <v>7</v>
      </c>
      <c r="L9760">
        <f>IF(AND($J9760=0,$K9760=0),0,1)</f>
        <v>1</v>
      </c>
      <c r="M9760" t="s">
        <v>586</v>
      </c>
    </row>
    <row r="9761" spans="1:13" x14ac:dyDescent="0.2">
      <c r="A9761" t="s">
        <v>580</v>
      </c>
      <c r="B9761" t="s">
        <v>581</v>
      </c>
      <c r="C9761" t="s">
        <v>2</v>
      </c>
      <c r="D9761">
        <v>1693</v>
      </c>
      <c r="E9761">
        <v>2019</v>
      </c>
      <c r="F9761">
        <v>2</v>
      </c>
      <c r="G9761">
        <v>138</v>
      </c>
      <c r="H9761" s="1" t="s">
        <v>1831</v>
      </c>
      <c r="I9761">
        <v>19</v>
      </c>
      <c r="J9761">
        <f>IF($H9761=0,1,IF($I9761&lt;=1,2,0))</f>
        <v>0</v>
      </c>
      <c r="K9761">
        <v>7</v>
      </c>
      <c r="L9761">
        <f>IF(AND($J9761=0,$K9761=0),0,1)</f>
        <v>1</v>
      </c>
      <c r="M9761" t="s">
        <v>586</v>
      </c>
    </row>
    <row r="9762" spans="1:13" x14ac:dyDescent="0.2">
      <c r="A9762" t="s">
        <v>580</v>
      </c>
      <c r="B9762" t="s">
        <v>581</v>
      </c>
      <c r="C9762" t="s">
        <v>2</v>
      </c>
      <c r="D9762">
        <v>1694</v>
      </c>
      <c r="E9762">
        <v>2019</v>
      </c>
      <c r="F9762">
        <v>1</v>
      </c>
      <c r="G9762">
        <v>136</v>
      </c>
      <c r="H9762" s="1" t="s">
        <v>1831</v>
      </c>
      <c r="I9762">
        <v>19</v>
      </c>
      <c r="J9762">
        <f>IF($H9762=0,1,IF($I9762&lt;=1,2,0))</f>
        <v>0</v>
      </c>
      <c r="K9762">
        <v>7</v>
      </c>
      <c r="L9762">
        <f>IF(AND($J9762=0,$K9762=0),0,1)</f>
        <v>1</v>
      </c>
      <c r="M9762" t="s">
        <v>586</v>
      </c>
    </row>
    <row r="9763" spans="1:13" x14ac:dyDescent="0.2">
      <c r="A9763" t="s">
        <v>580</v>
      </c>
      <c r="B9763" t="s">
        <v>581</v>
      </c>
      <c r="C9763" t="s">
        <v>2</v>
      </c>
      <c r="D9763">
        <v>1694</v>
      </c>
      <c r="E9763">
        <v>2019</v>
      </c>
      <c r="F9763">
        <v>2</v>
      </c>
      <c r="G9763">
        <v>139</v>
      </c>
      <c r="H9763" s="1" t="s">
        <v>1831</v>
      </c>
      <c r="I9763">
        <v>19</v>
      </c>
      <c r="J9763">
        <f>IF($H9763=0,1,IF($I9763&lt;=1,2,0))</f>
        <v>0</v>
      </c>
      <c r="K9763">
        <v>7</v>
      </c>
      <c r="L9763">
        <f>IF(AND($J9763=0,$K9763=0),0,1)</f>
        <v>1</v>
      </c>
      <c r="M9763" t="s">
        <v>586</v>
      </c>
    </row>
    <row r="9764" spans="1:13" x14ac:dyDescent="0.2">
      <c r="A9764" t="s">
        <v>580</v>
      </c>
      <c r="B9764" t="s">
        <v>581</v>
      </c>
      <c r="C9764" t="s">
        <v>2</v>
      </c>
      <c r="D9764">
        <v>1696</v>
      </c>
      <c r="E9764">
        <v>2019</v>
      </c>
      <c r="F9764">
        <v>1</v>
      </c>
      <c r="G9764">
        <v>8943</v>
      </c>
      <c r="H9764" s="1" t="s">
        <v>1831</v>
      </c>
      <c r="I9764">
        <v>22</v>
      </c>
      <c r="J9764">
        <f>IF($H9764=0,1,IF($I9764&lt;=1,2,0))</f>
        <v>0</v>
      </c>
      <c r="K9764">
        <v>7</v>
      </c>
      <c r="L9764">
        <f>IF(AND($J9764=0,$K9764=0),0,1)</f>
        <v>1</v>
      </c>
      <c r="M9764" t="s">
        <v>586</v>
      </c>
    </row>
    <row r="9765" spans="1:13" x14ac:dyDescent="0.2">
      <c r="A9765" t="s">
        <v>580</v>
      </c>
      <c r="B9765" t="s">
        <v>581</v>
      </c>
      <c r="C9765" t="s">
        <v>2</v>
      </c>
      <c r="D9765">
        <v>1696</v>
      </c>
      <c r="E9765">
        <v>2019</v>
      </c>
      <c r="F9765">
        <v>2</v>
      </c>
      <c r="G9765">
        <v>8944</v>
      </c>
      <c r="H9765" s="1" t="s">
        <v>1831</v>
      </c>
      <c r="I9765">
        <v>22</v>
      </c>
      <c r="J9765">
        <f>IF($H9765=0,1,IF($I9765&lt;=1,2,0))</f>
        <v>0</v>
      </c>
      <c r="K9765">
        <v>7</v>
      </c>
      <c r="L9765">
        <f>IF(AND($J9765=0,$K9765=0),0,1)</f>
        <v>1</v>
      </c>
      <c r="M9765" t="s">
        <v>586</v>
      </c>
    </row>
    <row r="9766" spans="1:13" x14ac:dyDescent="0.2">
      <c r="A9766" t="s">
        <v>580</v>
      </c>
      <c r="B9766" t="s">
        <v>581</v>
      </c>
      <c r="C9766" t="s">
        <v>2</v>
      </c>
      <c r="D9766">
        <v>1800</v>
      </c>
      <c r="E9766">
        <v>2019</v>
      </c>
      <c r="F9766">
        <v>1</v>
      </c>
      <c r="G9766">
        <v>8947</v>
      </c>
      <c r="H9766" s="1" t="s">
        <v>1831</v>
      </c>
      <c r="I9766">
        <v>19</v>
      </c>
      <c r="J9766">
        <f>IF($H9766=0,1,IF($I9766&lt;=1,2,0))</f>
        <v>0</v>
      </c>
      <c r="K9766">
        <v>7</v>
      </c>
      <c r="L9766">
        <f>IF(AND($J9766=0,$K9766=0),0,1)</f>
        <v>1</v>
      </c>
      <c r="M9766" t="s">
        <v>586</v>
      </c>
    </row>
    <row r="9767" spans="1:13" x14ac:dyDescent="0.2">
      <c r="A9767" t="s">
        <v>587</v>
      </c>
      <c r="B9767" t="s">
        <v>17</v>
      </c>
      <c r="C9767" t="s">
        <v>21</v>
      </c>
      <c r="D9767">
        <v>2111</v>
      </c>
      <c r="E9767">
        <v>2019</v>
      </c>
      <c r="F9767">
        <v>2</v>
      </c>
      <c r="G9767">
        <v>10335</v>
      </c>
      <c r="H9767" s="1">
        <v>0</v>
      </c>
      <c r="I9767">
        <v>38</v>
      </c>
      <c r="J9767">
        <f>IF($H9767=0,1,IF($I9767&lt;=1,2,0))</f>
        <v>1</v>
      </c>
      <c r="K9767">
        <v>0</v>
      </c>
      <c r="L9767">
        <f>IF(AND($J9767=0,$K9767=0),0,1)</f>
        <v>1</v>
      </c>
    </row>
    <row r="9768" spans="1:13" x14ac:dyDescent="0.2">
      <c r="A9768" t="s">
        <v>587</v>
      </c>
      <c r="B9768" t="s">
        <v>17</v>
      </c>
      <c r="C9768" t="s">
        <v>21</v>
      </c>
      <c r="D9768">
        <v>2111</v>
      </c>
      <c r="E9768">
        <v>2019</v>
      </c>
      <c r="F9768">
        <v>1</v>
      </c>
      <c r="G9768">
        <v>10333</v>
      </c>
      <c r="H9768" s="1">
        <v>0</v>
      </c>
      <c r="I9768">
        <v>32</v>
      </c>
      <c r="J9768">
        <f>IF($H9768=0,1,IF($I9768&lt;=1,2,0))</f>
        <v>1</v>
      </c>
      <c r="K9768">
        <v>0</v>
      </c>
      <c r="L9768">
        <f>IF(AND($J9768=0,$K9768=0),0,1)</f>
        <v>1</v>
      </c>
    </row>
    <row r="9769" spans="1:13" x14ac:dyDescent="0.2">
      <c r="A9769" t="s">
        <v>587</v>
      </c>
      <c r="B9769" t="s">
        <v>17</v>
      </c>
      <c r="C9769" t="s">
        <v>21</v>
      </c>
      <c r="D9769">
        <v>3413</v>
      </c>
      <c r="E9769">
        <v>2019</v>
      </c>
      <c r="F9769">
        <v>1</v>
      </c>
      <c r="G9769">
        <v>10323</v>
      </c>
      <c r="H9769" s="1">
        <v>0</v>
      </c>
      <c r="I9769">
        <v>38</v>
      </c>
      <c r="J9769">
        <f>IF($H9769=0,1,IF($I9769&lt;=1,2,0))</f>
        <v>1</v>
      </c>
      <c r="K9769">
        <v>0</v>
      </c>
      <c r="L9769">
        <f>IF(AND($J9769=0,$K9769=0),0,1)</f>
        <v>1</v>
      </c>
    </row>
    <row r="9770" spans="1:13" x14ac:dyDescent="0.2">
      <c r="A9770" t="s">
        <v>587</v>
      </c>
      <c r="B9770" t="s">
        <v>17</v>
      </c>
      <c r="C9770" t="s">
        <v>21</v>
      </c>
      <c r="D9770">
        <v>3413</v>
      </c>
      <c r="E9770">
        <v>2019</v>
      </c>
      <c r="F9770">
        <v>2</v>
      </c>
      <c r="G9770">
        <v>10325</v>
      </c>
      <c r="H9770" s="1">
        <v>0</v>
      </c>
      <c r="I9770">
        <v>24</v>
      </c>
      <c r="J9770">
        <f>IF($H9770=0,1,IF($I9770&lt;=1,2,0))</f>
        <v>1</v>
      </c>
      <c r="K9770">
        <v>0</v>
      </c>
      <c r="L9770">
        <f>IF(AND($J9770=0,$K9770=0),0,1)</f>
        <v>1</v>
      </c>
    </row>
    <row r="9771" spans="1:13" x14ac:dyDescent="0.2">
      <c r="A9771" t="s">
        <v>587</v>
      </c>
      <c r="B9771" t="s">
        <v>17</v>
      </c>
      <c r="C9771" t="s">
        <v>21</v>
      </c>
      <c r="D9771">
        <v>3413</v>
      </c>
      <c r="E9771">
        <v>2019</v>
      </c>
      <c r="F9771">
        <v>3</v>
      </c>
      <c r="G9771">
        <v>10326</v>
      </c>
      <c r="H9771" s="1">
        <v>0</v>
      </c>
      <c r="I9771">
        <v>13</v>
      </c>
      <c r="J9771">
        <f>IF($H9771=0,1,IF($I9771&lt;=1,2,0))</f>
        <v>1</v>
      </c>
      <c r="K9771">
        <v>0</v>
      </c>
      <c r="L9771">
        <f>IF(AND($J9771=0,$K9771=0),0,1)</f>
        <v>1</v>
      </c>
    </row>
    <row r="9772" spans="1:13" x14ac:dyDescent="0.2">
      <c r="A9772" t="s">
        <v>587</v>
      </c>
      <c r="B9772" t="s">
        <v>17</v>
      </c>
      <c r="C9772" t="s">
        <v>21</v>
      </c>
      <c r="D9772">
        <v>3611</v>
      </c>
      <c r="E9772">
        <v>2019</v>
      </c>
      <c r="F9772">
        <v>2</v>
      </c>
      <c r="G9772">
        <v>10329</v>
      </c>
      <c r="H9772" s="1">
        <v>0</v>
      </c>
      <c r="I9772">
        <v>14</v>
      </c>
      <c r="J9772">
        <f>IF($H9772=0,1,IF($I9772&lt;=1,2,0))</f>
        <v>1</v>
      </c>
      <c r="K9772">
        <v>0</v>
      </c>
      <c r="L9772">
        <f>IF(AND($J9772=0,$K9772=0),0,1)</f>
        <v>1</v>
      </c>
    </row>
    <row r="9773" spans="1:13" x14ac:dyDescent="0.2">
      <c r="A9773" t="s">
        <v>587</v>
      </c>
      <c r="B9773" t="s">
        <v>17</v>
      </c>
      <c r="C9773" t="s">
        <v>21</v>
      </c>
      <c r="D9773">
        <v>3611</v>
      </c>
      <c r="E9773">
        <v>2019</v>
      </c>
      <c r="F9773">
        <v>1</v>
      </c>
      <c r="G9773">
        <v>10328</v>
      </c>
      <c r="H9773" s="1">
        <v>0</v>
      </c>
      <c r="I9773">
        <v>6</v>
      </c>
      <c r="J9773">
        <f>IF($H9773=0,1,IF($I9773&lt;=1,2,0))</f>
        <v>1</v>
      </c>
      <c r="K9773">
        <v>0</v>
      </c>
      <c r="L9773">
        <f>IF(AND($J9773=0,$K9773=0),0,1)</f>
        <v>1</v>
      </c>
    </row>
    <row r="9774" spans="1:13" x14ac:dyDescent="0.2">
      <c r="A9774" t="s">
        <v>587</v>
      </c>
      <c r="B9774" t="s">
        <v>17</v>
      </c>
      <c r="C9774" t="s">
        <v>21</v>
      </c>
      <c r="D9774">
        <v>3711</v>
      </c>
      <c r="E9774">
        <v>2019</v>
      </c>
      <c r="F9774">
        <v>1</v>
      </c>
      <c r="G9774">
        <v>10330</v>
      </c>
      <c r="H9774" s="1">
        <v>0</v>
      </c>
      <c r="I9774">
        <v>16</v>
      </c>
      <c r="J9774">
        <f>IF($H9774=0,1,IF($I9774&lt;=1,2,0))</f>
        <v>1</v>
      </c>
      <c r="K9774">
        <v>0</v>
      </c>
      <c r="L9774">
        <f>IF(AND($J9774=0,$K9774=0),0,1)</f>
        <v>1</v>
      </c>
    </row>
    <row r="9775" spans="1:13" x14ac:dyDescent="0.2">
      <c r="A9775" t="s">
        <v>587</v>
      </c>
      <c r="B9775" t="s">
        <v>17</v>
      </c>
      <c r="C9775" t="s">
        <v>21</v>
      </c>
      <c r="D9775">
        <v>3711</v>
      </c>
      <c r="E9775">
        <v>2019</v>
      </c>
      <c r="F9775">
        <v>2</v>
      </c>
      <c r="G9775">
        <v>10331</v>
      </c>
      <c r="H9775" s="1">
        <v>0</v>
      </c>
      <c r="I9775">
        <v>13</v>
      </c>
      <c r="J9775">
        <f>IF($H9775=0,1,IF($I9775&lt;=1,2,0))</f>
        <v>1</v>
      </c>
      <c r="K9775">
        <v>0</v>
      </c>
      <c r="L9775">
        <f>IF(AND($J9775=0,$K9775=0),0,1)</f>
        <v>1</v>
      </c>
    </row>
    <row r="9776" spans="1:13" x14ac:dyDescent="0.2">
      <c r="A9776" t="s">
        <v>587</v>
      </c>
      <c r="B9776" t="s">
        <v>17</v>
      </c>
      <c r="C9776" t="s">
        <v>33</v>
      </c>
      <c r="D9776">
        <v>3991</v>
      </c>
      <c r="E9776">
        <v>2019</v>
      </c>
      <c r="F9776">
        <v>2</v>
      </c>
      <c r="G9776">
        <v>19309</v>
      </c>
      <c r="H9776" s="1">
        <v>3</v>
      </c>
      <c r="I9776">
        <v>1</v>
      </c>
      <c r="J9776">
        <f>IF($H9776=0,1,IF($I9776&lt;=1,2,0))</f>
        <v>2</v>
      </c>
      <c r="K9776">
        <v>0</v>
      </c>
      <c r="L9776">
        <f>IF(AND($J9776=0,$K9776=0),0,1)</f>
        <v>1</v>
      </c>
    </row>
    <row r="9777" spans="1:12" x14ac:dyDescent="0.2">
      <c r="A9777" t="s">
        <v>587</v>
      </c>
      <c r="B9777" t="s">
        <v>17</v>
      </c>
      <c r="C9777" t="s">
        <v>33</v>
      </c>
      <c r="D9777">
        <v>3991</v>
      </c>
      <c r="E9777">
        <v>2019</v>
      </c>
      <c r="F9777">
        <v>3</v>
      </c>
      <c r="G9777">
        <v>19310</v>
      </c>
      <c r="H9777" s="1">
        <v>3</v>
      </c>
      <c r="I9777">
        <v>1</v>
      </c>
      <c r="J9777">
        <f>IF($H9777=0,1,IF($I9777&lt;=1,2,0))</f>
        <v>2</v>
      </c>
      <c r="K9777">
        <v>0</v>
      </c>
      <c r="L9777">
        <f>IF(AND($J9777=0,$K9777=0),0,1)</f>
        <v>1</v>
      </c>
    </row>
    <row r="9778" spans="1:12" x14ac:dyDescent="0.2">
      <c r="A9778" t="s">
        <v>587</v>
      </c>
      <c r="B9778" t="s">
        <v>17</v>
      </c>
      <c r="C9778" t="s">
        <v>33</v>
      </c>
      <c r="D9778">
        <v>3991</v>
      </c>
      <c r="E9778">
        <v>2019</v>
      </c>
      <c r="F9778">
        <v>4</v>
      </c>
      <c r="G9778">
        <v>19311</v>
      </c>
      <c r="H9778" s="1">
        <v>3</v>
      </c>
      <c r="I9778">
        <v>1</v>
      </c>
      <c r="J9778">
        <f>IF($H9778=0,1,IF($I9778&lt;=1,2,0))</f>
        <v>2</v>
      </c>
      <c r="K9778">
        <v>0</v>
      </c>
      <c r="L9778">
        <f>IF(AND($J9778=0,$K9778=0),0,1)</f>
        <v>1</v>
      </c>
    </row>
    <row r="9779" spans="1:12" x14ac:dyDescent="0.2">
      <c r="A9779" t="s">
        <v>587</v>
      </c>
      <c r="B9779" t="s">
        <v>17</v>
      </c>
      <c r="C9779" t="s">
        <v>33</v>
      </c>
      <c r="D9779">
        <v>3991</v>
      </c>
      <c r="E9779">
        <v>2019</v>
      </c>
      <c r="F9779">
        <v>5</v>
      </c>
      <c r="G9779">
        <v>19312</v>
      </c>
      <c r="H9779" s="1">
        <v>3</v>
      </c>
      <c r="I9779">
        <v>1</v>
      </c>
      <c r="J9779">
        <f>IF($H9779=0,1,IF($I9779&lt;=1,2,0))</f>
        <v>2</v>
      </c>
      <c r="K9779">
        <v>0</v>
      </c>
      <c r="L9779">
        <f>IF(AND($J9779=0,$K9779=0),0,1)</f>
        <v>1</v>
      </c>
    </row>
    <row r="9780" spans="1:12" x14ac:dyDescent="0.2">
      <c r="A9780" t="s">
        <v>587</v>
      </c>
      <c r="B9780" t="s">
        <v>17</v>
      </c>
      <c r="C9780" t="s">
        <v>33</v>
      </c>
      <c r="D9780">
        <v>3991</v>
      </c>
      <c r="E9780">
        <v>2019</v>
      </c>
      <c r="F9780">
        <v>6</v>
      </c>
      <c r="G9780">
        <v>19313</v>
      </c>
      <c r="H9780" s="1">
        <v>3</v>
      </c>
      <c r="I9780">
        <v>1</v>
      </c>
      <c r="J9780">
        <f>IF($H9780=0,1,IF($I9780&lt;=1,2,0))</f>
        <v>2</v>
      </c>
      <c r="K9780">
        <v>0</v>
      </c>
      <c r="L9780">
        <f>IF(AND($J9780=0,$K9780=0),0,1)</f>
        <v>1</v>
      </c>
    </row>
    <row r="9781" spans="1:12" x14ac:dyDescent="0.2">
      <c r="A9781" t="s">
        <v>587</v>
      </c>
      <c r="B9781" t="s">
        <v>17</v>
      </c>
      <c r="C9781" t="s">
        <v>33</v>
      </c>
      <c r="D9781">
        <v>3991</v>
      </c>
      <c r="E9781">
        <v>2019</v>
      </c>
      <c r="F9781">
        <v>7</v>
      </c>
      <c r="G9781">
        <v>19314</v>
      </c>
      <c r="H9781" s="1">
        <v>3</v>
      </c>
      <c r="I9781">
        <v>1</v>
      </c>
      <c r="J9781">
        <f>IF($H9781=0,1,IF($I9781&lt;=1,2,0))</f>
        <v>2</v>
      </c>
      <c r="K9781">
        <v>0</v>
      </c>
      <c r="L9781">
        <f>IF(AND($J9781=0,$K9781=0),0,1)</f>
        <v>1</v>
      </c>
    </row>
    <row r="9782" spans="1:12" x14ac:dyDescent="0.2">
      <c r="A9782" t="s">
        <v>587</v>
      </c>
      <c r="B9782" t="s">
        <v>17</v>
      </c>
      <c r="C9782" t="s">
        <v>9</v>
      </c>
      <c r="D9782">
        <v>3996</v>
      </c>
      <c r="E9782">
        <v>2019</v>
      </c>
      <c r="F9782">
        <v>2</v>
      </c>
      <c r="G9782">
        <v>45467</v>
      </c>
      <c r="H9782" s="1">
        <v>3</v>
      </c>
      <c r="I9782">
        <v>0</v>
      </c>
      <c r="J9782">
        <f>IF($H9782=0,1,IF($I9782&lt;=1,2,0))</f>
        <v>2</v>
      </c>
      <c r="K9782">
        <v>0</v>
      </c>
      <c r="L9782">
        <f>IF(AND($J9782=0,$K9782=0),0,1)</f>
        <v>1</v>
      </c>
    </row>
    <row r="9783" spans="1:12" x14ac:dyDescent="0.2">
      <c r="A9783" t="s">
        <v>587</v>
      </c>
      <c r="B9783" t="s">
        <v>17</v>
      </c>
      <c r="C9783" t="s">
        <v>9</v>
      </c>
      <c r="D9783">
        <v>3996</v>
      </c>
      <c r="E9783">
        <v>2019</v>
      </c>
      <c r="F9783">
        <v>3</v>
      </c>
      <c r="G9783">
        <v>45468</v>
      </c>
      <c r="H9783" s="1">
        <v>3</v>
      </c>
      <c r="I9783">
        <v>0</v>
      </c>
      <c r="J9783">
        <f>IF($H9783=0,1,IF($I9783&lt;=1,2,0))</f>
        <v>2</v>
      </c>
      <c r="K9783">
        <v>0</v>
      </c>
      <c r="L9783">
        <f>IF(AND($J9783=0,$K9783=0),0,1)</f>
        <v>1</v>
      </c>
    </row>
    <row r="9784" spans="1:12" x14ac:dyDescent="0.2">
      <c r="A9784" t="s">
        <v>587</v>
      </c>
      <c r="B9784" t="s">
        <v>17</v>
      </c>
      <c r="C9784" t="s">
        <v>9</v>
      </c>
      <c r="D9784">
        <v>3996</v>
      </c>
      <c r="E9784">
        <v>2019</v>
      </c>
      <c r="F9784">
        <v>4</v>
      </c>
      <c r="G9784">
        <v>45469</v>
      </c>
      <c r="H9784" s="1">
        <v>3</v>
      </c>
      <c r="I9784">
        <v>0</v>
      </c>
      <c r="J9784">
        <f>IF($H9784=0,1,IF($I9784&lt;=1,2,0))</f>
        <v>2</v>
      </c>
      <c r="K9784">
        <v>0</v>
      </c>
      <c r="L9784">
        <f>IF(AND($J9784=0,$K9784=0),0,1)</f>
        <v>1</v>
      </c>
    </row>
    <row r="9785" spans="1:12" x14ac:dyDescent="0.2">
      <c r="A9785" t="s">
        <v>587</v>
      </c>
      <c r="B9785" t="s">
        <v>17</v>
      </c>
      <c r="C9785" t="s">
        <v>9</v>
      </c>
      <c r="D9785">
        <v>3996</v>
      </c>
      <c r="E9785">
        <v>2019</v>
      </c>
      <c r="F9785">
        <v>5</v>
      </c>
      <c r="G9785">
        <v>45470</v>
      </c>
      <c r="H9785" s="1">
        <v>3</v>
      </c>
      <c r="I9785">
        <v>0</v>
      </c>
      <c r="J9785">
        <f>IF($H9785=0,1,IF($I9785&lt;=1,2,0))</f>
        <v>2</v>
      </c>
      <c r="K9785">
        <v>0</v>
      </c>
      <c r="L9785">
        <f>IF(AND($J9785=0,$K9785=0),0,1)</f>
        <v>1</v>
      </c>
    </row>
    <row r="9786" spans="1:12" x14ac:dyDescent="0.2">
      <c r="A9786" t="s">
        <v>587</v>
      </c>
      <c r="B9786" t="s">
        <v>17</v>
      </c>
      <c r="C9786" t="s">
        <v>9</v>
      </c>
      <c r="D9786">
        <v>3996</v>
      </c>
      <c r="E9786">
        <v>2019</v>
      </c>
      <c r="F9786">
        <v>7</v>
      </c>
      <c r="G9786">
        <v>45472</v>
      </c>
      <c r="H9786" s="1">
        <v>3</v>
      </c>
      <c r="I9786">
        <v>0</v>
      </c>
      <c r="J9786">
        <f>IF($H9786=0,1,IF($I9786&lt;=1,2,0))</f>
        <v>2</v>
      </c>
      <c r="K9786">
        <v>0</v>
      </c>
      <c r="L9786">
        <f>IF(AND($J9786=0,$K9786=0),0,1)</f>
        <v>1</v>
      </c>
    </row>
    <row r="9787" spans="1:12" x14ac:dyDescent="0.2">
      <c r="A9787" t="s">
        <v>587</v>
      </c>
      <c r="B9787" t="s">
        <v>17</v>
      </c>
      <c r="C9787" t="s">
        <v>9</v>
      </c>
      <c r="D9787">
        <v>3996</v>
      </c>
      <c r="E9787">
        <v>2019</v>
      </c>
      <c r="F9787">
        <v>8</v>
      </c>
      <c r="G9787">
        <v>45473</v>
      </c>
      <c r="H9787" s="1">
        <v>3</v>
      </c>
      <c r="I9787">
        <v>0</v>
      </c>
      <c r="J9787">
        <f>IF($H9787=0,1,IF($I9787&lt;=1,2,0))</f>
        <v>2</v>
      </c>
      <c r="K9787">
        <v>0</v>
      </c>
      <c r="L9787">
        <f>IF(AND($J9787=0,$K9787=0),0,1)</f>
        <v>1</v>
      </c>
    </row>
    <row r="9788" spans="1:12" x14ac:dyDescent="0.2">
      <c r="A9788" t="s">
        <v>587</v>
      </c>
      <c r="B9788" t="s">
        <v>17</v>
      </c>
      <c r="C9788" t="s">
        <v>9</v>
      </c>
      <c r="D9788">
        <v>3996</v>
      </c>
      <c r="E9788">
        <v>2019</v>
      </c>
      <c r="F9788">
        <v>9</v>
      </c>
      <c r="G9788">
        <v>45474</v>
      </c>
      <c r="H9788" s="1">
        <v>3</v>
      </c>
      <c r="I9788">
        <v>0</v>
      </c>
      <c r="J9788">
        <f>IF($H9788=0,1,IF($I9788&lt;=1,2,0))</f>
        <v>2</v>
      </c>
      <c r="K9788">
        <v>0</v>
      </c>
      <c r="L9788">
        <f>IF(AND($J9788=0,$K9788=0),0,1)</f>
        <v>1</v>
      </c>
    </row>
    <row r="9789" spans="1:12" x14ac:dyDescent="0.2">
      <c r="A9789" t="s">
        <v>587</v>
      </c>
      <c r="B9789" t="s">
        <v>17</v>
      </c>
      <c r="C9789" t="s">
        <v>9</v>
      </c>
      <c r="D9789">
        <v>3996</v>
      </c>
      <c r="E9789">
        <v>2019</v>
      </c>
      <c r="F9789">
        <v>10</v>
      </c>
      <c r="G9789">
        <v>45475</v>
      </c>
      <c r="H9789" s="1">
        <v>3</v>
      </c>
      <c r="I9789">
        <v>0</v>
      </c>
      <c r="J9789">
        <f>IF($H9789=0,1,IF($I9789&lt;=1,2,0))</f>
        <v>2</v>
      </c>
      <c r="K9789">
        <v>0</v>
      </c>
      <c r="L9789">
        <f>IF(AND($J9789=0,$K9789=0),0,1)</f>
        <v>1</v>
      </c>
    </row>
    <row r="9790" spans="1:12" x14ac:dyDescent="0.2">
      <c r="A9790" t="s">
        <v>587</v>
      </c>
      <c r="B9790" t="s">
        <v>17</v>
      </c>
      <c r="C9790" t="s">
        <v>9</v>
      </c>
      <c r="D9790">
        <v>3996</v>
      </c>
      <c r="E9790">
        <v>2019</v>
      </c>
      <c r="F9790">
        <v>11</v>
      </c>
      <c r="G9790">
        <v>45476</v>
      </c>
      <c r="H9790" s="1">
        <v>3</v>
      </c>
      <c r="I9790">
        <v>0</v>
      </c>
      <c r="J9790">
        <f>IF($H9790=0,1,IF($I9790&lt;=1,2,0))</f>
        <v>2</v>
      </c>
      <c r="K9790">
        <v>0</v>
      </c>
      <c r="L9790">
        <f>IF(AND($J9790=0,$K9790=0),0,1)</f>
        <v>1</v>
      </c>
    </row>
    <row r="9791" spans="1:12" x14ac:dyDescent="0.2">
      <c r="A9791" t="s">
        <v>587</v>
      </c>
      <c r="B9791" t="s">
        <v>17</v>
      </c>
      <c r="C9791" t="s">
        <v>9</v>
      </c>
      <c r="D9791">
        <v>3996</v>
      </c>
      <c r="E9791">
        <v>2019</v>
      </c>
      <c r="F9791">
        <v>12</v>
      </c>
      <c r="G9791">
        <v>45477</v>
      </c>
      <c r="H9791" s="1">
        <v>3</v>
      </c>
      <c r="I9791">
        <v>0</v>
      </c>
      <c r="J9791">
        <f>IF($H9791=0,1,IF($I9791&lt;=1,2,0))</f>
        <v>2</v>
      </c>
      <c r="K9791">
        <v>0</v>
      </c>
      <c r="L9791">
        <f>IF(AND($J9791=0,$K9791=0),0,1)</f>
        <v>1</v>
      </c>
    </row>
    <row r="9792" spans="1:12" x14ac:dyDescent="0.2">
      <c r="A9792" t="s">
        <v>587</v>
      </c>
      <c r="B9792" t="s">
        <v>17</v>
      </c>
      <c r="C9792" t="s">
        <v>9</v>
      </c>
      <c r="D9792">
        <v>3996</v>
      </c>
      <c r="E9792">
        <v>2019</v>
      </c>
      <c r="F9792">
        <v>14</v>
      </c>
      <c r="G9792">
        <v>45479</v>
      </c>
      <c r="H9792" s="1">
        <v>3</v>
      </c>
      <c r="I9792">
        <v>0</v>
      </c>
      <c r="J9792">
        <f>IF($H9792=0,1,IF($I9792&lt;=1,2,0))</f>
        <v>2</v>
      </c>
      <c r="K9792">
        <v>0</v>
      </c>
      <c r="L9792">
        <f>IF(AND($J9792=0,$K9792=0),0,1)</f>
        <v>1</v>
      </c>
    </row>
    <row r="9793" spans="1:12" x14ac:dyDescent="0.2">
      <c r="A9793" t="s">
        <v>587</v>
      </c>
      <c r="B9793" t="s">
        <v>17</v>
      </c>
      <c r="C9793" t="s">
        <v>9</v>
      </c>
      <c r="D9793">
        <v>3996</v>
      </c>
      <c r="E9793">
        <v>2019</v>
      </c>
      <c r="F9793">
        <v>15</v>
      </c>
      <c r="G9793">
        <v>45480</v>
      </c>
      <c r="H9793" s="1">
        <v>3</v>
      </c>
      <c r="I9793">
        <v>0</v>
      </c>
      <c r="J9793">
        <f>IF($H9793=0,1,IF($I9793&lt;=1,2,0))</f>
        <v>2</v>
      </c>
      <c r="K9793">
        <v>0</v>
      </c>
      <c r="L9793">
        <f>IF(AND($J9793=0,$K9793=0),0,1)</f>
        <v>1</v>
      </c>
    </row>
    <row r="9794" spans="1:12" x14ac:dyDescent="0.2">
      <c r="A9794" t="s">
        <v>587</v>
      </c>
      <c r="B9794" t="s">
        <v>17</v>
      </c>
      <c r="C9794" t="s">
        <v>9</v>
      </c>
      <c r="D9794">
        <v>3996</v>
      </c>
      <c r="E9794">
        <v>2019</v>
      </c>
      <c r="F9794">
        <v>16</v>
      </c>
      <c r="G9794">
        <v>45481</v>
      </c>
      <c r="H9794" s="1">
        <v>3</v>
      </c>
      <c r="I9794">
        <v>0</v>
      </c>
      <c r="J9794">
        <f>IF($H9794=0,1,IF($I9794&lt;=1,2,0))</f>
        <v>2</v>
      </c>
      <c r="K9794">
        <v>0</v>
      </c>
      <c r="L9794">
        <f>IF(AND($J9794=0,$K9794=0),0,1)</f>
        <v>1</v>
      </c>
    </row>
    <row r="9795" spans="1:12" x14ac:dyDescent="0.2">
      <c r="A9795" t="s">
        <v>587</v>
      </c>
      <c r="B9795" t="s">
        <v>17</v>
      </c>
      <c r="C9795" t="s">
        <v>9</v>
      </c>
      <c r="D9795">
        <v>3996</v>
      </c>
      <c r="E9795">
        <v>2019</v>
      </c>
      <c r="F9795">
        <v>17</v>
      </c>
      <c r="G9795">
        <v>45482</v>
      </c>
      <c r="H9795" s="1">
        <v>3</v>
      </c>
      <c r="I9795">
        <v>0</v>
      </c>
      <c r="J9795">
        <f>IF($H9795=0,1,IF($I9795&lt;=1,2,0))</f>
        <v>2</v>
      </c>
      <c r="K9795">
        <v>0</v>
      </c>
      <c r="L9795">
        <f>IF(AND($J9795=0,$K9795=0),0,1)</f>
        <v>1</v>
      </c>
    </row>
    <row r="9796" spans="1:12" x14ac:dyDescent="0.2">
      <c r="A9796" t="s">
        <v>587</v>
      </c>
      <c r="B9796" t="s">
        <v>17</v>
      </c>
      <c r="C9796" t="s">
        <v>9</v>
      </c>
      <c r="D9796">
        <v>3996</v>
      </c>
      <c r="E9796">
        <v>2019</v>
      </c>
      <c r="F9796">
        <v>18</v>
      </c>
      <c r="G9796">
        <v>45483</v>
      </c>
      <c r="H9796" s="1">
        <v>3</v>
      </c>
      <c r="I9796">
        <v>0</v>
      </c>
      <c r="J9796">
        <f>IF($H9796=0,1,IF($I9796&lt;=1,2,0))</f>
        <v>2</v>
      </c>
      <c r="K9796">
        <v>0</v>
      </c>
      <c r="L9796">
        <f>IF(AND($J9796=0,$K9796=0),0,1)</f>
        <v>1</v>
      </c>
    </row>
    <row r="9797" spans="1:12" x14ac:dyDescent="0.2">
      <c r="A9797" t="s">
        <v>587</v>
      </c>
      <c r="B9797" t="s">
        <v>17</v>
      </c>
      <c r="C9797" t="s">
        <v>9</v>
      </c>
      <c r="D9797">
        <v>3996</v>
      </c>
      <c r="E9797">
        <v>2019</v>
      </c>
      <c r="F9797">
        <v>21</v>
      </c>
      <c r="G9797">
        <v>45486</v>
      </c>
      <c r="H9797" s="1">
        <v>3</v>
      </c>
      <c r="I9797">
        <v>0</v>
      </c>
      <c r="J9797">
        <f>IF($H9797=0,1,IF($I9797&lt;=1,2,0))</f>
        <v>2</v>
      </c>
      <c r="K9797">
        <v>0</v>
      </c>
      <c r="L9797">
        <f>IF(AND($J9797=0,$K9797=0),0,1)</f>
        <v>1</v>
      </c>
    </row>
    <row r="9798" spans="1:12" x14ac:dyDescent="0.2">
      <c r="A9798" t="s">
        <v>587</v>
      </c>
      <c r="B9798" t="s">
        <v>17</v>
      </c>
      <c r="C9798" t="s">
        <v>9</v>
      </c>
      <c r="D9798">
        <v>3996</v>
      </c>
      <c r="E9798">
        <v>2019</v>
      </c>
      <c r="F9798">
        <v>22</v>
      </c>
      <c r="G9798">
        <v>45487</v>
      </c>
      <c r="H9798" s="1">
        <v>3</v>
      </c>
      <c r="I9798">
        <v>0</v>
      </c>
      <c r="J9798">
        <f>IF($H9798=0,1,IF($I9798&lt;=1,2,0))</f>
        <v>2</v>
      </c>
      <c r="K9798">
        <v>0</v>
      </c>
      <c r="L9798">
        <f>IF(AND($J9798=0,$K9798=0),0,1)</f>
        <v>1</v>
      </c>
    </row>
    <row r="9799" spans="1:12" x14ac:dyDescent="0.2">
      <c r="A9799" t="s">
        <v>587</v>
      </c>
      <c r="B9799" t="s">
        <v>17</v>
      </c>
      <c r="C9799" t="s">
        <v>9</v>
      </c>
      <c r="D9799">
        <v>3996</v>
      </c>
      <c r="E9799">
        <v>2019</v>
      </c>
      <c r="F9799">
        <v>26</v>
      </c>
      <c r="G9799">
        <v>45491</v>
      </c>
      <c r="H9799" s="1">
        <v>3</v>
      </c>
      <c r="I9799">
        <v>0</v>
      </c>
      <c r="J9799">
        <f>IF($H9799=0,1,IF($I9799&lt;=1,2,0))</f>
        <v>2</v>
      </c>
      <c r="K9799">
        <v>0</v>
      </c>
      <c r="L9799">
        <f>IF(AND($J9799=0,$K9799=0),0,1)</f>
        <v>1</v>
      </c>
    </row>
    <row r="9800" spans="1:12" x14ac:dyDescent="0.2">
      <c r="A9800" t="s">
        <v>587</v>
      </c>
      <c r="B9800" t="s">
        <v>17</v>
      </c>
      <c r="C9800" t="s">
        <v>9</v>
      </c>
      <c r="D9800">
        <v>3997</v>
      </c>
      <c r="E9800">
        <v>2019</v>
      </c>
      <c r="F9800">
        <v>17</v>
      </c>
      <c r="G9800">
        <v>45382</v>
      </c>
      <c r="H9800" s="1" t="s">
        <v>1827</v>
      </c>
      <c r="I9800">
        <v>2</v>
      </c>
      <c r="J9800">
        <f>IF($H9800=0,1,IF($I9800&lt;=1,2,0))</f>
        <v>0</v>
      </c>
      <c r="K9800">
        <v>9</v>
      </c>
      <c r="L9800">
        <f>IF(AND($J9800=0,$K9800=0),0,1)</f>
        <v>1</v>
      </c>
    </row>
    <row r="9801" spans="1:12" x14ac:dyDescent="0.2">
      <c r="A9801" t="s">
        <v>587</v>
      </c>
      <c r="B9801" t="s">
        <v>17</v>
      </c>
      <c r="C9801" t="s">
        <v>9</v>
      </c>
      <c r="D9801">
        <v>3997</v>
      </c>
      <c r="E9801">
        <v>2019</v>
      </c>
      <c r="F9801">
        <v>4</v>
      </c>
      <c r="G9801">
        <v>45370</v>
      </c>
      <c r="H9801" s="1" t="s">
        <v>1827</v>
      </c>
      <c r="I9801">
        <v>1</v>
      </c>
      <c r="J9801">
        <f>IF($H9801=0,1,IF($I9801&lt;=1,2,0))</f>
        <v>2</v>
      </c>
      <c r="K9801">
        <v>9</v>
      </c>
      <c r="L9801">
        <f>IF(AND($J9801=0,$K9801=0),0,1)</f>
        <v>1</v>
      </c>
    </row>
    <row r="9802" spans="1:12" x14ac:dyDescent="0.2">
      <c r="A9802" t="s">
        <v>587</v>
      </c>
      <c r="B9802" t="s">
        <v>17</v>
      </c>
      <c r="C9802" t="s">
        <v>9</v>
      </c>
      <c r="D9802">
        <v>3997</v>
      </c>
      <c r="E9802">
        <v>2019</v>
      </c>
      <c r="F9802">
        <v>22</v>
      </c>
      <c r="G9802">
        <v>45387</v>
      </c>
      <c r="H9802" s="1" t="s">
        <v>1827</v>
      </c>
      <c r="I9802">
        <v>1</v>
      </c>
      <c r="J9802">
        <f>IF($H9802=0,1,IF($I9802&lt;=1,2,0))</f>
        <v>2</v>
      </c>
      <c r="K9802">
        <v>9</v>
      </c>
      <c r="L9802">
        <f>IF(AND($J9802=0,$K9802=0),0,1)</f>
        <v>1</v>
      </c>
    </row>
    <row r="9803" spans="1:12" x14ac:dyDescent="0.2">
      <c r="A9803" t="s">
        <v>587</v>
      </c>
      <c r="B9803" t="s">
        <v>17</v>
      </c>
      <c r="C9803" t="s">
        <v>9</v>
      </c>
      <c r="D9803">
        <v>3997</v>
      </c>
      <c r="E9803">
        <v>2019</v>
      </c>
      <c r="F9803">
        <v>2</v>
      </c>
      <c r="G9803">
        <v>45368</v>
      </c>
      <c r="H9803" s="1" t="s">
        <v>1827</v>
      </c>
      <c r="I9803">
        <v>0</v>
      </c>
      <c r="J9803">
        <f>IF($H9803=0,1,IF($I9803&lt;=1,2,0))</f>
        <v>2</v>
      </c>
      <c r="K9803">
        <v>9</v>
      </c>
      <c r="L9803">
        <f>IF(AND($J9803=0,$K9803=0),0,1)</f>
        <v>1</v>
      </c>
    </row>
    <row r="9804" spans="1:12" x14ac:dyDescent="0.2">
      <c r="A9804" t="s">
        <v>587</v>
      </c>
      <c r="B9804" t="s">
        <v>17</v>
      </c>
      <c r="C9804" t="s">
        <v>9</v>
      </c>
      <c r="D9804">
        <v>3997</v>
      </c>
      <c r="E9804">
        <v>2019</v>
      </c>
      <c r="F9804">
        <v>3</v>
      </c>
      <c r="G9804">
        <v>45369</v>
      </c>
      <c r="H9804" s="1" t="s">
        <v>1827</v>
      </c>
      <c r="I9804">
        <v>0</v>
      </c>
      <c r="J9804">
        <f>IF($H9804=0,1,IF($I9804&lt;=1,2,0))</f>
        <v>2</v>
      </c>
      <c r="K9804">
        <v>9</v>
      </c>
      <c r="L9804">
        <f>IF(AND($J9804=0,$K9804=0),0,1)</f>
        <v>1</v>
      </c>
    </row>
    <row r="9805" spans="1:12" x14ac:dyDescent="0.2">
      <c r="A9805" t="s">
        <v>587</v>
      </c>
      <c r="B9805" t="s">
        <v>17</v>
      </c>
      <c r="C9805" t="s">
        <v>9</v>
      </c>
      <c r="D9805">
        <v>3997</v>
      </c>
      <c r="E9805">
        <v>2019</v>
      </c>
      <c r="F9805">
        <v>5</v>
      </c>
      <c r="G9805">
        <v>45371</v>
      </c>
      <c r="H9805" s="1" t="s">
        <v>1827</v>
      </c>
      <c r="I9805">
        <v>0</v>
      </c>
      <c r="J9805">
        <f>IF($H9805=0,1,IF($I9805&lt;=1,2,0))</f>
        <v>2</v>
      </c>
      <c r="K9805">
        <v>9</v>
      </c>
      <c r="L9805">
        <f>IF(AND($J9805=0,$K9805=0),0,1)</f>
        <v>1</v>
      </c>
    </row>
    <row r="9806" spans="1:12" x14ac:dyDescent="0.2">
      <c r="A9806" t="s">
        <v>587</v>
      </c>
      <c r="B9806" t="s">
        <v>17</v>
      </c>
      <c r="C9806" t="s">
        <v>9</v>
      </c>
      <c r="D9806">
        <v>3997</v>
      </c>
      <c r="E9806">
        <v>2019</v>
      </c>
      <c r="F9806">
        <v>7</v>
      </c>
      <c r="G9806">
        <v>45373</v>
      </c>
      <c r="H9806" s="1" t="s">
        <v>1827</v>
      </c>
      <c r="I9806">
        <v>0</v>
      </c>
      <c r="J9806">
        <f>IF($H9806=0,1,IF($I9806&lt;=1,2,0))</f>
        <v>2</v>
      </c>
      <c r="K9806">
        <v>9</v>
      </c>
      <c r="L9806">
        <f>IF(AND($J9806=0,$K9806=0),0,1)</f>
        <v>1</v>
      </c>
    </row>
    <row r="9807" spans="1:12" x14ac:dyDescent="0.2">
      <c r="A9807" t="s">
        <v>587</v>
      </c>
      <c r="B9807" t="s">
        <v>17</v>
      </c>
      <c r="C9807" t="s">
        <v>9</v>
      </c>
      <c r="D9807">
        <v>3997</v>
      </c>
      <c r="E9807">
        <v>2019</v>
      </c>
      <c r="F9807">
        <v>8</v>
      </c>
      <c r="G9807">
        <v>45374</v>
      </c>
      <c r="H9807" s="1" t="s">
        <v>1827</v>
      </c>
      <c r="I9807">
        <v>0</v>
      </c>
      <c r="J9807">
        <f>IF($H9807=0,1,IF($I9807&lt;=1,2,0))</f>
        <v>2</v>
      </c>
      <c r="K9807">
        <v>9</v>
      </c>
      <c r="L9807">
        <f>IF(AND($J9807=0,$K9807=0),0,1)</f>
        <v>1</v>
      </c>
    </row>
    <row r="9808" spans="1:12" x14ac:dyDescent="0.2">
      <c r="A9808" t="s">
        <v>587</v>
      </c>
      <c r="B9808" t="s">
        <v>17</v>
      </c>
      <c r="C9808" t="s">
        <v>9</v>
      </c>
      <c r="D9808">
        <v>3997</v>
      </c>
      <c r="E9808">
        <v>2019</v>
      </c>
      <c r="F9808">
        <v>9</v>
      </c>
      <c r="G9808">
        <v>45375</v>
      </c>
      <c r="H9808" s="1" t="s">
        <v>1827</v>
      </c>
      <c r="I9808">
        <v>0</v>
      </c>
      <c r="J9808">
        <f>IF($H9808=0,1,IF($I9808&lt;=1,2,0))</f>
        <v>2</v>
      </c>
      <c r="K9808">
        <v>9</v>
      </c>
      <c r="L9808">
        <f>IF(AND($J9808=0,$K9808=0),0,1)</f>
        <v>1</v>
      </c>
    </row>
    <row r="9809" spans="1:13" x14ac:dyDescent="0.2">
      <c r="A9809" t="s">
        <v>587</v>
      </c>
      <c r="B9809" t="s">
        <v>17</v>
      </c>
      <c r="C9809" t="s">
        <v>9</v>
      </c>
      <c r="D9809">
        <v>3997</v>
      </c>
      <c r="E9809">
        <v>2019</v>
      </c>
      <c r="F9809">
        <v>10</v>
      </c>
      <c r="G9809">
        <v>45376</v>
      </c>
      <c r="H9809" s="1" t="s">
        <v>1827</v>
      </c>
      <c r="I9809">
        <v>0</v>
      </c>
      <c r="J9809">
        <f>IF($H9809=0,1,IF($I9809&lt;=1,2,0))</f>
        <v>2</v>
      </c>
      <c r="K9809">
        <v>9</v>
      </c>
      <c r="L9809">
        <f>IF(AND($J9809=0,$K9809=0),0,1)</f>
        <v>1</v>
      </c>
    </row>
    <row r="9810" spans="1:13" x14ac:dyDescent="0.2">
      <c r="A9810" t="s">
        <v>587</v>
      </c>
      <c r="B9810" t="s">
        <v>17</v>
      </c>
      <c r="C9810" t="s">
        <v>9</v>
      </c>
      <c r="D9810">
        <v>3997</v>
      </c>
      <c r="E9810">
        <v>2019</v>
      </c>
      <c r="F9810">
        <v>11</v>
      </c>
      <c r="G9810">
        <v>45377</v>
      </c>
      <c r="H9810" s="1" t="s">
        <v>1827</v>
      </c>
      <c r="I9810">
        <v>0</v>
      </c>
      <c r="J9810">
        <f>IF($H9810=0,1,IF($I9810&lt;=1,2,0))</f>
        <v>2</v>
      </c>
      <c r="K9810">
        <v>9</v>
      </c>
      <c r="L9810">
        <f>IF(AND($J9810=0,$K9810=0),0,1)</f>
        <v>1</v>
      </c>
    </row>
    <row r="9811" spans="1:13" x14ac:dyDescent="0.2">
      <c r="A9811" t="s">
        <v>587</v>
      </c>
      <c r="B9811" t="s">
        <v>17</v>
      </c>
      <c r="C9811" t="s">
        <v>9</v>
      </c>
      <c r="D9811">
        <v>3997</v>
      </c>
      <c r="E9811">
        <v>2019</v>
      </c>
      <c r="F9811">
        <v>12</v>
      </c>
      <c r="G9811">
        <v>45378</v>
      </c>
      <c r="H9811" s="1" t="s">
        <v>1827</v>
      </c>
      <c r="I9811">
        <v>0</v>
      </c>
      <c r="J9811">
        <f>IF($H9811=0,1,IF($I9811&lt;=1,2,0))</f>
        <v>2</v>
      </c>
      <c r="K9811">
        <v>9</v>
      </c>
      <c r="L9811">
        <f>IF(AND($J9811=0,$K9811=0),0,1)</f>
        <v>1</v>
      </c>
    </row>
    <row r="9812" spans="1:13" x14ac:dyDescent="0.2">
      <c r="A9812" t="s">
        <v>587</v>
      </c>
      <c r="B9812" t="s">
        <v>17</v>
      </c>
      <c r="C9812" t="s">
        <v>9</v>
      </c>
      <c r="D9812">
        <v>3997</v>
      </c>
      <c r="E9812">
        <v>2019</v>
      </c>
      <c r="F9812">
        <v>14</v>
      </c>
      <c r="G9812">
        <v>45380</v>
      </c>
      <c r="H9812" s="1" t="s">
        <v>1827</v>
      </c>
      <c r="I9812">
        <v>0</v>
      </c>
      <c r="J9812">
        <f>IF($H9812=0,1,IF($I9812&lt;=1,2,0))</f>
        <v>2</v>
      </c>
      <c r="K9812">
        <v>9</v>
      </c>
      <c r="L9812">
        <f>IF(AND($J9812=0,$K9812=0),0,1)</f>
        <v>1</v>
      </c>
    </row>
    <row r="9813" spans="1:13" x14ac:dyDescent="0.2">
      <c r="A9813" t="s">
        <v>587</v>
      </c>
      <c r="B9813" t="s">
        <v>17</v>
      </c>
      <c r="C9813" t="s">
        <v>9</v>
      </c>
      <c r="D9813">
        <v>3997</v>
      </c>
      <c r="E9813">
        <v>2019</v>
      </c>
      <c r="F9813">
        <v>16</v>
      </c>
      <c r="G9813">
        <v>45381</v>
      </c>
      <c r="H9813" s="1" t="s">
        <v>1827</v>
      </c>
      <c r="I9813">
        <v>0</v>
      </c>
      <c r="J9813">
        <f>IF($H9813=0,1,IF($I9813&lt;=1,2,0))</f>
        <v>2</v>
      </c>
      <c r="K9813">
        <v>9</v>
      </c>
      <c r="L9813">
        <f>IF(AND($J9813=0,$K9813=0),0,1)</f>
        <v>1</v>
      </c>
    </row>
    <row r="9814" spans="1:13" x14ac:dyDescent="0.2">
      <c r="A9814" t="s">
        <v>587</v>
      </c>
      <c r="B9814" t="s">
        <v>17</v>
      </c>
      <c r="C9814" t="s">
        <v>9</v>
      </c>
      <c r="D9814">
        <v>3997</v>
      </c>
      <c r="E9814">
        <v>2019</v>
      </c>
      <c r="F9814">
        <v>18</v>
      </c>
      <c r="G9814">
        <v>45383</v>
      </c>
      <c r="H9814" s="1" t="s">
        <v>1827</v>
      </c>
      <c r="I9814">
        <v>0</v>
      </c>
      <c r="J9814">
        <f>IF($H9814=0,1,IF($I9814&lt;=1,2,0))</f>
        <v>2</v>
      </c>
      <c r="K9814">
        <v>9</v>
      </c>
      <c r="L9814">
        <f>IF(AND($J9814=0,$K9814=0),0,1)</f>
        <v>1</v>
      </c>
    </row>
    <row r="9815" spans="1:13" x14ac:dyDescent="0.2">
      <c r="A9815" t="s">
        <v>587</v>
      </c>
      <c r="B9815" t="s">
        <v>17</v>
      </c>
      <c r="C9815" t="s">
        <v>9</v>
      </c>
      <c r="D9815">
        <v>3997</v>
      </c>
      <c r="E9815">
        <v>2019</v>
      </c>
      <c r="F9815">
        <v>21</v>
      </c>
      <c r="G9815">
        <v>45386</v>
      </c>
      <c r="H9815" s="1" t="s">
        <v>1827</v>
      </c>
      <c r="I9815">
        <v>0</v>
      </c>
      <c r="J9815">
        <f>IF($H9815=0,1,IF($I9815&lt;=1,2,0))</f>
        <v>2</v>
      </c>
      <c r="K9815">
        <v>9</v>
      </c>
      <c r="L9815">
        <f>IF(AND($J9815=0,$K9815=0),0,1)</f>
        <v>1</v>
      </c>
    </row>
    <row r="9816" spans="1:13" x14ac:dyDescent="0.2">
      <c r="A9816" t="s">
        <v>587</v>
      </c>
      <c r="B9816" t="s">
        <v>17</v>
      </c>
      <c r="C9816" t="s">
        <v>9</v>
      </c>
      <c r="D9816">
        <v>3997</v>
      </c>
      <c r="E9816">
        <v>2019</v>
      </c>
      <c r="F9816">
        <v>26</v>
      </c>
      <c r="G9816">
        <v>45391</v>
      </c>
      <c r="H9816" s="1" t="s">
        <v>1827</v>
      </c>
      <c r="I9816">
        <v>0</v>
      </c>
      <c r="J9816">
        <f>IF($H9816=0,1,IF($I9816&lt;=1,2,0))</f>
        <v>2</v>
      </c>
      <c r="K9816">
        <v>9</v>
      </c>
      <c r="L9816">
        <f>IF(AND($J9816=0,$K9816=0),0,1)</f>
        <v>1</v>
      </c>
    </row>
    <row r="9817" spans="1:13" x14ac:dyDescent="0.2">
      <c r="A9817" t="s">
        <v>587</v>
      </c>
      <c r="B9817" t="s">
        <v>17</v>
      </c>
      <c r="C9817" t="s">
        <v>2</v>
      </c>
      <c r="D9817">
        <v>4050</v>
      </c>
      <c r="E9817">
        <v>2019</v>
      </c>
      <c r="F9817">
        <v>1</v>
      </c>
      <c r="G9817">
        <v>9014</v>
      </c>
      <c r="H9817" s="1">
        <v>3</v>
      </c>
      <c r="I9817">
        <v>8</v>
      </c>
      <c r="J9817">
        <f>IF($H9817=0,1,IF($I9817&lt;=1,2,0))</f>
        <v>0</v>
      </c>
      <c r="K9817">
        <v>7</v>
      </c>
      <c r="L9817">
        <f>IF(AND($J9817=0,$K9817=0),0,1)</f>
        <v>1</v>
      </c>
      <c r="M9817" t="s">
        <v>588</v>
      </c>
    </row>
    <row r="9818" spans="1:13" x14ac:dyDescent="0.2">
      <c r="A9818" t="s">
        <v>587</v>
      </c>
      <c r="B9818" t="s">
        <v>17</v>
      </c>
      <c r="C9818" t="s">
        <v>2</v>
      </c>
      <c r="D9818">
        <v>4051</v>
      </c>
      <c r="E9818">
        <v>2019</v>
      </c>
      <c r="F9818">
        <v>1</v>
      </c>
      <c r="G9818">
        <v>9015</v>
      </c>
      <c r="H9818" s="1">
        <v>3</v>
      </c>
      <c r="I9818">
        <v>2</v>
      </c>
      <c r="J9818">
        <f>IF($H9818=0,1,IF($I9818&lt;=1,2,0))</f>
        <v>0</v>
      </c>
      <c r="K9818">
        <v>7</v>
      </c>
      <c r="L9818">
        <f>IF(AND($J9818=0,$K9818=0),0,1)</f>
        <v>1</v>
      </c>
    </row>
    <row r="9819" spans="1:13" x14ac:dyDescent="0.2">
      <c r="A9819" t="s">
        <v>587</v>
      </c>
      <c r="B9819" t="s">
        <v>17</v>
      </c>
      <c r="C9819" t="s">
        <v>11</v>
      </c>
      <c r="D9819">
        <v>4415</v>
      </c>
      <c r="E9819">
        <v>2019</v>
      </c>
      <c r="F9819">
        <v>1</v>
      </c>
      <c r="G9819">
        <v>45407</v>
      </c>
      <c r="H9819" s="1">
        <v>4</v>
      </c>
      <c r="I9819">
        <v>0</v>
      </c>
      <c r="J9819">
        <f>IF($H9819=0,1,IF($I9819&lt;=1,2,0))</f>
        <v>2</v>
      </c>
      <c r="K9819">
        <v>0</v>
      </c>
      <c r="L9819">
        <f>IF(AND($J9819=0,$K9819=0),0,1)</f>
        <v>1</v>
      </c>
    </row>
    <row r="9820" spans="1:13" x14ac:dyDescent="0.2">
      <c r="A9820" t="s">
        <v>587</v>
      </c>
      <c r="B9820" t="s">
        <v>17</v>
      </c>
      <c r="C9820" t="s">
        <v>11</v>
      </c>
      <c r="D9820">
        <v>5415</v>
      </c>
      <c r="E9820">
        <v>2019</v>
      </c>
      <c r="F9820">
        <v>2</v>
      </c>
      <c r="G9820">
        <v>45529</v>
      </c>
      <c r="H9820" s="1">
        <v>4</v>
      </c>
      <c r="I9820">
        <v>1</v>
      </c>
      <c r="J9820">
        <f>IF($H9820=0,1,IF($I9820&lt;=1,2,0))</f>
        <v>2</v>
      </c>
      <c r="K9820">
        <v>0</v>
      </c>
      <c r="L9820">
        <f>IF(AND($J9820=0,$K9820=0),0,1)</f>
        <v>1</v>
      </c>
    </row>
    <row r="9821" spans="1:13" x14ac:dyDescent="0.2">
      <c r="A9821" t="s">
        <v>587</v>
      </c>
      <c r="B9821" t="s">
        <v>17</v>
      </c>
      <c r="C9821" t="s">
        <v>11</v>
      </c>
      <c r="D9821">
        <v>9001</v>
      </c>
      <c r="E9821">
        <v>2019</v>
      </c>
      <c r="F9821">
        <v>16</v>
      </c>
      <c r="G9821">
        <v>45424</v>
      </c>
      <c r="H9821" s="1" t="s">
        <v>1835</v>
      </c>
      <c r="I9821">
        <v>3</v>
      </c>
      <c r="J9821">
        <f>IF($H9821=0,1,IF($I9821&lt;=1,2,0))</f>
        <v>0</v>
      </c>
      <c r="K9821">
        <v>5</v>
      </c>
      <c r="L9821">
        <f>IF(AND($J9821=0,$K9821=0),0,1)</f>
        <v>1</v>
      </c>
    </row>
    <row r="9822" spans="1:13" x14ac:dyDescent="0.2">
      <c r="A9822" t="s">
        <v>587</v>
      </c>
      <c r="B9822" t="s">
        <v>17</v>
      </c>
      <c r="C9822" t="s">
        <v>11</v>
      </c>
      <c r="D9822">
        <v>9001</v>
      </c>
      <c r="E9822">
        <v>2019</v>
      </c>
      <c r="F9822">
        <v>2</v>
      </c>
      <c r="G9822">
        <v>45410</v>
      </c>
      <c r="H9822" s="1" t="s">
        <v>1835</v>
      </c>
      <c r="I9822">
        <v>1</v>
      </c>
      <c r="J9822">
        <f>IF($H9822=0,1,IF($I9822&lt;=1,2,0))</f>
        <v>2</v>
      </c>
      <c r="K9822">
        <v>5</v>
      </c>
      <c r="L9822">
        <f>IF(AND($J9822=0,$K9822=0),0,1)</f>
        <v>1</v>
      </c>
    </row>
    <row r="9823" spans="1:13" x14ac:dyDescent="0.2">
      <c r="A9823" t="s">
        <v>587</v>
      </c>
      <c r="B9823" t="s">
        <v>17</v>
      </c>
      <c r="C9823" t="s">
        <v>11</v>
      </c>
      <c r="D9823">
        <v>9001</v>
      </c>
      <c r="E9823">
        <v>2019</v>
      </c>
      <c r="F9823">
        <v>9</v>
      </c>
      <c r="G9823">
        <v>45417</v>
      </c>
      <c r="H9823" s="1" t="s">
        <v>1835</v>
      </c>
      <c r="I9823">
        <v>1</v>
      </c>
      <c r="J9823">
        <f>IF($H9823=0,1,IF($I9823&lt;=1,2,0))</f>
        <v>2</v>
      </c>
      <c r="K9823">
        <v>5</v>
      </c>
      <c r="L9823">
        <f>IF(AND($J9823=0,$K9823=0),0,1)</f>
        <v>1</v>
      </c>
    </row>
    <row r="9824" spans="1:13" x14ac:dyDescent="0.2">
      <c r="A9824" t="s">
        <v>587</v>
      </c>
      <c r="B9824" t="s">
        <v>17</v>
      </c>
      <c r="C9824" t="s">
        <v>11</v>
      </c>
      <c r="D9824">
        <v>9001</v>
      </c>
      <c r="E9824">
        <v>2019</v>
      </c>
      <c r="F9824">
        <v>17</v>
      </c>
      <c r="G9824">
        <v>45425</v>
      </c>
      <c r="H9824" s="1" t="s">
        <v>1835</v>
      </c>
      <c r="I9824">
        <v>1</v>
      </c>
      <c r="J9824">
        <f>IF($H9824=0,1,IF($I9824&lt;=1,2,0))</f>
        <v>2</v>
      </c>
      <c r="K9824">
        <v>5</v>
      </c>
      <c r="L9824">
        <f>IF(AND($J9824=0,$K9824=0),0,1)</f>
        <v>1</v>
      </c>
    </row>
    <row r="9825" spans="1:12" x14ac:dyDescent="0.2">
      <c r="A9825" t="s">
        <v>587</v>
      </c>
      <c r="B9825" t="s">
        <v>17</v>
      </c>
      <c r="C9825" t="s">
        <v>11</v>
      </c>
      <c r="D9825">
        <v>9001</v>
      </c>
      <c r="E9825">
        <v>2019</v>
      </c>
      <c r="F9825">
        <v>22</v>
      </c>
      <c r="G9825">
        <v>45430</v>
      </c>
      <c r="H9825" s="1" t="s">
        <v>1835</v>
      </c>
      <c r="I9825">
        <v>1</v>
      </c>
      <c r="J9825">
        <f>IF($H9825=0,1,IF($I9825&lt;=1,2,0))</f>
        <v>2</v>
      </c>
      <c r="K9825">
        <v>5</v>
      </c>
      <c r="L9825">
        <f>IF(AND($J9825=0,$K9825=0),0,1)</f>
        <v>1</v>
      </c>
    </row>
    <row r="9826" spans="1:12" x14ac:dyDescent="0.2">
      <c r="A9826" t="s">
        <v>587</v>
      </c>
      <c r="B9826" t="s">
        <v>17</v>
      </c>
      <c r="C9826" t="s">
        <v>11</v>
      </c>
      <c r="D9826">
        <v>9001</v>
      </c>
      <c r="E9826">
        <v>2019</v>
      </c>
      <c r="F9826">
        <v>26</v>
      </c>
      <c r="G9826">
        <v>45434</v>
      </c>
      <c r="H9826" s="1" t="s">
        <v>1835</v>
      </c>
      <c r="I9826">
        <v>1</v>
      </c>
      <c r="J9826">
        <f>IF($H9826=0,1,IF($I9826&lt;=1,2,0))</f>
        <v>2</v>
      </c>
      <c r="K9826">
        <v>5</v>
      </c>
      <c r="L9826">
        <f>IF(AND($J9826=0,$K9826=0),0,1)</f>
        <v>1</v>
      </c>
    </row>
    <row r="9827" spans="1:12" x14ac:dyDescent="0.2">
      <c r="A9827" t="s">
        <v>587</v>
      </c>
      <c r="B9827" t="s">
        <v>17</v>
      </c>
      <c r="C9827" t="s">
        <v>11</v>
      </c>
      <c r="D9827">
        <v>9001</v>
      </c>
      <c r="E9827">
        <v>2019</v>
      </c>
      <c r="F9827">
        <v>3</v>
      </c>
      <c r="G9827">
        <v>45411</v>
      </c>
      <c r="H9827" s="1" t="s">
        <v>1835</v>
      </c>
      <c r="I9827">
        <v>0</v>
      </c>
      <c r="J9827">
        <f>IF($H9827=0,1,IF($I9827&lt;=1,2,0))</f>
        <v>2</v>
      </c>
      <c r="K9827">
        <v>5</v>
      </c>
      <c r="L9827">
        <f>IF(AND($J9827=0,$K9827=0),0,1)</f>
        <v>1</v>
      </c>
    </row>
    <row r="9828" spans="1:12" x14ac:dyDescent="0.2">
      <c r="A9828" t="s">
        <v>587</v>
      </c>
      <c r="B9828" t="s">
        <v>17</v>
      </c>
      <c r="C9828" t="s">
        <v>11</v>
      </c>
      <c r="D9828">
        <v>9001</v>
      </c>
      <c r="E9828">
        <v>2019</v>
      </c>
      <c r="F9828">
        <v>4</v>
      </c>
      <c r="G9828">
        <v>45412</v>
      </c>
      <c r="H9828" s="1" t="s">
        <v>1835</v>
      </c>
      <c r="I9828">
        <v>0</v>
      </c>
      <c r="J9828">
        <f>IF($H9828=0,1,IF($I9828&lt;=1,2,0))</f>
        <v>2</v>
      </c>
      <c r="K9828">
        <v>5</v>
      </c>
      <c r="L9828">
        <f>IF(AND($J9828=0,$K9828=0),0,1)</f>
        <v>1</v>
      </c>
    </row>
    <row r="9829" spans="1:12" x14ac:dyDescent="0.2">
      <c r="A9829" t="s">
        <v>587</v>
      </c>
      <c r="B9829" t="s">
        <v>17</v>
      </c>
      <c r="C9829" t="s">
        <v>11</v>
      </c>
      <c r="D9829">
        <v>9001</v>
      </c>
      <c r="E9829">
        <v>2019</v>
      </c>
      <c r="F9829">
        <v>5</v>
      </c>
      <c r="G9829">
        <v>45413</v>
      </c>
      <c r="H9829" s="1" t="s">
        <v>1835</v>
      </c>
      <c r="I9829">
        <v>0</v>
      </c>
      <c r="J9829">
        <f>IF($H9829=0,1,IF($I9829&lt;=1,2,0))</f>
        <v>2</v>
      </c>
      <c r="K9829">
        <v>5</v>
      </c>
      <c r="L9829">
        <f>IF(AND($J9829=0,$K9829=0),0,1)</f>
        <v>1</v>
      </c>
    </row>
    <row r="9830" spans="1:12" x14ac:dyDescent="0.2">
      <c r="A9830" t="s">
        <v>587</v>
      </c>
      <c r="B9830" t="s">
        <v>17</v>
      </c>
      <c r="C9830" t="s">
        <v>11</v>
      </c>
      <c r="D9830">
        <v>9001</v>
      </c>
      <c r="E9830">
        <v>2019</v>
      </c>
      <c r="F9830">
        <v>7</v>
      </c>
      <c r="G9830">
        <v>45415</v>
      </c>
      <c r="H9830" s="1" t="s">
        <v>1835</v>
      </c>
      <c r="I9830">
        <v>0</v>
      </c>
      <c r="J9830">
        <f>IF($H9830=0,1,IF($I9830&lt;=1,2,0))</f>
        <v>2</v>
      </c>
      <c r="K9830">
        <v>5</v>
      </c>
      <c r="L9830">
        <f>IF(AND($J9830=0,$K9830=0),0,1)</f>
        <v>1</v>
      </c>
    </row>
    <row r="9831" spans="1:12" x14ac:dyDescent="0.2">
      <c r="A9831" t="s">
        <v>587</v>
      </c>
      <c r="B9831" t="s">
        <v>17</v>
      </c>
      <c r="C9831" t="s">
        <v>11</v>
      </c>
      <c r="D9831">
        <v>9001</v>
      </c>
      <c r="E9831">
        <v>2019</v>
      </c>
      <c r="F9831">
        <v>8</v>
      </c>
      <c r="G9831">
        <v>45416</v>
      </c>
      <c r="H9831" s="1" t="s">
        <v>1835</v>
      </c>
      <c r="I9831">
        <v>0</v>
      </c>
      <c r="J9831">
        <f>IF($H9831=0,1,IF($I9831&lt;=1,2,0))</f>
        <v>2</v>
      </c>
      <c r="K9831">
        <v>5</v>
      </c>
      <c r="L9831">
        <f>IF(AND($J9831=0,$K9831=0),0,1)</f>
        <v>1</v>
      </c>
    </row>
    <row r="9832" spans="1:12" x14ac:dyDescent="0.2">
      <c r="A9832" t="s">
        <v>587</v>
      </c>
      <c r="B9832" t="s">
        <v>17</v>
      </c>
      <c r="C9832" t="s">
        <v>11</v>
      </c>
      <c r="D9832">
        <v>9001</v>
      </c>
      <c r="E9832">
        <v>2019</v>
      </c>
      <c r="F9832">
        <v>10</v>
      </c>
      <c r="G9832">
        <v>45418</v>
      </c>
      <c r="H9832" s="1" t="s">
        <v>1835</v>
      </c>
      <c r="I9832">
        <v>0</v>
      </c>
      <c r="J9832">
        <f>IF($H9832=0,1,IF($I9832&lt;=1,2,0))</f>
        <v>2</v>
      </c>
      <c r="K9832">
        <v>5</v>
      </c>
      <c r="L9832">
        <f>IF(AND($J9832=0,$K9832=0),0,1)</f>
        <v>1</v>
      </c>
    </row>
    <row r="9833" spans="1:12" x14ac:dyDescent="0.2">
      <c r="A9833" t="s">
        <v>587</v>
      </c>
      <c r="B9833" t="s">
        <v>17</v>
      </c>
      <c r="C9833" t="s">
        <v>11</v>
      </c>
      <c r="D9833">
        <v>9001</v>
      </c>
      <c r="E9833">
        <v>2019</v>
      </c>
      <c r="F9833">
        <v>11</v>
      </c>
      <c r="G9833">
        <v>45419</v>
      </c>
      <c r="H9833" s="1" t="s">
        <v>1835</v>
      </c>
      <c r="I9833">
        <v>0</v>
      </c>
      <c r="J9833">
        <f>IF($H9833=0,1,IF($I9833&lt;=1,2,0))</f>
        <v>2</v>
      </c>
      <c r="K9833">
        <v>5</v>
      </c>
      <c r="L9833">
        <f>IF(AND($J9833=0,$K9833=0),0,1)</f>
        <v>1</v>
      </c>
    </row>
    <row r="9834" spans="1:12" x14ac:dyDescent="0.2">
      <c r="A9834" t="s">
        <v>587</v>
      </c>
      <c r="B9834" t="s">
        <v>17</v>
      </c>
      <c r="C9834" t="s">
        <v>11</v>
      </c>
      <c r="D9834">
        <v>9001</v>
      </c>
      <c r="E9834">
        <v>2019</v>
      </c>
      <c r="F9834">
        <v>12</v>
      </c>
      <c r="G9834">
        <v>45420</v>
      </c>
      <c r="H9834" s="1" t="s">
        <v>1835</v>
      </c>
      <c r="I9834">
        <v>0</v>
      </c>
      <c r="J9834">
        <f>IF($H9834=0,1,IF($I9834&lt;=1,2,0))</f>
        <v>2</v>
      </c>
      <c r="K9834">
        <v>5</v>
      </c>
      <c r="L9834">
        <f>IF(AND($J9834=0,$K9834=0),0,1)</f>
        <v>1</v>
      </c>
    </row>
    <row r="9835" spans="1:12" x14ac:dyDescent="0.2">
      <c r="A9835" t="s">
        <v>587</v>
      </c>
      <c r="B9835" t="s">
        <v>17</v>
      </c>
      <c r="C9835" t="s">
        <v>11</v>
      </c>
      <c r="D9835">
        <v>9001</v>
      </c>
      <c r="E9835">
        <v>2019</v>
      </c>
      <c r="F9835">
        <v>14</v>
      </c>
      <c r="G9835">
        <v>45422</v>
      </c>
      <c r="H9835" s="1" t="s">
        <v>1835</v>
      </c>
      <c r="I9835">
        <v>0</v>
      </c>
      <c r="J9835">
        <f>IF($H9835=0,1,IF($I9835&lt;=1,2,0))</f>
        <v>2</v>
      </c>
      <c r="K9835">
        <v>5</v>
      </c>
      <c r="L9835">
        <f>IF(AND($J9835=0,$K9835=0),0,1)</f>
        <v>1</v>
      </c>
    </row>
    <row r="9836" spans="1:12" x14ac:dyDescent="0.2">
      <c r="A9836" t="s">
        <v>587</v>
      </c>
      <c r="B9836" t="s">
        <v>17</v>
      </c>
      <c r="C9836" t="s">
        <v>11</v>
      </c>
      <c r="D9836">
        <v>9001</v>
      </c>
      <c r="E9836">
        <v>2019</v>
      </c>
      <c r="F9836">
        <v>15</v>
      </c>
      <c r="G9836">
        <v>45423</v>
      </c>
      <c r="H9836" s="1" t="s">
        <v>1835</v>
      </c>
      <c r="I9836">
        <v>0</v>
      </c>
      <c r="J9836">
        <f>IF($H9836=0,1,IF($I9836&lt;=1,2,0))</f>
        <v>2</v>
      </c>
      <c r="K9836">
        <v>5</v>
      </c>
      <c r="L9836">
        <f>IF(AND($J9836=0,$K9836=0),0,1)</f>
        <v>1</v>
      </c>
    </row>
    <row r="9837" spans="1:12" x14ac:dyDescent="0.2">
      <c r="A9837" t="s">
        <v>587</v>
      </c>
      <c r="B9837" t="s">
        <v>17</v>
      </c>
      <c r="C9837" t="s">
        <v>11</v>
      </c>
      <c r="D9837">
        <v>9001</v>
      </c>
      <c r="E9837">
        <v>2019</v>
      </c>
      <c r="F9837">
        <v>18</v>
      </c>
      <c r="G9837">
        <v>45426</v>
      </c>
      <c r="H9837" s="1" t="s">
        <v>1835</v>
      </c>
      <c r="I9837">
        <v>0</v>
      </c>
      <c r="J9837">
        <f>IF($H9837=0,1,IF($I9837&lt;=1,2,0))</f>
        <v>2</v>
      </c>
      <c r="K9837">
        <v>5</v>
      </c>
      <c r="L9837">
        <f>IF(AND($J9837=0,$K9837=0),0,1)</f>
        <v>1</v>
      </c>
    </row>
    <row r="9838" spans="1:12" x14ac:dyDescent="0.2">
      <c r="A9838" t="s">
        <v>587</v>
      </c>
      <c r="B9838" t="s">
        <v>17</v>
      </c>
      <c r="C9838" t="s">
        <v>11</v>
      </c>
      <c r="D9838">
        <v>9001</v>
      </c>
      <c r="E9838">
        <v>2019</v>
      </c>
      <c r="F9838">
        <v>21</v>
      </c>
      <c r="G9838">
        <v>45429</v>
      </c>
      <c r="H9838" s="1" t="s">
        <v>1835</v>
      </c>
      <c r="I9838">
        <v>0</v>
      </c>
      <c r="J9838">
        <f>IF($H9838=0,1,IF($I9838&lt;=1,2,0))</f>
        <v>2</v>
      </c>
      <c r="K9838">
        <v>5</v>
      </c>
      <c r="L9838">
        <f>IF(AND($J9838=0,$K9838=0),0,1)</f>
        <v>1</v>
      </c>
    </row>
    <row r="9839" spans="1:12" x14ac:dyDescent="0.2">
      <c r="A9839" t="s">
        <v>587</v>
      </c>
      <c r="B9839" t="s">
        <v>17</v>
      </c>
      <c r="C9839" t="s">
        <v>11</v>
      </c>
      <c r="D9839">
        <v>9003</v>
      </c>
      <c r="E9839">
        <v>2019</v>
      </c>
      <c r="F9839">
        <v>8</v>
      </c>
      <c r="G9839">
        <v>45443</v>
      </c>
      <c r="H9839" s="1" t="s">
        <v>1835</v>
      </c>
      <c r="I9839">
        <v>2</v>
      </c>
      <c r="J9839">
        <f>IF($H9839=0,1,IF($I9839&lt;=1,2,0))</f>
        <v>0</v>
      </c>
      <c r="K9839">
        <v>5</v>
      </c>
      <c r="L9839">
        <f>IF(AND($J9839=0,$K9839=0),0,1)</f>
        <v>1</v>
      </c>
    </row>
    <row r="9840" spans="1:12" x14ac:dyDescent="0.2">
      <c r="A9840" t="s">
        <v>587</v>
      </c>
      <c r="B9840" t="s">
        <v>17</v>
      </c>
      <c r="C9840" t="s">
        <v>11</v>
      </c>
      <c r="D9840">
        <v>9003</v>
      </c>
      <c r="E9840">
        <v>2019</v>
      </c>
      <c r="F9840">
        <v>2</v>
      </c>
      <c r="G9840">
        <v>45437</v>
      </c>
      <c r="H9840" s="1" t="s">
        <v>1835</v>
      </c>
      <c r="I9840">
        <v>0</v>
      </c>
      <c r="J9840">
        <f>IF($H9840=0,1,IF($I9840&lt;=1,2,0))</f>
        <v>2</v>
      </c>
      <c r="K9840">
        <v>5</v>
      </c>
      <c r="L9840">
        <f>IF(AND($J9840=0,$K9840=0),0,1)</f>
        <v>1</v>
      </c>
    </row>
    <row r="9841" spans="1:12" x14ac:dyDescent="0.2">
      <c r="A9841" t="s">
        <v>587</v>
      </c>
      <c r="B9841" t="s">
        <v>17</v>
      </c>
      <c r="C9841" t="s">
        <v>11</v>
      </c>
      <c r="D9841">
        <v>9003</v>
      </c>
      <c r="E9841">
        <v>2019</v>
      </c>
      <c r="F9841">
        <v>3</v>
      </c>
      <c r="G9841">
        <v>45438</v>
      </c>
      <c r="H9841" s="1" t="s">
        <v>1835</v>
      </c>
      <c r="I9841">
        <v>0</v>
      </c>
      <c r="J9841">
        <f>IF($H9841=0,1,IF($I9841&lt;=1,2,0))</f>
        <v>2</v>
      </c>
      <c r="K9841">
        <v>5</v>
      </c>
      <c r="L9841">
        <f>IF(AND($J9841=0,$K9841=0),0,1)</f>
        <v>1</v>
      </c>
    </row>
    <row r="9842" spans="1:12" x14ac:dyDescent="0.2">
      <c r="A9842" t="s">
        <v>587</v>
      </c>
      <c r="B9842" t="s">
        <v>17</v>
      </c>
      <c r="C9842" t="s">
        <v>11</v>
      </c>
      <c r="D9842">
        <v>9003</v>
      </c>
      <c r="E9842">
        <v>2019</v>
      </c>
      <c r="F9842">
        <v>4</v>
      </c>
      <c r="G9842">
        <v>45439</v>
      </c>
      <c r="H9842" s="1" t="s">
        <v>1835</v>
      </c>
      <c r="I9842">
        <v>0</v>
      </c>
      <c r="J9842">
        <f>IF($H9842=0,1,IF($I9842&lt;=1,2,0))</f>
        <v>2</v>
      </c>
      <c r="K9842">
        <v>5</v>
      </c>
      <c r="L9842">
        <f>IF(AND($J9842=0,$K9842=0),0,1)</f>
        <v>1</v>
      </c>
    </row>
    <row r="9843" spans="1:12" x14ac:dyDescent="0.2">
      <c r="A9843" t="s">
        <v>587</v>
      </c>
      <c r="B9843" t="s">
        <v>17</v>
      </c>
      <c r="C9843" t="s">
        <v>11</v>
      </c>
      <c r="D9843">
        <v>9003</v>
      </c>
      <c r="E9843">
        <v>2019</v>
      </c>
      <c r="F9843">
        <v>5</v>
      </c>
      <c r="G9843">
        <v>45440</v>
      </c>
      <c r="H9843" s="1" t="s">
        <v>1835</v>
      </c>
      <c r="I9843">
        <v>0</v>
      </c>
      <c r="J9843">
        <f>IF($H9843=0,1,IF($I9843&lt;=1,2,0))</f>
        <v>2</v>
      </c>
      <c r="K9843">
        <v>5</v>
      </c>
      <c r="L9843">
        <f>IF(AND($J9843=0,$K9843=0),0,1)</f>
        <v>1</v>
      </c>
    </row>
    <row r="9844" spans="1:12" x14ac:dyDescent="0.2">
      <c r="A9844" t="s">
        <v>587</v>
      </c>
      <c r="B9844" t="s">
        <v>17</v>
      </c>
      <c r="C9844" t="s">
        <v>11</v>
      </c>
      <c r="D9844">
        <v>9003</v>
      </c>
      <c r="E9844">
        <v>2019</v>
      </c>
      <c r="F9844">
        <v>7</v>
      </c>
      <c r="G9844">
        <v>45442</v>
      </c>
      <c r="H9844" s="1" t="s">
        <v>1835</v>
      </c>
      <c r="I9844">
        <v>0</v>
      </c>
      <c r="J9844">
        <f>IF($H9844=0,1,IF($I9844&lt;=1,2,0))</f>
        <v>2</v>
      </c>
      <c r="K9844">
        <v>5</v>
      </c>
      <c r="L9844">
        <f>IF(AND($J9844=0,$K9844=0),0,1)</f>
        <v>1</v>
      </c>
    </row>
    <row r="9845" spans="1:12" x14ac:dyDescent="0.2">
      <c r="A9845" t="s">
        <v>587</v>
      </c>
      <c r="B9845" t="s">
        <v>17</v>
      </c>
      <c r="C9845" t="s">
        <v>11</v>
      </c>
      <c r="D9845">
        <v>9003</v>
      </c>
      <c r="E9845">
        <v>2019</v>
      </c>
      <c r="F9845">
        <v>9</v>
      </c>
      <c r="G9845">
        <v>45444</v>
      </c>
      <c r="H9845" s="1" t="s">
        <v>1835</v>
      </c>
      <c r="I9845">
        <v>0</v>
      </c>
      <c r="J9845">
        <f>IF($H9845=0,1,IF($I9845&lt;=1,2,0))</f>
        <v>2</v>
      </c>
      <c r="K9845">
        <v>5</v>
      </c>
      <c r="L9845">
        <f>IF(AND($J9845=0,$K9845=0),0,1)</f>
        <v>1</v>
      </c>
    </row>
    <row r="9846" spans="1:12" x14ac:dyDescent="0.2">
      <c r="A9846" t="s">
        <v>587</v>
      </c>
      <c r="B9846" t="s">
        <v>17</v>
      </c>
      <c r="C9846" t="s">
        <v>11</v>
      </c>
      <c r="D9846">
        <v>9003</v>
      </c>
      <c r="E9846">
        <v>2019</v>
      </c>
      <c r="F9846">
        <v>10</v>
      </c>
      <c r="G9846">
        <v>45445</v>
      </c>
      <c r="H9846" s="1" t="s">
        <v>1835</v>
      </c>
      <c r="I9846">
        <v>0</v>
      </c>
      <c r="J9846">
        <f>IF($H9846=0,1,IF($I9846&lt;=1,2,0))</f>
        <v>2</v>
      </c>
      <c r="K9846">
        <v>5</v>
      </c>
      <c r="L9846">
        <f>IF(AND($J9846=0,$K9846=0),0,1)</f>
        <v>1</v>
      </c>
    </row>
    <row r="9847" spans="1:12" x14ac:dyDescent="0.2">
      <c r="A9847" t="s">
        <v>587</v>
      </c>
      <c r="B9847" t="s">
        <v>17</v>
      </c>
      <c r="C9847" t="s">
        <v>11</v>
      </c>
      <c r="D9847">
        <v>9003</v>
      </c>
      <c r="E9847">
        <v>2019</v>
      </c>
      <c r="F9847">
        <v>11</v>
      </c>
      <c r="G9847">
        <v>45446</v>
      </c>
      <c r="H9847" s="1" t="s">
        <v>1835</v>
      </c>
      <c r="I9847">
        <v>0</v>
      </c>
      <c r="J9847">
        <f>IF($H9847=0,1,IF($I9847&lt;=1,2,0))</f>
        <v>2</v>
      </c>
      <c r="K9847">
        <v>5</v>
      </c>
      <c r="L9847">
        <f>IF(AND($J9847=0,$K9847=0),0,1)</f>
        <v>1</v>
      </c>
    </row>
    <row r="9848" spans="1:12" x14ac:dyDescent="0.2">
      <c r="A9848" t="s">
        <v>587</v>
      </c>
      <c r="B9848" t="s">
        <v>17</v>
      </c>
      <c r="C9848" t="s">
        <v>11</v>
      </c>
      <c r="D9848">
        <v>9003</v>
      </c>
      <c r="E9848">
        <v>2019</v>
      </c>
      <c r="F9848">
        <v>12</v>
      </c>
      <c r="G9848">
        <v>45447</v>
      </c>
      <c r="H9848" s="1" t="s">
        <v>1835</v>
      </c>
      <c r="I9848">
        <v>0</v>
      </c>
      <c r="J9848">
        <f>IF($H9848=0,1,IF($I9848&lt;=1,2,0))</f>
        <v>2</v>
      </c>
      <c r="K9848">
        <v>5</v>
      </c>
      <c r="L9848">
        <f>IF(AND($J9848=0,$K9848=0),0,1)</f>
        <v>1</v>
      </c>
    </row>
    <row r="9849" spans="1:12" x14ac:dyDescent="0.2">
      <c r="A9849" t="s">
        <v>587</v>
      </c>
      <c r="B9849" t="s">
        <v>17</v>
      </c>
      <c r="C9849" t="s">
        <v>11</v>
      </c>
      <c r="D9849">
        <v>9003</v>
      </c>
      <c r="E9849">
        <v>2019</v>
      </c>
      <c r="F9849">
        <v>14</v>
      </c>
      <c r="G9849">
        <v>45449</v>
      </c>
      <c r="H9849" s="1" t="s">
        <v>1835</v>
      </c>
      <c r="I9849">
        <v>0</v>
      </c>
      <c r="J9849">
        <f>IF($H9849=0,1,IF($I9849&lt;=1,2,0))</f>
        <v>2</v>
      </c>
      <c r="K9849">
        <v>5</v>
      </c>
      <c r="L9849">
        <f>IF(AND($J9849=0,$K9849=0),0,1)</f>
        <v>1</v>
      </c>
    </row>
    <row r="9850" spans="1:12" x14ac:dyDescent="0.2">
      <c r="A9850" t="s">
        <v>587</v>
      </c>
      <c r="B9850" t="s">
        <v>17</v>
      </c>
      <c r="C9850" t="s">
        <v>11</v>
      </c>
      <c r="D9850">
        <v>9003</v>
      </c>
      <c r="E9850">
        <v>2019</v>
      </c>
      <c r="F9850">
        <v>15</v>
      </c>
      <c r="G9850">
        <v>45450</v>
      </c>
      <c r="H9850" s="1" t="s">
        <v>1835</v>
      </c>
      <c r="I9850">
        <v>0</v>
      </c>
      <c r="J9850">
        <f>IF($H9850=0,1,IF($I9850&lt;=1,2,0))</f>
        <v>2</v>
      </c>
      <c r="K9850">
        <v>5</v>
      </c>
      <c r="L9850">
        <f>IF(AND($J9850=0,$K9850=0),0,1)</f>
        <v>1</v>
      </c>
    </row>
    <row r="9851" spans="1:12" x14ac:dyDescent="0.2">
      <c r="A9851" t="s">
        <v>587</v>
      </c>
      <c r="B9851" t="s">
        <v>17</v>
      </c>
      <c r="C9851" t="s">
        <v>11</v>
      </c>
      <c r="D9851">
        <v>9003</v>
      </c>
      <c r="E9851">
        <v>2019</v>
      </c>
      <c r="F9851">
        <v>16</v>
      </c>
      <c r="G9851">
        <v>45451</v>
      </c>
      <c r="H9851" s="1" t="s">
        <v>1835</v>
      </c>
      <c r="I9851">
        <v>0</v>
      </c>
      <c r="J9851">
        <f>IF($H9851=0,1,IF($I9851&lt;=1,2,0))</f>
        <v>2</v>
      </c>
      <c r="K9851">
        <v>5</v>
      </c>
      <c r="L9851">
        <f>IF(AND($J9851=0,$K9851=0),0,1)</f>
        <v>1</v>
      </c>
    </row>
    <row r="9852" spans="1:12" x14ac:dyDescent="0.2">
      <c r="A9852" t="s">
        <v>587</v>
      </c>
      <c r="B9852" t="s">
        <v>17</v>
      </c>
      <c r="C9852" t="s">
        <v>11</v>
      </c>
      <c r="D9852">
        <v>9003</v>
      </c>
      <c r="E9852">
        <v>2019</v>
      </c>
      <c r="F9852">
        <v>17</v>
      </c>
      <c r="G9852">
        <v>45452</v>
      </c>
      <c r="H9852" s="1" t="s">
        <v>1835</v>
      </c>
      <c r="I9852">
        <v>0</v>
      </c>
      <c r="J9852">
        <f>IF($H9852=0,1,IF($I9852&lt;=1,2,0))</f>
        <v>2</v>
      </c>
      <c r="K9852">
        <v>5</v>
      </c>
      <c r="L9852">
        <f>IF(AND($J9852=0,$K9852=0),0,1)</f>
        <v>1</v>
      </c>
    </row>
    <row r="9853" spans="1:12" x14ac:dyDescent="0.2">
      <c r="A9853" t="s">
        <v>587</v>
      </c>
      <c r="B9853" t="s">
        <v>17</v>
      </c>
      <c r="C9853" t="s">
        <v>11</v>
      </c>
      <c r="D9853">
        <v>9003</v>
      </c>
      <c r="E9853">
        <v>2019</v>
      </c>
      <c r="F9853">
        <v>18</v>
      </c>
      <c r="G9853">
        <v>45453</v>
      </c>
      <c r="H9853" s="1" t="s">
        <v>1835</v>
      </c>
      <c r="I9853">
        <v>0</v>
      </c>
      <c r="J9853">
        <f>IF($H9853=0,1,IF($I9853&lt;=1,2,0))</f>
        <v>2</v>
      </c>
      <c r="K9853">
        <v>5</v>
      </c>
      <c r="L9853">
        <f>IF(AND($J9853=0,$K9853=0),0,1)</f>
        <v>1</v>
      </c>
    </row>
    <row r="9854" spans="1:12" x14ac:dyDescent="0.2">
      <c r="A9854" t="s">
        <v>587</v>
      </c>
      <c r="B9854" t="s">
        <v>17</v>
      </c>
      <c r="C9854" t="s">
        <v>11</v>
      </c>
      <c r="D9854">
        <v>9003</v>
      </c>
      <c r="E9854">
        <v>2019</v>
      </c>
      <c r="F9854">
        <v>21</v>
      </c>
      <c r="G9854">
        <v>45456</v>
      </c>
      <c r="H9854" s="1" t="s">
        <v>1835</v>
      </c>
      <c r="I9854">
        <v>0</v>
      </c>
      <c r="J9854">
        <f>IF($H9854=0,1,IF($I9854&lt;=1,2,0))</f>
        <v>2</v>
      </c>
      <c r="K9854">
        <v>5</v>
      </c>
      <c r="L9854">
        <f>IF(AND($J9854=0,$K9854=0),0,1)</f>
        <v>1</v>
      </c>
    </row>
    <row r="9855" spans="1:12" x14ac:dyDescent="0.2">
      <c r="A9855" t="s">
        <v>587</v>
      </c>
      <c r="B9855" t="s">
        <v>17</v>
      </c>
      <c r="C9855" t="s">
        <v>11</v>
      </c>
      <c r="D9855">
        <v>9003</v>
      </c>
      <c r="E9855">
        <v>2019</v>
      </c>
      <c r="F9855">
        <v>22</v>
      </c>
      <c r="G9855">
        <v>45457</v>
      </c>
      <c r="H9855" s="1" t="s">
        <v>1835</v>
      </c>
      <c r="I9855">
        <v>0</v>
      </c>
      <c r="J9855">
        <f>IF($H9855=0,1,IF($I9855&lt;=1,2,0))</f>
        <v>2</v>
      </c>
      <c r="K9855">
        <v>5</v>
      </c>
      <c r="L9855">
        <f>IF(AND($J9855=0,$K9855=0),0,1)</f>
        <v>1</v>
      </c>
    </row>
    <row r="9856" spans="1:12" x14ac:dyDescent="0.2">
      <c r="A9856" t="s">
        <v>587</v>
      </c>
      <c r="B9856" t="s">
        <v>17</v>
      </c>
      <c r="C9856" t="s">
        <v>11</v>
      </c>
      <c r="D9856">
        <v>9003</v>
      </c>
      <c r="E9856">
        <v>2019</v>
      </c>
      <c r="F9856">
        <v>26</v>
      </c>
      <c r="G9856">
        <v>45461</v>
      </c>
      <c r="H9856" s="1" t="s">
        <v>1835</v>
      </c>
      <c r="I9856">
        <v>0</v>
      </c>
      <c r="J9856">
        <f>IF($H9856=0,1,IF($I9856&lt;=1,2,0))</f>
        <v>2</v>
      </c>
      <c r="K9856">
        <v>5</v>
      </c>
      <c r="L9856">
        <f>IF(AND($J9856=0,$K9856=0),0,1)</f>
        <v>1</v>
      </c>
    </row>
    <row r="9857" spans="1:12" x14ac:dyDescent="0.2">
      <c r="A9857" t="s">
        <v>587</v>
      </c>
      <c r="B9857" t="s">
        <v>17</v>
      </c>
      <c r="C9857" t="s">
        <v>11</v>
      </c>
      <c r="D9857">
        <v>9121</v>
      </c>
      <c r="E9857">
        <v>2019</v>
      </c>
      <c r="F9857">
        <v>2</v>
      </c>
      <c r="G9857">
        <v>45530</v>
      </c>
      <c r="H9857" s="1">
        <v>3</v>
      </c>
      <c r="I9857">
        <v>17</v>
      </c>
      <c r="J9857">
        <f>IF($H9857=0,1,IF($I9857&lt;=1,2,0))</f>
        <v>0</v>
      </c>
      <c r="K9857">
        <v>5</v>
      </c>
      <c r="L9857">
        <f>IF(AND($J9857=0,$K9857=0),0,1)</f>
        <v>1</v>
      </c>
    </row>
    <row r="9858" spans="1:12" x14ac:dyDescent="0.2">
      <c r="A9858" t="s">
        <v>587</v>
      </c>
      <c r="B9858" t="s">
        <v>17</v>
      </c>
      <c r="C9858" t="s">
        <v>11</v>
      </c>
      <c r="D9858">
        <v>9356</v>
      </c>
      <c r="E9858">
        <v>2019</v>
      </c>
      <c r="F9858">
        <v>1</v>
      </c>
      <c r="G9858">
        <v>45523</v>
      </c>
      <c r="H9858" s="1">
        <v>3</v>
      </c>
      <c r="I9858">
        <v>18</v>
      </c>
      <c r="J9858">
        <f>IF($H9858=0,1,IF($I9858&lt;=1,2,0))</f>
        <v>0</v>
      </c>
      <c r="K9858">
        <v>5</v>
      </c>
      <c r="L9858">
        <f>IF(AND($J9858=0,$K9858=0),0,1)</f>
        <v>1</v>
      </c>
    </row>
    <row r="9859" spans="1:12" x14ac:dyDescent="0.2">
      <c r="A9859" t="s">
        <v>587</v>
      </c>
      <c r="B9859" t="s">
        <v>17</v>
      </c>
      <c r="C9859" t="s">
        <v>11</v>
      </c>
      <c r="D9859">
        <v>9515</v>
      </c>
      <c r="E9859">
        <v>2019</v>
      </c>
      <c r="F9859">
        <v>2</v>
      </c>
      <c r="G9859">
        <v>45531</v>
      </c>
      <c r="H9859" s="1" t="s">
        <v>1835</v>
      </c>
      <c r="I9859">
        <v>14</v>
      </c>
      <c r="J9859">
        <f>IF($H9859=0,1,IF($I9859&lt;=1,2,0))</f>
        <v>0</v>
      </c>
      <c r="K9859">
        <v>5</v>
      </c>
      <c r="L9859">
        <f>IF(AND($J9859=0,$K9859=0),0,1)</f>
        <v>1</v>
      </c>
    </row>
    <row r="9860" spans="1:12" x14ac:dyDescent="0.2">
      <c r="A9860" t="s">
        <v>587</v>
      </c>
      <c r="B9860" t="s">
        <v>17</v>
      </c>
      <c r="C9860" t="s">
        <v>11</v>
      </c>
      <c r="D9860">
        <v>9521</v>
      </c>
      <c r="E9860">
        <v>2019</v>
      </c>
      <c r="F9860">
        <v>1</v>
      </c>
      <c r="G9860">
        <v>45524</v>
      </c>
      <c r="H9860" s="1">
        <v>3</v>
      </c>
      <c r="I9860">
        <v>7</v>
      </c>
      <c r="J9860">
        <f>IF($H9860=0,1,IF($I9860&lt;=1,2,0))</f>
        <v>0</v>
      </c>
      <c r="K9860">
        <v>5</v>
      </c>
      <c r="L9860">
        <f>IF(AND($J9860=0,$K9860=0),0,1)</f>
        <v>1</v>
      </c>
    </row>
    <row r="9861" spans="1:12" x14ac:dyDescent="0.2">
      <c r="A9861" t="s">
        <v>587</v>
      </c>
      <c r="B9861" t="s">
        <v>17</v>
      </c>
      <c r="C9861" t="s">
        <v>11</v>
      </c>
      <c r="D9861">
        <v>9646</v>
      </c>
      <c r="E9861">
        <v>2019</v>
      </c>
      <c r="F9861">
        <v>1</v>
      </c>
      <c r="G9861">
        <v>16450</v>
      </c>
      <c r="H9861" s="1">
        <v>3</v>
      </c>
      <c r="I9861">
        <v>15</v>
      </c>
      <c r="J9861">
        <f>IF($H9861=0,1,IF($I9861&lt;=1,2,0))</f>
        <v>0</v>
      </c>
      <c r="K9861">
        <v>5</v>
      </c>
      <c r="L9861">
        <f>IF(AND($J9861=0,$K9861=0),0,1)</f>
        <v>1</v>
      </c>
    </row>
    <row r="9862" spans="1:12" x14ac:dyDescent="0.2">
      <c r="A9862" t="s">
        <v>587</v>
      </c>
      <c r="B9862" t="s">
        <v>17</v>
      </c>
      <c r="C9862" t="s">
        <v>11</v>
      </c>
      <c r="D9862">
        <v>9703</v>
      </c>
      <c r="E9862">
        <v>2019</v>
      </c>
      <c r="F9862">
        <v>1</v>
      </c>
      <c r="G9862">
        <v>45526</v>
      </c>
      <c r="H9862" s="1">
        <v>3</v>
      </c>
      <c r="I9862">
        <v>19</v>
      </c>
      <c r="J9862">
        <f>IF($H9862=0,1,IF($I9862&lt;=1,2,0))</f>
        <v>0</v>
      </c>
      <c r="K9862">
        <v>5</v>
      </c>
      <c r="L9862">
        <f>IF(AND($J9862=0,$K9862=0),0,1)</f>
        <v>1</v>
      </c>
    </row>
    <row r="9863" spans="1:12" x14ac:dyDescent="0.2">
      <c r="A9863" t="s">
        <v>587</v>
      </c>
      <c r="B9863" t="s">
        <v>17</v>
      </c>
      <c r="C9863" t="s">
        <v>11</v>
      </c>
      <c r="D9863">
        <v>9990</v>
      </c>
      <c r="E9863">
        <v>2019</v>
      </c>
      <c r="F9863">
        <v>1</v>
      </c>
      <c r="G9863">
        <v>45392</v>
      </c>
      <c r="H9863" s="1">
        <v>3</v>
      </c>
      <c r="I9863">
        <v>0</v>
      </c>
      <c r="J9863">
        <f>IF($H9863=0,1,IF($I9863&lt;=1,2,0))</f>
        <v>2</v>
      </c>
      <c r="K9863">
        <v>5</v>
      </c>
      <c r="L9863">
        <f>IF(AND($J9863=0,$K9863=0),0,1)</f>
        <v>1</v>
      </c>
    </row>
    <row r="9864" spans="1:12" x14ac:dyDescent="0.2">
      <c r="A9864" t="s">
        <v>589</v>
      </c>
      <c r="B9864" t="s">
        <v>133</v>
      </c>
      <c r="C9864" t="s">
        <v>9</v>
      </c>
      <c r="D9864">
        <v>1203</v>
      </c>
      <c r="E9864">
        <v>2019</v>
      </c>
      <c r="F9864">
        <v>1</v>
      </c>
      <c r="G9864">
        <v>46967</v>
      </c>
      <c r="H9864" s="1">
        <v>0</v>
      </c>
      <c r="I9864">
        <v>24</v>
      </c>
      <c r="J9864">
        <f>IF($H9864=0,1,IF($I9864&lt;=1,2,0))</f>
        <v>1</v>
      </c>
      <c r="K9864">
        <v>0</v>
      </c>
      <c r="L9864">
        <f>IF(AND($J9864=0,$K9864=0),0,1)</f>
        <v>1</v>
      </c>
    </row>
    <row r="9865" spans="1:12" x14ac:dyDescent="0.2">
      <c r="A9865" t="s">
        <v>589</v>
      </c>
      <c r="B9865" t="s">
        <v>133</v>
      </c>
      <c r="C9865" t="s">
        <v>9</v>
      </c>
      <c r="D9865">
        <v>1203</v>
      </c>
      <c r="E9865">
        <v>2019</v>
      </c>
      <c r="F9865">
        <v>7</v>
      </c>
      <c r="G9865">
        <v>46973</v>
      </c>
      <c r="H9865" s="1">
        <v>0</v>
      </c>
      <c r="I9865">
        <v>23</v>
      </c>
      <c r="J9865">
        <f>IF($H9865=0,1,IF($I9865&lt;=1,2,0))</f>
        <v>1</v>
      </c>
      <c r="K9865">
        <v>0</v>
      </c>
      <c r="L9865">
        <f>IF(AND($J9865=0,$K9865=0),0,1)</f>
        <v>1</v>
      </c>
    </row>
    <row r="9866" spans="1:12" x14ac:dyDescent="0.2">
      <c r="A9866" t="s">
        <v>589</v>
      </c>
      <c r="B9866" t="s">
        <v>133</v>
      </c>
      <c r="C9866" t="s">
        <v>9</v>
      </c>
      <c r="D9866">
        <v>1203</v>
      </c>
      <c r="E9866">
        <v>2019</v>
      </c>
      <c r="F9866">
        <v>2</v>
      </c>
      <c r="G9866">
        <v>46968</v>
      </c>
      <c r="H9866" s="1">
        <v>0</v>
      </c>
      <c r="I9866">
        <v>22</v>
      </c>
      <c r="J9866">
        <f>IF($H9866=0,1,IF($I9866&lt;=1,2,0))</f>
        <v>1</v>
      </c>
      <c r="K9866">
        <v>0</v>
      </c>
      <c r="L9866">
        <f>IF(AND($J9866=0,$K9866=0),0,1)</f>
        <v>1</v>
      </c>
    </row>
    <row r="9867" spans="1:12" x14ac:dyDescent="0.2">
      <c r="A9867" t="s">
        <v>589</v>
      </c>
      <c r="B9867" t="s">
        <v>133</v>
      </c>
      <c r="C9867" t="s">
        <v>9</v>
      </c>
      <c r="D9867">
        <v>1203</v>
      </c>
      <c r="E9867">
        <v>2019</v>
      </c>
      <c r="F9867">
        <v>5</v>
      </c>
      <c r="G9867">
        <v>46971</v>
      </c>
      <c r="H9867" s="1">
        <v>0</v>
      </c>
      <c r="I9867">
        <v>22</v>
      </c>
      <c r="J9867">
        <f>IF($H9867=0,1,IF($I9867&lt;=1,2,0))</f>
        <v>1</v>
      </c>
      <c r="K9867">
        <v>0</v>
      </c>
      <c r="L9867">
        <f>IF(AND($J9867=0,$K9867=0),0,1)</f>
        <v>1</v>
      </c>
    </row>
    <row r="9868" spans="1:12" x14ac:dyDescent="0.2">
      <c r="A9868" t="s">
        <v>589</v>
      </c>
      <c r="B9868" t="s">
        <v>133</v>
      </c>
      <c r="C9868" t="s">
        <v>9</v>
      </c>
      <c r="D9868">
        <v>1203</v>
      </c>
      <c r="E9868">
        <v>2019</v>
      </c>
      <c r="F9868">
        <v>9</v>
      </c>
      <c r="G9868">
        <v>46975</v>
      </c>
      <c r="H9868" s="1">
        <v>0</v>
      </c>
      <c r="I9868">
        <v>22</v>
      </c>
      <c r="J9868">
        <f>IF($H9868=0,1,IF($I9868&lt;=1,2,0))</f>
        <v>1</v>
      </c>
      <c r="K9868">
        <v>0</v>
      </c>
      <c r="L9868">
        <f>IF(AND($J9868=0,$K9868=0),0,1)</f>
        <v>1</v>
      </c>
    </row>
    <row r="9869" spans="1:12" x14ac:dyDescent="0.2">
      <c r="A9869" t="s">
        <v>589</v>
      </c>
      <c r="B9869" t="s">
        <v>133</v>
      </c>
      <c r="C9869" t="s">
        <v>9</v>
      </c>
      <c r="D9869">
        <v>1203</v>
      </c>
      <c r="E9869">
        <v>2019</v>
      </c>
      <c r="F9869">
        <v>12</v>
      </c>
      <c r="G9869">
        <v>46978</v>
      </c>
      <c r="H9869" s="1">
        <v>0</v>
      </c>
      <c r="I9869">
        <v>22</v>
      </c>
      <c r="J9869">
        <f>IF($H9869=0,1,IF($I9869&lt;=1,2,0))</f>
        <v>1</v>
      </c>
      <c r="K9869">
        <v>0</v>
      </c>
      <c r="L9869">
        <f>IF(AND($J9869=0,$K9869=0),0,1)</f>
        <v>1</v>
      </c>
    </row>
    <row r="9870" spans="1:12" x14ac:dyDescent="0.2">
      <c r="A9870" t="s">
        <v>589</v>
      </c>
      <c r="B9870" t="s">
        <v>133</v>
      </c>
      <c r="C9870" t="s">
        <v>9</v>
      </c>
      <c r="D9870">
        <v>1203</v>
      </c>
      <c r="E9870">
        <v>2019</v>
      </c>
      <c r="F9870">
        <v>10</v>
      </c>
      <c r="G9870">
        <v>46976</v>
      </c>
      <c r="H9870" s="1">
        <v>0</v>
      </c>
      <c r="I9870">
        <v>21</v>
      </c>
      <c r="J9870">
        <f>IF($H9870=0,1,IF($I9870&lt;=1,2,0))</f>
        <v>1</v>
      </c>
      <c r="K9870">
        <v>0</v>
      </c>
      <c r="L9870">
        <f>IF(AND($J9870=0,$K9870=0),0,1)</f>
        <v>1</v>
      </c>
    </row>
    <row r="9871" spans="1:12" x14ac:dyDescent="0.2">
      <c r="A9871" t="s">
        <v>589</v>
      </c>
      <c r="B9871" t="s">
        <v>133</v>
      </c>
      <c r="C9871" t="s">
        <v>9</v>
      </c>
      <c r="D9871">
        <v>1203</v>
      </c>
      <c r="E9871">
        <v>2019</v>
      </c>
      <c r="F9871">
        <v>3</v>
      </c>
      <c r="G9871">
        <v>46969</v>
      </c>
      <c r="H9871" s="1">
        <v>0</v>
      </c>
      <c r="I9871">
        <v>20</v>
      </c>
      <c r="J9871">
        <f>IF($H9871=0,1,IF($I9871&lt;=1,2,0))</f>
        <v>1</v>
      </c>
      <c r="K9871">
        <v>0</v>
      </c>
      <c r="L9871">
        <f>IF(AND($J9871=0,$K9871=0),0,1)</f>
        <v>1</v>
      </c>
    </row>
    <row r="9872" spans="1:12" x14ac:dyDescent="0.2">
      <c r="A9872" t="s">
        <v>589</v>
      </c>
      <c r="B9872" t="s">
        <v>133</v>
      </c>
      <c r="C9872" t="s">
        <v>9</v>
      </c>
      <c r="D9872">
        <v>1203</v>
      </c>
      <c r="E9872">
        <v>2019</v>
      </c>
      <c r="F9872">
        <v>4</v>
      </c>
      <c r="G9872">
        <v>46970</v>
      </c>
      <c r="H9872" s="1">
        <v>0</v>
      </c>
      <c r="I9872">
        <v>18</v>
      </c>
      <c r="J9872">
        <f>IF($H9872=0,1,IF($I9872&lt;=1,2,0))</f>
        <v>1</v>
      </c>
      <c r="K9872">
        <v>0</v>
      </c>
      <c r="L9872">
        <f>IF(AND($J9872=0,$K9872=0),0,1)</f>
        <v>1</v>
      </c>
    </row>
    <row r="9873" spans="1:13" x14ac:dyDescent="0.2">
      <c r="A9873" t="s">
        <v>589</v>
      </c>
      <c r="B9873" t="s">
        <v>133</v>
      </c>
      <c r="C9873" t="s">
        <v>9</v>
      </c>
      <c r="D9873">
        <v>1203</v>
      </c>
      <c r="E9873">
        <v>2019</v>
      </c>
      <c r="F9873">
        <v>6</v>
      </c>
      <c r="G9873">
        <v>46972</v>
      </c>
      <c r="H9873" s="1">
        <v>0</v>
      </c>
      <c r="I9873">
        <v>18</v>
      </c>
      <c r="J9873">
        <f>IF($H9873=0,1,IF($I9873&lt;=1,2,0))</f>
        <v>1</v>
      </c>
      <c r="K9873">
        <v>0</v>
      </c>
      <c r="L9873">
        <f>IF(AND($J9873=0,$K9873=0),0,1)</f>
        <v>1</v>
      </c>
    </row>
    <row r="9874" spans="1:13" x14ac:dyDescent="0.2">
      <c r="A9874" t="s">
        <v>589</v>
      </c>
      <c r="B9874" t="s">
        <v>133</v>
      </c>
      <c r="C9874" t="s">
        <v>9</v>
      </c>
      <c r="D9874">
        <v>1203</v>
      </c>
      <c r="E9874">
        <v>2019</v>
      </c>
      <c r="F9874">
        <v>13</v>
      </c>
      <c r="G9874">
        <v>46979</v>
      </c>
      <c r="H9874" s="1">
        <v>0</v>
      </c>
      <c r="I9874">
        <v>16</v>
      </c>
      <c r="J9874">
        <f>IF($H9874=0,1,IF($I9874&lt;=1,2,0))</f>
        <v>1</v>
      </c>
      <c r="K9874">
        <v>0</v>
      </c>
      <c r="L9874">
        <f>IF(AND($J9874=0,$K9874=0),0,1)</f>
        <v>1</v>
      </c>
    </row>
    <row r="9875" spans="1:13" x14ac:dyDescent="0.2">
      <c r="A9875" t="s">
        <v>589</v>
      </c>
      <c r="B9875" t="s">
        <v>133</v>
      </c>
      <c r="C9875" t="s">
        <v>9</v>
      </c>
      <c r="D9875">
        <v>1203</v>
      </c>
      <c r="E9875">
        <v>2019</v>
      </c>
      <c r="F9875">
        <v>18</v>
      </c>
      <c r="G9875">
        <v>46984</v>
      </c>
      <c r="H9875" s="1">
        <v>0</v>
      </c>
      <c r="I9875">
        <v>16</v>
      </c>
      <c r="J9875">
        <f>IF($H9875=0,1,IF($I9875&lt;=1,2,0))</f>
        <v>1</v>
      </c>
      <c r="K9875">
        <v>0</v>
      </c>
      <c r="L9875">
        <f>IF(AND($J9875=0,$K9875=0),0,1)</f>
        <v>1</v>
      </c>
    </row>
    <row r="9876" spans="1:13" x14ac:dyDescent="0.2">
      <c r="A9876" t="s">
        <v>589</v>
      </c>
      <c r="B9876" t="s">
        <v>133</v>
      </c>
      <c r="C9876" t="s">
        <v>9</v>
      </c>
      <c r="D9876">
        <v>1203</v>
      </c>
      <c r="E9876">
        <v>2019</v>
      </c>
      <c r="F9876">
        <v>8</v>
      </c>
      <c r="G9876">
        <v>46974</v>
      </c>
      <c r="H9876" s="1">
        <v>0</v>
      </c>
      <c r="I9876">
        <v>14</v>
      </c>
      <c r="J9876">
        <f>IF($H9876=0,1,IF($I9876&lt;=1,2,0))</f>
        <v>1</v>
      </c>
      <c r="K9876">
        <v>0</v>
      </c>
      <c r="L9876">
        <f>IF(AND($J9876=0,$K9876=0),0,1)</f>
        <v>1</v>
      </c>
    </row>
    <row r="9877" spans="1:13" x14ac:dyDescent="0.2">
      <c r="A9877" t="s">
        <v>589</v>
      </c>
      <c r="B9877" t="s">
        <v>133</v>
      </c>
      <c r="C9877" t="s">
        <v>9</v>
      </c>
      <c r="D9877">
        <v>1203</v>
      </c>
      <c r="E9877">
        <v>2019</v>
      </c>
      <c r="F9877">
        <v>17</v>
      </c>
      <c r="G9877">
        <v>46983</v>
      </c>
      <c r="H9877" s="1">
        <v>0</v>
      </c>
      <c r="I9877">
        <v>13</v>
      </c>
      <c r="J9877">
        <f>IF($H9877=0,1,IF($I9877&lt;=1,2,0))</f>
        <v>1</v>
      </c>
      <c r="K9877">
        <v>0</v>
      </c>
      <c r="L9877">
        <f>IF(AND($J9877=0,$K9877=0),0,1)</f>
        <v>1</v>
      </c>
    </row>
    <row r="9878" spans="1:13" x14ac:dyDescent="0.2">
      <c r="A9878" t="s">
        <v>589</v>
      </c>
      <c r="B9878" t="s">
        <v>133</v>
      </c>
      <c r="C9878" t="s">
        <v>9</v>
      </c>
      <c r="D9878">
        <v>1203</v>
      </c>
      <c r="E9878">
        <v>2019</v>
      </c>
      <c r="F9878">
        <v>16</v>
      </c>
      <c r="G9878">
        <v>46982</v>
      </c>
      <c r="H9878" s="1">
        <v>0</v>
      </c>
      <c r="I9878">
        <v>12</v>
      </c>
      <c r="J9878">
        <f>IF($H9878=0,1,IF($I9878&lt;=1,2,0))</f>
        <v>1</v>
      </c>
      <c r="K9878">
        <v>0</v>
      </c>
      <c r="L9878">
        <f>IF(AND($J9878=0,$K9878=0),0,1)</f>
        <v>1</v>
      </c>
    </row>
    <row r="9879" spans="1:13" x14ac:dyDescent="0.2">
      <c r="A9879" t="s">
        <v>589</v>
      </c>
      <c r="B9879" t="s">
        <v>133</v>
      </c>
      <c r="C9879" t="s">
        <v>9</v>
      </c>
      <c r="D9879">
        <v>1291</v>
      </c>
      <c r="E9879">
        <v>2019</v>
      </c>
      <c r="F9879">
        <v>9</v>
      </c>
      <c r="G9879">
        <v>47062</v>
      </c>
      <c r="H9879" s="1">
        <v>1</v>
      </c>
      <c r="I9879">
        <v>15</v>
      </c>
      <c r="J9879">
        <f>IF($H9879=0,1,IF($I9879&lt;=1,2,0))</f>
        <v>0</v>
      </c>
      <c r="K9879">
        <v>8</v>
      </c>
      <c r="L9879">
        <f>IF(AND($J9879=0,$K9879=0),0,1)</f>
        <v>1</v>
      </c>
      <c r="M9879" t="s">
        <v>591</v>
      </c>
    </row>
    <row r="9880" spans="1:13" x14ac:dyDescent="0.2">
      <c r="A9880" t="s">
        <v>589</v>
      </c>
      <c r="B9880" t="s">
        <v>133</v>
      </c>
      <c r="C9880" t="s">
        <v>9</v>
      </c>
      <c r="D9880">
        <v>1291</v>
      </c>
      <c r="E9880">
        <v>2019</v>
      </c>
      <c r="F9880">
        <v>14</v>
      </c>
      <c r="G9880">
        <v>47067</v>
      </c>
      <c r="H9880" s="1">
        <v>1</v>
      </c>
      <c r="I9880">
        <v>15</v>
      </c>
      <c r="J9880">
        <f>IF($H9880=0,1,IF($I9880&lt;=1,2,0))</f>
        <v>0</v>
      </c>
      <c r="K9880">
        <v>8</v>
      </c>
      <c r="L9880">
        <f>IF(AND($J9880=0,$K9880=0),0,1)</f>
        <v>1</v>
      </c>
      <c r="M9880" t="s">
        <v>591</v>
      </c>
    </row>
    <row r="9881" spans="1:13" x14ac:dyDescent="0.2">
      <c r="A9881" t="s">
        <v>589</v>
      </c>
      <c r="B9881" t="s">
        <v>133</v>
      </c>
      <c r="C9881" t="s">
        <v>9</v>
      </c>
      <c r="D9881">
        <v>1291</v>
      </c>
      <c r="E9881">
        <v>2019</v>
      </c>
      <c r="F9881">
        <v>16</v>
      </c>
      <c r="G9881">
        <v>47069</v>
      </c>
      <c r="H9881" s="1">
        <v>1</v>
      </c>
      <c r="I9881">
        <v>15</v>
      </c>
      <c r="J9881">
        <f>IF($H9881=0,1,IF($I9881&lt;=1,2,0))</f>
        <v>0</v>
      </c>
      <c r="K9881">
        <v>8</v>
      </c>
      <c r="L9881">
        <f>IF(AND($J9881=0,$K9881=0),0,1)</f>
        <v>1</v>
      </c>
      <c r="M9881" t="s">
        <v>591</v>
      </c>
    </row>
    <row r="9882" spans="1:13" x14ac:dyDescent="0.2">
      <c r="A9882" t="s">
        <v>589</v>
      </c>
      <c r="B9882" t="s">
        <v>133</v>
      </c>
      <c r="C9882" t="s">
        <v>9</v>
      </c>
      <c r="D9882">
        <v>1291</v>
      </c>
      <c r="E9882">
        <v>2019</v>
      </c>
      <c r="F9882">
        <v>19</v>
      </c>
      <c r="G9882">
        <v>47072</v>
      </c>
      <c r="H9882" s="1">
        <v>1</v>
      </c>
      <c r="I9882">
        <v>15</v>
      </c>
      <c r="J9882">
        <f>IF($H9882=0,1,IF($I9882&lt;=1,2,0))</f>
        <v>0</v>
      </c>
      <c r="K9882">
        <v>8</v>
      </c>
      <c r="L9882">
        <f>IF(AND($J9882=0,$K9882=0),0,1)</f>
        <v>1</v>
      </c>
      <c r="M9882" t="s">
        <v>591</v>
      </c>
    </row>
    <row r="9883" spans="1:13" x14ac:dyDescent="0.2">
      <c r="A9883" t="s">
        <v>589</v>
      </c>
      <c r="B9883" t="s">
        <v>133</v>
      </c>
      <c r="C9883" t="s">
        <v>9</v>
      </c>
      <c r="D9883">
        <v>1291</v>
      </c>
      <c r="E9883">
        <v>2019</v>
      </c>
      <c r="F9883">
        <v>2</v>
      </c>
      <c r="G9883">
        <v>47055</v>
      </c>
      <c r="H9883" s="1">
        <v>1</v>
      </c>
      <c r="I9883">
        <v>14</v>
      </c>
      <c r="J9883">
        <f>IF($H9883=0,1,IF($I9883&lt;=1,2,0))</f>
        <v>0</v>
      </c>
      <c r="K9883">
        <v>8</v>
      </c>
      <c r="L9883">
        <f>IF(AND($J9883=0,$K9883=0),0,1)</f>
        <v>1</v>
      </c>
      <c r="M9883" t="s">
        <v>591</v>
      </c>
    </row>
    <row r="9884" spans="1:13" x14ac:dyDescent="0.2">
      <c r="A9884" t="s">
        <v>589</v>
      </c>
      <c r="B9884" t="s">
        <v>133</v>
      </c>
      <c r="C9884" t="s">
        <v>9</v>
      </c>
      <c r="D9884">
        <v>1291</v>
      </c>
      <c r="E9884">
        <v>2019</v>
      </c>
      <c r="F9884">
        <v>4</v>
      </c>
      <c r="G9884">
        <v>47057</v>
      </c>
      <c r="H9884" s="1">
        <v>1</v>
      </c>
      <c r="I9884">
        <v>14</v>
      </c>
      <c r="J9884">
        <f>IF($H9884=0,1,IF($I9884&lt;=1,2,0))</f>
        <v>0</v>
      </c>
      <c r="K9884">
        <v>8</v>
      </c>
      <c r="L9884">
        <f>IF(AND($J9884=0,$K9884=0),0,1)</f>
        <v>1</v>
      </c>
      <c r="M9884" t="s">
        <v>591</v>
      </c>
    </row>
    <row r="9885" spans="1:13" x14ac:dyDescent="0.2">
      <c r="A9885" t="s">
        <v>589</v>
      </c>
      <c r="B9885" t="s">
        <v>133</v>
      </c>
      <c r="C9885" t="s">
        <v>9</v>
      </c>
      <c r="D9885">
        <v>1291</v>
      </c>
      <c r="E9885">
        <v>2019</v>
      </c>
      <c r="F9885">
        <v>1</v>
      </c>
      <c r="G9885">
        <v>47054</v>
      </c>
      <c r="H9885" s="1">
        <v>1</v>
      </c>
      <c r="I9885">
        <v>13</v>
      </c>
      <c r="J9885">
        <f>IF($H9885=0,1,IF($I9885&lt;=1,2,0))</f>
        <v>0</v>
      </c>
      <c r="K9885">
        <v>8</v>
      </c>
      <c r="L9885">
        <f>IF(AND($J9885=0,$K9885=0),0,1)</f>
        <v>1</v>
      </c>
      <c r="M9885" t="s">
        <v>591</v>
      </c>
    </row>
    <row r="9886" spans="1:13" x14ac:dyDescent="0.2">
      <c r="A9886" t="s">
        <v>589</v>
      </c>
      <c r="B9886" t="s">
        <v>133</v>
      </c>
      <c r="C9886" t="s">
        <v>9</v>
      </c>
      <c r="D9886">
        <v>1291</v>
      </c>
      <c r="E9886">
        <v>2019</v>
      </c>
      <c r="F9886">
        <v>8</v>
      </c>
      <c r="G9886">
        <v>47061</v>
      </c>
      <c r="H9886" s="1">
        <v>1</v>
      </c>
      <c r="I9886">
        <v>13</v>
      </c>
      <c r="J9886">
        <f>IF($H9886=0,1,IF($I9886&lt;=1,2,0))</f>
        <v>0</v>
      </c>
      <c r="K9886">
        <v>8</v>
      </c>
      <c r="L9886">
        <f>IF(AND($J9886=0,$K9886=0),0,1)</f>
        <v>1</v>
      </c>
      <c r="M9886" t="s">
        <v>591</v>
      </c>
    </row>
    <row r="9887" spans="1:13" x14ac:dyDescent="0.2">
      <c r="A9887" t="s">
        <v>589</v>
      </c>
      <c r="B9887" t="s">
        <v>133</v>
      </c>
      <c r="C9887" t="s">
        <v>9</v>
      </c>
      <c r="D9887">
        <v>1291</v>
      </c>
      <c r="E9887">
        <v>2019</v>
      </c>
      <c r="F9887">
        <v>13</v>
      </c>
      <c r="G9887">
        <v>47066</v>
      </c>
      <c r="H9887" s="1">
        <v>1</v>
      </c>
      <c r="I9887">
        <v>13</v>
      </c>
      <c r="J9887">
        <f>IF($H9887=0,1,IF($I9887&lt;=1,2,0))</f>
        <v>0</v>
      </c>
      <c r="K9887">
        <v>8</v>
      </c>
      <c r="L9887">
        <f>IF(AND($J9887=0,$K9887=0),0,1)</f>
        <v>1</v>
      </c>
      <c r="M9887" t="s">
        <v>591</v>
      </c>
    </row>
    <row r="9888" spans="1:13" x14ac:dyDescent="0.2">
      <c r="A9888" t="s">
        <v>589</v>
      </c>
      <c r="B9888" t="s">
        <v>133</v>
      </c>
      <c r="C9888" t="s">
        <v>9</v>
      </c>
      <c r="D9888">
        <v>1291</v>
      </c>
      <c r="E9888">
        <v>2019</v>
      </c>
      <c r="F9888">
        <v>20</v>
      </c>
      <c r="G9888">
        <v>47073</v>
      </c>
      <c r="H9888" s="1">
        <v>1</v>
      </c>
      <c r="I9888">
        <v>13</v>
      </c>
      <c r="J9888">
        <f>IF($H9888=0,1,IF($I9888&lt;=1,2,0))</f>
        <v>0</v>
      </c>
      <c r="K9888">
        <v>8</v>
      </c>
      <c r="L9888">
        <f>IF(AND($J9888=0,$K9888=0),0,1)</f>
        <v>1</v>
      </c>
      <c r="M9888" t="s">
        <v>591</v>
      </c>
    </row>
    <row r="9889" spans="1:13" x14ac:dyDescent="0.2">
      <c r="A9889" t="s">
        <v>589</v>
      </c>
      <c r="B9889" t="s">
        <v>133</v>
      </c>
      <c r="C9889" t="s">
        <v>9</v>
      </c>
      <c r="D9889">
        <v>1291</v>
      </c>
      <c r="E9889">
        <v>2019</v>
      </c>
      <c r="F9889">
        <v>25</v>
      </c>
      <c r="G9889">
        <v>47078</v>
      </c>
      <c r="H9889" s="1">
        <v>1</v>
      </c>
      <c r="I9889">
        <v>13</v>
      </c>
      <c r="J9889">
        <f>IF($H9889=0,1,IF($I9889&lt;=1,2,0))</f>
        <v>0</v>
      </c>
      <c r="K9889">
        <v>8</v>
      </c>
      <c r="L9889">
        <f>IF(AND($J9889=0,$K9889=0),0,1)</f>
        <v>1</v>
      </c>
      <c r="M9889" t="s">
        <v>591</v>
      </c>
    </row>
    <row r="9890" spans="1:13" x14ac:dyDescent="0.2">
      <c r="A9890" t="s">
        <v>589</v>
      </c>
      <c r="B9890" t="s">
        <v>133</v>
      </c>
      <c r="C9890" t="s">
        <v>9</v>
      </c>
      <c r="D9890">
        <v>1291</v>
      </c>
      <c r="E9890">
        <v>2019</v>
      </c>
      <c r="F9890">
        <v>26</v>
      </c>
      <c r="G9890">
        <v>47079</v>
      </c>
      <c r="H9890" s="1">
        <v>1</v>
      </c>
      <c r="I9890">
        <v>13</v>
      </c>
      <c r="J9890">
        <f>IF($H9890=0,1,IF($I9890&lt;=1,2,0))</f>
        <v>0</v>
      </c>
      <c r="K9890">
        <v>8</v>
      </c>
      <c r="L9890">
        <f>IF(AND($J9890=0,$K9890=0),0,1)</f>
        <v>1</v>
      </c>
      <c r="M9890" t="s">
        <v>591</v>
      </c>
    </row>
    <row r="9891" spans="1:13" x14ac:dyDescent="0.2">
      <c r="A9891" t="s">
        <v>589</v>
      </c>
      <c r="B9891" t="s">
        <v>133</v>
      </c>
      <c r="C9891" t="s">
        <v>9</v>
      </c>
      <c r="D9891">
        <v>1291</v>
      </c>
      <c r="E9891">
        <v>2019</v>
      </c>
      <c r="F9891">
        <v>15</v>
      </c>
      <c r="G9891">
        <v>47068</v>
      </c>
      <c r="H9891" s="1">
        <v>1</v>
      </c>
      <c r="I9891">
        <v>12</v>
      </c>
      <c r="J9891">
        <f>IF($H9891=0,1,IF($I9891&lt;=1,2,0))</f>
        <v>0</v>
      </c>
      <c r="K9891">
        <v>8</v>
      </c>
      <c r="L9891">
        <f>IF(AND($J9891=0,$K9891=0),0,1)</f>
        <v>1</v>
      </c>
      <c r="M9891" t="s">
        <v>591</v>
      </c>
    </row>
    <row r="9892" spans="1:13" x14ac:dyDescent="0.2">
      <c r="A9892" t="s">
        <v>589</v>
      </c>
      <c r="B9892" t="s">
        <v>133</v>
      </c>
      <c r="C9892" t="s">
        <v>9</v>
      </c>
      <c r="D9892">
        <v>1291</v>
      </c>
      <c r="E9892">
        <v>2019</v>
      </c>
      <c r="F9892">
        <v>3</v>
      </c>
      <c r="G9892">
        <v>47056</v>
      </c>
      <c r="H9892" s="1">
        <v>1</v>
      </c>
      <c r="I9892">
        <v>11</v>
      </c>
      <c r="J9892">
        <f>IF($H9892=0,1,IF($I9892&lt;=1,2,0))</f>
        <v>0</v>
      </c>
      <c r="K9892">
        <v>8</v>
      </c>
      <c r="L9892">
        <f>IF(AND($J9892=0,$K9892=0),0,1)</f>
        <v>1</v>
      </c>
      <c r="M9892" t="s">
        <v>591</v>
      </c>
    </row>
    <row r="9893" spans="1:13" x14ac:dyDescent="0.2">
      <c r="A9893" t="s">
        <v>589</v>
      </c>
      <c r="B9893" t="s">
        <v>133</v>
      </c>
      <c r="C9893" t="s">
        <v>9</v>
      </c>
      <c r="D9893">
        <v>1291</v>
      </c>
      <c r="E9893">
        <v>2019</v>
      </c>
      <c r="F9893">
        <v>11</v>
      </c>
      <c r="G9893">
        <v>47064</v>
      </c>
      <c r="H9893" s="1">
        <v>1</v>
      </c>
      <c r="I9893">
        <v>11</v>
      </c>
      <c r="J9893">
        <f>IF($H9893=0,1,IF($I9893&lt;=1,2,0))</f>
        <v>0</v>
      </c>
      <c r="K9893">
        <v>8</v>
      </c>
      <c r="L9893">
        <f>IF(AND($J9893=0,$K9893=0),0,1)</f>
        <v>1</v>
      </c>
      <c r="M9893" t="s">
        <v>591</v>
      </c>
    </row>
    <row r="9894" spans="1:13" x14ac:dyDescent="0.2">
      <c r="A9894" t="s">
        <v>589</v>
      </c>
      <c r="B9894" t="s">
        <v>133</v>
      </c>
      <c r="C9894" t="s">
        <v>9</v>
      </c>
      <c r="D9894">
        <v>1291</v>
      </c>
      <c r="E9894">
        <v>2019</v>
      </c>
      <c r="F9894">
        <v>22</v>
      </c>
      <c r="G9894">
        <v>47075</v>
      </c>
      <c r="H9894" s="1">
        <v>1</v>
      </c>
      <c r="I9894">
        <v>10</v>
      </c>
      <c r="J9894">
        <f>IF($H9894=0,1,IF($I9894&lt;=1,2,0))</f>
        <v>0</v>
      </c>
      <c r="K9894">
        <v>8</v>
      </c>
      <c r="L9894">
        <f>IF(AND($J9894=0,$K9894=0),0,1)</f>
        <v>1</v>
      </c>
      <c r="M9894" t="s">
        <v>591</v>
      </c>
    </row>
    <row r="9895" spans="1:13" x14ac:dyDescent="0.2">
      <c r="A9895" t="s">
        <v>589</v>
      </c>
      <c r="B9895" t="s">
        <v>133</v>
      </c>
      <c r="C9895" t="s">
        <v>9</v>
      </c>
      <c r="D9895">
        <v>1291</v>
      </c>
      <c r="E9895">
        <v>2019</v>
      </c>
      <c r="F9895">
        <v>5</v>
      </c>
      <c r="G9895">
        <v>47058</v>
      </c>
      <c r="H9895" s="1">
        <v>1</v>
      </c>
      <c r="I9895">
        <v>9</v>
      </c>
      <c r="J9895">
        <f>IF($H9895=0,1,IF($I9895&lt;=1,2,0))</f>
        <v>0</v>
      </c>
      <c r="K9895">
        <v>8</v>
      </c>
      <c r="L9895">
        <f>IF(AND($J9895=0,$K9895=0),0,1)</f>
        <v>1</v>
      </c>
      <c r="M9895" t="s">
        <v>591</v>
      </c>
    </row>
    <row r="9896" spans="1:13" x14ac:dyDescent="0.2">
      <c r="A9896" t="s">
        <v>589</v>
      </c>
      <c r="B9896" t="s">
        <v>133</v>
      </c>
      <c r="C9896" t="s">
        <v>9</v>
      </c>
      <c r="D9896">
        <v>1291</v>
      </c>
      <c r="E9896">
        <v>2019</v>
      </c>
      <c r="F9896">
        <v>7</v>
      </c>
      <c r="G9896">
        <v>47060</v>
      </c>
      <c r="H9896" s="1">
        <v>1</v>
      </c>
      <c r="I9896">
        <v>9</v>
      </c>
      <c r="J9896">
        <f>IF($H9896=0,1,IF($I9896&lt;=1,2,0))</f>
        <v>0</v>
      </c>
      <c r="K9896">
        <v>8</v>
      </c>
      <c r="L9896">
        <f>IF(AND($J9896=0,$K9896=0),0,1)</f>
        <v>1</v>
      </c>
      <c r="M9896" t="s">
        <v>591</v>
      </c>
    </row>
    <row r="9897" spans="1:13" x14ac:dyDescent="0.2">
      <c r="A9897" t="s">
        <v>589</v>
      </c>
      <c r="B9897" t="s">
        <v>133</v>
      </c>
      <c r="C9897" t="s">
        <v>9</v>
      </c>
      <c r="D9897">
        <v>1291</v>
      </c>
      <c r="E9897">
        <v>2019</v>
      </c>
      <c r="F9897">
        <v>10</v>
      </c>
      <c r="G9897">
        <v>47063</v>
      </c>
      <c r="H9897" s="1">
        <v>1</v>
      </c>
      <c r="I9897">
        <v>9</v>
      </c>
      <c r="J9897">
        <f>IF($H9897=0,1,IF($I9897&lt;=1,2,0))</f>
        <v>0</v>
      </c>
      <c r="K9897">
        <v>8</v>
      </c>
      <c r="L9897">
        <f>IF(AND($J9897=0,$K9897=0),0,1)</f>
        <v>1</v>
      </c>
      <c r="M9897" t="s">
        <v>591</v>
      </c>
    </row>
    <row r="9898" spans="1:13" x14ac:dyDescent="0.2">
      <c r="A9898" t="s">
        <v>589</v>
      </c>
      <c r="B9898" t="s">
        <v>133</v>
      </c>
      <c r="C9898" t="s">
        <v>9</v>
      </c>
      <c r="D9898">
        <v>1291</v>
      </c>
      <c r="E9898">
        <v>2019</v>
      </c>
      <c r="F9898">
        <v>17</v>
      </c>
      <c r="G9898">
        <v>47070</v>
      </c>
      <c r="H9898" s="1">
        <v>1</v>
      </c>
      <c r="I9898">
        <v>8</v>
      </c>
      <c r="J9898">
        <f>IF($H9898=0,1,IF($I9898&lt;=1,2,0))</f>
        <v>0</v>
      </c>
      <c r="K9898">
        <v>8</v>
      </c>
      <c r="L9898">
        <f>IF(AND($J9898=0,$K9898=0),0,1)</f>
        <v>1</v>
      </c>
      <c r="M9898" t="s">
        <v>591</v>
      </c>
    </row>
    <row r="9899" spans="1:13" x14ac:dyDescent="0.2">
      <c r="A9899" t="s">
        <v>589</v>
      </c>
      <c r="B9899" t="s">
        <v>133</v>
      </c>
      <c r="C9899" t="s">
        <v>9</v>
      </c>
      <c r="D9899">
        <v>1291</v>
      </c>
      <c r="E9899">
        <v>2019</v>
      </c>
      <c r="F9899">
        <v>21</v>
      </c>
      <c r="G9899">
        <v>47074</v>
      </c>
      <c r="H9899" s="1">
        <v>1</v>
      </c>
      <c r="I9899">
        <v>8</v>
      </c>
      <c r="J9899">
        <f>IF($H9899=0,1,IF($I9899&lt;=1,2,0))</f>
        <v>0</v>
      </c>
      <c r="K9899">
        <v>8</v>
      </c>
      <c r="L9899">
        <f>IF(AND($J9899=0,$K9899=0),0,1)</f>
        <v>1</v>
      </c>
      <c r="M9899" t="s">
        <v>591</v>
      </c>
    </row>
    <row r="9900" spans="1:13" x14ac:dyDescent="0.2">
      <c r="A9900" t="s">
        <v>589</v>
      </c>
      <c r="B9900" t="s">
        <v>133</v>
      </c>
      <c r="C9900" t="s">
        <v>9</v>
      </c>
      <c r="D9900">
        <v>1404</v>
      </c>
      <c r="E9900">
        <v>2019</v>
      </c>
      <c r="F9900">
        <v>10</v>
      </c>
      <c r="G9900">
        <v>46994</v>
      </c>
      <c r="H9900" s="1">
        <v>0</v>
      </c>
      <c r="I9900">
        <v>30</v>
      </c>
      <c r="J9900">
        <f>IF($H9900=0,1,IF($I9900&lt;=1,2,0))</f>
        <v>1</v>
      </c>
      <c r="K9900">
        <v>0</v>
      </c>
      <c r="L9900">
        <f>IF(AND($J9900=0,$K9900=0),0,1)</f>
        <v>1</v>
      </c>
    </row>
    <row r="9901" spans="1:13" x14ac:dyDescent="0.2">
      <c r="A9901" t="s">
        <v>589</v>
      </c>
      <c r="B9901" t="s">
        <v>133</v>
      </c>
      <c r="C9901" t="s">
        <v>9</v>
      </c>
      <c r="D9901">
        <v>1404</v>
      </c>
      <c r="E9901">
        <v>2019</v>
      </c>
      <c r="F9901">
        <v>3</v>
      </c>
      <c r="G9901">
        <v>46987</v>
      </c>
      <c r="H9901" s="1">
        <v>0</v>
      </c>
      <c r="I9901">
        <v>29</v>
      </c>
      <c r="J9901">
        <f>IF($H9901=0,1,IF($I9901&lt;=1,2,0))</f>
        <v>1</v>
      </c>
      <c r="K9901">
        <v>0</v>
      </c>
      <c r="L9901">
        <f>IF(AND($J9901=0,$K9901=0),0,1)</f>
        <v>1</v>
      </c>
    </row>
    <row r="9902" spans="1:13" x14ac:dyDescent="0.2">
      <c r="A9902" t="s">
        <v>589</v>
      </c>
      <c r="B9902" t="s">
        <v>133</v>
      </c>
      <c r="C9902" t="s">
        <v>9</v>
      </c>
      <c r="D9902">
        <v>1404</v>
      </c>
      <c r="E9902">
        <v>2019</v>
      </c>
      <c r="F9902">
        <v>4</v>
      </c>
      <c r="G9902">
        <v>46988</v>
      </c>
      <c r="H9902" s="1">
        <v>0</v>
      </c>
      <c r="I9902">
        <v>29</v>
      </c>
      <c r="J9902">
        <f>IF($H9902=0,1,IF($I9902&lt;=1,2,0))</f>
        <v>1</v>
      </c>
      <c r="K9902">
        <v>0</v>
      </c>
      <c r="L9902">
        <f>IF(AND($J9902=0,$K9902=0),0,1)</f>
        <v>1</v>
      </c>
    </row>
    <row r="9903" spans="1:13" x14ac:dyDescent="0.2">
      <c r="A9903" t="s">
        <v>589</v>
      </c>
      <c r="B9903" t="s">
        <v>133</v>
      </c>
      <c r="C9903" t="s">
        <v>9</v>
      </c>
      <c r="D9903">
        <v>1404</v>
      </c>
      <c r="E9903">
        <v>2019</v>
      </c>
      <c r="F9903">
        <v>7</v>
      </c>
      <c r="G9903">
        <v>46991</v>
      </c>
      <c r="H9903" s="1">
        <v>0</v>
      </c>
      <c r="I9903">
        <v>29</v>
      </c>
      <c r="J9903">
        <f>IF($H9903=0,1,IF($I9903&lt;=1,2,0))</f>
        <v>1</v>
      </c>
      <c r="K9903">
        <v>0</v>
      </c>
      <c r="L9903">
        <f>IF(AND($J9903=0,$K9903=0),0,1)</f>
        <v>1</v>
      </c>
    </row>
    <row r="9904" spans="1:13" x14ac:dyDescent="0.2">
      <c r="A9904" t="s">
        <v>589</v>
      </c>
      <c r="B9904" t="s">
        <v>133</v>
      </c>
      <c r="C9904" t="s">
        <v>9</v>
      </c>
      <c r="D9904">
        <v>1404</v>
      </c>
      <c r="E9904">
        <v>2019</v>
      </c>
      <c r="F9904">
        <v>5</v>
      </c>
      <c r="G9904">
        <v>46989</v>
      </c>
      <c r="H9904" s="1">
        <v>0</v>
      </c>
      <c r="I9904">
        <v>27</v>
      </c>
      <c r="J9904">
        <f>IF($H9904=0,1,IF($I9904&lt;=1,2,0))</f>
        <v>1</v>
      </c>
      <c r="K9904">
        <v>0</v>
      </c>
      <c r="L9904">
        <f>IF(AND($J9904=0,$K9904=0),0,1)</f>
        <v>1</v>
      </c>
    </row>
    <row r="9905" spans="1:13" x14ac:dyDescent="0.2">
      <c r="A9905" t="s">
        <v>589</v>
      </c>
      <c r="B9905" t="s">
        <v>133</v>
      </c>
      <c r="C9905" t="s">
        <v>9</v>
      </c>
      <c r="D9905">
        <v>1404</v>
      </c>
      <c r="E9905">
        <v>2019</v>
      </c>
      <c r="F9905">
        <v>1</v>
      </c>
      <c r="G9905">
        <v>46985</v>
      </c>
      <c r="H9905" s="1">
        <v>0</v>
      </c>
      <c r="I9905">
        <v>26</v>
      </c>
      <c r="J9905">
        <f>IF($H9905=0,1,IF($I9905&lt;=1,2,0))</f>
        <v>1</v>
      </c>
      <c r="K9905">
        <v>0</v>
      </c>
      <c r="L9905">
        <f>IF(AND($J9905=0,$K9905=0),0,1)</f>
        <v>1</v>
      </c>
    </row>
    <row r="9906" spans="1:13" x14ac:dyDescent="0.2">
      <c r="A9906" t="s">
        <v>589</v>
      </c>
      <c r="B9906" t="s">
        <v>133</v>
      </c>
      <c r="C9906" t="s">
        <v>9</v>
      </c>
      <c r="D9906">
        <v>1404</v>
      </c>
      <c r="E9906">
        <v>2019</v>
      </c>
      <c r="F9906">
        <v>11</v>
      </c>
      <c r="G9906">
        <v>46995</v>
      </c>
      <c r="H9906" s="1">
        <v>0</v>
      </c>
      <c r="I9906">
        <v>24</v>
      </c>
      <c r="J9906">
        <f>IF($H9906=0,1,IF($I9906&lt;=1,2,0))</f>
        <v>1</v>
      </c>
      <c r="K9906">
        <v>0</v>
      </c>
      <c r="L9906">
        <f>IF(AND($J9906=0,$K9906=0),0,1)</f>
        <v>1</v>
      </c>
    </row>
    <row r="9907" spans="1:13" x14ac:dyDescent="0.2">
      <c r="A9907" t="s">
        <v>589</v>
      </c>
      <c r="B9907" t="s">
        <v>133</v>
      </c>
      <c r="C9907" t="s">
        <v>9</v>
      </c>
      <c r="D9907">
        <v>1404</v>
      </c>
      <c r="E9907">
        <v>2019</v>
      </c>
      <c r="F9907">
        <v>8</v>
      </c>
      <c r="G9907">
        <v>46992</v>
      </c>
      <c r="H9907" s="1">
        <v>0</v>
      </c>
      <c r="I9907">
        <v>23</v>
      </c>
      <c r="J9907">
        <f>IF($H9907=0,1,IF($I9907&lt;=1,2,0))</f>
        <v>1</v>
      </c>
      <c r="K9907">
        <v>0</v>
      </c>
      <c r="L9907">
        <f>IF(AND($J9907=0,$K9907=0),0,1)</f>
        <v>1</v>
      </c>
    </row>
    <row r="9908" spans="1:13" x14ac:dyDescent="0.2">
      <c r="A9908" t="s">
        <v>589</v>
      </c>
      <c r="B9908" t="s">
        <v>133</v>
      </c>
      <c r="C9908" t="s">
        <v>9</v>
      </c>
      <c r="D9908">
        <v>1404</v>
      </c>
      <c r="E9908">
        <v>2019</v>
      </c>
      <c r="F9908">
        <v>2</v>
      </c>
      <c r="G9908">
        <v>46986</v>
      </c>
      <c r="H9908" s="1">
        <v>0</v>
      </c>
      <c r="I9908">
        <v>22</v>
      </c>
      <c r="J9908">
        <f>IF($H9908=0,1,IF($I9908&lt;=1,2,0))</f>
        <v>1</v>
      </c>
      <c r="K9908">
        <v>0</v>
      </c>
      <c r="L9908">
        <f>IF(AND($J9908=0,$K9908=0),0,1)</f>
        <v>1</v>
      </c>
    </row>
    <row r="9909" spans="1:13" x14ac:dyDescent="0.2">
      <c r="A9909" t="s">
        <v>589</v>
      </c>
      <c r="B9909" t="s">
        <v>133</v>
      </c>
      <c r="C9909" t="s">
        <v>9</v>
      </c>
      <c r="D9909">
        <v>1404</v>
      </c>
      <c r="E9909">
        <v>2019</v>
      </c>
      <c r="F9909">
        <v>6</v>
      </c>
      <c r="G9909">
        <v>46990</v>
      </c>
      <c r="H9909" s="1">
        <v>0</v>
      </c>
      <c r="I9909">
        <v>16</v>
      </c>
      <c r="J9909">
        <f>IF($H9909=0,1,IF($I9909&lt;=1,2,0))</f>
        <v>1</v>
      </c>
      <c r="K9909">
        <v>0</v>
      </c>
      <c r="L9909">
        <f>IF(AND($J9909=0,$K9909=0),0,1)</f>
        <v>1</v>
      </c>
    </row>
    <row r="9910" spans="1:13" x14ac:dyDescent="0.2">
      <c r="A9910" t="s">
        <v>589</v>
      </c>
      <c r="B9910" t="s">
        <v>133</v>
      </c>
      <c r="C9910" t="s">
        <v>9</v>
      </c>
      <c r="D9910">
        <v>1404</v>
      </c>
      <c r="E9910">
        <v>2019</v>
      </c>
      <c r="F9910">
        <v>9</v>
      </c>
      <c r="G9910">
        <v>46993</v>
      </c>
      <c r="H9910" s="1">
        <v>0</v>
      </c>
      <c r="I9910">
        <v>16</v>
      </c>
      <c r="J9910">
        <f>IF($H9910=0,1,IF($I9910&lt;=1,2,0))</f>
        <v>1</v>
      </c>
      <c r="K9910">
        <v>0</v>
      </c>
      <c r="L9910">
        <f>IF(AND($J9910=0,$K9910=0),0,1)</f>
        <v>1</v>
      </c>
    </row>
    <row r="9911" spans="1:13" x14ac:dyDescent="0.2">
      <c r="A9911" t="s">
        <v>589</v>
      </c>
      <c r="B9911" t="s">
        <v>133</v>
      </c>
      <c r="C9911" t="s">
        <v>9</v>
      </c>
      <c r="D9911">
        <v>1603</v>
      </c>
      <c r="E9911">
        <v>2019</v>
      </c>
      <c r="F9911">
        <v>3</v>
      </c>
      <c r="G9911">
        <v>47040</v>
      </c>
      <c r="H9911" s="1">
        <v>0</v>
      </c>
      <c r="I9911">
        <v>31</v>
      </c>
      <c r="J9911">
        <f>IF($H9911=0,1,IF($I9911&lt;=1,2,0))</f>
        <v>1</v>
      </c>
      <c r="K9911">
        <v>0</v>
      </c>
      <c r="L9911">
        <f>IF(AND($J9911=0,$K9911=0),0,1)</f>
        <v>1</v>
      </c>
    </row>
    <row r="9912" spans="1:13" x14ac:dyDescent="0.2">
      <c r="A9912" t="s">
        <v>589</v>
      </c>
      <c r="B9912" t="s">
        <v>133</v>
      </c>
      <c r="C9912" t="s">
        <v>9</v>
      </c>
      <c r="D9912">
        <v>1603</v>
      </c>
      <c r="E9912">
        <v>2019</v>
      </c>
      <c r="F9912">
        <v>5</v>
      </c>
      <c r="G9912">
        <v>47042</v>
      </c>
      <c r="H9912" s="1">
        <v>0</v>
      </c>
      <c r="I9912">
        <v>31</v>
      </c>
      <c r="J9912">
        <f>IF($H9912=0,1,IF($I9912&lt;=1,2,0))</f>
        <v>1</v>
      </c>
      <c r="K9912">
        <v>0</v>
      </c>
      <c r="L9912">
        <f>IF(AND($J9912=0,$K9912=0),0,1)</f>
        <v>1</v>
      </c>
    </row>
    <row r="9913" spans="1:13" x14ac:dyDescent="0.2">
      <c r="A9913" t="s">
        <v>589</v>
      </c>
      <c r="B9913" t="s">
        <v>133</v>
      </c>
      <c r="C9913" t="s">
        <v>9</v>
      </c>
      <c r="D9913">
        <v>1603</v>
      </c>
      <c r="E9913">
        <v>2019</v>
      </c>
      <c r="F9913">
        <v>4</v>
      </c>
      <c r="G9913">
        <v>47041</v>
      </c>
      <c r="H9913" s="1">
        <v>0</v>
      </c>
      <c r="I9913">
        <v>30</v>
      </c>
      <c r="J9913">
        <f>IF($H9913=0,1,IF($I9913&lt;=1,2,0))</f>
        <v>1</v>
      </c>
      <c r="K9913">
        <v>0</v>
      </c>
      <c r="L9913">
        <f>IF(AND($J9913=0,$K9913=0),0,1)</f>
        <v>1</v>
      </c>
    </row>
    <row r="9914" spans="1:13" x14ac:dyDescent="0.2">
      <c r="A9914" t="s">
        <v>589</v>
      </c>
      <c r="B9914" t="s">
        <v>133</v>
      </c>
      <c r="C9914" t="s">
        <v>9</v>
      </c>
      <c r="D9914">
        <v>1603</v>
      </c>
      <c r="E9914">
        <v>2019</v>
      </c>
      <c r="F9914">
        <v>1</v>
      </c>
      <c r="G9914">
        <v>47038</v>
      </c>
      <c r="H9914" s="1">
        <v>0</v>
      </c>
      <c r="I9914">
        <v>28</v>
      </c>
      <c r="J9914">
        <f>IF($H9914=0,1,IF($I9914&lt;=1,2,0))</f>
        <v>1</v>
      </c>
      <c r="K9914">
        <v>0</v>
      </c>
      <c r="L9914">
        <f>IF(AND($J9914=0,$K9914=0),0,1)</f>
        <v>1</v>
      </c>
    </row>
    <row r="9915" spans="1:13" x14ac:dyDescent="0.2">
      <c r="A9915" t="s">
        <v>589</v>
      </c>
      <c r="B9915" t="s">
        <v>133</v>
      </c>
      <c r="C9915" t="s">
        <v>9</v>
      </c>
      <c r="D9915">
        <v>1603</v>
      </c>
      <c r="E9915">
        <v>2019</v>
      </c>
      <c r="F9915">
        <v>2</v>
      </c>
      <c r="G9915">
        <v>47039</v>
      </c>
      <c r="H9915" s="1">
        <v>0</v>
      </c>
      <c r="I9915">
        <v>17</v>
      </c>
      <c r="J9915">
        <f>IF($H9915=0,1,IF($I9915&lt;=1,2,0))</f>
        <v>1</v>
      </c>
      <c r="K9915">
        <v>0</v>
      </c>
      <c r="L9915">
        <f>IF(AND($J9915=0,$K9915=0),0,1)</f>
        <v>1</v>
      </c>
    </row>
    <row r="9916" spans="1:13" x14ac:dyDescent="0.2">
      <c r="A9916" t="s">
        <v>589</v>
      </c>
      <c r="B9916" t="s">
        <v>133</v>
      </c>
      <c r="C9916" t="s">
        <v>9</v>
      </c>
      <c r="D9916">
        <v>1603</v>
      </c>
      <c r="E9916">
        <v>2019</v>
      </c>
      <c r="F9916">
        <v>6</v>
      </c>
      <c r="G9916">
        <v>47043</v>
      </c>
      <c r="H9916" s="1">
        <v>0</v>
      </c>
      <c r="I9916">
        <v>15</v>
      </c>
      <c r="J9916">
        <f>IF($H9916=0,1,IF($I9916&lt;=1,2,0))</f>
        <v>1</v>
      </c>
      <c r="K9916">
        <v>0</v>
      </c>
      <c r="L9916">
        <f>IF(AND($J9916=0,$K9916=0),0,1)</f>
        <v>1</v>
      </c>
    </row>
    <row r="9917" spans="1:13" x14ac:dyDescent="0.2">
      <c r="A9917" t="s">
        <v>589</v>
      </c>
      <c r="B9917" t="s">
        <v>133</v>
      </c>
      <c r="C9917" t="s">
        <v>2</v>
      </c>
      <c r="D9917">
        <v>2001</v>
      </c>
      <c r="E9917">
        <v>2019</v>
      </c>
      <c r="F9917">
        <v>1</v>
      </c>
      <c r="G9917">
        <v>130</v>
      </c>
      <c r="H9917" s="1">
        <v>4.5</v>
      </c>
      <c r="I9917">
        <v>65</v>
      </c>
      <c r="J9917">
        <f>IF($H9917=0,1,IF($I9917&lt;=1,2,0))</f>
        <v>0</v>
      </c>
      <c r="K9917">
        <v>7</v>
      </c>
      <c r="L9917">
        <f>IF(AND($J9917=0,$K9917=0),0,1)</f>
        <v>1</v>
      </c>
      <c r="M9917" t="s">
        <v>595</v>
      </c>
    </row>
    <row r="9918" spans="1:13" x14ac:dyDescent="0.2">
      <c r="A9918" t="s">
        <v>589</v>
      </c>
      <c r="B9918" t="s">
        <v>133</v>
      </c>
      <c r="C9918" t="s">
        <v>2</v>
      </c>
      <c r="D9918">
        <v>2009</v>
      </c>
      <c r="E9918">
        <v>2019</v>
      </c>
      <c r="F9918">
        <v>1</v>
      </c>
      <c r="G9918">
        <v>129</v>
      </c>
      <c r="H9918" s="1">
        <v>1.5</v>
      </c>
      <c r="I9918">
        <v>11</v>
      </c>
      <c r="J9918">
        <f>IF($H9918=0,1,IF($I9918&lt;=1,2,0))</f>
        <v>0</v>
      </c>
      <c r="K9918">
        <v>7</v>
      </c>
      <c r="L9918">
        <f>IF(AND($J9918=0,$K9918=0),0,1)</f>
        <v>1</v>
      </c>
      <c r="M9918" t="s">
        <v>596</v>
      </c>
    </row>
    <row r="9919" spans="1:13" x14ac:dyDescent="0.2">
      <c r="A9919" t="s">
        <v>589</v>
      </c>
      <c r="B9919" t="s">
        <v>133</v>
      </c>
      <c r="C9919" t="s">
        <v>2</v>
      </c>
      <c r="D9919">
        <v>2010</v>
      </c>
      <c r="E9919">
        <v>2019</v>
      </c>
      <c r="F9919">
        <v>1</v>
      </c>
      <c r="G9919">
        <v>131</v>
      </c>
      <c r="H9919" s="1">
        <v>3</v>
      </c>
      <c r="I9919">
        <v>5</v>
      </c>
      <c r="J9919">
        <f>IF($H9919=0,1,IF($I9919&lt;=1,2,0))</f>
        <v>0</v>
      </c>
      <c r="K9919">
        <v>7</v>
      </c>
      <c r="L9919">
        <f>IF(AND($J9919=0,$K9919=0),0,1)</f>
        <v>1</v>
      </c>
    </row>
    <row r="9920" spans="1:13" x14ac:dyDescent="0.2">
      <c r="A9920" t="s">
        <v>589</v>
      </c>
      <c r="B9920" t="s">
        <v>133</v>
      </c>
      <c r="C9920" t="s">
        <v>9</v>
      </c>
      <c r="D9920">
        <v>2603</v>
      </c>
      <c r="E9920">
        <v>2019</v>
      </c>
      <c r="F9920">
        <v>1</v>
      </c>
      <c r="G9920">
        <v>18020</v>
      </c>
      <c r="H9920" s="1">
        <v>0</v>
      </c>
      <c r="I9920">
        <v>16</v>
      </c>
      <c r="J9920">
        <f>IF($H9920=0,1,IF($I9920&lt;=1,2,0))</f>
        <v>1</v>
      </c>
      <c r="K9920">
        <v>0</v>
      </c>
      <c r="L9920">
        <f>IF(AND($J9920=0,$K9920=0),0,1)</f>
        <v>1</v>
      </c>
    </row>
    <row r="9921" spans="1:13" x14ac:dyDescent="0.2">
      <c r="A9921" t="s">
        <v>589</v>
      </c>
      <c r="B9921" t="s">
        <v>133</v>
      </c>
      <c r="C9921" t="s">
        <v>9</v>
      </c>
      <c r="D9921">
        <v>2603</v>
      </c>
      <c r="E9921">
        <v>2019</v>
      </c>
      <c r="F9921">
        <v>3</v>
      </c>
      <c r="G9921">
        <v>18022</v>
      </c>
      <c r="H9921" s="1">
        <v>0</v>
      </c>
      <c r="I9921">
        <v>15</v>
      </c>
      <c r="J9921">
        <f>IF($H9921=0,1,IF($I9921&lt;=1,2,0))</f>
        <v>1</v>
      </c>
      <c r="K9921">
        <v>0</v>
      </c>
      <c r="L9921">
        <f>IF(AND($J9921=0,$K9921=0),0,1)</f>
        <v>1</v>
      </c>
    </row>
    <row r="9922" spans="1:13" x14ac:dyDescent="0.2">
      <c r="A9922" t="s">
        <v>589</v>
      </c>
      <c r="B9922" t="s">
        <v>133</v>
      </c>
      <c r="C9922" t="s">
        <v>9</v>
      </c>
      <c r="D9922">
        <v>2603</v>
      </c>
      <c r="E9922">
        <v>2019</v>
      </c>
      <c r="F9922">
        <v>2</v>
      </c>
      <c r="G9922">
        <v>18021</v>
      </c>
      <c r="H9922" s="1">
        <v>0</v>
      </c>
      <c r="I9922">
        <v>11</v>
      </c>
      <c r="J9922">
        <f>IF($H9922=0,1,IF($I9922&lt;=1,2,0))</f>
        <v>1</v>
      </c>
      <c r="K9922">
        <v>0</v>
      </c>
      <c r="L9922">
        <f>IF(AND($J9922=0,$K9922=0),0,1)</f>
        <v>1</v>
      </c>
    </row>
    <row r="9923" spans="1:13" x14ac:dyDescent="0.2">
      <c r="A9923" t="s">
        <v>589</v>
      </c>
      <c r="B9923" t="s">
        <v>133</v>
      </c>
      <c r="C9923" t="s">
        <v>9</v>
      </c>
      <c r="D9923">
        <v>2803</v>
      </c>
      <c r="E9923">
        <v>2019</v>
      </c>
      <c r="F9923">
        <v>3</v>
      </c>
      <c r="G9923">
        <v>47000</v>
      </c>
      <c r="H9923" s="1">
        <v>0</v>
      </c>
      <c r="I9923">
        <v>26</v>
      </c>
      <c r="J9923">
        <f>IF($H9923=0,1,IF($I9923&lt;=1,2,0))</f>
        <v>1</v>
      </c>
      <c r="K9923">
        <v>0</v>
      </c>
      <c r="L9923">
        <f>IF(AND($J9923=0,$K9923=0),0,1)</f>
        <v>1</v>
      </c>
    </row>
    <row r="9924" spans="1:13" x14ac:dyDescent="0.2">
      <c r="A9924" t="s">
        <v>589</v>
      </c>
      <c r="B9924" t="s">
        <v>133</v>
      </c>
      <c r="C9924" t="s">
        <v>9</v>
      </c>
      <c r="D9924">
        <v>2803</v>
      </c>
      <c r="E9924">
        <v>2019</v>
      </c>
      <c r="F9924">
        <v>2</v>
      </c>
      <c r="G9924">
        <v>46999</v>
      </c>
      <c r="H9924" s="1">
        <v>0</v>
      </c>
      <c r="I9924">
        <v>21</v>
      </c>
      <c r="J9924">
        <f>IF($H9924=0,1,IF($I9924&lt;=1,2,0))</f>
        <v>1</v>
      </c>
      <c r="K9924">
        <v>0</v>
      </c>
      <c r="L9924">
        <f>IF(AND($J9924=0,$K9924=0),0,1)</f>
        <v>1</v>
      </c>
    </row>
    <row r="9925" spans="1:13" x14ac:dyDescent="0.2">
      <c r="A9925" t="s">
        <v>589</v>
      </c>
      <c r="B9925" t="s">
        <v>133</v>
      </c>
      <c r="C9925" t="s">
        <v>2</v>
      </c>
      <c r="D9925">
        <v>3001</v>
      </c>
      <c r="E9925">
        <v>2019</v>
      </c>
      <c r="F9925">
        <v>1</v>
      </c>
      <c r="G9925">
        <v>132</v>
      </c>
      <c r="H9925" s="1">
        <v>5</v>
      </c>
      <c r="I9925">
        <v>12</v>
      </c>
      <c r="J9925">
        <f>IF($H9925=0,1,IF($I9925&lt;=1,2,0))</f>
        <v>0</v>
      </c>
      <c r="K9925">
        <v>7</v>
      </c>
      <c r="L9925">
        <f>IF(AND($J9925=0,$K9925=0),0,1)</f>
        <v>1</v>
      </c>
    </row>
    <row r="9926" spans="1:13" x14ac:dyDescent="0.2">
      <c r="A9926" t="s">
        <v>589</v>
      </c>
      <c r="B9926" t="s">
        <v>133</v>
      </c>
      <c r="C9926" t="s">
        <v>2</v>
      </c>
      <c r="D9926">
        <v>3010</v>
      </c>
      <c r="E9926">
        <v>2019</v>
      </c>
      <c r="F9926">
        <v>1</v>
      </c>
      <c r="G9926">
        <v>128</v>
      </c>
      <c r="H9926" s="1">
        <v>3</v>
      </c>
      <c r="I9926">
        <v>0</v>
      </c>
      <c r="J9926">
        <f>IF($H9926=0,1,IF($I9926&lt;=1,2,0))</f>
        <v>2</v>
      </c>
      <c r="K9926">
        <v>7</v>
      </c>
      <c r="L9926">
        <f>IF(AND($J9926=0,$K9926=0),0,1)</f>
        <v>1</v>
      </c>
    </row>
    <row r="9927" spans="1:13" x14ac:dyDescent="0.2">
      <c r="A9927" t="s">
        <v>589</v>
      </c>
      <c r="B9927" t="s">
        <v>133</v>
      </c>
      <c r="C9927" t="s">
        <v>2</v>
      </c>
      <c r="D9927">
        <v>3088</v>
      </c>
      <c r="E9927">
        <v>2019</v>
      </c>
      <c r="F9927">
        <v>1</v>
      </c>
      <c r="G9927">
        <v>9060</v>
      </c>
      <c r="H9927" s="1">
        <v>3</v>
      </c>
      <c r="I9927">
        <v>5</v>
      </c>
      <c r="J9927">
        <f>IF($H9927=0,1,IF($I9927&lt;=1,2,0))</f>
        <v>0</v>
      </c>
      <c r="K9927">
        <v>7</v>
      </c>
      <c r="L9927">
        <f>IF(AND($J9927=0,$K9927=0),0,1)</f>
        <v>1</v>
      </c>
    </row>
    <row r="9928" spans="1:13" x14ac:dyDescent="0.2">
      <c r="A9928" t="s">
        <v>589</v>
      </c>
      <c r="B9928" t="s">
        <v>133</v>
      </c>
      <c r="C9928" t="s">
        <v>9</v>
      </c>
      <c r="D9928">
        <v>3900</v>
      </c>
      <c r="E9928">
        <v>2019</v>
      </c>
      <c r="F9928">
        <v>1</v>
      </c>
      <c r="G9928">
        <v>47044</v>
      </c>
      <c r="H9928" s="1" t="s">
        <v>1844</v>
      </c>
      <c r="I9928">
        <v>4</v>
      </c>
      <c r="J9928">
        <f>IF($H9928=0,1,IF($I9928&lt;=1,2,0))</f>
        <v>0</v>
      </c>
      <c r="K9928">
        <v>9</v>
      </c>
      <c r="L9928">
        <f>IF(AND($J9928=0,$K9928=0),0,1)</f>
        <v>1</v>
      </c>
    </row>
    <row r="9929" spans="1:13" x14ac:dyDescent="0.2">
      <c r="A9929" t="s">
        <v>589</v>
      </c>
      <c r="B9929" t="s">
        <v>133</v>
      </c>
      <c r="C9929" t="s">
        <v>2</v>
      </c>
      <c r="D9929">
        <v>3900</v>
      </c>
      <c r="E9929">
        <v>2019</v>
      </c>
      <c r="F9929">
        <v>1</v>
      </c>
      <c r="G9929">
        <v>9065</v>
      </c>
      <c r="H9929" s="1" t="s">
        <v>1844</v>
      </c>
      <c r="I9929">
        <v>1</v>
      </c>
      <c r="J9929">
        <f>IF($H9929=0,1,IF($I9929&lt;=1,2,0))</f>
        <v>2</v>
      </c>
      <c r="K9929">
        <v>7</v>
      </c>
      <c r="L9929">
        <f>IF(AND($J9929=0,$K9929=0),0,1)</f>
        <v>1</v>
      </c>
    </row>
    <row r="9930" spans="1:13" x14ac:dyDescent="0.2">
      <c r="A9930" t="s">
        <v>589</v>
      </c>
      <c r="B9930" t="s">
        <v>133</v>
      </c>
      <c r="C9930" t="s">
        <v>11</v>
      </c>
      <c r="D9930">
        <v>6905</v>
      </c>
      <c r="E9930">
        <v>2019</v>
      </c>
      <c r="F9930">
        <v>1</v>
      </c>
      <c r="G9930">
        <v>47030</v>
      </c>
      <c r="H9930" s="1">
        <v>0</v>
      </c>
      <c r="I9930">
        <v>18</v>
      </c>
      <c r="J9930">
        <f>IF($H9930=0,1,IF($I9930&lt;=1,2,0))</f>
        <v>1</v>
      </c>
      <c r="K9930">
        <v>0</v>
      </c>
      <c r="L9930">
        <f>IF(AND($J9930=0,$K9930=0),0,1)</f>
        <v>1</v>
      </c>
    </row>
    <row r="9931" spans="1:13" x14ac:dyDescent="0.2">
      <c r="A9931" t="s">
        <v>600</v>
      </c>
      <c r="B9931" t="s">
        <v>17</v>
      </c>
      <c r="C9931" t="s">
        <v>9</v>
      </c>
      <c r="D9931">
        <v>3997</v>
      </c>
      <c r="E9931">
        <v>2019</v>
      </c>
      <c r="F9931">
        <v>1</v>
      </c>
      <c r="G9931">
        <v>13399</v>
      </c>
      <c r="H9931" s="1" t="s">
        <v>1823</v>
      </c>
      <c r="I9931">
        <v>2</v>
      </c>
      <c r="J9931">
        <f>IF($H9931=0,1,IF($I9931&lt;=1,2,0))</f>
        <v>0</v>
      </c>
      <c r="K9931">
        <v>9</v>
      </c>
      <c r="L9931">
        <f>IF(AND($J9931=0,$K9931=0),0,1)</f>
        <v>1</v>
      </c>
    </row>
    <row r="9932" spans="1:13" x14ac:dyDescent="0.2">
      <c r="A9932" t="s">
        <v>601</v>
      </c>
      <c r="B9932" t="s">
        <v>6</v>
      </c>
      <c r="C9932" t="s">
        <v>33</v>
      </c>
      <c r="D9932">
        <v>358</v>
      </c>
      <c r="E9932">
        <v>2019</v>
      </c>
      <c r="F9932">
        <v>1</v>
      </c>
      <c r="G9932">
        <v>19352</v>
      </c>
      <c r="H9932" s="1">
        <v>4</v>
      </c>
      <c r="I9932">
        <v>0</v>
      </c>
      <c r="J9932">
        <f>IF($H9932=0,1,IF($I9932&lt;=1,2,0))</f>
        <v>2</v>
      </c>
      <c r="K9932">
        <v>0</v>
      </c>
      <c r="L9932">
        <f>IF(AND($J9932=0,$K9932=0),0,1)</f>
        <v>1</v>
      </c>
    </row>
    <row r="9933" spans="1:13" x14ac:dyDescent="0.2">
      <c r="A9933" t="s">
        <v>601</v>
      </c>
      <c r="B9933" t="s">
        <v>6</v>
      </c>
      <c r="C9933" t="s">
        <v>33</v>
      </c>
      <c r="D9933">
        <v>358</v>
      </c>
      <c r="E9933">
        <v>2019</v>
      </c>
      <c r="F9933">
        <v>2</v>
      </c>
      <c r="G9933">
        <v>19353</v>
      </c>
      <c r="H9933" s="1">
        <v>4</v>
      </c>
      <c r="I9933">
        <v>0</v>
      </c>
      <c r="J9933">
        <f>IF($H9933=0,1,IF($I9933&lt;=1,2,0))</f>
        <v>2</v>
      </c>
      <c r="K9933">
        <v>0</v>
      </c>
      <c r="L9933">
        <f>IF(AND($J9933=0,$K9933=0),0,1)</f>
        <v>1</v>
      </c>
    </row>
    <row r="9934" spans="1:13" x14ac:dyDescent="0.2">
      <c r="A9934" t="s">
        <v>601</v>
      </c>
      <c r="B9934" t="s">
        <v>6</v>
      </c>
      <c r="C9934" t="s">
        <v>33</v>
      </c>
      <c r="D9934">
        <v>358</v>
      </c>
      <c r="E9934">
        <v>2019</v>
      </c>
      <c r="F9934">
        <v>3</v>
      </c>
      <c r="G9934">
        <v>19354</v>
      </c>
      <c r="H9934" s="1">
        <v>4</v>
      </c>
      <c r="I9934">
        <v>0</v>
      </c>
      <c r="J9934">
        <f>IF($H9934=0,1,IF($I9934&lt;=1,2,0))</f>
        <v>2</v>
      </c>
      <c r="K9934">
        <v>0</v>
      </c>
      <c r="L9934">
        <f>IF(AND($J9934=0,$K9934=0),0,1)</f>
        <v>1</v>
      </c>
    </row>
    <row r="9935" spans="1:13" x14ac:dyDescent="0.2">
      <c r="A9935" t="s">
        <v>601</v>
      </c>
      <c r="B9935" t="s">
        <v>6</v>
      </c>
      <c r="C9935" t="s">
        <v>21</v>
      </c>
      <c r="D9935">
        <v>1111</v>
      </c>
      <c r="E9935">
        <v>2019</v>
      </c>
      <c r="F9935">
        <v>4</v>
      </c>
      <c r="G9935">
        <v>17908</v>
      </c>
      <c r="H9935" s="1">
        <v>0</v>
      </c>
      <c r="I9935">
        <v>21</v>
      </c>
      <c r="J9935">
        <f>IF($H9935=0,1,IF($I9935&lt;=1,2,0))</f>
        <v>1</v>
      </c>
      <c r="K9935">
        <v>0</v>
      </c>
      <c r="L9935">
        <f>IF(AND($J9935=0,$K9935=0),0,1)</f>
        <v>1</v>
      </c>
      <c r="M9935" t="s">
        <v>603</v>
      </c>
    </row>
    <row r="9936" spans="1:13" x14ac:dyDescent="0.2">
      <c r="A9936" t="s">
        <v>601</v>
      </c>
      <c r="B9936" t="s">
        <v>6</v>
      </c>
      <c r="C9936" t="s">
        <v>21</v>
      </c>
      <c r="D9936">
        <v>1111</v>
      </c>
      <c r="E9936">
        <v>2019</v>
      </c>
      <c r="F9936">
        <v>3</v>
      </c>
      <c r="G9936">
        <v>17907</v>
      </c>
      <c r="H9936" s="1">
        <v>0</v>
      </c>
      <c r="I9936">
        <v>20</v>
      </c>
      <c r="J9936">
        <f>IF($H9936=0,1,IF($I9936&lt;=1,2,0))</f>
        <v>1</v>
      </c>
      <c r="K9936">
        <v>0</v>
      </c>
      <c r="L9936">
        <f>IF(AND($J9936=0,$K9936=0),0,1)</f>
        <v>1</v>
      </c>
      <c r="M9936" t="s">
        <v>603</v>
      </c>
    </row>
    <row r="9937" spans="1:13" x14ac:dyDescent="0.2">
      <c r="A9937" t="s">
        <v>601</v>
      </c>
      <c r="B9937" t="s">
        <v>6</v>
      </c>
      <c r="C9937" t="s">
        <v>21</v>
      </c>
      <c r="D9937">
        <v>1111</v>
      </c>
      <c r="E9937">
        <v>2019</v>
      </c>
      <c r="F9937">
        <v>5</v>
      </c>
      <c r="G9937">
        <v>17909</v>
      </c>
      <c r="H9937" s="1">
        <v>0</v>
      </c>
      <c r="I9937">
        <v>19</v>
      </c>
      <c r="J9937">
        <f>IF($H9937=0,1,IF($I9937&lt;=1,2,0))</f>
        <v>1</v>
      </c>
      <c r="K9937">
        <v>0</v>
      </c>
      <c r="L9937">
        <f>IF(AND($J9937=0,$K9937=0),0,1)</f>
        <v>1</v>
      </c>
      <c r="M9937" t="s">
        <v>603</v>
      </c>
    </row>
    <row r="9938" spans="1:13" x14ac:dyDescent="0.2">
      <c r="A9938" t="s">
        <v>601</v>
      </c>
      <c r="B9938" t="s">
        <v>6</v>
      </c>
      <c r="C9938" t="s">
        <v>21</v>
      </c>
      <c r="D9938">
        <v>1111</v>
      </c>
      <c r="E9938">
        <v>2019</v>
      </c>
      <c r="F9938">
        <v>6</v>
      </c>
      <c r="G9938">
        <v>17910</v>
      </c>
      <c r="H9938" s="1">
        <v>0</v>
      </c>
      <c r="I9938">
        <v>17</v>
      </c>
      <c r="J9938">
        <f>IF($H9938=0,1,IF($I9938&lt;=1,2,0))</f>
        <v>1</v>
      </c>
      <c r="K9938">
        <v>0</v>
      </c>
      <c r="L9938">
        <f>IF(AND($J9938=0,$K9938=0),0,1)</f>
        <v>1</v>
      </c>
      <c r="M9938" t="s">
        <v>603</v>
      </c>
    </row>
    <row r="9939" spans="1:13" x14ac:dyDescent="0.2">
      <c r="A9939" t="s">
        <v>601</v>
      </c>
      <c r="B9939" t="s">
        <v>6</v>
      </c>
      <c r="C9939" t="s">
        <v>21</v>
      </c>
      <c r="D9939">
        <v>1111</v>
      </c>
      <c r="E9939">
        <v>2019</v>
      </c>
      <c r="F9939">
        <v>1</v>
      </c>
      <c r="G9939">
        <v>47195</v>
      </c>
      <c r="H9939" s="1">
        <v>0</v>
      </c>
      <c r="I9939">
        <v>13</v>
      </c>
      <c r="J9939">
        <f>IF($H9939=0,1,IF($I9939&lt;=1,2,0))</f>
        <v>1</v>
      </c>
      <c r="K9939">
        <v>0</v>
      </c>
      <c r="L9939">
        <f>IF(AND($J9939=0,$K9939=0),0,1)</f>
        <v>1</v>
      </c>
      <c r="M9939" t="s">
        <v>603</v>
      </c>
    </row>
    <row r="9940" spans="1:13" x14ac:dyDescent="0.2">
      <c r="A9940" t="s">
        <v>601</v>
      </c>
      <c r="B9940" t="s">
        <v>6</v>
      </c>
      <c r="C9940" t="s">
        <v>21</v>
      </c>
      <c r="D9940">
        <v>1111</v>
      </c>
      <c r="E9940">
        <v>2019</v>
      </c>
      <c r="F9940">
        <v>2</v>
      </c>
      <c r="G9940">
        <v>47196</v>
      </c>
      <c r="H9940" s="1">
        <v>0</v>
      </c>
      <c r="I9940">
        <v>5</v>
      </c>
      <c r="J9940">
        <f>IF($H9940=0,1,IF($I9940&lt;=1,2,0))</f>
        <v>1</v>
      </c>
      <c r="K9940">
        <v>0</v>
      </c>
      <c r="L9940">
        <f>IF(AND($J9940=0,$K9940=0),0,1)</f>
        <v>1</v>
      </c>
      <c r="M9940" t="s">
        <v>603</v>
      </c>
    </row>
    <row r="9941" spans="1:13" x14ac:dyDescent="0.2">
      <c r="A9941" t="s">
        <v>601</v>
      </c>
      <c r="B9941" t="s">
        <v>6</v>
      </c>
      <c r="C9941" t="s">
        <v>9</v>
      </c>
      <c r="D9941">
        <v>1211</v>
      </c>
      <c r="E9941">
        <v>2019</v>
      </c>
      <c r="F9941">
        <v>4</v>
      </c>
      <c r="G9941">
        <v>180</v>
      </c>
      <c r="H9941" s="1">
        <v>0</v>
      </c>
      <c r="I9941">
        <v>21</v>
      </c>
      <c r="J9941">
        <f>IF($H9941=0,1,IF($I9941&lt;=1,2,0))</f>
        <v>1</v>
      </c>
      <c r="K9941">
        <v>0</v>
      </c>
      <c r="L9941">
        <f>IF(AND($J9941=0,$K9941=0),0,1)</f>
        <v>1</v>
      </c>
    </row>
    <row r="9942" spans="1:13" x14ac:dyDescent="0.2">
      <c r="A9942" t="s">
        <v>601</v>
      </c>
      <c r="B9942" t="s">
        <v>6</v>
      </c>
      <c r="C9942" t="s">
        <v>9</v>
      </c>
      <c r="D9942">
        <v>1211</v>
      </c>
      <c r="E9942">
        <v>2019</v>
      </c>
      <c r="F9942">
        <v>1</v>
      </c>
      <c r="G9942">
        <v>177</v>
      </c>
      <c r="H9942" s="1">
        <v>0</v>
      </c>
      <c r="I9942">
        <v>20</v>
      </c>
      <c r="J9942">
        <f>IF($H9942=0,1,IF($I9942&lt;=1,2,0))</f>
        <v>1</v>
      </c>
      <c r="K9942">
        <v>0</v>
      </c>
      <c r="L9942">
        <f>IF(AND($J9942=0,$K9942=0),0,1)</f>
        <v>1</v>
      </c>
    </row>
    <row r="9943" spans="1:13" x14ac:dyDescent="0.2">
      <c r="A9943" t="s">
        <v>601</v>
      </c>
      <c r="B9943" t="s">
        <v>6</v>
      </c>
      <c r="C9943" t="s">
        <v>9</v>
      </c>
      <c r="D9943">
        <v>1211</v>
      </c>
      <c r="E9943">
        <v>2019</v>
      </c>
      <c r="F9943">
        <v>2</v>
      </c>
      <c r="G9943">
        <v>178</v>
      </c>
      <c r="H9943" s="1">
        <v>0</v>
      </c>
      <c r="I9943">
        <v>20</v>
      </c>
      <c r="J9943">
        <f>IF($H9943=0,1,IF($I9943&lt;=1,2,0))</f>
        <v>1</v>
      </c>
      <c r="K9943">
        <v>0</v>
      </c>
      <c r="L9943">
        <f>IF(AND($J9943=0,$K9943=0),0,1)</f>
        <v>1</v>
      </c>
    </row>
    <row r="9944" spans="1:13" x14ac:dyDescent="0.2">
      <c r="A9944" t="s">
        <v>601</v>
      </c>
      <c r="B9944" t="s">
        <v>6</v>
      </c>
      <c r="C9944" t="s">
        <v>9</v>
      </c>
      <c r="D9944">
        <v>1211</v>
      </c>
      <c r="E9944">
        <v>2019</v>
      </c>
      <c r="F9944">
        <v>10</v>
      </c>
      <c r="G9944">
        <v>186</v>
      </c>
      <c r="H9944" s="1">
        <v>0</v>
      </c>
      <c r="I9944">
        <v>20</v>
      </c>
      <c r="J9944">
        <f>IF($H9944=0,1,IF($I9944&lt;=1,2,0))</f>
        <v>1</v>
      </c>
      <c r="K9944">
        <v>0</v>
      </c>
      <c r="L9944">
        <f>IF(AND($J9944=0,$K9944=0),0,1)</f>
        <v>1</v>
      </c>
    </row>
    <row r="9945" spans="1:13" x14ac:dyDescent="0.2">
      <c r="A9945" t="s">
        <v>601</v>
      </c>
      <c r="B9945" t="s">
        <v>6</v>
      </c>
      <c r="C9945" t="s">
        <v>9</v>
      </c>
      <c r="D9945">
        <v>1211</v>
      </c>
      <c r="E9945">
        <v>2019</v>
      </c>
      <c r="F9945">
        <v>13</v>
      </c>
      <c r="G9945">
        <v>189</v>
      </c>
      <c r="H9945" s="1">
        <v>0</v>
      </c>
      <c r="I9945">
        <v>20</v>
      </c>
      <c r="J9945">
        <f>IF($H9945=0,1,IF($I9945&lt;=1,2,0))</f>
        <v>1</v>
      </c>
      <c r="K9945">
        <v>0</v>
      </c>
      <c r="L9945">
        <f>IF(AND($J9945=0,$K9945=0),0,1)</f>
        <v>1</v>
      </c>
    </row>
    <row r="9946" spans="1:13" x14ac:dyDescent="0.2">
      <c r="A9946" t="s">
        <v>601</v>
      </c>
      <c r="B9946" t="s">
        <v>6</v>
      </c>
      <c r="C9946" t="s">
        <v>9</v>
      </c>
      <c r="D9946">
        <v>1211</v>
      </c>
      <c r="E9946">
        <v>2019</v>
      </c>
      <c r="F9946">
        <v>14</v>
      </c>
      <c r="G9946">
        <v>190</v>
      </c>
      <c r="H9946" s="1">
        <v>0</v>
      </c>
      <c r="I9946">
        <v>20</v>
      </c>
      <c r="J9946">
        <f>IF($H9946=0,1,IF($I9946&lt;=1,2,0))</f>
        <v>1</v>
      </c>
      <c r="K9946">
        <v>0</v>
      </c>
      <c r="L9946">
        <f>IF(AND($J9946=0,$K9946=0),0,1)</f>
        <v>1</v>
      </c>
    </row>
    <row r="9947" spans="1:13" x14ac:dyDescent="0.2">
      <c r="A9947" t="s">
        <v>601</v>
      </c>
      <c r="B9947" t="s">
        <v>6</v>
      </c>
      <c r="C9947" t="s">
        <v>9</v>
      </c>
      <c r="D9947">
        <v>1211</v>
      </c>
      <c r="E9947">
        <v>2019</v>
      </c>
      <c r="F9947">
        <v>15</v>
      </c>
      <c r="G9947">
        <v>191</v>
      </c>
      <c r="H9947" s="1">
        <v>0</v>
      </c>
      <c r="I9947">
        <v>20</v>
      </c>
      <c r="J9947">
        <f>IF($H9947=0,1,IF($I9947&lt;=1,2,0))</f>
        <v>1</v>
      </c>
      <c r="K9947">
        <v>0</v>
      </c>
      <c r="L9947">
        <f>IF(AND($J9947=0,$K9947=0),0,1)</f>
        <v>1</v>
      </c>
    </row>
    <row r="9948" spans="1:13" x14ac:dyDescent="0.2">
      <c r="A9948" t="s">
        <v>601</v>
      </c>
      <c r="B9948" t="s">
        <v>6</v>
      </c>
      <c r="C9948" t="s">
        <v>9</v>
      </c>
      <c r="D9948">
        <v>1211</v>
      </c>
      <c r="E9948">
        <v>2019</v>
      </c>
      <c r="F9948">
        <v>3</v>
      </c>
      <c r="G9948">
        <v>179</v>
      </c>
      <c r="H9948" s="1">
        <v>0</v>
      </c>
      <c r="I9948">
        <v>19</v>
      </c>
      <c r="J9948">
        <f>IF($H9948=0,1,IF($I9948&lt;=1,2,0))</f>
        <v>1</v>
      </c>
      <c r="K9948">
        <v>0</v>
      </c>
      <c r="L9948">
        <f>IF(AND($J9948=0,$K9948=0),0,1)</f>
        <v>1</v>
      </c>
    </row>
    <row r="9949" spans="1:13" x14ac:dyDescent="0.2">
      <c r="A9949" t="s">
        <v>601</v>
      </c>
      <c r="B9949" t="s">
        <v>6</v>
      </c>
      <c r="C9949" t="s">
        <v>9</v>
      </c>
      <c r="D9949">
        <v>1211</v>
      </c>
      <c r="E9949">
        <v>2019</v>
      </c>
      <c r="F9949">
        <v>8</v>
      </c>
      <c r="G9949">
        <v>184</v>
      </c>
      <c r="H9949" s="1">
        <v>0</v>
      </c>
      <c r="I9949">
        <v>19</v>
      </c>
      <c r="J9949">
        <f>IF($H9949=0,1,IF($I9949&lt;=1,2,0))</f>
        <v>1</v>
      </c>
      <c r="K9949">
        <v>0</v>
      </c>
      <c r="L9949">
        <f>IF(AND($J9949=0,$K9949=0),0,1)</f>
        <v>1</v>
      </c>
    </row>
    <row r="9950" spans="1:13" x14ac:dyDescent="0.2">
      <c r="A9950" t="s">
        <v>601</v>
      </c>
      <c r="B9950" t="s">
        <v>6</v>
      </c>
      <c r="C9950" t="s">
        <v>9</v>
      </c>
      <c r="D9950">
        <v>1211</v>
      </c>
      <c r="E9950">
        <v>2019</v>
      </c>
      <c r="F9950">
        <v>9</v>
      </c>
      <c r="G9950">
        <v>185</v>
      </c>
      <c r="H9950" s="1">
        <v>0</v>
      </c>
      <c r="I9950">
        <v>19</v>
      </c>
      <c r="J9950">
        <f>IF($H9950=0,1,IF($I9950&lt;=1,2,0))</f>
        <v>1</v>
      </c>
      <c r="K9950">
        <v>0</v>
      </c>
      <c r="L9950">
        <f>IF(AND($J9950=0,$K9950=0),0,1)</f>
        <v>1</v>
      </c>
    </row>
    <row r="9951" spans="1:13" x14ac:dyDescent="0.2">
      <c r="A9951" t="s">
        <v>601</v>
      </c>
      <c r="B9951" t="s">
        <v>6</v>
      </c>
      <c r="C9951" t="s">
        <v>9</v>
      </c>
      <c r="D9951">
        <v>1211</v>
      </c>
      <c r="E9951">
        <v>2019</v>
      </c>
      <c r="F9951">
        <v>11</v>
      </c>
      <c r="G9951">
        <v>187</v>
      </c>
      <c r="H9951" s="1">
        <v>0</v>
      </c>
      <c r="I9951">
        <v>19</v>
      </c>
      <c r="J9951">
        <f>IF($H9951=0,1,IF($I9951&lt;=1,2,0))</f>
        <v>1</v>
      </c>
      <c r="K9951">
        <v>0</v>
      </c>
      <c r="L9951">
        <f>IF(AND($J9951=0,$K9951=0),0,1)</f>
        <v>1</v>
      </c>
    </row>
    <row r="9952" spans="1:13" x14ac:dyDescent="0.2">
      <c r="A9952" t="s">
        <v>601</v>
      </c>
      <c r="B9952" t="s">
        <v>6</v>
      </c>
      <c r="C9952" t="s">
        <v>9</v>
      </c>
      <c r="D9952">
        <v>1211</v>
      </c>
      <c r="E9952">
        <v>2019</v>
      </c>
      <c r="F9952">
        <v>18</v>
      </c>
      <c r="G9952">
        <v>194</v>
      </c>
      <c r="H9952" s="1">
        <v>0</v>
      </c>
      <c r="I9952">
        <v>19</v>
      </c>
      <c r="J9952">
        <f>IF($H9952=0,1,IF($I9952&lt;=1,2,0))</f>
        <v>1</v>
      </c>
      <c r="K9952">
        <v>0</v>
      </c>
      <c r="L9952">
        <f>IF(AND($J9952=0,$K9952=0),0,1)</f>
        <v>1</v>
      </c>
    </row>
    <row r="9953" spans="1:13" x14ac:dyDescent="0.2">
      <c r="A9953" t="s">
        <v>601</v>
      </c>
      <c r="B9953" t="s">
        <v>6</v>
      </c>
      <c r="C9953" t="s">
        <v>9</v>
      </c>
      <c r="D9953">
        <v>1211</v>
      </c>
      <c r="E9953">
        <v>2019</v>
      </c>
      <c r="F9953">
        <v>16</v>
      </c>
      <c r="G9953">
        <v>192</v>
      </c>
      <c r="H9953" s="1">
        <v>0</v>
      </c>
      <c r="I9953">
        <v>18</v>
      </c>
      <c r="J9953">
        <f>IF($H9953=0,1,IF($I9953&lt;=1,2,0))</f>
        <v>1</v>
      </c>
      <c r="K9953">
        <v>0</v>
      </c>
      <c r="L9953">
        <f>IF(AND($J9953=0,$K9953=0),0,1)</f>
        <v>1</v>
      </c>
    </row>
    <row r="9954" spans="1:13" x14ac:dyDescent="0.2">
      <c r="A9954" t="s">
        <v>601</v>
      </c>
      <c r="B9954" t="s">
        <v>6</v>
      </c>
      <c r="C9954" t="s">
        <v>9</v>
      </c>
      <c r="D9954">
        <v>1211</v>
      </c>
      <c r="E9954">
        <v>2019</v>
      </c>
      <c r="F9954">
        <v>12</v>
      </c>
      <c r="G9954">
        <v>188</v>
      </c>
      <c r="H9954" s="1">
        <v>0</v>
      </c>
      <c r="I9954">
        <v>17</v>
      </c>
      <c r="J9954">
        <f>IF($H9954=0,1,IF($I9954&lt;=1,2,0))</f>
        <v>1</v>
      </c>
      <c r="K9954">
        <v>0</v>
      </c>
      <c r="L9954">
        <f>IF(AND($J9954=0,$K9954=0),0,1)</f>
        <v>1</v>
      </c>
      <c r="M9954" t="s">
        <v>588</v>
      </c>
    </row>
    <row r="9955" spans="1:13" x14ac:dyDescent="0.2">
      <c r="A9955" t="s">
        <v>601</v>
      </c>
      <c r="B9955" t="s">
        <v>6</v>
      </c>
      <c r="C9955" t="s">
        <v>9</v>
      </c>
      <c r="D9955">
        <v>1211</v>
      </c>
      <c r="E9955">
        <v>2019</v>
      </c>
      <c r="F9955">
        <v>5</v>
      </c>
      <c r="G9955">
        <v>181</v>
      </c>
      <c r="H9955" s="1">
        <v>0</v>
      </c>
      <c r="I9955">
        <v>16</v>
      </c>
      <c r="J9955">
        <f>IF($H9955=0,1,IF($I9955&lt;=1,2,0))</f>
        <v>1</v>
      </c>
      <c r="K9955">
        <v>0</v>
      </c>
      <c r="L9955">
        <f>IF(AND($J9955=0,$K9955=0),0,1)</f>
        <v>1</v>
      </c>
    </row>
    <row r="9956" spans="1:13" x14ac:dyDescent="0.2">
      <c r="A9956" t="s">
        <v>601</v>
      </c>
      <c r="B9956" t="s">
        <v>6</v>
      </c>
      <c r="C9956" t="s">
        <v>9</v>
      </c>
      <c r="D9956">
        <v>1211</v>
      </c>
      <c r="E9956">
        <v>2019</v>
      </c>
      <c r="F9956">
        <v>7</v>
      </c>
      <c r="G9956">
        <v>183</v>
      </c>
      <c r="H9956" s="1">
        <v>0</v>
      </c>
      <c r="I9956">
        <v>16</v>
      </c>
      <c r="J9956">
        <f>IF($H9956=0,1,IF($I9956&lt;=1,2,0))</f>
        <v>1</v>
      </c>
      <c r="K9956">
        <v>0</v>
      </c>
      <c r="L9956">
        <f>IF(AND($J9956=0,$K9956=0),0,1)</f>
        <v>1</v>
      </c>
    </row>
    <row r="9957" spans="1:13" x14ac:dyDescent="0.2">
      <c r="A9957" t="s">
        <v>601</v>
      </c>
      <c r="B9957" t="s">
        <v>6</v>
      </c>
      <c r="C9957" t="s">
        <v>9</v>
      </c>
      <c r="D9957">
        <v>1211</v>
      </c>
      <c r="E9957">
        <v>2019</v>
      </c>
      <c r="F9957">
        <v>19</v>
      </c>
      <c r="G9957">
        <v>195</v>
      </c>
      <c r="H9957" s="1">
        <v>0</v>
      </c>
      <c r="I9957">
        <v>15</v>
      </c>
      <c r="J9957">
        <f>IF($H9957=0,1,IF($I9957&lt;=1,2,0))</f>
        <v>1</v>
      </c>
      <c r="K9957">
        <v>0</v>
      </c>
      <c r="L9957">
        <f>IF(AND($J9957=0,$K9957=0),0,1)</f>
        <v>1</v>
      </c>
    </row>
    <row r="9958" spans="1:13" x14ac:dyDescent="0.2">
      <c r="A9958" t="s">
        <v>601</v>
      </c>
      <c r="B9958" t="s">
        <v>6</v>
      </c>
      <c r="C9958" t="s">
        <v>9</v>
      </c>
      <c r="D9958">
        <v>1211</v>
      </c>
      <c r="E9958">
        <v>2019</v>
      </c>
      <c r="F9958">
        <v>17</v>
      </c>
      <c r="G9958">
        <v>193</v>
      </c>
      <c r="H9958" s="1">
        <v>0</v>
      </c>
      <c r="I9958">
        <v>6</v>
      </c>
      <c r="J9958">
        <f>IF($H9958=0,1,IF($I9958&lt;=1,2,0))</f>
        <v>1</v>
      </c>
      <c r="K9958">
        <v>0</v>
      </c>
      <c r="L9958">
        <f>IF(AND($J9958=0,$K9958=0),0,1)</f>
        <v>1</v>
      </c>
    </row>
    <row r="9959" spans="1:13" x14ac:dyDescent="0.2">
      <c r="A9959" t="s">
        <v>601</v>
      </c>
      <c r="B9959" t="s">
        <v>6</v>
      </c>
      <c r="C9959" t="s">
        <v>21</v>
      </c>
      <c r="D9959">
        <v>1511</v>
      </c>
      <c r="E9959">
        <v>2019</v>
      </c>
      <c r="F9959">
        <v>5</v>
      </c>
      <c r="G9959">
        <v>17911</v>
      </c>
      <c r="H9959" s="1">
        <v>0</v>
      </c>
      <c r="I9959">
        <v>17</v>
      </c>
      <c r="J9959">
        <f>IF($H9959=0,1,IF($I9959&lt;=1,2,0))</f>
        <v>1</v>
      </c>
      <c r="K9959">
        <v>0</v>
      </c>
      <c r="L9959">
        <f>IF(AND($J9959=0,$K9959=0),0,1)</f>
        <v>1</v>
      </c>
      <c r="M9959" t="s">
        <v>603</v>
      </c>
    </row>
    <row r="9960" spans="1:13" x14ac:dyDescent="0.2">
      <c r="A9960" t="s">
        <v>601</v>
      </c>
      <c r="B9960" t="s">
        <v>6</v>
      </c>
      <c r="C9960" t="s">
        <v>21</v>
      </c>
      <c r="D9960">
        <v>1511</v>
      </c>
      <c r="E9960">
        <v>2019</v>
      </c>
      <c r="F9960">
        <v>2</v>
      </c>
      <c r="G9960">
        <v>47199</v>
      </c>
      <c r="H9960" s="1">
        <v>0</v>
      </c>
      <c r="I9960">
        <v>15</v>
      </c>
      <c r="J9960">
        <f>IF($H9960=0,1,IF($I9960&lt;=1,2,0))</f>
        <v>1</v>
      </c>
      <c r="K9960">
        <v>0</v>
      </c>
      <c r="L9960">
        <f>IF(AND($J9960=0,$K9960=0),0,1)</f>
        <v>1</v>
      </c>
      <c r="M9960" t="s">
        <v>603</v>
      </c>
    </row>
    <row r="9961" spans="1:13" x14ac:dyDescent="0.2">
      <c r="A9961" t="s">
        <v>601</v>
      </c>
      <c r="B9961" t="s">
        <v>6</v>
      </c>
      <c r="C9961" t="s">
        <v>21</v>
      </c>
      <c r="D9961">
        <v>1511</v>
      </c>
      <c r="E9961">
        <v>2019</v>
      </c>
      <c r="F9961">
        <v>6</v>
      </c>
      <c r="G9961">
        <v>17912</v>
      </c>
      <c r="H9961" s="1">
        <v>0</v>
      </c>
      <c r="I9961">
        <v>11</v>
      </c>
      <c r="J9961">
        <f>IF($H9961=0,1,IF($I9961&lt;=1,2,0))</f>
        <v>1</v>
      </c>
      <c r="K9961">
        <v>0</v>
      </c>
      <c r="L9961">
        <f>IF(AND($J9961=0,$K9961=0),0,1)</f>
        <v>1</v>
      </c>
      <c r="M9961" t="s">
        <v>603</v>
      </c>
    </row>
    <row r="9962" spans="1:13" x14ac:dyDescent="0.2">
      <c r="A9962" t="s">
        <v>601</v>
      </c>
      <c r="B9962" t="s">
        <v>6</v>
      </c>
      <c r="C9962" t="s">
        <v>21</v>
      </c>
      <c r="D9962">
        <v>1511</v>
      </c>
      <c r="E9962">
        <v>2019</v>
      </c>
      <c r="F9962">
        <v>3</v>
      </c>
      <c r="G9962">
        <v>47200</v>
      </c>
      <c r="H9962" s="1">
        <v>0</v>
      </c>
      <c r="I9962">
        <v>10</v>
      </c>
      <c r="J9962">
        <f>IF($H9962=0,1,IF($I9962&lt;=1,2,0))</f>
        <v>1</v>
      </c>
      <c r="K9962">
        <v>0</v>
      </c>
      <c r="L9962">
        <f>IF(AND($J9962=0,$K9962=0),0,1)</f>
        <v>1</v>
      </c>
      <c r="M9962" t="s">
        <v>603</v>
      </c>
    </row>
    <row r="9963" spans="1:13" x14ac:dyDescent="0.2">
      <c r="A9963" t="s">
        <v>601</v>
      </c>
      <c r="B9963" t="s">
        <v>6</v>
      </c>
      <c r="C9963" t="s">
        <v>21</v>
      </c>
      <c r="D9963">
        <v>1511</v>
      </c>
      <c r="E9963">
        <v>2019</v>
      </c>
      <c r="F9963">
        <v>1</v>
      </c>
      <c r="G9963">
        <v>47202</v>
      </c>
      <c r="H9963" s="1">
        <v>0</v>
      </c>
      <c r="I9963">
        <v>9</v>
      </c>
      <c r="J9963">
        <f>IF($H9963=0,1,IF($I9963&lt;=1,2,0))</f>
        <v>1</v>
      </c>
      <c r="K9963">
        <v>0</v>
      </c>
      <c r="L9963">
        <f>IF(AND($J9963=0,$K9963=0),0,1)</f>
        <v>1</v>
      </c>
      <c r="M9963" t="s">
        <v>603</v>
      </c>
    </row>
    <row r="9964" spans="1:13" x14ac:dyDescent="0.2">
      <c r="A9964" t="s">
        <v>601</v>
      </c>
      <c r="B9964" t="s">
        <v>6</v>
      </c>
      <c r="C9964" t="s">
        <v>21</v>
      </c>
      <c r="D9964">
        <v>1511</v>
      </c>
      <c r="E9964">
        <v>2019</v>
      </c>
      <c r="F9964">
        <v>4</v>
      </c>
      <c r="G9964">
        <v>47201</v>
      </c>
      <c r="H9964" s="1">
        <v>0</v>
      </c>
      <c r="I9964">
        <v>2</v>
      </c>
      <c r="J9964">
        <f>IF($H9964=0,1,IF($I9964&lt;=1,2,0))</f>
        <v>1</v>
      </c>
      <c r="K9964">
        <v>0</v>
      </c>
      <c r="L9964">
        <f>IF(AND($J9964=0,$K9964=0),0,1)</f>
        <v>1</v>
      </c>
      <c r="M9964" t="s">
        <v>603</v>
      </c>
    </row>
    <row r="9965" spans="1:13" x14ac:dyDescent="0.2">
      <c r="A9965" t="s">
        <v>601</v>
      </c>
      <c r="B9965" t="s">
        <v>6</v>
      </c>
      <c r="C9965" t="s">
        <v>21</v>
      </c>
      <c r="D9965">
        <v>1611</v>
      </c>
      <c r="E9965">
        <v>2019</v>
      </c>
      <c r="F9965">
        <v>7</v>
      </c>
      <c r="G9965">
        <v>210</v>
      </c>
      <c r="H9965" s="1">
        <v>0</v>
      </c>
      <c r="I9965">
        <v>22</v>
      </c>
      <c r="J9965">
        <f>IF($H9965=0,1,IF($I9965&lt;=1,2,0))</f>
        <v>1</v>
      </c>
      <c r="K9965">
        <v>0</v>
      </c>
      <c r="L9965">
        <f>IF(AND($J9965=0,$K9965=0),0,1)</f>
        <v>1</v>
      </c>
    </row>
    <row r="9966" spans="1:13" x14ac:dyDescent="0.2">
      <c r="A9966" t="s">
        <v>601</v>
      </c>
      <c r="B9966" t="s">
        <v>6</v>
      </c>
      <c r="C9966" t="s">
        <v>21</v>
      </c>
      <c r="D9966">
        <v>1611</v>
      </c>
      <c r="E9966">
        <v>2019</v>
      </c>
      <c r="F9966">
        <v>1</v>
      </c>
      <c r="G9966">
        <v>204</v>
      </c>
      <c r="H9966" s="1">
        <v>0</v>
      </c>
      <c r="I9966">
        <v>21</v>
      </c>
      <c r="J9966">
        <f>IF($H9966=0,1,IF($I9966&lt;=1,2,0))</f>
        <v>1</v>
      </c>
      <c r="K9966">
        <v>0</v>
      </c>
      <c r="L9966">
        <f>IF(AND($J9966=0,$K9966=0),0,1)</f>
        <v>1</v>
      </c>
    </row>
    <row r="9967" spans="1:13" x14ac:dyDescent="0.2">
      <c r="A9967" t="s">
        <v>601</v>
      </c>
      <c r="B9967" t="s">
        <v>6</v>
      </c>
      <c r="C9967" t="s">
        <v>21</v>
      </c>
      <c r="D9967">
        <v>1611</v>
      </c>
      <c r="E9967">
        <v>2019</v>
      </c>
      <c r="F9967">
        <v>3</v>
      </c>
      <c r="G9967">
        <v>206</v>
      </c>
      <c r="H9967" s="1">
        <v>0</v>
      </c>
      <c r="I9967">
        <v>21</v>
      </c>
      <c r="J9967">
        <f>IF($H9967=0,1,IF($I9967&lt;=1,2,0))</f>
        <v>1</v>
      </c>
      <c r="K9967">
        <v>0</v>
      </c>
      <c r="L9967">
        <f>IF(AND($J9967=0,$K9967=0),0,1)</f>
        <v>1</v>
      </c>
    </row>
    <row r="9968" spans="1:13" x14ac:dyDescent="0.2">
      <c r="A9968" t="s">
        <v>601</v>
      </c>
      <c r="B9968" t="s">
        <v>6</v>
      </c>
      <c r="C9968" t="s">
        <v>21</v>
      </c>
      <c r="D9968">
        <v>1611</v>
      </c>
      <c r="E9968">
        <v>2019</v>
      </c>
      <c r="F9968">
        <v>11</v>
      </c>
      <c r="G9968">
        <v>214</v>
      </c>
      <c r="H9968" s="1">
        <v>0</v>
      </c>
      <c r="I9968">
        <v>18</v>
      </c>
      <c r="J9968">
        <f>IF($H9968=0,1,IF($I9968&lt;=1,2,0))</f>
        <v>1</v>
      </c>
      <c r="K9968">
        <v>0</v>
      </c>
      <c r="L9968">
        <f>IF(AND($J9968=0,$K9968=0),0,1)</f>
        <v>1</v>
      </c>
    </row>
    <row r="9969" spans="1:13" x14ac:dyDescent="0.2">
      <c r="A9969" t="s">
        <v>601</v>
      </c>
      <c r="B9969" t="s">
        <v>6</v>
      </c>
      <c r="C9969" t="s">
        <v>21</v>
      </c>
      <c r="D9969">
        <v>1611</v>
      </c>
      <c r="E9969">
        <v>2019</v>
      </c>
      <c r="F9969">
        <v>13</v>
      </c>
      <c r="G9969">
        <v>216</v>
      </c>
      <c r="H9969" s="1">
        <v>0</v>
      </c>
      <c r="I9969">
        <v>18</v>
      </c>
      <c r="J9969">
        <f>IF($H9969=0,1,IF($I9969&lt;=1,2,0))</f>
        <v>1</v>
      </c>
      <c r="K9969">
        <v>0</v>
      </c>
      <c r="L9969">
        <f>IF(AND($J9969=0,$K9969=0),0,1)</f>
        <v>1</v>
      </c>
    </row>
    <row r="9970" spans="1:13" x14ac:dyDescent="0.2">
      <c r="A9970" t="s">
        <v>601</v>
      </c>
      <c r="B9970" t="s">
        <v>6</v>
      </c>
      <c r="C9970" t="s">
        <v>21</v>
      </c>
      <c r="D9970">
        <v>1611</v>
      </c>
      <c r="E9970">
        <v>2019</v>
      </c>
      <c r="F9970">
        <v>9</v>
      </c>
      <c r="G9970">
        <v>212</v>
      </c>
      <c r="H9970" s="1">
        <v>0</v>
      </c>
      <c r="I9970">
        <v>17</v>
      </c>
      <c r="J9970">
        <f>IF($H9970=0,1,IF($I9970&lt;=1,2,0))</f>
        <v>1</v>
      </c>
      <c r="K9970">
        <v>0</v>
      </c>
      <c r="L9970">
        <f>IF(AND($J9970=0,$K9970=0),0,1)</f>
        <v>1</v>
      </c>
    </row>
    <row r="9971" spans="1:13" x14ac:dyDescent="0.2">
      <c r="A9971" t="s">
        <v>601</v>
      </c>
      <c r="B9971" t="s">
        <v>6</v>
      </c>
      <c r="C9971" t="s">
        <v>21</v>
      </c>
      <c r="D9971">
        <v>1611</v>
      </c>
      <c r="E9971">
        <v>2019</v>
      </c>
      <c r="F9971">
        <v>6</v>
      </c>
      <c r="G9971">
        <v>209</v>
      </c>
      <c r="H9971" s="1">
        <v>0</v>
      </c>
      <c r="I9971">
        <v>15</v>
      </c>
      <c r="J9971">
        <f>IF($H9971=0,1,IF($I9971&lt;=1,2,0))</f>
        <v>1</v>
      </c>
      <c r="K9971">
        <v>0</v>
      </c>
      <c r="L9971">
        <f>IF(AND($J9971=0,$K9971=0),0,1)</f>
        <v>1</v>
      </c>
    </row>
    <row r="9972" spans="1:13" x14ac:dyDescent="0.2">
      <c r="A9972" t="s">
        <v>601</v>
      </c>
      <c r="B9972" t="s">
        <v>6</v>
      </c>
      <c r="C9972" t="s">
        <v>21</v>
      </c>
      <c r="D9972">
        <v>1611</v>
      </c>
      <c r="E9972">
        <v>2019</v>
      </c>
      <c r="F9972">
        <v>4</v>
      </c>
      <c r="G9972">
        <v>207</v>
      </c>
      <c r="H9972" s="1">
        <v>0</v>
      </c>
      <c r="I9972">
        <v>13</v>
      </c>
      <c r="J9972">
        <f>IF($H9972=0,1,IF($I9972&lt;=1,2,0))</f>
        <v>1</v>
      </c>
      <c r="K9972">
        <v>0</v>
      </c>
      <c r="L9972">
        <f>IF(AND($J9972=0,$K9972=0),0,1)</f>
        <v>1</v>
      </c>
    </row>
    <row r="9973" spans="1:13" x14ac:dyDescent="0.2">
      <c r="A9973" t="s">
        <v>601</v>
      </c>
      <c r="B9973" t="s">
        <v>6</v>
      </c>
      <c r="C9973" t="s">
        <v>21</v>
      </c>
      <c r="D9973">
        <v>1611</v>
      </c>
      <c r="E9973">
        <v>2019</v>
      </c>
      <c r="F9973">
        <v>5</v>
      </c>
      <c r="G9973">
        <v>208</v>
      </c>
      <c r="H9973" s="1">
        <v>0</v>
      </c>
      <c r="I9973">
        <v>13</v>
      </c>
      <c r="J9973">
        <f>IF($H9973=0,1,IF($I9973&lt;=1,2,0))</f>
        <v>1</v>
      </c>
      <c r="K9973">
        <v>0</v>
      </c>
      <c r="L9973">
        <f>IF(AND($J9973=0,$K9973=0),0,1)</f>
        <v>1</v>
      </c>
    </row>
    <row r="9974" spans="1:13" x14ac:dyDescent="0.2">
      <c r="A9974" t="s">
        <v>601</v>
      </c>
      <c r="B9974" t="s">
        <v>6</v>
      </c>
      <c r="C9974" t="s">
        <v>21</v>
      </c>
      <c r="D9974">
        <v>1611</v>
      </c>
      <c r="E9974">
        <v>2019</v>
      </c>
      <c r="F9974">
        <v>10</v>
      </c>
      <c r="G9974">
        <v>213</v>
      </c>
      <c r="H9974" s="1">
        <v>0</v>
      </c>
      <c r="I9974">
        <v>13</v>
      </c>
      <c r="J9974">
        <f>IF($H9974=0,1,IF($I9974&lt;=1,2,0))</f>
        <v>1</v>
      </c>
      <c r="K9974">
        <v>0</v>
      </c>
      <c r="L9974">
        <f>IF(AND($J9974=0,$K9974=0),0,1)</f>
        <v>1</v>
      </c>
    </row>
    <row r="9975" spans="1:13" x14ac:dyDescent="0.2">
      <c r="A9975" t="s">
        <v>601</v>
      </c>
      <c r="B9975" t="s">
        <v>6</v>
      </c>
      <c r="C9975" t="s">
        <v>21</v>
      </c>
      <c r="D9975">
        <v>1611</v>
      </c>
      <c r="E9975">
        <v>2019</v>
      </c>
      <c r="F9975">
        <v>14</v>
      </c>
      <c r="G9975">
        <v>217</v>
      </c>
      <c r="H9975" s="1">
        <v>0</v>
      </c>
      <c r="I9975">
        <v>10</v>
      </c>
      <c r="J9975">
        <f>IF($H9975=0,1,IF($I9975&lt;=1,2,0))</f>
        <v>1</v>
      </c>
      <c r="K9975">
        <v>0</v>
      </c>
      <c r="L9975">
        <f>IF(AND($J9975=0,$K9975=0),0,1)</f>
        <v>1</v>
      </c>
    </row>
    <row r="9976" spans="1:13" x14ac:dyDescent="0.2">
      <c r="A9976" t="s">
        <v>601</v>
      </c>
      <c r="B9976" t="s">
        <v>6</v>
      </c>
      <c r="C9976" t="s">
        <v>21</v>
      </c>
      <c r="D9976">
        <v>1611</v>
      </c>
      <c r="E9976">
        <v>2019</v>
      </c>
      <c r="F9976">
        <v>2</v>
      </c>
      <c r="G9976">
        <v>205</v>
      </c>
      <c r="H9976" s="1">
        <v>0</v>
      </c>
      <c r="I9976">
        <v>9</v>
      </c>
      <c r="J9976">
        <f>IF($H9976=0,1,IF($I9976&lt;=1,2,0))</f>
        <v>1</v>
      </c>
      <c r="K9976">
        <v>0</v>
      </c>
      <c r="L9976">
        <f>IF(AND($J9976=0,$K9976=0),0,1)</f>
        <v>1</v>
      </c>
    </row>
    <row r="9977" spans="1:13" x14ac:dyDescent="0.2">
      <c r="A9977" t="s">
        <v>601</v>
      </c>
      <c r="B9977" t="s">
        <v>6</v>
      </c>
      <c r="C9977" t="s">
        <v>21</v>
      </c>
      <c r="D9977">
        <v>1611</v>
      </c>
      <c r="E9977">
        <v>2019</v>
      </c>
      <c r="F9977">
        <v>12</v>
      </c>
      <c r="G9977">
        <v>215</v>
      </c>
      <c r="H9977" s="1">
        <v>0</v>
      </c>
      <c r="I9977">
        <v>7</v>
      </c>
      <c r="J9977">
        <f>IF($H9977=0,1,IF($I9977&lt;=1,2,0))</f>
        <v>1</v>
      </c>
      <c r="K9977">
        <v>0</v>
      </c>
      <c r="L9977">
        <f>IF(AND($J9977=0,$K9977=0),0,1)</f>
        <v>1</v>
      </c>
    </row>
    <row r="9978" spans="1:13" x14ac:dyDescent="0.2">
      <c r="A9978" t="s">
        <v>601</v>
      </c>
      <c r="B9978" t="s">
        <v>6</v>
      </c>
      <c r="C9978" t="s">
        <v>21</v>
      </c>
      <c r="D9978">
        <v>1611</v>
      </c>
      <c r="E9978">
        <v>2019</v>
      </c>
      <c r="F9978">
        <v>8</v>
      </c>
      <c r="G9978">
        <v>211</v>
      </c>
      <c r="H9978" s="1">
        <v>0</v>
      </c>
      <c r="I9978">
        <v>6</v>
      </c>
      <c r="J9978">
        <f>IF($H9978=0,1,IF($I9978&lt;=1,2,0))</f>
        <v>1</v>
      </c>
      <c r="K9978">
        <v>0</v>
      </c>
      <c r="L9978">
        <f>IF(AND($J9978=0,$K9978=0),0,1)</f>
        <v>1</v>
      </c>
    </row>
    <row r="9979" spans="1:13" x14ac:dyDescent="0.2">
      <c r="A9979" t="s">
        <v>601</v>
      </c>
      <c r="B9979" t="s">
        <v>6</v>
      </c>
      <c r="C9979" t="s">
        <v>2</v>
      </c>
      <c r="D9979">
        <v>3019</v>
      </c>
      <c r="E9979">
        <v>2019</v>
      </c>
      <c r="F9979">
        <v>1</v>
      </c>
      <c r="G9979">
        <v>9111</v>
      </c>
      <c r="H9979" s="1">
        <v>4</v>
      </c>
      <c r="I9979">
        <v>15</v>
      </c>
      <c r="J9979">
        <f>IF($H9979=0,1,IF($I9979&lt;=1,2,0))</f>
        <v>0</v>
      </c>
      <c r="K9979">
        <v>7</v>
      </c>
      <c r="L9979">
        <f>IF(AND($J9979=0,$K9979=0),0,1)</f>
        <v>1</v>
      </c>
      <c r="M9979" t="s">
        <v>607</v>
      </c>
    </row>
    <row r="9980" spans="1:13" x14ac:dyDescent="0.2">
      <c r="A9980" t="s">
        <v>601</v>
      </c>
      <c r="B9980" t="s">
        <v>6</v>
      </c>
      <c r="C9980" t="s">
        <v>2</v>
      </c>
      <c r="D9980">
        <v>3025</v>
      </c>
      <c r="E9980">
        <v>2019</v>
      </c>
      <c r="F9980">
        <v>1</v>
      </c>
      <c r="G9980">
        <v>9164</v>
      </c>
      <c r="H9980" s="1">
        <v>3</v>
      </c>
      <c r="I9980">
        <v>44</v>
      </c>
      <c r="J9980">
        <f>IF($H9980=0,1,IF($I9980&lt;=1,2,0))</f>
        <v>0</v>
      </c>
      <c r="K9980">
        <v>7</v>
      </c>
      <c r="L9980">
        <f>IF(AND($J9980=0,$K9980=0),0,1)</f>
        <v>1</v>
      </c>
    </row>
    <row r="9981" spans="1:13" x14ac:dyDescent="0.2">
      <c r="A9981" t="s">
        <v>601</v>
      </c>
      <c r="B9981" t="s">
        <v>6</v>
      </c>
      <c r="C9981" t="s">
        <v>2</v>
      </c>
      <c r="D9981">
        <v>3026</v>
      </c>
      <c r="E9981">
        <v>2019</v>
      </c>
      <c r="F9981">
        <v>1</v>
      </c>
      <c r="G9981">
        <v>171</v>
      </c>
      <c r="H9981" s="1">
        <v>4</v>
      </c>
      <c r="I9981">
        <v>16</v>
      </c>
      <c r="J9981">
        <f>IF($H9981=0,1,IF($I9981&lt;=1,2,0))</f>
        <v>0</v>
      </c>
      <c r="K9981">
        <v>7</v>
      </c>
      <c r="L9981">
        <f>IF(AND($J9981=0,$K9981=0),0,1)</f>
        <v>1</v>
      </c>
      <c r="M9981" t="s">
        <v>607</v>
      </c>
    </row>
    <row r="9982" spans="1:13" x14ac:dyDescent="0.2">
      <c r="A9982" t="s">
        <v>601</v>
      </c>
      <c r="B9982" t="s">
        <v>6</v>
      </c>
      <c r="C9982" t="s">
        <v>2</v>
      </c>
      <c r="D9982">
        <v>3102</v>
      </c>
      <c r="E9982">
        <v>2019</v>
      </c>
      <c r="F9982">
        <v>1</v>
      </c>
      <c r="G9982">
        <v>9156</v>
      </c>
      <c r="H9982" s="1">
        <v>4</v>
      </c>
      <c r="I9982">
        <v>17</v>
      </c>
      <c r="J9982">
        <f>IF($H9982=0,1,IF($I9982&lt;=1,2,0))</f>
        <v>0</v>
      </c>
      <c r="K9982">
        <v>7</v>
      </c>
      <c r="L9982">
        <f>IF(AND($J9982=0,$K9982=0),0,1)</f>
        <v>1</v>
      </c>
      <c r="M9982" t="s">
        <v>607</v>
      </c>
    </row>
    <row r="9983" spans="1:13" x14ac:dyDescent="0.2">
      <c r="A9983" t="s">
        <v>601</v>
      </c>
      <c r="B9983" t="s">
        <v>6</v>
      </c>
      <c r="C9983" t="s">
        <v>21</v>
      </c>
      <c r="D9983">
        <v>3411</v>
      </c>
      <c r="E9983">
        <v>2019</v>
      </c>
      <c r="F9983">
        <v>2</v>
      </c>
      <c r="G9983">
        <v>168</v>
      </c>
      <c r="H9983" s="1">
        <v>0</v>
      </c>
      <c r="I9983">
        <v>15</v>
      </c>
      <c r="J9983">
        <f>IF($H9983=0,1,IF($I9983&lt;=1,2,0))</f>
        <v>1</v>
      </c>
      <c r="K9983">
        <v>0</v>
      </c>
      <c r="L9983">
        <f>IF(AND($J9983=0,$K9983=0),0,1)</f>
        <v>1</v>
      </c>
      <c r="M9983" t="s">
        <v>609</v>
      </c>
    </row>
    <row r="9984" spans="1:13" x14ac:dyDescent="0.2">
      <c r="A9984" t="s">
        <v>601</v>
      </c>
      <c r="B9984" t="s">
        <v>6</v>
      </c>
      <c r="C9984" t="s">
        <v>21</v>
      </c>
      <c r="D9984">
        <v>3411</v>
      </c>
      <c r="E9984">
        <v>2019</v>
      </c>
      <c r="F9984">
        <v>3</v>
      </c>
      <c r="G9984">
        <v>169</v>
      </c>
      <c r="H9984" s="1">
        <v>0</v>
      </c>
      <c r="I9984">
        <v>15</v>
      </c>
      <c r="J9984">
        <f>IF($H9984=0,1,IF($I9984&lt;=1,2,0))</f>
        <v>1</v>
      </c>
      <c r="K9984">
        <v>0</v>
      </c>
      <c r="L9984">
        <f>IF(AND($J9984=0,$K9984=0),0,1)</f>
        <v>1</v>
      </c>
      <c r="M9984" t="s">
        <v>609</v>
      </c>
    </row>
    <row r="9985" spans="1:13" x14ac:dyDescent="0.2">
      <c r="A9985" t="s">
        <v>601</v>
      </c>
      <c r="B9985" t="s">
        <v>6</v>
      </c>
      <c r="C9985" t="s">
        <v>2</v>
      </c>
      <c r="D9985">
        <v>3411</v>
      </c>
      <c r="E9985">
        <v>2019</v>
      </c>
      <c r="F9985">
        <v>1</v>
      </c>
      <c r="G9985">
        <v>9168</v>
      </c>
      <c r="H9985" s="1">
        <v>4</v>
      </c>
      <c r="I9985">
        <v>13</v>
      </c>
      <c r="J9985">
        <f>IF($H9985=0,1,IF($I9985&lt;=1,2,0))</f>
        <v>0</v>
      </c>
      <c r="K9985">
        <v>7</v>
      </c>
      <c r="L9985">
        <f>IF(AND($J9985=0,$K9985=0),0,1)</f>
        <v>1</v>
      </c>
      <c r="M9985" t="s">
        <v>607</v>
      </c>
    </row>
    <row r="9986" spans="1:13" x14ac:dyDescent="0.2">
      <c r="A9986" t="s">
        <v>601</v>
      </c>
      <c r="B9986" t="s">
        <v>6</v>
      </c>
      <c r="C9986" t="s">
        <v>21</v>
      </c>
      <c r="D9986">
        <v>3411</v>
      </c>
      <c r="E9986">
        <v>2019</v>
      </c>
      <c r="F9986">
        <v>1</v>
      </c>
      <c r="G9986">
        <v>167</v>
      </c>
      <c r="H9986" s="1">
        <v>0</v>
      </c>
      <c r="I9986">
        <v>11</v>
      </c>
      <c r="J9986">
        <f>IF($H9986=0,1,IF($I9986&lt;=1,2,0))</f>
        <v>1</v>
      </c>
      <c r="K9986">
        <v>0</v>
      </c>
      <c r="L9986">
        <f>IF(AND($J9986=0,$K9986=0),0,1)</f>
        <v>1</v>
      </c>
      <c r="M9986" t="s">
        <v>609</v>
      </c>
    </row>
    <row r="9987" spans="1:13" x14ac:dyDescent="0.2">
      <c r="A9987" t="s">
        <v>601</v>
      </c>
      <c r="B9987" t="s">
        <v>6</v>
      </c>
      <c r="C9987" t="s">
        <v>21</v>
      </c>
      <c r="D9987">
        <v>3411</v>
      </c>
      <c r="E9987">
        <v>2019</v>
      </c>
      <c r="F9987">
        <v>4</v>
      </c>
      <c r="G9987">
        <v>170</v>
      </c>
      <c r="H9987" s="1">
        <v>0</v>
      </c>
      <c r="I9987">
        <v>3</v>
      </c>
      <c r="J9987">
        <f>IF($H9987=0,1,IF($I9987&lt;=1,2,0))</f>
        <v>1</v>
      </c>
      <c r="K9987">
        <v>0</v>
      </c>
      <c r="L9987">
        <f>IF(AND($J9987=0,$K9987=0),0,1)</f>
        <v>1</v>
      </c>
      <c r="M9987" t="s">
        <v>609</v>
      </c>
    </row>
    <row r="9988" spans="1:13" x14ac:dyDescent="0.2">
      <c r="A9988" t="s">
        <v>601</v>
      </c>
      <c r="B9988" t="s">
        <v>6</v>
      </c>
      <c r="C9988" t="s">
        <v>2</v>
      </c>
      <c r="D9988">
        <v>3500</v>
      </c>
      <c r="E9988">
        <v>2019</v>
      </c>
      <c r="F9988">
        <v>1</v>
      </c>
      <c r="G9988">
        <v>9169</v>
      </c>
      <c r="H9988" s="1">
        <v>4</v>
      </c>
      <c r="I9988">
        <v>14</v>
      </c>
      <c r="J9988">
        <f>IF($H9988=0,1,IF($I9988&lt;=1,2,0))</f>
        <v>0</v>
      </c>
      <c r="K9988">
        <v>7</v>
      </c>
      <c r="L9988">
        <f>IF(AND($J9988=0,$K9988=0),0,1)</f>
        <v>1</v>
      </c>
      <c r="M9988" t="s">
        <v>607</v>
      </c>
    </row>
    <row r="9989" spans="1:13" x14ac:dyDescent="0.2">
      <c r="A9989" t="s">
        <v>601</v>
      </c>
      <c r="B9989" t="s">
        <v>6</v>
      </c>
      <c r="C9989" t="s">
        <v>2</v>
      </c>
      <c r="D9989">
        <v>3521</v>
      </c>
      <c r="E9989">
        <v>2019</v>
      </c>
      <c r="F9989">
        <v>1</v>
      </c>
      <c r="G9989">
        <v>9166</v>
      </c>
      <c r="H9989" s="1">
        <v>3</v>
      </c>
      <c r="I9989">
        <v>54</v>
      </c>
      <c r="J9989">
        <f>IF($H9989=0,1,IF($I9989&lt;=1,2,0))</f>
        <v>0</v>
      </c>
      <c r="K9989">
        <v>7</v>
      </c>
      <c r="L9989">
        <f>IF(AND($J9989=0,$K9989=0),0,1)</f>
        <v>1</v>
      </c>
      <c r="M9989" t="s">
        <v>610</v>
      </c>
    </row>
    <row r="9990" spans="1:13" x14ac:dyDescent="0.2">
      <c r="A9990" t="s">
        <v>601</v>
      </c>
      <c r="B9990" t="s">
        <v>6</v>
      </c>
      <c r="C9990" t="s">
        <v>2</v>
      </c>
      <c r="D9990">
        <v>3555</v>
      </c>
      <c r="E9990">
        <v>2019</v>
      </c>
      <c r="F9990">
        <v>1</v>
      </c>
      <c r="G9990">
        <v>9167</v>
      </c>
      <c r="H9990" s="1">
        <v>4</v>
      </c>
      <c r="I9990">
        <v>14</v>
      </c>
      <c r="J9990">
        <f>IF($H9990=0,1,IF($I9990&lt;=1,2,0))</f>
        <v>0</v>
      </c>
      <c r="K9990">
        <v>7</v>
      </c>
      <c r="L9990">
        <f>IF(AND($J9990=0,$K9990=0),0,1)</f>
        <v>1</v>
      </c>
      <c r="M9990" t="s">
        <v>607</v>
      </c>
    </row>
    <row r="9991" spans="1:13" x14ac:dyDescent="0.2">
      <c r="A9991" t="s">
        <v>601</v>
      </c>
      <c r="B9991" t="s">
        <v>6</v>
      </c>
      <c r="C9991" t="s">
        <v>9</v>
      </c>
      <c r="D9991">
        <v>3632</v>
      </c>
      <c r="E9991">
        <v>2019</v>
      </c>
      <c r="F9991">
        <v>2</v>
      </c>
      <c r="G9991">
        <v>47205</v>
      </c>
      <c r="H9991" s="1">
        <v>0</v>
      </c>
      <c r="I9991">
        <v>18</v>
      </c>
      <c r="J9991">
        <f>IF($H9991=0,1,IF($I9991&lt;=1,2,0))</f>
        <v>1</v>
      </c>
      <c r="K9991">
        <v>0</v>
      </c>
      <c r="L9991">
        <f>IF(AND($J9991=0,$K9991=0),0,1)</f>
        <v>1</v>
      </c>
      <c r="M9991" t="s">
        <v>603</v>
      </c>
    </row>
    <row r="9992" spans="1:13" x14ac:dyDescent="0.2">
      <c r="A9992" t="s">
        <v>601</v>
      </c>
      <c r="B9992" t="s">
        <v>6</v>
      </c>
      <c r="C9992" t="s">
        <v>9</v>
      </c>
      <c r="D9992">
        <v>3632</v>
      </c>
      <c r="E9992">
        <v>2019</v>
      </c>
      <c r="F9992">
        <v>1</v>
      </c>
      <c r="G9992">
        <v>47204</v>
      </c>
      <c r="H9992" s="1">
        <v>0</v>
      </c>
      <c r="I9992">
        <v>15</v>
      </c>
      <c r="J9992">
        <f>IF($H9992=0,1,IF($I9992&lt;=1,2,0))</f>
        <v>1</v>
      </c>
      <c r="K9992">
        <v>0</v>
      </c>
      <c r="L9992">
        <f>IF(AND($J9992=0,$K9992=0),0,1)</f>
        <v>1</v>
      </c>
      <c r="M9992" t="s">
        <v>603</v>
      </c>
    </row>
    <row r="9993" spans="1:13" x14ac:dyDescent="0.2">
      <c r="A9993" t="s">
        <v>601</v>
      </c>
      <c r="B9993" t="s">
        <v>6</v>
      </c>
      <c r="C9993" t="s">
        <v>9</v>
      </c>
      <c r="D9993">
        <v>3632</v>
      </c>
      <c r="E9993">
        <v>2019</v>
      </c>
      <c r="F9993">
        <v>4</v>
      </c>
      <c r="G9993">
        <v>47207</v>
      </c>
      <c r="H9993" s="1">
        <v>0</v>
      </c>
      <c r="I9993">
        <v>6</v>
      </c>
      <c r="J9993">
        <f>IF($H9993=0,1,IF($I9993&lt;=1,2,0))</f>
        <v>1</v>
      </c>
      <c r="K9993">
        <v>0</v>
      </c>
      <c r="L9993">
        <f>IF(AND($J9993=0,$K9993=0),0,1)</f>
        <v>1</v>
      </c>
      <c r="M9993" t="s">
        <v>603</v>
      </c>
    </row>
    <row r="9994" spans="1:13" x14ac:dyDescent="0.2">
      <c r="A9994" t="s">
        <v>601</v>
      </c>
      <c r="B9994" t="s">
        <v>6</v>
      </c>
      <c r="C9994" t="s">
        <v>9</v>
      </c>
      <c r="D9994">
        <v>3632</v>
      </c>
      <c r="E9994">
        <v>2019</v>
      </c>
      <c r="F9994">
        <v>3</v>
      </c>
      <c r="G9994">
        <v>47206</v>
      </c>
      <c r="H9994" s="1">
        <v>0</v>
      </c>
      <c r="I9994">
        <v>4</v>
      </c>
      <c r="J9994">
        <f>IF($H9994=0,1,IF($I9994&lt;=1,2,0))</f>
        <v>1</v>
      </c>
      <c r="K9994">
        <v>0</v>
      </c>
      <c r="L9994">
        <f>IF(AND($J9994=0,$K9994=0),0,1)</f>
        <v>1</v>
      </c>
      <c r="M9994" t="s">
        <v>603</v>
      </c>
    </row>
    <row r="9995" spans="1:13" x14ac:dyDescent="0.2">
      <c r="A9995" t="s">
        <v>601</v>
      </c>
      <c r="B9995" t="s">
        <v>6</v>
      </c>
      <c r="C9995" t="s">
        <v>9</v>
      </c>
      <c r="D9995">
        <v>3649</v>
      </c>
      <c r="E9995">
        <v>2019</v>
      </c>
      <c r="F9995">
        <v>2</v>
      </c>
      <c r="G9995">
        <v>47209</v>
      </c>
      <c r="H9995" s="1">
        <v>0</v>
      </c>
      <c r="I9995">
        <v>19</v>
      </c>
      <c r="J9995">
        <f>IF($H9995=0,1,IF($I9995&lt;=1,2,0))</f>
        <v>1</v>
      </c>
      <c r="K9995">
        <v>0</v>
      </c>
      <c r="L9995">
        <f>IF(AND($J9995=0,$K9995=0),0,1)</f>
        <v>1</v>
      </c>
      <c r="M9995" t="s">
        <v>603</v>
      </c>
    </row>
    <row r="9996" spans="1:13" x14ac:dyDescent="0.2">
      <c r="A9996" t="s">
        <v>601</v>
      </c>
      <c r="B9996" t="s">
        <v>6</v>
      </c>
      <c r="C9996" t="s">
        <v>9</v>
      </c>
      <c r="D9996">
        <v>3649</v>
      </c>
      <c r="E9996">
        <v>2019</v>
      </c>
      <c r="F9996">
        <v>1</v>
      </c>
      <c r="G9996">
        <v>47208</v>
      </c>
      <c r="H9996" s="1">
        <v>0</v>
      </c>
      <c r="I9996">
        <v>12</v>
      </c>
      <c r="J9996">
        <f>IF($H9996=0,1,IF($I9996&lt;=1,2,0))</f>
        <v>1</v>
      </c>
      <c r="K9996">
        <v>0</v>
      </c>
      <c r="L9996">
        <f>IF(AND($J9996=0,$K9996=0),0,1)</f>
        <v>1</v>
      </c>
      <c r="M9996" t="s">
        <v>603</v>
      </c>
    </row>
    <row r="9997" spans="1:13" x14ac:dyDescent="0.2">
      <c r="A9997" t="s">
        <v>601</v>
      </c>
      <c r="B9997" t="s">
        <v>6</v>
      </c>
      <c r="C9997" t="s">
        <v>9</v>
      </c>
      <c r="D9997">
        <v>3722</v>
      </c>
      <c r="E9997">
        <v>2019</v>
      </c>
      <c r="F9997">
        <v>1</v>
      </c>
      <c r="G9997">
        <v>10237</v>
      </c>
      <c r="H9997" s="1">
        <v>0</v>
      </c>
      <c r="I9997">
        <v>29</v>
      </c>
      <c r="J9997">
        <f>IF($H9997=0,1,IF($I9997&lt;=1,2,0))</f>
        <v>1</v>
      </c>
      <c r="K9997">
        <v>0</v>
      </c>
      <c r="L9997">
        <f>IF(AND($J9997=0,$K9997=0),0,1)</f>
        <v>1</v>
      </c>
      <c r="M9997" t="s">
        <v>603</v>
      </c>
    </row>
    <row r="9998" spans="1:13" x14ac:dyDescent="0.2">
      <c r="A9998" t="s">
        <v>601</v>
      </c>
      <c r="B9998" t="s">
        <v>6</v>
      </c>
      <c r="C9998" t="s">
        <v>9</v>
      </c>
      <c r="D9998">
        <v>3722</v>
      </c>
      <c r="E9998">
        <v>2019</v>
      </c>
      <c r="F9998">
        <v>4</v>
      </c>
      <c r="G9998">
        <v>10240</v>
      </c>
      <c r="H9998" s="1">
        <v>0</v>
      </c>
      <c r="I9998">
        <v>19</v>
      </c>
      <c r="J9998">
        <f>IF($H9998=0,1,IF($I9998&lt;=1,2,0))</f>
        <v>1</v>
      </c>
      <c r="K9998">
        <v>0</v>
      </c>
      <c r="L9998">
        <f>IF(AND($J9998=0,$K9998=0),0,1)</f>
        <v>1</v>
      </c>
      <c r="M9998" t="s">
        <v>603</v>
      </c>
    </row>
    <row r="9999" spans="1:13" x14ac:dyDescent="0.2">
      <c r="A9999" t="s">
        <v>601</v>
      </c>
      <c r="B9999" t="s">
        <v>6</v>
      </c>
      <c r="C9999" t="s">
        <v>9</v>
      </c>
      <c r="D9999">
        <v>3722</v>
      </c>
      <c r="E9999">
        <v>2019</v>
      </c>
      <c r="F9999">
        <v>2</v>
      </c>
      <c r="G9999">
        <v>10238</v>
      </c>
      <c r="H9999" s="1">
        <v>0</v>
      </c>
      <c r="I9999">
        <v>18</v>
      </c>
      <c r="J9999">
        <f>IF($H9999=0,1,IF($I9999&lt;=1,2,0))</f>
        <v>1</v>
      </c>
      <c r="K9999">
        <v>0</v>
      </c>
      <c r="L9999">
        <f>IF(AND($J9999=0,$K9999=0),0,1)</f>
        <v>1</v>
      </c>
      <c r="M9999" t="s">
        <v>603</v>
      </c>
    </row>
    <row r="10000" spans="1:13" x14ac:dyDescent="0.2">
      <c r="A10000" t="s">
        <v>601</v>
      </c>
      <c r="B10000" t="s">
        <v>6</v>
      </c>
      <c r="C10000" t="s">
        <v>9</v>
      </c>
      <c r="D10000">
        <v>3722</v>
      </c>
      <c r="E10000">
        <v>2019</v>
      </c>
      <c r="F10000">
        <v>3</v>
      </c>
      <c r="G10000">
        <v>10239</v>
      </c>
      <c r="H10000" s="1">
        <v>0</v>
      </c>
      <c r="I10000">
        <v>15</v>
      </c>
      <c r="J10000">
        <f>IF($H10000=0,1,IF($I10000&lt;=1,2,0))</f>
        <v>1</v>
      </c>
      <c r="K10000">
        <v>0</v>
      </c>
      <c r="L10000">
        <f>IF(AND($J10000=0,$K10000=0),0,1)</f>
        <v>1</v>
      </c>
      <c r="M10000" t="s">
        <v>603</v>
      </c>
    </row>
    <row r="10001" spans="1:13" x14ac:dyDescent="0.2">
      <c r="A10001" t="s">
        <v>601</v>
      </c>
      <c r="B10001" t="s">
        <v>6</v>
      </c>
      <c r="C10001" t="s">
        <v>9</v>
      </c>
      <c r="D10001">
        <v>3722</v>
      </c>
      <c r="E10001">
        <v>2019</v>
      </c>
      <c r="F10001">
        <v>5</v>
      </c>
      <c r="G10001">
        <v>10241</v>
      </c>
      <c r="H10001" s="1">
        <v>0</v>
      </c>
      <c r="I10001">
        <v>6</v>
      </c>
      <c r="J10001">
        <f>IF($H10001=0,1,IF($I10001&lt;=1,2,0))</f>
        <v>1</v>
      </c>
      <c r="K10001">
        <v>0</v>
      </c>
      <c r="L10001">
        <f>IF(AND($J10001=0,$K10001=0),0,1)</f>
        <v>1</v>
      </c>
    </row>
    <row r="10002" spans="1:13" x14ac:dyDescent="0.2">
      <c r="A10002" t="s">
        <v>601</v>
      </c>
      <c r="B10002" t="s">
        <v>6</v>
      </c>
      <c r="C10002" t="s">
        <v>9</v>
      </c>
      <c r="D10002">
        <v>3722</v>
      </c>
      <c r="E10002">
        <v>2019</v>
      </c>
      <c r="F10002">
        <v>6</v>
      </c>
      <c r="G10002">
        <v>10242</v>
      </c>
      <c r="H10002" s="1">
        <v>0</v>
      </c>
      <c r="I10002">
        <v>4</v>
      </c>
      <c r="J10002">
        <f>IF($H10002=0,1,IF($I10002&lt;=1,2,0))</f>
        <v>1</v>
      </c>
      <c r="K10002">
        <v>0</v>
      </c>
      <c r="L10002">
        <f>IF(AND($J10002=0,$K10002=0),0,1)</f>
        <v>1</v>
      </c>
      <c r="M10002" t="s">
        <v>603</v>
      </c>
    </row>
    <row r="10003" spans="1:13" x14ac:dyDescent="0.2">
      <c r="A10003" t="s">
        <v>601</v>
      </c>
      <c r="B10003" t="s">
        <v>6</v>
      </c>
      <c r="C10003" t="s">
        <v>2</v>
      </c>
      <c r="D10003">
        <v>3765</v>
      </c>
      <c r="E10003">
        <v>2019</v>
      </c>
      <c r="F10003">
        <v>1</v>
      </c>
      <c r="G10003">
        <v>203</v>
      </c>
      <c r="H10003" s="1" t="s">
        <v>1824</v>
      </c>
      <c r="I10003">
        <v>1</v>
      </c>
      <c r="J10003">
        <f>IF($H10003=0,1,IF($I10003&lt;=1,2,0))</f>
        <v>2</v>
      </c>
      <c r="K10003">
        <v>7</v>
      </c>
      <c r="L10003">
        <f>IF(AND($J10003=0,$K10003=0),0,1)</f>
        <v>1</v>
      </c>
    </row>
    <row r="10004" spans="1:13" x14ac:dyDescent="0.2">
      <c r="A10004" t="s">
        <v>601</v>
      </c>
      <c r="B10004" t="s">
        <v>6</v>
      </c>
      <c r="C10004" t="s">
        <v>9</v>
      </c>
      <c r="D10004">
        <v>3769</v>
      </c>
      <c r="E10004">
        <v>2019</v>
      </c>
      <c r="F10004">
        <v>1</v>
      </c>
      <c r="G10004">
        <v>17913</v>
      </c>
      <c r="H10004" s="1">
        <v>0</v>
      </c>
      <c r="I10004">
        <v>6</v>
      </c>
      <c r="J10004">
        <f>IF($H10004=0,1,IF($I10004&lt;=1,2,0))</f>
        <v>1</v>
      </c>
      <c r="K10004">
        <v>0</v>
      </c>
      <c r="L10004">
        <f>IF(AND($J10004=0,$K10004=0),0,1)</f>
        <v>1</v>
      </c>
      <c r="M10004" t="s">
        <v>603</v>
      </c>
    </row>
    <row r="10005" spans="1:13" x14ac:dyDescent="0.2">
      <c r="A10005" t="s">
        <v>601</v>
      </c>
      <c r="B10005" t="s">
        <v>6</v>
      </c>
      <c r="C10005" t="s">
        <v>9</v>
      </c>
      <c r="D10005">
        <v>3769</v>
      </c>
      <c r="E10005">
        <v>2019</v>
      </c>
      <c r="F10005">
        <v>2</v>
      </c>
      <c r="G10005">
        <v>17920</v>
      </c>
      <c r="H10005" s="1">
        <v>0</v>
      </c>
      <c r="I10005">
        <v>3</v>
      </c>
      <c r="J10005">
        <f>IF($H10005=0,1,IF($I10005&lt;=1,2,0))</f>
        <v>1</v>
      </c>
      <c r="K10005">
        <v>0</v>
      </c>
      <c r="L10005">
        <f>IF(AND($J10005=0,$K10005=0),0,1)</f>
        <v>1</v>
      </c>
      <c r="M10005" t="s">
        <v>603</v>
      </c>
    </row>
    <row r="10006" spans="1:13" x14ac:dyDescent="0.2">
      <c r="A10006" t="s">
        <v>601</v>
      </c>
      <c r="B10006" t="s">
        <v>6</v>
      </c>
      <c r="C10006" t="s">
        <v>2</v>
      </c>
      <c r="D10006">
        <v>3810</v>
      </c>
      <c r="E10006">
        <v>2019</v>
      </c>
      <c r="F10006">
        <v>1</v>
      </c>
      <c r="G10006">
        <v>9158</v>
      </c>
      <c r="H10006" s="1">
        <v>4</v>
      </c>
      <c r="I10006">
        <v>14</v>
      </c>
      <c r="J10006">
        <f>IF($H10006=0,1,IF($I10006&lt;=1,2,0))</f>
        <v>0</v>
      </c>
      <c r="K10006">
        <v>7</v>
      </c>
      <c r="L10006">
        <f>IF(AND($J10006=0,$K10006=0),0,1)</f>
        <v>1</v>
      </c>
      <c r="M10006" t="s">
        <v>607</v>
      </c>
    </row>
    <row r="10007" spans="1:13" x14ac:dyDescent="0.2">
      <c r="A10007" t="s">
        <v>601</v>
      </c>
      <c r="B10007" t="s">
        <v>6</v>
      </c>
      <c r="C10007" t="s">
        <v>9</v>
      </c>
      <c r="D10007">
        <v>3901</v>
      </c>
      <c r="E10007">
        <v>2019</v>
      </c>
      <c r="F10007">
        <v>1</v>
      </c>
      <c r="G10007">
        <v>10108</v>
      </c>
      <c r="H10007" s="1" t="s">
        <v>1828</v>
      </c>
      <c r="I10007">
        <v>2</v>
      </c>
      <c r="J10007">
        <f>IF($H10007=0,1,IF($I10007&lt;=1,2,0))</f>
        <v>0</v>
      </c>
      <c r="K10007">
        <v>9</v>
      </c>
      <c r="L10007">
        <f>IF(AND($J10007=0,$K10007=0),0,1)</f>
        <v>1</v>
      </c>
    </row>
    <row r="10008" spans="1:13" x14ac:dyDescent="0.2">
      <c r="A10008" t="s">
        <v>601</v>
      </c>
      <c r="B10008" t="s">
        <v>6</v>
      </c>
      <c r="C10008" t="s">
        <v>9</v>
      </c>
      <c r="D10008">
        <v>3901</v>
      </c>
      <c r="E10008">
        <v>2019</v>
      </c>
      <c r="F10008">
        <v>5</v>
      </c>
      <c r="G10008">
        <v>18646</v>
      </c>
      <c r="H10008" s="1" t="s">
        <v>1828</v>
      </c>
      <c r="I10008">
        <v>2</v>
      </c>
      <c r="J10008">
        <f>IF($H10008=0,1,IF($I10008&lt;=1,2,0))</f>
        <v>0</v>
      </c>
      <c r="K10008">
        <v>9</v>
      </c>
      <c r="L10008">
        <f>IF(AND($J10008=0,$K10008=0),0,1)</f>
        <v>1</v>
      </c>
    </row>
    <row r="10009" spans="1:13" x14ac:dyDescent="0.2">
      <c r="A10009" t="s">
        <v>601</v>
      </c>
      <c r="B10009" t="s">
        <v>6</v>
      </c>
      <c r="C10009" t="s">
        <v>9</v>
      </c>
      <c r="D10009">
        <v>3901</v>
      </c>
      <c r="E10009">
        <v>2019</v>
      </c>
      <c r="F10009">
        <v>2</v>
      </c>
      <c r="G10009">
        <v>15147</v>
      </c>
      <c r="H10009" s="1" t="s">
        <v>1828</v>
      </c>
      <c r="I10009">
        <v>1</v>
      </c>
      <c r="J10009">
        <f>IF($H10009=0,1,IF($I10009&lt;=1,2,0))</f>
        <v>2</v>
      </c>
      <c r="K10009">
        <v>9</v>
      </c>
      <c r="L10009">
        <f>IF(AND($J10009=0,$K10009=0),0,1)</f>
        <v>1</v>
      </c>
    </row>
    <row r="10010" spans="1:13" x14ac:dyDescent="0.2">
      <c r="A10010" t="s">
        <v>601</v>
      </c>
      <c r="B10010" t="s">
        <v>6</v>
      </c>
      <c r="C10010" t="s">
        <v>9</v>
      </c>
      <c r="D10010">
        <v>3901</v>
      </c>
      <c r="E10010">
        <v>2019</v>
      </c>
      <c r="F10010">
        <v>4</v>
      </c>
      <c r="G10010">
        <v>16448</v>
      </c>
      <c r="H10010" s="1" t="s">
        <v>1828</v>
      </c>
      <c r="I10010">
        <v>1</v>
      </c>
      <c r="J10010">
        <f>IF($H10010=0,1,IF($I10010&lt;=1,2,0))</f>
        <v>2</v>
      </c>
      <c r="K10010">
        <v>9</v>
      </c>
      <c r="L10010">
        <f>IF(AND($J10010=0,$K10010=0),0,1)</f>
        <v>1</v>
      </c>
    </row>
    <row r="10011" spans="1:13" x14ac:dyDescent="0.2">
      <c r="A10011" t="s">
        <v>601</v>
      </c>
      <c r="B10011" t="s">
        <v>6</v>
      </c>
      <c r="C10011" t="s">
        <v>9</v>
      </c>
      <c r="D10011">
        <v>3901</v>
      </c>
      <c r="E10011">
        <v>2019</v>
      </c>
      <c r="F10011">
        <v>6</v>
      </c>
      <c r="G10011">
        <v>18709</v>
      </c>
      <c r="H10011" s="1" t="s">
        <v>1828</v>
      </c>
      <c r="I10011">
        <v>1</v>
      </c>
      <c r="J10011">
        <f>IF($H10011=0,1,IF($I10011&lt;=1,2,0))</f>
        <v>2</v>
      </c>
      <c r="K10011">
        <v>9</v>
      </c>
      <c r="L10011">
        <f>IF(AND($J10011=0,$K10011=0),0,1)</f>
        <v>1</v>
      </c>
    </row>
    <row r="10012" spans="1:13" x14ac:dyDescent="0.2">
      <c r="A10012" t="s">
        <v>601</v>
      </c>
      <c r="B10012" t="s">
        <v>6</v>
      </c>
      <c r="C10012" t="s">
        <v>9</v>
      </c>
      <c r="D10012">
        <v>3901</v>
      </c>
      <c r="E10012">
        <v>2019</v>
      </c>
      <c r="F10012">
        <v>3</v>
      </c>
      <c r="G10012">
        <v>16447</v>
      </c>
      <c r="H10012" s="1" t="s">
        <v>1828</v>
      </c>
      <c r="I10012">
        <v>0</v>
      </c>
      <c r="J10012">
        <f>IF($H10012=0,1,IF($I10012&lt;=1,2,0))</f>
        <v>2</v>
      </c>
      <c r="K10012">
        <v>9</v>
      </c>
      <c r="L10012">
        <f>IF(AND($J10012=0,$K10012=0),0,1)</f>
        <v>1</v>
      </c>
    </row>
    <row r="10013" spans="1:13" x14ac:dyDescent="0.2">
      <c r="A10013" t="s">
        <v>601</v>
      </c>
      <c r="B10013" t="s">
        <v>6</v>
      </c>
      <c r="C10013" t="s">
        <v>33</v>
      </c>
      <c r="D10013">
        <v>3991</v>
      </c>
      <c r="E10013">
        <v>2019</v>
      </c>
      <c r="F10013">
        <v>2</v>
      </c>
      <c r="G10013">
        <v>19294</v>
      </c>
      <c r="H10013" s="1">
        <v>3</v>
      </c>
      <c r="I10013">
        <v>1</v>
      </c>
      <c r="J10013">
        <f>IF($H10013=0,1,IF($I10013&lt;=1,2,0))</f>
        <v>2</v>
      </c>
      <c r="K10013">
        <v>0</v>
      </c>
      <c r="L10013">
        <f>IF(AND($J10013=0,$K10013=0),0,1)</f>
        <v>1</v>
      </c>
    </row>
    <row r="10014" spans="1:13" x14ac:dyDescent="0.2">
      <c r="A10014" t="s">
        <v>601</v>
      </c>
      <c r="B10014" t="s">
        <v>6</v>
      </c>
      <c r="C10014" t="s">
        <v>33</v>
      </c>
      <c r="D10014">
        <v>3991</v>
      </c>
      <c r="E10014">
        <v>2019</v>
      </c>
      <c r="F10014">
        <v>4</v>
      </c>
      <c r="G10014">
        <v>19296</v>
      </c>
      <c r="H10014" s="1">
        <v>4</v>
      </c>
      <c r="I10014">
        <v>1</v>
      </c>
      <c r="J10014">
        <f>IF($H10014=0,1,IF($I10014&lt;=1,2,0))</f>
        <v>2</v>
      </c>
      <c r="K10014">
        <v>0</v>
      </c>
      <c r="L10014">
        <f>IF(AND($J10014=0,$K10014=0),0,1)</f>
        <v>1</v>
      </c>
    </row>
    <row r="10015" spans="1:13" x14ac:dyDescent="0.2">
      <c r="A10015" t="s">
        <v>601</v>
      </c>
      <c r="B10015" t="s">
        <v>6</v>
      </c>
      <c r="C10015" t="s">
        <v>33</v>
      </c>
      <c r="D10015">
        <v>3991</v>
      </c>
      <c r="E10015">
        <v>2019</v>
      </c>
      <c r="F10015">
        <v>5</v>
      </c>
      <c r="G10015">
        <v>19315</v>
      </c>
      <c r="H10015" s="1">
        <v>3</v>
      </c>
      <c r="I10015">
        <v>1</v>
      </c>
      <c r="J10015">
        <f>IF($H10015=0,1,IF($I10015&lt;=1,2,0))</f>
        <v>2</v>
      </c>
      <c r="K10015">
        <v>0</v>
      </c>
      <c r="L10015">
        <f>IF(AND($J10015=0,$K10015=0),0,1)</f>
        <v>1</v>
      </c>
    </row>
    <row r="10016" spans="1:13" x14ac:dyDescent="0.2">
      <c r="A10016" t="s">
        <v>601</v>
      </c>
      <c r="B10016" t="s">
        <v>6</v>
      </c>
      <c r="C10016" t="s">
        <v>33</v>
      </c>
      <c r="D10016">
        <v>3991</v>
      </c>
      <c r="E10016">
        <v>2019</v>
      </c>
      <c r="F10016">
        <v>3</v>
      </c>
      <c r="G10016">
        <v>19295</v>
      </c>
      <c r="H10016" s="1">
        <v>3</v>
      </c>
      <c r="I10016">
        <v>0</v>
      </c>
      <c r="J10016">
        <f>IF($H10016=0,1,IF($I10016&lt;=1,2,0))</f>
        <v>2</v>
      </c>
      <c r="K10016">
        <v>0</v>
      </c>
      <c r="L10016">
        <f>IF(AND($J10016=0,$K10016=0),0,1)</f>
        <v>1</v>
      </c>
    </row>
    <row r="10017" spans="1:13" x14ac:dyDescent="0.2">
      <c r="A10017" t="s">
        <v>601</v>
      </c>
      <c r="B10017" t="s">
        <v>6</v>
      </c>
      <c r="C10017" t="s">
        <v>33</v>
      </c>
      <c r="D10017">
        <v>3992</v>
      </c>
      <c r="E10017">
        <v>2019</v>
      </c>
      <c r="F10017">
        <v>1</v>
      </c>
      <c r="G10017">
        <v>19386</v>
      </c>
      <c r="H10017" s="1">
        <v>4</v>
      </c>
      <c r="I10017">
        <v>1</v>
      </c>
      <c r="J10017">
        <f>IF($H10017=0,1,IF($I10017&lt;=1,2,0))</f>
        <v>2</v>
      </c>
      <c r="K10017">
        <v>0</v>
      </c>
      <c r="L10017">
        <f>IF(AND($J10017=0,$K10017=0),0,1)</f>
        <v>1</v>
      </c>
    </row>
    <row r="10018" spans="1:13" x14ac:dyDescent="0.2">
      <c r="A10018" t="s">
        <v>601</v>
      </c>
      <c r="B10018" t="s">
        <v>6</v>
      </c>
      <c r="C10018" t="s">
        <v>33</v>
      </c>
      <c r="D10018">
        <v>3992</v>
      </c>
      <c r="E10018">
        <v>2019</v>
      </c>
      <c r="F10018">
        <v>2</v>
      </c>
      <c r="G10018">
        <v>19387</v>
      </c>
      <c r="H10018" s="1">
        <v>4</v>
      </c>
      <c r="I10018">
        <v>1</v>
      </c>
      <c r="J10018">
        <f>IF($H10018=0,1,IF($I10018&lt;=1,2,0))</f>
        <v>2</v>
      </c>
      <c r="K10018">
        <v>0</v>
      </c>
      <c r="L10018">
        <f>IF(AND($J10018=0,$K10018=0),0,1)</f>
        <v>1</v>
      </c>
    </row>
    <row r="10019" spans="1:13" x14ac:dyDescent="0.2">
      <c r="A10019" t="s">
        <v>601</v>
      </c>
      <c r="B10019" t="s">
        <v>6</v>
      </c>
      <c r="C10019" t="s">
        <v>33</v>
      </c>
      <c r="D10019">
        <v>3992</v>
      </c>
      <c r="E10019">
        <v>2019</v>
      </c>
      <c r="F10019">
        <v>3</v>
      </c>
      <c r="G10019">
        <v>19388</v>
      </c>
      <c r="H10019" s="1">
        <v>4</v>
      </c>
      <c r="I10019">
        <v>1</v>
      </c>
      <c r="J10019">
        <f>IF($H10019=0,1,IF($I10019&lt;=1,2,0))</f>
        <v>2</v>
      </c>
      <c r="K10019">
        <v>0</v>
      </c>
      <c r="L10019">
        <f>IF(AND($J10019=0,$K10019=0),0,1)</f>
        <v>1</v>
      </c>
    </row>
    <row r="10020" spans="1:13" x14ac:dyDescent="0.2">
      <c r="A10020" t="s">
        <v>601</v>
      </c>
      <c r="B10020" t="s">
        <v>6</v>
      </c>
      <c r="C10020" t="s">
        <v>61</v>
      </c>
      <c r="D10020">
        <v>3997</v>
      </c>
      <c r="E10020">
        <v>2019</v>
      </c>
      <c r="F10020">
        <v>1</v>
      </c>
      <c r="G10020">
        <v>19297</v>
      </c>
      <c r="H10020" s="1">
        <v>4</v>
      </c>
      <c r="I10020">
        <v>1</v>
      </c>
      <c r="J10020">
        <f>IF($H10020=0,1,IF($I10020&lt;=1,2,0))</f>
        <v>2</v>
      </c>
      <c r="K10020">
        <v>9</v>
      </c>
      <c r="L10020">
        <f>IF(AND($J10020=0,$K10020=0),0,1)</f>
        <v>1</v>
      </c>
    </row>
    <row r="10021" spans="1:13" x14ac:dyDescent="0.2">
      <c r="A10021" t="s">
        <v>601</v>
      </c>
      <c r="B10021" t="s">
        <v>6</v>
      </c>
      <c r="C10021" t="s">
        <v>9</v>
      </c>
      <c r="D10021">
        <v>3998</v>
      </c>
      <c r="E10021">
        <v>2019</v>
      </c>
      <c r="F10021">
        <v>1</v>
      </c>
      <c r="G10021">
        <v>99778</v>
      </c>
      <c r="H10021" s="1">
        <v>4</v>
      </c>
      <c r="I10021">
        <v>15</v>
      </c>
      <c r="J10021">
        <f>IF($H10021=0,1,IF($I10021&lt;=1,2,0))</f>
        <v>0</v>
      </c>
      <c r="K10021">
        <v>9</v>
      </c>
      <c r="L10021">
        <f>IF(AND($J10021=0,$K10021=0),0,1)</f>
        <v>1</v>
      </c>
      <c r="M10021" t="s">
        <v>616</v>
      </c>
    </row>
    <row r="10022" spans="1:13" x14ac:dyDescent="0.2">
      <c r="A10022" t="s">
        <v>601</v>
      </c>
      <c r="B10022" t="s">
        <v>6</v>
      </c>
      <c r="C10022" t="s">
        <v>9</v>
      </c>
      <c r="D10022">
        <v>4138</v>
      </c>
      <c r="E10022">
        <v>2019</v>
      </c>
      <c r="F10022">
        <v>1</v>
      </c>
      <c r="G10022">
        <v>47197</v>
      </c>
      <c r="H10022" s="1">
        <v>0</v>
      </c>
      <c r="I10022">
        <v>9</v>
      </c>
      <c r="J10022">
        <f>IF($H10022=0,1,IF($I10022&lt;=1,2,0))</f>
        <v>1</v>
      </c>
      <c r="K10022">
        <v>0</v>
      </c>
      <c r="L10022">
        <f>IF(AND($J10022=0,$K10022=0),0,1)</f>
        <v>1</v>
      </c>
      <c r="M10022" t="s">
        <v>603</v>
      </c>
    </row>
    <row r="10023" spans="1:13" x14ac:dyDescent="0.2">
      <c r="A10023" t="s">
        <v>601</v>
      </c>
      <c r="B10023" t="s">
        <v>6</v>
      </c>
      <c r="C10023" t="s">
        <v>9</v>
      </c>
      <c r="D10023">
        <v>4138</v>
      </c>
      <c r="E10023">
        <v>2019</v>
      </c>
      <c r="F10023">
        <v>2</v>
      </c>
      <c r="G10023">
        <v>47198</v>
      </c>
      <c r="H10023" s="1">
        <v>0</v>
      </c>
      <c r="I10023">
        <v>5</v>
      </c>
      <c r="J10023">
        <f>IF($H10023=0,1,IF($I10023&lt;=1,2,0))</f>
        <v>1</v>
      </c>
      <c r="K10023">
        <v>0</v>
      </c>
      <c r="L10023">
        <f>IF(AND($J10023=0,$K10023=0),0,1)</f>
        <v>1</v>
      </c>
      <c r="M10023" t="s">
        <v>603</v>
      </c>
    </row>
    <row r="10024" spans="1:13" x14ac:dyDescent="0.2">
      <c r="A10024" t="s">
        <v>601</v>
      </c>
      <c r="B10024" t="s">
        <v>6</v>
      </c>
      <c r="C10024" t="s">
        <v>9</v>
      </c>
      <c r="D10024">
        <v>4701</v>
      </c>
      <c r="E10024">
        <v>2019</v>
      </c>
      <c r="F10024">
        <v>1</v>
      </c>
      <c r="G10024">
        <v>17813</v>
      </c>
      <c r="H10024" s="1">
        <v>0</v>
      </c>
      <c r="I10024">
        <v>4</v>
      </c>
      <c r="J10024">
        <f>IF($H10024=0,1,IF($I10024&lt;=1,2,0))</f>
        <v>1</v>
      </c>
      <c r="K10024">
        <v>0</v>
      </c>
      <c r="L10024">
        <f>IF(AND($J10024=0,$K10024=0),0,1)</f>
        <v>1</v>
      </c>
      <c r="M10024" t="s">
        <v>603</v>
      </c>
    </row>
    <row r="10025" spans="1:13" x14ac:dyDescent="0.2">
      <c r="A10025" t="s">
        <v>601</v>
      </c>
      <c r="B10025" t="s">
        <v>6</v>
      </c>
      <c r="C10025" t="s">
        <v>9</v>
      </c>
      <c r="D10025">
        <v>4711</v>
      </c>
      <c r="E10025">
        <v>2019</v>
      </c>
      <c r="F10025">
        <v>1</v>
      </c>
      <c r="G10025">
        <v>10591</v>
      </c>
      <c r="H10025" s="1">
        <v>0</v>
      </c>
      <c r="I10025">
        <v>19</v>
      </c>
      <c r="J10025">
        <f>IF($H10025=0,1,IF($I10025&lt;=1,2,0))</f>
        <v>1</v>
      </c>
      <c r="K10025">
        <v>0</v>
      </c>
      <c r="L10025">
        <f>IF(AND($J10025=0,$K10025=0),0,1)</f>
        <v>1</v>
      </c>
      <c r="M10025" t="s">
        <v>603</v>
      </c>
    </row>
    <row r="10026" spans="1:13" x14ac:dyDescent="0.2">
      <c r="A10026" t="s">
        <v>601</v>
      </c>
      <c r="B10026" t="s">
        <v>6</v>
      </c>
      <c r="C10026" t="s">
        <v>9</v>
      </c>
      <c r="D10026">
        <v>4711</v>
      </c>
      <c r="E10026">
        <v>2019</v>
      </c>
      <c r="F10026">
        <v>2</v>
      </c>
      <c r="G10026">
        <v>10592</v>
      </c>
      <c r="H10026" s="1">
        <v>0</v>
      </c>
      <c r="I10026">
        <v>5</v>
      </c>
      <c r="J10026">
        <f>IF($H10026=0,1,IF($I10026&lt;=1,2,0))</f>
        <v>1</v>
      </c>
      <c r="K10026">
        <v>0</v>
      </c>
      <c r="L10026">
        <f>IF(AND($J10026=0,$K10026=0),0,1)</f>
        <v>1</v>
      </c>
      <c r="M10026" t="s">
        <v>603</v>
      </c>
    </row>
    <row r="10027" spans="1:13" x14ac:dyDescent="0.2">
      <c r="A10027" t="s">
        <v>601</v>
      </c>
      <c r="B10027" t="s">
        <v>6</v>
      </c>
      <c r="C10027" t="s">
        <v>9</v>
      </c>
      <c r="D10027">
        <v>4715</v>
      </c>
      <c r="E10027">
        <v>2019</v>
      </c>
      <c r="F10027">
        <v>1</v>
      </c>
      <c r="G10027">
        <v>17916</v>
      </c>
      <c r="H10027" s="1">
        <v>0</v>
      </c>
      <c r="I10027">
        <v>13</v>
      </c>
      <c r="J10027">
        <f>IF($H10027=0,1,IF($I10027&lt;=1,2,0))</f>
        <v>1</v>
      </c>
      <c r="K10027">
        <v>0</v>
      </c>
      <c r="L10027">
        <f>IF(AND($J10027=0,$K10027=0),0,1)</f>
        <v>1</v>
      </c>
      <c r="M10027" t="s">
        <v>603</v>
      </c>
    </row>
    <row r="10028" spans="1:13" x14ac:dyDescent="0.2">
      <c r="A10028" t="s">
        <v>601</v>
      </c>
      <c r="B10028" t="s">
        <v>6</v>
      </c>
      <c r="C10028" t="s">
        <v>9</v>
      </c>
      <c r="D10028">
        <v>4733</v>
      </c>
      <c r="E10028">
        <v>2019</v>
      </c>
      <c r="F10028">
        <v>1</v>
      </c>
      <c r="G10028">
        <v>10109</v>
      </c>
      <c r="H10028" s="1">
        <v>0</v>
      </c>
      <c r="I10028">
        <v>12</v>
      </c>
      <c r="J10028">
        <f>IF($H10028=0,1,IF($I10028&lt;=1,2,0))</f>
        <v>1</v>
      </c>
      <c r="K10028">
        <v>0</v>
      </c>
      <c r="L10028">
        <f>IF(AND($J10028=0,$K10028=0),0,1)</f>
        <v>1</v>
      </c>
      <c r="M10028" t="s">
        <v>603</v>
      </c>
    </row>
    <row r="10029" spans="1:13" x14ac:dyDescent="0.2">
      <c r="A10029" t="s">
        <v>601</v>
      </c>
      <c r="B10029" t="s">
        <v>6</v>
      </c>
      <c r="C10029" t="s">
        <v>9</v>
      </c>
      <c r="D10029">
        <v>4793</v>
      </c>
      <c r="E10029">
        <v>2019</v>
      </c>
      <c r="F10029">
        <v>1</v>
      </c>
      <c r="G10029">
        <v>10106</v>
      </c>
      <c r="H10029" s="1">
        <v>0</v>
      </c>
      <c r="I10029">
        <v>0</v>
      </c>
      <c r="J10029">
        <f>IF($H10029=0,1,IF($I10029&lt;=1,2,0))</f>
        <v>1</v>
      </c>
      <c r="K10029">
        <v>0</v>
      </c>
      <c r="L10029">
        <f>IF(AND($J10029=0,$K10029=0),0,1)</f>
        <v>1</v>
      </c>
      <c r="M10029" t="s">
        <v>603</v>
      </c>
    </row>
    <row r="10030" spans="1:13" x14ac:dyDescent="0.2">
      <c r="A10030" t="s">
        <v>601</v>
      </c>
      <c r="B10030" t="s">
        <v>6</v>
      </c>
      <c r="C10030" t="s">
        <v>9</v>
      </c>
      <c r="D10030">
        <v>4896</v>
      </c>
      <c r="E10030">
        <v>2019</v>
      </c>
      <c r="F10030">
        <v>1</v>
      </c>
      <c r="G10030">
        <v>47210</v>
      </c>
      <c r="H10030" s="1">
        <v>0</v>
      </c>
      <c r="I10030">
        <v>17</v>
      </c>
      <c r="J10030">
        <f>IF($H10030=0,1,IF($I10030&lt;=1,2,0))</f>
        <v>1</v>
      </c>
      <c r="K10030">
        <v>0</v>
      </c>
      <c r="L10030">
        <f>IF(AND($J10030=0,$K10030=0),0,1)</f>
        <v>1</v>
      </c>
      <c r="M10030" t="s">
        <v>603</v>
      </c>
    </row>
    <row r="10031" spans="1:13" x14ac:dyDescent="0.2">
      <c r="A10031" t="s">
        <v>601</v>
      </c>
      <c r="B10031" t="s">
        <v>6</v>
      </c>
      <c r="C10031" t="s">
        <v>9</v>
      </c>
      <c r="D10031">
        <v>4896</v>
      </c>
      <c r="E10031">
        <v>2019</v>
      </c>
      <c r="F10031">
        <v>2</v>
      </c>
      <c r="G10031">
        <v>47211</v>
      </c>
      <c r="H10031" s="1">
        <v>0</v>
      </c>
      <c r="I10031">
        <v>11</v>
      </c>
      <c r="J10031">
        <f>IF($H10031=0,1,IF($I10031&lt;=1,2,0))</f>
        <v>1</v>
      </c>
      <c r="K10031">
        <v>0</v>
      </c>
      <c r="L10031">
        <f>IF(AND($J10031=0,$K10031=0),0,1)</f>
        <v>1</v>
      </c>
    </row>
    <row r="10032" spans="1:13" x14ac:dyDescent="0.2">
      <c r="A10032" t="s">
        <v>601</v>
      </c>
      <c r="B10032" t="s">
        <v>6</v>
      </c>
      <c r="C10032" t="s">
        <v>9</v>
      </c>
      <c r="D10032">
        <v>4896</v>
      </c>
      <c r="E10032">
        <v>2019</v>
      </c>
      <c r="F10032">
        <v>3</v>
      </c>
      <c r="G10032">
        <v>47212</v>
      </c>
      <c r="H10032" s="1">
        <v>0</v>
      </c>
      <c r="I10032">
        <v>6</v>
      </c>
      <c r="J10032">
        <f>IF($H10032=0,1,IF($I10032&lt;=1,2,0))</f>
        <v>1</v>
      </c>
      <c r="K10032">
        <v>0</v>
      </c>
      <c r="L10032">
        <f>IF(AND($J10032=0,$K10032=0),0,1)</f>
        <v>1</v>
      </c>
      <c r="M10032" t="s">
        <v>603</v>
      </c>
    </row>
    <row r="10033" spans="1:13" x14ac:dyDescent="0.2">
      <c r="A10033" t="s">
        <v>601</v>
      </c>
      <c r="B10033" t="s">
        <v>6</v>
      </c>
      <c r="C10033" t="s">
        <v>9</v>
      </c>
      <c r="D10033">
        <v>4896</v>
      </c>
      <c r="E10033">
        <v>2019</v>
      </c>
      <c r="F10033">
        <v>5</v>
      </c>
      <c r="G10033">
        <v>17921</v>
      </c>
      <c r="H10033" s="1">
        <v>0</v>
      </c>
      <c r="I10033">
        <v>4</v>
      </c>
      <c r="J10033">
        <f>IF($H10033=0,1,IF($I10033&lt;=1,2,0))</f>
        <v>1</v>
      </c>
      <c r="K10033">
        <v>0</v>
      </c>
      <c r="L10033">
        <f>IF(AND($J10033=0,$K10033=0),0,1)</f>
        <v>1</v>
      </c>
      <c r="M10033" t="s">
        <v>603</v>
      </c>
    </row>
    <row r="10034" spans="1:13" x14ac:dyDescent="0.2">
      <c r="A10034" t="s">
        <v>601</v>
      </c>
      <c r="B10034" t="s">
        <v>6</v>
      </c>
      <c r="C10034" t="s">
        <v>9</v>
      </c>
      <c r="D10034">
        <v>4896</v>
      </c>
      <c r="E10034">
        <v>2019</v>
      </c>
      <c r="F10034">
        <v>4</v>
      </c>
      <c r="G10034">
        <v>10245</v>
      </c>
      <c r="H10034" s="1">
        <v>0</v>
      </c>
      <c r="I10034">
        <v>3</v>
      </c>
      <c r="J10034">
        <f>IF($H10034=0,1,IF($I10034&lt;=1,2,0))</f>
        <v>1</v>
      </c>
      <c r="K10034">
        <v>0</v>
      </c>
      <c r="L10034">
        <f>IF(AND($J10034=0,$K10034=0),0,1)</f>
        <v>1</v>
      </c>
      <c r="M10034" t="s">
        <v>603</v>
      </c>
    </row>
    <row r="10035" spans="1:13" x14ac:dyDescent="0.2">
      <c r="A10035" t="s">
        <v>601</v>
      </c>
      <c r="B10035" t="s">
        <v>6</v>
      </c>
      <c r="C10035" t="s">
        <v>11</v>
      </c>
      <c r="D10035">
        <v>5000</v>
      </c>
      <c r="E10035">
        <v>2019</v>
      </c>
      <c r="F10035">
        <v>1</v>
      </c>
      <c r="G10035">
        <v>99748</v>
      </c>
      <c r="H10035" s="1">
        <v>4</v>
      </c>
      <c r="I10035">
        <v>25</v>
      </c>
      <c r="J10035">
        <f>IF($H10035=0,1,IF($I10035&lt;=1,2,0))</f>
        <v>0</v>
      </c>
      <c r="K10035">
        <v>4</v>
      </c>
      <c r="L10035">
        <f>IF(AND($J10035=0,$K10035=0),0,1)</f>
        <v>1</v>
      </c>
    </row>
    <row r="10036" spans="1:13" x14ac:dyDescent="0.2">
      <c r="A10036" t="s">
        <v>601</v>
      </c>
      <c r="B10036" t="s">
        <v>6</v>
      </c>
      <c r="C10036" t="s">
        <v>11</v>
      </c>
      <c r="D10036">
        <v>9010</v>
      </c>
      <c r="E10036">
        <v>2019</v>
      </c>
      <c r="F10036">
        <v>1</v>
      </c>
      <c r="G10036">
        <v>99747</v>
      </c>
      <c r="H10036" s="1" t="s">
        <v>1823</v>
      </c>
      <c r="I10036">
        <v>0</v>
      </c>
      <c r="J10036">
        <f>IF($H10036=0,1,IF($I10036&lt;=1,2,0))</f>
        <v>2</v>
      </c>
      <c r="K10036">
        <v>5</v>
      </c>
      <c r="L10036">
        <f>IF(AND($J10036=0,$K10036=0),0,1)</f>
        <v>1</v>
      </c>
    </row>
    <row r="10037" spans="1:13" x14ac:dyDescent="0.2">
      <c r="A10037" t="s">
        <v>601</v>
      </c>
      <c r="B10037" t="s">
        <v>6</v>
      </c>
      <c r="C10037" t="s">
        <v>11</v>
      </c>
      <c r="D10037">
        <v>9901</v>
      </c>
      <c r="E10037">
        <v>2019</v>
      </c>
      <c r="F10037">
        <v>1</v>
      </c>
      <c r="G10037">
        <v>99746</v>
      </c>
      <c r="H10037" s="1">
        <v>4</v>
      </c>
      <c r="I10037">
        <v>16</v>
      </c>
      <c r="J10037">
        <f>IF($H10037=0,1,IF($I10037&lt;=1,2,0))</f>
        <v>0</v>
      </c>
      <c r="K10037">
        <v>5</v>
      </c>
      <c r="L10037">
        <f>IF(AND($J10037=0,$K10037=0),0,1)</f>
        <v>1</v>
      </c>
    </row>
    <row r="10038" spans="1:13" x14ac:dyDescent="0.2">
      <c r="A10038" t="s">
        <v>623</v>
      </c>
      <c r="B10038" t="s">
        <v>133</v>
      </c>
      <c r="C10038" t="s">
        <v>2</v>
      </c>
      <c r="D10038">
        <v>1001</v>
      </c>
      <c r="E10038">
        <v>2019</v>
      </c>
      <c r="F10038">
        <v>1</v>
      </c>
      <c r="G10038">
        <v>9286</v>
      </c>
      <c r="H10038" s="1">
        <v>3</v>
      </c>
      <c r="I10038">
        <v>148</v>
      </c>
      <c r="J10038">
        <f>IF($H10038=0,1,IF($I10038&lt;=1,2,0))</f>
        <v>0</v>
      </c>
      <c r="K10038">
        <v>7</v>
      </c>
      <c r="L10038">
        <f>IF(AND($J10038=0,$K10038=0),0,1)</f>
        <v>1</v>
      </c>
      <c r="M10038" t="s">
        <v>1953</v>
      </c>
    </row>
    <row r="10039" spans="1:13" x14ac:dyDescent="0.2">
      <c r="A10039" t="s">
        <v>623</v>
      </c>
      <c r="B10039" t="s">
        <v>133</v>
      </c>
      <c r="C10039" t="s">
        <v>2</v>
      </c>
      <c r="D10039">
        <v>1001</v>
      </c>
      <c r="E10039">
        <v>2019</v>
      </c>
      <c r="F10039">
        <v>3</v>
      </c>
      <c r="G10039">
        <v>9288</v>
      </c>
      <c r="H10039" s="1">
        <v>3</v>
      </c>
      <c r="I10039">
        <v>122</v>
      </c>
      <c r="J10039">
        <f>IF($H10039=0,1,IF($I10039&lt;=1,2,0))</f>
        <v>0</v>
      </c>
      <c r="K10039">
        <v>7</v>
      </c>
      <c r="L10039">
        <f>IF(AND($J10039=0,$K10039=0),0,1)</f>
        <v>1</v>
      </c>
      <c r="M10039" t="s">
        <v>1953</v>
      </c>
    </row>
    <row r="10040" spans="1:13" x14ac:dyDescent="0.2">
      <c r="A10040" t="s">
        <v>623</v>
      </c>
      <c r="B10040" t="s">
        <v>133</v>
      </c>
      <c r="C10040" t="s">
        <v>2</v>
      </c>
      <c r="D10040">
        <v>1001</v>
      </c>
      <c r="E10040">
        <v>2019</v>
      </c>
      <c r="F10040">
        <v>4</v>
      </c>
      <c r="G10040">
        <v>9289</v>
      </c>
      <c r="H10040" s="1">
        <v>3</v>
      </c>
      <c r="I10040">
        <v>47</v>
      </c>
      <c r="J10040">
        <f>IF($H10040=0,1,IF($I10040&lt;=1,2,0))</f>
        <v>0</v>
      </c>
      <c r="K10040">
        <v>7</v>
      </c>
      <c r="L10040">
        <f>IF(AND($J10040=0,$K10040=0),0,1)</f>
        <v>1</v>
      </c>
      <c r="M10040" t="s">
        <v>1953</v>
      </c>
    </row>
    <row r="10041" spans="1:13" x14ac:dyDescent="0.2">
      <c r="A10041" t="s">
        <v>623</v>
      </c>
      <c r="B10041" t="s">
        <v>133</v>
      </c>
      <c r="C10041" t="s">
        <v>2</v>
      </c>
      <c r="D10041">
        <v>1001</v>
      </c>
      <c r="E10041">
        <v>2019</v>
      </c>
      <c r="F10041">
        <v>2</v>
      </c>
      <c r="G10041">
        <v>9287</v>
      </c>
      <c r="H10041" s="1">
        <v>3</v>
      </c>
      <c r="I10041">
        <v>44</v>
      </c>
      <c r="J10041">
        <f>IF($H10041=0,1,IF($I10041&lt;=1,2,0))</f>
        <v>0</v>
      </c>
      <c r="K10041">
        <v>7</v>
      </c>
      <c r="L10041">
        <f>IF(AND($J10041=0,$K10041=0),0,1)</f>
        <v>1</v>
      </c>
      <c r="M10041" t="s">
        <v>625</v>
      </c>
    </row>
    <row r="10042" spans="1:13" x14ac:dyDescent="0.2">
      <c r="A10042" t="s">
        <v>623</v>
      </c>
      <c r="B10042" t="s">
        <v>133</v>
      </c>
      <c r="C10042" t="s">
        <v>2</v>
      </c>
      <c r="D10042">
        <v>1010</v>
      </c>
      <c r="E10042">
        <v>2019</v>
      </c>
      <c r="F10042">
        <v>2</v>
      </c>
      <c r="G10042">
        <v>9324</v>
      </c>
      <c r="H10042" s="1">
        <v>1.5</v>
      </c>
      <c r="I10042">
        <v>24</v>
      </c>
      <c r="J10042">
        <f>IF($H10042=0,1,IF($I10042&lt;=1,2,0))</f>
        <v>0</v>
      </c>
      <c r="K10042">
        <v>7</v>
      </c>
      <c r="L10042">
        <f>IF(AND($J10042=0,$K10042=0),0,1)</f>
        <v>1</v>
      </c>
      <c r="M10042" t="s">
        <v>626</v>
      </c>
    </row>
    <row r="10043" spans="1:13" x14ac:dyDescent="0.2">
      <c r="A10043" t="s">
        <v>623</v>
      </c>
      <c r="B10043" t="s">
        <v>133</v>
      </c>
      <c r="C10043" t="s">
        <v>2</v>
      </c>
      <c r="D10043">
        <v>1010</v>
      </c>
      <c r="E10043">
        <v>2019</v>
      </c>
      <c r="F10043">
        <v>3</v>
      </c>
      <c r="G10043">
        <v>9326</v>
      </c>
      <c r="H10043" s="1">
        <v>1.5</v>
      </c>
      <c r="I10043">
        <v>24</v>
      </c>
      <c r="J10043">
        <f>IF($H10043=0,1,IF($I10043&lt;=1,2,0))</f>
        <v>0</v>
      </c>
      <c r="K10043">
        <v>7</v>
      </c>
      <c r="L10043">
        <f>IF(AND($J10043=0,$K10043=0),0,1)</f>
        <v>1</v>
      </c>
      <c r="M10043" t="s">
        <v>1954</v>
      </c>
    </row>
    <row r="10044" spans="1:13" x14ac:dyDescent="0.2">
      <c r="A10044" t="s">
        <v>623</v>
      </c>
      <c r="B10044" t="s">
        <v>133</v>
      </c>
      <c r="C10044" t="s">
        <v>2</v>
      </c>
      <c r="D10044">
        <v>1010</v>
      </c>
      <c r="E10044">
        <v>2019</v>
      </c>
      <c r="F10044">
        <v>1</v>
      </c>
      <c r="G10044">
        <v>9323</v>
      </c>
      <c r="H10044" s="1">
        <v>1.5</v>
      </c>
      <c r="I10044">
        <v>23</v>
      </c>
      <c r="J10044">
        <f>IF($H10044=0,1,IF($I10044&lt;=1,2,0))</f>
        <v>0</v>
      </c>
      <c r="K10044">
        <v>7</v>
      </c>
      <c r="L10044">
        <f>IF(AND($J10044=0,$K10044=0),0,1)</f>
        <v>1</v>
      </c>
      <c r="M10044" t="s">
        <v>626</v>
      </c>
    </row>
    <row r="10045" spans="1:13" x14ac:dyDescent="0.2">
      <c r="A10045" t="s">
        <v>623</v>
      </c>
      <c r="B10045" t="s">
        <v>133</v>
      </c>
      <c r="C10045" t="s">
        <v>2</v>
      </c>
      <c r="D10045">
        <v>1020</v>
      </c>
      <c r="E10045">
        <v>2019</v>
      </c>
      <c r="F10045">
        <v>1</v>
      </c>
      <c r="G10045">
        <v>9325</v>
      </c>
      <c r="H10045" s="1">
        <v>3</v>
      </c>
      <c r="I10045">
        <v>6</v>
      </c>
      <c r="J10045">
        <f>IF($H10045=0,1,IF($I10045&lt;=1,2,0))</f>
        <v>0</v>
      </c>
      <c r="K10045">
        <v>7</v>
      </c>
      <c r="L10045">
        <f>IF(AND($J10045=0,$K10045=0),0,1)</f>
        <v>1</v>
      </c>
    </row>
    <row r="10046" spans="1:13" x14ac:dyDescent="0.2">
      <c r="A10046" t="s">
        <v>623</v>
      </c>
      <c r="B10046" t="s">
        <v>133</v>
      </c>
      <c r="C10046" t="s">
        <v>2</v>
      </c>
      <c r="D10046">
        <v>1088</v>
      </c>
      <c r="E10046">
        <v>2019</v>
      </c>
      <c r="F10046">
        <v>1</v>
      </c>
      <c r="G10046">
        <v>9320</v>
      </c>
      <c r="H10046" s="1">
        <v>4</v>
      </c>
      <c r="I10046">
        <v>185</v>
      </c>
      <c r="J10046">
        <f>IF($H10046=0,1,IF($I10046&lt;=1,2,0))</f>
        <v>0</v>
      </c>
      <c r="K10046">
        <v>7</v>
      </c>
      <c r="L10046">
        <f>IF(AND($J10046=0,$K10046=0),0,1)</f>
        <v>1</v>
      </c>
      <c r="M10046" t="s">
        <v>627</v>
      </c>
    </row>
    <row r="10047" spans="1:13" x14ac:dyDescent="0.2">
      <c r="A10047" t="s">
        <v>623</v>
      </c>
      <c r="B10047" t="s">
        <v>133</v>
      </c>
      <c r="C10047" t="s">
        <v>2</v>
      </c>
      <c r="D10047">
        <v>1089</v>
      </c>
      <c r="E10047">
        <v>2019</v>
      </c>
      <c r="F10047">
        <v>3</v>
      </c>
      <c r="G10047">
        <v>220</v>
      </c>
      <c r="H10047" s="1">
        <v>0</v>
      </c>
      <c r="I10047">
        <v>33</v>
      </c>
      <c r="J10047">
        <f>IF($H10047=0,1,IF($I10047&lt;=1,2,0))</f>
        <v>1</v>
      </c>
      <c r="K10047">
        <v>7</v>
      </c>
      <c r="L10047">
        <f>IF(AND($J10047=0,$K10047=0),0,1)</f>
        <v>1</v>
      </c>
      <c r="M10047" t="s">
        <v>628</v>
      </c>
    </row>
    <row r="10048" spans="1:13" x14ac:dyDescent="0.2">
      <c r="A10048" t="s">
        <v>623</v>
      </c>
      <c r="B10048" t="s">
        <v>133</v>
      </c>
      <c r="C10048" t="s">
        <v>2</v>
      </c>
      <c r="D10048">
        <v>1089</v>
      </c>
      <c r="E10048">
        <v>2019</v>
      </c>
      <c r="F10048">
        <v>8</v>
      </c>
      <c r="G10048">
        <v>225</v>
      </c>
      <c r="H10048" s="1">
        <v>0</v>
      </c>
      <c r="I10048">
        <v>26</v>
      </c>
      <c r="J10048">
        <f>IF($H10048=0,1,IF($I10048&lt;=1,2,0))</f>
        <v>1</v>
      </c>
      <c r="K10048">
        <v>7</v>
      </c>
      <c r="L10048">
        <f>IF(AND($J10048=0,$K10048=0),0,1)</f>
        <v>1</v>
      </c>
      <c r="M10048" t="s">
        <v>628</v>
      </c>
    </row>
    <row r="10049" spans="1:13" x14ac:dyDescent="0.2">
      <c r="A10049" t="s">
        <v>623</v>
      </c>
      <c r="B10049" t="s">
        <v>133</v>
      </c>
      <c r="C10049" t="s">
        <v>2</v>
      </c>
      <c r="D10049">
        <v>1089</v>
      </c>
      <c r="E10049">
        <v>2019</v>
      </c>
      <c r="F10049">
        <v>6</v>
      </c>
      <c r="G10049">
        <v>223</v>
      </c>
      <c r="H10049" s="1">
        <v>0</v>
      </c>
      <c r="I10049">
        <v>25</v>
      </c>
      <c r="J10049">
        <f>IF($H10049=0,1,IF($I10049&lt;=1,2,0))</f>
        <v>1</v>
      </c>
      <c r="K10049">
        <v>7</v>
      </c>
      <c r="L10049">
        <f>IF(AND($J10049=0,$K10049=0),0,1)</f>
        <v>1</v>
      </c>
      <c r="M10049" t="s">
        <v>628</v>
      </c>
    </row>
    <row r="10050" spans="1:13" x14ac:dyDescent="0.2">
      <c r="A10050" t="s">
        <v>623</v>
      </c>
      <c r="B10050" t="s">
        <v>133</v>
      </c>
      <c r="C10050" t="s">
        <v>2</v>
      </c>
      <c r="D10050">
        <v>1089</v>
      </c>
      <c r="E10050">
        <v>2019</v>
      </c>
      <c r="F10050">
        <v>5</v>
      </c>
      <c r="G10050">
        <v>222</v>
      </c>
      <c r="H10050" s="1">
        <v>0</v>
      </c>
      <c r="I10050">
        <v>21</v>
      </c>
      <c r="J10050">
        <f>IF($H10050=0,1,IF($I10050&lt;=1,2,0))</f>
        <v>1</v>
      </c>
      <c r="K10050">
        <v>7</v>
      </c>
      <c r="L10050">
        <f>IF(AND($J10050=0,$K10050=0),0,1)</f>
        <v>1</v>
      </c>
      <c r="M10050" t="s">
        <v>628</v>
      </c>
    </row>
    <row r="10051" spans="1:13" x14ac:dyDescent="0.2">
      <c r="A10051" t="s">
        <v>623</v>
      </c>
      <c r="B10051" t="s">
        <v>133</v>
      </c>
      <c r="C10051" t="s">
        <v>2</v>
      </c>
      <c r="D10051">
        <v>1089</v>
      </c>
      <c r="E10051">
        <v>2019</v>
      </c>
      <c r="F10051">
        <v>2</v>
      </c>
      <c r="G10051">
        <v>219</v>
      </c>
      <c r="H10051" s="1">
        <v>0</v>
      </c>
      <c r="I10051">
        <v>20</v>
      </c>
      <c r="J10051">
        <f>IF($H10051=0,1,IF($I10051&lt;=1,2,0))</f>
        <v>1</v>
      </c>
      <c r="K10051">
        <v>7</v>
      </c>
      <c r="L10051">
        <f>IF(AND($J10051=0,$K10051=0),0,1)</f>
        <v>1</v>
      </c>
      <c r="M10051" t="s">
        <v>628</v>
      </c>
    </row>
    <row r="10052" spans="1:13" x14ac:dyDescent="0.2">
      <c r="A10052" t="s">
        <v>623</v>
      </c>
      <c r="B10052" t="s">
        <v>133</v>
      </c>
      <c r="C10052" t="s">
        <v>2</v>
      </c>
      <c r="D10052">
        <v>1089</v>
      </c>
      <c r="E10052">
        <v>2019</v>
      </c>
      <c r="F10052">
        <v>1</v>
      </c>
      <c r="G10052">
        <v>218</v>
      </c>
      <c r="H10052" s="1">
        <v>0</v>
      </c>
      <c r="I10052">
        <v>19</v>
      </c>
      <c r="J10052">
        <f>IF($H10052=0,1,IF($I10052&lt;=1,2,0))</f>
        <v>1</v>
      </c>
      <c r="K10052">
        <v>7</v>
      </c>
      <c r="L10052">
        <f>IF(AND($J10052=0,$K10052=0),0,1)</f>
        <v>1</v>
      </c>
      <c r="M10052" t="s">
        <v>628</v>
      </c>
    </row>
    <row r="10053" spans="1:13" x14ac:dyDescent="0.2">
      <c r="A10053" t="s">
        <v>623</v>
      </c>
      <c r="B10053" t="s">
        <v>133</v>
      </c>
      <c r="C10053" t="s">
        <v>2</v>
      </c>
      <c r="D10053">
        <v>1089</v>
      </c>
      <c r="E10053">
        <v>2019</v>
      </c>
      <c r="F10053">
        <v>4</v>
      </c>
      <c r="G10053">
        <v>221</v>
      </c>
      <c r="H10053" s="1">
        <v>0</v>
      </c>
      <c r="I10053">
        <v>19</v>
      </c>
      <c r="J10053">
        <f>IF($H10053=0,1,IF($I10053&lt;=1,2,0))</f>
        <v>1</v>
      </c>
      <c r="K10053">
        <v>7</v>
      </c>
      <c r="L10053">
        <f>IF(AND($J10053=0,$K10053=0),0,1)</f>
        <v>1</v>
      </c>
      <c r="M10053" t="s">
        <v>628</v>
      </c>
    </row>
    <row r="10054" spans="1:13" x14ac:dyDescent="0.2">
      <c r="A10054" t="s">
        <v>623</v>
      </c>
      <c r="B10054" t="s">
        <v>133</v>
      </c>
      <c r="C10054" t="s">
        <v>2</v>
      </c>
      <c r="D10054">
        <v>1089</v>
      </c>
      <c r="E10054">
        <v>2019</v>
      </c>
      <c r="F10054">
        <v>7</v>
      </c>
      <c r="G10054">
        <v>224</v>
      </c>
      <c r="H10054" s="1">
        <v>0</v>
      </c>
      <c r="I10054">
        <v>15</v>
      </c>
      <c r="J10054">
        <f>IF($H10054=0,1,IF($I10054&lt;=1,2,0))</f>
        <v>1</v>
      </c>
      <c r="K10054">
        <v>7</v>
      </c>
      <c r="L10054">
        <f>IF(AND($J10054=0,$K10054=0),0,1)</f>
        <v>1</v>
      </c>
      <c r="M10054" t="s">
        <v>628</v>
      </c>
    </row>
    <row r="10055" spans="1:13" x14ac:dyDescent="0.2">
      <c r="A10055" t="s">
        <v>623</v>
      </c>
      <c r="B10055" t="s">
        <v>133</v>
      </c>
      <c r="C10055" t="s">
        <v>2</v>
      </c>
      <c r="D10055">
        <v>1099</v>
      </c>
      <c r="E10055">
        <v>2019</v>
      </c>
      <c r="F10055">
        <v>1</v>
      </c>
      <c r="G10055">
        <v>9290</v>
      </c>
      <c r="H10055" s="1">
        <v>1</v>
      </c>
      <c r="I10055">
        <v>15</v>
      </c>
      <c r="J10055">
        <f>IF($H10055=0,1,IF($I10055&lt;=1,2,0))</f>
        <v>0</v>
      </c>
      <c r="K10055">
        <v>7</v>
      </c>
      <c r="L10055">
        <f>IF(AND($J10055=0,$K10055=0),0,1)</f>
        <v>1</v>
      </c>
    </row>
    <row r="10056" spans="1:13" x14ac:dyDescent="0.2">
      <c r="A10056" t="s">
        <v>623</v>
      </c>
      <c r="B10056" t="s">
        <v>133</v>
      </c>
      <c r="C10056" t="s">
        <v>2</v>
      </c>
      <c r="D10056">
        <v>1101</v>
      </c>
      <c r="E10056">
        <v>2019</v>
      </c>
      <c r="F10056">
        <v>3</v>
      </c>
      <c r="G10056">
        <v>9313</v>
      </c>
      <c r="H10056" s="1">
        <v>4</v>
      </c>
      <c r="I10056">
        <v>20</v>
      </c>
      <c r="J10056">
        <f>IF($H10056=0,1,IF($I10056&lt;=1,2,0))</f>
        <v>0</v>
      </c>
      <c r="K10056">
        <v>7</v>
      </c>
      <c r="L10056">
        <f>IF(AND($J10056=0,$K10056=0),0,1)</f>
        <v>1</v>
      </c>
      <c r="M10056" t="s">
        <v>629</v>
      </c>
    </row>
    <row r="10057" spans="1:13" x14ac:dyDescent="0.2">
      <c r="A10057" t="s">
        <v>623</v>
      </c>
      <c r="B10057" t="s">
        <v>133</v>
      </c>
      <c r="C10057" t="s">
        <v>2</v>
      </c>
      <c r="D10057">
        <v>1101</v>
      </c>
      <c r="E10057">
        <v>2019</v>
      </c>
      <c r="F10057">
        <v>1</v>
      </c>
      <c r="G10057">
        <v>9311</v>
      </c>
      <c r="H10057" s="1">
        <v>4</v>
      </c>
      <c r="I10057">
        <v>19</v>
      </c>
      <c r="J10057">
        <f>IF($H10057=0,1,IF($I10057&lt;=1,2,0))</f>
        <v>0</v>
      </c>
      <c r="K10057">
        <v>7</v>
      </c>
      <c r="L10057">
        <f>IF(AND($J10057=0,$K10057=0),0,1)</f>
        <v>1</v>
      </c>
      <c r="M10057" t="s">
        <v>629</v>
      </c>
    </row>
    <row r="10058" spans="1:13" x14ac:dyDescent="0.2">
      <c r="A10058" t="s">
        <v>623</v>
      </c>
      <c r="B10058" t="s">
        <v>133</v>
      </c>
      <c r="C10058" t="s">
        <v>2</v>
      </c>
      <c r="D10058">
        <v>1101</v>
      </c>
      <c r="E10058">
        <v>2019</v>
      </c>
      <c r="F10058">
        <v>2</v>
      </c>
      <c r="G10058">
        <v>9312</v>
      </c>
      <c r="H10058" s="1">
        <v>4</v>
      </c>
      <c r="I10058">
        <v>17</v>
      </c>
      <c r="J10058">
        <f>IF($H10058=0,1,IF($I10058&lt;=1,2,0))</f>
        <v>0</v>
      </c>
      <c r="K10058">
        <v>7</v>
      </c>
      <c r="L10058">
        <f>IF(AND($J10058=0,$K10058=0),0,1)</f>
        <v>1</v>
      </c>
      <c r="M10058" t="s">
        <v>629</v>
      </c>
    </row>
    <row r="10059" spans="1:13" x14ac:dyDescent="0.2">
      <c r="A10059" t="s">
        <v>623</v>
      </c>
      <c r="B10059" t="s">
        <v>133</v>
      </c>
      <c r="C10059" t="s">
        <v>2</v>
      </c>
      <c r="D10059">
        <v>1101</v>
      </c>
      <c r="E10059">
        <v>2019</v>
      </c>
      <c r="F10059">
        <v>4</v>
      </c>
      <c r="G10059">
        <v>9314</v>
      </c>
      <c r="H10059" s="1">
        <v>4</v>
      </c>
      <c r="I10059">
        <v>11</v>
      </c>
      <c r="J10059">
        <f>IF($H10059=0,1,IF($I10059&lt;=1,2,0))</f>
        <v>0</v>
      </c>
      <c r="K10059">
        <v>7</v>
      </c>
      <c r="L10059">
        <f>IF(AND($J10059=0,$K10059=0),0,1)</f>
        <v>1</v>
      </c>
      <c r="M10059" t="s">
        <v>629</v>
      </c>
    </row>
    <row r="10060" spans="1:13" x14ac:dyDescent="0.2">
      <c r="A10060" t="s">
        <v>623</v>
      </c>
      <c r="B10060" t="s">
        <v>133</v>
      </c>
      <c r="C10060" t="s">
        <v>9</v>
      </c>
      <c r="D10060">
        <v>1491</v>
      </c>
      <c r="E10060">
        <v>2019</v>
      </c>
      <c r="F10060">
        <v>2</v>
      </c>
      <c r="G10060">
        <v>99686</v>
      </c>
      <c r="H10060" s="1">
        <v>0</v>
      </c>
      <c r="I10060">
        <v>14</v>
      </c>
      <c r="J10060">
        <f>IF($H10060=0,1,IF($I10060&lt;=1,2,0))</f>
        <v>1</v>
      </c>
      <c r="K10060">
        <v>0</v>
      </c>
      <c r="L10060">
        <f>IF(AND($J10060=0,$K10060=0),0,1)</f>
        <v>1</v>
      </c>
    </row>
    <row r="10061" spans="1:13" x14ac:dyDescent="0.2">
      <c r="A10061" t="s">
        <v>623</v>
      </c>
      <c r="B10061" t="s">
        <v>133</v>
      </c>
      <c r="C10061" t="s">
        <v>9</v>
      </c>
      <c r="D10061">
        <v>1491</v>
      </c>
      <c r="E10061">
        <v>2019</v>
      </c>
      <c r="F10061">
        <v>3</v>
      </c>
      <c r="G10061">
        <v>99685</v>
      </c>
      <c r="H10061" s="1">
        <v>0</v>
      </c>
      <c r="I10061">
        <v>14</v>
      </c>
      <c r="J10061">
        <f>IF($H10061=0,1,IF($I10061&lt;=1,2,0))</f>
        <v>1</v>
      </c>
      <c r="K10061">
        <v>0</v>
      </c>
      <c r="L10061">
        <f>IF(AND($J10061=0,$K10061=0),0,1)</f>
        <v>1</v>
      </c>
    </row>
    <row r="10062" spans="1:13" x14ac:dyDescent="0.2">
      <c r="A10062" t="s">
        <v>623</v>
      </c>
      <c r="B10062" t="s">
        <v>133</v>
      </c>
      <c r="C10062" t="s">
        <v>9</v>
      </c>
      <c r="D10062">
        <v>1491</v>
      </c>
      <c r="E10062">
        <v>2019</v>
      </c>
      <c r="F10062">
        <v>1</v>
      </c>
      <c r="G10062">
        <v>99687</v>
      </c>
      <c r="H10062" s="1">
        <v>0</v>
      </c>
      <c r="I10062">
        <v>13</v>
      </c>
      <c r="J10062">
        <f>IF($H10062=0,1,IF($I10062&lt;=1,2,0))</f>
        <v>1</v>
      </c>
      <c r="K10062">
        <v>0</v>
      </c>
      <c r="L10062">
        <f>IF(AND($J10062=0,$K10062=0),0,1)</f>
        <v>1</v>
      </c>
    </row>
    <row r="10063" spans="1:13" x14ac:dyDescent="0.2">
      <c r="A10063" t="s">
        <v>623</v>
      </c>
      <c r="B10063" t="s">
        <v>133</v>
      </c>
      <c r="C10063" t="s">
        <v>9</v>
      </c>
      <c r="D10063">
        <v>1491</v>
      </c>
      <c r="E10063">
        <v>2019</v>
      </c>
      <c r="F10063">
        <v>4</v>
      </c>
      <c r="G10063">
        <v>51820</v>
      </c>
      <c r="H10063" s="1">
        <v>0</v>
      </c>
      <c r="I10063">
        <v>12</v>
      </c>
      <c r="J10063">
        <f>IF($H10063=0,1,IF($I10063&lt;=1,2,0))</f>
        <v>1</v>
      </c>
      <c r="K10063">
        <v>0</v>
      </c>
      <c r="L10063">
        <f>IF(AND($J10063=0,$K10063=0),0,1)</f>
        <v>1</v>
      </c>
      <c r="M10063" t="s">
        <v>630</v>
      </c>
    </row>
    <row r="10064" spans="1:13" x14ac:dyDescent="0.2">
      <c r="A10064" t="s">
        <v>623</v>
      </c>
      <c r="B10064" t="s">
        <v>133</v>
      </c>
      <c r="C10064" t="s">
        <v>9</v>
      </c>
      <c r="D10064">
        <v>1491</v>
      </c>
      <c r="E10064">
        <v>2019</v>
      </c>
      <c r="F10064">
        <v>5</v>
      </c>
      <c r="G10064">
        <v>51821</v>
      </c>
      <c r="H10064" s="1">
        <v>0</v>
      </c>
      <c r="I10064">
        <v>6</v>
      </c>
      <c r="J10064">
        <f>IF($H10064=0,1,IF($I10064&lt;=1,2,0))</f>
        <v>1</v>
      </c>
      <c r="K10064">
        <v>0</v>
      </c>
      <c r="L10064">
        <f>IF(AND($J10064=0,$K10064=0),0,1)</f>
        <v>1</v>
      </c>
      <c r="M10064" t="s">
        <v>630</v>
      </c>
    </row>
    <row r="10065" spans="1:13" x14ac:dyDescent="0.2">
      <c r="A10065" t="s">
        <v>623</v>
      </c>
      <c r="B10065" t="s">
        <v>133</v>
      </c>
      <c r="C10065" t="s">
        <v>9</v>
      </c>
      <c r="D10065">
        <v>1611</v>
      </c>
      <c r="E10065">
        <v>2019</v>
      </c>
      <c r="F10065">
        <v>1</v>
      </c>
      <c r="G10065">
        <v>99736</v>
      </c>
      <c r="H10065" s="1">
        <v>0</v>
      </c>
      <c r="I10065">
        <v>15</v>
      </c>
      <c r="J10065">
        <f>IF($H10065=0,1,IF($I10065&lt;=1,2,0))</f>
        <v>1</v>
      </c>
      <c r="K10065">
        <v>0</v>
      </c>
      <c r="L10065">
        <f>IF(AND($J10065=0,$K10065=0),0,1)</f>
        <v>1</v>
      </c>
    </row>
    <row r="10066" spans="1:13" x14ac:dyDescent="0.2">
      <c r="A10066" t="s">
        <v>623</v>
      </c>
      <c r="B10066" t="s">
        <v>133</v>
      </c>
      <c r="C10066" t="s">
        <v>9</v>
      </c>
      <c r="D10066">
        <v>1611</v>
      </c>
      <c r="E10066">
        <v>2019</v>
      </c>
      <c r="F10066">
        <v>2</v>
      </c>
      <c r="G10066">
        <v>99735</v>
      </c>
      <c r="H10066" s="1">
        <v>0</v>
      </c>
      <c r="I10066">
        <v>14</v>
      </c>
      <c r="J10066">
        <f>IF($H10066=0,1,IF($I10066&lt;=1,2,0))</f>
        <v>1</v>
      </c>
      <c r="K10066">
        <v>0</v>
      </c>
      <c r="L10066">
        <f>IF(AND($J10066=0,$K10066=0),0,1)</f>
        <v>1</v>
      </c>
    </row>
    <row r="10067" spans="1:13" x14ac:dyDescent="0.2">
      <c r="A10067" t="s">
        <v>623</v>
      </c>
      <c r="B10067" t="s">
        <v>133</v>
      </c>
      <c r="C10067" t="s">
        <v>9</v>
      </c>
      <c r="D10067">
        <v>1611</v>
      </c>
      <c r="E10067">
        <v>2019</v>
      </c>
      <c r="F10067">
        <v>3</v>
      </c>
      <c r="G10067">
        <v>99734</v>
      </c>
      <c r="H10067" s="1">
        <v>0</v>
      </c>
      <c r="I10067">
        <v>14</v>
      </c>
      <c r="J10067">
        <f>IF($H10067=0,1,IF($I10067&lt;=1,2,0))</f>
        <v>1</v>
      </c>
      <c r="K10067">
        <v>0</v>
      </c>
      <c r="L10067">
        <f>IF(AND($J10067=0,$K10067=0),0,1)</f>
        <v>1</v>
      </c>
      <c r="M10067" t="s">
        <v>630</v>
      </c>
    </row>
    <row r="10068" spans="1:13" x14ac:dyDescent="0.2">
      <c r="A10068" t="s">
        <v>623</v>
      </c>
      <c r="B10068" t="s">
        <v>133</v>
      </c>
      <c r="C10068" t="s">
        <v>2</v>
      </c>
      <c r="D10068">
        <v>2106</v>
      </c>
      <c r="E10068">
        <v>2019</v>
      </c>
      <c r="F10068">
        <v>3</v>
      </c>
      <c r="G10068">
        <v>9344</v>
      </c>
      <c r="H10068" s="1">
        <v>1.5</v>
      </c>
      <c r="I10068">
        <v>24</v>
      </c>
      <c r="J10068">
        <f>IF($H10068=0,1,IF($I10068&lt;=1,2,0))</f>
        <v>0</v>
      </c>
      <c r="K10068">
        <v>7</v>
      </c>
      <c r="L10068">
        <f>IF(AND($J10068=0,$K10068=0),0,1)</f>
        <v>1</v>
      </c>
      <c r="M10068" t="s">
        <v>1955</v>
      </c>
    </row>
    <row r="10069" spans="1:13" x14ac:dyDescent="0.2">
      <c r="A10069" t="s">
        <v>623</v>
      </c>
      <c r="B10069" t="s">
        <v>133</v>
      </c>
      <c r="C10069" t="s">
        <v>2</v>
      </c>
      <c r="D10069">
        <v>2106</v>
      </c>
      <c r="E10069">
        <v>2019</v>
      </c>
      <c r="F10069">
        <v>2</v>
      </c>
      <c r="G10069">
        <v>9343</v>
      </c>
      <c r="H10069" s="1">
        <v>1.5</v>
      </c>
      <c r="I10069">
        <v>21</v>
      </c>
      <c r="J10069">
        <f>IF($H10069=0,1,IF($I10069&lt;=1,2,0))</f>
        <v>0</v>
      </c>
      <c r="K10069">
        <v>7</v>
      </c>
      <c r="L10069">
        <f>IF(AND($J10069=0,$K10069=0),0,1)</f>
        <v>1</v>
      </c>
      <c r="M10069" t="s">
        <v>1955</v>
      </c>
    </row>
    <row r="10070" spans="1:13" x14ac:dyDescent="0.2">
      <c r="A10070" t="s">
        <v>623</v>
      </c>
      <c r="B10070" t="s">
        <v>133</v>
      </c>
      <c r="C10070" t="s">
        <v>2</v>
      </c>
      <c r="D10070">
        <v>2106</v>
      </c>
      <c r="E10070">
        <v>2019</v>
      </c>
      <c r="F10070">
        <v>1</v>
      </c>
      <c r="G10070">
        <v>9342</v>
      </c>
      <c r="H10070" s="1">
        <v>1.5</v>
      </c>
      <c r="I10070">
        <v>17</v>
      </c>
      <c r="J10070">
        <f>IF($H10070=0,1,IF($I10070&lt;=1,2,0))</f>
        <v>0</v>
      </c>
      <c r="K10070">
        <v>7</v>
      </c>
      <c r="L10070">
        <f>IF(AND($J10070=0,$K10070=0),0,1)</f>
        <v>1</v>
      </c>
      <c r="M10070" t="s">
        <v>1955</v>
      </c>
    </row>
    <row r="10071" spans="1:13" x14ac:dyDescent="0.2">
      <c r="A10071" t="s">
        <v>623</v>
      </c>
      <c r="B10071" t="s">
        <v>133</v>
      </c>
      <c r="C10071" t="s">
        <v>2</v>
      </c>
      <c r="D10071">
        <v>2107</v>
      </c>
      <c r="E10071">
        <v>2019</v>
      </c>
      <c r="F10071">
        <v>1</v>
      </c>
      <c r="G10071">
        <v>9332</v>
      </c>
      <c r="H10071" s="1">
        <v>3</v>
      </c>
      <c r="I10071">
        <v>87</v>
      </c>
      <c r="J10071">
        <f>IF($H10071=0,1,IF($I10071&lt;=1,2,0))</f>
        <v>0</v>
      </c>
      <c r="K10071">
        <v>7</v>
      </c>
      <c r="L10071">
        <f>IF(AND($J10071=0,$K10071=0),0,1)</f>
        <v>1</v>
      </c>
      <c r="M10071" t="s">
        <v>632</v>
      </c>
    </row>
    <row r="10072" spans="1:13" x14ac:dyDescent="0.2">
      <c r="A10072" t="s">
        <v>623</v>
      </c>
      <c r="B10072" t="s">
        <v>133</v>
      </c>
      <c r="C10072" t="s">
        <v>2</v>
      </c>
      <c r="D10072">
        <v>2109</v>
      </c>
      <c r="E10072">
        <v>2019</v>
      </c>
      <c r="F10072">
        <v>2</v>
      </c>
      <c r="G10072">
        <v>9335</v>
      </c>
      <c r="H10072" s="1">
        <v>1.5</v>
      </c>
      <c r="I10072">
        <v>14</v>
      </c>
      <c r="J10072">
        <f>IF($H10072=0,1,IF($I10072&lt;=1,2,0))</f>
        <v>0</v>
      </c>
      <c r="K10072">
        <v>7</v>
      </c>
      <c r="L10072">
        <f>IF(AND($J10072=0,$K10072=0),0,1)</f>
        <v>1</v>
      </c>
      <c r="M10072" t="s">
        <v>1957</v>
      </c>
    </row>
    <row r="10073" spans="1:13" x14ac:dyDescent="0.2">
      <c r="A10073" t="s">
        <v>623</v>
      </c>
      <c r="B10073" t="s">
        <v>133</v>
      </c>
      <c r="C10073" t="s">
        <v>2</v>
      </c>
      <c r="D10073">
        <v>2109</v>
      </c>
      <c r="E10073">
        <v>2019</v>
      </c>
      <c r="F10073">
        <v>1</v>
      </c>
      <c r="G10073">
        <v>9334</v>
      </c>
      <c r="H10073" s="1">
        <v>1.5</v>
      </c>
      <c r="I10073">
        <v>9</v>
      </c>
      <c r="J10073">
        <f>IF($H10073=0,1,IF($I10073&lt;=1,2,0))</f>
        <v>0</v>
      </c>
      <c r="K10073">
        <v>7</v>
      </c>
      <c r="L10073">
        <f>IF(AND($J10073=0,$K10073=0),0,1)</f>
        <v>1</v>
      </c>
      <c r="M10073" t="s">
        <v>1956</v>
      </c>
    </row>
    <row r="10074" spans="1:13" x14ac:dyDescent="0.2">
      <c r="A10074" t="s">
        <v>623</v>
      </c>
      <c r="B10074" t="s">
        <v>133</v>
      </c>
      <c r="C10074" t="s">
        <v>2</v>
      </c>
      <c r="D10074">
        <v>2110</v>
      </c>
      <c r="E10074">
        <v>2019</v>
      </c>
      <c r="F10074">
        <v>1</v>
      </c>
      <c r="G10074">
        <v>9333</v>
      </c>
      <c r="H10074" s="1">
        <v>3</v>
      </c>
      <c r="I10074">
        <v>38</v>
      </c>
      <c r="J10074">
        <f>IF($H10074=0,1,IF($I10074&lt;=1,2,0))</f>
        <v>0</v>
      </c>
      <c r="K10074">
        <v>7</v>
      </c>
      <c r="L10074">
        <f>IF(AND($J10074=0,$K10074=0),0,1)</f>
        <v>1</v>
      </c>
      <c r="M10074" t="s">
        <v>1958</v>
      </c>
    </row>
    <row r="10075" spans="1:13" x14ac:dyDescent="0.2">
      <c r="A10075" t="s">
        <v>623</v>
      </c>
      <c r="B10075" t="s">
        <v>133</v>
      </c>
      <c r="C10075" t="s">
        <v>2</v>
      </c>
      <c r="D10075">
        <v>2124</v>
      </c>
      <c r="E10075">
        <v>2019</v>
      </c>
      <c r="F10075">
        <v>2</v>
      </c>
      <c r="G10075">
        <v>9348</v>
      </c>
      <c r="H10075" s="1">
        <v>1.5</v>
      </c>
      <c r="I10075">
        <v>17</v>
      </c>
      <c r="J10075">
        <f>IF($H10075=0,1,IF($I10075&lt;=1,2,0))</f>
        <v>0</v>
      </c>
      <c r="K10075">
        <v>7</v>
      </c>
      <c r="L10075">
        <f>IF(AND($J10075=0,$K10075=0),0,1)</f>
        <v>1</v>
      </c>
      <c r="M10075" t="s">
        <v>1959</v>
      </c>
    </row>
    <row r="10076" spans="1:13" x14ac:dyDescent="0.2">
      <c r="A10076" t="s">
        <v>623</v>
      </c>
      <c r="B10076" t="s">
        <v>133</v>
      </c>
      <c r="C10076" t="s">
        <v>2</v>
      </c>
      <c r="D10076">
        <v>2124</v>
      </c>
      <c r="E10076">
        <v>2019</v>
      </c>
      <c r="F10076">
        <v>1</v>
      </c>
      <c r="G10076">
        <v>9347</v>
      </c>
      <c r="H10076" s="1">
        <v>1.5</v>
      </c>
      <c r="I10076">
        <v>13</v>
      </c>
      <c r="J10076">
        <f>IF($H10076=0,1,IF($I10076&lt;=1,2,0))</f>
        <v>0</v>
      </c>
      <c r="K10076">
        <v>7</v>
      </c>
      <c r="L10076">
        <f>IF(AND($J10076=0,$K10076=0),0,1)</f>
        <v>1</v>
      </c>
      <c r="M10076" t="s">
        <v>1959</v>
      </c>
    </row>
    <row r="10077" spans="1:13" x14ac:dyDescent="0.2">
      <c r="A10077" t="s">
        <v>623</v>
      </c>
      <c r="B10077" t="s">
        <v>133</v>
      </c>
      <c r="C10077" t="s">
        <v>2</v>
      </c>
      <c r="D10077">
        <v>2125</v>
      </c>
      <c r="E10077">
        <v>2019</v>
      </c>
      <c r="F10077">
        <v>1</v>
      </c>
      <c r="G10077">
        <v>9346</v>
      </c>
      <c r="H10077" s="1">
        <v>3</v>
      </c>
      <c r="I10077">
        <v>61</v>
      </c>
      <c r="J10077">
        <f>IF($H10077=0,1,IF($I10077&lt;=1,2,0))</f>
        <v>0</v>
      </c>
      <c r="K10077">
        <v>7</v>
      </c>
      <c r="L10077">
        <f>IF(AND($J10077=0,$K10077=0),0,1)</f>
        <v>1</v>
      </c>
      <c r="M10077" t="s">
        <v>1960</v>
      </c>
    </row>
    <row r="10078" spans="1:13" x14ac:dyDescent="0.2">
      <c r="A10078" t="s">
        <v>623</v>
      </c>
      <c r="B10078" t="s">
        <v>133</v>
      </c>
      <c r="C10078" t="s">
        <v>2</v>
      </c>
      <c r="D10078">
        <v>2128</v>
      </c>
      <c r="E10078">
        <v>2019</v>
      </c>
      <c r="F10078">
        <v>2</v>
      </c>
      <c r="G10078">
        <v>9340</v>
      </c>
      <c r="H10078" s="1">
        <v>1.5</v>
      </c>
      <c r="I10078">
        <v>14</v>
      </c>
      <c r="J10078">
        <f>IF($H10078=0,1,IF($I10078&lt;=1,2,0))</f>
        <v>0</v>
      </c>
      <c r="K10078">
        <v>7</v>
      </c>
      <c r="L10078">
        <f>IF(AND($J10078=0,$K10078=0),0,1)</f>
        <v>1</v>
      </c>
      <c r="M10078" t="s">
        <v>633</v>
      </c>
    </row>
    <row r="10079" spans="1:13" x14ac:dyDescent="0.2">
      <c r="A10079" t="s">
        <v>623</v>
      </c>
      <c r="B10079" t="s">
        <v>133</v>
      </c>
      <c r="C10079" t="s">
        <v>2</v>
      </c>
      <c r="D10079">
        <v>2128</v>
      </c>
      <c r="E10079">
        <v>2019</v>
      </c>
      <c r="F10079">
        <v>1</v>
      </c>
      <c r="G10079">
        <v>9339</v>
      </c>
      <c r="H10079" s="1">
        <v>1.5</v>
      </c>
      <c r="I10079">
        <v>7</v>
      </c>
      <c r="J10079">
        <f>IF($H10079=0,1,IF($I10079&lt;=1,2,0))</f>
        <v>0</v>
      </c>
      <c r="K10079">
        <v>7</v>
      </c>
      <c r="L10079">
        <f>IF(AND($J10079=0,$K10079=0),0,1)</f>
        <v>1</v>
      </c>
    </row>
    <row r="10080" spans="1:13" x14ac:dyDescent="0.2">
      <c r="A10080" t="s">
        <v>623</v>
      </c>
      <c r="B10080" t="s">
        <v>133</v>
      </c>
      <c r="C10080" t="s">
        <v>2</v>
      </c>
      <c r="D10080">
        <v>2129</v>
      </c>
      <c r="E10080">
        <v>2019</v>
      </c>
      <c r="F10080">
        <v>1</v>
      </c>
      <c r="G10080">
        <v>9336</v>
      </c>
      <c r="H10080" s="1">
        <v>3</v>
      </c>
      <c r="I10080">
        <v>45</v>
      </c>
      <c r="J10080">
        <f>IF($H10080=0,1,IF($I10080&lt;=1,2,0))</f>
        <v>0</v>
      </c>
      <c r="K10080">
        <v>7</v>
      </c>
      <c r="L10080">
        <f>IF(AND($J10080=0,$K10080=0),0,1)</f>
        <v>1</v>
      </c>
      <c r="M10080" t="s">
        <v>1960</v>
      </c>
    </row>
    <row r="10081" spans="1:13" x14ac:dyDescent="0.2">
      <c r="A10081" t="s">
        <v>623</v>
      </c>
      <c r="B10081" t="s">
        <v>133</v>
      </c>
      <c r="C10081" t="s">
        <v>2</v>
      </c>
      <c r="D10081">
        <v>2137</v>
      </c>
      <c r="E10081">
        <v>2019</v>
      </c>
      <c r="F10081">
        <v>1</v>
      </c>
      <c r="G10081">
        <v>9337</v>
      </c>
      <c r="H10081" s="1">
        <v>1.5</v>
      </c>
      <c r="I10081">
        <v>25</v>
      </c>
      <c r="J10081">
        <f>IF($H10081=0,1,IF($I10081&lt;=1,2,0))</f>
        <v>0</v>
      </c>
      <c r="K10081">
        <v>7</v>
      </c>
      <c r="L10081">
        <f>IF(AND($J10081=0,$K10081=0),0,1)</f>
        <v>1</v>
      </c>
      <c r="M10081" t="s">
        <v>1961</v>
      </c>
    </row>
    <row r="10082" spans="1:13" x14ac:dyDescent="0.2">
      <c r="A10082" t="s">
        <v>623</v>
      </c>
      <c r="B10082" t="s">
        <v>133</v>
      </c>
      <c r="C10082" t="s">
        <v>2</v>
      </c>
      <c r="D10082">
        <v>2137</v>
      </c>
      <c r="E10082">
        <v>2019</v>
      </c>
      <c r="F10082">
        <v>2</v>
      </c>
      <c r="G10082">
        <v>9338</v>
      </c>
      <c r="H10082" s="1">
        <v>1.5</v>
      </c>
      <c r="I10082">
        <v>18</v>
      </c>
      <c r="J10082">
        <f>IF($H10082=0,1,IF($I10082&lt;=1,2,0))</f>
        <v>0</v>
      </c>
      <c r="K10082">
        <v>7</v>
      </c>
      <c r="L10082">
        <f>IF(AND($J10082=0,$K10082=0),0,1)</f>
        <v>1</v>
      </c>
      <c r="M10082" t="s">
        <v>1961</v>
      </c>
    </row>
    <row r="10083" spans="1:13" x14ac:dyDescent="0.2">
      <c r="A10083" t="s">
        <v>623</v>
      </c>
      <c r="B10083" t="s">
        <v>133</v>
      </c>
      <c r="C10083" t="s">
        <v>2</v>
      </c>
      <c r="D10083">
        <v>2138</v>
      </c>
      <c r="E10083">
        <v>2019</v>
      </c>
      <c r="F10083">
        <v>1</v>
      </c>
      <c r="G10083">
        <v>9341</v>
      </c>
      <c r="H10083" s="1">
        <v>3</v>
      </c>
      <c r="I10083">
        <v>90</v>
      </c>
      <c r="J10083">
        <f>IF($H10083=0,1,IF($I10083&lt;=1,2,0))</f>
        <v>0</v>
      </c>
      <c r="K10083">
        <v>7</v>
      </c>
      <c r="L10083">
        <f>IF(AND($J10083=0,$K10083=0),0,1)</f>
        <v>1</v>
      </c>
      <c r="M10083" t="s">
        <v>1960</v>
      </c>
    </row>
    <row r="10084" spans="1:13" x14ac:dyDescent="0.2">
      <c r="A10084" t="s">
        <v>623</v>
      </c>
      <c r="B10084" t="s">
        <v>133</v>
      </c>
      <c r="C10084" t="s">
        <v>2</v>
      </c>
      <c r="D10084">
        <v>2141</v>
      </c>
      <c r="E10084">
        <v>2019</v>
      </c>
      <c r="F10084">
        <v>1</v>
      </c>
      <c r="G10084">
        <v>9261</v>
      </c>
      <c r="H10084" s="1">
        <v>3</v>
      </c>
      <c r="I10084">
        <v>72</v>
      </c>
      <c r="J10084">
        <f>IF($H10084=0,1,IF($I10084&lt;=1,2,0))</f>
        <v>0</v>
      </c>
      <c r="K10084">
        <v>7</v>
      </c>
      <c r="L10084">
        <f>IF(AND($J10084=0,$K10084=0),0,1)</f>
        <v>1</v>
      </c>
      <c r="M10084" t="s">
        <v>1953</v>
      </c>
    </row>
    <row r="10085" spans="1:13" x14ac:dyDescent="0.2">
      <c r="A10085" t="s">
        <v>623</v>
      </c>
      <c r="B10085" t="s">
        <v>133</v>
      </c>
      <c r="C10085" t="s">
        <v>2</v>
      </c>
      <c r="D10085">
        <v>2151</v>
      </c>
      <c r="E10085">
        <v>2019</v>
      </c>
      <c r="F10085">
        <v>1</v>
      </c>
      <c r="G10085">
        <v>9331</v>
      </c>
      <c r="H10085" s="1">
        <v>3</v>
      </c>
      <c r="I10085">
        <v>32</v>
      </c>
      <c r="J10085">
        <f>IF($H10085=0,1,IF($I10085&lt;=1,2,0))</f>
        <v>0</v>
      </c>
      <c r="K10085">
        <v>7</v>
      </c>
      <c r="L10085">
        <f>IF(AND($J10085=0,$K10085=0),0,1)</f>
        <v>1</v>
      </c>
      <c r="M10085" t="s">
        <v>634</v>
      </c>
    </row>
    <row r="10086" spans="1:13" x14ac:dyDescent="0.2">
      <c r="A10086" t="s">
        <v>623</v>
      </c>
      <c r="B10086" t="s">
        <v>133</v>
      </c>
      <c r="C10086" t="s">
        <v>2</v>
      </c>
      <c r="D10086">
        <v>3162</v>
      </c>
      <c r="E10086">
        <v>2019</v>
      </c>
      <c r="F10086">
        <v>1</v>
      </c>
      <c r="G10086">
        <v>9318</v>
      </c>
      <c r="H10086" s="1">
        <v>4</v>
      </c>
      <c r="I10086">
        <v>14</v>
      </c>
      <c r="J10086">
        <f>IF($H10086=0,1,IF($I10086&lt;=1,2,0))</f>
        <v>0</v>
      </c>
      <c r="K10086">
        <v>7</v>
      </c>
      <c r="L10086">
        <f>IF(AND($J10086=0,$K10086=0),0,1)</f>
        <v>1</v>
      </c>
    </row>
    <row r="10087" spans="1:13" x14ac:dyDescent="0.2">
      <c r="A10087" t="s">
        <v>623</v>
      </c>
      <c r="B10087" t="s">
        <v>133</v>
      </c>
      <c r="C10087" t="s">
        <v>2</v>
      </c>
      <c r="D10087">
        <v>3195</v>
      </c>
      <c r="E10087">
        <v>2019</v>
      </c>
      <c r="F10087">
        <v>1</v>
      </c>
      <c r="G10087">
        <v>9345</v>
      </c>
      <c r="H10087" s="1">
        <v>4</v>
      </c>
      <c r="I10087">
        <v>8</v>
      </c>
      <c r="J10087">
        <f>IF($H10087=0,1,IF($I10087&lt;=1,2,0))</f>
        <v>0</v>
      </c>
      <c r="K10087">
        <v>7</v>
      </c>
      <c r="L10087">
        <f>IF(AND($J10087=0,$K10087=0),0,1)</f>
        <v>1</v>
      </c>
      <c r="M10087" t="s">
        <v>1953</v>
      </c>
    </row>
    <row r="10088" spans="1:13" x14ac:dyDescent="0.2">
      <c r="A10088" t="s">
        <v>623</v>
      </c>
      <c r="B10088" t="s">
        <v>133</v>
      </c>
      <c r="C10088" t="s">
        <v>2</v>
      </c>
      <c r="D10088">
        <v>3361</v>
      </c>
      <c r="E10088">
        <v>2019</v>
      </c>
      <c r="F10088">
        <v>1</v>
      </c>
      <c r="G10088">
        <v>163</v>
      </c>
      <c r="H10088" s="1">
        <v>4</v>
      </c>
      <c r="I10088">
        <v>7</v>
      </c>
      <c r="J10088">
        <f>IF($H10088=0,1,IF($I10088&lt;=1,2,0))</f>
        <v>0</v>
      </c>
      <c r="K10088">
        <v>7</v>
      </c>
      <c r="L10088">
        <f>IF(AND($J10088=0,$K10088=0),0,1)</f>
        <v>1</v>
      </c>
      <c r="M10088" t="s">
        <v>636</v>
      </c>
    </row>
    <row r="10089" spans="1:13" x14ac:dyDescent="0.2">
      <c r="A10089" t="s">
        <v>623</v>
      </c>
      <c r="B10089" t="s">
        <v>133</v>
      </c>
      <c r="C10089" t="s">
        <v>2</v>
      </c>
      <c r="D10089">
        <v>3363</v>
      </c>
      <c r="E10089">
        <v>2019</v>
      </c>
      <c r="F10089">
        <v>1</v>
      </c>
      <c r="G10089">
        <v>9262</v>
      </c>
      <c r="H10089" s="1">
        <v>4</v>
      </c>
      <c r="I10089">
        <v>7</v>
      </c>
      <c r="J10089">
        <f>IF($H10089=0,1,IF($I10089&lt;=1,2,0))</f>
        <v>0</v>
      </c>
      <c r="K10089">
        <v>7</v>
      </c>
      <c r="L10089">
        <f>IF(AND($J10089=0,$K10089=0),0,1)</f>
        <v>1</v>
      </c>
    </row>
    <row r="10090" spans="1:13" x14ac:dyDescent="0.2">
      <c r="A10090" t="s">
        <v>623</v>
      </c>
      <c r="B10090" t="s">
        <v>133</v>
      </c>
      <c r="C10090" t="s">
        <v>2</v>
      </c>
      <c r="D10090">
        <v>3394</v>
      </c>
      <c r="E10090">
        <v>2019</v>
      </c>
      <c r="F10090">
        <v>1</v>
      </c>
      <c r="G10090">
        <v>9328</v>
      </c>
      <c r="H10090" s="1">
        <v>4</v>
      </c>
      <c r="I10090">
        <v>20</v>
      </c>
      <c r="J10090">
        <f>IF($H10090=0,1,IF($I10090&lt;=1,2,0))</f>
        <v>0</v>
      </c>
      <c r="K10090">
        <v>7</v>
      </c>
      <c r="L10090">
        <f>IF(AND($J10090=0,$K10090=0),0,1)</f>
        <v>1</v>
      </c>
    </row>
    <row r="10091" spans="1:13" x14ac:dyDescent="0.2">
      <c r="A10091" t="s">
        <v>623</v>
      </c>
      <c r="B10091" t="s">
        <v>133</v>
      </c>
      <c r="C10091" t="s">
        <v>2</v>
      </c>
      <c r="D10091">
        <v>3406</v>
      </c>
      <c r="E10091">
        <v>2019</v>
      </c>
      <c r="F10091">
        <v>1</v>
      </c>
      <c r="G10091">
        <v>9327</v>
      </c>
      <c r="H10091" s="1">
        <v>4</v>
      </c>
      <c r="I10091">
        <v>16</v>
      </c>
      <c r="J10091">
        <f>IF($H10091=0,1,IF($I10091&lt;=1,2,0))</f>
        <v>0</v>
      </c>
      <c r="K10091">
        <v>7</v>
      </c>
      <c r="L10091">
        <f>IF(AND($J10091=0,$K10091=0),0,1)</f>
        <v>1</v>
      </c>
    </row>
    <row r="10092" spans="1:13" x14ac:dyDescent="0.2">
      <c r="A10092" t="s">
        <v>623</v>
      </c>
      <c r="B10092" t="s">
        <v>133</v>
      </c>
      <c r="C10092" t="s">
        <v>2</v>
      </c>
      <c r="D10092">
        <v>3465</v>
      </c>
      <c r="E10092">
        <v>2019</v>
      </c>
      <c r="F10092">
        <v>1</v>
      </c>
      <c r="G10092">
        <v>9263</v>
      </c>
      <c r="H10092" s="1">
        <v>4</v>
      </c>
      <c r="I10092">
        <v>14</v>
      </c>
      <c r="J10092">
        <f>IF($H10092=0,1,IF($I10092&lt;=1,2,0))</f>
        <v>0</v>
      </c>
      <c r="K10092">
        <v>7</v>
      </c>
      <c r="L10092">
        <f>IF(AND($J10092=0,$K10092=0),0,1)</f>
        <v>1</v>
      </c>
      <c r="M10092" t="s">
        <v>638</v>
      </c>
    </row>
    <row r="10093" spans="1:13" x14ac:dyDescent="0.2">
      <c r="A10093" t="s">
        <v>623</v>
      </c>
      <c r="B10093" t="s">
        <v>133</v>
      </c>
      <c r="C10093" t="s">
        <v>2</v>
      </c>
      <c r="D10093">
        <v>3606</v>
      </c>
      <c r="E10093">
        <v>2019</v>
      </c>
      <c r="F10093">
        <v>6</v>
      </c>
      <c r="G10093">
        <v>9354</v>
      </c>
      <c r="H10093" s="1" t="s">
        <v>1824</v>
      </c>
      <c r="I10093">
        <v>6</v>
      </c>
      <c r="J10093">
        <f>IF($H10093=0,1,IF($I10093&lt;=1,2,0))</f>
        <v>0</v>
      </c>
      <c r="K10093">
        <v>7</v>
      </c>
      <c r="L10093">
        <f>IF(AND($J10093=0,$K10093=0),0,1)</f>
        <v>1</v>
      </c>
      <c r="M10093" t="s">
        <v>471</v>
      </c>
    </row>
    <row r="10094" spans="1:13" x14ac:dyDescent="0.2">
      <c r="A10094" t="s">
        <v>623</v>
      </c>
      <c r="B10094" t="s">
        <v>133</v>
      </c>
      <c r="C10094" t="s">
        <v>2</v>
      </c>
      <c r="D10094">
        <v>3606</v>
      </c>
      <c r="E10094">
        <v>2019</v>
      </c>
      <c r="F10094">
        <v>18</v>
      </c>
      <c r="G10094">
        <v>9366</v>
      </c>
      <c r="H10094" s="1" t="s">
        <v>1824</v>
      </c>
      <c r="I10094">
        <v>5</v>
      </c>
      <c r="J10094">
        <f>IF($H10094=0,1,IF($I10094&lt;=1,2,0))</f>
        <v>0</v>
      </c>
      <c r="K10094">
        <v>7</v>
      </c>
      <c r="L10094">
        <f>IF(AND($J10094=0,$K10094=0),0,1)</f>
        <v>1</v>
      </c>
      <c r="M10094" t="s">
        <v>471</v>
      </c>
    </row>
    <row r="10095" spans="1:13" x14ac:dyDescent="0.2">
      <c r="A10095" t="s">
        <v>623</v>
      </c>
      <c r="B10095" t="s">
        <v>133</v>
      </c>
      <c r="C10095" t="s">
        <v>2</v>
      </c>
      <c r="D10095">
        <v>3606</v>
      </c>
      <c r="E10095">
        <v>2019</v>
      </c>
      <c r="F10095">
        <v>10</v>
      </c>
      <c r="G10095">
        <v>9358</v>
      </c>
      <c r="H10095" s="1" t="s">
        <v>1824</v>
      </c>
      <c r="I10095">
        <v>4</v>
      </c>
      <c r="J10095">
        <f>IF($H10095=0,1,IF($I10095&lt;=1,2,0))</f>
        <v>0</v>
      </c>
      <c r="K10095">
        <v>7</v>
      </c>
      <c r="L10095">
        <f>IF(AND($J10095=0,$K10095=0),0,1)</f>
        <v>1</v>
      </c>
      <c r="M10095" t="s">
        <v>471</v>
      </c>
    </row>
    <row r="10096" spans="1:13" x14ac:dyDescent="0.2">
      <c r="A10096" t="s">
        <v>623</v>
      </c>
      <c r="B10096" t="s">
        <v>133</v>
      </c>
      <c r="C10096" t="s">
        <v>2</v>
      </c>
      <c r="D10096">
        <v>3606</v>
      </c>
      <c r="E10096">
        <v>2019</v>
      </c>
      <c r="F10096">
        <v>2</v>
      </c>
      <c r="G10096">
        <v>9350</v>
      </c>
      <c r="H10096" s="1" t="s">
        <v>1824</v>
      </c>
      <c r="I10096">
        <v>2</v>
      </c>
      <c r="J10096">
        <f>IF($H10096=0,1,IF($I10096&lt;=1,2,0))</f>
        <v>0</v>
      </c>
      <c r="K10096">
        <v>7</v>
      </c>
      <c r="L10096">
        <f>IF(AND($J10096=0,$K10096=0),0,1)</f>
        <v>1</v>
      </c>
      <c r="M10096" t="s">
        <v>471</v>
      </c>
    </row>
    <row r="10097" spans="1:13" x14ac:dyDescent="0.2">
      <c r="A10097" t="s">
        <v>623</v>
      </c>
      <c r="B10097" t="s">
        <v>133</v>
      </c>
      <c r="C10097" t="s">
        <v>2</v>
      </c>
      <c r="D10097">
        <v>3606</v>
      </c>
      <c r="E10097">
        <v>2019</v>
      </c>
      <c r="F10097">
        <v>3</v>
      </c>
      <c r="G10097">
        <v>9351</v>
      </c>
      <c r="H10097" s="1" t="s">
        <v>1824</v>
      </c>
      <c r="I10097">
        <v>2</v>
      </c>
      <c r="J10097">
        <f>IF($H10097=0,1,IF($I10097&lt;=1,2,0))</f>
        <v>0</v>
      </c>
      <c r="K10097">
        <v>7</v>
      </c>
      <c r="L10097">
        <f>IF(AND($J10097=0,$K10097=0),0,1)</f>
        <v>1</v>
      </c>
      <c r="M10097" t="s">
        <v>471</v>
      </c>
    </row>
    <row r="10098" spans="1:13" x14ac:dyDescent="0.2">
      <c r="A10098" t="s">
        <v>623</v>
      </c>
      <c r="B10098" t="s">
        <v>133</v>
      </c>
      <c r="C10098" t="s">
        <v>2</v>
      </c>
      <c r="D10098">
        <v>3606</v>
      </c>
      <c r="E10098">
        <v>2019</v>
      </c>
      <c r="F10098">
        <v>7</v>
      </c>
      <c r="G10098">
        <v>9355</v>
      </c>
      <c r="H10098" s="1" t="s">
        <v>1824</v>
      </c>
      <c r="I10098">
        <v>2</v>
      </c>
      <c r="J10098">
        <f>IF($H10098=0,1,IF($I10098&lt;=1,2,0))</f>
        <v>0</v>
      </c>
      <c r="K10098">
        <v>7</v>
      </c>
      <c r="L10098">
        <f>IF(AND($J10098=0,$K10098=0),0,1)</f>
        <v>1</v>
      </c>
      <c r="M10098" t="s">
        <v>471</v>
      </c>
    </row>
    <row r="10099" spans="1:13" x14ac:dyDescent="0.2">
      <c r="A10099" t="s">
        <v>623</v>
      </c>
      <c r="B10099" t="s">
        <v>133</v>
      </c>
      <c r="C10099" t="s">
        <v>2</v>
      </c>
      <c r="D10099">
        <v>3606</v>
      </c>
      <c r="E10099">
        <v>2019</v>
      </c>
      <c r="F10099">
        <v>9</v>
      </c>
      <c r="G10099">
        <v>9357</v>
      </c>
      <c r="H10099" s="1" t="s">
        <v>1824</v>
      </c>
      <c r="I10099">
        <v>2</v>
      </c>
      <c r="J10099">
        <f>IF($H10099=0,1,IF($I10099&lt;=1,2,0))</f>
        <v>0</v>
      </c>
      <c r="K10099">
        <v>7</v>
      </c>
      <c r="L10099">
        <f>IF(AND($J10099=0,$K10099=0),0,1)</f>
        <v>1</v>
      </c>
      <c r="M10099" t="s">
        <v>471</v>
      </c>
    </row>
    <row r="10100" spans="1:13" x14ac:dyDescent="0.2">
      <c r="A10100" t="s">
        <v>623</v>
      </c>
      <c r="B10100" t="s">
        <v>133</v>
      </c>
      <c r="C10100" t="s">
        <v>2</v>
      </c>
      <c r="D10100">
        <v>3606</v>
      </c>
      <c r="E10100">
        <v>2019</v>
      </c>
      <c r="F10100">
        <v>1</v>
      </c>
      <c r="G10100">
        <v>9349</v>
      </c>
      <c r="H10100" s="1" t="s">
        <v>1824</v>
      </c>
      <c r="I10100">
        <v>1</v>
      </c>
      <c r="J10100">
        <f>IF($H10100=0,1,IF($I10100&lt;=1,2,0))</f>
        <v>2</v>
      </c>
      <c r="K10100">
        <v>7</v>
      </c>
      <c r="L10100">
        <f>IF(AND($J10100=0,$K10100=0),0,1)</f>
        <v>1</v>
      </c>
      <c r="M10100" t="s">
        <v>471</v>
      </c>
    </row>
    <row r="10101" spans="1:13" x14ac:dyDescent="0.2">
      <c r="A10101" t="s">
        <v>623</v>
      </c>
      <c r="B10101" t="s">
        <v>133</v>
      </c>
      <c r="C10101" t="s">
        <v>2</v>
      </c>
      <c r="D10101">
        <v>3606</v>
      </c>
      <c r="E10101">
        <v>2019</v>
      </c>
      <c r="F10101">
        <v>11</v>
      </c>
      <c r="G10101">
        <v>9359</v>
      </c>
      <c r="H10101" s="1" t="s">
        <v>1824</v>
      </c>
      <c r="I10101">
        <v>1</v>
      </c>
      <c r="J10101">
        <f>IF($H10101=0,1,IF($I10101&lt;=1,2,0))</f>
        <v>2</v>
      </c>
      <c r="K10101">
        <v>7</v>
      </c>
      <c r="L10101">
        <f>IF(AND($J10101=0,$K10101=0),0,1)</f>
        <v>1</v>
      </c>
      <c r="M10101" t="s">
        <v>471</v>
      </c>
    </row>
    <row r="10102" spans="1:13" x14ac:dyDescent="0.2">
      <c r="A10102" t="s">
        <v>623</v>
      </c>
      <c r="B10102" t="s">
        <v>133</v>
      </c>
      <c r="C10102" t="s">
        <v>2</v>
      </c>
      <c r="D10102">
        <v>3606</v>
      </c>
      <c r="E10102">
        <v>2019</v>
      </c>
      <c r="F10102">
        <v>12</v>
      </c>
      <c r="G10102">
        <v>9360</v>
      </c>
      <c r="H10102" s="1" t="s">
        <v>1824</v>
      </c>
      <c r="I10102">
        <v>1</v>
      </c>
      <c r="J10102">
        <f>IF($H10102=0,1,IF($I10102&lt;=1,2,0))</f>
        <v>2</v>
      </c>
      <c r="K10102">
        <v>7</v>
      </c>
      <c r="L10102">
        <f>IF(AND($J10102=0,$K10102=0),0,1)</f>
        <v>1</v>
      </c>
      <c r="M10102" t="s">
        <v>471</v>
      </c>
    </row>
    <row r="10103" spans="1:13" x14ac:dyDescent="0.2">
      <c r="A10103" t="s">
        <v>623</v>
      </c>
      <c r="B10103" t="s">
        <v>133</v>
      </c>
      <c r="C10103" t="s">
        <v>2</v>
      </c>
      <c r="D10103">
        <v>3606</v>
      </c>
      <c r="E10103">
        <v>2019</v>
      </c>
      <c r="F10103">
        <v>14</v>
      </c>
      <c r="G10103">
        <v>9362</v>
      </c>
      <c r="H10103" s="1" t="s">
        <v>1824</v>
      </c>
      <c r="I10103">
        <v>1</v>
      </c>
      <c r="J10103">
        <f>IF($H10103=0,1,IF($I10103&lt;=1,2,0))</f>
        <v>2</v>
      </c>
      <c r="K10103">
        <v>7</v>
      </c>
      <c r="L10103">
        <f>IF(AND($J10103=0,$K10103=0),0,1)</f>
        <v>1</v>
      </c>
      <c r="M10103" t="s">
        <v>471</v>
      </c>
    </row>
    <row r="10104" spans="1:13" x14ac:dyDescent="0.2">
      <c r="A10104" t="s">
        <v>623</v>
      </c>
      <c r="B10104" t="s">
        <v>133</v>
      </c>
      <c r="C10104" t="s">
        <v>2</v>
      </c>
      <c r="D10104">
        <v>3606</v>
      </c>
      <c r="E10104">
        <v>2019</v>
      </c>
      <c r="F10104">
        <v>15</v>
      </c>
      <c r="G10104">
        <v>9363</v>
      </c>
      <c r="H10104" s="1" t="s">
        <v>1824</v>
      </c>
      <c r="I10104">
        <v>1</v>
      </c>
      <c r="J10104">
        <f>IF($H10104=0,1,IF($I10104&lt;=1,2,0))</f>
        <v>2</v>
      </c>
      <c r="K10104">
        <v>7</v>
      </c>
      <c r="L10104">
        <f>IF(AND($J10104=0,$K10104=0),0,1)</f>
        <v>1</v>
      </c>
      <c r="M10104" t="s">
        <v>471</v>
      </c>
    </row>
    <row r="10105" spans="1:13" x14ac:dyDescent="0.2">
      <c r="A10105" t="s">
        <v>623</v>
      </c>
      <c r="B10105" t="s">
        <v>133</v>
      </c>
      <c r="C10105" t="s">
        <v>2</v>
      </c>
      <c r="D10105">
        <v>3606</v>
      </c>
      <c r="E10105">
        <v>2019</v>
      </c>
      <c r="F10105">
        <v>16</v>
      </c>
      <c r="G10105">
        <v>9364</v>
      </c>
      <c r="H10105" s="1" t="s">
        <v>1824</v>
      </c>
      <c r="I10105">
        <v>1</v>
      </c>
      <c r="J10105">
        <f>IF($H10105=0,1,IF($I10105&lt;=1,2,0))</f>
        <v>2</v>
      </c>
      <c r="K10105">
        <v>7</v>
      </c>
      <c r="L10105">
        <f>IF(AND($J10105=0,$K10105=0),0,1)</f>
        <v>1</v>
      </c>
      <c r="M10105" t="s">
        <v>471</v>
      </c>
    </row>
    <row r="10106" spans="1:13" x14ac:dyDescent="0.2">
      <c r="A10106" t="s">
        <v>623</v>
      </c>
      <c r="B10106" t="s">
        <v>133</v>
      </c>
      <c r="C10106" t="s">
        <v>2</v>
      </c>
      <c r="D10106">
        <v>3606</v>
      </c>
      <c r="E10106">
        <v>2019</v>
      </c>
      <c r="F10106">
        <v>19</v>
      </c>
      <c r="G10106">
        <v>9367</v>
      </c>
      <c r="H10106" s="1" t="s">
        <v>1824</v>
      </c>
      <c r="I10106">
        <v>1</v>
      </c>
      <c r="J10106">
        <f>IF($H10106=0,1,IF($I10106&lt;=1,2,0))</f>
        <v>2</v>
      </c>
      <c r="K10106">
        <v>7</v>
      </c>
      <c r="L10106">
        <f>IF(AND($J10106=0,$K10106=0),0,1)</f>
        <v>1</v>
      </c>
      <c r="M10106" t="s">
        <v>471</v>
      </c>
    </row>
    <row r="10107" spans="1:13" x14ac:dyDescent="0.2">
      <c r="A10107" t="s">
        <v>623</v>
      </c>
      <c r="B10107" t="s">
        <v>133</v>
      </c>
      <c r="C10107" t="s">
        <v>2</v>
      </c>
      <c r="D10107">
        <v>3606</v>
      </c>
      <c r="E10107">
        <v>2019</v>
      </c>
      <c r="F10107">
        <v>4</v>
      </c>
      <c r="G10107">
        <v>9352</v>
      </c>
      <c r="H10107" s="1" t="s">
        <v>1824</v>
      </c>
      <c r="I10107">
        <v>0</v>
      </c>
      <c r="J10107">
        <f>IF($H10107=0,1,IF($I10107&lt;=1,2,0))</f>
        <v>2</v>
      </c>
      <c r="K10107">
        <v>7</v>
      </c>
      <c r="L10107">
        <f>IF(AND($J10107=0,$K10107=0),0,1)</f>
        <v>1</v>
      </c>
      <c r="M10107" t="s">
        <v>471</v>
      </c>
    </row>
    <row r="10108" spans="1:13" x14ac:dyDescent="0.2">
      <c r="A10108" t="s">
        <v>623</v>
      </c>
      <c r="B10108" t="s">
        <v>133</v>
      </c>
      <c r="C10108" t="s">
        <v>2</v>
      </c>
      <c r="D10108">
        <v>3606</v>
      </c>
      <c r="E10108">
        <v>2019</v>
      </c>
      <c r="F10108">
        <v>5</v>
      </c>
      <c r="G10108">
        <v>9353</v>
      </c>
      <c r="H10108" s="1" t="s">
        <v>1824</v>
      </c>
      <c r="I10108">
        <v>0</v>
      </c>
      <c r="J10108">
        <f>IF($H10108=0,1,IF($I10108&lt;=1,2,0))</f>
        <v>2</v>
      </c>
      <c r="K10108">
        <v>7</v>
      </c>
      <c r="L10108">
        <f>IF(AND($J10108=0,$K10108=0),0,1)</f>
        <v>1</v>
      </c>
      <c r="M10108" t="s">
        <v>471</v>
      </c>
    </row>
    <row r="10109" spans="1:13" x14ac:dyDescent="0.2">
      <c r="A10109" t="s">
        <v>623</v>
      </c>
      <c r="B10109" t="s">
        <v>133</v>
      </c>
      <c r="C10109" t="s">
        <v>2</v>
      </c>
      <c r="D10109">
        <v>3606</v>
      </c>
      <c r="E10109">
        <v>2019</v>
      </c>
      <c r="F10109">
        <v>8</v>
      </c>
      <c r="G10109">
        <v>9356</v>
      </c>
      <c r="H10109" s="1" t="s">
        <v>1824</v>
      </c>
      <c r="I10109">
        <v>0</v>
      </c>
      <c r="J10109">
        <f>IF($H10109=0,1,IF($I10109&lt;=1,2,0))</f>
        <v>2</v>
      </c>
      <c r="K10109">
        <v>7</v>
      </c>
      <c r="L10109">
        <f>IF(AND($J10109=0,$K10109=0),0,1)</f>
        <v>1</v>
      </c>
      <c r="M10109" t="s">
        <v>471</v>
      </c>
    </row>
    <row r="10110" spans="1:13" x14ac:dyDescent="0.2">
      <c r="A10110" t="s">
        <v>623</v>
      </c>
      <c r="B10110" t="s">
        <v>133</v>
      </c>
      <c r="C10110" t="s">
        <v>2</v>
      </c>
      <c r="D10110">
        <v>3606</v>
      </c>
      <c r="E10110">
        <v>2019</v>
      </c>
      <c r="F10110">
        <v>13</v>
      </c>
      <c r="G10110">
        <v>9361</v>
      </c>
      <c r="H10110" s="1" t="s">
        <v>1824</v>
      </c>
      <c r="I10110">
        <v>0</v>
      </c>
      <c r="J10110">
        <f>IF($H10110=0,1,IF($I10110&lt;=1,2,0))</f>
        <v>2</v>
      </c>
      <c r="K10110">
        <v>7</v>
      </c>
      <c r="L10110">
        <f>IF(AND($J10110=0,$K10110=0),0,1)</f>
        <v>1</v>
      </c>
      <c r="M10110" t="s">
        <v>471</v>
      </c>
    </row>
    <row r="10111" spans="1:13" x14ac:dyDescent="0.2">
      <c r="A10111" t="s">
        <v>623</v>
      </c>
      <c r="B10111" t="s">
        <v>133</v>
      </c>
      <c r="C10111" t="s">
        <v>2</v>
      </c>
      <c r="D10111">
        <v>3606</v>
      </c>
      <c r="E10111">
        <v>2019</v>
      </c>
      <c r="F10111">
        <v>17</v>
      </c>
      <c r="G10111">
        <v>9365</v>
      </c>
      <c r="H10111" s="1" t="s">
        <v>1824</v>
      </c>
      <c r="I10111">
        <v>0</v>
      </c>
      <c r="J10111">
        <f>IF($H10111=0,1,IF($I10111&lt;=1,2,0))</f>
        <v>2</v>
      </c>
      <c r="K10111">
        <v>7</v>
      </c>
      <c r="L10111">
        <f>IF(AND($J10111=0,$K10111=0),0,1)</f>
        <v>1</v>
      </c>
      <c r="M10111" t="s">
        <v>471</v>
      </c>
    </row>
    <row r="10112" spans="1:13" x14ac:dyDescent="0.2">
      <c r="A10112" t="s">
        <v>623</v>
      </c>
      <c r="B10112" t="s">
        <v>133</v>
      </c>
      <c r="C10112" t="s">
        <v>2</v>
      </c>
      <c r="D10112">
        <v>3606</v>
      </c>
      <c r="E10112">
        <v>2019</v>
      </c>
      <c r="F10112">
        <v>20</v>
      </c>
      <c r="G10112">
        <v>248</v>
      </c>
      <c r="H10112" s="1" t="s">
        <v>1823</v>
      </c>
      <c r="I10112">
        <v>0</v>
      </c>
      <c r="J10112">
        <f>IF($H10112=0,1,IF($I10112&lt;=1,2,0))</f>
        <v>2</v>
      </c>
      <c r="K10112">
        <v>7</v>
      </c>
      <c r="L10112">
        <f>IF(AND($J10112=0,$K10112=0),0,1)</f>
        <v>1</v>
      </c>
      <c r="M10112" t="s">
        <v>471</v>
      </c>
    </row>
    <row r="10113" spans="1:13" x14ac:dyDescent="0.2">
      <c r="A10113" t="s">
        <v>623</v>
      </c>
      <c r="B10113" t="s">
        <v>133</v>
      </c>
      <c r="C10113" t="s">
        <v>2</v>
      </c>
      <c r="D10113">
        <v>3617</v>
      </c>
      <c r="E10113">
        <v>2019</v>
      </c>
      <c r="F10113">
        <v>1</v>
      </c>
      <c r="G10113">
        <v>202</v>
      </c>
      <c r="H10113" s="1">
        <v>1</v>
      </c>
      <c r="I10113">
        <v>7</v>
      </c>
      <c r="J10113">
        <f>IF($H10113=0,1,IF($I10113&lt;=1,2,0))</f>
        <v>0</v>
      </c>
      <c r="K10113">
        <v>7</v>
      </c>
      <c r="L10113">
        <f>IF(AND($J10113=0,$K10113=0),0,1)</f>
        <v>1</v>
      </c>
      <c r="M10113" t="s">
        <v>639</v>
      </c>
    </row>
    <row r="10114" spans="1:13" x14ac:dyDescent="0.2">
      <c r="A10114" t="s">
        <v>623</v>
      </c>
      <c r="B10114" t="s">
        <v>133</v>
      </c>
      <c r="C10114" t="s">
        <v>9</v>
      </c>
      <c r="D10114">
        <v>3950</v>
      </c>
      <c r="E10114">
        <v>2019</v>
      </c>
      <c r="F10114">
        <v>15</v>
      </c>
      <c r="G10114">
        <v>99711</v>
      </c>
      <c r="H10114" s="1" t="s">
        <v>1823</v>
      </c>
      <c r="I10114">
        <v>5</v>
      </c>
      <c r="J10114">
        <f>IF($H10114=0,1,IF($I10114&lt;=1,2,0))</f>
        <v>0</v>
      </c>
      <c r="K10114">
        <v>8</v>
      </c>
      <c r="L10114">
        <f>IF(AND($J10114=0,$K10114=0),0,1)</f>
        <v>1</v>
      </c>
      <c r="M10114" t="s">
        <v>637</v>
      </c>
    </row>
    <row r="10115" spans="1:13" x14ac:dyDescent="0.2">
      <c r="A10115" t="s">
        <v>623</v>
      </c>
      <c r="B10115" t="s">
        <v>133</v>
      </c>
      <c r="C10115" t="s">
        <v>9</v>
      </c>
      <c r="D10115">
        <v>3950</v>
      </c>
      <c r="E10115">
        <v>2019</v>
      </c>
      <c r="F10115">
        <v>4</v>
      </c>
      <c r="G10115">
        <v>99722</v>
      </c>
      <c r="H10115" s="1" t="s">
        <v>1823</v>
      </c>
      <c r="I10115">
        <v>4</v>
      </c>
      <c r="J10115">
        <f>IF($H10115=0,1,IF($I10115&lt;=1,2,0))</f>
        <v>0</v>
      </c>
      <c r="K10115">
        <v>8</v>
      </c>
      <c r="L10115">
        <f>IF(AND($J10115=0,$K10115=0),0,1)</f>
        <v>1</v>
      </c>
      <c r="M10115" t="s">
        <v>637</v>
      </c>
    </row>
    <row r="10116" spans="1:13" x14ac:dyDescent="0.2">
      <c r="A10116" t="s">
        <v>623</v>
      </c>
      <c r="B10116" t="s">
        <v>133</v>
      </c>
      <c r="C10116" t="s">
        <v>9</v>
      </c>
      <c r="D10116">
        <v>3950</v>
      </c>
      <c r="E10116">
        <v>2019</v>
      </c>
      <c r="F10116">
        <v>3</v>
      </c>
      <c r="G10116">
        <v>99723</v>
      </c>
      <c r="H10116" s="1" t="s">
        <v>1823</v>
      </c>
      <c r="I10116">
        <v>3</v>
      </c>
      <c r="J10116">
        <f>IF($H10116=0,1,IF($I10116&lt;=1,2,0))</f>
        <v>0</v>
      </c>
      <c r="K10116">
        <v>8</v>
      </c>
      <c r="L10116">
        <f>IF(AND($J10116=0,$K10116=0),0,1)</f>
        <v>1</v>
      </c>
      <c r="M10116" t="s">
        <v>637</v>
      </c>
    </row>
    <row r="10117" spans="1:13" x14ac:dyDescent="0.2">
      <c r="A10117" t="s">
        <v>623</v>
      </c>
      <c r="B10117" t="s">
        <v>133</v>
      </c>
      <c r="C10117" t="s">
        <v>9</v>
      </c>
      <c r="D10117">
        <v>3950</v>
      </c>
      <c r="E10117">
        <v>2019</v>
      </c>
      <c r="F10117">
        <v>13</v>
      </c>
      <c r="G10117">
        <v>99713</v>
      </c>
      <c r="H10117" s="1" t="s">
        <v>1823</v>
      </c>
      <c r="I10117">
        <v>2</v>
      </c>
      <c r="J10117">
        <f>IF($H10117=0,1,IF($I10117&lt;=1,2,0))</f>
        <v>0</v>
      </c>
      <c r="K10117">
        <v>8</v>
      </c>
      <c r="L10117">
        <f>IF(AND($J10117=0,$K10117=0),0,1)</f>
        <v>1</v>
      </c>
      <c r="M10117" t="s">
        <v>637</v>
      </c>
    </row>
    <row r="10118" spans="1:13" x14ac:dyDescent="0.2">
      <c r="A10118" t="s">
        <v>623</v>
      </c>
      <c r="B10118" t="s">
        <v>133</v>
      </c>
      <c r="C10118" t="s">
        <v>9</v>
      </c>
      <c r="D10118">
        <v>3950</v>
      </c>
      <c r="E10118">
        <v>2019</v>
      </c>
      <c r="F10118">
        <v>25</v>
      </c>
      <c r="G10118">
        <v>99701</v>
      </c>
      <c r="H10118" s="1" t="s">
        <v>1823</v>
      </c>
      <c r="I10118">
        <v>2</v>
      </c>
      <c r="J10118">
        <f>IF($H10118=0,1,IF($I10118&lt;=1,2,0))</f>
        <v>0</v>
      </c>
      <c r="K10118">
        <v>8</v>
      </c>
      <c r="L10118">
        <f>IF(AND($J10118=0,$K10118=0),0,1)</f>
        <v>1</v>
      </c>
      <c r="M10118" t="s">
        <v>637</v>
      </c>
    </row>
    <row r="10119" spans="1:13" x14ac:dyDescent="0.2">
      <c r="A10119" t="s">
        <v>623</v>
      </c>
      <c r="B10119" t="s">
        <v>133</v>
      </c>
      <c r="C10119" t="s">
        <v>9</v>
      </c>
      <c r="D10119">
        <v>3950</v>
      </c>
      <c r="E10119">
        <v>2019</v>
      </c>
      <c r="F10119">
        <v>2</v>
      </c>
      <c r="G10119">
        <v>99724</v>
      </c>
      <c r="H10119" s="1" t="s">
        <v>1823</v>
      </c>
      <c r="I10119">
        <v>1</v>
      </c>
      <c r="J10119">
        <f>IF($H10119=0,1,IF($I10119&lt;=1,2,0))</f>
        <v>2</v>
      </c>
      <c r="K10119">
        <v>8</v>
      </c>
      <c r="L10119">
        <f>IF(AND($J10119=0,$K10119=0),0,1)</f>
        <v>1</v>
      </c>
      <c r="M10119" t="s">
        <v>637</v>
      </c>
    </row>
    <row r="10120" spans="1:13" x14ac:dyDescent="0.2">
      <c r="A10120" t="s">
        <v>623</v>
      </c>
      <c r="B10120" t="s">
        <v>133</v>
      </c>
      <c r="C10120" t="s">
        <v>9</v>
      </c>
      <c r="D10120">
        <v>3950</v>
      </c>
      <c r="E10120">
        <v>2019</v>
      </c>
      <c r="F10120">
        <v>9</v>
      </c>
      <c r="G10120">
        <v>99717</v>
      </c>
      <c r="H10120" s="1" t="s">
        <v>1823</v>
      </c>
      <c r="I10120">
        <v>1</v>
      </c>
      <c r="J10120">
        <f>IF($H10120=0,1,IF($I10120&lt;=1,2,0))</f>
        <v>2</v>
      </c>
      <c r="K10120">
        <v>8</v>
      </c>
      <c r="L10120">
        <f>IF(AND($J10120=0,$K10120=0),0,1)</f>
        <v>1</v>
      </c>
      <c r="M10120" t="s">
        <v>637</v>
      </c>
    </row>
    <row r="10121" spans="1:13" x14ac:dyDescent="0.2">
      <c r="A10121" t="s">
        <v>623</v>
      </c>
      <c r="B10121" t="s">
        <v>133</v>
      </c>
      <c r="C10121" t="s">
        <v>9</v>
      </c>
      <c r="D10121">
        <v>3950</v>
      </c>
      <c r="E10121">
        <v>2019</v>
      </c>
      <c r="F10121">
        <v>10</v>
      </c>
      <c r="G10121">
        <v>99716</v>
      </c>
      <c r="H10121" s="1" t="s">
        <v>1823</v>
      </c>
      <c r="I10121">
        <v>1</v>
      </c>
      <c r="J10121">
        <f>IF($H10121=0,1,IF($I10121&lt;=1,2,0))</f>
        <v>2</v>
      </c>
      <c r="K10121">
        <v>8</v>
      </c>
      <c r="L10121">
        <f>IF(AND($J10121=0,$K10121=0),0,1)</f>
        <v>1</v>
      </c>
      <c r="M10121" t="s">
        <v>637</v>
      </c>
    </row>
    <row r="10122" spans="1:13" x14ac:dyDescent="0.2">
      <c r="A10122" t="s">
        <v>623</v>
      </c>
      <c r="B10122" t="s">
        <v>133</v>
      </c>
      <c r="C10122" t="s">
        <v>9</v>
      </c>
      <c r="D10122">
        <v>3950</v>
      </c>
      <c r="E10122">
        <v>2019</v>
      </c>
      <c r="F10122">
        <v>17</v>
      </c>
      <c r="G10122">
        <v>99709</v>
      </c>
      <c r="H10122" s="1" t="s">
        <v>1823</v>
      </c>
      <c r="I10122">
        <v>1</v>
      </c>
      <c r="J10122">
        <f>IF($H10122=0,1,IF($I10122&lt;=1,2,0))</f>
        <v>2</v>
      </c>
      <c r="K10122">
        <v>8</v>
      </c>
      <c r="L10122">
        <f>IF(AND($J10122=0,$K10122=0),0,1)</f>
        <v>1</v>
      </c>
      <c r="M10122" t="s">
        <v>637</v>
      </c>
    </row>
    <row r="10123" spans="1:13" x14ac:dyDescent="0.2">
      <c r="A10123" t="s">
        <v>623</v>
      </c>
      <c r="B10123" t="s">
        <v>133</v>
      </c>
      <c r="C10123" t="s">
        <v>9</v>
      </c>
      <c r="D10123">
        <v>3950</v>
      </c>
      <c r="E10123">
        <v>2019</v>
      </c>
      <c r="F10123">
        <v>18</v>
      </c>
      <c r="G10123">
        <v>99708</v>
      </c>
      <c r="H10123" s="1" t="s">
        <v>1823</v>
      </c>
      <c r="I10123">
        <v>1</v>
      </c>
      <c r="J10123">
        <f>IF($H10123=0,1,IF($I10123&lt;=1,2,0))</f>
        <v>2</v>
      </c>
      <c r="K10123">
        <v>8</v>
      </c>
      <c r="L10123">
        <f>IF(AND($J10123=0,$K10123=0),0,1)</f>
        <v>1</v>
      </c>
      <c r="M10123" t="s">
        <v>637</v>
      </c>
    </row>
    <row r="10124" spans="1:13" x14ac:dyDescent="0.2">
      <c r="A10124" t="s">
        <v>623</v>
      </c>
      <c r="B10124" t="s">
        <v>133</v>
      </c>
      <c r="C10124" t="s">
        <v>9</v>
      </c>
      <c r="D10124">
        <v>3950</v>
      </c>
      <c r="E10124">
        <v>2019</v>
      </c>
      <c r="F10124">
        <v>19</v>
      </c>
      <c r="G10124">
        <v>99707</v>
      </c>
      <c r="H10124" s="1" t="s">
        <v>1823</v>
      </c>
      <c r="I10124">
        <v>1</v>
      </c>
      <c r="J10124">
        <f>IF($H10124=0,1,IF($I10124&lt;=1,2,0))</f>
        <v>2</v>
      </c>
      <c r="K10124">
        <v>8</v>
      </c>
      <c r="L10124">
        <f>IF(AND($J10124=0,$K10124=0),0,1)</f>
        <v>1</v>
      </c>
      <c r="M10124" t="s">
        <v>637</v>
      </c>
    </row>
    <row r="10125" spans="1:13" x14ac:dyDescent="0.2">
      <c r="A10125" t="s">
        <v>623</v>
      </c>
      <c r="B10125" t="s">
        <v>133</v>
      </c>
      <c r="C10125" t="s">
        <v>9</v>
      </c>
      <c r="D10125">
        <v>3950</v>
      </c>
      <c r="E10125">
        <v>2019</v>
      </c>
      <c r="F10125">
        <v>21</v>
      </c>
      <c r="G10125">
        <v>99705</v>
      </c>
      <c r="H10125" s="1" t="s">
        <v>1823</v>
      </c>
      <c r="I10125">
        <v>1</v>
      </c>
      <c r="J10125">
        <f>IF($H10125=0,1,IF($I10125&lt;=1,2,0))</f>
        <v>2</v>
      </c>
      <c r="K10125">
        <v>8</v>
      </c>
      <c r="L10125">
        <f>IF(AND($J10125=0,$K10125=0),0,1)</f>
        <v>1</v>
      </c>
      <c r="M10125" t="s">
        <v>637</v>
      </c>
    </row>
    <row r="10126" spans="1:13" x14ac:dyDescent="0.2">
      <c r="A10126" t="s">
        <v>623</v>
      </c>
      <c r="B10126" t="s">
        <v>133</v>
      </c>
      <c r="C10126" t="s">
        <v>9</v>
      </c>
      <c r="D10126">
        <v>3950</v>
      </c>
      <c r="E10126">
        <v>2019</v>
      </c>
      <c r="F10126">
        <v>27</v>
      </c>
      <c r="G10126">
        <v>99699</v>
      </c>
      <c r="H10126" s="1" t="s">
        <v>1823</v>
      </c>
      <c r="I10126">
        <v>1</v>
      </c>
      <c r="J10126">
        <f>IF($H10126=0,1,IF($I10126&lt;=1,2,0))</f>
        <v>2</v>
      </c>
      <c r="K10126">
        <v>8</v>
      </c>
      <c r="L10126">
        <f>IF(AND($J10126=0,$K10126=0),0,1)</f>
        <v>1</v>
      </c>
    </row>
    <row r="10127" spans="1:13" x14ac:dyDescent="0.2">
      <c r="A10127" t="s">
        <v>623</v>
      </c>
      <c r="B10127" t="s">
        <v>133</v>
      </c>
      <c r="C10127" t="s">
        <v>9</v>
      </c>
      <c r="D10127">
        <v>3950</v>
      </c>
      <c r="E10127">
        <v>2019</v>
      </c>
      <c r="F10127">
        <v>1</v>
      </c>
      <c r="G10127">
        <v>99725</v>
      </c>
      <c r="H10127" s="1" t="s">
        <v>1823</v>
      </c>
      <c r="I10127">
        <v>0</v>
      </c>
      <c r="J10127">
        <f>IF($H10127=0,1,IF($I10127&lt;=1,2,0))</f>
        <v>2</v>
      </c>
      <c r="K10127">
        <v>8</v>
      </c>
      <c r="L10127">
        <f>IF(AND($J10127=0,$K10127=0),0,1)</f>
        <v>1</v>
      </c>
      <c r="M10127" t="s">
        <v>637</v>
      </c>
    </row>
    <row r="10128" spans="1:13" x14ac:dyDescent="0.2">
      <c r="A10128" t="s">
        <v>623</v>
      </c>
      <c r="B10128" t="s">
        <v>133</v>
      </c>
      <c r="C10128" t="s">
        <v>9</v>
      </c>
      <c r="D10128">
        <v>3950</v>
      </c>
      <c r="E10128">
        <v>2019</v>
      </c>
      <c r="F10128">
        <v>5</v>
      </c>
      <c r="G10128">
        <v>99721</v>
      </c>
      <c r="H10128" s="1" t="s">
        <v>1823</v>
      </c>
      <c r="I10128">
        <v>0</v>
      </c>
      <c r="J10128">
        <f>IF($H10128=0,1,IF($I10128&lt;=1,2,0))</f>
        <v>2</v>
      </c>
      <c r="K10128">
        <v>8</v>
      </c>
      <c r="L10128">
        <f>IF(AND($J10128=0,$K10128=0),0,1)</f>
        <v>1</v>
      </c>
      <c r="M10128" t="s">
        <v>637</v>
      </c>
    </row>
    <row r="10129" spans="1:13" x14ac:dyDescent="0.2">
      <c r="A10129" t="s">
        <v>623</v>
      </c>
      <c r="B10129" t="s">
        <v>133</v>
      </c>
      <c r="C10129" t="s">
        <v>9</v>
      </c>
      <c r="D10129">
        <v>3950</v>
      </c>
      <c r="E10129">
        <v>2019</v>
      </c>
      <c r="F10129">
        <v>6</v>
      </c>
      <c r="G10129">
        <v>99720</v>
      </c>
      <c r="H10129" s="1" t="s">
        <v>1823</v>
      </c>
      <c r="I10129">
        <v>0</v>
      </c>
      <c r="J10129">
        <f>IF($H10129=0,1,IF($I10129&lt;=1,2,0))</f>
        <v>2</v>
      </c>
      <c r="K10129">
        <v>8</v>
      </c>
      <c r="L10129">
        <f>IF(AND($J10129=0,$K10129=0),0,1)</f>
        <v>1</v>
      </c>
      <c r="M10129" t="s">
        <v>637</v>
      </c>
    </row>
    <row r="10130" spans="1:13" x14ac:dyDescent="0.2">
      <c r="A10130" t="s">
        <v>623</v>
      </c>
      <c r="B10130" t="s">
        <v>133</v>
      </c>
      <c r="C10130" t="s">
        <v>9</v>
      </c>
      <c r="D10130">
        <v>3950</v>
      </c>
      <c r="E10130">
        <v>2019</v>
      </c>
      <c r="F10130">
        <v>7</v>
      </c>
      <c r="G10130">
        <v>99719</v>
      </c>
      <c r="H10130" s="1" t="s">
        <v>1823</v>
      </c>
      <c r="I10130">
        <v>0</v>
      </c>
      <c r="J10130">
        <f>IF($H10130=0,1,IF($I10130&lt;=1,2,0))</f>
        <v>2</v>
      </c>
      <c r="K10130">
        <v>8</v>
      </c>
      <c r="L10130">
        <f>IF(AND($J10130=0,$K10130=0),0,1)</f>
        <v>1</v>
      </c>
      <c r="M10130" t="s">
        <v>637</v>
      </c>
    </row>
    <row r="10131" spans="1:13" x14ac:dyDescent="0.2">
      <c r="A10131" t="s">
        <v>623</v>
      </c>
      <c r="B10131" t="s">
        <v>133</v>
      </c>
      <c r="C10131" t="s">
        <v>9</v>
      </c>
      <c r="D10131">
        <v>3950</v>
      </c>
      <c r="E10131">
        <v>2019</v>
      </c>
      <c r="F10131">
        <v>11</v>
      </c>
      <c r="G10131">
        <v>99715</v>
      </c>
      <c r="H10131" s="1" t="s">
        <v>1823</v>
      </c>
      <c r="I10131">
        <v>0</v>
      </c>
      <c r="J10131">
        <f>IF($H10131=0,1,IF($I10131&lt;=1,2,0))</f>
        <v>2</v>
      </c>
      <c r="K10131">
        <v>8</v>
      </c>
      <c r="L10131">
        <f>IF(AND($J10131=0,$K10131=0),0,1)</f>
        <v>1</v>
      </c>
      <c r="M10131" t="s">
        <v>637</v>
      </c>
    </row>
    <row r="10132" spans="1:13" x14ac:dyDescent="0.2">
      <c r="A10132" t="s">
        <v>623</v>
      </c>
      <c r="B10132" t="s">
        <v>133</v>
      </c>
      <c r="C10132" t="s">
        <v>9</v>
      </c>
      <c r="D10132">
        <v>3950</v>
      </c>
      <c r="E10132">
        <v>2019</v>
      </c>
      <c r="F10132">
        <v>12</v>
      </c>
      <c r="G10132">
        <v>99714</v>
      </c>
      <c r="H10132" s="1" t="s">
        <v>1823</v>
      </c>
      <c r="I10132">
        <v>0</v>
      </c>
      <c r="J10132">
        <f>IF($H10132=0,1,IF($I10132&lt;=1,2,0))</f>
        <v>2</v>
      </c>
      <c r="K10132">
        <v>8</v>
      </c>
      <c r="L10132">
        <f>IF(AND($J10132=0,$K10132=0),0,1)</f>
        <v>1</v>
      </c>
      <c r="M10132" t="s">
        <v>637</v>
      </c>
    </row>
    <row r="10133" spans="1:13" x14ac:dyDescent="0.2">
      <c r="A10133" t="s">
        <v>623</v>
      </c>
      <c r="B10133" t="s">
        <v>133</v>
      </c>
      <c r="C10133" t="s">
        <v>9</v>
      </c>
      <c r="D10133">
        <v>3950</v>
      </c>
      <c r="E10133">
        <v>2019</v>
      </c>
      <c r="F10133">
        <v>14</v>
      </c>
      <c r="G10133">
        <v>99712</v>
      </c>
      <c r="H10133" s="1" t="s">
        <v>1823</v>
      </c>
      <c r="I10133">
        <v>0</v>
      </c>
      <c r="J10133">
        <f>IF($H10133=0,1,IF($I10133&lt;=1,2,0))</f>
        <v>2</v>
      </c>
      <c r="K10133">
        <v>8</v>
      </c>
      <c r="L10133">
        <f>IF(AND($J10133=0,$K10133=0),0,1)</f>
        <v>1</v>
      </c>
      <c r="M10133" t="s">
        <v>637</v>
      </c>
    </row>
    <row r="10134" spans="1:13" x14ac:dyDescent="0.2">
      <c r="A10134" t="s">
        <v>623</v>
      </c>
      <c r="B10134" t="s">
        <v>133</v>
      </c>
      <c r="C10134" t="s">
        <v>9</v>
      </c>
      <c r="D10134">
        <v>3950</v>
      </c>
      <c r="E10134">
        <v>2019</v>
      </c>
      <c r="F10134">
        <v>16</v>
      </c>
      <c r="G10134">
        <v>99710</v>
      </c>
      <c r="H10134" s="1" t="s">
        <v>1823</v>
      </c>
      <c r="I10134">
        <v>0</v>
      </c>
      <c r="J10134">
        <f>IF($H10134=0,1,IF($I10134&lt;=1,2,0))</f>
        <v>2</v>
      </c>
      <c r="K10134">
        <v>8</v>
      </c>
      <c r="L10134">
        <f>IF(AND($J10134=0,$K10134=0),0,1)</f>
        <v>1</v>
      </c>
      <c r="M10134" t="s">
        <v>637</v>
      </c>
    </row>
    <row r="10135" spans="1:13" x14ac:dyDescent="0.2">
      <c r="A10135" t="s">
        <v>623</v>
      </c>
      <c r="B10135" t="s">
        <v>133</v>
      </c>
      <c r="C10135" t="s">
        <v>9</v>
      </c>
      <c r="D10135">
        <v>3950</v>
      </c>
      <c r="E10135">
        <v>2019</v>
      </c>
      <c r="F10135">
        <v>20</v>
      </c>
      <c r="G10135">
        <v>99706</v>
      </c>
      <c r="H10135" s="1" t="s">
        <v>1823</v>
      </c>
      <c r="I10135">
        <v>0</v>
      </c>
      <c r="J10135">
        <f>IF($H10135=0,1,IF($I10135&lt;=1,2,0))</f>
        <v>2</v>
      </c>
      <c r="K10135">
        <v>8</v>
      </c>
      <c r="L10135">
        <f>IF(AND($J10135=0,$K10135=0),0,1)</f>
        <v>1</v>
      </c>
      <c r="M10135" t="s">
        <v>637</v>
      </c>
    </row>
    <row r="10136" spans="1:13" x14ac:dyDescent="0.2">
      <c r="A10136" t="s">
        <v>623</v>
      </c>
      <c r="B10136" t="s">
        <v>133</v>
      </c>
      <c r="C10136" t="s">
        <v>9</v>
      </c>
      <c r="D10136">
        <v>3950</v>
      </c>
      <c r="E10136">
        <v>2019</v>
      </c>
      <c r="F10136">
        <v>22</v>
      </c>
      <c r="G10136">
        <v>99704</v>
      </c>
      <c r="H10136" s="1" t="s">
        <v>1823</v>
      </c>
      <c r="I10136">
        <v>0</v>
      </c>
      <c r="J10136">
        <f>IF($H10136=0,1,IF($I10136&lt;=1,2,0))</f>
        <v>2</v>
      </c>
      <c r="K10136">
        <v>8</v>
      </c>
      <c r="L10136">
        <f>IF(AND($J10136=0,$K10136=0),0,1)</f>
        <v>1</v>
      </c>
      <c r="M10136" t="s">
        <v>637</v>
      </c>
    </row>
    <row r="10137" spans="1:13" x14ac:dyDescent="0.2">
      <c r="A10137" t="s">
        <v>623</v>
      </c>
      <c r="B10137" t="s">
        <v>133</v>
      </c>
      <c r="C10137" t="s">
        <v>9</v>
      </c>
      <c r="D10137">
        <v>3950</v>
      </c>
      <c r="E10137">
        <v>2019</v>
      </c>
      <c r="F10137">
        <v>23</v>
      </c>
      <c r="G10137">
        <v>99703</v>
      </c>
      <c r="H10137" s="1" t="s">
        <v>1823</v>
      </c>
      <c r="I10137">
        <v>0</v>
      </c>
      <c r="J10137">
        <f>IF($H10137=0,1,IF($I10137&lt;=1,2,0))</f>
        <v>2</v>
      </c>
      <c r="K10137">
        <v>8</v>
      </c>
      <c r="L10137">
        <f>IF(AND($J10137=0,$K10137=0),0,1)</f>
        <v>1</v>
      </c>
      <c r="M10137" t="s">
        <v>637</v>
      </c>
    </row>
    <row r="10138" spans="1:13" x14ac:dyDescent="0.2">
      <c r="A10138" t="s">
        <v>623</v>
      </c>
      <c r="B10138" t="s">
        <v>133</v>
      </c>
      <c r="C10138" t="s">
        <v>9</v>
      </c>
      <c r="D10138">
        <v>3950</v>
      </c>
      <c r="E10138">
        <v>2019</v>
      </c>
      <c r="F10138">
        <v>24</v>
      </c>
      <c r="G10138">
        <v>99702</v>
      </c>
      <c r="H10138" s="1" t="s">
        <v>1823</v>
      </c>
      <c r="I10138">
        <v>0</v>
      </c>
      <c r="J10138">
        <f>IF($H10138=0,1,IF($I10138&lt;=1,2,0))</f>
        <v>2</v>
      </c>
      <c r="K10138">
        <v>8</v>
      </c>
      <c r="L10138">
        <f>IF(AND($J10138=0,$K10138=0),0,1)</f>
        <v>1</v>
      </c>
      <c r="M10138" t="s">
        <v>637</v>
      </c>
    </row>
    <row r="10139" spans="1:13" x14ac:dyDescent="0.2">
      <c r="A10139" t="s">
        <v>623</v>
      </c>
      <c r="B10139" t="s">
        <v>133</v>
      </c>
      <c r="C10139" t="s">
        <v>9</v>
      </c>
      <c r="D10139">
        <v>3950</v>
      </c>
      <c r="E10139">
        <v>2019</v>
      </c>
      <c r="F10139">
        <v>26</v>
      </c>
      <c r="G10139">
        <v>99700</v>
      </c>
      <c r="H10139" s="1" t="s">
        <v>1823</v>
      </c>
      <c r="I10139">
        <v>0</v>
      </c>
      <c r="J10139">
        <f>IF($H10139=0,1,IF($I10139&lt;=1,2,0))</f>
        <v>2</v>
      </c>
      <c r="K10139">
        <v>8</v>
      </c>
      <c r="L10139">
        <f>IF(AND($J10139=0,$K10139=0),0,1)</f>
        <v>1</v>
      </c>
      <c r="M10139" t="s">
        <v>637</v>
      </c>
    </row>
    <row r="10140" spans="1:13" x14ac:dyDescent="0.2">
      <c r="A10140" t="s">
        <v>623</v>
      </c>
      <c r="B10140" t="s">
        <v>133</v>
      </c>
      <c r="C10140" t="s">
        <v>9</v>
      </c>
      <c r="D10140">
        <v>3950</v>
      </c>
      <c r="E10140">
        <v>2019</v>
      </c>
      <c r="F10140">
        <v>28</v>
      </c>
      <c r="G10140">
        <v>51817</v>
      </c>
      <c r="H10140" s="1" t="s">
        <v>1823</v>
      </c>
      <c r="I10140">
        <v>0</v>
      </c>
      <c r="J10140">
        <f>IF($H10140=0,1,IF($I10140&lt;=1,2,0))</f>
        <v>2</v>
      </c>
      <c r="K10140">
        <v>8</v>
      </c>
      <c r="L10140">
        <f>IF(AND($J10140=0,$K10140=0),0,1)</f>
        <v>1</v>
      </c>
      <c r="M10140" t="s">
        <v>637</v>
      </c>
    </row>
    <row r="10141" spans="1:13" x14ac:dyDescent="0.2">
      <c r="A10141" t="s">
        <v>623</v>
      </c>
      <c r="B10141" t="s">
        <v>133</v>
      </c>
      <c r="C10141" t="s">
        <v>11</v>
      </c>
      <c r="D10141">
        <v>9397</v>
      </c>
      <c r="E10141">
        <v>2019</v>
      </c>
      <c r="F10141">
        <v>1</v>
      </c>
      <c r="G10141">
        <v>99671</v>
      </c>
      <c r="H10141" s="1">
        <v>1</v>
      </c>
      <c r="I10141">
        <v>40</v>
      </c>
      <c r="J10141">
        <f>IF($H10141=0,1,IF($I10141&lt;=1,2,0))</f>
        <v>0</v>
      </c>
      <c r="K10141">
        <v>5</v>
      </c>
      <c r="L10141">
        <f>IF(AND($J10141=0,$K10141=0),0,1)</f>
        <v>1</v>
      </c>
    </row>
    <row r="10142" spans="1:13" x14ac:dyDescent="0.2">
      <c r="A10142" t="s">
        <v>623</v>
      </c>
      <c r="B10142" t="s">
        <v>133</v>
      </c>
      <c r="C10142" t="s">
        <v>11</v>
      </c>
      <c r="D10142">
        <v>9999</v>
      </c>
      <c r="E10142">
        <v>2019</v>
      </c>
      <c r="F10142">
        <v>1</v>
      </c>
      <c r="G10142">
        <v>99670</v>
      </c>
      <c r="H10142" s="1">
        <v>0</v>
      </c>
      <c r="I10142">
        <v>40</v>
      </c>
      <c r="J10142">
        <f>IF($H10142=0,1,IF($I10142&lt;=1,2,0))</f>
        <v>1</v>
      </c>
      <c r="K10142">
        <v>5</v>
      </c>
      <c r="L10142">
        <f>IF(AND($J10142=0,$K10142=0),0,1)</f>
        <v>1</v>
      </c>
    </row>
    <row r="10143" spans="1:13" x14ac:dyDescent="0.2">
      <c r="A10143" t="s">
        <v>642</v>
      </c>
      <c r="B10143" t="s">
        <v>6</v>
      </c>
      <c r="C10143" t="s">
        <v>11</v>
      </c>
      <c r="D10143">
        <v>3</v>
      </c>
      <c r="E10143">
        <v>2019</v>
      </c>
      <c r="F10143">
        <v>1</v>
      </c>
      <c r="G10143">
        <v>16542</v>
      </c>
      <c r="H10143" s="1">
        <v>0</v>
      </c>
      <c r="I10143">
        <v>7</v>
      </c>
      <c r="J10143">
        <f>IF($H10143=0,1,IF($I10143&lt;=1,2,0))</f>
        <v>1</v>
      </c>
      <c r="K10143">
        <v>0</v>
      </c>
      <c r="L10143">
        <f>IF(AND($J10143=0,$K10143=0),0,1)</f>
        <v>1</v>
      </c>
    </row>
    <row r="10144" spans="1:13" x14ac:dyDescent="0.2">
      <c r="A10144" t="s">
        <v>642</v>
      </c>
      <c r="B10144" t="s">
        <v>6</v>
      </c>
      <c r="C10144" t="s">
        <v>11</v>
      </c>
      <c r="D10144">
        <v>5000</v>
      </c>
      <c r="E10144">
        <v>2019</v>
      </c>
      <c r="F10144">
        <v>1</v>
      </c>
      <c r="G10144">
        <v>96100</v>
      </c>
      <c r="H10144" s="1">
        <v>0</v>
      </c>
      <c r="I10144">
        <v>17</v>
      </c>
      <c r="J10144">
        <f>IF($H10144=0,1,IF($I10144&lt;=1,2,0))</f>
        <v>1</v>
      </c>
      <c r="K10144">
        <v>0</v>
      </c>
      <c r="L10144">
        <f>IF(AND($J10144=0,$K10144=0),0,1)</f>
        <v>1</v>
      </c>
      <c r="M10144" t="s">
        <v>643</v>
      </c>
    </row>
    <row r="10145" spans="1:13" x14ac:dyDescent="0.2">
      <c r="A10145" t="s">
        <v>642</v>
      </c>
      <c r="B10145" t="s">
        <v>6</v>
      </c>
      <c r="C10145" t="s">
        <v>11</v>
      </c>
      <c r="D10145">
        <v>5010</v>
      </c>
      <c r="E10145">
        <v>2019</v>
      </c>
      <c r="F10145">
        <v>3</v>
      </c>
      <c r="G10145">
        <v>96103</v>
      </c>
      <c r="H10145" s="1">
        <v>4</v>
      </c>
      <c r="I10145">
        <v>43</v>
      </c>
      <c r="J10145">
        <f>IF($H10145=0,1,IF($I10145&lt;=1,2,0))</f>
        <v>0</v>
      </c>
      <c r="K10145">
        <v>4</v>
      </c>
      <c r="L10145">
        <f>IF(AND($J10145=0,$K10145=0),0,1)</f>
        <v>1</v>
      </c>
      <c r="M10145" t="s">
        <v>643</v>
      </c>
    </row>
    <row r="10146" spans="1:13" x14ac:dyDescent="0.2">
      <c r="A10146" t="s">
        <v>642</v>
      </c>
      <c r="B10146" t="s">
        <v>6</v>
      </c>
      <c r="C10146" t="s">
        <v>11</v>
      </c>
      <c r="D10146">
        <v>5010</v>
      </c>
      <c r="E10146">
        <v>2019</v>
      </c>
      <c r="F10146">
        <v>4</v>
      </c>
      <c r="G10146">
        <v>96104</v>
      </c>
      <c r="H10146" s="1">
        <v>4</v>
      </c>
      <c r="I10146">
        <v>32</v>
      </c>
      <c r="J10146">
        <f>IF($H10146=0,1,IF($I10146&lt;=1,2,0))</f>
        <v>0</v>
      </c>
      <c r="K10146">
        <v>4</v>
      </c>
      <c r="L10146">
        <f>IF(AND($J10146=0,$K10146=0),0,1)</f>
        <v>1</v>
      </c>
      <c r="M10146" t="s">
        <v>643</v>
      </c>
    </row>
    <row r="10147" spans="1:13" x14ac:dyDescent="0.2">
      <c r="A10147" t="s">
        <v>642</v>
      </c>
      <c r="B10147" t="s">
        <v>6</v>
      </c>
      <c r="C10147" t="s">
        <v>11</v>
      </c>
      <c r="D10147">
        <v>5010</v>
      </c>
      <c r="E10147">
        <v>2019</v>
      </c>
      <c r="F10147">
        <v>1</v>
      </c>
      <c r="G10147">
        <v>96101</v>
      </c>
      <c r="H10147" s="1">
        <v>4</v>
      </c>
      <c r="I10147">
        <v>28</v>
      </c>
      <c r="J10147">
        <f>IF($H10147=0,1,IF($I10147&lt;=1,2,0))</f>
        <v>0</v>
      </c>
      <c r="K10147">
        <v>4</v>
      </c>
      <c r="L10147">
        <f>IF(AND($J10147=0,$K10147=0),0,1)</f>
        <v>1</v>
      </c>
      <c r="M10147" t="s">
        <v>643</v>
      </c>
    </row>
    <row r="10148" spans="1:13" x14ac:dyDescent="0.2">
      <c r="A10148" t="s">
        <v>642</v>
      </c>
      <c r="B10148" t="s">
        <v>6</v>
      </c>
      <c r="C10148" t="s">
        <v>11</v>
      </c>
      <c r="D10148">
        <v>5010</v>
      </c>
      <c r="E10148">
        <v>2019</v>
      </c>
      <c r="F10148">
        <v>2</v>
      </c>
      <c r="G10148">
        <v>96102</v>
      </c>
      <c r="H10148" s="1">
        <v>4</v>
      </c>
      <c r="I10148">
        <v>23</v>
      </c>
      <c r="J10148">
        <f>IF($H10148=0,1,IF($I10148&lt;=1,2,0))</f>
        <v>0</v>
      </c>
      <c r="K10148">
        <v>4</v>
      </c>
      <c r="L10148">
        <f>IF(AND($J10148=0,$K10148=0),0,1)</f>
        <v>1</v>
      </c>
      <c r="M10148" t="s">
        <v>643</v>
      </c>
    </row>
    <row r="10149" spans="1:13" x14ac:dyDescent="0.2">
      <c r="A10149" t="s">
        <v>642</v>
      </c>
      <c r="B10149" t="s">
        <v>6</v>
      </c>
      <c r="C10149" t="s">
        <v>11</v>
      </c>
      <c r="D10149">
        <v>5021</v>
      </c>
      <c r="E10149">
        <v>2019</v>
      </c>
      <c r="F10149">
        <v>1</v>
      </c>
      <c r="G10149">
        <v>96107</v>
      </c>
      <c r="H10149" s="1">
        <v>2</v>
      </c>
      <c r="I10149">
        <v>126</v>
      </c>
      <c r="J10149">
        <f>IF($H10149=0,1,IF($I10149&lt;=1,2,0))</f>
        <v>0</v>
      </c>
      <c r="K10149">
        <v>4</v>
      </c>
      <c r="L10149">
        <f>IF(AND($J10149=0,$K10149=0),0,1)</f>
        <v>1</v>
      </c>
      <c r="M10149" t="s">
        <v>645</v>
      </c>
    </row>
    <row r="10150" spans="1:13" x14ac:dyDescent="0.2">
      <c r="A10150" t="s">
        <v>642</v>
      </c>
      <c r="B10150" t="s">
        <v>6</v>
      </c>
      <c r="C10150" t="s">
        <v>11</v>
      </c>
      <c r="D10150">
        <v>5022</v>
      </c>
      <c r="E10150">
        <v>2019</v>
      </c>
      <c r="F10150">
        <v>1</v>
      </c>
      <c r="G10150">
        <v>96108</v>
      </c>
      <c r="H10150" s="1">
        <v>2</v>
      </c>
      <c r="I10150">
        <v>6</v>
      </c>
      <c r="J10150">
        <f>IF($H10150=0,1,IF($I10150&lt;=1,2,0))</f>
        <v>0</v>
      </c>
      <c r="K10150">
        <v>4</v>
      </c>
      <c r="L10150">
        <f>IF(AND($J10150=0,$K10150=0),0,1)</f>
        <v>1</v>
      </c>
      <c r="M10150" t="s">
        <v>645</v>
      </c>
    </row>
    <row r="10151" spans="1:13" x14ac:dyDescent="0.2">
      <c r="A10151" t="s">
        <v>642</v>
      </c>
      <c r="B10151" t="s">
        <v>6</v>
      </c>
      <c r="C10151" t="s">
        <v>11</v>
      </c>
      <c r="D10151">
        <v>5050</v>
      </c>
      <c r="E10151">
        <v>2019</v>
      </c>
      <c r="F10151">
        <v>1</v>
      </c>
      <c r="G10151">
        <v>96109</v>
      </c>
      <c r="H10151" s="1">
        <v>2</v>
      </c>
      <c r="I10151">
        <v>16</v>
      </c>
      <c r="J10151">
        <f>IF($H10151=0,1,IF($I10151&lt;=1,2,0))</f>
        <v>0</v>
      </c>
      <c r="K10151">
        <v>4</v>
      </c>
      <c r="L10151">
        <f>IF(AND($J10151=0,$K10151=0),0,1)</f>
        <v>1</v>
      </c>
      <c r="M10151" t="s">
        <v>643</v>
      </c>
    </row>
    <row r="10152" spans="1:13" x14ac:dyDescent="0.2">
      <c r="A10152" t="s">
        <v>642</v>
      </c>
      <c r="B10152" t="s">
        <v>6</v>
      </c>
      <c r="C10152" t="s">
        <v>11</v>
      </c>
      <c r="D10152">
        <v>5051</v>
      </c>
      <c r="E10152">
        <v>2019</v>
      </c>
      <c r="F10152">
        <v>1</v>
      </c>
      <c r="G10152">
        <v>96110</v>
      </c>
      <c r="H10152" s="1">
        <v>2</v>
      </c>
      <c r="I10152">
        <v>4</v>
      </c>
      <c r="J10152">
        <f>IF($H10152=0,1,IF($I10152&lt;=1,2,0))</f>
        <v>0</v>
      </c>
      <c r="K10152">
        <v>4</v>
      </c>
      <c r="L10152">
        <f>IF(AND($J10152=0,$K10152=0),0,1)</f>
        <v>1</v>
      </c>
      <c r="M10152" t="s">
        <v>645</v>
      </c>
    </row>
    <row r="10153" spans="1:13" x14ac:dyDescent="0.2">
      <c r="A10153" t="s">
        <v>642</v>
      </c>
      <c r="B10153" t="s">
        <v>6</v>
      </c>
      <c r="C10153" t="s">
        <v>11</v>
      </c>
      <c r="D10153">
        <v>5997</v>
      </c>
      <c r="E10153">
        <v>2019</v>
      </c>
      <c r="F10153">
        <v>1</v>
      </c>
      <c r="G10153">
        <v>96117</v>
      </c>
      <c r="H10153" s="1" t="s">
        <v>1832</v>
      </c>
      <c r="I10153">
        <v>2</v>
      </c>
      <c r="J10153">
        <f>IF($H10153=0,1,IF($I10153&lt;=1,2,0))</f>
        <v>0</v>
      </c>
      <c r="K10153">
        <v>4</v>
      </c>
      <c r="L10153">
        <f>IF(AND($J10153=0,$K10153=0),0,1)</f>
        <v>1</v>
      </c>
      <c r="M10153" t="s">
        <v>643</v>
      </c>
    </row>
    <row r="10154" spans="1:13" x14ac:dyDescent="0.2">
      <c r="A10154" t="s">
        <v>642</v>
      </c>
      <c r="B10154" t="s">
        <v>6</v>
      </c>
      <c r="C10154" t="s">
        <v>11</v>
      </c>
      <c r="D10154">
        <v>5999</v>
      </c>
      <c r="E10154">
        <v>2019</v>
      </c>
      <c r="F10154">
        <v>1</v>
      </c>
      <c r="G10154">
        <v>96118</v>
      </c>
      <c r="H10154" s="1" t="s">
        <v>1824</v>
      </c>
      <c r="I10154">
        <v>39</v>
      </c>
      <c r="J10154">
        <f>IF($H10154=0,1,IF($I10154&lt;=1,2,0))</f>
        <v>0</v>
      </c>
      <c r="K10154">
        <v>4</v>
      </c>
      <c r="L10154">
        <f>IF(AND($J10154=0,$K10154=0),0,1)</f>
        <v>1</v>
      </c>
      <c r="M10154" t="s">
        <v>645</v>
      </c>
    </row>
    <row r="10155" spans="1:13" x14ac:dyDescent="0.2">
      <c r="A10155" t="s">
        <v>646</v>
      </c>
      <c r="B10155" t="s">
        <v>17</v>
      </c>
      <c r="C10155" t="s">
        <v>21</v>
      </c>
      <c r="D10155">
        <v>2355</v>
      </c>
      <c r="E10155">
        <v>2019</v>
      </c>
      <c r="F10155">
        <v>2</v>
      </c>
      <c r="G10155">
        <v>9432</v>
      </c>
      <c r="H10155" s="1">
        <v>0</v>
      </c>
      <c r="I10155">
        <v>11</v>
      </c>
      <c r="J10155">
        <f>IF($H10155=0,1,IF($I10155&lt;=1,2,0))</f>
        <v>1</v>
      </c>
      <c r="K10155">
        <v>0</v>
      </c>
      <c r="L10155">
        <f>IF(AND($J10155=0,$K10155=0),0,1)</f>
        <v>1</v>
      </c>
    </row>
    <row r="10156" spans="1:13" x14ac:dyDescent="0.2">
      <c r="A10156" t="s">
        <v>646</v>
      </c>
      <c r="B10156" t="s">
        <v>17</v>
      </c>
      <c r="C10156" t="s">
        <v>21</v>
      </c>
      <c r="D10156">
        <v>2355</v>
      </c>
      <c r="E10156">
        <v>2019</v>
      </c>
      <c r="F10156">
        <v>1</v>
      </c>
      <c r="G10156">
        <v>9431</v>
      </c>
      <c r="H10156" s="1">
        <v>0</v>
      </c>
      <c r="I10156">
        <v>8</v>
      </c>
      <c r="J10156">
        <f>IF($H10156=0,1,IF($I10156&lt;=1,2,0))</f>
        <v>1</v>
      </c>
      <c r="K10156">
        <v>0</v>
      </c>
      <c r="L10156">
        <f>IF(AND($J10156=0,$K10156=0),0,1)</f>
        <v>1</v>
      </c>
    </row>
    <row r="10157" spans="1:13" x14ac:dyDescent="0.2">
      <c r="A10157" t="s">
        <v>646</v>
      </c>
      <c r="B10157" t="s">
        <v>17</v>
      </c>
      <c r="C10157" t="s">
        <v>21</v>
      </c>
      <c r="D10157">
        <v>2355</v>
      </c>
      <c r="E10157">
        <v>2019</v>
      </c>
      <c r="F10157">
        <v>3</v>
      </c>
      <c r="G10157">
        <v>9433</v>
      </c>
      <c r="H10157" s="1">
        <v>0</v>
      </c>
      <c r="I10157">
        <v>7</v>
      </c>
      <c r="J10157">
        <f>IF($H10157=0,1,IF($I10157&lt;=1,2,0))</f>
        <v>1</v>
      </c>
      <c r="K10157">
        <v>0</v>
      </c>
      <c r="L10157">
        <f>IF(AND($J10157=0,$K10157=0),0,1)</f>
        <v>1</v>
      </c>
    </row>
    <row r="10158" spans="1:13" x14ac:dyDescent="0.2">
      <c r="A10158" t="s">
        <v>646</v>
      </c>
      <c r="B10158" t="s">
        <v>17</v>
      </c>
      <c r="C10158" t="s">
        <v>21</v>
      </c>
      <c r="D10158">
        <v>2388</v>
      </c>
      <c r="E10158">
        <v>2019</v>
      </c>
      <c r="F10158">
        <v>1</v>
      </c>
      <c r="G10158">
        <v>54118</v>
      </c>
      <c r="H10158" s="1">
        <v>0</v>
      </c>
      <c r="I10158">
        <v>29</v>
      </c>
      <c r="J10158">
        <f>IF($H10158=0,1,IF($I10158&lt;=1,2,0))</f>
        <v>1</v>
      </c>
      <c r="K10158">
        <v>0</v>
      </c>
      <c r="L10158">
        <f>IF(AND($J10158=0,$K10158=0),0,1)</f>
        <v>1</v>
      </c>
    </row>
    <row r="10159" spans="1:13" x14ac:dyDescent="0.2">
      <c r="A10159" t="s">
        <v>646</v>
      </c>
      <c r="B10159" t="s">
        <v>17</v>
      </c>
      <c r="C10159" t="s">
        <v>21</v>
      </c>
      <c r="D10159">
        <v>2388</v>
      </c>
      <c r="E10159">
        <v>2019</v>
      </c>
      <c r="F10159">
        <v>2</v>
      </c>
      <c r="G10159">
        <v>54113</v>
      </c>
      <c r="H10159" s="1">
        <v>0</v>
      </c>
      <c r="I10159">
        <v>4</v>
      </c>
      <c r="J10159">
        <f>IF($H10159=0,1,IF($I10159&lt;=1,2,0))</f>
        <v>1</v>
      </c>
      <c r="K10159">
        <v>0</v>
      </c>
      <c r="L10159">
        <f>IF(AND($J10159=0,$K10159=0),0,1)</f>
        <v>1</v>
      </c>
    </row>
    <row r="10160" spans="1:13" x14ac:dyDescent="0.2">
      <c r="A10160" t="s">
        <v>646</v>
      </c>
      <c r="B10160" t="s">
        <v>17</v>
      </c>
      <c r="C10160" t="s">
        <v>21</v>
      </c>
      <c r="D10160">
        <v>2388</v>
      </c>
      <c r="E10160">
        <v>2019</v>
      </c>
      <c r="F10160">
        <v>4</v>
      </c>
      <c r="G10160">
        <v>54115</v>
      </c>
      <c r="H10160" s="1">
        <v>0</v>
      </c>
      <c r="I10160">
        <v>4</v>
      </c>
      <c r="J10160">
        <f>IF($H10160=0,1,IF($I10160&lt;=1,2,0))</f>
        <v>1</v>
      </c>
      <c r="K10160">
        <v>0</v>
      </c>
      <c r="L10160">
        <f>IF(AND($J10160=0,$K10160=0),0,1)</f>
        <v>1</v>
      </c>
    </row>
    <row r="10161" spans="1:12" x14ac:dyDescent="0.2">
      <c r="A10161" t="s">
        <v>646</v>
      </c>
      <c r="B10161" t="s">
        <v>17</v>
      </c>
      <c r="C10161" t="s">
        <v>21</v>
      </c>
      <c r="D10161">
        <v>2388</v>
      </c>
      <c r="E10161">
        <v>2019</v>
      </c>
      <c r="F10161">
        <v>3</v>
      </c>
      <c r="G10161">
        <v>54114</v>
      </c>
      <c r="H10161" s="1">
        <v>0</v>
      </c>
      <c r="I10161">
        <v>2</v>
      </c>
      <c r="J10161">
        <f>IF($H10161=0,1,IF($I10161&lt;=1,2,0))</f>
        <v>1</v>
      </c>
      <c r="K10161">
        <v>0</v>
      </c>
      <c r="L10161">
        <f>IF(AND($J10161=0,$K10161=0),0,1)</f>
        <v>1</v>
      </c>
    </row>
    <row r="10162" spans="1:12" x14ac:dyDescent="0.2">
      <c r="A10162" t="s">
        <v>646</v>
      </c>
      <c r="B10162" t="s">
        <v>17</v>
      </c>
      <c r="C10162" t="s">
        <v>21</v>
      </c>
      <c r="D10162">
        <v>2388</v>
      </c>
      <c r="E10162">
        <v>2019</v>
      </c>
      <c r="F10162">
        <v>5</v>
      </c>
      <c r="G10162">
        <v>54116</v>
      </c>
      <c r="H10162" s="1">
        <v>0</v>
      </c>
      <c r="I10162">
        <v>1</v>
      </c>
      <c r="J10162">
        <f>IF($H10162=0,1,IF($I10162&lt;=1,2,0))</f>
        <v>1</v>
      </c>
      <c r="K10162">
        <v>0</v>
      </c>
      <c r="L10162">
        <f>IF(AND($J10162=0,$K10162=0),0,1)</f>
        <v>1</v>
      </c>
    </row>
    <row r="10163" spans="1:12" x14ac:dyDescent="0.2">
      <c r="A10163" t="s">
        <v>646</v>
      </c>
      <c r="B10163" t="s">
        <v>17</v>
      </c>
      <c r="C10163" t="s">
        <v>9</v>
      </c>
      <c r="D10163">
        <v>3522</v>
      </c>
      <c r="E10163">
        <v>2019</v>
      </c>
      <c r="F10163">
        <v>1</v>
      </c>
      <c r="G10163">
        <v>54125</v>
      </c>
      <c r="H10163" s="1">
        <v>0</v>
      </c>
      <c r="I10163">
        <v>13</v>
      </c>
      <c r="J10163">
        <f>IF($H10163=0,1,IF($I10163&lt;=1,2,0))</f>
        <v>1</v>
      </c>
      <c r="K10163">
        <v>0</v>
      </c>
      <c r="L10163">
        <f>IF(AND($J10163=0,$K10163=0),0,1)</f>
        <v>1</v>
      </c>
    </row>
    <row r="10164" spans="1:12" x14ac:dyDescent="0.2">
      <c r="A10164" t="s">
        <v>646</v>
      </c>
      <c r="B10164" t="s">
        <v>17</v>
      </c>
      <c r="C10164" t="s">
        <v>9</v>
      </c>
      <c r="D10164">
        <v>3522</v>
      </c>
      <c r="E10164">
        <v>2019</v>
      </c>
      <c r="F10164">
        <v>2</v>
      </c>
      <c r="G10164">
        <v>54126</v>
      </c>
      <c r="H10164" s="1">
        <v>0</v>
      </c>
      <c r="I10164">
        <v>0</v>
      </c>
      <c r="J10164">
        <f>IF($H10164=0,1,IF($I10164&lt;=1,2,0))</f>
        <v>1</v>
      </c>
      <c r="K10164">
        <v>0</v>
      </c>
      <c r="L10164">
        <f>IF(AND($J10164=0,$K10164=0),0,1)</f>
        <v>1</v>
      </c>
    </row>
    <row r="10165" spans="1:12" x14ac:dyDescent="0.2">
      <c r="A10165" t="s">
        <v>646</v>
      </c>
      <c r="B10165" t="s">
        <v>17</v>
      </c>
      <c r="C10165" t="s">
        <v>21</v>
      </c>
      <c r="D10165">
        <v>3901</v>
      </c>
      <c r="E10165">
        <v>2019</v>
      </c>
      <c r="F10165">
        <v>17</v>
      </c>
      <c r="G10165">
        <v>54064</v>
      </c>
      <c r="H10165" s="1" t="s">
        <v>1823</v>
      </c>
      <c r="I10165">
        <v>1</v>
      </c>
      <c r="J10165">
        <f>IF($H10165=0,1,IF($I10165&lt;=1,2,0))</f>
        <v>2</v>
      </c>
      <c r="K10165">
        <v>9</v>
      </c>
      <c r="L10165">
        <f>IF(AND($J10165=0,$K10165=0),0,1)</f>
        <v>1</v>
      </c>
    </row>
    <row r="10166" spans="1:12" x14ac:dyDescent="0.2">
      <c r="A10166" t="s">
        <v>646</v>
      </c>
      <c r="B10166" t="s">
        <v>17</v>
      </c>
      <c r="C10166" t="s">
        <v>21</v>
      </c>
      <c r="D10166">
        <v>3901</v>
      </c>
      <c r="E10166">
        <v>2019</v>
      </c>
      <c r="F10166">
        <v>1</v>
      </c>
      <c r="G10166">
        <v>54103</v>
      </c>
      <c r="H10166" s="1" t="s">
        <v>1823</v>
      </c>
      <c r="I10166">
        <v>0</v>
      </c>
      <c r="J10166">
        <f>IF($H10166=0,1,IF($I10166&lt;=1,2,0))</f>
        <v>2</v>
      </c>
      <c r="K10166">
        <v>9</v>
      </c>
      <c r="L10166">
        <f>IF(AND($J10166=0,$K10166=0),0,1)</f>
        <v>1</v>
      </c>
    </row>
    <row r="10167" spans="1:12" x14ac:dyDescent="0.2">
      <c r="A10167" t="s">
        <v>646</v>
      </c>
      <c r="B10167" t="s">
        <v>17</v>
      </c>
      <c r="C10167" t="s">
        <v>21</v>
      </c>
      <c r="D10167">
        <v>3901</v>
      </c>
      <c r="E10167">
        <v>2019</v>
      </c>
      <c r="F10167">
        <v>2</v>
      </c>
      <c r="G10167">
        <v>54049</v>
      </c>
      <c r="H10167" s="1" t="s">
        <v>1823</v>
      </c>
      <c r="I10167">
        <v>0</v>
      </c>
      <c r="J10167">
        <f>IF($H10167=0,1,IF($I10167&lt;=1,2,0))</f>
        <v>2</v>
      </c>
      <c r="K10167">
        <v>9</v>
      </c>
      <c r="L10167">
        <f>IF(AND($J10167=0,$K10167=0),0,1)</f>
        <v>1</v>
      </c>
    </row>
    <row r="10168" spans="1:12" x14ac:dyDescent="0.2">
      <c r="A10168" t="s">
        <v>646</v>
      </c>
      <c r="B10168" t="s">
        <v>17</v>
      </c>
      <c r="C10168" t="s">
        <v>21</v>
      </c>
      <c r="D10168">
        <v>3901</v>
      </c>
      <c r="E10168">
        <v>2019</v>
      </c>
      <c r="F10168">
        <v>3</v>
      </c>
      <c r="G10168">
        <v>54051</v>
      </c>
      <c r="H10168" s="1" t="s">
        <v>1823</v>
      </c>
      <c r="I10168">
        <v>0</v>
      </c>
      <c r="J10168">
        <f>IF($H10168=0,1,IF($I10168&lt;=1,2,0))</f>
        <v>2</v>
      </c>
      <c r="K10168">
        <v>9</v>
      </c>
      <c r="L10168">
        <f>IF(AND($J10168=0,$K10168=0),0,1)</f>
        <v>1</v>
      </c>
    </row>
    <row r="10169" spans="1:12" x14ac:dyDescent="0.2">
      <c r="A10169" t="s">
        <v>646</v>
      </c>
      <c r="B10169" t="s">
        <v>17</v>
      </c>
      <c r="C10169" t="s">
        <v>21</v>
      </c>
      <c r="D10169">
        <v>3901</v>
      </c>
      <c r="E10169">
        <v>2019</v>
      </c>
      <c r="F10169">
        <v>4</v>
      </c>
      <c r="G10169">
        <v>54050</v>
      </c>
      <c r="H10169" s="1" t="s">
        <v>1823</v>
      </c>
      <c r="I10169">
        <v>0</v>
      </c>
      <c r="J10169">
        <f>IF($H10169=0,1,IF($I10169&lt;=1,2,0))</f>
        <v>2</v>
      </c>
      <c r="K10169">
        <v>9</v>
      </c>
      <c r="L10169">
        <f>IF(AND($J10169=0,$K10169=0),0,1)</f>
        <v>1</v>
      </c>
    </row>
    <row r="10170" spans="1:12" x14ac:dyDescent="0.2">
      <c r="A10170" t="s">
        <v>646</v>
      </c>
      <c r="B10170" t="s">
        <v>17</v>
      </c>
      <c r="C10170" t="s">
        <v>21</v>
      </c>
      <c r="D10170">
        <v>3901</v>
      </c>
      <c r="E10170">
        <v>2019</v>
      </c>
      <c r="F10170">
        <v>5</v>
      </c>
      <c r="G10170">
        <v>54052</v>
      </c>
      <c r="H10170" s="1" t="s">
        <v>1823</v>
      </c>
      <c r="I10170">
        <v>0</v>
      </c>
      <c r="J10170">
        <f>IF($H10170=0,1,IF($I10170&lt;=1,2,0))</f>
        <v>2</v>
      </c>
      <c r="K10170">
        <v>9</v>
      </c>
      <c r="L10170">
        <f>IF(AND($J10170=0,$K10170=0),0,1)</f>
        <v>1</v>
      </c>
    </row>
    <row r="10171" spans="1:12" x14ac:dyDescent="0.2">
      <c r="A10171" t="s">
        <v>646</v>
      </c>
      <c r="B10171" t="s">
        <v>17</v>
      </c>
      <c r="C10171" t="s">
        <v>21</v>
      </c>
      <c r="D10171">
        <v>3901</v>
      </c>
      <c r="E10171">
        <v>2019</v>
      </c>
      <c r="F10171">
        <v>6</v>
      </c>
      <c r="G10171">
        <v>54053</v>
      </c>
      <c r="H10171" s="1" t="s">
        <v>1823</v>
      </c>
      <c r="I10171">
        <v>0</v>
      </c>
      <c r="J10171">
        <f>IF($H10171=0,1,IF($I10171&lt;=1,2,0))</f>
        <v>2</v>
      </c>
      <c r="K10171">
        <v>9</v>
      </c>
      <c r="L10171">
        <f>IF(AND($J10171=0,$K10171=0),0,1)</f>
        <v>1</v>
      </c>
    </row>
    <row r="10172" spans="1:12" x14ac:dyDescent="0.2">
      <c r="A10172" t="s">
        <v>646</v>
      </c>
      <c r="B10172" t="s">
        <v>17</v>
      </c>
      <c r="C10172" t="s">
        <v>21</v>
      </c>
      <c r="D10172">
        <v>3901</v>
      </c>
      <c r="E10172">
        <v>2019</v>
      </c>
      <c r="F10172">
        <v>7</v>
      </c>
      <c r="G10172">
        <v>54054</v>
      </c>
      <c r="H10172" s="1" t="s">
        <v>1823</v>
      </c>
      <c r="I10172">
        <v>0</v>
      </c>
      <c r="J10172">
        <f>IF($H10172=0,1,IF($I10172&lt;=1,2,0))</f>
        <v>2</v>
      </c>
      <c r="K10172">
        <v>9</v>
      </c>
      <c r="L10172">
        <f>IF(AND($J10172=0,$K10172=0),0,1)</f>
        <v>1</v>
      </c>
    </row>
    <row r="10173" spans="1:12" x14ac:dyDescent="0.2">
      <c r="A10173" t="s">
        <v>646</v>
      </c>
      <c r="B10173" t="s">
        <v>17</v>
      </c>
      <c r="C10173" t="s">
        <v>21</v>
      </c>
      <c r="D10173">
        <v>3901</v>
      </c>
      <c r="E10173">
        <v>2019</v>
      </c>
      <c r="F10173">
        <v>8</v>
      </c>
      <c r="G10173">
        <v>54055</v>
      </c>
      <c r="H10173" s="1" t="s">
        <v>1823</v>
      </c>
      <c r="I10173">
        <v>0</v>
      </c>
      <c r="J10173">
        <f>IF($H10173=0,1,IF($I10173&lt;=1,2,0))</f>
        <v>2</v>
      </c>
      <c r="K10173">
        <v>9</v>
      </c>
      <c r="L10173">
        <f>IF(AND($J10173=0,$K10173=0),0,1)</f>
        <v>1</v>
      </c>
    </row>
    <row r="10174" spans="1:12" x14ac:dyDescent="0.2">
      <c r="A10174" t="s">
        <v>646</v>
      </c>
      <c r="B10174" t="s">
        <v>17</v>
      </c>
      <c r="C10174" t="s">
        <v>21</v>
      </c>
      <c r="D10174">
        <v>3901</v>
      </c>
      <c r="E10174">
        <v>2019</v>
      </c>
      <c r="F10174">
        <v>9</v>
      </c>
      <c r="G10174">
        <v>54056</v>
      </c>
      <c r="H10174" s="1" t="s">
        <v>1823</v>
      </c>
      <c r="I10174">
        <v>0</v>
      </c>
      <c r="J10174">
        <f>IF($H10174=0,1,IF($I10174&lt;=1,2,0))</f>
        <v>2</v>
      </c>
      <c r="K10174">
        <v>9</v>
      </c>
      <c r="L10174">
        <f>IF(AND($J10174=0,$K10174=0),0,1)</f>
        <v>1</v>
      </c>
    </row>
    <row r="10175" spans="1:12" x14ac:dyDescent="0.2">
      <c r="A10175" t="s">
        <v>646</v>
      </c>
      <c r="B10175" t="s">
        <v>17</v>
      </c>
      <c r="C10175" t="s">
        <v>21</v>
      </c>
      <c r="D10175">
        <v>3901</v>
      </c>
      <c r="E10175">
        <v>2019</v>
      </c>
      <c r="F10175">
        <v>10</v>
      </c>
      <c r="G10175">
        <v>54057</v>
      </c>
      <c r="H10175" s="1" t="s">
        <v>1823</v>
      </c>
      <c r="I10175">
        <v>0</v>
      </c>
      <c r="J10175">
        <f>IF($H10175=0,1,IF($I10175&lt;=1,2,0))</f>
        <v>2</v>
      </c>
      <c r="K10175">
        <v>9</v>
      </c>
      <c r="L10175">
        <f>IF(AND($J10175=0,$K10175=0),0,1)</f>
        <v>1</v>
      </c>
    </row>
    <row r="10176" spans="1:12" x14ac:dyDescent="0.2">
      <c r="A10176" t="s">
        <v>646</v>
      </c>
      <c r="B10176" t="s">
        <v>17</v>
      </c>
      <c r="C10176" t="s">
        <v>21</v>
      </c>
      <c r="D10176">
        <v>3901</v>
      </c>
      <c r="E10176">
        <v>2019</v>
      </c>
      <c r="F10176">
        <v>11</v>
      </c>
      <c r="G10176">
        <v>54058</v>
      </c>
      <c r="H10176" s="1" t="s">
        <v>1823</v>
      </c>
      <c r="I10176">
        <v>0</v>
      </c>
      <c r="J10176">
        <f>IF($H10176=0,1,IF($I10176&lt;=1,2,0))</f>
        <v>2</v>
      </c>
      <c r="K10176">
        <v>9</v>
      </c>
      <c r="L10176">
        <f>IF(AND($J10176=0,$K10176=0),0,1)</f>
        <v>1</v>
      </c>
    </row>
    <row r="10177" spans="1:13" x14ac:dyDescent="0.2">
      <c r="A10177" t="s">
        <v>646</v>
      </c>
      <c r="B10177" t="s">
        <v>17</v>
      </c>
      <c r="C10177" t="s">
        <v>21</v>
      </c>
      <c r="D10177">
        <v>3901</v>
      </c>
      <c r="E10177">
        <v>2019</v>
      </c>
      <c r="F10177">
        <v>12</v>
      </c>
      <c r="G10177">
        <v>54059</v>
      </c>
      <c r="H10177" s="1" t="s">
        <v>1823</v>
      </c>
      <c r="I10177">
        <v>0</v>
      </c>
      <c r="J10177">
        <f>IF($H10177=0,1,IF($I10177&lt;=1,2,0))</f>
        <v>2</v>
      </c>
      <c r="K10177">
        <v>9</v>
      </c>
      <c r="L10177">
        <f>IF(AND($J10177=0,$K10177=0),0,1)</f>
        <v>1</v>
      </c>
    </row>
    <row r="10178" spans="1:13" x14ac:dyDescent="0.2">
      <c r="A10178" t="s">
        <v>646</v>
      </c>
      <c r="B10178" t="s">
        <v>17</v>
      </c>
      <c r="C10178" t="s">
        <v>21</v>
      </c>
      <c r="D10178">
        <v>3901</v>
      </c>
      <c r="E10178">
        <v>2019</v>
      </c>
      <c r="F10178">
        <v>13</v>
      </c>
      <c r="G10178">
        <v>54060</v>
      </c>
      <c r="H10178" s="1" t="s">
        <v>1823</v>
      </c>
      <c r="I10178">
        <v>0</v>
      </c>
      <c r="J10178">
        <f>IF($H10178=0,1,IF($I10178&lt;=1,2,0))</f>
        <v>2</v>
      </c>
      <c r="K10178">
        <v>9</v>
      </c>
      <c r="L10178">
        <f>IF(AND($J10178=0,$K10178=0),0,1)</f>
        <v>1</v>
      </c>
    </row>
    <row r="10179" spans="1:13" x14ac:dyDescent="0.2">
      <c r="A10179" t="s">
        <v>646</v>
      </c>
      <c r="B10179" t="s">
        <v>17</v>
      </c>
      <c r="C10179" t="s">
        <v>21</v>
      </c>
      <c r="D10179">
        <v>3901</v>
      </c>
      <c r="E10179">
        <v>2019</v>
      </c>
      <c r="F10179">
        <v>14</v>
      </c>
      <c r="G10179">
        <v>54061</v>
      </c>
      <c r="H10179" s="1" t="s">
        <v>1823</v>
      </c>
      <c r="I10179">
        <v>0</v>
      </c>
      <c r="J10179">
        <f>IF($H10179=0,1,IF($I10179&lt;=1,2,0))</f>
        <v>2</v>
      </c>
      <c r="K10179">
        <v>9</v>
      </c>
      <c r="L10179">
        <f>IF(AND($J10179=0,$K10179=0),0,1)</f>
        <v>1</v>
      </c>
    </row>
    <row r="10180" spans="1:13" x14ac:dyDescent="0.2">
      <c r="A10180" t="s">
        <v>646</v>
      </c>
      <c r="B10180" t="s">
        <v>17</v>
      </c>
      <c r="C10180" t="s">
        <v>21</v>
      </c>
      <c r="D10180">
        <v>3901</v>
      </c>
      <c r="E10180">
        <v>2019</v>
      </c>
      <c r="F10180">
        <v>15</v>
      </c>
      <c r="G10180">
        <v>54062</v>
      </c>
      <c r="H10180" s="1" t="s">
        <v>1823</v>
      </c>
      <c r="I10180">
        <v>0</v>
      </c>
      <c r="J10180">
        <f>IF($H10180=0,1,IF($I10180&lt;=1,2,0))</f>
        <v>2</v>
      </c>
      <c r="K10180">
        <v>9</v>
      </c>
      <c r="L10180">
        <f>IF(AND($J10180=0,$K10180=0),0,1)</f>
        <v>1</v>
      </c>
    </row>
    <row r="10181" spans="1:13" x14ac:dyDescent="0.2">
      <c r="A10181" t="s">
        <v>646</v>
      </c>
      <c r="B10181" t="s">
        <v>17</v>
      </c>
      <c r="C10181" t="s">
        <v>21</v>
      </c>
      <c r="D10181">
        <v>3901</v>
      </c>
      <c r="E10181">
        <v>2019</v>
      </c>
      <c r="F10181">
        <v>16</v>
      </c>
      <c r="G10181">
        <v>54063</v>
      </c>
      <c r="H10181" s="1" t="s">
        <v>1823</v>
      </c>
      <c r="I10181">
        <v>0</v>
      </c>
      <c r="J10181">
        <f>IF($H10181=0,1,IF($I10181&lt;=1,2,0))</f>
        <v>2</v>
      </c>
      <c r="K10181">
        <v>9</v>
      </c>
      <c r="L10181">
        <f>IF(AND($J10181=0,$K10181=0),0,1)</f>
        <v>1</v>
      </c>
    </row>
    <row r="10182" spans="1:13" x14ac:dyDescent="0.2">
      <c r="A10182" t="s">
        <v>646</v>
      </c>
      <c r="B10182" t="s">
        <v>17</v>
      </c>
      <c r="C10182" t="s">
        <v>21</v>
      </c>
      <c r="D10182">
        <v>3901</v>
      </c>
      <c r="E10182">
        <v>2019</v>
      </c>
      <c r="F10182">
        <v>18</v>
      </c>
      <c r="G10182">
        <v>29223</v>
      </c>
      <c r="H10182" s="1" t="s">
        <v>1823</v>
      </c>
      <c r="I10182">
        <v>0</v>
      </c>
      <c r="J10182">
        <f>IF($H10182=0,1,IF($I10182&lt;=1,2,0))</f>
        <v>2</v>
      </c>
      <c r="K10182">
        <v>9</v>
      </c>
      <c r="L10182">
        <f>IF(AND($J10182=0,$K10182=0),0,1)</f>
        <v>1</v>
      </c>
    </row>
    <row r="10183" spans="1:13" x14ac:dyDescent="0.2">
      <c r="A10183" t="s">
        <v>646</v>
      </c>
      <c r="B10183" t="s">
        <v>17</v>
      </c>
      <c r="C10183" t="s">
        <v>21</v>
      </c>
      <c r="D10183">
        <v>3901</v>
      </c>
      <c r="E10183">
        <v>2019</v>
      </c>
      <c r="F10183">
        <v>19</v>
      </c>
      <c r="G10183">
        <v>54066</v>
      </c>
      <c r="H10183" s="1" t="s">
        <v>1823</v>
      </c>
      <c r="I10183">
        <v>0</v>
      </c>
      <c r="J10183">
        <f>IF($H10183=0,1,IF($I10183&lt;=1,2,0))</f>
        <v>2</v>
      </c>
      <c r="K10183">
        <v>9</v>
      </c>
      <c r="L10183">
        <f>IF(AND($J10183=0,$K10183=0),0,1)</f>
        <v>1</v>
      </c>
    </row>
    <row r="10184" spans="1:13" x14ac:dyDescent="0.2">
      <c r="A10184" t="s">
        <v>646</v>
      </c>
      <c r="B10184" t="s">
        <v>17</v>
      </c>
      <c r="C10184" t="s">
        <v>21</v>
      </c>
      <c r="D10184">
        <v>3901</v>
      </c>
      <c r="E10184">
        <v>2019</v>
      </c>
      <c r="F10184">
        <v>20</v>
      </c>
      <c r="G10184">
        <v>54067</v>
      </c>
      <c r="H10184" s="1" t="s">
        <v>1823</v>
      </c>
      <c r="I10184">
        <v>0</v>
      </c>
      <c r="J10184">
        <f>IF($H10184=0,1,IF($I10184&lt;=1,2,0))</f>
        <v>2</v>
      </c>
      <c r="K10184">
        <v>9</v>
      </c>
      <c r="L10184">
        <f>IF(AND($J10184=0,$K10184=0),0,1)</f>
        <v>1</v>
      </c>
    </row>
    <row r="10185" spans="1:13" x14ac:dyDescent="0.2">
      <c r="A10185" t="s">
        <v>646</v>
      </c>
      <c r="B10185" t="s">
        <v>17</v>
      </c>
      <c r="C10185" t="s">
        <v>21</v>
      </c>
      <c r="D10185">
        <v>3901</v>
      </c>
      <c r="E10185">
        <v>2019</v>
      </c>
      <c r="F10185">
        <v>21</v>
      </c>
      <c r="G10185">
        <v>29214</v>
      </c>
      <c r="H10185" s="1" t="s">
        <v>1823</v>
      </c>
      <c r="I10185">
        <v>0</v>
      </c>
      <c r="J10185">
        <f>IF($H10185=0,1,IF($I10185&lt;=1,2,0))</f>
        <v>2</v>
      </c>
      <c r="K10185">
        <v>9</v>
      </c>
      <c r="L10185">
        <f>IF(AND($J10185=0,$K10185=0),0,1)</f>
        <v>1</v>
      </c>
    </row>
    <row r="10186" spans="1:13" x14ac:dyDescent="0.2">
      <c r="A10186" t="s">
        <v>646</v>
      </c>
      <c r="B10186" t="s">
        <v>17</v>
      </c>
      <c r="C10186" t="s">
        <v>21</v>
      </c>
      <c r="D10186">
        <v>3901</v>
      </c>
      <c r="E10186">
        <v>2019</v>
      </c>
      <c r="F10186">
        <v>22</v>
      </c>
      <c r="G10186">
        <v>29213</v>
      </c>
      <c r="H10186" s="1" t="s">
        <v>1823</v>
      </c>
      <c r="I10186">
        <v>0</v>
      </c>
      <c r="J10186">
        <f>IF($H10186=0,1,IF($I10186&lt;=1,2,0))</f>
        <v>2</v>
      </c>
      <c r="K10186">
        <v>9</v>
      </c>
      <c r="L10186">
        <f>IF(AND($J10186=0,$K10186=0),0,1)</f>
        <v>1</v>
      </c>
    </row>
    <row r="10187" spans="1:13" x14ac:dyDescent="0.2">
      <c r="A10187" t="s">
        <v>646</v>
      </c>
      <c r="B10187" t="s">
        <v>17</v>
      </c>
      <c r="C10187" t="s">
        <v>21</v>
      </c>
      <c r="D10187">
        <v>3901</v>
      </c>
      <c r="E10187">
        <v>2019</v>
      </c>
      <c r="F10187">
        <v>23</v>
      </c>
      <c r="G10187">
        <v>29212</v>
      </c>
      <c r="H10187" s="1" t="s">
        <v>1823</v>
      </c>
      <c r="I10187">
        <v>0</v>
      </c>
      <c r="J10187">
        <f>IF($H10187=0,1,IF($I10187&lt;=1,2,0))</f>
        <v>2</v>
      </c>
      <c r="K10187">
        <v>9</v>
      </c>
      <c r="L10187">
        <f>IF(AND($J10187=0,$K10187=0),0,1)</f>
        <v>1</v>
      </c>
    </row>
    <row r="10188" spans="1:13" x14ac:dyDescent="0.2">
      <c r="A10188" t="s">
        <v>646</v>
      </c>
      <c r="B10188" t="s">
        <v>17</v>
      </c>
      <c r="C10188" t="s">
        <v>2</v>
      </c>
      <c r="D10188">
        <v>3997</v>
      </c>
      <c r="E10188">
        <v>2019</v>
      </c>
      <c r="F10188">
        <v>1</v>
      </c>
      <c r="G10188">
        <v>9444</v>
      </c>
      <c r="H10188" s="1">
        <v>4</v>
      </c>
      <c r="I10188">
        <v>11</v>
      </c>
      <c r="J10188">
        <f>IF($H10188=0,1,IF($I10188&lt;=1,2,0))</f>
        <v>0</v>
      </c>
      <c r="K10188">
        <v>7</v>
      </c>
      <c r="L10188">
        <f>IF(AND($J10188=0,$K10188=0),0,1)</f>
        <v>1</v>
      </c>
      <c r="M10188" t="s">
        <v>647</v>
      </c>
    </row>
    <row r="10189" spans="1:13" x14ac:dyDescent="0.2">
      <c r="A10189" t="s">
        <v>646</v>
      </c>
      <c r="B10189" t="s">
        <v>17</v>
      </c>
      <c r="C10189" t="s">
        <v>9</v>
      </c>
      <c r="D10189">
        <v>4998</v>
      </c>
      <c r="E10189">
        <v>2019</v>
      </c>
      <c r="F10189">
        <v>1</v>
      </c>
      <c r="G10189">
        <v>9451</v>
      </c>
      <c r="H10189" s="1">
        <v>4</v>
      </c>
      <c r="I10189">
        <v>6</v>
      </c>
      <c r="J10189">
        <f>IF($H10189=0,1,IF($I10189&lt;=1,2,0))</f>
        <v>0</v>
      </c>
      <c r="K10189">
        <v>9</v>
      </c>
      <c r="L10189">
        <f>IF(AND($J10189=0,$K10189=0),0,1)</f>
        <v>1</v>
      </c>
    </row>
    <row r="10190" spans="1:13" x14ac:dyDescent="0.2">
      <c r="A10190" t="s">
        <v>646</v>
      </c>
      <c r="B10190" t="s">
        <v>17</v>
      </c>
      <c r="C10190" t="s">
        <v>34</v>
      </c>
      <c r="D10190">
        <v>9300</v>
      </c>
      <c r="E10190">
        <v>2019</v>
      </c>
      <c r="F10190">
        <v>1</v>
      </c>
      <c r="G10190">
        <v>54120</v>
      </c>
      <c r="H10190" s="1">
        <v>4</v>
      </c>
      <c r="I10190">
        <v>2</v>
      </c>
      <c r="J10190">
        <f>IF($H10190=0,1,IF($I10190&lt;=1,2,0))</f>
        <v>0</v>
      </c>
      <c r="K10190">
        <v>5</v>
      </c>
      <c r="L10190">
        <f>IF(AND($J10190=0,$K10190=0),0,1)</f>
        <v>1</v>
      </c>
    </row>
    <row r="10191" spans="1:13" x14ac:dyDescent="0.2">
      <c r="A10191" t="s">
        <v>646</v>
      </c>
      <c r="B10191" t="s">
        <v>17</v>
      </c>
      <c r="C10191" t="s">
        <v>11</v>
      </c>
      <c r="D10191">
        <v>9901</v>
      </c>
      <c r="E10191">
        <v>2019</v>
      </c>
      <c r="F10191">
        <v>7</v>
      </c>
      <c r="G10191">
        <v>54076</v>
      </c>
      <c r="H10191" s="1" t="s">
        <v>1828</v>
      </c>
      <c r="I10191">
        <v>3</v>
      </c>
      <c r="J10191">
        <f>IF($H10191=0,1,IF($I10191&lt;=1,2,0))</f>
        <v>0</v>
      </c>
      <c r="K10191">
        <v>5</v>
      </c>
      <c r="L10191">
        <f>IF(AND($J10191=0,$K10191=0),0,1)</f>
        <v>1</v>
      </c>
    </row>
    <row r="10192" spans="1:13" x14ac:dyDescent="0.2">
      <c r="A10192" t="s">
        <v>646</v>
      </c>
      <c r="B10192" t="s">
        <v>17</v>
      </c>
      <c r="C10192" t="s">
        <v>11</v>
      </c>
      <c r="D10192">
        <v>9901</v>
      </c>
      <c r="E10192">
        <v>2019</v>
      </c>
      <c r="F10192">
        <v>5</v>
      </c>
      <c r="G10192">
        <v>54074</v>
      </c>
      <c r="H10192" s="1" t="s">
        <v>1828</v>
      </c>
      <c r="I10192">
        <v>1</v>
      </c>
      <c r="J10192">
        <f>IF($H10192=0,1,IF($I10192&lt;=1,2,0))</f>
        <v>2</v>
      </c>
      <c r="K10192">
        <v>5</v>
      </c>
      <c r="L10192">
        <f>IF(AND($J10192=0,$K10192=0),0,1)</f>
        <v>1</v>
      </c>
    </row>
    <row r="10193" spans="1:12" x14ac:dyDescent="0.2">
      <c r="A10193" t="s">
        <v>646</v>
      </c>
      <c r="B10193" t="s">
        <v>17</v>
      </c>
      <c r="C10193" t="s">
        <v>11</v>
      </c>
      <c r="D10193">
        <v>9901</v>
      </c>
      <c r="E10193">
        <v>2019</v>
      </c>
      <c r="F10193">
        <v>17</v>
      </c>
      <c r="G10193">
        <v>54086</v>
      </c>
      <c r="H10193" s="1" t="s">
        <v>1828</v>
      </c>
      <c r="I10193">
        <v>1</v>
      </c>
      <c r="J10193">
        <f>IF($H10193=0,1,IF($I10193&lt;=1,2,0))</f>
        <v>2</v>
      </c>
      <c r="K10193">
        <v>5</v>
      </c>
      <c r="L10193">
        <f>IF(AND($J10193=0,$K10193=0),0,1)</f>
        <v>1</v>
      </c>
    </row>
    <row r="10194" spans="1:12" x14ac:dyDescent="0.2">
      <c r="A10194" t="s">
        <v>646</v>
      </c>
      <c r="B10194" t="s">
        <v>17</v>
      </c>
      <c r="C10194" t="s">
        <v>11</v>
      </c>
      <c r="D10194">
        <v>9901</v>
      </c>
      <c r="E10194">
        <v>2019</v>
      </c>
      <c r="F10194">
        <v>23</v>
      </c>
      <c r="G10194">
        <v>54092</v>
      </c>
      <c r="H10194" s="1" t="s">
        <v>1828</v>
      </c>
      <c r="I10194">
        <v>1</v>
      </c>
      <c r="J10194">
        <f>IF($H10194=0,1,IF($I10194&lt;=1,2,0))</f>
        <v>2</v>
      </c>
      <c r="K10194">
        <v>5</v>
      </c>
      <c r="L10194">
        <f>IF(AND($J10194=0,$K10194=0),0,1)</f>
        <v>1</v>
      </c>
    </row>
    <row r="10195" spans="1:12" x14ac:dyDescent="0.2">
      <c r="A10195" t="s">
        <v>646</v>
      </c>
      <c r="B10195" t="s">
        <v>17</v>
      </c>
      <c r="C10195" t="s">
        <v>11</v>
      </c>
      <c r="D10195">
        <v>9901</v>
      </c>
      <c r="E10195">
        <v>2019</v>
      </c>
      <c r="F10195">
        <v>1</v>
      </c>
      <c r="G10195">
        <v>54098</v>
      </c>
      <c r="H10195" s="1" t="s">
        <v>1828</v>
      </c>
      <c r="I10195">
        <v>0</v>
      </c>
      <c r="J10195">
        <f>IF($H10195=0,1,IF($I10195&lt;=1,2,0))</f>
        <v>2</v>
      </c>
      <c r="K10195">
        <v>5</v>
      </c>
      <c r="L10195">
        <f>IF(AND($J10195=0,$K10195=0),0,1)</f>
        <v>1</v>
      </c>
    </row>
    <row r="10196" spans="1:12" x14ac:dyDescent="0.2">
      <c r="A10196" t="s">
        <v>646</v>
      </c>
      <c r="B10196" t="s">
        <v>17</v>
      </c>
      <c r="C10196" t="s">
        <v>11</v>
      </c>
      <c r="D10196">
        <v>9901</v>
      </c>
      <c r="E10196">
        <v>2019</v>
      </c>
      <c r="F10196">
        <v>2</v>
      </c>
      <c r="G10196">
        <v>54071</v>
      </c>
      <c r="H10196" s="1" t="s">
        <v>1828</v>
      </c>
      <c r="I10196">
        <v>0</v>
      </c>
      <c r="J10196">
        <f>IF($H10196=0,1,IF($I10196&lt;=1,2,0))</f>
        <v>2</v>
      </c>
      <c r="K10196">
        <v>5</v>
      </c>
      <c r="L10196">
        <f>IF(AND($J10196=0,$K10196=0),0,1)</f>
        <v>1</v>
      </c>
    </row>
    <row r="10197" spans="1:12" x14ac:dyDescent="0.2">
      <c r="A10197" t="s">
        <v>646</v>
      </c>
      <c r="B10197" t="s">
        <v>17</v>
      </c>
      <c r="C10197" t="s">
        <v>11</v>
      </c>
      <c r="D10197">
        <v>9901</v>
      </c>
      <c r="E10197">
        <v>2019</v>
      </c>
      <c r="F10197">
        <v>3</v>
      </c>
      <c r="G10197">
        <v>54072</v>
      </c>
      <c r="H10197" s="1" t="s">
        <v>1828</v>
      </c>
      <c r="I10197">
        <v>0</v>
      </c>
      <c r="J10197">
        <f>IF($H10197=0,1,IF($I10197&lt;=1,2,0))</f>
        <v>2</v>
      </c>
      <c r="K10197">
        <v>5</v>
      </c>
      <c r="L10197">
        <f>IF(AND($J10197=0,$K10197=0),0,1)</f>
        <v>1</v>
      </c>
    </row>
    <row r="10198" spans="1:12" x14ac:dyDescent="0.2">
      <c r="A10198" t="s">
        <v>646</v>
      </c>
      <c r="B10198" t="s">
        <v>17</v>
      </c>
      <c r="C10198" t="s">
        <v>11</v>
      </c>
      <c r="D10198">
        <v>9901</v>
      </c>
      <c r="E10198">
        <v>2019</v>
      </c>
      <c r="F10198">
        <v>4</v>
      </c>
      <c r="G10198">
        <v>54073</v>
      </c>
      <c r="H10198" s="1" t="s">
        <v>1828</v>
      </c>
      <c r="I10198">
        <v>0</v>
      </c>
      <c r="J10198">
        <f>IF($H10198=0,1,IF($I10198&lt;=1,2,0))</f>
        <v>2</v>
      </c>
      <c r="K10198">
        <v>5</v>
      </c>
      <c r="L10198">
        <f>IF(AND($J10198=0,$K10198=0),0,1)</f>
        <v>1</v>
      </c>
    </row>
    <row r="10199" spans="1:12" x14ac:dyDescent="0.2">
      <c r="A10199" t="s">
        <v>646</v>
      </c>
      <c r="B10199" t="s">
        <v>17</v>
      </c>
      <c r="C10199" t="s">
        <v>11</v>
      </c>
      <c r="D10199">
        <v>9901</v>
      </c>
      <c r="E10199">
        <v>2019</v>
      </c>
      <c r="F10199">
        <v>6</v>
      </c>
      <c r="G10199">
        <v>54075</v>
      </c>
      <c r="H10199" s="1" t="s">
        <v>1828</v>
      </c>
      <c r="I10199">
        <v>0</v>
      </c>
      <c r="J10199">
        <f>IF($H10199=0,1,IF($I10199&lt;=1,2,0))</f>
        <v>2</v>
      </c>
      <c r="K10199">
        <v>5</v>
      </c>
      <c r="L10199">
        <f>IF(AND($J10199=0,$K10199=0),0,1)</f>
        <v>1</v>
      </c>
    </row>
    <row r="10200" spans="1:12" x14ac:dyDescent="0.2">
      <c r="A10200" t="s">
        <v>646</v>
      </c>
      <c r="B10200" t="s">
        <v>17</v>
      </c>
      <c r="C10200" t="s">
        <v>11</v>
      </c>
      <c r="D10200">
        <v>9901</v>
      </c>
      <c r="E10200">
        <v>2019</v>
      </c>
      <c r="F10200">
        <v>8</v>
      </c>
      <c r="G10200">
        <v>54077</v>
      </c>
      <c r="H10200" s="1" t="s">
        <v>1828</v>
      </c>
      <c r="I10200">
        <v>0</v>
      </c>
      <c r="J10200">
        <f>IF($H10200=0,1,IF($I10200&lt;=1,2,0))</f>
        <v>2</v>
      </c>
      <c r="K10200">
        <v>5</v>
      </c>
      <c r="L10200">
        <f>IF(AND($J10200=0,$K10200=0),0,1)</f>
        <v>1</v>
      </c>
    </row>
    <row r="10201" spans="1:12" x14ac:dyDescent="0.2">
      <c r="A10201" t="s">
        <v>646</v>
      </c>
      <c r="B10201" t="s">
        <v>17</v>
      </c>
      <c r="C10201" t="s">
        <v>11</v>
      </c>
      <c r="D10201">
        <v>9901</v>
      </c>
      <c r="E10201">
        <v>2019</v>
      </c>
      <c r="F10201">
        <v>9</v>
      </c>
      <c r="G10201">
        <v>54078</v>
      </c>
      <c r="H10201" s="1" t="s">
        <v>1828</v>
      </c>
      <c r="I10201">
        <v>0</v>
      </c>
      <c r="J10201">
        <f>IF($H10201=0,1,IF($I10201&lt;=1,2,0))</f>
        <v>2</v>
      </c>
      <c r="K10201">
        <v>5</v>
      </c>
      <c r="L10201">
        <f>IF(AND($J10201=0,$K10201=0),0,1)</f>
        <v>1</v>
      </c>
    </row>
    <row r="10202" spans="1:12" x14ac:dyDescent="0.2">
      <c r="A10202" t="s">
        <v>646</v>
      </c>
      <c r="B10202" t="s">
        <v>17</v>
      </c>
      <c r="C10202" t="s">
        <v>11</v>
      </c>
      <c r="D10202">
        <v>9901</v>
      </c>
      <c r="E10202">
        <v>2019</v>
      </c>
      <c r="F10202">
        <v>10</v>
      </c>
      <c r="G10202">
        <v>54079</v>
      </c>
      <c r="H10202" s="1" t="s">
        <v>1828</v>
      </c>
      <c r="I10202">
        <v>0</v>
      </c>
      <c r="J10202">
        <f>IF($H10202=0,1,IF($I10202&lt;=1,2,0))</f>
        <v>2</v>
      </c>
      <c r="K10202">
        <v>5</v>
      </c>
      <c r="L10202">
        <f>IF(AND($J10202=0,$K10202=0),0,1)</f>
        <v>1</v>
      </c>
    </row>
    <row r="10203" spans="1:12" x14ac:dyDescent="0.2">
      <c r="A10203" t="s">
        <v>646</v>
      </c>
      <c r="B10203" t="s">
        <v>17</v>
      </c>
      <c r="C10203" t="s">
        <v>11</v>
      </c>
      <c r="D10203">
        <v>9901</v>
      </c>
      <c r="E10203">
        <v>2019</v>
      </c>
      <c r="F10203">
        <v>11</v>
      </c>
      <c r="G10203">
        <v>54080</v>
      </c>
      <c r="H10203" s="1" t="s">
        <v>1828</v>
      </c>
      <c r="I10203">
        <v>0</v>
      </c>
      <c r="J10203">
        <f>IF($H10203=0,1,IF($I10203&lt;=1,2,0))</f>
        <v>2</v>
      </c>
      <c r="K10203">
        <v>5</v>
      </c>
      <c r="L10203">
        <f>IF(AND($J10203=0,$K10203=0),0,1)</f>
        <v>1</v>
      </c>
    </row>
    <row r="10204" spans="1:12" x14ac:dyDescent="0.2">
      <c r="A10204" t="s">
        <v>646</v>
      </c>
      <c r="B10204" t="s">
        <v>17</v>
      </c>
      <c r="C10204" t="s">
        <v>11</v>
      </c>
      <c r="D10204">
        <v>9901</v>
      </c>
      <c r="E10204">
        <v>2019</v>
      </c>
      <c r="F10204">
        <v>12</v>
      </c>
      <c r="G10204">
        <v>54081</v>
      </c>
      <c r="H10204" s="1" t="s">
        <v>1828</v>
      </c>
      <c r="I10204">
        <v>0</v>
      </c>
      <c r="J10204">
        <f>IF($H10204=0,1,IF($I10204&lt;=1,2,0))</f>
        <v>2</v>
      </c>
      <c r="K10204">
        <v>5</v>
      </c>
      <c r="L10204">
        <f>IF(AND($J10204=0,$K10204=0),0,1)</f>
        <v>1</v>
      </c>
    </row>
    <row r="10205" spans="1:12" x14ac:dyDescent="0.2">
      <c r="A10205" t="s">
        <v>646</v>
      </c>
      <c r="B10205" t="s">
        <v>17</v>
      </c>
      <c r="C10205" t="s">
        <v>11</v>
      </c>
      <c r="D10205">
        <v>9901</v>
      </c>
      <c r="E10205">
        <v>2019</v>
      </c>
      <c r="F10205">
        <v>13</v>
      </c>
      <c r="G10205">
        <v>54082</v>
      </c>
      <c r="H10205" s="1" t="s">
        <v>1828</v>
      </c>
      <c r="I10205">
        <v>0</v>
      </c>
      <c r="J10205">
        <f>IF($H10205=0,1,IF($I10205&lt;=1,2,0))</f>
        <v>2</v>
      </c>
      <c r="K10205">
        <v>5</v>
      </c>
      <c r="L10205">
        <f>IF(AND($J10205=0,$K10205=0),0,1)</f>
        <v>1</v>
      </c>
    </row>
    <row r="10206" spans="1:12" x14ac:dyDescent="0.2">
      <c r="A10206" t="s">
        <v>646</v>
      </c>
      <c r="B10206" t="s">
        <v>17</v>
      </c>
      <c r="C10206" t="s">
        <v>11</v>
      </c>
      <c r="D10206">
        <v>9901</v>
      </c>
      <c r="E10206">
        <v>2019</v>
      </c>
      <c r="F10206">
        <v>14</v>
      </c>
      <c r="G10206">
        <v>54083</v>
      </c>
      <c r="H10206" s="1" t="s">
        <v>1828</v>
      </c>
      <c r="I10206">
        <v>0</v>
      </c>
      <c r="J10206">
        <f>IF($H10206=0,1,IF($I10206&lt;=1,2,0))</f>
        <v>2</v>
      </c>
      <c r="K10206">
        <v>5</v>
      </c>
      <c r="L10206">
        <f>IF(AND($J10206=0,$K10206=0),0,1)</f>
        <v>1</v>
      </c>
    </row>
    <row r="10207" spans="1:12" x14ac:dyDescent="0.2">
      <c r="A10207" t="s">
        <v>646</v>
      </c>
      <c r="B10207" t="s">
        <v>17</v>
      </c>
      <c r="C10207" t="s">
        <v>11</v>
      </c>
      <c r="D10207">
        <v>9901</v>
      </c>
      <c r="E10207">
        <v>2019</v>
      </c>
      <c r="F10207">
        <v>15</v>
      </c>
      <c r="G10207">
        <v>54084</v>
      </c>
      <c r="H10207" s="1" t="s">
        <v>1828</v>
      </c>
      <c r="I10207">
        <v>0</v>
      </c>
      <c r="J10207">
        <f>IF($H10207=0,1,IF($I10207&lt;=1,2,0))</f>
        <v>2</v>
      </c>
      <c r="K10207">
        <v>5</v>
      </c>
      <c r="L10207">
        <f>IF(AND($J10207=0,$K10207=0),0,1)</f>
        <v>1</v>
      </c>
    </row>
    <row r="10208" spans="1:12" x14ac:dyDescent="0.2">
      <c r="A10208" t="s">
        <v>646</v>
      </c>
      <c r="B10208" t="s">
        <v>17</v>
      </c>
      <c r="C10208" t="s">
        <v>11</v>
      </c>
      <c r="D10208">
        <v>9901</v>
      </c>
      <c r="E10208">
        <v>2019</v>
      </c>
      <c r="F10208">
        <v>16</v>
      </c>
      <c r="G10208">
        <v>54085</v>
      </c>
      <c r="H10208" s="1" t="s">
        <v>1828</v>
      </c>
      <c r="I10208">
        <v>0</v>
      </c>
      <c r="J10208">
        <f>IF($H10208=0,1,IF($I10208&lt;=1,2,0))</f>
        <v>2</v>
      </c>
      <c r="K10208">
        <v>5</v>
      </c>
      <c r="L10208">
        <f>IF(AND($J10208=0,$K10208=0),0,1)</f>
        <v>1</v>
      </c>
    </row>
    <row r="10209" spans="1:12" x14ac:dyDescent="0.2">
      <c r="A10209" t="s">
        <v>646</v>
      </c>
      <c r="B10209" t="s">
        <v>17</v>
      </c>
      <c r="C10209" t="s">
        <v>11</v>
      </c>
      <c r="D10209">
        <v>9901</v>
      </c>
      <c r="E10209">
        <v>2019</v>
      </c>
      <c r="F10209">
        <v>18</v>
      </c>
      <c r="G10209">
        <v>54087</v>
      </c>
      <c r="H10209" s="1" t="s">
        <v>1828</v>
      </c>
      <c r="I10209">
        <v>0</v>
      </c>
      <c r="J10209">
        <f>IF($H10209=0,1,IF($I10209&lt;=1,2,0))</f>
        <v>2</v>
      </c>
      <c r="K10209">
        <v>5</v>
      </c>
      <c r="L10209">
        <f>IF(AND($J10209=0,$K10209=0),0,1)</f>
        <v>1</v>
      </c>
    </row>
    <row r="10210" spans="1:12" x14ac:dyDescent="0.2">
      <c r="A10210" t="s">
        <v>646</v>
      </c>
      <c r="B10210" t="s">
        <v>17</v>
      </c>
      <c r="C10210" t="s">
        <v>11</v>
      </c>
      <c r="D10210">
        <v>9901</v>
      </c>
      <c r="E10210">
        <v>2019</v>
      </c>
      <c r="F10210">
        <v>19</v>
      </c>
      <c r="G10210">
        <v>54088</v>
      </c>
      <c r="H10210" s="1" t="s">
        <v>1828</v>
      </c>
      <c r="I10210">
        <v>0</v>
      </c>
      <c r="J10210">
        <f>IF($H10210=0,1,IF($I10210&lt;=1,2,0))</f>
        <v>2</v>
      </c>
      <c r="K10210">
        <v>5</v>
      </c>
      <c r="L10210">
        <f>IF(AND($J10210=0,$K10210=0),0,1)</f>
        <v>1</v>
      </c>
    </row>
    <row r="10211" spans="1:12" x14ac:dyDescent="0.2">
      <c r="A10211" t="s">
        <v>646</v>
      </c>
      <c r="B10211" t="s">
        <v>17</v>
      </c>
      <c r="C10211" t="s">
        <v>11</v>
      </c>
      <c r="D10211">
        <v>9901</v>
      </c>
      <c r="E10211">
        <v>2019</v>
      </c>
      <c r="F10211">
        <v>20</v>
      </c>
      <c r="G10211">
        <v>54089</v>
      </c>
      <c r="H10211" s="1" t="s">
        <v>1828</v>
      </c>
      <c r="I10211">
        <v>0</v>
      </c>
      <c r="J10211">
        <f>IF($H10211=0,1,IF($I10211&lt;=1,2,0))</f>
        <v>2</v>
      </c>
      <c r="K10211">
        <v>5</v>
      </c>
      <c r="L10211">
        <f>IF(AND($J10211=0,$K10211=0),0,1)</f>
        <v>1</v>
      </c>
    </row>
    <row r="10212" spans="1:12" x14ac:dyDescent="0.2">
      <c r="A10212" t="s">
        <v>646</v>
      </c>
      <c r="B10212" t="s">
        <v>17</v>
      </c>
      <c r="C10212" t="s">
        <v>11</v>
      </c>
      <c r="D10212">
        <v>9901</v>
      </c>
      <c r="E10212">
        <v>2019</v>
      </c>
      <c r="F10212">
        <v>21</v>
      </c>
      <c r="G10212">
        <v>54090</v>
      </c>
      <c r="H10212" s="1" t="s">
        <v>1828</v>
      </c>
      <c r="I10212">
        <v>0</v>
      </c>
      <c r="J10212">
        <f>IF($H10212=0,1,IF($I10212&lt;=1,2,0))</f>
        <v>2</v>
      </c>
      <c r="K10212">
        <v>5</v>
      </c>
      <c r="L10212">
        <f>IF(AND($J10212=0,$K10212=0),0,1)</f>
        <v>1</v>
      </c>
    </row>
    <row r="10213" spans="1:12" x14ac:dyDescent="0.2">
      <c r="A10213" t="s">
        <v>646</v>
      </c>
      <c r="B10213" t="s">
        <v>17</v>
      </c>
      <c r="C10213" t="s">
        <v>11</v>
      </c>
      <c r="D10213">
        <v>9901</v>
      </c>
      <c r="E10213">
        <v>2019</v>
      </c>
      <c r="F10213">
        <v>22</v>
      </c>
      <c r="G10213">
        <v>54091</v>
      </c>
      <c r="H10213" s="1" t="s">
        <v>1828</v>
      </c>
      <c r="I10213">
        <v>0</v>
      </c>
      <c r="J10213">
        <f>IF($H10213=0,1,IF($I10213&lt;=1,2,0))</f>
        <v>2</v>
      </c>
      <c r="K10213">
        <v>5</v>
      </c>
      <c r="L10213">
        <f>IF(AND($J10213=0,$K10213=0),0,1)</f>
        <v>1</v>
      </c>
    </row>
    <row r="10214" spans="1:12" x14ac:dyDescent="0.2">
      <c r="A10214" t="s">
        <v>648</v>
      </c>
      <c r="B10214" t="s">
        <v>17</v>
      </c>
      <c r="C10214" t="s">
        <v>9</v>
      </c>
      <c r="D10214">
        <v>2101</v>
      </c>
      <c r="E10214">
        <v>2019</v>
      </c>
      <c r="F10214">
        <v>1</v>
      </c>
      <c r="G10214">
        <v>55403</v>
      </c>
      <c r="H10214" s="1">
        <v>4</v>
      </c>
      <c r="I10214">
        <v>1</v>
      </c>
      <c r="J10214">
        <f>IF($H10214=0,1,IF($I10214&lt;=1,2,0))</f>
        <v>2</v>
      </c>
      <c r="K10214">
        <v>0</v>
      </c>
      <c r="L10214">
        <f>IF(AND($J10214=0,$K10214=0),0,1)</f>
        <v>1</v>
      </c>
    </row>
    <row r="10215" spans="1:12" x14ac:dyDescent="0.2">
      <c r="A10215" t="s">
        <v>648</v>
      </c>
      <c r="B10215" t="s">
        <v>17</v>
      </c>
      <c r="C10215" t="s">
        <v>9</v>
      </c>
      <c r="D10215">
        <v>3999</v>
      </c>
      <c r="E10215">
        <v>2019</v>
      </c>
      <c r="F10215">
        <v>1</v>
      </c>
      <c r="G10215">
        <v>18886</v>
      </c>
      <c r="H10215" s="1">
        <v>2</v>
      </c>
      <c r="I10215">
        <v>1</v>
      </c>
      <c r="J10215">
        <f>IF($H10215=0,1,IF($I10215&lt;=1,2,0))</f>
        <v>2</v>
      </c>
      <c r="K10215">
        <v>9</v>
      </c>
      <c r="L10215">
        <f>IF(AND($J10215=0,$K10215=0),0,1)</f>
        <v>1</v>
      </c>
    </row>
    <row r="10216" spans="1:12" x14ac:dyDescent="0.2">
      <c r="A10216" t="s">
        <v>648</v>
      </c>
      <c r="B10216" t="s">
        <v>17</v>
      </c>
      <c r="C10216" t="s">
        <v>9</v>
      </c>
      <c r="D10216">
        <v>4002</v>
      </c>
      <c r="E10216">
        <v>2019</v>
      </c>
      <c r="F10216">
        <v>1</v>
      </c>
      <c r="G10216">
        <v>53905</v>
      </c>
      <c r="H10216" s="1">
        <v>3</v>
      </c>
      <c r="I10216">
        <v>0</v>
      </c>
      <c r="J10216">
        <f>IF($H10216=0,1,IF($I10216&lt;=1,2,0))</f>
        <v>2</v>
      </c>
      <c r="K10216">
        <v>0</v>
      </c>
      <c r="L10216">
        <f>IF(AND($J10216=0,$K10216=0),0,1)</f>
        <v>1</v>
      </c>
    </row>
    <row r="10217" spans="1:12" x14ac:dyDescent="0.2">
      <c r="A10217" t="s">
        <v>649</v>
      </c>
      <c r="B10217" t="s">
        <v>17</v>
      </c>
      <c r="C10217" t="s">
        <v>11</v>
      </c>
      <c r="D10217">
        <v>8040</v>
      </c>
      <c r="E10217">
        <v>2019</v>
      </c>
      <c r="F10217">
        <v>1</v>
      </c>
      <c r="G10217">
        <v>18835</v>
      </c>
      <c r="H10217" s="1" t="s">
        <v>1823</v>
      </c>
      <c r="I10217">
        <v>1</v>
      </c>
      <c r="J10217">
        <f>IF($H10217=0,1,IF($I10217&lt;=1,2,0))</f>
        <v>2</v>
      </c>
      <c r="K10217">
        <v>0</v>
      </c>
      <c r="L10217">
        <f>IF(AND($J10217=0,$K10217=0),0,1)</f>
        <v>1</v>
      </c>
    </row>
    <row r="10218" spans="1:12" x14ac:dyDescent="0.2">
      <c r="A10218" t="s">
        <v>657</v>
      </c>
      <c r="B10218" t="s">
        <v>6</v>
      </c>
      <c r="C10218" t="s">
        <v>11</v>
      </c>
      <c r="D10218">
        <v>4998</v>
      </c>
      <c r="E10218">
        <v>2019</v>
      </c>
      <c r="F10218">
        <v>3</v>
      </c>
      <c r="G10218">
        <v>18791</v>
      </c>
      <c r="H10218" s="1" t="s">
        <v>1823</v>
      </c>
      <c r="I10218">
        <v>1</v>
      </c>
      <c r="J10218">
        <f>IF($H10218=0,1,IF($I10218&lt;=1,2,0))</f>
        <v>2</v>
      </c>
      <c r="K10218">
        <v>9</v>
      </c>
      <c r="L10218">
        <f>IF(AND($J10218=0,$K10218=0),0,1)</f>
        <v>1</v>
      </c>
    </row>
    <row r="10219" spans="1:12" x14ac:dyDescent="0.2">
      <c r="A10219" t="s">
        <v>657</v>
      </c>
      <c r="B10219" t="s">
        <v>6</v>
      </c>
      <c r="C10219" t="s">
        <v>11</v>
      </c>
      <c r="D10219">
        <v>4998</v>
      </c>
      <c r="E10219">
        <v>2019</v>
      </c>
      <c r="F10219">
        <v>1</v>
      </c>
      <c r="G10219">
        <v>17767</v>
      </c>
      <c r="H10219" s="1" t="s">
        <v>1823</v>
      </c>
      <c r="I10219">
        <v>0</v>
      </c>
      <c r="J10219">
        <f>IF($H10219=0,1,IF($I10219&lt;=1,2,0))</f>
        <v>2</v>
      </c>
      <c r="K10219">
        <v>9</v>
      </c>
      <c r="L10219">
        <f>IF(AND($J10219=0,$K10219=0),0,1)</f>
        <v>1</v>
      </c>
    </row>
    <row r="10220" spans="1:12" x14ac:dyDescent="0.2">
      <c r="A10220" t="s">
        <v>657</v>
      </c>
      <c r="B10220" t="s">
        <v>6</v>
      </c>
      <c r="C10220" t="s">
        <v>11</v>
      </c>
      <c r="D10220">
        <v>4998</v>
      </c>
      <c r="E10220">
        <v>2019</v>
      </c>
      <c r="F10220">
        <v>2</v>
      </c>
      <c r="G10220">
        <v>18211</v>
      </c>
      <c r="H10220" s="1" t="s">
        <v>1823</v>
      </c>
      <c r="I10220">
        <v>0</v>
      </c>
      <c r="J10220">
        <f>IF($H10220=0,1,IF($I10220&lt;=1,2,0))</f>
        <v>2</v>
      </c>
      <c r="K10220">
        <v>9</v>
      </c>
      <c r="L10220">
        <f>IF(AND($J10220=0,$K10220=0),0,1)</f>
        <v>1</v>
      </c>
    </row>
    <row r="10221" spans="1:12" x14ac:dyDescent="0.2">
      <c r="A10221" t="s">
        <v>657</v>
      </c>
      <c r="B10221" t="s">
        <v>6</v>
      </c>
      <c r="C10221" t="s">
        <v>11</v>
      </c>
      <c r="D10221">
        <v>5999</v>
      </c>
      <c r="E10221">
        <v>2019</v>
      </c>
      <c r="F10221">
        <v>2</v>
      </c>
      <c r="G10221">
        <v>18912</v>
      </c>
      <c r="H10221" s="1" t="s">
        <v>1823</v>
      </c>
      <c r="I10221">
        <v>1</v>
      </c>
      <c r="J10221">
        <f>IF($H10221=0,1,IF($I10221&lt;=1,2,0))</f>
        <v>2</v>
      </c>
      <c r="K10221">
        <v>0</v>
      </c>
      <c r="L10221">
        <f>IF(AND($J10221=0,$K10221=0),0,1)</f>
        <v>1</v>
      </c>
    </row>
    <row r="10222" spans="1:12" x14ac:dyDescent="0.2">
      <c r="A10222" t="s">
        <v>657</v>
      </c>
      <c r="B10222" t="s">
        <v>6</v>
      </c>
      <c r="C10222" t="s">
        <v>11</v>
      </c>
      <c r="D10222">
        <v>5999</v>
      </c>
      <c r="E10222">
        <v>2019</v>
      </c>
      <c r="F10222">
        <v>1</v>
      </c>
      <c r="G10222">
        <v>14874</v>
      </c>
      <c r="H10222" s="1" t="s">
        <v>1823</v>
      </c>
      <c r="I10222">
        <v>0</v>
      </c>
      <c r="J10222">
        <f>IF($H10222=0,1,IF($I10222&lt;=1,2,0))</f>
        <v>2</v>
      </c>
      <c r="K10222">
        <v>0</v>
      </c>
      <c r="L10222">
        <f>IF(AND($J10222=0,$K10222=0),0,1)</f>
        <v>1</v>
      </c>
    </row>
    <row r="10223" spans="1:12" x14ac:dyDescent="0.2">
      <c r="A10223" t="s">
        <v>659</v>
      </c>
      <c r="B10223" t="s">
        <v>241</v>
      </c>
      <c r="C10223" t="s">
        <v>7</v>
      </c>
      <c r="D10223">
        <v>1100</v>
      </c>
      <c r="E10223">
        <v>2019</v>
      </c>
      <c r="F10223">
        <v>1</v>
      </c>
      <c r="G10223">
        <v>85474</v>
      </c>
      <c r="H10223" s="1">
        <v>0</v>
      </c>
      <c r="I10223">
        <v>22</v>
      </c>
      <c r="J10223">
        <f>IF($H10223=0,1,IF($I10223&lt;=1,2,0))</f>
        <v>1</v>
      </c>
      <c r="K10223">
        <v>0</v>
      </c>
      <c r="L10223">
        <f>IF(AND($J10223=0,$K10223=0),0,1)</f>
        <v>1</v>
      </c>
    </row>
    <row r="10224" spans="1:12" x14ac:dyDescent="0.2">
      <c r="A10224" t="s">
        <v>659</v>
      </c>
      <c r="B10224" t="s">
        <v>241</v>
      </c>
      <c r="C10224" t="s">
        <v>7</v>
      </c>
      <c r="D10224">
        <v>1100</v>
      </c>
      <c r="E10224">
        <v>2019</v>
      </c>
      <c r="F10224">
        <v>8</v>
      </c>
      <c r="G10224">
        <v>85481</v>
      </c>
      <c r="H10224" s="1">
        <v>0</v>
      </c>
      <c r="I10224">
        <v>22</v>
      </c>
      <c r="J10224">
        <f>IF($H10224=0,1,IF($I10224&lt;=1,2,0))</f>
        <v>1</v>
      </c>
      <c r="K10224">
        <v>0</v>
      </c>
      <c r="L10224">
        <f>IF(AND($J10224=0,$K10224=0),0,1)</f>
        <v>1</v>
      </c>
    </row>
    <row r="10225" spans="1:12" x14ac:dyDescent="0.2">
      <c r="A10225" t="s">
        <v>659</v>
      </c>
      <c r="B10225" t="s">
        <v>241</v>
      </c>
      <c r="C10225" t="s">
        <v>7</v>
      </c>
      <c r="D10225">
        <v>1100</v>
      </c>
      <c r="E10225">
        <v>2019</v>
      </c>
      <c r="F10225">
        <v>9</v>
      </c>
      <c r="G10225">
        <v>85482</v>
      </c>
      <c r="H10225" s="1">
        <v>0</v>
      </c>
      <c r="I10225">
        <v>22</v>
      </c>
      <c r="J10225">
        <f>IF($H10225=0,1,IF($I10225&lt;=1,2,0))</f>
        <v>1</v>
      </c>
      <c r="K10225">
        <v>0</v>
      </c>
      <c r="L10225">
        <f>IF(AND($J10225=0,$K10225=0),0,1)</f>
        <v>1</v>
      </c>
    </row>
    <row r="10226" spans="1:12" x14ac:dyDescent="0.2">
      <c r="A10226" t="s">
        <v>659</v>
      </c>
      <c r="B10226" t="s">
        <v>241</v>
      </c>
      <c r="C10226" t="s">
        <v>7</v>
      </c>
      <c r="D10226">
        <v>1100</v>
      </c>
      <c r="E10226">
        <v>2019</v>
      </c>
      <c r="F10226">
        <v>10</v>
      </c>
      <c r="G10226">
        <v>85483</v>
      </c>
      <c r="H10226" s="1">
        <v>0</v>
      </c>
      <c r="I10226">
        <v>22</v>
      </c>
      <c r="J10226">
        <f>IF($H10226=0,1,IF($I10226&lt;=1,2,0))</f>
        <v>1</v>
      </c>
      <c r="K10226">
        <v>0</v>
      </c>
      <c r="L10226">
        <f>IF(AND($J10226=0,$K10226=0),0,1)</f>
        <v>1</v>
      </c>
    </row>
    <row r="10227" spans="1:12" x14ac:dyDescent="0.2">
      <c r="A10227" t="s">
        <v>659</v>
      </c>
      <c r="B10227" t="s">
        <v>241</v>
      </c>
      <c r="C10227" t="s">
        <v>7</v>
      </c>
      <c r="D10227">
        <v>1100</v>
      </c>
      <c r="E10227">
        <v>2019</v>
      </c>
      <c r="F10227">
        <v>12</v>
      </c>
      <c r="G10227">
        <v>85485</v>
      </c>
      <c r="H10227" s="1">
        <v>0</v>
      </c>
      <c r="I10227">
        <v>22</v>
      </c>
      <c r="J10227">
        <f>IF($H10227=0,1,IF($I10227&lt;=1,2,0))</f>
        <v>1</v>
      </c>
      <c r="K10227">
        <v>0</v>
      </c>
      <c r="L10227">
        <f>IF(AND($J10227=0,$K10227=0),0,1)</f>
        <v>1</v>
      </c>
    </row>
    <row r="10228" spans="1:12" x14ac:dyDescent="0.2">
      <c r="A10228" t="s">
        <v>659</v>
      </c>
      <c r="B10228" t="s">
        <v>241</v>
      </c>
      <c r="C10228" t="s">
        <v>7</v>
      </c>
      <c r="D10228">
        <v>1100</v>
      </c>
      <c r="E10228">
        <v>2019</v>
      </c>
      <c r="F10228">
        <v>13</v>
      </c>
      <c r="G10228">
        <v>85486</v>
      </c>
      <c r="H10228" s="1">
        <v>0</v>
      </c>
      <c r="I10228">
        <v>22</v>
      </c>
      <c r="J10228">
        <f>IF($H10228=0,1,IF($I10228&lt;=1,2,0))</f>
        <v>1</v>
      </c>
      <c r="K10228">
        <v>0</v>
      </c>
      <c r="L10228">
        <f>IF(AND($J10228=0,$K10228=0),0,1)</f>
        <v>1</v>
      </c>
    </row>
    <row r="10229" spans="1:12" x14ac:dyDescent="0.2">
      <c r="A10229" t="s">
        <v>659</v>
      </c>
      <c r="B10229" t="s">
        <v>241</v>
      </c>
      <c r="C10229" t="s">
        <v>7</v>
      </c>
      <c r="D10229">
        <v>1100</v>
      </c>
      <c r="E10229">
        <v>2019</v>
      </c>
      <c r="F10229">
        <v>16</v>
      </c>
      <c r="G10229">
        <v>85489</v>
      </c>
      <c r="H10229" s="1">
        <v>0</v>
      </c>
      <c r="I10229">
        <v>22</v>
      </c>
      <c r="J10229">
        <f>IF($H10229=0,1,IF($I10229&lt;=1,2,0))</f>
        <v>1</v>
      </c>
      <c r="K10229">
        <v>0</v>
      </c>
      <c r="L10229">
        <f>IF(AND($J10229=0,$K10229=0),0,1)</f>
        <v>1</v>
      </c>
    </row>
    <row r="10230" spans="1:12" x14ac:dyDescent="0.2">
      <c r="A10230" t="s">
        <v>659</v>
      </c>
      <c r="B10230" t="s">
        <v>241</v>
      </c>
      <c r="C10230" t="s">
        <v>7</v>
      </c>
      <c r="D10230">
        <v>1100</v>
      </c>
      <c r="E10230">
        <v>2019</v>
      </c>
      <c r="F10230">
        <v>19</v>
      </c>
      <c r="G10230">
        <v>85492</v>
      </c>
      <c r="H10230" s="1">
        <v>0</v>
      </c>
      <c r="I10230">
        <v>22</v>
      </c>
      <c r="J10230">
        <f>IF($H10230=0,1,IF($I10230&lt;=1,2,0))</f>
        <v>1</v>
      </c>
      <c r="K10230">
        <v>0</v>
      </c>
      <c r="L10230">
        <f>IF(AND($J10230=0,$K10230=0),0,1)</f>
        <v>1</v>
      </c>
    </row>
    <row r="10231" spans="1:12" x14ac:dyDescent="0.2">
      <c r="A10231" t="s">
        <v>659</v>
      </c>
      <c r="B10231" t="s">
        <v>241</v>
      </c>
      <c r="C10231" t="s">
        <v>7</v>
      </c>
      <c r="D10231">
        <v>1100</v>
      </c>
      <c r="E10231">
        <v>2019</v>
      </c>
      <c r="F10231">
        <v>22</v>
      </c>
      <c r="G10231">
        <v>85495</v>
      </c>
      <c r="H10231" s="1">
        <v>0</v>
      </c>
      <c r="I10231">
        <v>22</v>
      </c>
      <c r="J10231">
        <f>IF($H10231=0,1,IF($I10231&lt;=1,2,0))</f>
        <v>1</v>
      </c>
      <c r="K10231">
        <v>0</v>
      </c>
      <c r="L10231">
        <f>IF(AND($J10231=0,$K10231=0),0,1)</f>
        <v>1</v>
      </c>
    </row>
    <row r="10232" spans="1:12" x14ac:dyDescent="0.2">
      <c r="A10232" t="s">
        <v>659</v>
      </c>
      <c r="B10232" t="s">
        <v>241</v>
      </c>
      <c r="C10232" t="s">
        <v>7</v>
      </c>
      <c r="D10232">
        <v>1100</v>
      </c>
      <c r="E10232">
        <v>2019</v>
      </c>
      <c r="F10232">
        <v>27</v>
      </c>
      <c r="G10232">
        <v>85499</v>
      </c>
      <c r="H10232" s="1">
        <v>0</v>
      </c>
      <c r="I10232">
        <v>22</v>
      </c>
      <c r="J10232">
        <f>IF($H10232=0,1,IF($I10232&lt;=1,2,0))</f>
        <v>1</v>
      </c>
      <c r="K10232">
        <v>0</v>
      </c>
      <c r="L10232">
        <f>IF(AND($J10232=0,$K10232=0),0,1)</f>
        <v>1</v>
      </c>
    </row>
    <row r="10233" spans="1:12" x14ac:dyDescent="0.2">
      <c r="A10233" t="s">
        <v>659</v>
      </c>
      <c r="B10233" t="s">
        <v>241</v>
      </c>
      <c r="C10233" t="s">
        <v>7</v>
      </c>
      <c r="D10233">
        <v>1100</v>
      </c>
      <c r="E10233">
        <v>2019</v>
      </c>
      <c r="F10233">
        <v>5</v>
      </c>
      <c r="G10233">
        <v>85478</v>
      </c>
      <c r="H10233" s="1">
        <v>0</v>
      </c>
      <c r="I10233">
        <v>21</v>
      </c>
      <c r="J10233">
        <f>IF($H10233=0,1,IF($I10233&lt;=1,2,0))</f>
        <v>1</v>
      </c>
      <c r="K10233">
        <v>0</v>
      </c>
      <c r="L10233">
        <f>IF(AND($J10233=0,$K10233=0),0,1)</f>
        <v>1</v>
      </c>
    </row>
    <row r="10234" spans="1:12" x14ac:dyDescent="0.2">
      <c r="A10234" t="s">
        <v>659</v>
      </c>
      <c r="B10234" t="s">
        <v>241</v>
      </c>
      <c r="C10234" t="s">
        <v>7</v>
      </c>
      <c r="D10234">
        <v>1100</v>
      </c>
      <c r="E10234">
        <v>2019</v>
      </c>
      <c r="F10234">
        <v>7</v>
      </c>
      <c r="G10234">
        <v>85480</v>
      </c>
      <c r="H10234" s="1">
        <v>0</v>
      </c>
      <c r="I10234">
        <v>21</v>
      </c>
      <c r="J10234">
        <f>IF($H10234=0,1,IF($I10234&lt;=1,2,0))</f>
        <v>1</v>
      </c>
      <c r="K10234">
        <v>0</v>
      </c>
      <c r="L10234">
        <f>IF(AND($J10234=0,$K10234=0),0,1)</f>
        <v>1</v>
      </c>
    </row>
    <row r="10235" spans="1:12" x14ac:dyDescent="0.2">
      <c r="A10235" t="s">
        <v>659</v>
      </c>
      <c r="B10235" t="s">
        <v>241</v>
      </c>
      <c r="C10235" t="s">
        <v>7</v>
      </c>
      <c r="D10235">
        <v>1100</v>
      </c>
      <c r="E10235">
        <v>2019</v>
      </c>
      <c r="F10235">
        <v>11</v>
      </c>
      <c r="G10235">
        <v>85484</v>
      </c>
      <c r="H10235" s="1">
        <v>0</v>
      </c>
      <c r="I10235">
        <v>21</v>
      </c>
      <c r="J10235">
        <f>IF($H10235=0,1,IF($I10235&lt;=1,2,0))</f>
        <v>1</v>
      </c>
      <c r="K10235">
        <v>0</v>
      </c>
      <c r="L10235">
        <f>IF(AND($J10235=0,$K10235=0),0,1)</f>
        <v>1</v>
      </c>
    </row>
    <row r="10236" spans="1:12" x14ac:dyDescent="0.2">
      <c r="A10236" t="s">
        <v>659</v>
      </c>
      <c r="B10236" t="s">
        <v>241</v>
      </c>
      <c r="C10236" t="s">
        <v>7</v>
      </c>
      <c r="D10236">
        <v>1100</v>
      </c>
      <c r="E10236">
        <v>2019</v>
      </c>
      <c r="F10236">
        <v>14</v>
      </c>
      <c r="G10236">
        <v>85487</v>
      </c>
      <c r="H10236" s="1">
        <v>0</v>
      </c>
      <c r="I10236">
        <v>21</v>
      </c>
      <c r="J10236">
        <f>IF($H10236=0,1,IF($I10236&lt;=1,2,0))</f>
        <v>1</v>
      </c>
      <c r="K10236">
        <v>0</v>
      </c>
      <c r="L10236">
        <f>IF(AND($J10236=0,$K10236=0),0,1)</f>
        <v>1</v>
      </c>
    </row>
    <row r="10237" spans="1:12" x14ac:dyDescent="0.2">
      <c r="A10237" t="s">
        <v>659</v>
      </c>
      <c r="B10237" t="s">
        <v>241</v>
      </c>
      <c r="C10237" t="s">
        <v>7</v>
      </c>
      <c r="D10237">
        <v>1100</v>
      </c>
      <c r="E10237">
        <v>2019</v>
      </c>
      <c r="F10237">
        <v>2</v>
      </c>
      <c r="G10237">
        <v>85475</v>
      </c>
      <c r="H10237" s="1">
        <v>0</v>
      </c>
      <c r="I10237">
        <v>20</v>
      </c>
      <c r="J10237">
        <f>IF($H10237=0,1,IF($I10237&lt;=1,2,0))</f>
        <v>1</v>
      </c>
      <c r="K10237">
        <v>0</v>
      </c>
      <c r="L10237">
        <f>IF(AND($J10237=0,$K10237=0),0,1)</f>
        <v>1</v>
      </c>
    </row>
    <row r="10238" spans="1:12" x14ac:dyDescent="0.2">
      <c r="A10238" t="s">
        <v>659</v>
      </c>
      <c r="B10238" t="s">
        <v>241</v>
      </c>
      <c r="C10238" t="s">
        <v>7</v>
      </c>
      <c r="D10238">
        <v>1100</v>
      </c>
      <c r="E10238">
        <v>2019</v>
      </c>
      <c r="F10238">
        <v>4</v>
      </c>
      <c r="G10238">
        <v>85477</v>
      </c>
      <c r="H10238" s="1">
        <v>0</v>
      </c>
      <c r="I10238">
        <v>20</v>
      </c>
      <c r="J10238">
        <f>IF($H10238=0,1,IF($I10238&lt;=1,2,0))</f>
        <v>1</v>
      </c>
      <c r="K10238">
        <v>0</v>
      </c>
      <c r="L10238">
        <f>IF(AND($J10238=0,$K10238=0),0,1)</f>
        <v>1</v>
      </c>
    </row>
    <row r="10239" spans="1:12" x14ac:dyDescent="0.2">
      <c r="A10239" t="s">
        <v>659</v>
      </c>
      <c r="B10239" t="s">
        <v>241</v>
      </c>
      <c r="C10239" t="s">
        <v>7</v>
      </c>
      <c r="D10239">
        <v>1100</v>
      </c>
      <c r="E10239">
        <v>2019</v>
      </c>
      <c r="F10239">
        <v>15</v>
      </c>
      <c r="G10239">
        <v>85488</v>
      </c>
      <c r="H10239" s="1">
        <v>0</v>
      </c>
      <c r="I10239">
        <v>20</v>
      </c>
      <c r="J10239">
        <f>IF($H10239=0,1,IF($I10239&lt;=1,2,0))</f>
        <v>1</v>
      </c>
      <c r="K10239">
        <v>0</v>
      </c>
      <c r="L10239">
        <f>IF(AND($J10239=0,$K10239=0),0,1)</f>
        <v>1</v>
      </c>
    </row>
    <row r="10240" spans="1:12" x14ac:dyDescent="0.2">
      <c r="A10240" t="s">
        <v>659</v>
      </c>
      <c r="B10240" t="s">
        <v>241</v>
      </c>
      <c r="C10240" t="s">
        <v>7</v>
      </c>
      <c r="D10240">
        <v>1100</v>
      </c>
      <c r="E10240">
        <v>2019</v>
      </c>
      <c r="F10240">
        <v>18</v>
      </c>
      <c r="G10240">
        <v>85491</v>
      </c>
      <c r="H10240" s="1">
        <v>0</v>
      </c>
      <c r="I10240">
        <v>20</v>
      </c>
      <c r="J10240">
        <f>IF($H10240=0,1,IF($I10240&lt;=1,2,0))</f>
        <v>1</v>
      </c>
      <c r="K10240">
        <v>0</v>
      </c>
      <c r="L10240">
        <f>IF(AND($J10240=0,$K10240=0),0,1)</f>
        <v>1</v>
      </c>
    </row>
    <row r="10241" spans="1:13" x14ac:dyDescent="0.2">
      <c r="A10241" t="s">
        <v>659</v>
      </c>
      <c r="B10241" t="s">
        <v>241</v>
      </c>
      <c r="C10241" t="s">
        <v>7</v>
      </c>
      <c r="D10241">
        <v>1100</v>
      </c>
      <c r="E10241">
        <v>2019</v>
      </c>
      <c r="F10241">
        <v>20</v>
      </c>
      <c r="G10241">
        <v>85493</v>
      </c>
      <c r="H10241" s="1">
        <v>0</v>
      </c>
      <c r="I10241">
        <v>20</v>
      </c>
      <c r="J10241">
        <f>IF($H10241=0,1,IF($I10241&lt;=1,2,0))</f>
        <v>1</v>
      </c>
      <c r="K10241">
        <v>0</v>
      </c>
      <c r="L10241">
        <f>IF(AND($J10241=0,$K10241=0),0,1)</f>
        <v>1</v>
      </c>
    </row>
    <row r="10242" spans="1:13" x14ac:dyDescent="0.2">
      <c r="A10242" t="s">
        <v>659</v>
      </c>
      <c r="B10242" t="s">
        <v>241</v>
      </c>
      <c r="C10242" t="s">
        <v>7</v>
      </c>
      <c r="D10242">
        <v>1100</v>
      </c>
      <c r="E10242">
        <v>2019</v>
      </c>
      <c r="F10242">
        <v>21</v>
      </c>
      <c r="G10242">
        <v>85494</v>
      </c>
      <c r="H10242" s="1">
        <v>0</v>
      </c>
      <c r="I10242">
        <v>19</v>
      </c>
      <c r="J10242">
        <f>IF($H10242=0,1,IF($I10242&lt;=1,2,0))</f>
        <v>1</v>
      </c>
      <c r="K10242">
        <v>0</v>
      </c>
      <c r="L10242">
        <f>IF(AND($J10242=0,$K10242=0),0,1)</f>
        <v>1</v>
      </c>
    </row>
    <row r="10243" spans="1:13" x14ac:dyDescent="0.2">
      <c r="A10243" t="s">
        <v>659</v>
      </c>
      <c r="B10243" t="s">
        <v>241</v>
      </c>
      <c r="C10243" t="s">
        <v>7</v>
      </c>
      <c r="D10243">
        <v>1100</v>
      </c>
      <c r="E10243">
        <v>2019</v>
      </c>
      <c r="F10243">
        <v>24</v>
      </c>
      <c r="G10243">
        <v>85496</v>
      </c>
      <c r="H10243" s="1">
        <v>0</v>
      </c>
      <c r="I10243">
        <v>19</v>
      </c>
      <c r="J10243">
        <f>IF($H10243=0,1,IF($I10243&lt;=1,2,0))</f>
        <v>1</v>
      </c>
      <c r="K10243">
        <v>0</v>
      </c>
      <c r="L10243">
        <f>IF(AND($J10243=0,$K10243=0),0,1)</f>
        <v>1</v>
      </c>
    </row>
    <row r="10244" spans="1:13" x14ac:dyDescent="0.2">
      <c r="A10244" t="s">
        <v>659</v>
      </c>
      <c r="B10244" t="s">
        <v>241</v>
      </c>
      <c r="C10244" t="s">
        <v>7</v>
      </c>
      <c r="D10244">
        <v>1100</v>
      </c>
      <c r="E10244">
        <v>2019</v>
      </c>
      <c r="F10244">
        <v>25</v>
      </c>
      <c r="G10244">
        <v>85497</v>
      </c>
      <c r="H10244" s="1">
        <v>0</v>
      </c>
      <c r="I10244">
        <v>18</v>
      </c>
      <c r="J10244">
        <f>IF($H10244=0,1,IF($I10244&lt;=1,2,0))</f>
        <v>1</v>
      </c>
      <c r="K10244">
        <v>0</v>
      </c>
      <c r="L10244">
        <f>IF(AND($J10244=0,$K10244=0),0,1)</f>
        <v>1</v>
      </c>
    </row>
    <row r="10245" spans="1:13" x14ac:dyDescent="0.2">
      <c r="A10245" t="s">
        <v>659</v>
      </c>
      <c r="B10245" t="s">
        <v>241</v>
      </c>
      <c r="C10245" t="s">
        <v>7</v>
      </c>
      <c r="D10245">
        <v>1100</v>
      </c>
      <c r="E10245">
        <v>2019</v>
      </c>
      <c r="F10245">
        <v>3</v>
      </c>
      <c r="G10245">
        <v>85476</v>
      </c>
      <c r="H10245" s="1">
        <v>0</v>
      </c>
      <c r="I10245">
        <v>17</v>
      </c>
      <c r="J10245">
        <f>IF($H10245=0,1,IF($I10245&lt;=1,2,0))</f>
        <v>1</v>
      </c>
      <c r="K10245">
        <v>0</v>
      </c>
      <c r="L10245">
        <f>IF(AND($J10245=0,$K10245=0),0,1)</f>
        <v>1</v>
      </c>
    </row>
    <row r="10246" spans="1:13" x14ac:dyDescent="0.2">
      <c r="A10246" t="s">
        <v>659</v>
      </c>
      <c r="B10246" t="s">
        <v>241</v>
      </c>
      <c r="C10246" t="s">
        <v>7</v>
      </c>
      <c r="D10246">
        <v>1100</v>
      </c>
      <c r="E10246">
        <v>2019</v>
      </c>
      <c r="F10246">
        <v>17</v>
      </c>
      <c r="G10246">
        <v>85490</v>
      </c>
      <c r="H10246" s="1">
        <v>0</v>
      </c>
      <c r="I10246">
        <v>17</v>
      </c>
      <c r="J10246">
        <f>IF($H10246=0,1,IF($I10246&lt;=1,2,0))</f>
        <v>1</v>
      </c>
      <c r="K10246">
        <v>0</v>
      </c>
      <c r="L10246">
        <f>IF(AND($J10246=0,$K10246=0),0,1)</f>
        <v>1</v>
      </c>
    </row>
    <row r="10247" spans="1:13" x14ac:dyDescent="0.2">
      <c r="A10247" t="s">
        <v>659</v>
      </c>
      <c r="B10247" t="s">
        <v>241</v>
      </c>
      <c r="C10247" t="s">
        <v>7</v>
      </c>
      <c r="D10247">
        <v>1100</v>
      </c>
      <c r="E10247">
        <v>2019</v>
      </c>
      <c r="F10247">
        <v>28</v>
      </c>
      <c r="G10247">
        <v>85500</v>
      </c>
      <c r="H10247" s="1">
        <v>0</v>
      </c>
      <c r="I10247">
        <v>15</v>
      </c>
      <c r="J10247">
        <f>IF($H10247=0,1,IF($I10247&lt;=1,2,0))</f>
        <v>1</v>
      </c>
      <c r="K10247">
        <v>0</v>
      </c>
      <c r="L10247">
        <f>IF(AND($J10247=0,$K10247=0),0,1)</f>
        <v>1</v>
      </c>
    </row>
    <row r="10248" spans="1:13" x14ac:dyDescent="0.2">
      <c r="A10248" t="s">
        <v>659</v>
      </c>
      <c r="B10248" t="s">
        <v>241</v>
      </c>
      <c r="C10248" t="s">
        <v>7</v>
      </c>
      <c r="D10248">
        <v>1100</v>
      </c>
      <c r="E10248">
        <v>2019</v>
      </c>
      <c r="F10248">
        <v>6</v>
      </c>
      <c r="G10248">
        <v>85479</v>
      </c>
      <c r="H10248" s="1">
        <v>0</v>
      </c>
      <c r="I10248">
        <v>13</v>
      </c>
      <c r="J10248">
        <f>IF($H10248=0,1,IF($I10248&lt;=1,2,0))</f>
        <v>1</v>
      </c>
      <c r="K10248">
        <v>0</v>
      </c>
      <c r="L10248">
        <f>IF(AND($J10248=0,$K10248=0),0,1)</f>
        <v>1</v>
      </c>
    </row>
    <row r="10249" spans="1:13" x14ac:dyDescent="0.2">
      <c r="A10249" t="s">
        <v>659</v>
      </c>
      <c r="B10249" t="s">
        <v>241</v>
      </c>
      <c r="C10249" t="s">
        <v>7</v>
      </c>
      <c r="D10249">
        <v>1100</v>
      </c>
      <c r="E10249">
        <v>2019</v>
      </c>
      <c r="F10249">
        <v>26</v>
      </c>
      <c r="G10249">
        <v>85498</v>
      </c>
      <c r="H10249" s="1">
        <v>0</v>
      </c>
      <c r="I10249">
        <v>11</v>
      </c>
      <c r="J10249">
        <f>IF($H10249=0,1,IF($I10249&lt;=1,2,0))</f>
        <v>1</v>
      </c>
      <c r="K10249">
        <v>0</v>
      </c>
      <c r="L10249">
        <f>IF(AND($J10249=0,$K10249=0),0,1)</f>
        <v>1</v>
      </c>
    </row>
    <row r="10250" spans="1:13" x14ac:dyDescent="0.2">
      <c r="A10250" t="s">
        <v>660</v>
      </c>
      <c r="B10250" t="s">
        <v>1</v>
      </c>
      <c r="C10250" t="s">
        <v>2</v>
      </c>
      <c r="D10250">
        <v>3336</v>
      </c>
      <c r="E10250">
        <v>2019</v>
      </c>
      <c r="F10250">
        <v>1</v>
      </c>
      <c r="G10250">
        <v>9480</v>
      </c>
      <c r="H10250" s="1">
        <v>4</v>
      </c>
      <c r="I10250">
        <v>8</v>
      </c>
      <c r="J10250">
        <f>IF($H10250=0,1,IF($I10250&lt;=1,2,0))</f>
        <v>0</v>
      </c>
      <c r="K10250">
        <v>7</v>
      </c>
      <c r="L10250">
        <f>IF(AND($J10250=0,$K10250=0),0,1)</f>
        <v>1</v>
      </c>
    </row>
    <row r="10251" spans="1:13" x14ac:dyDescent="0.2">
      <c r="A10251" t="s">
        <v>661</v>
      </c>
      <c r="B10251" t="s">
        <v>6</v>
      </c>
      <c r="C10251" t="s">
        <v>9</v>
      </c>
      <c r="D10251">
        <v>3998</v>
      </c>
      <c r="E10251">
        <v>2019</v>
      </c>
      <c r="F10251">
        <v>1</v>
      </c>
      <c r="G10251">
        <v>60943</v>
      </c>
      <c r="H10251" s="1" t="s">
        <v>1827</v>
      </c>
      <c r="I10251">
        <v>8</v>
      </c>
      <c r="J10251">
        <f>IF($H10251=0,1,IF($I10251&lt;=1,2,0))</f>
        <v>0</v>
      </c>
      <c r="K10251">
        <v>9</v>
      </c>
      <c r="L10251">
        <f>IF(AND($J10251=0,$K10251=0),0,1)</f>
        <v>1</v>
      </c>
      <c r="M10251" t="s">
        <v>665</v>
      </c>
    </row>
    <row r="10252" spans="1:13" x14ac:dyDescent="0.2">
      <c r="A10252" t="s">
        <v>661</v>
      </c>
      <c r="B10252" t="s">
        <v>381</v>
      </c>
      <c r="C10252" t="s">
        <v>382</v>
      </c>
      <c r="D10252">
        <v>6240</v>
      </c>
      <c r="E10252">
        <v>2019</v>
      </c>
      <c r="F10252">
        <v>1</v>
      </c>
      <c r="G10252">
        <v>14394</v>
      </c>
      <c r="H10252" s="1">
        <v>3</v>
      </c>
      <c r="I10252">
        <v>10</v>
      </c>
      <c r="J10252">
        <f>IF($H10252=0,1,IF($I10252&lt;=1,2,0))</f>
        <v>0</v>
      </c>
      <c r="K10252">
        <v>6</v>
      </c>
      <c r="L10252">
        <f>IF(AND($J10252=0,$K10252=0),0,1)</f>
        <v>1</v>
      </c>
    </row>
    <row r="10253" spans="1:13" x14ac:dyDescent="0.2">
      <c r="A10253" t="s">
        <v>661</v>
      </c>
      <c r="B10253" t="s">
        <v>381</v>
      </c>
      <c r="C10253" t="s">
        <v>382</v>
      </c>
      <c r="D10253">
        <v>6240</v>
      </c>
      <c r="E10253">
        <v>2019</v>
      </c>
      <c r="F10253" t="s">
        <v>59</v>
      </c>
      <c r="G10253">
        <v>14395</v>
      </c>
      <c r="H10253" s="1">
        <v>0</v>
      </c>
      <c r="I10253">
        <v>0</v>
      </c>
      <c r="J10253">
        <f>IF($H10253=0,1,IF($I10253&lt;=1,2,0))</f>
        <v>1</v>
      </c>
      <c r="K10253">
        <v>6</v>
      </c>
      <c r="L10253">
        <f>IF(AND($J10253=0,$K10253=0),0,1)</f>
        <v>1</v>
      </c>
      <c r="M10253" t="s">
        <v>384</v>
      </c>
    </row>
    <row r="10254" spans="1:13" x14ac:dyDescent="0.2">
      <c r="A10254" t="s">
        <v>661</v>
      </c>
      <c r="B10254" t="s">
        <v>381</v>
      </c>
      <c r="C10254" t="s">
        <v>382</v>
      </c>
      <c r="D10254">
        <v>6240</v>
      </c>
      <c r="E10254">
        <v>2019</v>
      </c>
      <c r="F10254" t="s">
        <v>60</v>
      </c>
      <c r="G10254">
        <v>14396</v>
      </c>
      <c r="H10254" s="1">
        <v>0</v>
      </c>
      <c r="I10254">
        <v>0</v>
      </c>
      <c r="J10254">
        <f>IF($H10254=0,1,IF($I10254&lt;=1,2,0))</f>
        <v>1</v>
      </c>
      <c r="K10254">
        <v>6</v>
      </c>
      <c r="L10254">
        <f>IF(AND($J10254=0,$K10254=0),0,1)</f>
        <v>1</v>
      </c>
      <c r="M10254" t="s">
        <v>384</v>
      </c>
    </row>
    <row r="10255" spans="1:13" x14ac:dyDescent="0.2">
      <c r="A10255" t="s">
        <v>661</v>
      </c>
      <c r="B10255" t="s">
        <v>381</v>
      </c>
      <c r="C10255" t="s">
        <v>382</v>
      </c>
      <c r="D10255">
        <v>6260</v>
      </c>
      <c r="E10255">
        <v>2019</v>
      </c>
      <c r="F10255">
        <v>1</v>
      </c>
      <c r="G10255">
        <v>14397</v>
      </c>
      <c r="H10255" s="1">
        <v>3</v>
      </c>
      <c r="I10255">
        <v>5</v>
      </c>
      <c r="J10255">
        <f>IF($H10255=0,1,IF($I10255&lt;=1,2,0))</f>
        <v>0</v>
      </c>
      <c r="K10255">
        <v>6</v>
      </c>
      <c r="L10255">
        <f>IF(AND($J10255=0,$K10255=0),0,1)</f>
        <v>1</v>
      </c>
    </row>
    <row r="10256" spans="1:13" x14ac:dyDescent="0.2">
      <c r="A10256" t="s">
        <v>661</v>
      </c>
      <c r="B10256" t="s">
        <v>381</v>
      </c>
      <c r="C10256" t="s">
        <v>382</v>
      </c>
      <c r="D10256">
        <v>9200</v>
      </c>
      <c r="E10256">
        <v>2019</v>
      </c>
      <c r="F10256">
        <v>1</v>
      </c>
      <c r="G10256">
        <v>14401</v>
      </c>
      <c r="H10256" s="1">
        <v>1.5</v>
      </c>
      <c r="I10256">
        <v>19</v>
      </c>
      <c r="J10256">
        <f>IF($H10256=0,1,IF($I10256&lt;=1,2,0))</f>
        <v>0</v>
      </c>
      <c r="K10256">
        <v>5</v>
      </c>
      <c r="L10256">
        <f>IF(AND($J10256=0,$K10256=0),0,1)</f>
        <v>1</v>
      </c>
    </row>
    <row r="10257" spans="1:13" x14ac:dyDescent="0.2">
      <c r="A10257" t="s">
        <v>661</v>
      </c>
      <c r="B10257" t="s">
        <v>381</v>
      </c>
      <c r="C10257" t="s">
        <v>382</v>
      </c>
      <c r="D10257">
        <v>9200</v>
      </c>
      <c r="E10257">
        <v>2019</v>
      </c>
      <c r="F10257" t="s">
        <v>59</v>
      </c>
      <c r="G10257">
        <v>14402</v>
      </c>
      <c r="H10257" s="1">
        <v>0</v>
      </c>
      <c r="I10257">
        <v>0</v>
      </c>
      <c r="J10257">
        <f>IF($H10257=0,1,IF($I10257&lt;=1,2,0))</f>
        <v>1</v>
      </c>
      <c r="K10257">
        <v>5</v>
      </c>
      <c r="L10257">
        <f>IF(AND($J10257=0,$K10257=0),0,1)</f>
        <v>1</v>
      </c>
    </row>
    <row r="10258" spans="1:13" x14ac:dyDescent="0.2">
      <c r="A10258" t="s">
        <v>666</v>
      </c>
      <c r="B10258" t="s">
        <v>17</v>
      </c>
      <c r="C10258" t="s">
        <v>9</v>
      </c>
      <c r="D10258">
        <v>1101</v>
      </c>
      <c r="E10258">
        <v>2019</v>
      </c>
      <c r="F10258">
        <v>1</v>
      </c>
      <c r="G10258">
        <v>55396</v>
      </c>
      <c r="H10258" s="1">
        <v>4</v>
      </c>
      <c r="I10258">
        <v>1</v>
      </c>
      <c r="J10258">
        <f>IF($H10258=0,1,IF($I10258&lt;=1,2,0))</f>
        <v>2</v>
      </c>
      <c r="K10258">
        <v>0</v>
      </c>
      <c r="L10258">
        <f>IF(AND($J10258=0,$K10258=0),0,1)</f>
        <v>1</v>
      </c>
      <c r="M10258" t="s">
        <v>181</v>
      </c>
    </row>
    <row r="10259" spans="1:13" x14ac:dyDescent="0.2">
      <c r="A10259" t="s">
        <v>666</v>
      </c>
      <c r="B10259" t="s">
        <v>17</v>
      </c>
      <c r="C10259" t="s">
        <v>9</v>
      </c>
      <c r="D10259">
        <v>2101</v>
      </c>
      <c r="E10259">
        <v>2019</v>
      </c>
      <c r="F10259">
        <v>1</v>
      </c>
      <c r="G10259">
        <v>55407</v>
      </c>
      <c r="H10259" s="1">
        <v>4</v>
      </c>
      <c r="I10259">
        <v>0</v>
      </c>
      <c r="J10259">
        <f>IF($H10259=0,1,IF($I10259&lt;=1,2,0))</f>
        <v>2</v>
      </c>
      <c r="K10259">
        <v>0</v>
      </c>
      <c r="L10259">
        <f>IF(AND($J10259=0,$K10259=0),0,1)</f>
        <v>1</v>
      </c>
      <c r="M10259" t="s">
        <v>181</v>
      </c>
    </row>
    <row r="10260" spans="1:13" x14ac:dyDescent="0.2">
      <c r="A10260" t="s">
        <v>666</v>
      </c>
      <c r="B10260" t="s">
        <v>17</v>
      </c>
      <c r="C10260" t="s">
        <v>9</v>
      </c>
      <c r="D10260">
        <v>3998</v>
      </c>
      <c r="E10260">
        <v>2019</v>
      </c>
      <c r="F10260">
        <v>1</v>
      </c>
      <c r="G10260">
        <v>18872</v>
      </c>
      <c r="H10260" s="1">
        <v>4</v>
      </c>
      <c r="I10260">
        <v>1</v>
      </c>
      <c r="J10260">
        <f>IF($H10260=0,1,IF($I10260&lt;=1,2,0))</f>
        <v>2</v>
      </c>
      <c r="K10260">
        <v>9</v>
      </c>
      <c r="L10260">
        <f>IF(AND($J10260=0,$K10260=0),0,1)</f>
        <v>1</v>
      </c>
    </row>
    <row r="10261" spans="1:13" x14ac:dyDescent="0.2">
      <c r="A10261" t="s">
        <v>668</v>
      </c>
      <c r="B10261" t="s">
        <v>17</v>
      </c>
      <c r="C10261" t="s">
        <v>11</v>
      </c>
      <c r="D10261">
        <v>9001</v>
      </c>
      <c r="E10261">
        <v>2019</v>
      </c>
      <c r="F10261">
        <v>2</v>
      </c>
      <c r="G10261">
        <v>53938</v>
      </c>
      <c r="H10261" s="1">
        <v>2</v>
      </c>
      <c r="I10261">
        <v>2</v>
      </c>
      <c r="J10261">
        <f>IF($H10261=0,1,IF($I10261&lt;=1,2,0))</f>
        <v>0</v>
      </c>
      <c r="K10261">
        <v>5</v>
      </c>
      <c r="L10261">
        <f>IF(AND($J10261=0,$K10261=0),0,1)</f>
        <v>1</v>
      </c>
    </row>
    <row r="10262" spans="1:13" x14ac:dyDescent="0.2">
      <c r="A10262" t="s">
        <v>669</v>
      </c>
      <c r="B10262" t="s">
        <v>386</v>
      </c>
      <c r="C10262" t="s">
        <v>407</v>
      </c>
      <c r="D10262">
        <v>5800</v>
      </c>
      <c r="E10262">
        <v>2019</v>
      </c>
      <c r="F10262">
        <v>1</v>
      </c>
      <c r="G10262">
        <v>98904</v>
      </c>
      <c r="H10262" s="1">
        <v>0</v>
      </c>
      <c r="I10262">
        <v>3</v>
      </c>
      <c r="J10262">
        <f>IF($H10262=0,1,IF($I10262&lt;=1,2,0))</f>
        <v>1</v>
      </c>
      <c r="K10262">
        <v>0</v>
      </c>
      <c r="L10262">
        <f>IF(AND($J10262=0,$K10262=0),0,1)</f>
        <v>1</v>
      </c>
      <c r="M10262" t="s">
        <v>670</v>
      </c>
    </row>
    <row r="10263" spans="1:13" x14ac:dyDescent="0.2">
      <c r="A10263" t="s">
        <v>669</v>
      </c>
      <c r="B10263" t="s">
        <v>386</v>
      </c>
      <c r="C10263" t="s">
        <v>407</v>
      </c>
      <c r="D10263">
        <v>5830</v>
      </c>
      <c r="E10263">
        <v>2019</v>
      </c>
      <c r="F10263">
        <v>1</v>
      </c>
      <c r="G10263">
        <v>98894</v>
      </c>
      <c r="H10263" s="1">
        <v>3</v>
      </c>
      <c r="I10263">
        <v>3</v>
      </c>
      <c r="J10263">
        <f>IF($H10263=0,1,IF($I10263&lt;=1,2,0))</f>
        <v>0</v>
      </c>
      <c r="K10263">
        <v>4</v>
      </c>
      <c r="L10263">
        <f>IF(AND($J10263=0,$K10263=0),0,1)</f>
        <v>1</v>
      </c>
      <c r="M10263" t="s">
        <v>670</v>
      </c>
    </row>
    <row r="10264" spans="1:13" x14ac:dyDescent="0.2">
      <c r="A10264" t="s">
        <v>669</v>
      </c>
      <c r="B10264" t="s">
        <v>386</v>
      </c>
      <c r="C10264" t="s">
        <v>407</v>
      </c>
      <c r="D10264">
        <v>5840</v>
      </c>
      <c r="E10264">
        <v>2019</v>
      </c>
      <c r="F10264">
        <v>1</v>
      </c>
      <c r="G10264">
        <v>98844</v>
      </c>
      <c r="H10264" s="1">
        <v>3</v>
      </c>
      <c r="I10264">
        <v>3</v>
      </c>
      <c r="J10264">
        <f>IF($H10264=0,1,IF($I10264&lt;=1,2,0))</f>
        <v>0</v>
      </c>
      <c r="K10264">
        <v>4</v>
      </c>
      <c r="L10264">
        <f>IF(AND($J10264=0,$K10264=0),0,1)</f>
        <v>1</v>
      </c>
      <c r="M10264" t="s">
        <v>670</v>
      </c>
    </row>
    <row r="10265" spans="1:13" x14ac:dyDescent="0.2">
      <c r="A10265" t="s">
        <v>669</v>
      </c>
      <c r="B10265" t="s">
        <v>386</v>
      </c>
      <c r="C10265" t="s">
        <v>407</v>
      </c>
      <c r="D10265">
        <v>5850</v>
      </c>
      <c r="E10265">
        <v>2019</v>
      </c>
      <c r="F10265">
        <v>1</v>
      </c>
      <c r="G10265">
        <v>19245</v>
      </c>
      <c r="H10265" s="1">
        <v>3</v>
      </c>
      <c r="I10265">
        <v>2</v>
      </c>
      <c r="J10265">
        <f>IF($H10265=0,1,IF($I10265&lt;=1,2,0))</f>
        <v>0</v>
      </c>
      <c r="K10265">
        <v>4</v>
      </c>
      <c r="L10265">
        <f>IF(AND($J10265=0,$K10265=0),0,1)</f>
        <v>1</v>
      </c>
      <c r="M10265" t="s">
        <v>671</v>
      </c>
    </row>
    <row r="10266" spans="1:13" x14ac:dyDescent="0.2">
      <c r="A10266" t="s">
        <v>669</v>
      </c>
      <c r="B10266" t="s">
        <v>386</v>
      </c>
      <c r="C10266" t="s">
        <v>407</v>
      </c>
      <c r="D10266">
        <v>5932</v>
      </c>
      <c r="E10266">
        <v>2019</v>
      </c>
      <c r="F10266">
        <v>1</v>
      </c>
      <c r="G10266">
        <v>98903</v>
      </c>
      <c r="H10266" s="1" t="s">
        <v>1828</v>
      </c>
      <c r="I10266">
        <v>0</v>
      </c>
      <c r="J10266">
        <f>IF($H10266=0,1,IF($I10266&lt;=1,2,0))</f>
        <v>2</v>
      </c>
      <c r="K10266">
        <v>0</v>
      </c>
      <c r="L10266">
        <f>IF(AND($J10266=0,$K10266=0),0,1)</f>
        <v>1</v>
      </c>
      <c r="M10266" t="s">
        <v>670</v>
      </c>
    </row>
    <row r="10267" spans="1:13" x14ac:dyDescent="0.2">
      <c r="A10267" t="s">
        <v>669</v>
      </c>
      <c r="B10267" t="s">
        <v>386</v>
      </c>
      <c r="C10267" t="s">
        <v>407</v>
      </c>
      <c r="D10267">
        <v>6812</v>
      </c>
      <c r="E10267">
        <v>2019</v>
      </c>
      <c r="F10267">
        <v>1</v>
      </c>
      <c r="G10267">
        <v>98843</v>
      </c>
      <c r="H10267" s="1">
        <v>0</v>
      </c>
      <c r="I10267">
        <v>3</v>
      </c>
      <c r="J10267">
        <f>IF($H10267=0,1,IF($I10267&lt;=1,2,0))</f>
        <v>1</v>
      </c>
      <c r="K10267">
        <v>0</v>
      </c>
      <c r="L10267">
        <f>IF(AND($J10267=0,$K10267=0),0,1)</f>
        <v>1</v>
      </c>
    </row>
    <row r="10268" spans="1:13" x14ac:dyDescent="0.2">
      <c r="A10268" t="s">
        <v>669</v>
      </c>
      <c r="B10268" t="s">
        <v>386</v>
      </c>
      <c r="C10268" t="s">
        <v>407</v>
      </c>
      <c r="D10268">
        <v>6832</v>
      </c>
      <c r="E10268">
        <v>2019</v>
      </c>
      <c r="F10268">
        <v>1</v>
      </c>
      <c r="G10268">
        <v>98896</v>
      </c>
      <c r="H10268" s="1">
        <v>3</v>
      </c>
      <c r="I10268">
        <v>4</v>
      </c>
      <c r="J10268">
        <f>IF($H10268=0,1,IF($I10268&lt;=1,2,0))</f>
        <v>0</v>
      </c>
      <c r="K10268">
        <v>4</v>
      </c>
      <c r="L10268">
        <f>IF(AND($J10268=0,$K10268=0),0,1)</f>
        <v>1</v>
      </c>
      <c r="M10268" t="s">
        <v>670</v>
      </c>
    </row>
    <row r="10269" spans="1:13" x14ac:dyDescent="0.2">
      <c r="A10269" t="s">
        <v>669</v>
      </c>
      <c r="B10269" t="s">
        <v>386</v>
      </c>
      <c r="C10269" t="s">
        <v>407</v>
      </c>
      <c r="D10269">
        <v>6842</v>
      </c>
      <c r="E10269">
        <v>2019</v>
      </c>
      <c r="F10269">
        <v>1</v>
      </c>
      <c r="G10269">
        <v>98893</v>
      </c>
      <c r="H10269" s="1">
        <v>3</v>
      </c>
      <c r="I10269">
        <v>4</v>
      </c>
      <c r="J10269">
        <f>IF($H10269=0,1,IF($I10269&lt;=1,2,0))</f>
        <v>0</v>
      </c>
      <c r="K10269">
        <v>4</v>
      </c>
      <c r="L10269">
        <f>IF(AND($J10269=0,$K10269=0),0,1)</f>
        <v>1</v>
      </c>
      <c r="M10269" t="s">
        <v>670</v>
      </c>
    </row>
    <row r="10270" spans="1:13" x14ac:dyDescent="0.2">
      <c r="A10270" t="s">
        <v>669</v>
      </c>
      <c r="B10270" t="s">
        <v>386</v>
      </c>
      <c r="C10270" t="s">
        <v>407</v>
      </c>
      <c r="D10270">
        <v>6852</v>
      </c>
      <c r="E10270">
        <v>2019</v>
      </c>
      <c r="F10270">
        <v>1</v>
      </c>
      <c r="G10270">
        <v>19246</v>
      </c>
      <c r="H10270" s="1">
        <v>3</v>
      </c>
      <c r="I10270">
        <v>3</v>
      </c>
      <c r="J10270">
        <f>IF($H10270=0,1,IF($I10270&lt;=1,2,0))</f>
        <v>0</v>
      </c>
      <c r="K10270">
        <v>4</v>
      </c>
      <c r="L10270">
        <f>IF(AND($J10270=0,$K10270=0),0,1)</f>
        <v>1</v>
      </c>
      <c r="M10270" t="s">
        <v>671</v>
      </c>
    </row>
    <row r="10271" spans="1:13" x14ac:dyDescent="0.2">
      <c r="A10271" t="s">
        <v>672</v>
      </c>
      <c r="B10271" t="s">
        <v>6</v>
      </c>
      <c r="C10271" t="s">
        <v>9</v>
      </c>
      <c r="D10271">
        <v>1100</v>
      </c>
      <c r="E10271">
        <v>2019</v>
      </c>
      <c r="F10271">
        <v>9</v>
      </c>
      <c r="G10271">
        <v>18735</v>
      </c>
      <c r="H10271" s="1">
        <v>0</v>
      </c>
      <c r="I10271">
        <v>31</v>
      </c>
      <c r="J10271">
        <f>IF($H10271=0,1,IF($I10271&lt;=1,2,0))</f>
        <v>1</v>
      </c>
      <c r="K10271">
        <v>0</v>
      </c>
      <c r="L10271">
        <f>IF(AND($J10271=0,$K10271=0),0,1)</f>
        <v>1</v>
      </c>
    </row>
    <row r="10272" spans="1:13" x14ac:dyDescent="0.2">
      <c r="A10272" t="s">
        <v>672</v>
      </c>
      <c r="B10272" t="s">
        <v>6</v>
      </c>
      <c r="C10272" t="s">
        <v>9</v>
      </c>
      <c r="D10272">
        <v>1100</v>
      </c>
      <c r="E10272">
        <v>2019</v>
      </c>
      <c r="F10272">
        <v>1</v>
      </c>
      <c r="G10272">
        <v>42218</v>
      </c>
      <c r="H10272" s="1">
        <v>0</v>
      </c>
      <c r="I10272">
        <v>29</v>
      </c>
      <c r="J10272">
        <f>IF($H10272=0,1,IF($I10272&lt;=1,2,0))</f>
        <v>1</v>
      </c>
      <c r="K10272">
        <v>0</v>
      </c>
      <c r="L10272">
        <f>IF(AND($J10272=0,$K10272=0),0,1)</f>
        <v>1</v>
      </c>
    </row>
    <row r="10273" spans="1:13" x14ac:dyDescent="0.2">
      <c r="A10273" t="s">
        <v>672</v>
      </c>
      <c r="B10273" t="s">
        <v>6</v>
      </c>
      <c r="C10273" t="s">
        <v>9</v>
      </c>
      <c r="D10273">
        <v>1100</v>
      </c>
      <c r="E10273">
        <v>2019</v>
      </c>
      <c r="F10273">
        <v>2</v>
      </c>
      <c r="G10273">
        <v>42219</v>
      </c>
      <c r="H10273" s="1">
        <v>0</v>
      </c>
      <c r="I10273">
        <v>29</v>
      </c>
      <c r="J10273">
        <f>IF($H10273=0,1,IF($I10273&lt;=1,2,0))</f>
        <v>1</v>
      </c>
      <c r="K10273">
        <v>0</v>
      </c>
      <c r="L10273">
        <f>IF(AND($J10273=0,$K10273=0),0,1)</f>
        <v>1</v>
      </c>
    </row>
    <row r="10274" spans="1:13" x14ac:dyDescent="0.2">
      <c r="A10274" t="s">
        <v>672</v>
      </c>
      <c r="B10274" t="s">
        <v>6</v>
      </c>
      <c r="C10274" t="s">
        <v>9</v>
      </c>
      <c r="D10274">
        <v>1100</v>
      </c>
      <c r="E10274">
        <v>2019</v>
      </c>
      <c r="F10274">
        <v>5</v>
      </c>
      <c r="G10274">
        <v>42222</v>
      </c>
      <c r="H10274" s="1">
        <v>0</v>
      </c>
      <c r="I10274">
        <v>29</v>
      </c>
      <c r="J10274">
        <f>IF($H10274=0,1,IF($I10274&lt;=1,2,0))</f>
        <v>1</v>
      </c>
      <c r="K10274">
        <v>0</v>
      </c>
      <c r="L10274">
        <f>IF(AND($J10274=0,$K10274=0),0,1)</f>
        <v>1</v>
      </c>
    </row>
    <row r="10275" spans="1:13" x14ac:dyDescent="0.2">
      <c r="A10275" t="s">
        <v>672</v>
      </c>
      <c r="B10275" t="s">
        <v>6</v>
      </c>
      <c r="C10275" t="s">
        <v>9</v>
      </c>
      <c r="D10275">
        <v>1100</v>
      </c>
      <c r="E10275">
        <v>2019</v>
      </c>
      <c r="F10275">
        <v>3</v>
      </c>
      <c r="G10275">
        <v>42220</v>
      </c>
      <c r="H10275" s="1">
        <v>0</v>
      </c>
      <c r="I10275">
        <v>27</v>
      </c>
      <c r="J10275">
        <f>IF($H10275=0,1,IF($I10275&lt;=1,2,0))</f>
        <v>1</v>
      </c>
      <c r="K10275">
        <v>0</v>
      </c>
      <c r="L10275">
        <f>IF(AND($J10275=0,$K10275=0),0,1)</f>
        <v>1</v>
      </c>
    </row>
    <row r="10276" spans="1:13" x14ac:dyDescent="0.2">
      <c r="A10276" t="s">
        <v>672</v>
      </c>
      <c r="B10276" t="s">
        <v>6</v>
      </c>
      <c r="C10276" t="s">
        <v>9</v>
      </c>
      <c r="D10276">
        <v>1100</v>
      </c>
      <c r="E10276">
        <v>2019</v>
      </c>
      <c r="F10276">
        <v>4</v>
      </c>
      <c r="G10276">
        <v>42221</v>
      </c>
      <c r="H10276" s="1">
        <v>0</v>
      </c>
      <c r="I10276">
        <v>27</v>
      </c>
      <c r="J10276">
        <f>IF($H10276=0,1,IF($I10276&lt;=1,2,0))</f>
        <v>1</v>
      </c>
      <c r="K10276">
        <v>0</v>
      </c>
      <c r="L10276">
        <f>IF(AND($J10276=0,$K10276=0),0,1)</f>
        <v>1</v>
      </c>
    </row>
    <row r="10277" spans="1:13" x14ac:dyDescent="0.2">
      <c r="A10277" t="s">
        <v>672</v>
      </c>
      <c r="B10277" t="s">
        <v>6</v>
      </c>
      <c r="C10277" t="s">
        <v>9</v>
      </c>
      <c r="D10277">
        <v>1100</v>
      </c>
      <c r="E10277">
        <v>2019</v>
      </c>
      <c r="F10277">
        <v>6</v>
      </c>
      <c r="G10277">
        <v>42223</v>
      </c>
      <c r="H10277" s="1">
        <v>0</v>
      </c>
      <c r="I10277">
        <v>27</v>
      </c>
      <c r="J10277">
        <f>IF($H10277=0,1,IF($I10277&lt;=1,2,0))</f>
        <v>1</v>
      </c>
      <c r="K10277">
        <v>0</v>
      </c>
      <c r="L10277">
        <f>IF(AND($J10277=0,$K10277=0),0,1)</f>
        <v>1</v>
      </c>
    </row>
    <row r="10278" spans="1:13" x14ac:dyDescent="0.2">
      <c r="A10278" t="s">
        <v>672</v>
      </c>
      <c r="B10278" t="s">
        <v>6</v>
      </c>
      <c r="C10278" t="s">
        <v>9</v>
      </c>
      <c r="D10278">
        <v>1100</v>
      </c>
      <c r="E10278">
        <v>2019</v>
      </c>
      <c r="F10278">
        <v>7</v>
      </c>
      <c r="G10278">
        <v>18244</v>
      </c>
      <c r="H10278" s="1">
        <v>0</v>
      </c>
      <c r="I10278">
        <v>27</v>
      </c>
      <c r="J10278">
        <f>IF($H10278=0,1,IF($I10278&lt;=1,2,0))</f>
        <v>1</v>
      </c>
      <c r="K10278">
        <v>0</v>
      </c>
      <c r="L10278">
        <f>IF(AND($J10278=0,$K10278=0),0,1)</f>
        <v>1</v>
      </c>
    </row>
    <row r="10279" spans="1:13" x14ac:dyDescent="0.2">
      <c r="A10279" t="s">
        <v>672</v>
      </c>
      <c r="B10279" t="s">
        <v>6</v>
      </c>
      <c r="C10279" t="s">
        <v>9</v>
      </c>
      <c r="D10279">
        <v>1100</v>
      </c>
      <c r="E10279">
        <v>2019</v>
      </c>
      <c r="F10279">
        <v>8</v>
      </c>
      <c r="G10279">
        <v>18734</v>
      </c>
      <c r="H10279" s="1">
        <v>0</v>
      </c>
      <c r="I10279">
        <v>26</v>
      </c>
      <c r="J10279">
        <f>IF($H10279=0,1,IF($I10279&lt;=1,2,0))</f>
        <v>1</v>
      </c>
      <c r="K10279">
        <v>0</v>
      </c>
      <c r="L10279">
        <f>IF(AND($J10279=0,$K10279=0),0,1)</f>
        <v>1</v>
      </c>
    </row>
    <row r="10280" spans="1:13" x14ac:dyDescent="0.2">
      <c r="A10280" t="s">
        <v>672</v>
      </c>
      <c r="B10280" t="s">
        <v>6</v>
      </c>
      <c r="C10280" t="s">
        <v>9</v>
      </c>
      <c r="D10280">
        <v>1100</v>
      </c>
      <c r="E10280">
        <v>2019</v>
      </c>
      <c r="F10280">
        <v>10</v>
      </c>
      <c r="G10280">
        <v>18852</v>
      </c>
      <c r="H10280" s="1">
        <v>0</v>
      </c>
      <c r="I10280">
        <v>16</v>
      </c>
      <c r="J10280">
        <f>IF($H10280=0,1,IF($I10280&lt;=1,2,0))</f>
        <v>1</v>
      </c>
      <c r="K10280">
        <v>0</v>
      </c>
      <c r="L10280">
        <f>IF(AND($J10280=0,$K10280=0),0,1)</f>
        <v>1</v>
      </c>
    </row>
    <row r="10281" spans="1:13" x14ac:dyDescent="0.2">
      <c r="A10281" t="s">
        <v>672</v>
      </c>
      <c r="B10281" t="s">
        <v>6</v>
      </c>
      <c r="C10281" t="s">
        <v>9</v>
      </c>
      <c r="D10281">
        <v>1100</v>
      </c>
      <c r="E10281">
        <v>2019</v>
      </c>
      <c r="F10281">
        <v>11</v>
      </c>
      <c r="G10281">
        <v>18885</v>
      </c>
      <c r="H10281" s="1">
        <v>0</v>
      </c>
      <c r="I10281">
        <v>14</v>
      </c>
      <c r="J10281">
        <f>IF($H10281=0,1,IF($I10281&lt;=1,2,0))</f>
        <v>1</v>
      </c>
      <c r="K10281">
        <v>0</v>
      </c>
      <c r="L10281">
        <f>IF(AND($J10281=0,$K10281=0),0,1)</f>
        <v>1</v>
      </c>
    </row>
    <row r="10282" spans="1:13" x14ac:dyDescent="0.2">
      <c r="A10282" t="s">
        <v>672</v>
      </c>
      <c r="B10282" t="s">
        <v>6</v>
      </c>
      <c r="C10282" t="s">
        <v>9</v>
      </c>
      <c r="D10282">
        <v>3001</v>
      </c>
      <c r="E10282">
        <v>2019</v>
      </c>
      <c r="F10282">
        <v>1</v>
      </c>
      <c r="G10282">
        <v>17919</v>
      </c>
      <c r="H10282" s="1">
        <v>0</v>
      </c>
      <c r="I10282">
        <v>26</v>
      </c>
      <c r="J10282">
        <f>IF($H10282=0,1,IF($I10282&lt;=1,2,0))</f>
        <v>1</v>
      </c>
      <c r="K10282">
        <v>0</v>
      </c>
      <c r="L10282">
        <f>IF(AND($J10282=0,$K10282=0),0,1)</f>
        <v>1</v>
      </c>
    </row>
    <row r="10283" spans="1:13" x14ac:dyDescent="0.2">
      <c r="A10283" t="s">
        <v>672</v>
      </c>
      <c r="B10283" t="s">
        <v>6</v>
      </c>
      <c r="C10283" t="s">
        <v>9</v>
      </c>
      <c r="D10283">
        <v>3001</v>
      </c>
      <c r="E10283">
        <v>2019</v>
      </c>
      <c r="F10283">
        <v>2</v>
      </c>
      <c r="G10283">
        <v>17924</v>
      </c>
      <c r="H10283" s="1">
        <v>0</v>
      </c>
      <c r="I10283">
        <v>19</v>
      </c>
      <c r="J10283">
        <f>IF($H10283=0,1,IF($I10283&lt;=1,2,0))</f>
        <v>1</v>
      </c>
      <c r="K10283">
        <v>0</v>
      </c>
      <c r="L10283">
        <f>IF(AND($J10283=0,$K10283=0),0,1)</f>
        <v>1</v>
      </c>
    </row>
    <row r="10284" spans="1:13" x14ac:dyDescent="0.2">
      <c r="A10284" t="s">
        <v>672</v>
      </c>
      <c r="B10284" t="s">
        <v>6</v>
      </c>
      <c r="C10284" t="s">
        <v>9</v>
      </c>
      <c r="D10284">
        <v>3001</v>
      </c>
      <c r="E10284">
        <v>2019</v>
      </c>
      <c r="F10284">
        <v>3</v>
      </c>
      <c r="G10284">
        <v>18893</v>
      </c>
      <c r="H10284" s="1">
        <v>0</v>
      </c>
      <c r="I10284">
        <v>3</v>
      </c>
      <c r="J10284">
        <f>IF($H10284=0,1,IF($I10284&lt;=1,2,0))</f>
        <v>1</v>
      </c>
      <c r="K10284">
        <v>0</v>
      </c>
      <c r="L10284">
        <f>IF(AND($J10284=0,$K10284=0),0,1)</f>
        <v>1</v>
      </c>
    </row>
    <row r="10285" spans="1:13" x14ac:dyDescent="0.2">
      <c r="A10285" t="s">
        <v>672</v>
      </c>
      <c r="B10285" t="s">
        <v>6</v>
      </c>
      <c r="C10285" t="s">
        <v>9</v>
      </c>
      <c r="D10285">
        <v>3011</v>
      </c>
      <c r="E10285">
        <v>2019</v>
      </c>
      <c r="F10285">
        <v>2</v>
      </c>
      <c r="G10285">
        <v>42281</v>
      </c>
      <c r="H10285" s="1">
        <v>0</v>
      </c>
      <c r="I10285">
        <v>23</v>
      </c>
      <c r="J10285">
        <f>IF($H10285=0,1,IF($I10285&lt;=1,2,0))</f>
        <v>1</v>
      </c>
      <c r="K10285">
        <v>0</v>
      </c>
      <c r="L10285">
        <f>IF(AND($J10285=0,$K10285=0),0,1)</f>
        <v>1</v>
      </c>
      <c r="M10285" t="s">
        <v>1963</v>
      </c>
    </row>
    <row r="10286" spans="1:13" x14ac:dyDescent="0.2">
      <c r="A10286" t="s">
        <v>672</v>
      </c>
      <c r="B10286" t="s">
        <v>6</v>
      </c>
      <c r="C10286" t="s">
        <v>9</v>
      </c>
      <c r="D10286">
        <v>3011</v>
      </c>
      <c r="E10286">
        <v>2019</v>
      </c>
      <c r="F10286">
        <v>1</v>
      </c>
      <c r="G10286">
        <v>42280</v>
      </c>
      <c r="H10286" s="1">
        <v>0</v>
      </c>
      <c r="I10286">
        <v>21</v>
      </c>
      <c r="J10286">
        <f>IF($H10286=0,1,IF($I10286&lt;=1,2,0))</f>
        <v>1</v>
      </c>
      <c r="K10286">
        <v>0</v>
      </c>
      <c r="L10286">
        <f>IF(AND($J10286=0,$K10286=0),0,1)</f>
        <v>1</v>
      </c>
      <c r="M10286" t="s">
        <v>674</v>
      </c>
    </row>
    <row r="10287" spans="1:13" x14ac:dyDescent="0.2">
      <c r="A10287" t="s">
        <v>672</v>
      </c>
      <c r="B10287" t="s">
        <v>6</v>
      </c>
      <c r="C10287" t="s">
        <v>2</v>
      </c>
      <c r="D10287">
        <v>3087</v>
      </c>
      <c r="E10287">
        <v>2019</v>
      </c>
      <c r="F10287">
        <v>1</v>
      </c>
      <c r="G10287">
        <v>9581</v>
      </c>
      <c r="H10287" s="1">
        <v>4</v>
      </c>
      <c r="I10287">
        <v>1</v>
      </c>
      <c r="J10287">
        <f>IF($H10287=0,1,IF($I10287&lt;=1,2,0))</f>
        <v>2</v>
      </c>
      <c r="K10287">
        <v>7</v>
      </c>
      <c r="L10287">
        <f>IF(AND($J10287=0,$K10287=0),0,1)</f>
        <v>1</v>
      </c>
    </row>
    <row r="10288" spans="1:13" x14ac:dyDescent="0.2">
      <c r="A10288" t="s">
        <v>672</v>
      </c>
      <c r="B10288" t="s">
        <v>6</v>
      </c>
      <c r="C10288" t="s">
        <v>2</v>
      </c>
      <c r="D10288">
        <v>3087</v>
      </c>
      <c r="E10288">
        <v>2019</v>
      </c>
      <c r="F10288">
        <v>3</v>
      </c>
      <c r="G10288">
        <v>9595</v>
      </c>
      <c r="H10288" s="1">
        <v>4</v>
      </c>
      <c r="I10288">
        <v>1</v>
      </c>
      <c r="J10288">
        <f>IF($H10288=0,1,IF($I10288&lt;=1,2,0))</f>
        <v>2</v>
      </c>
      <c r="K10288">
        <v>7</v>
      </c>
      <c r="L10288">
        <f>IF(AND($J10288=0,$K10288=0),0,1)</f>
        <v>1</v>
      </c>
    </row>
    <row r="10289" spans="1:12" x14ac:dyDescent="0.2">
      <c r="A10289" t="s">
        <v>672</v>
      </c>
      <c r="B10289" t="s">
        <v>6</v>
      </c>
      <c r="C10289" t="s">
        <v>2</v>
      </c>
      <c r="D10289">
        <v>3087</v>
      </c>
      <c r="E10289">
        <v>2019</v>
      </c>
      <c r="F10289">
        <v>4</v>
      </c>
      <c r="G10289">
        <v>9583</v>
      </c>
      <c r="H10289" s="1">
        <v>4</v>
      </c>
      <c r="I10289">
        <v>1</v>
      </c>
      <c r="J10289">
        <f>IF($H10289=0,1,IF($I10289&lt;=1,2,0))</f>
        <v>2</v>
      </c>
      <c r="K10289">
        <v>7</v>
      </c>
      <c r="L10289">
        <f>IF(AND($J10289=0,$K10289=0),0,1)</f>
        <v>1</v>
      </c>
    </row>
    <row r="10290" spans="1:12" x14ac:dyDescent="0.2">
      <c r="A10290" t="s">
        <v>672</v>
      </c>
      <c r="B10290" t="s">
        <v>6</v>
      </c>
      <c r="C10290" t="s">
        <v>2</v>
      </c>
      <c r="D10290">
        <v>3087</v>
      </c>
      <c r="E10290">
        <v>2019</v>
      </c>
      <c r="F10290">
        <v>7</v>
      </c>
      <c r="G10290">
        <v>9596</v>
      </c>
      <c r="H10290" s="1">
        <v>4</v>
      </c>
      <c r="I10290">
        <v>1</v>
      </c>
      <c r="J10290">
        <f>IF($H10290=0,1,IF($I10290&lt;=1,2,0))</f>
        <v>2</v>
      </c>
      <c r="K10290">
        <v>7</v>
      </c>
      <c r="L10290">
        <f>IF(AND($J10290=0,$K10290=0),0,1)</f>
        <v>1</v>
      </c>
    </row>
    <row r="10291" spans="1:12" x14ac:dyDescent="0.2">
      <c r="A10291" t="s">
        <v>672</v>
      </c>
      <c r="B10291" t="s">
        <v>6</v>
      </c>
      <c r="C10291" t="s">
        <v>2</v>
      </c>
      <c r="D10291">
        <v>3087</v>
      </c>
      <c r="E10291">
        <v>2019</v>
      </c>
      <c r="F10291">
        <v>2</v>
      </c>
      <c r="G10291">
        <v>9582</v>
      </c>
      <c r="H10291" s="1">
        <v>4</v>
      </c>
      <c r="I10291">
        <v>0</v>
      </c>
      <c r="J10291">
        <f>IF($H10291=0,1,IF($I10291&lt;=1,2,0))</f>
        <v>2</v>
      </c>
      <c r="K10291">
        <v>7</v>
      </c>
      <c r="L10291">
        <f>IF(AND($J10291=0,$K10291=0),0,1)</f>
        <v>1</v>
      </c>
    </row>
    <row r="10292" spans="1:12" x14ac:dyDescent="0.2">
      <c r="A10292" t="s">
        <v>672</v>
      </c>
      <c r="B10292" t="s">
        <v>6</v>
      </c>
      <c r="C10292" t="s">
        <v>2</v>
      </c>
      <c r="D10292">
        <v>3087</v>
      </c>
      <c r="E10292">
        <v>2019</v>
      </c>
      <c r="F10292">
        <v>5</v>
      </c>
      <c r="G10292">
        <v>9584</v>
      </c>
      <c r="H10292" s="1">
        <v>4</v>
      </c>
      <c r="I10292">
        <v>0</v>
      </c>
      <c r="J10292">
        <f>IF($H10292=0,1,IF($I10292&lt;=1,2,0))</f>
        <v>2</v>
      </c>
      <c r="K10292">
        <v>7</v>
      </c>
      <c r="L10292">
        <f>IF(AND($J10292=0,$K10292=0),0,1)</f>
        <v>1</v>
      </c>
    </row>
    <row r="10293" spans="1:12" x14ac:dyDescent="0.2">
      <c r="A10293" t="s">
        <v>672</v>
      </c>
      <c r="B10293" t="s">
        <v>6</v>
      </c>
      <c r="C10293" t="s">
        <v>2</v>
      </c>
      <c r="D10293">
        <v>3087</v>
      </c>
      <c r="E10293">
        <v>2019</v>
      </c>
      <c r="F10293">
        <v>6</v>
      </c>
      <c r="G10293">
        <v>9585</v>
      </c>
      <c r="H10293" s="1">
        <v>4</v>
      </c>
      <c r="I10293">
        <v>0</v>
      </c>
      <c r="J10293">
        <f>IF($H10293=0,1,IF($I10293&lt;=1,2,0))</f>
        <v>2</v>
      </c>
      <c r="K10293">
        <v>7</v>
      </c>
      <c r="L10293">
        <f>IF(AND($J10293=0,$K10293=0),0,1)</f>
        <v>1</v>
      </c>
    </row>
    <row r="10294" spans="1:12" x14ac:dyDescent="0.2">
      <c r="A10294" t="s">
        <v>672</v>
      </c>
      <c r="B10294" t="s">
        <v>6</v>
      </c>
      <c r="C10294" t="s">
        <v>2</v>
      </c>
      <c r="D10294">
        <v>3099</v>
      </c>
      <c r="E10294">
        <v>2019</v>
      </c>
      <c r="F10294">
        <v>1</v>
      </c>
      <c r="G10294">
        <v>164</v>
      </c>
      <c r="H10294" s="1" t="s">
        <v>1824</v>
      </c>
      <c r="I10294">
        <v>0</v>
      </c>
      <c r="J10294">
        <f>IF($H10294=0,1,IF($I10294&lt;=1,2,0))</f>
        <v>2</v>
      </c>
      <c r="K10294">
        <v>7</v>
      </c>
      <c r="L10294">
        <f>IF(AND($J10294=0,$K10294=0),0,1)</f>
        <v>1</v>
      </c>
    </row>
    <row r="10295" spans="1:12" x14ac:dyDescent="0.2">
      <c r="A10295" t="s">
        <v>672</v>
      </c>
      <c r="B10295" t="s">
        <v>6</v>
      </c>
      <c r="C10295" t="s">
        <v>2</v>
      </c>
      <c r="D10295">
        <v>3219</v>
      </c>
      <c r="E10295">
        <v>2019</v>
      </c>
      <c r="F10295">
        <v>1</v>
      </c>
      <c r="G10295">
        <v>9593</v>
      </c>
      <c r="H10295" s="1">
        <v>3</v>
      </c>
      <c r="I10295">
        <v>37</v>
      </c>
      <c r="J10295">
        <f>IF($H10295=0,1,IF($I10295&lt;=1,2,0))</f>
        <v>0</v>
      </c>
      <c r="K10295">
        <v>7</v>
      </c>
      <c r="L10295">
        <f>IF(AND($J10295=0,$K10295=0),0,1)</f>
        <v>1</v>
      </c>
    </row>
    <row r="10296" spans="1:12" x14ac:dyDescent="0.2">
      <c r="A10296" t="s">
        <v>672</v>
      </c>
      <c r="B10296" t="s">
        <v>6</v>
      </c>
      <c r="C10296" t="s">
        <v>9</v>
      </c>
      <c r="D10296">
        <v>3321</v>
      </c>
      <c r="E10296">
        <v>2019</v>
      </c>
      <c r="F10296">
        <v>6</v>
      </c>
      <c r="G10296">
        <v>42354</v>
      </c>
      <c r="H10296" s="1">
        <v>0</v>
      </c>
      <c r="I10296">
        <v>25</v>
      </c>
      <c r="J10296">
        <f>IF($H10296=0,1,IF($I10296&lt;=1,2,0))</f>
        <v>1</v>
      </c>
      <c r="K10296">
        <v>0</v>
      </c>
      <c r="L10296">
        <f>IF(AND($J10296=0,$K10296=0),0,1)</f>
        <v>1</v>
      </c>
    </row>
    <row r="10297" spans="1:12" x14ac:dyDescent="0.2">
      <c r="A10297" t="s">
        <v>672</v>
      </c>
      <c r="B10297" t="s">
        <v>6</v>
      </c>
      <c r="C10297" t="s">
        <v>9</v>
      </c>
      <c r="D10297">
        <v>3321</v>
      </c>
      <c r="E10297">
        <v>2019</v>
      </c>
      <c r="F10297">
        <v>1</v>
      </c>
      <c r="G10297">
        <v>42349</v>
      </c>
      <c r="H10297" s="1">
        <v>0</v>
      </c>
      <c r="I10297">
        <v>24</v>
      </c>
      <c r="J10297">
        <f>IF($H10297=0,1,IF($I10297&lt;=1,2,0))</f>
        <v>1</v>
      </c>
      <c r="K10297">
        <v>0</v>
      </c>
      <c r="L10297">
        <f>IF(AND($J10297=0,$K10297=0),0,1)</f>
        <v>1</v>
      </c>
    </row>
    <row r="10298" spans="1:12" x14ac:dyDescent="0.2">
      <c r="A10298" t="s">
        <v>672</v>
      </c>
      <c r="B10298" t="s">
        <v>6</v>
      </c>
      <c r="C10298" t="s">
        <v>9</v>
      </c>
      <c r="D10298">
        <v>3321</v>
      </c>
      <c r="E10298">
        <v>2019</v>
      </c>
      <c r="F10298">
        <v>3</v>
      </c>
      <c r="G10298">
        <v>42351</v>
      </c>
      <c r="H10298" s="1">
        <v>0</v>
      </c>
      <c r="I10298">
        <v>23</v>
      </c>
      <c r="J10298">
        <f>IF($H10298=0,1,IF($I10298&lt;=1,2,0))</f>
        <v>1</v>
      </c>
      <c r="K10298">
        <v>0</v>
      </c>
      <c r="L10298">
        <f>IF(AND($J10298=0,$K10298=0),0,1)</f>
        <v>1</v>
      </c>
    </row>
    <row r="10299" spans="1:12" x14ac:dyDescent="0.2">
      <c r="A10299" t="s">
        <v>672</v>
      </c>
      <c r="B10299" t="s">
        <v>6</v>
      </c>
      <c r="C10299" t="s">
        <v>9</v>
      </c>
      <c r="D10299">
        <v>3321</v>
      </c>
      <c r="E10299">
        <v>2019</v>
      </c>
      <c r="F10299">
        <v>4</v>
      </c>
      <c r="G10299">
        <v>42352</v>
      </c>
      <c r="H10299" s="1">
        <v>0</v>
      </c>
      <c r="I10299">
        <v>21</v>
      </c>
      <c r="J10299">
        <f>IF($H10299=0,1,IF($I10299&lt;=1,2,0))</f>
        <v>1</v>
      </c>
      <c r="K10299">
        <v>0</v>
      </c>
      <c r="L10299">
        <f>IF(AND($J10299=0,$K10299=0),0,1)</f>
        <v>1</v>
      </c>
    </row>
    <row r="10300" spans="1:12" x14ac:dyDescent="0.2">
      <c r="A10300" t="s">
        <v>672</v>
      </c>
      <c r="B10300" t="s">
        <v>6</v>
      </c>
      <c r="C10300" t="s">
        <v>9</v>
      </c>
      <c r="D10300">
        <v>3321</v>
      </c>
      <c r="E10300">
        <v>2019</v>
      </c>
      <c r="F10300">
        <v>8</v>
      </c>
      <c r="G10300">
        <v>42356</v>
      </c>
      <c r="H10300" s="1">
        <v>0</v>
      </c>
      <c r="I10300">
        <v>21</v>
      </c>
      <c r="J10300">
        <f>IF($H10300=0,1,IF($I10300&lt;=1,2,0))</f>
        <v>1</v>
      </c>
      <c r="K10300">
        <v>0</v>
      </c>
      <c r="L10300">
        <f>IF(AND($J10300=0,$K10300=0),0,1)</f>
        <v>1</v>
      </c>
    </row>
    <row r="10301" spans="1:12" x14ac:dyDescent="0.2">
      <c r="A10301" t="s">
        <v>672</v>
      </c>
      <c r="B10301" t="s">
        <v>6</v>
      </c>
      <c r="C10301" t="s">
        <v>9</v>
      </c>
      <c r="D10301">
        <v>3321</v>
      </c>
      <c r="E10301">
        <v>2019</v>
      </c>
      <c r="F10301">
        <v>5</v>
      </c>
      <c r="G10301">
        <v>42353</v>
      </c>
      <c r="H10301" s="1">
        <v>0</v>
      </c>
      <c r="I10301">
        <v>20</v>
      </c>
      <c r="J10301">
        <f>IF($H10301=0,1,IF($I10301&lt;=1,2,0))</f>
        <v>1</v>
      </c>
      <c r="K10301">
        <v>0</v>
      </c>
      <c r="L10301">
        <f>IF(AND($J10301=0,$K10301=0),0,1)</f>
        <v>1</v>
      </c>
    </row>
    <row r="10302" spans="1:12" x14ac:dyDescent="0.2">
      <c r="A10302" t="s">
        <v>672</v>
      </c>
      <c r="B10302" t="s">
        <v>6</v>
      </c>
      <c r="C10302" t="s">
        <v>9</v>
      </c>
      <c r="D10302">
        <v>3321</v>
      </c>
      <c r="E10302">
        <v>2019</v>
      </c>
      <c r="F10302">
        <v>2</v>
      </c>
      <c r="G10302">
        <v>42350</v>
      </c>
      <c r="H10302" s="1">
        <v>0</v>
      </c>
      <c r="I10302">
        <v>16</v>
      </c>
      <c r="J10302">
        <f>IF($H10302=0,1,IF($I10302&lt;=1,2,0))</f>
        <v>1</v>
      </c>
      <c r="K10302">
        <v>0</v>
      </c>
      <c r="L10302">
        <f>IF(AND($J10302=0,$K10302=0),0,1)</f>
        <v>1</v>
      </c>
    </row>
    <row r="10303" spans="1:12" x14ac:dyDescent="0.2">
      <c r="A10303" t="s">
        <v>672</v>
      </c>
      <c r="B10303" t="s">
        <v>6</v>
      </c>
      <c r="C10303" t="s">
        <v>9</v>
      </c>
      <c r="D10303">
        <v>3321</v>
      </c>
      <c r="E10303">
        <v>2019</v>
      </c>
      <c r="F10303">
        <v>7</v>
      </c>
      <c r="G10303">
        <v>42355</v>
      </c>
      <c r="H10303" s="1">
        <v>0</v>
      </c>
      <c r="I10303">
        <v>16</v>
      </c>
      <c r="J10303">
        <f>IF($H10303=0,1,IF($I10303&lt;=1,2,0))</f>
        <v>1</v>
      </c>
      <c r="K10303">
        <v>0</v>
      </c>
      <c r="L10303">
        <f>IF(AND($J10303=0,$K10303=0),0,1)</f>
        <v>1</v>
      </c>
    </row>
    <row r="10304" spans="1:12" x14ac:dyDescent="0.2">
      <c r="A10304" t="s">
        <v>672</v>
      </c>
      <c r="B10304" t="s">
        <v>6</v>
      </c>
      <c r="C10304" t="s">
        <v>2</v>
      </c>
      <c r="D10304">
        <v>3916</v>
      </c>
      <c r="E10304">
        <v>2019</v>
      </c>
      <c r="F10304">
        <v>1</v>
      </c>
      <c r="G10304">
        <v>9580</v>
      </c>
      <c r="H10304" s="1">
        <v>4</v>
      </c>
      <c r="I10304">
        <v>14</v>
      </c>
      <c r="J10304">
        <f>IF($H10304=0,1,IF($I10304&lt;=1,2,0))</f>
        <v>0</v>
      </c>
      <c r="K10304">
        <v>7</v>
      </c>
      <c r="L10304">
        <f>IF(AND($J10304=0,$K10304=0),0,1)</f>
        <v>1</v>
      </c>
    </row>
    <row r="10305" spans="1:13" x14ac:dyDescent="0.2">
      <c r="A10305" t="s">
        <v>672</v>
      </c>
      <c r="B10305" t="s">
        <v>6</v>
      </c>
      <c r="C10305" t="s">
        <v>2</v>
      </c>
      <c r="D10305">
        <v>3925</v>
      </c>
      <c r="E10305">
        <v>2019</v>
      </c>
      <c r="F10305">
        <v>1</v>
      </c>
      <c r="G10305">
        <v>9589</v>
      </c>
      <c r="H10305" s="1">
        <v>4</v>
      </c>
      <c r="I10305">
        <v>9</v>
      </c>
      <c r="J10305">
        <f>IF($H10305=0,1,IF($I10305&lt;=1,2,0))</f>
        <v>0</v>
      </c>
      <c r="K10305">
        <v>7</v>
      </c>
      <c r="L10305">
        <f>IF(AND($J10305=0,$K10305=0),0,1)</f>
        <v>1</v>
      </c>
      <c r="M10305" t="s">
        <v>1964</v>
      </c>
    </row>
    <row r="10306" spans="1:13" x14ac:dyDescent="0.2">
      <c r="A10306" t="s">
        <v>672</v>
      </c>
      <c r="B10306" t="s">
        <v>6</v>
      </c>
      <c r="C10306" t="s">
        <v>2</v>
      </c>
      <c r="D10306">
        <v>3930</v>
      </c>
      <c r="E10306">
        <v>2019</v>
      </c>
      <c r="F10306">
        <v>1</v>
      </c>
      <c r="G10306">
        <v>9592</v>
      </c>
      <c r="H10306" s="1">
        <v>4</v>
      </c>
      <c r="I10306">
        <v>6</v>
      </c>
      <c r="J10306">
        <f>IF($H10306=0,1,IF($I10306&lt;=1,2,0))</f>
        <v>0</v>
      </c>
      <c r="K10306">
        <v>7</v>
      </c>
      <c r="L10306">
        <f>IF(AND($J10306=0,$K10306=0),0,1)</f>
        <v>1</v>
      </c>
      <c r="M10306" t="s">
        <v>1965</v>
      </c>
    </row>
    <row r="10307" spans="1:13" x14ac:dyDescent="0.2">
      <c r="A10307" t="s">
        <v>672</v>
      </c>
      <c r="B10307" t="s">
        <v>6</v>
      </c>
      <c r="C10307" t="s">
        <v>9</v>
      </c>
      <c r="D10307">
        <v>3995</v>
      </c>
      <c r="E10307">
        <v>2019</v>
      </c>
      <c r="F10307">
        <v>2</v>
      </c>
      <c r="G10307">
        <v>19138</v>
      </c>
      <c r="H10307" s="1" t="s">
        <v>1828</v>
      </c>
      <c r="I10307">
        <v>1</v>
      </c>
      <c r="J10307">
        <f>IF($H10307=0,1,IF($I10307&lt;=1,2,0))</f>
        <v>2</v>
      </c>
      <c r="K10307">
        <v>0</v>
      </c>
      <c r="L10307">
        <f>IF(AND($J10307=0,$K10307=0),0,1)</f>
        <v>1</v>
      </c>
      <c r="M10307" t="s">
        <v>676</v>
      </c>
    </row>
    <row r="10308" spans="1:13" x14ac:dyDescent="0.2">
      <c r="A10308" t="s">
        <v>672</v>
      </c>
      <c r="B10308" t="s">
        <v>6</v>
      </c>
      <c r="C10308" t="s">
        <v>9</v>
      </c>
      <c r="D10308">
        <v>3995</v>
      </c>
      <c r="E10308">
        <v>2019</v>
      </c>
      <c r="F10308">
        <v>41</v>
      </c>
      <c r="G10308">
        <v>17876</v>
      </c>
      <c r="H10308" s="1" t="s">
        <v>1828</v>
      </c>
      <c r="I10308">
        <v>1</v>
      </c>
      <c r="J10308">
        <f>IF($H10308=0,1,IF($I10308&lt;=1,2,0))</f>
        <v>2</v>
      </c>
      <c r="K10308">
        <v>0</v>
      </c>
      <c r="L10308">
        <f>IF(AND($J10308=0,$K10308=0),0,1)</f>
        <v>1</v>
      </c>
    </row>
    <row r="10309" spans="1:13" x14ac:dyDescent="0.2">
      <c r="A10309" t="s">
        <v>672</v>
      </c>
      <c r="B10309" t="s">
        <v>6</v>
      </c>
      <c r="C10309" t="s">
        <v>11</v>
      </c>
      <c r="D10309">
        <v>5051</v>
      </c>
      <c r="E10309">
        <v>2019</v>
      </c>
      <c r="F10309">
        <v>1</v>
      </c>
      <c r="G10309">
        <v>42388</v>
      </c>
      <c r="H10309" s="1">
        <v>4</v>
      </c>
      <c r="I10309">
        <v>19</v>
      </c>
      <c r="J10309">
        <f>IF($H10309=0,1,IF($I10309&lt;=1,2,0))</f>
        <v>0</v>
      </c>
      <c r="K10309">
        <v>4</v>
      </c>
      <c r="L10309">
        <f>IF(AND($J10309=0,$K10309=0),0,1)</f>
        <v>1</v>
      </c>
      <c r="M10309" t="s">
        <v>677</v>
      </c>
    </row>
    <row r="10310" spans="1:13" x14ac:dyDescent="0.2">
      <c r="A10310" t="s">
        <v>672</v>
      </c>
      <c r="B10310" t="s">
        <v>6</v>
      </c>
      <c r="C10310" t="s">
        <v>11</v>
      </c>
      <c r="D10310">
        <v>5060</v>
      </c>
      <c r="E10310">
        <v>2019</v>
      </c>
      <c r="F10310">
        <v>1</v>
      </c>
      <c r="G10310">
        <v>10403</v>
      </c>
      <c r="H10310" s="1">
        <v>3</v>
      </c>
      <c r="I10310">
        <v>19</v>
      </c>
      <c r="J10310">
        <f>IF($H10310=0,1,IF($I10310&lt;=1,2,0))</f>
        <v>0</v>
      </c>
      <c r="K10310">
        <v>4</v>
      </c>
      <c r="L10310">
        <f>IF(AND($J10310=0,$K10310=0),0,1)</f>
        <v>1</v>
      </c>
      <c r="M10310" t="s">
        <v>677</v>
      </c>
    </row>
    <row r="10311" spans="1:13" x14ac:dyDescent="0.2">
      <c r="A10311" t="s">
        <v>672</v>
      </c>
      <c r="B10311" t="s">
        <v>6</v>
      </c>
      <c r="C10311" t="s">
        <v>11</v>
      </c>
      <c r="D10311">
        <v>5062</v>
      </c>
      <c r="E10311">
        <v>2019</v>
      </c>
      <c r="F10311">
        <v>1</v>
      </c>
      <c r="G10311">
        <v>42389</v>
      </c>
      <c r="H10311" s="1">
        <v>1</v>
      </c>
      <c r="I10311">
        <v>18</v>
      </c>
      <c r="J10311">
        <f>IF($H10311=0,1,IF($I10311&lt;=1,2,0))</f>
        <v>0</v>
      </c>
      <c r="K10311">
        <v>4</v>
      </c>
      <c r="L10311">
        <f>IF(AND($J10311=0,$K10311=0),0,1)</f>
        <v>1</v>
      </c>
      <c r="M10311" t="s">
        <v>678</v>
      </c>
    </row>
    <row r="10312" spans="1:13" x14ac:dyDescent="0.2">
      <c r="A10312" t="s">
        <v>672</v>
      </c>
      <c r="B10312" t="s">
        <v>6</v>
      </c>
      <c r="C10312" t="s">
        <v>11</v>
      </c>
      <c r="D10312">
        <v>5064</v>
      </c>
      <c r="E10312">
        <v>2019</v>
      </c>
      <c r="F10312">
        <v>1</v>
      </c>
      <c r="G10312">
        <v>42396</v>
      </c>
      <c r="H10312" s="1">
        <v>1</v>
      </c>
      <c r="I10312">
        <v>18</v>
      </c>
      <c r="J10312">
        <f>IF($H10312=0,1,IF($I10312&lt;=1,2,0))</f>
        <v>0</v>
      </c>
      <c r="K10312">
        <v>4</v>
      </c>
      <c r="L10312">
        <f>IF(AND($J10312=0,$K10312=0),0,1)</f>
        <v>1</v>
      </c>
      <c r="M10312" t="s">
        <v>678</v>
      </c>
    </row>
    <row r="10313" spans="1:13" x14ac:dyDescent="0.2">
      <c r="A10313" t="s">
        <v>672</v>
      </c>
      <c r="B10313" t="s">
        <v>6</v>
      </c>
      <c r="C10313" t="s">
        <v>11</v>
      </c>
      <c r="D10313">
        <v>5066</v>
      </c>
      <c r="E10313">
        <v>2019</v>
      </c>
      <c r="F10313">
        <v>1</v>
      </c>
      <c r="G10313">
        <v>42277</v>
      </c>
      <c r="H10313" s="1">
        <v>3</v>
      </c>
      <c r="I10313">
        <v>18</v>
      </c>
      <c r="J10313">
        <f>IF($H10313=0,1,IF($I10313&lt;=1,2,0))</f>
        <v>0</v>
      </c>
      <c r="K10313">
        <v>4</v>
      </c>
      <c r="L10313">
        <f>IF(AND($J10313=0,$K10313=0),0,1)</f>
        <v>1</v>
      </c>
      <c r="M10313" t="s">
        <v>678</v>
      </c>
    </row>
    <row r="10314" spans="1:13" x14ac:dyDescent="0.2">
      <c r="A10314" t="s">
        <v>672</v>
      </c>
      <c r="B10314" t="s">
        <v>6</v>
      </c>
      <c r="C10314" t="s">
        <v>11</v>
      </c>
      <c r="D10314">
        <v>6000</v>
      </c>
      <c r="E10314">
        <v>2019</v>
      </c>
      <c r="F10314">
        <v>1</v>
      </c>
      <c r="G10314">
        <v>13415</v>
      </c>
      <c r="H10314" s="1">
        <v>4</v>
      </c>
      <c r="I10314">
        <v>3</v>
      </c>
      <c r="J10314">
        <f>IF($H10314=0,1,IF($I10314&lt;=1,2,0))</f>
        <v>0</v>
      </c>
      <c r="K10314">
        <v>4</v>
      </c>
      <c r="L10314">
        <f>IF(AND($J10314=0,$K10314=0),0,1)</f>
        <v>1</v>
      </c>
      <c r="M10314" t="s">
        <v>679</v>
      </c>
    </row>
    <row r="10315" spans="1:13" x14ac:dyDescent="0.2">
      <c r="A10315" t="s">
        <v>672</v>
      </c>
      <c r="B10315" t="s">
        <v>6</v>
      </c>
      <c r="C10315" t="s">
        <v>11</v>
      </c>
      <c r="D10315">
        <v>6002</v>
      </c>
      <c r="E10315">
        <v>2019</v>
      </c>
      <c r="F10315">
        <v>1</v>
      </c>
      <c r="G10315">
        <v>18236</v>
      </c>
      <c r="H10315" s="1">
        <v>0</v>
      </c>
      <c r="I10315">
        <v>3</v>
      </c>
      <c r="J10315">
        <f>IF($H10315=0,1,IF($I10315&lt;=1,2,0))</f>
        <v>1</v>
      </c>
      <c r="K10315">
        <v>0</v>
      </c>
      <c r="L10315">
        <f>IF(AND($J10315=0,$K10315=0),0,1)</f>
        <v>1</v>
      </c>
      <c r="M10315" t="s">
        <v>680</v>
      </c>
    </row>
    <row r="10316" spans="1:13" x14ac:dyDescent="0.2">
      <c r="A10316" t="s">
        <v>672</v>
      </c>
      <c r="B10316" t="s">
        <v>6</v>
      </c>
      <c r="C10316" t="s">
        <v>11</v>
      </c>
      <c r="D10316">
        <v>6010</v>
      </c>
      <c r="E10316">
        <v>2019</v>
      </c>
      <c r="F10316">
        <v>1</v>
      </c>
      <c r="G10316">
        <v>42390</v>
      </c>
      <c r="H10316" s="1">
        <v>3</v>
      </c>
      <c r="I10316">
        <v>1</v>
      </c>
      <c r="J10316">
        <f>IF($H10316=0,1,IF($I10316&lt;=1,2,0))</f>
        <v>2</v>
      </c>
      <c r="K10316">
        <v>0</v>
      </c>
      <c r="L10316">
        <f>IF(AND($J10316=0,$K10316=0),0,1)</f>
        <v>1</v>
      </c>
    </row>
    <row r="10317" spans="1:13" x14ac:dyDescent="0.2">
      <c r="A10317" t="s">
        <v>672</v>
      </c>
      <c r="B10317" t="s">
        <v>6</v>
      </c>
      <c r="C10317" t="s">
        <v>11</v>
      </c>
      <c r="D10317">
        <v>6076</v>
      </c>
      <c r="E10317">
        <v>2019</v>
      </c>
      <c r="F10317">
        <v>1</v>
      </c>
      <c r="G10317">
        <v>42400</v>
      </c>
      <c r="H10317" s="1">
        <v>1.5</v>
      </c>
      <c r="I10317">
        <v>0</v>
      </c>
      <c r="J10317">
        <f>IF($H10317=0,1,IF($I10317&lt;=1,2,0))</f>
        <v>2</v>
      </c>
      <c r="K10317">
        <v>0</v>
      </c>
      <c r="L10317">
        <f>IF(AND($J10317=0,$K10317=0),0,1)</f>
        <v>1</v>
      </c>
    </row>
    <row r="10318" spans="1:13" x14ac:dyDescent="0.2">
      <c r="A10318" t="s">
        <v>672</v>
      </c>
      <c r="B10318" t="s">
        <v>6</v>
      </c>
      <c r="C10318" t="s">
        <v>11</v>
      </c>
      <c r="D10318">
        <v>6103</v>
      </c>
      <c r="E10318">
        <v>2019</v>
      </c>
      <c r="F10318">
        <v>1</v>
      </c>
      <c r="G10318">
        <v>13392</v>
      </c>
      <c r="H10318" s="1">
        <v>4</v>
      </c>
      <c r="I10318">
        <v>6</v>
      </c>
      <c r="J10318">
        <f>IF($H10318=0,1,IF($I10318&lt;=1,2,0))</f>
        <v>0</v>
      </c>
      <c r="K10318">
        <v>4</v>
      </c>
      <c r="L10318">
        <f>IF(AND($J10318=0,$K10318=0),0,1)</f>
        <v>1</v>
      </c>
      <c r="M10318" t="s">
        <v>682</v>
      </c>
    </row>
    <row r="10319" spans="1:13" x14ac:dyDescent="0.2">
      <c r="A10319" t="s">
        <v>672</v>
      </c>
      <c r="B10319" t="s">
        <v>6</v>
      </c>
      <c r="C10319" t="s">
        <v>11</v>
      </c>
      <c r="D10319">
        <v>9040</v>
      </c>
      <c r="E10319">
        <v>2019</v>
      </c>
      <c r="F10319">
        <v>2</v>
      </c>
      <c r="G10319">
        <v>42282</v>
      </c>
      <c r="H10319" s="1" t="s">
        <v>1828</v>
      </c>
      <c r="I10319">
        <v>4</v>
      </c>
      <c r="J10319">
        <f>IF($H10319=0,1,IF($I10319&lt;=1,2,0))</f>
        <v>0</v>
      </c>
      <c r="K10319">
        <v>5</v>
      </c>
      <c r="L10319">
        <f>IF(AND($J10319=0,$K10319=0),0,1)</f>
        <v>1</v>
      </c>
    </row>
    <row r="10320" spans="1:13" x14ac:dyDescent="0.2">
      <c r="A10320" t="s">
        <v>672</v>
      </c>
      <c r="B10320" t="s">
        <v>6</v>
      </c>
      <c r="C10320" t="s">
        <v>11</v>
      </c>
      <c r="D10320">
        <v>9040</v>
      </c>
      <c r="E10320">
        <v>2019</v>
      </c>
      <c r="F10320">
        <v>17</v>
      </c>
      <c r="G10320">
        <v>42295</v>
      </c>
      <c r="H10320" s="1" t="s">
        <v>1828</v>
      </c>
      <c r="I10320">
        <v>1</v>
      </c>
      <c r="J10320">
        <f>IF($H10320=0,1,IF($I10320&lt;=1,2,0))</f>
        <v>2</v>
      </c>
      <c r="K10320">
        <v>5</v>
      </c>
      <c r="L10320">
        <f>IF(AND($J10320=0,$K10320=0),0,1)</f>
        <v>1</v>
      </c>
    </row>
    <row r="10321" spans="1:13" x14ac:dyDescent="0.2">
      <c r="A10321" t="s">
        <v>672</v>
      </c>
      <c r="B10321" t="s">
        <v>6</v>
      </c>
      <c r="C10321" t="s">
        <v>11</v>
      </c>
      <c r="D10321">
        <v>9040</v>
      </c>
      <c r="E10321">
        <v>2019</v>
      </c>
      <c r="F10321">
        <v>40</v>
      </c>
      <c r="G10321">
        <v>18749</v>
      </c>
      <c r="H10321" s="1" t="s">
        <v>1828</v>
      </c>
      <c r="I10321">
        <v>1</v>
      </c>
      <c r="J10321">
        <f>IF($H10321=0,1,IF($I10321&lt;=1,2,0))</f>
        <v>2</v>
      </c>
      <c r="K10321">
        <v>5</v>
      </c>
      <c r="L10321">
        <f>IF(AND($J10321=0,$K10321=0),0,1)</f>
        <v>1</v>
      </c>
    </row>
    <row r="10322" spans="1:13" x14ac:dyDescent="0.2">
      <c r="A10322" t="s">
        <v>672</v>
      </c>
      <c r="B10322" t="s">
        <v>6</v>
      </c>
      <c r="C10322" t="s">
        <v>11</v>
      </c>
      <c r="D10322">
        <v>9040</v>
      </c>
      <c r="E10322">
        <v>2019</v>
      </c>
      <c r="F10322">
        <v>37</v>
      </c>
      <c r="G10322">
        <v>42312</v>
      </c>
      <c r="H10322" s="1" t="s">
        <v>1828</v>
      </c>
      <c r="I10322">
        <v>0</v>
      </c>
      <c r="J10322">
        <f>IF($H10322=0,1,IF($I10322&lt;=1,2,0))</f>
        <v>2</v>
      </c>
      <c r="K10322">
        <v>5</v>
      </c>
      <c r="L10322">
        <f>IF(AND($J10322=0,$K10322=0),0,1)</f>
        <v>1</v>
      </c>
    </row>
    <row r="10323" spans="1:13" x14ac:dyDescent="0.2">
      <c r="A10323" t="s">
        <v>683</v>
      </c>
      <c r="B10323" t="s">
        <v>1</v>
      </c>
      <c r="C10323" t="s">
        <v>2</v>
      </c>
      <c r="D10323">
        <v>1111</v>
      </c>
      <c r="E10323">
        <v>2019</v>
      </c>
      <c r="F10323">
        <v>1</v>
      </c>
      <c r="G10323">
        <v>110</v>
      </c>
      <c r="H10323" s="1">
        <v>1</v>
      </c>
      <c r="I10323">
        <v>12</v>
      </c>
      <c r="J10323">
        <f>IF($H10323=0,1,IF($I10323&lt;=1,2,0))</f>
        <v>0</v>
      </c>
      <c r="K10323">
        <v>7</v>
      </c>
      <c r="L10323">
        <f>IF(AND($J10323=0,$K10323=0),0,1)</f>
        <v>1</v>
      </c>
      <c r="M10323" t="s">
        <v>684</v>
      </c>
    </row>
    <row r="10324" spans="1:13" x14ac:dyDescent="0.2">
      <c r="A10324" t="s">
        <v>683</v>
      </c>
      <c r="B10324" t="s">
        <v>1</v>
      </c>
      <c r="C10324" t="s">
        <v>2</v>
      </c>
      <c r="D10324">
        <v>2222</v>
      </c>
      <c r="E10324">
        <v>2019</v>
      </c>
      <c r="F10324">
        <v>1</v>
      </c>
      <c r="G10324">
        <v>7201</v>
      </c>
      <c r="H10324" s="1">
        <v>1.5</v>
      </c>
      <c r="I10324">
        <v>4</v>
      </c>
      <c r="J10324">
        <f>IF($H10324=0,1,IF($I10324&lt;=1,2,0))</f>
        <v>0</v>
      </c>
      <c r="K10324">
        <v>7</v>
      </c>
      <c r="L10324">
        <f>IF(AND($J10324=0,$K10324=0),0,1)</f>
        <v>1</v>
      </c>
      <c r="M10324" t="s">
        <v>684</v>
      </c>
    </row>
    <row r="10325" spans="1:13" x14ac:dyDescent="0.2">
      <c r="A10325" t="s">
        <v>685</v>
      </c>
      <c r="B10325" t="s">
        <v>17</v>
      </c>
      <c r="C10325" t="s">
        <v>2</v>
      </c>
      <c r="D10325">
        <v>3099</v>
      </c>
      <c r="E10325">
        <v>2019</v>
      </c>
      <c r="F10325">
        <v>20</v>
      </c>
      <c r="G10325">
        <v>267</v>
      </c>
      <c r="H10325" s="1">
        <v>3</v>
      </c>
      <c r="I10325">
        <v>1</v>
      </c>
      <c r="J10325">
        <f>IF($H10325=0,1,IF($I10325&lt;=1,2,0))</f>
        <v>2</v>
      </c>
      <c r="K10325">
        <v>7</v>
      </c>
      <c r="L10325">
        <f>IF(AND($J10325=0,$K10325=0),0,1)</f>
        <v>1</v>
      </c>
    </row>
    <row r="10326" spans="1:13" x14ac:dyDescent="0.2">
      <c r="A10326" t="s">
        <v>685</v>
      </c>
      <c r="B10326" t="s">
        <v>17</v>
      </c>
      <c r="C10326" t="s">
        <v>2</v>
      </c>
      <c r="D10326">
        <v>3099</v>
      </c>
      <c r="E10326">
        <v>2019</v>
      </c>
      <c r="F10326">
        <v>21</v>
      </c>
      <c r="G10326">
        <v>270</v>
      </c>
      <c r="H10326" s="1" t="s">
        <v>1827</v>
      </c>
      <c r="I10326">
        <v>1</v>
      </c>
      <c r="J10326">
        <f>IF($H10326=0,1,IF($I10326&lt;=1,2,0))</f>
        <v>2</v>
      </c>
      <c r="K10326">
        <v>7</v>
      </c>
      <c r="L10326">
        <f>IF(AND($J10326=0,$K10326=0),0,1)</f>
        <v>1</v>
      </c>
    </row>
    <row r="10327" spans="1:13" x14ac:dyDescent="0.2">
      <c r="A10327" t="s">
        <v>685</v>
      </c>
      <c r="B10327" t="s">
        <v>17</v>
      </c>
      <c r="C10327" t="s">
        <v>2</v>
      </c>
      <c r="D10327">
        <v>3388</v>
      </c>
      <c r="E10327">
        <v>2019</v>
      </c>
      <c r="F10327">
        <v>1</v>
      </c>
      <c r="G10327">
        <v>200</v>
      </c>
      <c r="H10327" s="1">
        <v>3</v>
      </c>
      <c r="I10327">
        <v>10</v>
      </c>
      <c r="J10327">
        <f>IF($H10327=0,1,IF($I10327&lt;=1,2,0))</f>
        <v>0</v>
      </c>
      <c r="K10327">
        <v>7</v>
      </c>
      <c r="L10327">
        <f>IF(AND($J10327=0,$K10327=0),0,1)</f>
        <v>1</v>
      </c>
    </row>
    <row r="10328" spans="1:13" x14ac:dyDescent="0.2">
      <c r="A10328" t="s">
        <v>685</v>
      </c>
      <c r="B10328" t="s">
        <v>17</v>
      </c>
      <c r="C10328" t="s">
        <v>2</v>
      </c>
      <c r="D10328">
        <v>3446</v>
      </c>
      <c r="E10328">
        <v>2019</v>
      </c>
      <c r="F10328">
        <v>1</v>
      </c>
      <c r="G10328">
        <v>9655</v>
      </c>
      <c r="H10328" s="1">
        <v>3</v>
      </c>
      <c r="I10328">
        <v>8</v>
      </c>
      <c r="J10328">
        <f>IF($H10328=0,1,IF($I10328&lt;=1,2,0))</f>
        <v>0</v>
      </c>
      <c r="K10328">
        <v>7</v>
      </c>
      <c r="L10328">
        <f>IF(AND($J10328=0,$K10328=0),0,1)</f>
        <v>1</v>
      </c>
    </row>
    <row r="10329" spans="1:13" x14ac:dyDescent="0.2">
      <c r="A10329" t="s">
        <v>685</v>
      </c>
      <c r="B10329" t="s">
        <v>17</v>
      </c>
      <c r="C10329" t="s">
        <v>2</v>
      </c>
      <c r="D10329">
        <v>3456</v>
      </c>
      <c r="E10329">
        <v>2019</v>
      </c>
      <c r="F10329">
        <v>1</v>
      </c>
      <c r="G10329">
        <v>197</v>
      </c>
      <c r="H10329" s="1">
        <v>3</v>
      </c>
      <c r="I10329">
        <v>8</v>
      </c>
      <c r="J10329">
        <f>IF($H10329=0,1,IF($I10329&lt;=1,2,0))</f>
        <v>0</v>
      </c>
      <c r="K10329">
        <v>7</v>
      </c>
      <c r="L10329">
        <f>IF(AND($J10329=0,$K10329=0),0,1)</f>
        <v>1</v>
      </c>
    </row>
    <row r="10330" spans="1:13" x14ac:dyDescent="0.2">
      <c r="A10330" t="s">
        <v>685</v>
      </c>
      <c r="B10330" t="s">
        <v>17</v>
      </c>
      <c r="C10330" t="s">
        <v>2</v>
      </c>
      <c r="D10330">
        <v>3467</v>
      </c>
      <c r="E10330">
        <v>2019</v>
      </c>
      <c r="F10330">
        <v>1</v>
      </c>
      <c r="G10330">
        <v>9657</v>
      </c>
      <c r="H10330" s="1">
        <v>3</v>
      </c>
      <c r="I10330">
        <v>9</v>
      </c>
      <c r="J10330">
        <f>IF($H10330=0,1,IF($I10330&lt;=1,2,0))</f>
        <v>0</v>
      </c>
      <c r="K10330">
        <v>7</v>
      </c>
      <c r="L10330">
        <f>IF(AND($J10330=0,$K10330=0),0,1)</f>
        <v>1</v>
      </c>
    </row>
    <row r="10331" spans="1:13" x14ac:dyDescent="0.2">
      <c r="A10331" t="s">
        <v>685</v>
      </c>
      <c r="B10331" t="s">
        <v>17</v>
      </c>
      <c r="C10331" t="s">
        <v>2</v>
      </c>
      <c r="D10331">
        <v>3481</v>
      </c>
      <c r="E10331">
        <v>2019</v>
      </c>
      <c r="F10331">
        <v>1</v>
      </c>
      <c r="G10331">
        <v>9656</v>
      </c>
      <c r="H10331" s="1">
        <v>3</v>
      </c>
      <c r="I10331">
        <v>11</v>
      </c>
      <c r="J10331">
        <f>IF($H10331=0,1,IF($I10331&lt;=1,2,0))</f>
        <v>0</v>
      </c>
      <c r="K10331">
        <v>7</v>
      </c>
      <c r="L10331">
        <f>IF(AND($J10331=0,$K10331=0),0,1)</f>
        <v>1</v>
      </c>
    </row>
    <row r="10332" spans="1:13" x14ac:dyDescent="0.2">
      <c r="A10332" t="s">
        <v>685</v>
      </c>
      <c r="B10332" t="s">
        <v>17</v>
      </c>
      <c r="C10332" t="s">
        <v>2</v>
      </c>
      <c r="D10332">
        <v>3675</v>
      </c>
      <c r="E10332">
        <v>2019</v>
      </c>
      <c r="F10332">
        <v>1</v>
      </c>
      <c r="G10332">
        <v>174</v>
      </c>
      <c r="H10332" s="1">
        <v>3</v>
      </c>
      <c r="I10332">
        <v>5</v>
      </c>
      <c r="J10332">
        <f>IF($H10332=0,1,IF($I10332&lt;=1,2,0))</f>
        <v>0</v>
      </c>
      <c r="K10332">
        <v>7</v>
      </c>
      <c r="L10332">
        <f>IF(AND($J10332=0,$K10332=0),0,1)</f>
        <v>1</v>
      </c>
    </row>
    <row r="10333" spans="1:13" x14ac:dyDescent="0.2">
      <c r="A10333" t="s">
        <v>685</v>
      </c>
      <c r="B10333" t="s">
        <v>17</v>
      </c>
      <c r="C10333" t="s">
        <v>2</v>
      </c>
      <c r="D10333">
        <v>3990</v>
      </c>
      <c r="E10333">
        <v>2019</v>
      </c>
      <c r="F10333">
        <v>1</v>
      </c>
      <c r="G10333">
        <v>9653</v>
      </c>
      <c r="H10333" s="1">
        <v>4</v>
      </c>
      <c r="I10333">
        <v>10</v>
      </c>
      <c r="J10333">
        <f>IF($H10333=0,1,IF($I10333&lt;=1,2,0))</f>
        <v>0</v>
      </c>
      <c r="K10333">
        <v>7</v>
      </c>
      <c r="L10333">
        <f>IF(AND($J10333=0,$K10333=0),0,1)</f>
        <v>1</v>
      </c>
    </row>
    <row r="10334" spans="1:13" x14ac:dyDescent="0.2">
      <c r="A10334" t="s">
        <v>685</v>
      </c>
      <c r="B10334" t="s">
        <v>17</v>
      </c>
      <c r="C10334" t="s">
        <v>9</v>
      </c>
      <c r="D10334">
        <v>3998</v>
      </c>
      <c r="E10334">
        <v>2019</v>
      </c>
      <c r="F10334">
        <v>1</v>
      </c>
      <c r="G10334">
        <v>99321</v>
      </c>
      <c r="H10334" s="1">
        <v>3</v>
      </c>
      <c r="I10334">
        <v>0</v>
      </c>
      <c r="J10334">
        <f>IF($H10334=0,1,IF($I10334&lt;=1,2,0))</f>
        <v>2</v>
      </c>
      <c r="K10334">
        <v>9</v>
      </c>
      <c r="L10334">
        <f>IF(AND($J10334=0,$K10334=0),0,1)</f>
        <v>1</v>
      </c>
    </row>
    <row r="10335" spans="1:13" x14ac:dyDescent="0.2">
      <c r="A10335" t="s">
        <v>685</v>
      </c>
      <c r="B10335" t="s">
        <v>17</v>
      </c>
      <c r="C10335" t="s">
        <v>11</v>
      </c>
      <c r="D10335">
        <v>6000</v>
      </c>
      <c r="E10335">
        <v>2019</v>
      </c>
      <c r="F10335">
        <v>1</v>
      </c>
      <c r="G10335">
        <v>99319</v>
      </c>
      <c r="H10335" s="1">
        <v>4</v>
      </c>
      <c r="I10335">
        <v>8</v>
      </c>
      <c r="J10335">
        <f>IF($H10335=0,1,IF($I10335&lt;=1,2,0))</f>
        <v>0</v>
      </c>
      <c r="K10335">
        <v>4</v>
      </c>
      <c r="L10335">
        <f>IF(AND($J10335=0,$K10335=0),0,1)</f>
        <v>1</v>
      </c>
      <c r="M10335" t="s">
        <v>695</v>
      </c>
    </row>
    <row r="10336" spans="1:13" x14ac:dyDescent="0.2">
      <c r="A10336" t="s">
        <v>685</v>
      </c>
      <c r="B10336" t="s">
        <v>17</v>
      </c>
      <c r="C10336" t="s">
        <v>11</v>
      </c>
      <c r="D10336">
        <v>6100</v>
      </c>
      <c r="E10336">
        <v>2019</v>
      </c>
      <c r="F10336">
        <v>1</v>
      </c>
      <c r="G10336">
        <v>99207</v>
      </c>
      <c r="H10336" s="1">
        <v>2</v>
      </c>
      <c r="I10336">
        <v>5</v>
      </c>
      <c r="J10336">
        <f>IF($H10336=0,1,IF($I10336&lt;=1,2,0))</f>
        <v>0</v>
      </c>
      <c r="K10336">
        <v>4</v>
      </c>
      <c r="L10336">
        <f>IF(AND($J10336=0,$K10336=0),0,1)</f>
        <v>1</v>
      </c>
      <c r="M10336" t="s">
        <v>695</v>
      </c>
    </row>
    <row r="10337" spans="1:13" x14ac:dyDescent="0.2">
      <c r="A10337" t="s">
        <v>685</v>
      </c>
      <c r="B10337" t="s">
        <v>17</v>
      </c>
      <c r="C10337" t="s">
        <v>11</v>
      </c>
      <c r="D10337">
        <v>9045</v>
      </c>
      <c r="E10337">
        <v>2019</v>
      </c>
      <c r="F10337">
        <v>1</v>
      </c>
      <c r="G10337">
        <v>99216</v>
      </c>
      <c r="H10337" s="1">
        <v>4</v>
      </c>
      <c r="I10337">
        <v>4</v>
      </c>
      <c r="J10337">
        <f>IF($H10337=0,1,IF($I10337&lt;=1,2,0))</f>
        <v>0</v>
      </c>
      <c r="K10337">
        <v>5</v>
      </c>
      <c r="L10337">
        <f>IF(AND($J10337=0,$K10337=0),0,1)</f>
        <v>1</v>
      </c>
      <c r="M10337" t="s">
        <v>695</v>
      </c>
    </row>
    <row r="10338" spans="1:13" x14ac:dyDescent="0.2">
      <c r="A10338" t="s">
        <v>685</v>
      </c>
      <c r="B10338" t="s">
        <v>17</v>
      </c>
      <c r="C10338" t="s">
        <v>11</v>
      </c>
      <c r="D10338">
        <v>9811</v>
      </c>
      <c r="E10338">
        <v>2019</v>
      </c>
      <c r="F10338">
        <v>8</v>
      </c>
      <c r="G10338">
        <v>99274</v>
      </c>
      <c r="H10338" s="1" t="s">
        <v>1835</v>
      </c>
      <c r="I10338">
        <v>1</v>
      </c>
      <c r="J10338">
        <f>IF($H10338=0,1,IF($I10338&lt;=1,2,0))</f>
        <v>2</v>
      </c>
      <c r="K10338">
        <v>5</v>
      </c>
      <c r="L10338">
        <f>IF(AND($J10338=0,$K10338=0),0,1)</f>
        <v>1</v>
      </c>
      <c r="M10338" t="s">
        <v>695</v>
      </c>
    </row>
    <row r="10339" spans="1:13" x14ac:dyDescent="0.2">
      <c r="A10339" t="s">
        <v>685</v>
      </c>
      <c r="B10339" t="s">
        <v>17</v>
      </c>
      <c r="C10339" t="s">
        <v>11</v>
      </c>
      <c r="D10339">
        <v>9811</v>
      </c>
      <c r="E10339">
        <v>2019</v>
      </c>
      <c r="F10339">
        <v>10</v>
      </c>
      <c r="G10339">
        <v>10587</v>
      </c>
      <c r="H10339" s="1" t="s">
        <v>1835</v>
      </c>
      <c r="I10339">
        <v>1</v>
      </c>
      <c r="J10339">
        <f>IF($H10339=0,1,IF($I10339&lt;=1,2,0))</f>
        <v>2</v>
      </c>
      <c r="K10339">
        <v>5</v>
      </c>
      <c r="L10339">
        <f>IF(AND($J10339=0,$K10339=0),0,1)</f>
        <v>1</v>
      </c>
      <c r="M10339" t="s">
        <v>696</v>
      </c>
    </row>
    <row r="10340" spans="1:13" x14ac:dyDescent="0.2">
      <c r="A10340" t="s">
        <v>685</v>
      </c>
      <c r="B10340" t="s">
        <v>17</v>
      </c>
      <c r="C10340" t="s">
        <v>11</v>
      </c>
      <c r="D10340">
        <v>9811</v>
      </c>
      <c r="E10340">
        <v>2019</v>
      </c>
      <c r="F10340">
        <v>11</v>
      </c>
      <c r="G10340">
        <v>10805</v>
      </c>
      <c r="H10340" s="1" t="s">
        <v>1835</v>
      </c>
      <c r="I10340">
        <v>1</v>
      </c>
      <c r="J10340">
        <f>IF($H10340=0,1,IF($I10340&lt;=1,2,0))</f>
        <v>2</v>
      </c>
      <c r="K10340">
        <v>5</v>
      </c>
      <c r="L10340">
        <f>IF(AND($J10340=0,$K10340=0),0,1)</f>
        <v>1</v>
      </c>
      <c r="M10340" t="s">
        <v>695</v>
      </c>
    </row>
    <row r="10341" spans="1:13" x14ac:dyDescent="0.2">
      <c r="A10341" t="s">
        <v>685</v>
      </c>
      <c r="B10341" t="s">
        <v>17</v>
      </c>
      <c r="C10341" t="s">
        <v>11</v>
      </c>
      <c r="D10341">
        <v>9811</v>
      </c>
      <c r="E10341">
        <v>2019</v>
      </c>
      <c r="F10341">
        <v>1</v>
      </c>
      <c r="G10341">
        <v>99281</v>
      </c>
      <c r="H10341" s="1" t="s">
        <v>1835</v>
      </c>
      <c r="I10341">
        <v>0</v>
      </c>
      <c r="J10341">
        <f>IF($H10341=0,1,IF($I10341&lt;=1,2,0))</f>
        <v>2</v>
      </c>
      <c r="K10341">
        <v>5</v>
      </c>
      <c r="L10341">
        <f>IF(AND($J10341=0,$K10341=0),0,1)</f>
        <v>1</v>
      </c>
      <c r="M10341" t="s">
        <v>695</v>
      </c>
    </row>
    <row r="10342" spans="1:13" x14ac:dyDescent="0.2">
      <c r="A10342" t="s">
        <v>685</v>
      </c>
      <c r="B10342" t="s">
        <v>17</v>
      </c>
      <c r="C10342" t="s">
        <v>11</v>
      </c>
      <c r="D10342">
        <v>9811</v>
      </c>
      <c r="E10342">
        <v>2019</v>
      </c>
      <c r="F10342">
        <v>2</v>
      </c>
      <c r="G10342">
        <v>99280</v>
      </c>
      <c r="H10342" s="1" t="s">
        <v>1835</v>
      </c>
      <c r="I10342">
        <v>0</v>
      </c>
      <c r="J10342">
        <f>IF($H10342=0,1,IF($I10342&lt;=1,2,0))</f>
        <v>2</v>
      </c>
      <c r="K10342">
        <v>5</v>
      </c>
      <c r="L10342">
        <f>IF(AND($J10342=0,$K10342=0),0,1)</f>
        <v>1</v>
      </c>
      <c r="M10342" t="s">
        <v>695</v>
      </c>
    </row>
    <row r="10343" spans="1:13" x14ac:dyDescent="0.2">
      <c r="A10343" t="s">
        <v>685</v>
      </c>
      <c r="B10343" t="s">
        <v>17</v>
      </c>
      <c r="C10343" t="s">
        <v>11</v>
      </c>
      <c r="D10343">
        <v>9811</v>
      </c>
      <c r="E10343">
        <v>2019</v>
      </c>
      <c r="F10343">
        <v>3</v>
      </c>
      <c r="G10343">
        <v>99279</v>
      </c>
      <c r="H10343" s="1" t="s">
        <v>1835</v>
      </c>
      <c r="I10343">
        <v>0</v>
      </c>
      <c r="J10343">
        <f>IF($H10343=0,1,IF($I10343&lt;=1,2,0))</f>
        <v>2</v>
      </c>
      <c r="K10343">
        <v>5</v>
      </c>
      <c r="L10343">
        <f>IF(AND($J10343=0,$K10343=0),0,1)</f>
        <v>1</v>
      </c>
      <c r="M10343" t="s">
        <v>695</v>
      </c>
    </row>
    <row r="10344" spans="1:13" x14ac:dyDescent="0.2">
      <c r="A10344" t="s">
        <v>685</v>
      </c>
      <c r="B10344" t="s">
        <v>17</v>
      </c>
      <c r="C10344" t="s">
        <v>11</v>
      </c>
      <c r="D10344">
        <v>9811</v>
      </c>
      <c r="E10344">
        <v>2019</v>
      </c>
      <c r="F10344">
        <v>4</v>
      </c>
      <c r="G10344">
        <v>99278</v>
      </c>
      <c r="H10344" s="1" t="s">
        <v>1835</v>
      </c>
      <c r="I10344">
        <v>0</v>
      </c>
      <c r="J10344">
        <f>IF($H10344=0,1,IF($I10344&lt;=1,2,0))</f>
        <v>2</v>
      </c>
      <c r="K10344">
        <v>5</v>
      </c>
      <c r="L10344">
        <f>IF(AND($J10344=0,$K10344=0),0,1)</f>
        <v>1</v>
      </c>
      <c r="M10344" t="s">
        <v>695</v>
      </c>
    </row>
    <row r="10345" spans="1:13" x14ac:dyDescent="0.2">
      <c r="A10345" t="s">
        <v>685</v>
      </c>
      <c r="B10345" t="s">
        <v>17</v>
      </c>
      <c r="C10345" t="s">
        <v>11</v>
      </c>
      <c r="D10345">
        <v>9811</v>
      </c>
      <c r="E10345">
        <v>2019</v>
      </c>
      <c r="F10345">
        <v>5</v>
      </c>
      <c r="G10345">
        <v>99277</v>
      </c>
      <c r="H10345" s="1" t="s">
        <v>1835</v>
      </c>
      <c r="I10345">
        <v>0</v>
      </c>
      <c r="J10345">
        <f>IF($H10345=0,1,IF($I10345&lt;=1,2,0))</f>
        <v>2</v>
      </c>
      <c r="K10345">
        <v>5</v>
      </c>
      <c r="L10345">
        <f>IF(AND($J10345=0,$K10345=0),0,1)</f>
        <v>1</v>
      </c>
      <c r="M10345" t="s">
        <v>695</v>
      </c>
    </row>
    <row r="10346" spans="1:13" x14ac:dyDescent="0.2">
      <c r="A10346" t="s">
        <v>685</v>
      </c>
      <c r="B10346" t="s">
        <v>17</v>
      </c>
      <c r="C10346" t="s">
        <v>11</v>
      </c>
      <c r="D10346">
        <v>9811</v>
      </c>
      <c r="E10346">
        <v>2019</v>
      </c>
      <c r="F10346">
        <v>6</v>
      </c>
      <c r="G10346">
        <v>99276</v>
      </c>
      <c r="H10346" s="1" t="s">
        <v>1835</v>
      </c>
      <c r="I10346">
        <v>0</v>
      </c>
      <c r="J10346">
        <f>IF($H10346=0,1,IF($I10346&lt;=1,2,0))</f>
        <v>2</v>
      </c>
      <c r="K10346">
        <v>5</v>
      </c>
      <c r="L10346">
        <f>IF(AND($J10346=0,$K10346=0),0,1)</f>
        <v>1</v>
      </c>
      <c r="M10346" t="s">
        <v>695</v>
      </c>
    </row>
    <row r="10347" spans="1:13" x14ac:dyDescent="0.2">
      <c r="A10347" t="s">
        <v>685</v>
      </c>
      <c r="B10347" t="s">
        <v>17</v>
      </c>
      <c r="C10347" t="s">
        <v>11</v>
      </c>
      <c r="D10347">
        <v>9811</v>
      </c>
      <c r="E10347">
        <v>2019</v>
      </c>
      <c r="F10347">
        <v>7</v>
      </c>
      <c r="G10347">
        <v>99275</v>
      </c>
      <c r="H10347" s="1" t="s">
        <v>1835</v>
      </c>
      <c r="I10347">
        <v>0</v>
      </c>
      <c r="J10347">
        <f>IF($H10347=0,1,IF($I10347&lt;=1,2,0))</f>
        <v>2</v>
      </c>
      <c r="K10347">
        <v>5</v>
      </c>
      <c r="L10347">
        <f>IF(AND($J10347=0,$K10347=0),0,1)</f>
        <v>1</v>
      </c>
      <c r="M10347" t="s">
        <v>695</v>
      </c>
    </row>
    <row r="10348" spans="1:13" x14ac:dyDescent="0.2">
      <c r="A10348" t="s">
        <v>685</v>
      </c>
      <c r="B10348" t="s">
        <v>17</v>
      </c>
      <c r="C10348" t="s">
        <v>11</v>
      </c>
      <c r="D10348">
        <v>9811</v>
      </c>
      <c r="E10348">
        <v>2019</v>
      </c>
      <c r="F10348">
        <v>9</v>
      </c>
      <c r="G10348">
        <v>99273</v>
      </c>
      <c r="H10348" s="1" t="s">
        <v>1835</v>
      </c>
      <c r="I10348">
        <v>0</v>
      </c>
      <c r="J10348">
        <f>IF($H10348=0,1,IF($I10348&lt;=1,2,0))</f>
        <v>2</v>
      </c>
      <c r="K10348">
        <v>5</v>
      </c>
      <c r="L10348">
        <f>IF(AND($J10348=0,$K10348=0),0,1)</f>
        <v>1</v>
      </c>
      <c r="M10348" t="s">
        <v>695</v>
      </c>
    </row>
    <row r="10349" spans="1:13" x14ac:dyDescent="0.2">
      <c r="A10349" t="s">
        <v>698</v>
      </c>
      <c r="B10349" t="s">
        <v>133</v>
      </c>
      <c r="C10349" t="s">
        <v>9</v>
      </c>
      <c r="D10349">
        <v>3107</v>
      </c>
      <c r="E10349">
        <v>2019</v>
      </c>
      <c r="F10349">
        <v>1</v>
      </c>
      <c r="G10349">
        <v>48428</v>
      </c>
      <c r="H10349" s="1">
        <v>3</v>
      </c>
      <c r="I10349">
        <v>1</v>
      </c>
      <c r="J10349">
        <f>IF($H10349=0,1,IF($I10349&lt;=1,2,0))</f>
        <v>2</v>
      </c>
      <c r="K10349">
        <v>0</v>
      </c>
      <c r="L10349">
        <f>IF(AND($J10349=0,$K10349=0),0,1)</f>
        <v>1</v>
      </c>
      <c r="M10349" t="s">
        <v>699</v>
      </c>
    </row>
    <row r="10350" spans="1:13" x14ac:dyDescent="0.2">
      <c r="A10350" t="s">
        <v>698</v>
      </c>
      <c r="B10350" t="s">
        <v>133</v>
      </c>
      <c r="C10350" t="s">
        <v>9</v>
      </c>
      <c r="D10350">
        <v>3107</v>
      </c>
      <c r="E10350">
        <v>2019</v>
      </c>
      <c r="F10350">
        <v>2</v>
      </c>
      <c r="G10350">
        <v>17787</v>
      </c>
      <c r="H10350" s="1">
        <v>3</v>
      </c>
      <c r="I10350">
        <v>1</v>
      </c>
      <c r="J10350">
        <f>IF($H10350=0,1,IF($I10350&lt;=1,2,0))</f>
        <v>2</v>
      </c>
      <c r="K10350">
        <v>0</v>
      </c>
      <c r="L10350">
        <f>IF(AND($J10350=0,$K10350=0),0,1)</f>
        <v>1</v>
      </c>
      <c r="M10350" t="s">
        <v>699</v>
      </c>
    </row>
    <row r="10351" spans="1:13" x14ac:dyDescent="0.2">
      <c r="A10351" t="s">
        <v>698</v>
      </c>
      <c r="B10351" t="s">
        <v>133</v>
      </c>
      <c r="C10351" t="s">
        <v>9</v>
      </c>
      <c r="D10351">
        <v>4203</v>
      </c>
      <c r="E10351">
        <v>2019</v>
      </c>
      <c r="F10351">
        <v>4</v>
      </c>
      <c r="G10351">
        <v>48480</v>
      </c>
      <c r="H10351" s="1">
        <v>3</v>
      </c>
      <c r="I10351">
        <v>51</v>
      </c>
      <c r="J10351">
        <f>IF($H10351=0,1,IF($I10351&lt;=1,2,0))</f>
        <v>0</v>
      </c>
      <c r="K10351">
        <v>4</v>
      </c>
      <c r="L10351">
        <f>IF(AND($J10351=0,$K10351=0),0,1)</f>
        <v>1</v>
      </c>
      <c r="M10351" t="s">
        <v>702</v>
      </c>
    </row>
    <row r="10352" spans="1:13" x14ac:dyDescent="0.2">
      <c r="A10352" t="s">
        <v>698</v>
      </c>
      <c r="B10352" t="s">
        <v>133</v>
      </c>
      <c r="C10352" t="s">
        <v>9</v>
      </c>
      <c r="D10352">
        <v>4203</v>
      </c>
      <c r="E10352">
        <v>2019</v>
      </c>
      <c r="F10352">
        <v>2</v>
      </c>
      <c r="G10352">
        <v>48478</v>
      </c>
      <c r="H10352" s="1">
        <v>3</v>
      </c>
      <c r="I10352">
        <v>3</v>
      </c>
      <c r="J10352">
        <f>IF($H10352=0,1,IF($I10352&lt;=1,2,0))</f>
        <v>0</v>
      </c>
      <c r="K10352">
        <v>4</v>
      </c>
      <c r="L10352">
        <f>IF(AND($J10352=0,$K10352=0),0,1)</f>
        <v>1</v>
      </c>
      <c r="M10352" t="s">
        <v>701</v>
      </c>
    </row>
    <row r="10353" spans="1:13" x14ac:dyDescent="0.2">
      <c r="A10353" t="s">
        <v>698</v>
      </c>
      <c r="B10353" t="s">
        <v>133</v>
      </c>
      <c r="C10353" t="s">
        <v>9</v>
      </c>
      <c r="D10353">
        <v>4204</v>
      </c>
      <c r="E10353">
        <v>2019</v>
      </c>
      <c r="F10353">
        <v>4</v>
      </c>
      <c r="G10353">
        <v>48441</v>
      </c>
      <c r="H10353" s="1">
        <v>3</v>
      </c>
      <c r="I10353">
        <v>9</v>
      </c>
      <c r="J10353">
        <f>IF($H10353=0,1,IF($I10353&lt;=1,2,0))</f>
        <v>0</v>
      </c>
      <c r="K10353">
        <v>4</v>
      </c>
      <c r="L10353">
        <f>IF(AND($J10353=0,$K10353=0),0,1)</f>
        <v>1</v>
      </c>
      <c r="M10353" t="s">
        <v>702</v>
      </c>
    </row>
    <row r="10354" spans="1:13" x14ac:dyDescent="0.2">
      <c r="A10354" t="s">
        <v>698</v>
      </c>
      <c r="B10354" t="s">
        <v>133</v>
      </c>
      <c r="C10354" t="s">
        <v>9</v>
      </c>
      <c r="D10354">
        <v>4204</v>
      </c>
      <c r="E10354">
        <v>2019</v>
      </c>
      <c r="F10354">
        <v>2</v>
      </c>
      <c r="G10354">
        <v>48439</v>
      </c>
      <c r="H10354" s="1">
        <v>3</v>
      </c>
      <c r="I10354">
        <v>2</v>
      </c>
      <c r="J10354">
        <f>IF($H10354=0,1,IF($I10354&lt;=1,2,0))</f>
        <v>0</v>
      </c>
      <c r="K10354">
        <v>4</v>
      </c>
      <c r="L10354">
        <f>IF(AND($J10354=0,$K10354=0),0,1)</f>
        <v>1</v>
      </c>
      <c r="M10354" t="s">
        <v>703</v>
      </c>
    </row>
    <row r="10355" spans="1:13" x14ac:dyDescent="0.2">
      <c r="A10355" t="s">
        <v>698</v>
      </c>
      <c r="B10355" t="s">
        <v>133</v>
      </c>
      <c r="C10355" t="s">
        <v>11</v>
      </c>
      <c r="D10355">
        <v>4263</v>
      </c>
      <c r="E10355">
        <v>2019</v>
      </c>
      <c r="F10355">
        <v>1</v>
      </c>
      <c r="G10355">
        <v>48447</v>
      </c>
      <c r="H10355" s="1">
        <v>3</v>
      </c>
      <c r="I10355">
        <v>0</v>
      </c>
      <c r="J10355">
        <f>IF($H10355=0,1,IF($I10355&lt;=1,2,0))</f>
        <v>2</v>
      </c>
      <c r="K10355">
        <v>0</v>
      </c>
      <c r="L10355">
        <f>IF(AND($J10355=0,$K10355=0),0,1)</f>
        <v>1</v>
      </c>
    </row>
    <row r="10356" spans="1:13" x14ac:dyDescent="0.2">
      <c r="A10356" t="s">
        <v>698</v>
      </c>
      <c r="B10356" t="s">
        <v>133</v>
      </c>
      <c r="C10356" t="s">
        <v>11</v>
      </c>
      <c r="D10356">
        <v>4264</v>
      </c>
      <c r="E10356">
        <v>2019</v>
      </c>
      <c r="F10356">
        <v>2</v>
      </c>
      <c r="G10356">
        <v>48457</v>
      </c>
      <c r="H10356" s="1">
        <v>3</v>
      </c>
      <c r="I10356">
        <v>1</v>
      </c>
      <c r="J10356">
        <f>IF($H10356=0,1,IF($I10356&lt;=1,2,0))</f>
        <v>2</v>
      </c>
      <c r="K10356">
        <v>0</v>
      </c>
      <c r="L10356">
        <f>IF(AND($J10356=0,$K10356=0),0,1)</f>
        <v>1</v>
      </c>
    </row>
    <row r="10357" spans="1:13" x14ac:dyDescent="0.2">
      <c r="A10357" t="s">
        <v>698</v>
      </c>
      <c r="B10357" t="s">
        <v>133</v>
      </c>
      <c r="C10357" t="s">
        <v>9</v>
      </c>
      <c r="D10357">
        <v>4291</v>
      </c>
      <c r="E10357">
        <v>2019</v>
      </c>
      <c r="F10357">
        <v>1</v>
      </c>
      <c r="G10357">
        <v>48460</v>
      </c>
      <c r="H10357" s="1">
        <v>3</v>
      </c>
      <c r="I10357">
        <v>0</v>
      </c>
      <c r="J10357">
        <f>IF($H10357=0,1,IF($I10357&lt;=1,2,0))</f>
        <v>2</v>
      </c>
      <c r="K10357">
        <v>0</v>
      </c>
      <c r="L10357">
        <f>IF(AND($J10357=0,$K10357=0),0,1)</f>
        <v>1</v>
      </c>
    </row>
    <row r="10358" spans="1:13" x14ac:dyDescent="0.2">
      <c r="A10358" t="s">
        <v>698</v>
      </c>
      <c r="B10358" t="s">
        <v>133</v>
      </c>
      <c r="C10358" t="s">
        <v>9</v>
      </c>
      <c r="D10358">
        <v>5203</v>
      </c>
      <c r="E10358">
        <v>2019</v>
      </c>
      <c r="F10358">
        <v>6</v>
      </c>
      <c r="G10358">
        <v>48465</v>
      </c>
      <c r="H10358" s="1">
        <v>3</v>
      </c>
      <c r="I10358">
        <v>125</v>
      </c>
      <c r="J10358">
        <f>IF($H10358=0,1,IF($I10358&lt;=1,2,0))</f>
        <v>0</v>
      </c>
      <c r="K10358">
        <v>4</v>
      </c>
      <c r="L10358">
        <f>IF(AND($J10358=0,$K10358=0),0,1)</f>
        <v>1</v>
      </c>
      <c r="M10358" t="s">
        <v>1970</v>
      </c>
    </row>
    <row r="10359" spans="1:13" x14ac:dyDescent="0.2">
      <c r="A10359" t="s">
        <v>698</v>
      </c>
      <c r="B10359" t="s">
        <v>133</v>
      </c>
      <c r="C10359" t="s">
        <v>9</v>
      </c>
      <c r="D10359">
        <v>5203</v>
      </c>
      <c r="E10359">
        <v>2019</v>
      </c>
      <c r="F10359">
        <v>2</v>
      </c>
      <c r="G10359">
        <v>48461</v>
      </c>
      <c r="H10359" s="1">
        <v>3</v>
      </c>
      <c r="I10359">
        <v>105</v>
      </c>
      <c r="J10359">
        <f>IF($H10359=0,1,IF($I10359&lt;=1,2,0))</f>
        <v>0</v>
      </c>
      <c r="K10359">
        <v>4</v>
      </c>
      <c r="L10359">
        <f>IF(AND($J10359=0,$K10359=0),0,1)</f>
        <v>1</v>
      </c>
      <c r="M10359" t="s">
        <v>704</v>
      </c>
    </row>
    <row r="10360" spans="1:13" x14ac:dyDescent="0.2">
      <c r="A10360" t="s">
        <v>698</v>
      </c>
      <c r="B10360" t="s">
        <v>133</v>
      </c>
      <c r="C10360" t="s">
        <v>9</v>
      </c>
      <c r="D10360">
        <v>5203</v>
      </c>
      <c r="E10360">
        <v>2019</v>
      </c>
      <c r="F10360" t="s">
        <v>707</v>
      </c>
      <c r="G10360">
        <v>48463</v>
      </c>
      <c r="H10360" s="1">
        <v>3</v>
      </c>
      <c r="I10360">
        <v>60</v>
      </c>
      <c r="J10360">
        <f>IF($H10360=0,1,IF($I10360&lt;=1,2,0))</f>
        <v>0</v>
      </c>
      <c r="K10360">
        <v>4</v>
      </c>
      <c r="L10360">
        <f>IF(AND($J10360=0,$K10360=0),0,1)</f>
        <v>1</v>
      </c>
      <c r="M10360" t="s">
        <v>708</v>
      </c>
    </row>
    <row r="10361" spans="1:13" x14ac:dyDescent="0.2">
      <c r="A10361" t="s">
        <v>698</v>
      </c>
      <c r="B10361" t="s">
        <v>133</v>
      </c>
      <c r="C10361" t="s">
        <v>9</v>
      </c>
      <c r="D10361">
        <v>5203</v>
      </c>
      <c r="E10361">
        <v>2019</v>
      </c>
      <c r="F10361">
        <v>5</v>
      </c>
      <c r="G10361">
        <v>48464</v>
      </c>
      <c r="H10361" s="1">
        <v>3</v>
      </c>
      <c r="I10361">
        <v>47</v>
      </c>
      <c r="J10361">
        <f>IF($H10361=0,1,IF($I10361&lt;=1,2,0))</f>
        <v>0</v>
      </c>
      <c r="K10361">
        <v>4</v>
      </c>
      <c r="L10361">
        <f>IF(AND($J10361=0,$K10361=0),0,1)</f>
        <v>1</v>
      </c>
      <c r="M10361" t="s">
        <v>706</v>
      </c>
    </row>
    <row r="10362" spans="1:13" x14ac:dyDescent="0.2">
      <c r="A10362" t="s">
        <v>698</v>
      </c>
      <c r="B10362" t="s">
        <v>133</v>
      </c>
      <c r="C10362" t="s">
        <v>9</v>
      </c>
      <c r="D10362">
        <v>5203</v>
      </c>
      <c r="E10362">
        <v>2019</v>
      </c>
      <c r="F10362">
        <v>3</v>
      </c>
      <c r="G10362">
        <v>48462</v>
      </c>
      <c r="H10362" s="1">
        <v>3</v>
      </c>
      <c r="I10362">
        <v>15</v>
      </c>
      <c r="J10362">
        <f>IF($H10362=0,1,IF($I10362&lt;=1,2,0))</f>
        <v>0</v>
      </c>
      <c r="K10362">
        <v>4</v>
      </c>
      <c r="L10362">
        <f>IF(AND($J10362=0,$K10362=0),0,1)</f>
        <v>1</v>
      </c>
      <c r="M10362" t="s">
        <v>705</v>
      </c>
    </row>
    <row r="10363" spans="1:13" x14ac:dyDescent="0.2">
      <c r="A10363" t="s">
        <v>698</v>
      </c>
      <c r="B10363" t="s">
        <v>133</v>
      </c>
      <c r="C10363" t="s">
        <v>9</v>
      </c>
      <c r="D10363">
        <v>5204</v>
      </c>
      <c r="E10363">
        <v>2019</v>
      </c>
      <c r="F10363">
        <v>6</v>
      </c>
      <c r="G10363">
        <v>48469</v>
      </c>
      <c r="H10363" s="1">
        <v>3</v>
      </c>
      <c r="I10363">
        <v>129</v>
      </c>
      <c r="J10363">
        <f>IF($H10363=0,1,IF($I10363&lt;=1,2,0))</f>
        <v>0</v>
      </c>
      <c r="K10363">
        <v>4</v>
      </c>
      <c r="L10363">
        <f>IF(AND($J10363=0,$K10363=0),0,1)</f>
        <v>1</v>
      </c>
      <c r="M10363" t="s">
        <v>709</v>
      </c>
    </row>
    <row r="10364" spans="1:13" x14ac:dyDescent="0.2">
      <c r="A10364" t="s">
        <v>698</v>
      </c>
      <c r="B10364" t="s">
        <v>133</v>
      </c>
      <c r="C10364" t="s">
        <v>9</v>
      </c>
      <c r="D10364">
        <v>5204</v>
      </c>
      <c r="E10364">
        <v>2019</v>
      </c>
      <c r="F10364">
        <v>2</v>
      </c>
      <c r="G10364">
        <v>48466</v>
      </c>
      <c r="H10364" s="1">
        <v>3</v>
      </c>
      <c r="I10364">
        <v>113</v>
      </c>
      <c r="J10364">
        <f>IF($H10364=0,1,IF($I10364&lt;=1,2,0))</f>
        <v>0</v>
      </c>
      <c r="K10364">
        <v>4</v>
      </c>
      <c r="L10364">
        <f>IF(AND($J10364=0,$K10364=0),0,1)</f>
        <v>1</v>
      </c>
      <c r="M10364" t="s">
        <v>1971</v>
      </c>
    </row>
    <row r="10365" spans="1:13" x14ac:dyDescent="0.2">
      <c r="A10365" t="s">
        <v>698</v>
      </c>
      <c r="B10365" t="s">
        <v>133</v>
      </c>
      <c r="C10365" t="s">
        <v>9</v>
      </c>
      <c r="D10365">
        <v>5204</v>
      </c>
      <c r="E10365">
        <v>2019</v>
      </c>
      <c r="F10365" t="s">
        <v>707</v>
      </c>
      <c r="G10365">
        <v>48470</v>
      </c>
      <c r="H10365" s="1">
        <v>3</v>
      </c>
      <c r="I10365">
        <v>61</v>
      </c>
      <c r="J10365">
        <f>IF($H10365=0,1,IF($I10365&lt;=1,2,0))</f>
        <v>0</v>
      </c>
      <c r="K10365">
        <v>4</v>
      </c>
      <c r="L10365">
        <f>IF(AND($J10365=0,$K10365=0),0,1)</f>
        <v>1</v>
      </c>
      <c r="M10365" t="s">
        <v>710</v>
      </c>
    </row>
    <row r="10366" spans="1:13" x14ac:dyDescent="0.2">
      <c r="A10366" t="s">
        <v>698</v>
      </c>
      <c r="B10366" t="s">
        <v>133</v>
      </c>
      <c r="C10366" t="s">
        <v>9</v>
      </c>
      <c r="D10366">
        <v>5204</v>
      </c>
      <c r="E10366">
        <v>2019</v>
      </c>
      <c r="F10366">
        <v>5</v>
      </c>
      <c r="G10366">
        <v>48468</v>
      </c>
      <c r="H10366" s="1">
        <v>3</v>
      </c>
      <c r="I10366">
        <v>47</v>
      </c>
      <c r="J10366">
        <f>IF($H10366=0,1,IF($I10366&lt;=1,2,0))</f>
        <v>0</v>
      </c>
      <c r="K10366">
        <v>4</v>
      </c>
      <c r="L10366">
        <f>IF(AND($J10366=0,$K10366=0),0,1)</f>
        <v>1</v>
      </c>
      <c r="M10366" t="s">
        <v>1971</v>
      </c>
    </row>
    <row r="10367" spans="1:13" x14ac:dyDescent="0.2">
      <c r="A10367" t="s">
        <v>698</v>
      </c>
      <c r="B10367" t="s">
        <v>133</v>
      </c>
      <c r="C10367" t="s">
        <v>9</v>
      </c>
      <c r="D10367">
        <v>5204</v>
      </c>
      <c r="E10367">
        <v>2019</v>
      </c>
      <c r="F10367">
        <v>3</v>
      </c>
      <c r="G10367">
        <v>48467</v>
      </c>
      <c r="H10367" s="1">
        <v>3</v>
      </c>
      <c r="I10367">
        <v>3</v>
      </c>
      <c r="J10367">
        <f>IF($H10367=0,1,IF($I10367&lt;=1,2,0))</f>
        <v>0</v>
      </c>
      <c r="K10367">
        <v>4</v>
      </c>
      <c r="L10367">
        <f>IF(AND($J10367=0,$K10367=0),0,1)</f>
        <v>1</v>
      </c>
      <c r="M10367" t="s">
        <v>705</v>
      </c>
    </row>
    <row r="10368" spans="1:13" x14ac:dyDescent="0.2">
      <c r="A10368" t="s">
        <v>698</v>
      </c>
      <c r="B10368" t="s">
        <v>133</v>
      </c>
      <c r="C10368" t="s">
        <v>9</v>
      </c>
      <c r="D10368">
        <v>5205</v>
      </c>
      <c r="E10368">
        <v>2019</v>
      </c>
      <c r="F10368">
        <v>4</v>
      </c>
      <c r="G10368">
        <v>48474</v>
      </c>
      <c r="H10368" s="1">
        <v>3</v>
      </c>
      <c r="I10368">
        <v>84</v>
      </c>
      <c r="J10368">
        <f>IF($H10368=0,1,IF($I10368&lt;=1,2,0))</f>
        <v>0</v>
      </c>
      <c r="K10368">
        <v>4</v>
      </c>
      <c r="L10368">
        <f>IF(AND($J10368=0,$K10368=0),0,1)</f>
        <v>1</v>
      </c>
      <c r="M10368" t="s">
        <v>705</v>
      </c>
    </row>
    <row r="10369" spans="1:13" x14ac:dyDescent="0.2">
      <c r="A10369" t="s">
        <v>698</v>
      </c>
      <c r="B10369" t="s">
        <v>133</v>
      </c>
      <c r="C10369" t="s">
        <v>9</v>
      </c>
      <c r="D10369">
        <v>5205</v>
      </c>
      <c r="E10369">
        <v>2019</v>
      </c>
      <c r="F10369">
        <v>2</v>
      </c>
      <c r="G10369">
        <v>48473</v>
      </c>
      <c r="H10369" s="1">
        <v>3</v>
      </c>
      <c r="I10369">
        <v>83</v>
      </c>
      <c r="J10369">
        <f>IF($H10369=0,1,IF($I10369&lt;=1,2,0))</f>
        <v>0</v>
      </c>
      <c r="K10369">
        <v>4</v>
      </c>
      <c r="L10369">
        <f>IF(AND($J10369=0,$K10369=0),0,1)</f>
        <v>1</v>
      </c>
      <c r="M10369" t="s">
        <v>705</v>
      </c>
    </row>
    <row r="10370" spans="1:13" x14ac:dyDescent="0.2">
      <c r="A10370" t="s">
        <v>698</v>
      </c>
      <c r="B10370" t="s">
        <v>133</v>
      </c>
      <c r="C10370" t="s">
        <v>9</v>
      </c>
      <c r="D10370">
        <v>5205</v>
      </c>
      <c r="E10370">
        <v>2019</v>
      </c>
      <c r="F10370">
        <v>3</v>
      </c>
      <c r="G10370">
        <v>48472</v>
      </c>
      <c r="H10370" s="1">
        <v>3</v>
      </c>
      <c r="I10370">
        <v>68</v>
      </c>
      <c r="J10370">
        <f>IF($H10370=0,1,IF($I10370&lt;=1,2,0))</f>
        <v>0</v>
      </c>
      <c r="K10370">
        <v>4</v>
      </c>
      <c r="L10370">
        <f>IF(AND($J10370=0,$K10370=0),0,1)</f>
        <v>1</v>
      </c>
      <c r="M10370" t="s">
        <v>705</v>
      </c>
    </row>
    <row r="10371" spans="1:13" x14ac:dyDescent="0.2">
      <c r="A10371" t="s">
        <v>698</v>
      </c>
      <c r="B10371" t="s">
        <v>133</v>
      </c>
      <c r="C10371" t="s">
        <v>9</v>
      </c>
      <c r="D10371">
        <v>5205</v>
      </c>
      <c r="E10371">
        <v>2019</v>
      </c>
      <c r="F10371">
        <v>5</v>
      </c>
      <c r="G10371">
        <v>48475</v>
      </c>
      <c r="H10371" s="1">
        <v>3</v>
      </c>
      <c r="I10371">
        <v>56</v>
      </c>
      <c r="J10371">
        <f>IF($H10371=0,1,IF($I10371&lt;=1,2,0))</f>
        <v>0</v>
      </c>
      <c r="K10371">
        <v>4</v>
      </c>
      <c r="L10371">
        <f>IF(AND($J10371=0,$K10371=0),0,1)</f>
        <v>1</v>
      </c>
      <c r="M10371" t="s">
        <v>1972</v>
      </c>
    </row>
    <row r="10372" spans="1:13" x14ac:dyDescent="0.2">
      <c r="A10372" t="s">
        <v>698</v>
      </c>
      <c r="B10372" t="s">
        <v>133</v>
      </c>
      <c r="C10372" t="s">
        <v>9</v>
      </c>
      <c r="D10372">
        <v>5205</v>
      </c>
      <c r="E10372">
        <v>2019</v>
      </c>
      <c r="F10372" t="s">
        <v>711</v>
      </c>
      <c r="G10372">
        <v>48476</v>
      </c>
      <c r="H10372" s="1">
        <v>3</v>
      </c>
      <c r="I10372">
        <v>56</v>
      </c>
      <c r="J10372">
        <f>IF($H10372=0,1,IF($I10372&lt;=1,2,0))</f>
        <v>0</v>
      </c>
      <c r="K10372">
        <v>4</v>
      </c>
      <c r="L10372">
        <f>IF(AND($J10372=0,$K10372=0),0,1)</f>
        <v>1</v>
      </c>
      <c r="M10372" t="s">
        <v>712</v>
      </c>
    </row>
    <row r="10373" spans="1:13" x14ac:dyDescent="0.2">
      <c r="A10373" t="s">
        <v>698</v>
      </c>
      <c r="B10373" t="s">
        <v>133</v>
      </c>
      <c r="C10373" t="s">
        <v>9</v>
      </c>
      <c r="D10373">
        <v>5206</v>
      </c>
      <c r="E10373">
        <v>2019</v>
      </c>
      <c r="F10373">
        <v>4</v>
      </c>
      <c r="G10373">
        <v>48484</v>
      </c>
      <c r="H10373" s="1">
        <v>3</v>
      </c>
      <c r="I10373">
        <v>97</v>
      </c>
      <c r="J10373">
        <f>IF($H10373=0,1,IF($I10373&lt;=1,2,0))</f>
        <v>0</v>
      </c>
      <c r="K10373">
        <v>4</v>
      </c>
      <c r="L10373">
        <f>IF(AND($J10373=0,$K10373=0),0,1)</f>
        <v>1</v>
      </c>
      <c r="M10373" t="s">
        <v>713</v>
      </c>
    </row>
    <row r="10374" spans="1:13" x14ac:dyDescent="0.2">
      <c r="A10374" t="s">
        <v>698</v>
      </c>
      <c r="B10374" t="s">
        <v>133</v>
      </c>
      <c r="C10374" t="s">
        <v>9</v>
      </c>
      <c r="D10374">
        <v>5206</v>
      </c>
      <c r="E10374">
        <v>2019</v>
      </c>
      <c r="F10374">
        <v>3</v>
      </c>
      <c r="G10374">
        <v>48483</v>
      </c>
      <c r="H10374" s="1">
        <v>3</v>
      </c>
      <c r="I10374">
        <v>92</v>
      </c>
      <c r="J10374">
        <f>IF($H10374=0,1,IF($I10374&lt;=1,2,0))</f>
        <v>0</v>
      </c>
      <c r="K10374">
        <v>4</v>
      </c>
      <c r="L10374">
        <f>IF(AND($J10374=0,$K10374=0),0,1)</f>
        <v>1</v>
      </c>
      <c r="M10374" t="s">
        <v>713</v>
      </c>
    </row>
    <row r="10375" spans="1:13" x14ac:dyDescent="0.2">
      <c r="A10375" t="s">
        <v>698</v>
      </c>
      <c r="B10375" t="s">
        <v>133</v>
      </c>
      <c r="C10375" t="s">
        <v>9</v>
      </c>
      <c r="D10375">
        <v>5206</v>
      </c>
      <c r="E10375">
        <v>2019</v>
      </c>
      <c r="F10375">
        <v>2</v>
      </c>
      <c r="G10375">
        <v>48482</v>
      </c>
      <c r="H10375" s="1">
        <v>3</v>
      </c>
      <c r="I10375">
        <v>63</v>
      </c>
      <c r="J10375">
        <f>IF($H10375=0,1,IF($I10375&lt;=1,2,0))</f>
        <v>0</v>
      </c>
      <c r="K10375">
        <v>4</v>
      </c>
      <c r="L10375">
        <f>IF(AND($J10375=0,$K10375=0),0,1)</f>
        <v>1</v>
      </c>
      <c r="M10375" t="s">
        <v>713</v>
      </c>
    </row>
    <row r="10376" spans="1:13" x14ac:dyDescent="0.2">
      <c r="A10376" t="s">
        <v>698</v>
      </c>
      <c r="B10376" t="s">
        <v>133</v>
      </c>
      <c r="C10376" t="s">
        <v>9</v>
      </c>
      <c r="D10376">
        <v>5206</v>
      </c>
      <c r="E10376">
        <v>2019</v>
      </c>
      <c r="F10376" t="s">
        <v>87</v>
      </c>
      <c r="G10376">
        <v>48481</v>
      </c>
      <c r="H10376" s="1">
        <v>3</v>
      </c>
      <c r="I10376">
        <v>59</v>
      </c>
      <c r="J10376">
        <f>IF($H10376=0,1,IF($I10376&lt;=1,2,0))</f>
        <v>0</v>
      </c>
      <c r="K10376">
        <v>4</v>
      </c>
      <c r="L10376">
        <f>IF(AND($J10376=0,$K10376=0),0,1)</f>
        <v>1</v>
      </c>
      <c r="M10376" t="s">
        <v>712</v>
      </c>
    </row>
    <row r="10377" spans="1:13" x14ac:dyDescent="0.2">
      <c r="A10377" t="s">
        <v>698</v>
      </c>
      <c r="B10377" t="s">
        <v>133</v>
      </c>
      <c r="C10377" t="s">
        <v>9</v>
      </c>
      <c r="D10377">
        <v>5206</v>
      </c>
      <c r="E10377">
        <v>2019</v>
      </c>
      <c r="F10377">
        <v>5</v>
      </c>
      <c r="G10377">
        <v>48485</v>
      </c>
      <c r="H10377" s="1">
        <v>3</v>
      </c>
      <c r="I10377">
        <v>17</v>
      </c>
      <c r="J10377">
        <f>IF($H10377=0,1,IF($I10377&lt;=1,2,0))</f>
        <v>0</v>
      </c>
      <c r="K10377">
        <v>4</v>
      </c>
      <c r="L10377">
        <f>IF(AND($J10377=0,$K10377=0),0,1)</f>
        <v>1</v>
      </c>
      <c r="M10377" t="s">
        <v>713</v>
      </c>
    </row>
    <row r="10378" spans="1:13" x14ac:dyDescent="0.2">
      <c r="A10378" t="s">
        <v>698</v>
      </c>
      <c r="B10378" t="s">
        <v>133</v>
      </c>
      <c r="C10378" t="s">
        <v>9</v>
      </c>
      <c r="D10378">
        <v>5207</v>
      </c>
      <c r="E10378">
        <v>2019</v>
      </c>
      <c r="F10378">
        <v>1</v>
      </c>
      <c r="G10378">
        <v>48486</v>
      </c>
      <c r="H10378" s="1">
        <v>3</v>
      </c>
      <c r="I10378">
        <v>11</v>
      </c>
      <c r="J10378">
        <f>IF($H10378=0,1,IF($I10378&lt;=1,2,0))</f>
        <v>0</v>
      </c>
      <c r="K10378">
        <v>4</v>
      </c>
      <c r="L10378">
        <f>IF(AND($J10378=0,$K10378=0),0,1)</f>
        <v>1</v>
      </c>
      <c r="M10378" t="s">
        <v>705</v>
      </c>
    </row>
    <row r="10379" spans="1:13" x14ac:dyDescent="0.2">
      <c r="A10379" t="s">
        <v>698</v>
      </c>
      <c r="B10379" t="s">
        <v>133</v>
      </c>
      <c r="C10379" t="s">
        <v>9</v>
      </c>
      <c r="D10379">
        <v>5221</v>
      </c>
      <c r="E10379">
        <v>2019</v>
      </c>
      <c r="F10379">
        <v>1</v>
      </c>
      <c r="G10379">
        <v>48487</v>
      </c>
      <c r="H10379" s="1">
        <v>3</v>
      </c>
      <c r="I10379">
        <v>5</v>
      </c>
      <c r="J10379">
        <f>IF($H10379=0,1,IF($I10379&lt;=1,2,0))</f>
        <v>0</v>
      </c>
      <c r="K10379">
        <v>4</v>
      </c>
      <c r="L10379">
        <f>IF(AND($J10379=0,$K10379=0),0,1)</f>
        <v>1</v>
      </c>
      <c r="M10379" t="s">
        <v>705</v>
      </c>
    </row>
    <row r="10380" spans="1:13" x14ac:dyDescent="0.2">
      <c r="A10380" t="s">
        <v>698</v>
      </c>
      <c r="B10380" t="s">
        <v>133</v>
      </c>
      <c r="C10380" t="s">
        <v>9</v>
      </c>
      <c r="D10380">
        <v>5224</v>
      </c>
      <c r="E10380">
        <v>2019</v>
      </c>
      <c r="F10380">
        <v>1</v>
      </c>
      <c r="G10380">
        <v>48488</v>
      </c>
      <c r="H10380" s="1">
        <v>3</v>
      </c>
      <c r="I10380">
        <v>6</v>
      </c>
      <c r="J10380">
        <f>IF($H10380=0,1,IF($I10380&lt;=1,2,0))</f>
        <v>0</v>
      </c>
      <c r="K10380">
        <v>4</v>
      </c>
      <c r="L10380">
        <f>IF(AND($J10380=0,$K10380=0),0,1)</f>
        <v>1</v>
      </c>
      <c r="M10380" t="s">
        <v>705</v>
      </c>
    </row>
    <row r="10381" spans="1:13" x14ac:dyDescent="0.2">
      <c r="A10381" t="s">
        <v>698</v>
      </c>
      <c r="B10381" t="s">
        <v>133</v>
      </c>
      <c r="C10381" t="s">
        <v>11</v>
      </c>
      <c r="D10381">
        <v>5234</v>
      </c>
      <c r="E10381">
        <v>2019</v>
      </c>
      <c r="F10381">
        <v>1</v>
      </c>
      <c r="G10381">
        <v>48489</v>
      </c>
      <c r="H10381" s="1">
        <v>3</v>
      </c>
      <c r="I10381">
        <v>54</v>
      </c>
      <c r="J10381">
        <f>IF($H10381=0,1,IF($I10381&lt;=1,2,0))</f>
        <v>0</v>
      </c>
      <c r="K10381">
        <v>4</v>
      </c>
      <c r="L10381">
        <f>IF(AND($J10381=0,$K10381=0),0,1)</f>
        <v>1</v>
      </c>
      <c r="M10381" t="s">
        <v>705</v>
      </c>
    </row>
    <row r="10382" spans="1:13" x14ac:dyDescent="0.2">
      <c r="A10382" t="s">
        <v>698</v>
      </c>
      <c r="B10382" t="s">
        <v>133</v>
      </c>
      <c r="C10382" t="s">
        <v>9</v>
      </c>
      <c r="D10382">
        <v>5242</v>
      </c>
      <c r="E10382">
        <v>2019</v>
      </c>
      <c r="F10382">
        <v>2</v>
      </c>
      <c r="G10382">
        <v>48492</v>
      </c>
      <c r="H10382" s="1">
        <v>3</v>
      </c>
      <c r="I10382">
        <v>91</v>
      </c>
      <c r="J10382">
        <f>IF($H10382=0,1,IF($I10382&lt;=1,2,0))</f>
        <v>0</v>
      </c>
      <c r="K10382">
        <v>4</v>
      </c>
      <c r="L10382">
        <f>IF(AND($J10382=0,$K10382=0),0,1)</f>
        <v>1</v>
      </c>
      <c r="M10382" t="s">
        <v>714</v>
      </c>
    </row>
    <row r="10383" spans="1:13" x14ac:dyDescent="0.2">
      <c r="A10383" t="s">
        <v>698</v>
      </c>
      <c r="B10383" t="s">
        <v>133</v>
      </c>
      <c r="C10383" t="s">
        <v>9</v>
      </c>
      <c r="D10383">
        <v>5242</v>
      </c>
      <c r="E10383">
        <v>2019</v>
      </c>
      <c r="F10383">
        <v>1</v>
      </c>
      <c r="G10383">
        <v>48491</v>
      </c>
      <c r="H10383" s="1">
        <v>3</v>
      </c>
      <c r="I10383">
        <v>68</v>
      </c>
      <c r="J10383">
        <f>IF($H10383=0,1,IF($I10383&lt;=1,2,0))</f>
        <v>0</v>
      </c>
      <c r="K10383">
        <v>4</v>
      </c>
      <c r="L10383">
        <f>IF(AND($J10383=0,$K10383=0),0,1)</f>
        <v>1</v>
      </c>
      <c r="M10383" t="s">
        <v>714</v>
      </c>
    </row>
    <row r="10384" spans="1:13" x14ac:dyDescent="0.2">
      <c r="A10384" t="s">
        <v>698</v>
      </c>
      <c r="B10384" t="s">
        <v>133</v>
      </c>
      <c r="C10384" t="s">
        <v>9</v>
      </c>
      <c r="D10384">
        <v>5243</v>
      </c>
      <c r="E10384">
        <v>2019</v>
      </c>
      <c r="F10384">
        <v>2</v>
      </c>
      <c r="G10384">
        <v>10783</v>
      </c>
      <c r="H10384" s="1">
        <v>3</v>
      </c>
      <c r="I10384">
        <v>33</v>
      </c>
      <c r="J10384">
        <f>IF($H10384=0,1,IF($I10384&lt;=1,2,0))</f>
        <v>0</v>
      </c>
      <c r="K10384">
        <v>4</v>
      </c>
      <c r="L10384">
        <f>IF(AND($J10384=0,$K10384=0),0,1)</f>
        <v>1</v>
      </c>
      <c r="M10384" t="s">
        <v>705</v>
      </c>
    </row>
    <row r="10385" spans="1:13" x14ac:dyDescent="0.2">
      <c r="A10385" t="s">
        <v>698</v>
      </c>
      <c r="B10385" t="s">
        <v>133</v>
      </c>
      <c r="C10385" t="s">
        <v>9</v>
      </c>
      <c r="D10385">
        <v>5243</v>
      </c>
      <c r="E10385">
        <v>2019</v>
      </c>
      <c r="F10385">
        <v>1</v>
      </c>
      <c r="G10385">
        <v>48490</v>
      </c>
      <c r="H10385" s="1">
        <v>3</v>
      </c>
      <c r="I10385">
        <v>23</v>
      </c>
      <c r="J10385">
        <f>IF($H10385=0,1,IF($I10385&lt;=1,2,0))</f>
        <v>0</v>
      </c>
      <c r="K10385">
        <v>4</v>
      </c>
      <c r="L10385">
        <f>IF(AND($J10385=0,$K10385=0),0,1)</f>
        <v>1</v>
      </c>
      <c r="M10385" t="s">
        <v>705</v>
      </c>
    </row>
    <row r="10386" spans="1:13" x14ac:dyDescent="0.2">
      <c r="A10386" t="s">
        <v>698</v>
      </c>
      <c r="B10386" t="s">
        <v>133</v>
      </c>
      <c r="C10386" t="s">
        <v>9</v>
      </c>
      <c r="D10386">
        <v>5261</v>
      </c>
      <c r="E10386">
        <v>2019</v>
      </c>
      <c r="F10386">
        <v>1</v>
      </c>
      <c r="G10386">
        <v>48493</v>
      </c>
      <c r="H10386" s="1">
        <v>3</v>
      </c>
      <c r="I10386">
        <v>62</v>
      </c>
      <c r="J10386">
        <f>IF($H10386=0,1,IF($I10386&lt;=1,2,0))</f>
        <v>0</v>
      </c>
      <c r="K10386">
        <v>4</v>
      </c>
      <c r="L10386">
        <f>IF(AND($J10386=0,$K10386=0),0,1)</f>
        <v>1</v>
      </c>
      <c r="M10386" t="s">
        <v>715</v>
      </c>
    </row>
    <row r="10387" spans="1:13" x14ac:dyDescent="0.2">
      <c r="A10387" t="s">
        <v>698</v>
      </c>
      <c r="B10387" t="s">
        <v>133</v>
      </c>
      <c r="C10387" t="s">
        <v>11</v>
      </c>
      <c r="D10387">
        <v>5263</v>
      </c>
      <c r="E10387">
        <v>2019</v>
      </c>
      <c r="F10387">
        <v>1</v>
      </c>
      <c r="G10387">
        <v>48494</v>
      </c>
      <c r="H10387" s="1">
        <v>3</v>
      </c>
      <c r="I10387">
        <v>96</v>
      </c>
      <c r="J10387">
        <f>IF($H10387=0,1,IF($I10387&lt;=1,2,0))</f>
        <v>0</v>
      </c>
      <c r="K10387">
        <v>4</v>
      </c>
      <c r="L10387">
        <f>IF(AND($J10387=0,$K10387=0),0,1)</f>
        <v>1</v>
      </c>
      <c r="M10387" t="s">
        <v>716</v>
      </c>
    </row>
    <row r="10388" spans="1:13" x14ac:dyDescent="0.2">
      <c r="A10388" t="s">
        <v>698</v>
      </c>
      <c r="B10388" t="s">
        <v>133</v>
      </c>
      <c r="C10388" t="s">
        <v>11</v>
      </c>
      <c r="D10388">
        <v>5263</v>
      </c>
      <c r="E10388">
        <v>2019</v>
      </c>
      <c r="F10388">
        <v>2</v>
      </c>
      <c r="G10388">
        <v>48495</v>
      </c>
      <c r="H10388" s="1">
        <v>3</v>
      </c>
      <c r="I10388">
        <v>26</v>
      </c>
      <c r="J10388">
        <f>IF($H10388=0,1,IF($I10388&lt;=1,2,0))</f>
        <v>0</v>
      </c>
      <c r="K10388">
        <v>4</v>
      </c>
      <c r="L10388">
        <f>IF(AND($J10388=0,$K10388=0),0,1)</f>
        <v>1</v>
      </c>
      <c r="M10388" t="s">
        <v>716</v>
      </c>
    </row>
    <row r="10389" spans="1:13" x14ac:dyDescent="0.2">
      <c r="A10389" t="s">
        <v>698</v>
      </c>
      <c r="B10389" t="s">
        <v>133</v>
      </c>
      <c r="C10389" t="s">
        <v>11</v>
      </c>
      <c r="D10389">
        <v>5264</v>
      </c>
      <c r="E10389">
        <v>2019</v>
      </c>
      <c r="F10389">
        <v>2</v>
      </c>
      <c r="G10389">
        <v>48497</v>
      </c>
      <c r="H10389" s="1">
        <v>3</v>
      </c>
      <c r="I10389">
        <v>77</v>
      </c>
      <c r="J10389">
        <f>IF($H10389=0,1,IF($I10389&lt;=1,2,0))</f>
        <v>0</v>
      </c>
      <c r="K10389">
        <v>4</v>
      </c>
      <c r="L10389">
        <f>IF(AND($J10389=0,$K10389=0),0,1)</f>
        <v>1</v>
      </c>
      <c r="M10389" t="s">
        <v>715</v>
      </c>
    </row>
    <row r="10390" spans="1:13" x14ac:dyDescent="0.2">
      <c r="A10390" t="s">
        <v>698</v>
      </c>
      <c r="B10390" t="s">
        <v>133</v>
      </c>
      <c r="C10390" t="s">
        <v>11</v>
      </c>
      <c r="D10390">
        <v>5264</v>
      </c>
      <c r="E10390">
        <v>2019</v>
      </c>
      <c r="F10390">
        <v>1</v>
      </c>
      <c r="G10390">
        <v>48496</v>
      </c>
      <c r="H10390" s="1">
        <v>3</v>
      </c>
      <c r="I10390">
        <v>46</v>
      </c>
      <c r="J10390">
        <f>IF($H10390=0,1,IF($I10390&lt;=1,2,0))</f>
        <v>0</v>
      </c>
      <c r="K10390">
        <v>4</v>
      </c>
      <c r="L10390">
        <f>IF(AND($J10390=0,$K10390=0),0,1)</f>
        <v>1</v>
      </c>
      <c r="M10390" t="s">
        <v>715</v>
      </c>
    </row>
    <row r="10391" spans="1:13" x14ac:dyDescent="0.2">
      <c r="A10391" t="s">
        <v>698</v>
      </c>
      <c r="B10391" t="s">
        <v>133</v>
      </c>
      <c r="C10391" t="s">
        <v>9</v>
      </c>
      <c r="D10391">
        <v>5291</v>
      </c>
      <c r="E10391">
        <v>2019</v>
      </c>
      <c r="F10391">
        <v>1</v>
      </c>
      <c r="G10391">
        <v>48498</v>
      </c>
      <c r="H10391" s="1">
        <v>3</v>
      </c>
      <c r="I10391">
        <v>241</v>
      </c>
      <c r="J10391">
        <f>IF($H10391=0,1,IF($I10391&lt;=1,2,0))</f>
        <v>0</v>
      </c>
      <c r="K10391">
        <v>4</v>
      </c>
      <c r="L10391">
        <f>IF(AND($J10391=0,$K10391=0),0,1)</f>
        <v>1</v>
      </c>
      <c r="M10391" t="s">
        <v>705</v>
      </c>
    </row>
    <row r="10392" spans="1:13" x14ac:dyDescent="0.2">
      <c r="A10392" t="s">
        <v>698</v>
      </c>
      <c r="B10392" t="s">
        <v>133</v>
      </c>
      <c r="C10392" t="s">
        <v>11</v>
      </c>
      <c r="D10392">
        <v>5293</v>
      </c>
      <c r="E10392">
        <v>2019</v>
      </c>
      <c r="F10392">
        <v>1</v>
      </c>
      <c r="G10392">
        <v>48500</v>
      </c>
      <c r="H10392" s="1">
        <v>3</v>
      </c>
      <c r="I10392">
        <v>33</v>
      </c>
      <c r="J10392">
        <f>IF($H10392=0,1,IF($I10392&lt;=1,2,0))</f>
        <v>0</v>
      </c>
      <c r="K10392">
        <v>4</v>
      </c>
      <c r="L10392">
        <f>IF(AND($J10392=0,$K10392=0),0,1)</f>
        <v>1</v>
      </c>
      <c r="M10392" t="s">
        <v>717</v>
      </c>
    </row>
    <row r="10393" spans="1:13" x14ac:dyDescent="0.2">
      <c r="A10393" t="s">
        <v>698</v>
      </c>
      <c r="B10393" t="s">
        <v>133</v>
      </c>
      <c r="C10393" t="s">
        <v>11</v>
      </c>
      <c r="D10393">
        <v>5391</v>
      </c>
      <c r="E10393">
        <v>2019</v>
      </c>
      <c r="F10393">
        <v>1</v>
      </c>
      <c r="G10393">
        <v>14335</v>
      </c>
      <c r="H10393" s="1">
        <v>0</v>
      </c>
      <c r="I10393">
        <v>39</v>
      </c>
      <c r="J10393">
        <f>IF($H10393=0,1,IF($I10393&lt;=1,2,0))</f>
        <v>1</v>
      </c>
      <c r="K10393">
        <v>0</v>
      </c>
      <c r="L10393">
        <f>IF(AND($J10393=0,$K10393=0),0,1)</f>
        <v>1</v>
      </c>
      <c r="M10393" t="s">
        <v>718</v>
      </c>
    </row>
    <row r="10394" spans="1:13" x14ac:dyDescent="0.2">
      <c r="A10394" t="s">
        <v>698</v>
      </c>
      <c r="B10394" t="s">
        <v>133</v>
      </c>
      <c r="C10394" t="s">
        <v>11</v>
      </c>
      <c r="D10394">
        <v>5391</v>
      </c>
      <c r="E10394">
        <v>2019</v>
      </c>
      <c r="F10394">
        <v>2</v>
      </c>
      <c r="G10394">
        <v>16444</v>
      </c>
      <c r="H10394" s="1">
        <v>0</v>
      </c>
      <c r="I10394">
        <v>34</v>
      </c>
      <c r="J10394">
        <f>IF($H10394=0,1,IF($I10394&lt;=1,2,0))</f>
        <v>1</v>
      </c>
      <c r="K10394">
        <v>0</v>
      </c>
      <c r="L10394">
        <f>IF(AND($J10394=0,$K10394=0),0,1)</f>
        <v>1</v>
      </c>
      <c r="M10394" t="s">
        <v>719</v>
      </c>
    </row>
    <row r="10395" spans="1:13" x14ac:dyDescent="0.2">
      <c r="A10395" t="s">
        <v>698</v>
      </c>
      <c r="B10395" t="s">
        <v>133</v>
      </c>
      <c r="C10395" t="s">
        <v>11</v>
      </c>
      <c r="D10395">
        <v>5398</v>
      </c>
      <c r="E10395">
        <v>2019</v>
      </c>
      <c r="F10395">
        <v>1</v>
      </c>
      <c r="G10395">
        <v>19051</v>
      </c>
      <c r="H10395" s="1">
        <v>1</v>
      </c>
      <c r="I10395">
        <v>0</v>
      </c>
      <c r="J10395">
        <f>IF($H10395=0,1,IF($I10395&lt;=1,2,0))</f>
        <v>2</v>
      </c>
      <c r="K10395">
        <v>0</v>
      </c>
      <c r="L10395">
        <f>IF(AND($J10395=0,$K10395=0),0,1)</f>
        <v>1</v>
      </c>
      <c r="M10395" t="s">
        <v>720</v>
      </c>
    </row>
    <row r="10396" spans="1:13" x14ac:dyDescent="0.2">
      <c r="A10396" t="s">
        <v>698</v>
      </c>
      <c r="B10396" t="s">
        <v>133</v>
      </c>
      <c r="C10396" t="s">
        <v>11</v>
      </c>
      <c r="D10396">
        <v>5399</v>
      </c>
      <c r="E10396">
        <v>2019</v>
      </c>
      <c r="F10396">
        <v>1</v>
      </c>
      <c r="G10396">
        <v>17707</v>
      </c>
      <c r="H10396" s="1">
        <v>1</v>
      </c>
      <c r="I10396">
        <v>17</v>
      </c>
      <c r="J10396">
        <f>IF($H10396=0,1,IF($I10396&lt;=1,2,0))</f>
        <v>0</v>
      </c>
      <c r="K10396">
        <v>4</v>
      </c>
      <c r="L10396">
        <f>IF(AND($J10396=0,$K10396=0),0,1)</f>
        <v>1</v>
      </c>
      <c r="M10396" t="s">
        <v>721</v>
      </c>
    </row>
    <row r="10397" spans="1:13" x14ac:dyDescent="0.2">
      <c r="A10397" t="s">
        <v>698</v>
      </c>
      <c r="B10397" t="s">
        <v>133</v>
      </c>
      <c r="C10397" t="s">
        <v>9</v>
      </c>
      <c r="D10397">
        <v>5701</v>
      </c>
      <c r="E10397">
        <v>2019</v>
      </c>
      <c r="F10397">
        <v>1</v>
      </c>
      <c r="G10397">
        <v>48501</v>
      </c>
      <c r="H10397" s="1">
        <v>3</v>
      </c>
      <c r="I10397">
        <v>146</v>
      </c>
      <c r="J10397">
        <f>IF($H10397=0,1,IF($I10397&lt;=1,2,0))</f>
        <v>0</v>
      </c>
      <c r="K10397">
        <v>4</v>
      </c>
      <c r="L10397">
        <f>IF(AND($J10397=0,$K10397=0),0,1)</f>
        <v>1</v>
      </c>
      <c r="M10397" t="s">
        <v>722</v>
      </c>
    </row>
    <row r="10398" spans="1:13" x14ac:dyDescent="0.2">
      <c r="A10398" t="s">
        <v>698</v>
      </c>
      <c r="B10398" t="s">
        <v>133</v>
      </c>
      <c r="C10398" t="s">
        <v>9</v>
      </c>
      <c r="D10398">
        <v>5701</v>
      </c>
      <c r="E10398">
        <v>2019</v>
      </c>
      <c r="F10398" t="s">
        <v>84</v>
      </c>
      <c r="G10398">
        <v>16423</v>
      </c>
      <c r="H10398" s="1">
        <v>3</v>
      </c>
      <c r="I10398">
        <v>3</v>
      </c>
      <c r="J10398">
        <f>IF($H10398=0,1,IF($I10398&lt;=1,2,0))</f>
        <v>0</v>
      </c>
      <c r="K10398">
        <v>4</v>
      </c>
      <c r="L10398">
        <f>IF(AND($J10398=0,$K10398=0),0,1)</f>
        <v>1</v>
      </c>
      <c r="M10398" t="s">
        <v>85</v>
      </c>
    </row>
    <row r="10399" spans="1:13" x14ac:dyDescent="0.2">
      <c r="A10399" t="s">
        <v>698</v>
      </c>
      <c r="B10399" t="s">
        <v>133</v>
      </c>
      <c r="C10399" t="s">
        <v>9</v>
      </c>
      <c r="D10399">
        <v>5702</v>
      </c>
      <c r="E10399">
        <v>2019</v>
      </c>
      <c r="F10399">
        <v>1</v>
      </c>
      <c r="G10399">
        <v>48502</v>
      </c>
      <c r="H10399" s="1">
        <v>3</v>
      </c>
      <c r="I10399">
        <v>174</v>
      </c>
      <c r="J10399">
        <f>IF($H10399=0,1,IF($I10399&lt;=1,2,0))</f>
        <v>0</v>
      </c>
      <c r="K10399">
        <v>4</v>
      </c>
      <c r="L10399">
        <f>IF(AND($J10399=0,$K10399=0),0,1)</f>
        <v>1</v>
      </c>
      <c r="M10399" t="s">
        <v>723</v>
      </c>
    </row>
    <row r="10400" spans="1:13" x14ac:dyDescent="0.2">
      <c r="A10400" t="s">
        <v>698</v>
      </c>
      <c r="B10400" t="s">
        <v>133</v>
      </c>
      <c r="C10400" t="s">
        <v>9</v>
      </c>
      <c r="D10400">
        <v>5702</v>
      </c>
      <c r="E10400">
        <v>2019</v>
      </c>
      <c r="F10400" t="s">
        <v>84</v>
      </c>
      <c r="G10400">
        <v>16424</v>
      </c>
      <c r="H10400" s="1">
        <v>3</v>
      </c>
      <c r="I10400">
        <v>1</v>
      </c>
      <c r="J10400">
        <f>IF($H10400=0,1,IF($I10400&lt;=1,2,0))</f>
        <v>2</v>
      </c>
      <c r="K10400">
        <v>0</v>
      </c>
      <c r="L10400">
        <f>IF(AND($J10400=0,$K10400=0),0,1)</f>
        <v>1</v>
      </c>
      <c r="M10400" t="s">
        <v>85</v>
      </c>
    </row>
    <row r="10401" spans="1:13" x14ac:dyDescent="0.2">
      <c r="A10401" t="s">
        <v>698</v>
      </c>
      <c r="B10401" t="s">
        <v>133</v>
      </c>
      <c r="C10401" t="s">
        <v>11</v>
      </c>
      <c r="D10401">
        <v>5703</v>
      </c>
      <c r="E10401">
        <v>2019</v>
      </c>
      <c r="F10401">
        <v>1</v>
      </c>
      <c r="G10401">
        <v>48503</v>
      </c>
      <c r="H10401" s="1">
        <v>3</v>
      </c>
      <c r="I10401">
        <v>37</v>
      </c>
      <c r="J10401">
        <f>IF($H10401=0,1,IF($I10401&lt;=1,2,0))</f>
        <v>0</v>
      </c>
      <c r="K10401">
        <v>4</v>
      </c>
      <c r="L10401">
        <f>IF(AND($J10401=0,$K10401=0),0,1)</f>
        <v>1</v>
      </c>
      <c r="M10401" t="s">
        <v>724</v>
      </c>
    </row>
    <row r="10402" spans="1:13" x14ac:dyDescent="0.2">
      <c r="A10402" t="s">
        <v>698</v>
      </c>
      <c r="B10402" t="s">
        <v>133</v>
      </c>
      <c r="C10402" t="s">
        <v>11</v>
      </c>
      <c r="D10402">
        <v>6101</v>
      </c>
      <c r="E10402">
        <v>2019</v>
      </c>
      <c r="F10402">
        <v>1</v>
      </c>
      <c r="G10402">
        <v>48504</v>
      </c>
      <c r="H10402" s="1">
        <v>4</v>
      </c>
      <c r="I10402">
        <v>15</v>
      </c>
      <c r="J10402">
        <f>IF($H10402=0,1,IF($I10402&lt;=1,2,0))</f>
        <v>0</v>
      </c>
      <c r="K10402">
        <v>4</v>
      </c>
      <c r="L10402">
        <f>IF(AND($J10402=0,$K10402=0),0,1)</f>
        <v>1</v>
      </c>
      <c r="M10402" t="s">
        <v>725</v>
      </c>
    </row>
    <row r="10403" spans="1:13" x14ac:dyDescent="0.2">
      <c r="A10403" t="s">
        <v>698</v>
      </c>
      <c r="B10403" t="s">
        <v>133</v>
      </c>
      <c r="C10403" t="s">
        <v>11</v>
      </c>
      <c r="D10403">
        <v>6103</v>
      </c>
      <c r="E10403">
        <v>2019</v>
      </c>
      <c r="F10403">
        <v>1</v>
      </c>
      <c r="G10403">
        <v>48505</v>
      </c>
      <c r="H10403" s="1">
        <v>4</v>
      </c>
      <c r="I10403">
        <v>15</v>
      </c>
      <c r="J10403">
        <f>IF($H10403=0,1,IF($I10403&lt;=1,2,0))</f>
        <v>0</v>
      </c>
      <c r="K10403">
        <v>4</v>
      </c>
      <c r="L10403">
        <f>IF(AND($J10403=0,$K10403=0),0,1)</f>
        <v>1</v>
      </c>
      <c r="M10403" t="s">
        <v>725</v>
      </c>
    </row>
    <row r="10404" spans="1:13" x14ac:dyDescent="0.2">
      <c r="A10404" t="s">
        <v>698</v>
      </c>
      <c r="B10404" t="s">
        <v>133</v>
      </c>
      <c r="C10404" t="s">
        <v>34</v>
      </c>
      <c r="D10404">
        <v>6105</v>
      </c>
      <c r="E10404">
        <v>2019</v>
      </c>
      <c r="F10404">
        <v>1</v>
      </c>
      <c r="G10404">
        <v>48506</v>
      </c>
      <c r="H10404" s="1">
        <v>2</v>
      </c>
      <c r="I10404">
        <v>10</v>
      </c>
      <c r="J10404">
        <f>IF($H10404=0,1,IF($I10404&lt;=1,2,0))</f>
        <v>0</v>
      </c>
      <c r="K10404">
        <v>4</v>
      </c>
      <c r="L10404">
        <f>IF(AND($J10404=0,$K10404=0),0,1)</f>
        <v>1</v>
      </c>
      <c r="M10404" t="s">
        <v>725</v>
      </c>
    </row>
    <row r="10405" spans="1:13" x14ac:dyDescent="0.2">
      <c r="A10405" t="s">
        <v>698</v>
      </c>
      <c r="B10405" t="s">
        <v>133</v>
      </c>
      <c r="C10405" t="s">
        <v>11</v>
      </c>
      <c r="D10405">
        <v>6201</v>
      </c>
      <c r="E10405">
        <v>2019</v>
      </c>
      <c r="F10405">
        <v>1</v>
      </c>
      <c r="G10405">
        <v>48507</v>
      </c>
      <c r="H10405" s="1">
        <v>4</v>
      </c>
      <c r="I10405">
        <v>19</v>
      </c>
      <c r="J10405">
        <f>IF($H10405=0,1,IF($I10405&lt;=1,2,0))</f>
        <v>0</v>
      </c>
      <c r="K10405">
        <v>4</v>
      </c>
      <c r="L10405">
        <f>IF(AND($J10405=0,$K10405=0),0,1)</f>
        <v>1</v>
      </c>
      <c r="M10405" t="s">
        <v>725</v>
      </c>
    </row>
    <row r="10406" spans="1:13" x14ac:dyDescent="0.2">
      <c r="A10406" t="s">
        <v>698</v>
      </c>
      <c r="B10406" t="s">
        <v>133</v>
      </c>
      <c r="C10406" t="s">
        <v>11</v>
      </c>
      <c r="D10406">
        <v>6203</v>
      </c>
      <c r="E10406">
        <v>2019</v>
      </c>
      <c r="F10406">
        <v>1</v>
      </c>
      <c r="G10406">
        <v>48508</v>
      </c>
      <c r="H10406" s="1">
        <v>4</v>
      </c>
      <c r="I10406">
        <v>9</v>
      </c>
      <c r="J10406">
        <f>IF($H10406=0,1,IF($I10406&lt;=1,2,0))</f>
        <v>0</v>
      </c>
      <c r="K10406">
        <v>4</v>
      </c>
      <c r="L10406">
        <f>IF(AND($J10406=0,$K10406=0),0,1)</f>
        <v>1</v>
      </c>
      <c r="M10406" t="s">
        <v>725</v>
      </c>
    </row>
    <row r="10407" spans="1:13" x14ac:dyDescent="0.2">
      <c r="A10407" t="s">
        <v>698</v>
      </c>
      <c r="B10407" t="s">
        <v>133</v>
      </c>
      <c r="C10407" t="s">
        <v>11</v>
      </c>
      <c r="D10407">
        <v>6301</v>
      </c>
      <c r="E10407">
        <v>2019</v>
      </c>
      <c r="F10407">
        <v>1</v>
      </c>
      <c r="G10407">
        <v>48509</v>
      </c>
      <c r="H10407" s="1">
        <v>4</v>
      </c>
      <c r="I10407">
        <v>21</v>
      </c>
      <c r="J10407">
        <f>IF($H10407=0,1,IF($I10407&lt;=1,2,0))</f>
        <v>0</v>
      </c>
      <c r="K10407">
        <v>4</v>
      </c>
      <c r="L10407">
        <f>IF(AND($J10407=0,$K10407=0),0,1)</f>
        <v>1</v>
      </c>
      <c r="M10407" t="s">
        <v>725</v>
      </c>
    </row>
    <row r="10408" spans="1:13" x14ac:dyDescent="0.2">
      <c r="A10408" t="s">
        <v>698</v>
      </c>
      <c r="B10408" t="s">
        <v>133</v>
      </c>
      <c r="C10408" t="s">
        <v>11</v>
      </c>
      <c r="D10408">
        <v>6701</v>
      </c>
      <c r="E10408">
        <v>2019</v>
      </c>
      <c r="F10408">
        <v>1</v>
      </c>
      <c r="G10408">
        <v>48511</v>
      </c>
      <c r="H10408" s="1">
        <v>3</v>
      </c>
      <c r="I10408">
        <v>70</v>
      </c>
      <c r="J10408">
        <f>IF($H10408=0,1,IF($I10408&lt;=1,2,0))</f>
        <v>0</v>
      </c>
      <c r="K10408">
        <v>4</v>
      </c>
      <c r="L10408">
        <f>IF(AND($J10408=0,$K10408=0),0,1)</f>
        <v>1</v>
      </c>
      <c r="M10408" t="s">
        <v>726</v>
      </c>
    </row>
    <row r="10409" spans="1:13" x14ac:dyDescent="0.2">
      <c r="A10409" t="s">
        <v>698</v>
      </c>
      <c r="B10409" t="s">
        <v>133</v>
      </c>
      <c r="C10409" t="s">
        <v>34</v>
      </c>
      <c r="D10409">
        <v>8201</v>
      </c>
      <c r="E10409">
        <v>2019</v>
      </c>
      <c r="F10409">
        <v>1</v>
      </c>
      <c r="G10409">
        <v>48512</v>
      </c>
      <c r="H10409" s="1">
        <v>3</v>
      </c>
      <c r="I10409">
        <v>9</v>
      </c>
      <c r="J10409">
        <f>IF($H10409=0,1,IF($I10409&lt;=1,2,0))</f>
        <v>0</v>
      </c>
      <c r="K10409">
        <v>4</v>
      </c>
      <c r="L10409">
        <f>IF(AND($J10409=0,$K10409=0),0,1)</f>
        <v>1</v>
      </c>
      <c r="M10409" t="s">
        <v>725</v>
      </c>
    </row>
    <row r="10410" spans="1:13" x14ac:dyDescent="0.2">
      <c r="A10410" t="s">
        <v>698</v>
      </c>
      <c r="B10410" t="s">
        <v>133</v>
      </c>
      <c r="C10410" t="s">
        <v>34</v>
      </c>
      <c r="D10410">
        <v>8201</v>
      </c>
      <c r="E10410">
        <v>2019</v>
      </c>
      <c r="F10410">
        <v>2</v>
      </c>
      <c r="G10410">
        <v>48519</v>
      </c>
      <c r="H10410" s="1">
        <v>3</v>
      </c>
      <c r="I10410">
        <v>7</v>
      </c>
      <c r="J10410">
        <f>IF($H10410=0,1,IF($I10410&lt;=1,2,0))</f>
        <v>0</v>
      </c>
      <c r="K10410">
        <v>4</v>
      </c>
      <c r="L10410">
        <f>IF(AND($J10410=0,$K10410=0),0,1)</f>
        <v>1</v>
      </c>
      <c r="M10410" t="s">
        <v>725</v>
      </c>
    </row>
    <row r="10411" spans="1:13" x14ac:dyDescent="0.2">
      <c r="A10411" t="s">
        <v>698</v>
      </c>
      <c r="B10411" t="s">
        <v>133</v>
      </c>
      <c r="C10411" t="s">
        <v>34</v>
      </c>
      <c r="D10411">
        <v>8201</v>
      </c>
      <c r="E10411">
        <v>2019</v>
      </c>
      <c r="F10411">
        <v>3</v>
      </c>
      <c r="G10411">
        <v>15053</v>
      </c>
      <c r="H10411" s="1">
        <v>3</v>
      </c>
      <c r="I10411">
        <v>5</v>
      </c>
      <c r="J10411">
        <f>IF($H10411=0,1,IF($I10411&lt;=1,2,0))</f>
        <v>0</v>
      </c>
      <c r="K10411">
        <v>4</v>
      </c>
      <c r="L10411">
        <f>IF(AND($J10411=0,$K10411=0),0,1)</f>
        <v>1</v>
      </c>
      <c r="M10411" t="s">
        <v>727</v>
      </c>
    </row>
    <row r="10412" spans="1:13" x14ac:dyDescent="0.2">
      <c r="A10412" t="s">
        <v>698</v>
      </c>
      <c r="B10412" t="s">
        <v>133</v>
      </c>
      <c r="C10412" t="s">
        <v>11</v>
      </c>
      <c r="D10412">
        <v>9201</v>
      </c>
      <c r="E10412">
        <v>2019</v>
      </c>
      <c r="F10412">
        <v>1</v>
      </c>
      <c r="G10412">
        <v>48513</v>
      </c>
      <c r="H10412" s="1">
        <v>3</v>
      </c>
      <c r="I10412">
        <v>41</v>
      </c>
      <c r="J10412">
        <f>IF($H10412=0,1,IF($I10412&lt;=1,2,0))</f>
        <v>0</v>
      </c>
      <c r="K10412">
        <v>5</v>
      </c>
      <c r="L10412">
        <f>IF(AND($J10412=0,$K10412=0),0,1)</f>
        <v>1</v>
      </c>
      <c r="M10412" t="s">
        <v>725</v>
      </c>
    </row>
    <row r="10413" spans="1:13" x14ac:dyDescent="0.2">
      <c r="A10413" t="s">
        <v>698</v>
      </c>
      <c r="B10413" t="s">
        <v>133</v>
      </c>
      <c r="C10413" t="s">
        <v>11</v>
      </c>
      <c r="D10413">
        <v>9301</v>
      </c>
      <c r="E10413">
        <v>2019</v>
      </c>
      <c r="F10413">
        <v>1</v>
      </c>
      <c r="G10413">
        <v>48514</v>
      </c>
      <c r="H10413" s="1">
        <v>3</v>
      </c>
      <c r="I10413">
        <v>1</v>
      </c>
      <c r="J10413">
        <f>IF($H10413=0,1,IF($I10413&lt;=1,2,0))</f>
        <v>2</v>
      </c>
      <c r="K10413">
        <v>5</v>
      </c>
      <c r="L10413">
        <f>IF(AND($J10413=0,$K10413=0),0,1)</f>
        <v>1</v>
      </c>
    </row>
    <row r="10414" spans="1:13" x14ac:dyDescent="0.2">
      <c r="A10414" t="s">
        <v>698</v>
      </c>
      <c r="B10414" t="s">
        <v>133</v>
      </c>
      <c r="C10414" t="s">
        <v>11</v>
      </c>
      <c r="D10414">
        <v>9302</v>
      </c>
      <c r="E10414">
        <v>2019</v>
      </c>
      <c r="F10414">
        <v>1</v>
      </c>
      <c r="G10414">
        <v>48515</v>
      </c>
      <c r="H10414" s="1">
        <v>1</v>
      </c>
      <c r="I10414">
        <v>1</v>
      </c>
      <c r="J10414">
        <f>IF($H10414=0,1,IF($I10414&lt;=1,2,0))</f>
        <v>2</v>
      </c>
      <c r="K10414">
        <v>5</v>
      </c>
      <c r="L10414">
        <f>IF(AND($J10414=0,$K10414=0),0,1)</f>
        <v>1</v>
      </c>
    </row>
    <row r="10415" spans="1:13" x14ac:dyDescent="0.2">
      <c r="A10415" t="s">
        <v>698</v>
      </c>
      <c r="B10415" t="s">
        <v>133</v>
      </c>
      <c r="C10415" t="s">
        <v>11</v>
      </c>
      <c r="D10415">
        <v>9303</v>
      </c>
      <c r="E10415">
        <v>2019</v>
      </c>
      <c r="F10415">
        <v>1</v>
      </c>
      <c r="G10415">
        <v>48516</v>
      </c>
      <c r="H10415" s="1">
        <v>3</v>
      </c>
      <c r="I10415">
        <v>4</v>
      </c>
      <c r="J10415">
        <f>IF($H10415=0,1,IF($I10415&lt;=1,2,0))</f>
        <v>0</v>
      </c>
      <c r="K10415">
        <v>5</v>
      </c>
      <c r="L10415">
        <f>IF(AND($J10415=0,$K10415=0),0,1)</f>
        <v>1</v>
      </c>
      <c r="M10415" t="s">
        <v>725</v>
      </c>
    </row>
    <row r="10416" spans="1:13" x14ac:dyDescent="0.2">
      <c r="A10416" t="s">
        <v>730</v>
      </c>
      <c r="B10416" t="s">
        <v>386</v>
      </c>
      <c r="C10416" t="s">
        <v>407</v>
      </c>
      <c r="D10416">
        <v>5800</v>
      </c>
      <c r="E10416">
        <v>2019</v>
      </c>
      <c r="F10416">
        <v>1</v>
      </c>
      <c r="G10416">
        <v>13417</v>
      </c>
      <c r="H10416" s="1" t="s">
        <v>1827</v>
      </c>
      <c r="I10416">
        <v>0</v>
      </c>
      <c r="J10416">
        <f>IF($H10416=0,1,IF($I10416&lt;=1,2,0))</f>
        <v>2</v>
      </c>
      <c r="K10416">
        <v>4</v>
      </c>
      <c r="L10416">
        <f>IF(AND($J10416=0,$K10416=0),0,1)</f>
        <v>1</v>
      </c>
    </row>
    <row r="10417" spans="1:13" x14ac:dyDescent="0.2">
      <c r="A10417" t="s">
        <v>730</v>
      </c>
      <c r="B10417" t="s">
        <v>386</v>
      </c>
      <c r="C10417" t="s">
        <v>34</v>
      </c>
      <c r="D10417">
        <v>6150</v>
      </c>
      <c r="E10417">
        <v>2019</v>
      </c>
      <c r="F10417">
        <v>1</v>
      </c>
      <c r="G10417">
        <v>52389</v>
      </c>
      <c r="H10417" s="1">
        <v>0</v>
      </c>
      <c r="I10417">
        <v>14</v>
      </c>
      <c r="J10417">
        <f>IF($H10417=0,1,IF($I10417&lt;=1,2,0))</f>
        <v>1</v>
      </c>
      <c r="K10417">
        <v>0</v>
      </c>
      <c r="L10417">
        <f>IF(AND($J10417=0,$K10417=0),0,1)</f>
        <v>1</v>
      </c>
    </row>
    <row r="10418" spans="1:13" x14ac:dyDescent="0.2">
      <c r="A10418" t="s">
        <v>730</v>
      </c>
      <c r="B10418" t="s">
        <v>386</v>
      </c>
      <c r="C10418" t="s">
        <v>407</v>
      </c>
      <c r="D10418">
        <v>6505</v>
      </c>
      <c r="E10418">
        <v>2019</v>
      </c>
      <c r="F10418">
        <v>1</v>
      </c>
      <c r="G10418">
        <v>52410</v>
      </c>
      <c r="H10418" s="1">
        <v>0</v>
      </c>
      <c r="I10418">
        <v>14</v>
      </c>
      <c r="J10418">
        <f>IF($H10418=0,1,IF($I10418&lt;=1,2,0))</f>
        <v>1</v>
      </c>
      <c r="K10418">
        <v>0</v>
      </c>
      <c r="L10418">
        <f>IF(AND($J10418=0,$K10418=0),0,1)</f>
        <v>1</v>
      </c>
    </row>
    <row r="10419" spans="1:13" x14ac:dyDescent="0.2">
      <c r="A10419" t="s">
        <v>730</v>
      </c>
      <c r="B10419" t="s">
        <v>386</v>
      </c>
      <c r="C10419" t="s">
        <v>407</v>
      </c>
      <c r="D10419">
        <v>6700</v>
      </c>
      <c r="E10419">
        <v>2019</v>
      </c>
      <c r="F10419">
        <v>1</v>
      </c>
      <c r="G10419">
        <v>52352</v>
      </c>
      <c r="H10419" s="1">
        <v>3</v>
      </c>
      <c r="I10419">
        <v>9</v>
      </c>
      <c r="J10419">
        <f>IF($H10419=0,1,IF($I10419&lt;=1,2,0))</f>
        <v>0</v>
      </c>
      <c r="K10419">
        <v>4</v>
      </c>
      <c r="L10419">
        <f>IF(AND($J10419=0,$K10419=0),0,1)</f>
        <v>1</v>
      </c>
      <c r="M10419" t="s">
        <v>734</v>
      </c>
    </row>
    <row r="10420" spans="1:13" x14ac:dyDescent="0.2">
      <c r="A10420" t="s">
        <v>730</v>
      </c>
      <c r="B10420" t="s">
        <v>386</v>
      </c>
      <c r="C10420" t="s">
        <v>407</v>
      </c>
      <c r="D10420">
        <v>8060</v>
      </c>
      <c r="E10420">
        <v>2019</v>
      </c>
      <c r="F10420">
        <v>1</v>
      </c>
      <c r="G10420">
        <v>52409</v>
      </c>
      <c r="H10420" s="1">
        <v>0</v>
      </c>
      <c r="I10420">
        <v>14</v>
      </c>
      <c r="J10420">
        <f>IF($H10420=0,1,IF($I10420&lt;=1,2,0))</f>
        <v>1</v>
      </c>
      <c r="K10420">
        <v>0</v>
      </c>
      <c r="L10420">
        <f>IF(AND($J10420=0,$K10420=0),0,1)</f>
        <v>1</v>
      </c>
    </row>
    <row r="10421" spans="1:13" x14ac:dyDescent="0.2">
      <c r="A10421" t="s">
        <v>730</v>
      </c>
      <c r="B10421" t="s">
        <v>386</v>
      </c>
      <c r="C10421" t="s">
        <v>407</v>
      </c>
      <c r="D10421">
        <v>8110</v>
      </c>
      <c r="E10421">
        <v>2019</v>
      </c>
      <c r="F10421">
        <v>1</v>
      </c>
      <c r="G10421">
        <v>52381</v>
      </c>
      <c r="H10421" s="1">
        <v>3</v>
      </c>
      <c r="I10421">
        <v>18</v>
      </c>
      <c r="J10421">
        <f>IF($H10421=0,1,IF($I10421&lt;=1,2,0))</f>
        <v>0</v>
      </c>
      <c r="K10421">
        <v>4</v>
      </c>
      <c r="L10421">
        <f>IF(AND($J10421=0,$K10421=0),0,1)</f>
        <v>1</v>
      </c>
      <c r="M10421" t="s">
        <v>736</v>
      </c>
    </row>
    <row r="10422" spans="1:13" x14ac:dyDescent="0.2">
      <c r="A10422" t="s">
        <v>730</v>
      </c>
      <c r="B10422" t="s">
        <v>386</v>
      </c>
      <c r="C10422" t="s">
        <v>407</v>
      </c>
      <c r="D10422">
        <v>8110</v>
      </c>
      <c r="E10422">
        <v>2019</v>
      </c>
      <c r="F10422">
        <v>2</v>
      </c>
      <c r="G10422">
        <v>52382</v>
      </c>
      <c r="H10422" s="1">
        <v>3</v>
      </c>
      <c r="I10422">
        <v>6</v>
      </c>
      <c r="J10422">
        <f>IF($H10422=0,1,IF($I10422&lt;=1,2,0))</f>
        <v>0</v>
      </c>
      <c r="K10422">
        <v>4</v>
      </c>
      <c r="L10422">
        <f>IF(AND($J10422=0,$K10422=0),0,1)</f>
        <v>1</v>
      </c>
      <c r="M10422" t="s">
        <v>737</v>
      </c>
    </row>
    <row r="10423" spans="1:13" x14ac:dyDescent="0.2">
      <c r="A10423" t="s">
        <v>730</v>
      </c>
      <c r="B10423" t="s">
        <v>386</v>
      </c>
      <c r="C10423" t="s">
        <v>34</v>
      </c>
      <c r="D10423">
        <v>9000</v>
      </c>
      <c r="E10423">
        <v>2019</v>
      </c>
      <c r="F10423">
        <v>1</v>
      </c>
      <c r="G10423">
        <v>29204</v>
      </c>
      <c r="H10423" s="1">
        <v>0</v>
      </c>
      <c r="I10423">
        <v>22</v>
      </c>
      <c r="J10423">
        <f>IF($H10423=0,1,IF($I10423&lt;=1,2,0))</f>
        <v>1</v>
      </c>
      <c r="K10423">
        <v>5</v>
      </c>
      <c r="L10423">
        <f>IF(AND($J10423=0,$K10423=0),0,1)</f>
        <v>1</v>
      </c>
    </row>
    <row r="10424" spans="1:13" x14ac:dyDescent="0.2">
      <c r="A10424" t="s">
        <v>730</v>
      </c>
      <c r="B10424" t="s">
        <v>386</v>
      </c>
      <c r="C10424" t="s">
        <v>34</v>
      </c>
      <c r="D10424">
        <v>9001</v>
      </c>
      <c r="E10424">
        <v>2019</v>
      </c>
      <c r="F10424">
        <v>1</v>
      </c>
      <c r="G10424">
        <v>29203</v>
      </c>
      <c r="H10424" s="1">
        <v>0</v>
      </c>
      <c r="I10424">
        <v>30</v>
      </c>
      <c r="J10424">
        <f>IF($H10424=0,1,IF($I10424&lt;=1,2,0))</f>
        <v>1</v>
      </c>
      <c r="K10424">
        <v>5</v>
      </c>
      <c r="L10424">
        <f>IF(AND($J10424=0,$K10424=0),0,1)</f>
        <v>1</v>
      </c>
    </row>
    <row r="10425" spans="1:13" x14ac:dyDescent="0.2">
      <c r="A10425" t="s">
        <v>730</v>
      </c>
      <c r="B10425" t="s">
        <v>386</v>
      </c>
      <c r="C10425" t="s">
        <v>407</v>
      </c>
      <c r="D10425">
        <v>9010</v>
      </c>
      <c r="E10425">
        <v>2019</v>
      </c>
      <c r="F10425">
        <v>1</v>
      </c>
      <c r="G10425">
        <v>52396</v>
      </c>
      <c r="H10425" s="1">
        <v>0</v>
      </c>
      <c r="I10425">
        <v>14</v>
      </c>
      <c r="J10425">
        <f>IF($H10425=0,1,IF($I10425&lt;=1,2,0))</f>
        <v>1</v>
      </c>
      <c r="K10425">
        <v>5</v>
      </c>
      <c r="L10425">
        <f>IF(AND($J10425=0,$K10425=0),0,1)</f>
        <v>1</v>
      </c>
    </row>
    <row r="10426" spans="1:13" x14ac:dyDescent="0.2">
      <c r="A10426" t="s">
        <v>730</v>
      </c>
      <c r="B10426" t="s">
        <v>386</v>
      </c>
      <c r="C10426" t="s">
        <v>407</v>
      </c>
      <c r="D10426">
        <v>9100</v>
      </c>
      <c r="E10426">
        <v>2019</v>
      </c>
      <c r="F10426">
        <v>1</v>
      </c>
      <c r="G10426">
        <v>52397</v>
      </c>
      <c r="H10426" s="1">
        <v>0</v>
      </c>
      <c r="I10426">
        <v>14</v>
      </c>
      <c r="J10426">
        <f>IF($H10426=0,1,IF($I10426&lt;=1,2,0))</f>
        <v>1</v>
      </c>
      <c r="K10426">
        <v>5</v>
      </c>
      <c r="L10426">
        <f>IF(AND($J10426=0,$K10426=0),0,1)</f>
        <v>1</v>
      </c>
    </row>
    <row r="10427" spans="1:13" x14ac:dyDescent="0.2">
      <c r="A10427" t="s">
        <v>730</v>
      </c>
      <c r="B10427" t="s">
        <v>386</v>
      </c>
      <c r="C10427" t="s">
        <v>407</v>
      </c>
      <c r="D10427">
        <v>9800</v>
      </c>
      <c r="E10427">
        <v>2019</v>
      </c>
      <c r="F10427">
        <v>1</v>
      </c>
      <c r="G10427">
        <v>17797</v>
      </c>
      <c r="H10427" s="1" t="s">
        <v>1840</v>
      </c>
      <c r="I10427">
        <v>1</v>
      </c>
      <c r="J10427">
        <f>IF($H10427=0,1,IF($I10427&lt;=1,2,0))</f>
        <v>2</v>
      </c>
      <c r="K10427">
        <v>5</v>
      </c>
      <c r="L10427">
        <f>IF(AND($J10427=0,$K10427=0),0,1)</f>
        <v>1</v>
      </c>
    </row>
    <row r="10428" spans="1:13" x14ac:dyDescent="0.2">
      <c r="A10428" t="s">
        <v>739</v>
      </c>
      <c r="B10428" t="s">
        <v>386</v>
      </c>
      <c r="C10428" t="s">
        <v>21</v>
      </c>
      <c r="D10428">
        <v>3997</v>
      </c>
      <c r="E10428">
        <v>2019</v>
      </c>
      <c r="F10428">
        <v>1</v>
      </c>
      <c r="G10428">
        <v>9754</v>
      </c>
      <c r="H10428" s="1">
        <v>4</v>
      </c>
      <c r="I10428">
        <v>4</v>
      </c>
      <c r="J10428">
        <f>IF($H10428=0,1,IF($I10428&lt;=1,2,0))</f>
        <v>0</v>
      </c>
      <c r="K10428">
        <v>9</v>
      </c>
      <c r="L10428">
        <f>IF(AND($J10428=0,$K10428=0),0,1)</f>
        <v>1</v>
      </c>
      <c r="M10428" t="s">
        <v>746</v>
      </c>
    </row>
    <row r="10429" spans="1:13" x14ac:dyDescent="0.2">
      <c r="A10429" t="s">
        <v>739</v>
      </c>
      <c r="B10429" t="s">
        <v>386</v>
      </c>
      <c r="C10429" t="s">
        <v>21</v>
      </c>
      <c r="D10429">
        <v>3997</v>
      </c>
      <c r="E10429">
        <v>2019</v>
      </c>
      <c r="F10429">
        <v>2</v>
      </c>
      <c r="G10429">
        <v>9755</v>
      </c>
      <c r="H10429" s="1">
        <v>4</v>
      </c>
      <c r="I10429">
        <v>1</v>
      </c>
      <c r="J10429">
        <f>IF($H10429=0,1,IF($I10429&lt;=1,2,0))</f>
        <v>2</v>
      </c>
      <c r="K10429">
        <v>9</v>
      </c>
      <c r="L10429">
        <f>IF(AND($J10429=0,$K10429=0),0,1)</f>
        <v>1</v>
      </c>
      <c r="M10429" t="s">
        <v>746</v>
      </c>
    </row>
    <row r="10430" spans="1:13" x14ac:dyDescent="0.2">
      <c r="A10430" t="s">
        <v>739</v>
      </c>
      <c r="B10430" t="s">
        <v>386</v>
      </c>
      <c r="C10430" t="s">
        <v>21</v>
      </c>
      <c r="D10430">
        <v>3998</v>
      </c>
      <c r="E10430">
        <v>2019</v>
      </c>
      <c r="F10430">
        <v>1</v>
      </c>
      <c r="G10430">
        <v>9733</v>
      </c>
      <c r="H10430" s="1">
        <v>4</v>
      </c>
      <c r="I10430">
        <v>0</v>
      </c>
      <c r="J10430">
        <f>IF($H10430=0,1,IF($I10430&lt;=1,2,0))</f>
        <v>2</v>
      </c>
      <c r="K10430">
        <v>9</v>
      </c>
      <c r="L10430">
        <f>IF(AND($J10430=0,$K10430=0),0,1)</f>
        <v>1</v>
      </c>
      <c r="M10430" t="s">
        <v>746</v>
      </c>
    </row>
    <row r="10431" spans="1:13" x14ac:dyDescent="0.2">
      <c r="A10431" t="s">
        <v>749</v>
      </c>
      <c r="B10431" t="s">
        <v>17</v>
      </c>
      <c r="C10431" t="s">
        <v>9</v>
      </c>
      <c r="D10431">
        <v>2101</v>
      </c>
      <c r="E10431">
        <v>2019</v>
      </c>
      <c r="F10431">
        <v>1</v>
      </c>
      <c r="G10431">
        <v>53912</v>
      </c>
      <c r="H10431" s="1">
        <v>4</v>
      </c>
      <c r="I10431">
        <v>1</v>
      </c>
      <c r="J10431">
        <f>IF($H10431=0,1,IF($I10431&lt;=1,2,0))</f>
        <v>2</v>
      </c>
      <c r="K10431">
        <v>0</v>
      </c>
      <c r="L10431">
        <f>IF(AND($J10431=0,$K10431=0),0,1)</f>
        <v>1</v>
      </c>
    </row>
    <row r="10432" spans="1:13" x14ac:dyDescent="0.2">
      <c r="A10432" t="s">
        <v>749</v>
      </c>
      <c r="B10432" t="s">
        <v>17</v>
      </c>
      <c r="C10432" t="s">
        <v>9</v>
      </c>
      <c r="D10432">
        <v>4006</v>
      </c>
      <c r="E10432">
        <v>2019</v>
      </c>
      <c r="F10432">
        <v>1</v>
      </c>
      <c r="G10432">
        <v>53942</v>
      </c>
      <c r="H10432" s="1">
        <v>3</v>
      </c>
      <c r="I10432">
        <v>1</v>
      </c>
      <c r="J10432">
        <f>IF($H10432=0,1,IF($I10432&lt;=1,2,0))</f>
        <v>2</v>
      </c>
      <c r="K10432">
        <v>0</v>
      </c>
      <c r="L10432">
        <f>IF(AND($J10432=0,$K10432=0),0,1)</f>
        <v>1</v>
      </c>
    </row>
    <row r="10433" spans="1:13" x14ac:dyDescent="0.2">
      <c r="A10433" t="s">
        <v>750</v>
      </c>
      <c r="B10433" t="s">
        <v>6</v>
      </c>
      <c r="C10433" t="s">
        <v>21</v>
      </c>
      <c r="D10433">
        <v>1516</v>
      </c>
      <c r="E10433">
        <v>2019</v>
      </c>
      <c r="F10433">
        <v>1</v>
      </c>
      <c r="G10433">
        <v>9867</v>
      </c>
      <c r="H10433" s="1">
        <v>0</v>
      </c>
      <c r="I10433">
        <v>31</v>
      </c>
      <c r="J10433">
        <f>IF($H10433=0,1,IF($I10433&lt;=1,2,0))</f>
        <v>1</v>
      </c>
      <c r="K10433">
        <v>0</v>
      </c>
      <c r="L10433">
        <f>IF(AND($J10433=0,$K10433=0),0,1)</f>
        <v>1</v>
      </c>
      <c r="M10433" t="s">
        <v>752</v>
      </c>
    </row>
    <row r="10434" spans="1:13" x14ac:dyDescent="0.2">
      <c r="A10434" t="s">
        <v>750</v>
      </c>
      <c r="B10434" t="s">
        <v>6</v>
      </c>
      <c r="C10434" t="s">
        <v>21</v>
      </c>
      <c r="D10434">
        <v>1516</v>
      </c>
      <c r="E10434">
        <v>2019</v>
      </c>
      <c r="F10434">
        <v>2</v>
      </c>
      <c r="G10434">
        <v>9868</v>
      </c>
      <c r="H10434" s="1">
        <v>0</v>
      </c>
      <c r="I10434">
        <v>29</v>
      </c>
      <c r="J10434">
        <f>IF($H10434=0,1,IF($I10434&lt;=1,2,0))</f>
        <v>1</v>
      </c>
      <c r="K10434">
        <v>0</v>
      </c>
      <c r="L10434">
        <f>IF(AND($J10434=0,$K10434=0),0,1)</f>
        <v>1</v>
      </c>
      <c r="M10434" t="s">
        <v>752</v>
      </c>
    </row>
    <row r="10435" spans="1:13" x14ac:dyDescent="0.2">
      <c r="A10435" t="s">
        <v>750</v>
      </c>
      <c r="B10435" t="s">
        <v>6</v>
      </c>
      <c r="C10435" t="s">
        <v>21</v>
      </c>
      <c r="D10435">
        <v>1516</v>
      </c>
      <c r="E10435">
        <v>2019</v>
      </c>
      <c r="F10435">
        <v>3</v>
      </c>
      <c r="G10435">
        <v>9869</v>
      </c>
      <c r="H10435" s="1">
        <v>0</v>
      </c>
      <c r="I10435">
        <v>25</v>
      </c>
      <c r="J10435">
        <f>IF($H10435=0,1,IF($I10435&lt;=1,2,0))</f>
        <v>1</v>
      </c>
      <c r="K10435">
        <v>0</v>
      </c>
      <c r="L10435">
        <f>IF(AND($J10435=0,$K10435=0),0,1)</f>
        <v>1</v>
      </c>
      <c r="M10435" t="s">
        <v>752</v>
      </c>
    </row>
    <row r="10436" spans="1:13" x14ac:dyDescent="0.2">
      <c r="A10436" t="s">
        <v>750</v>
      </c>
      <c r="B10436" t="s">
        <v>6</v>
      </c>
      <c r="C10436" t="s">
        <v>21</v>
      </c>
      <c r="D10436">
        <v>1516</v>
      </c>
      <c r="E10436">
        <v>2019</v>
      </c>
      <c r="F10436">
        <v>4</v>
      </c>
      <c r="G10436">
        <v>226</v>
      </c>
      <c r="H10436" s="1">
        <v>0</v>
      </c>
      <c r="I10436">
        <v>15</v>
      </c>
      <c r="J10436">
        <f>IF($H10436=0,1,IF($I10436&lt;=1,2,0))</f>
        <v>1</v>
      </c>
      <c r="K10436">
        <v>0</v>
      </c>
      <c r="L10436">
        <f>IF(AND($J10436=0,$K10436=0),0,1)</f>
        <v>1</v>
      </c>
    </row>
    <row r="10437" spans="1:13" x14ac:dyDescent="0.2">
      <c r="A10437" t="s">
        <v>750</v>
      </c>
      <c r="B10437" t="s">
        <v>6</v>
      </c>
      <c r="C10437" t="s">
        <v>2</v>
      </c>
      <c r="D10437">
        <v>3999</v>
      </c>
      <c r="E10437">
        <v>2019</v>
      </c>
      <c r="F10437">
        <v>2</v>
      </c>
      <c r="G10437">
        <v>263</v>
      </c>
      <c r="H10437" s="1" t="s">
        <v>1823</v>
      </c>
      <c r="I10437">
        <v>2</v>
      </c>
      <c r="J10437">
        <f>IF($H10437=0,1,IF($I10437&lt;=1,2,0))</f>
        <v>0</v>
      </c>
      <c r="K10437">
        <v>7</v>
      </c>
      <c r="L10437">
        <f>IF(AND($J10437=0,$K10437=0),0,1)</f>
        <v>1</v>
      </c>
    </row>
    <row r="10438" spans="1:13" x14ac:dyDescent="0.2">
      <c r="A10438" t="s">
        <v>750</v>
      </c>
      <c r="B10438" t="s">
        <v>6</v>
      </c>
      <c r="C10438" t="s">
        <v>2</v>
      </c>
      <c r="D10438">
        <v>3999</v>
      </c>
      <c r="E10438">
        <v>2019</v>
      </c>
      <c r="F10438">
        <v>3</v>
      </c>
      <c r="G10438">
        <v>268</v>
      </c>
      <c r="H10438" s="1" t="s">
        <v>1823</v>
      </c>
      <c r="I10438">
        <v>1</v>
      </c>
      <c r="J10438">
        <f>IF($H10438=0,1,IF($I10438&lt;=1,2,0))</f>
        <v>2</v>
      </c>
      <c r="K10438">
        <v>7</v>
      </c>
      <c r="L10438">
        <f>IF(AND($J10438=0,$K10438=0),0,1)</f>
        <v>1</v>
      </c>
    </row>
    <row r="10439" spans="1:13" x14ac:dyDescent="0.2">
      <c r="A10439" t="s">
        <v>759</v>
      </c>
      <c r="B10439" t="s">
        <v>386</v>
      </c>
      <c r="C10439" t="s">
        <v>407</v>
      </c>
      <c r="D10439">
        <v>3932</v>
      </c>
      <c r="E10439">
        <v>2019</v>
      </c>
      <c r="F10439">
        <v>5</v>
      </c>
      <c r="G10439">
        <v>98880</v>
      </c>
      <c r="H10439" s="1" t="s">
        <v>1827</v>
      </c>
      <c r="I10439">
        <v>2</v>
      </c>
      <c r="J10439">
        <f>IF($H10439=0,1,IF($I10439&lt;=1,2,0))</f>
        <v>0</v>
      </c>
      <c r="K10439">
        <v>4</v>
      </c>
      <c r="L10439">
        <f>IF(AND($J10439=0,$K10439=0),0,1)</f>
        <v>1</v>
      </c>
      <c r="M10439" t="s">
        <v>761</v>
      </c>
    </row>
    <row r="10440" spans="1:13" x14ac:dyDescent="0.2">
      <c r="A10440" t="s">
        <v>759</v>
      </c>
      <c r="B10440" t="s">
        <v>386</v>
      </c>
      <c r="C10440" t="s">
        <v>407</v>
      </c>
      <c r="D10440">
        <v>3932</v>
      </c>
      <c r="E10440">
        <v>2019</v>
      </c>
      <c r="F10440">
        <v>7</v>
      </c>
      <c r="G10440">
        <v>98878</v>
      </c>
      <c r="H10440" s="1" t="s">
        <v>1827</v>
      </c>
      <c r="I10440">
        <v>2</v>
      </c>
      <c r="J10440">
        <f>IF($H10440=0,1,IF($I10440&lt;=1,2,0))</f>
        <v>0</v>
      </c>
      <c r="K10440">
        <v>4</v>
      </c>
      <c r="L10440">
        <f>IF(AND($J10440=0,$K10440=0),0,1)</f>
        <v>1</v>
      </c>
      <c r="M10440" t="s">
        <v>761</v>
      </c>
    </row>
    <row r="10441" spans="1:13" x14ac:dyDescent="0.2">
      <c r="A10441" t="s">
        <v>759</v>
      </c>
      <c r="B10441" t="s">
        <v>386</v>
      </c>
      <c r="C10441" t="s">
        <v>407</v>
      </c>
      <c r="D10441">
        <v>3932</v>
      </c>
      <c r="E10441">
        <v>2019</v>
      </c>
      <c r="F10441">
        <v>1</v>
      </c>
      <c r="G10441">
        <v>98884</v>
      </c>
      <c r="H10441" s="1" t="s">
        <v>1827</v>
      </c>
      <c r="I10441">
        <v>1</v>
      </c>
      <c r="J10441">
        <f>IF($H10441=0,1,IF($I10441&lt;=1,2,0))</f>
        <v>2</v>
      </c>
      <c r="K10441">
        <v>4</v>
      </c>
      <c r="L10441">
        <f>IF(AND($J10441=0,$K10441=0),0,1)</f>
        <v>1</v>
      </c>
      <c r="M10441" t="s">
        <v>761</v>
      </c>
    </row>
    <row r="10442" spans="1:13" x14ac:dyDescent="0.2">
      <c r="A10442" t="s">
        <v>759</v>
      </c>
      <c r="B10442" t="s">
        <v>386</v>
      </c>
      <c r="C10442" t="s">
        <v>407</v>
      </c>
      <c r="D10442">
        <v>3932</v>
      </c>
      <c r="E10442">
        <v>2019</v>
      </c>
      <c r="F10442">
        <v>3</v>
      </c>
      <c r="G10442">
        <v>98882</v>
      </c>
      <c r="H10442" s="1" t="s">
        <v>1827</v>
      </c>
      <c r="I10442">
        <v>1</v>
      </c>
      <c r="J10442">
        <f>IF($H10442=0,1,IF($I10442&lt;=1,2,0))</f>
        <v>2</v>
      </c>
      <c r="K10442">
        <v>4</v>
      </c>
      <c r="L10442">
        <f>IF(AND($J10442=0,$K10442=0),0,1)</f>
        <v>1</v>
      </c>
      <c r="M10442" t="s">
        <v>761</v>
      </c>
    </row>
    <row r="10443" spans="1:13" x14ac:dyDescent="0.2">
      <c r="A10443" t="s">
        <v>759</v>
      </c>
      <c r="B10443" t="s">
        <v>386</v>
      </c>
      <c r="C10443" t="s">
        <v>407</v>
      </c>
      <c r="D10443">
        <v>3932</v>
      </c>
      <c r="E10443">
        <v>2019</v>
      </c>
      <c r="F10443">
        <v>4</v>
      </c>
      <c r="G10443">
        <v>98881</v>
      </c>
      <c r="H10443" s="1" t="s">
        <v>1827</v>
      </c>
      <c r="I10443">
        <v>1</v>
      </c>
      <c r="J10443">
        <f>IF($H10443=0,1,IF($I10443&lt;=1,2,0))</f>
        <v>2</v>
      </c>
      <c r="K10443">
        <v>4</v>
      </c>
      <c r="L10443">
        <f>IF(AND($J10443=0,$K10443=0),0,1)</f>
        <v>1</v>
      </c>
      <c r="M10443" t="s">
        <v>761</v>
      </c>
    </row>
    <row r="10444" spans="1:13" x14ac:dyDescent="0.2">
      <c r="A10444" t="s">
        <v>759</v>
      </c>
      <c r="B10444" t="s">
        <v>386</v>
      </c>
      <c r="C10444" t="s">
        <v>407</v>
      </c>
      <c r="D10444">
        <v>3932</v>
      </c>
      <c r="E10444">
        <v>2019</v>
      </c>
      <c r="F10444">
        <v>8</v>
      </c>
      <c r="G10444">
        <v>98877</v>
      </c>
      <c r="H10444" s="1" t="s">
        <v>1827</v>
      </c>
      <c r="I10444">
        <v>1</v>
      </c>
      <c r="J10444">
        <f>IF($H10444=0,1,IF($I10444&lt;=1,2,0))</f>
        <v>2</v>
      </c>
      <c r="K10444">
        <v>4</v>
      </c>
      <c r="L10444">
        <f>IF(AND($J10444=0,$K10444=0),0,1)</f>
        <v>1</v>
      </c>
      <c r="M10444" t="s">
        <v>761</v>
      </c>
    </row>
    <row r="10445" spans="1:13" x14ac:dyDescent="0.2">
      <c r="A10445" t="s">
        <v>759</v>
      </c>
      <c r="B10445" t="s">
        <v>386</v>
      </c>
      <c r="C10445" t="s">
        <v>407</v>
      </c>
      <c r="D10445">
        <v>3932</v>
      </c>
      <c r="E10445">
        <v>2019</v>
      </c>
      <c r="F10445">
        <v>12</v>
      </c>
      <c r="G10445">
        <v>98873</v>
      </c>
      <c r="H10445" s="1" t="s">
        <v>1827</v>
      </c>
      <c r="I10445">
        <v>1</v>
      </c>
      <c r="J10445">
        <f>IF($H10445=0,1,IF($I10445&lt;=1,2,0))</f>
        <v>2</v>
      </c>
      <c r="K10445">
        <v>4</v>
      </c>
      <c r="L10445">
        <f>IF(AND($J10445=0,$K10445=0),0,1)</f>
        <v>1</v>
      </c>
      <c r="M10445" t="s">
        <v>761</v>
      </c>
    </row>
    <row r="10446" spans="1:13" x14ac:dyDescent="0.2">
      <c r="A10446" t="s">
        <v>759</v>
      </c>
      <c r="B10446" t="s">
        <v>386</v>
      </c>
      <c r="C10446" t="s">
        <v>407</v>
      </c>
      <c r="D10446">
        <v>3932</v>
      </c>
      <c r="E10446">
        <v>2019</v>
      </c>
      <c r="F10446">
        <v>2</v>
      </c>
      <c r="G10446">
        <v>98883</v>
      </c>
      <c r="H10446" s="1" t="s">
        <v>1827</v>
      </c>
      <c r="I10446">
        <v>0</v>
      </c>
      <c r="J10446">
        <f>IF($H10446=0,1,IF($I10446&lt;=1,2,0))</f>
        <v>2</v>
      </c>
      <c r="K10446">
        <v>4</v>
      </c>
      <c r="L10446">
        <f>IF(AND($J10446=0,$K10446=0),0,1)</f>
        <v>1</v>
      </c>
      <c r="M10446" t="s">
        <v>761</v>
      </c>
    </row>
    <row r="10447" spans="1:13" x14ac:dyDescent="0.2">
      <c r="A10447" t="s">
        <v>759</v>
      </c>
      <c r="B10447" t="s">
        <v>386</v>
      </c>
      <c r="C10447" t="s">
        <v>407</v>
      </c>
      <c r="D10447">
        <v>3932</v>
      </c>
      <c r="E10447">
        <v>2019</v>
      </c>
      <c r="F10447">
        <v>6</v>
      </c>
      <c r="G10447">
        <v>98879</v>
      </c>
      <c r="H10447" s="1" t="s">
        <v>1827</v>
      </c>
      <c r="I10447">
        <v>0</v>
      </c>
      <c r="J10447">
        <f>IF($H10447=0,1,IF($I10447&lt;=1,2,0))</f>
        <v>2</v>
      </c>
      <c r="K10447">
        <v>4</v>
      </c>
      <c r="L10447">
        <f>IF(AND($J10447=0,$K10447=0),0,1)</f>
        <v>1</v>
      </c>
      <c r="M10447" t="s">
        <v>761</v>
      </c>
    </row>
    <row r="10448" spans="1:13" x14ac:dyDescent="0.2">
      <c r="A10448" t="s">
        <v>759</v>
      </c>
      <c r="B10448" t="s">
        <v>386</v>
      </c>
      <c r="C10448" t="s">
        <v>407</v>
      </c>
      <c r="D10448">
        <v>3932</v>
      </c>
      <c r="E10448">
        <v>2019</v>
      </c>
      <c r="F10448">
        <v>10</v>
      </c>
      <c r="G10448">
        <v>98875</v>
      </c>
      <c r="H10448" s="1" t="s">
        <v>1827</v>
      </c>
      <c r="I10448">
        <v>0</v>
      </c>
      <c r="J10448">
        <f>IF($H10448=0,1,IF($I10448&lt;=1,2,0))</f>
        <v>2</v>
      </c>
      <c r="K10448">
        <v>4</v>
      </c>
      <c r="L10448">
        <f>IF(AND($J10448=0,$K10448=0),0,1)</f>
        <v>1</v>
      </c>
      <c r="M10448" t="s">
        <v>761</v>
      </c>
    </row>
    <row r="10449" spans="1:13" x14ac:dyDescent="0.2">
      <c r="A10449" t="s">
        <v>759</v>
      </c>
      <c r="B10449" t="s">
        <v>386</v>
      </c>
      <c r="C10449" t="s">
        <v>407</v>
      </c>
      <c r="D10449">
        <v>3932</v>
      </c>
      <c r="E10449">
        <v>2019</v>
      </c>
      <c r="F10449">
        <v>11</v>
      </c>
      <c r="G10449">
        <v>98874</v>
      </c>
      <c r="H10449" s="1" t="s">
        <v>1827</v>
      </c>
      <c r="I10449">
        <v>0</v>
      </c>
      <c r="J10449">
        <f>IF($H10449=0,1,IF($I10449&lt;=1,2,0))</f>
        <v>2</v>
      </c>
      <c r="K10449">
        <v>4</v>
      </c>
      <c r="L10449">
        <f>IF(AND($J10449=0,$K10449=0),0,1)</f>
        <v>1</v>
      </c>
      <c r="M10449" t="s">
        <v>761</v>
      </c>
    </row>
    <row r="10450" spans="1:13" x14ac:dyDescent="0.2">
      <c r="A10450" t="s">
        <v>759</v>
      </c>
      <c r="B10450" t="s">
        <v>386</v>
      </c>
      <c r="C10450" t="s">
        <v>33</v>
      </c>
      <c r="D10450">
        <v>3991</v>
      </c>
      <c r="E10450">
        <v>2019</v>
      </c>
      <c r="F10450">
        <v>1</v>
      </c>
      <c r="G10450">
        <v>19298</v>
      </c>
      <c r="H10450" s="1">
        <v>3</v>
      </c>
      <c r="I10450">
        <v>1</v>
      </c>
      <c r="J10450">
        <f>IF($H10450=0,1,IF($I10450&lt;=1,2,0))</f>
        <v>2</v>
      </c>
      <c r="K10450">
        <v>0</v>
      </c>
      <c r="L10450">
        <f>IF(AND($J10450=0,$K10450=0),0,1)</f>
        <v>1</v>
      </c>
    </row>
    <row r="10451" spans="1:13" x14ac:dyDescent="0.2">
      <c r="A10451" t="s">
        <v>759</v>
      </c>
      <c r="B10451" t="s">
        <v>386</v>
      </c>
      <c r="C10451" t="s">
        <v>33</v>
      </c>
      <c r="D10451">
        <v>3991</v>
      </c>
      <c r="E10451">
        <v>2019</v>
      </c>
      <c r="F10451">
        <v>2</v>
      </c>
      <c r="G10451">
        <v>19303</v>
      </c>
      <c r="H10451" s="1">
        <v>3</v>
      </c>
      <c r="I10451">
        <v>1</v>
      </c>
      <c r="J10451">
        <f>IF($H10451=0,1,IF($I10451&lt;=1,2,0))</f>
        <v>2</v>
      </c>
      <c r="K10451">
        <v>0</v>
      </c>
      <c r="L10451">
        <f>IF(AND($J10451=0,$K10451=0),0,1)</f>
        <v>1</v>
      </c>
    </row>
    <row r="10452" spans="1:13" x14ac:dyDescent="0.2">
      <c r="A10452" t="s">
        <v>759</v>
      </c>
      <c r="B10452" t="s">
        <v>386</v>
      </c>
      <c r="C10452" t="s">
        <v>407</v>
      </c>
      <c r="D10452">
        <v>5001</v>
      </c>
      <c r="E10452">
        <v>2019</v>
      </c>
      <c r="F10452">
        <v>1</v>
      </c>
      <c r="G10452">
        <v>98824</v>
      </c>
      <c r="H10452" s="1">
        <v>3</v>
      </c>
      <c r="I10452">
        <v>0</v>
      </c>
      <c r="J10452">
        <f>IF($H10452=0,1,IF($I10452&lt;=1,2,0))</f>
        <v>2</v>
      </c>
      <c r="K10452">
        <v>0</v>
      </c>
      <c r="L10452">
        <f>IF(AND($J10452=0,$K10452=0),0,1)</f>
        <v>1</v>
      </c>
      <c r="M10452" t="s">
        <v>762</v>
      </c>
    </row>
    <row r="10453" spans="1:13" x14ac:dyDescent="0.2">
      <c r="A10453" t="s">
        <v>759</v>
      </c>
      <c r="B10453" t="s">
        <v>386</v>
      </c>
      <c r="C10453" t="s">
        <v>407</v>
      </c>
      <c r="D10453">
        <v>5100</v>
      </c>
      <c r="E10453">
        <v>2019</v>
      </c>
      <c r="F10453">
        <v>3</v>
      </c>
      <c r="G10453">
        <v>98867</v>
      </c>
      <c r="H10453" s="1">
        <v>3</v>
      </c>
      <c r="I10453">
        <v>1</v>
      </c>
      <c r="J10453">
        <f>IF($H10453=0,1,IF($I10453&lt;=1,2,0))</f>
        <v>2</v>
      </c>
      <c r="K10453">
        <v>0</v>
      </c>
      <c r="L10453">
        <f>IF(AND($J10453=0,$K10453=0),0,1)</f>
        <v>1</v>
      </c>
      <c r="M10453" t="s">
        <v>762</v>
      </c>
    </row>
    <row r="10454" spans="1:13" x14ac:dyDescent="0.2">
      <c r="A10454" t="s">
        <v>759</v>
      </c>
      <c r="B10454" t="s">
        <v>386</v>
      </c>
      <c r="C10454" t="s">
        <v>407</v>
      </c>
      <c r="D10454">
        <v>5100</v>
      </c>
      <c r="E10454">
        <v>2019</v>
      </c>
      <c r="F10454">
        <v>1</v>
      </c>
      <c r="G10454">
        <v>98869</v>
      </c>
      <c r="H10454" s="1">
        <v>3</v>
      </c>
      <c r="I10454">
        <v>0</v>
      </c>
      <c r="J10454">
        <f>IF($H10454=0,1,IF($I10454&lt;=1,2,0))</f>
        <v>2</v>
      </c>
      <c r="K10454">
        <v>0</v>
      </c>
      <c r="L10454">
        <f>IF(AND($J10454=0,$K10454=0),0,1)</f>
        <v>1</v>
      </c>
      <c r="M10454" t="s">
        <v>762</v>
      </c>
    </row>
    <row r="10455" spans="1:13" x14ac:dyDescent="0.2">
      <c r="A10455" t="s">
        <v>759</v>
      </c>
      <c r="B10455" t="s">
        <v>386</v>
      </c>
      <c r="C10455" t="s">
        <v>407</v>
      </c>
      <c r="D10455">
        <v>5100</v>
      </c>
      <c r="E10455">
        <v>2019</v>
      </c>
      <c r="F10455">
        <v>2</v>
      </c>
      <c r="G10455">
        <v>98868</v>
      </c>
      <c r="H10455" s="1">
        <v>3</v>
      </c>
      <c r="I10455">
        <v>0</v>
      </c>
      <c r="J10455">
        <f>IF($H10455=0,1,IF($I10455&lt;=1,2,0))</f>
        <v>2</v>
      </c>
      <c r="K10455">
        <v>0</v>
      </c>
      <c r="L10455">
        <f>IF(AND($J10455=0,$K10455=0),0,1)</f>
        <v>1</v>
      </c>
      <c r="M10455" t="s">
        <v>762</v>
      </c>
    </row>
    <row r="10456" spans="1:13" x14ac:dyDescent="0.2">
      <c r="A10456" t="s">
        <v>759</v>
      </c>
      <c r="B10456" t="s">
        <v>386</v>
      </c>
      <c r="C10456" t="s">
        <v>407</v>
      </c>
      <c r="D10456">
        <v>5101</v>
      </c>
      <c r="E10456">
        <v>2019</v>
      </c>
      <c r="F10456">
        <v>1</v>
      </c>
      <c r="G10456">
        <v>98823</v>
      </c>
      <c r="H10456" s="1">
        <v>3</v>
      </c>
      <c r="I10456">
        <v>0</v>
      </c>
      <c r="J10456">
        <f>IF($H10456=0,1,IF($I10456&lt;=1,2,0))</f>
        <v>2</v>
      </c>
      <c r="K10456">
        <v>0</v>
      </c>
      <c r="L10456">
        <f>IF(AND($J10456=0,$K10456=0),0,1)</f>
        <v>1</v>
      </c>
      <c r="M10456" t="s">
        <v>762</v>
      </c>
    </row>
    <row r="10457" spans="1:13" x14ac:dyDescent="0.2">
      <c r="A10457" t="s">
        <v>759</v>
      </c>
      <c r="B10457" t="s">
        <v>386</v>
      </c>
      <c r="C10457" t="s">
        <v>407</v>
      </c>
      <c r="D10457">
        <v>5200</v>
      </c>
      <c r="E10457">
        <v>2019</v>
      </c>
      <c r="F10457">
        <v>1</v>
      </c>
      <c r="G10457">
        <v>98787</v>
      </c>
      <c r="H10457" s="1">
        <v>3</v>
      </c>
      <c r="I10457">
        <v>3</v>
      </c>
      <c r="J10457">
        <f>IF($H10457=0,1,IF($I10457&lt;=1,2,0))</f>
        <v>0</v>
      </c>
      <c r="K10457">
        <v>4</v>
      </c>
      <c r="L10457">
        <f>IF(AND($J10457=0,$K10457=0),0,1)</f>
        <v>1</v>
      </c>
      <c r="M10457" t="s">
        <v>762</v>
      </c>
    </row>
    <row r="10458" spans="1:13" x14ac:dyDescent="0.2">
      <c r="A10458" t="s">
        <v>759</v>
      </c>
      <c r="B10458" t="s">
        <v>386</v>
      </c>
      <c r="C10458" t="s">
        <v>407</v>
      </c>
      <c r="D10458">
        <v>5300</v>
      </c>
      <c r="E10458">
        <v>2019</v>
      </c>
      <c r="F10458">
        <v>2</v>
      </c>
      <c r="G10458">
        <v>98864</v>
      </c>
      <c r="H10458" s="1">
        <v>3</v>
      </c>
      <c r="I10458">
        <v>3</v>
      </c>
      <c r="J10458">
        <f>IF($H10458=0,1,IF($I10458&lt;=1,2,0))</f>
        <v>0</v>
      </c>
      <c r="K10458">
        <v>4</v>
      </c>
      <c r="L10458">
        <f>IF(AND($J10458=0,$K10458=0),0,1)</f>
        <v>1</v>
      </c>
      <c r="M10458" t="s">
        <v>762</v>
      </c>
    </row>
    <row r="10459" spans="1:13" x14ac:dyDescent="0.2">
      <c r="A10459" t="s">
        <v>759</v>
      </c>
      <c r="B10459" t="s">
        <v>386</v>
      </c>
      <c r="C10459" t="s">
        <v>407</v>
      </c>
      <c r="D10459">
        <v>5300</v>
      </c>
      <c r="E10459">
        <v>2019</v>
      </c>
      <c r="F10459">
        <v>1</v>
      </c>
      <c r="G10459">
        <v>98865</v>
      </c>
      <c r="H10459" s="1">
        <v>3</v>
      </c>
      <c r="I10459">
        <v>2</v>
      </c>
      <c r="J10459">
        <f>IF($H10459=0,1,IF($I10459&lt;=1,2,0))</f>
        <v>0</v>
      </c>
      <c r="K10459">
        <v>4</v>
      </c>
      <c r="L10459">
        <f>IF(AND($J10459=0,$K10459=0),0,1)</f>
        <v>1</v>
      </c>
      <c r="M10459" t="s">
        <v>762</v>
      </c>
    </row>
    <row r="10460" spans="1:13" x14ac:dyDescent="0.2">
      <c r="A10460" t="s">
        <v>759</v>
      </c>
      <c r="B10460" t="s">
        <v>386</v>
      </c>
      <c r="C10460" t="s">
        <v>407</v>
      </c>
      <c r="D10460">
        <v>5410</v>
      </c>
      <c r="E10460">
        <v>2019</v>
      </c>
      <c r="F10460">
        <v>1</v>
      </c>
      <c r="G10460">
        <v>98905</v>
      </c>
      <c r="H10460" s="1">
        <v>3</v>
      </c>
      <c r="I10460">
        <v>7</v>
      </c>
      <c r="J10460">
        <f>IF($H10460=0,1,IF($I10460&lt;=1,2,0))</f>
        <v>0</v>
      </c>
      <c r="K10460">
        <v>4</v>
      </c>
      <c r="L10460">
        <f>IF(AND($J10460=0,$K10460=0),0,1)</f>
        <v>1</v>
      </c>
      <c r="M10460" t="s">
        <v>762</v>
      </c>
    </row>
    <row r="10461" spans="1:13" x14ac:dyDescent="0.2">
      <c r="A10461" t="s">
        <v>759</v>
      </c>
      <c r="B10461" t="s">
        <v>386</v>
      </c>
      <c r="C10461" t="s">
        <v>407</v>
      </c>
      <c r="D10461">
        <v>5412</v>
      </c>
      <c r="E10461">
        <v>2019</v>
      </c>
      <c r="F10461">
        <v>1</v>
      </c>
      <c r="G10461">
        <v>98863</v>
      </c>
      <c r="H10461" s="1">
        <v>3</v>
      </c>
      <c r="I10461">
        <v>3</v>
      </c>
      <c r="J10461">
        <f>IF($H10461=0,1,IF($I10461&lt;=1,2,0))</f>
        <v>0</v>
      </c>
      <c r="K10461">
        <v>4</v>
      </c>
      <c r="L10461">
        <f>IF(AND($J10461=0,$K10461=0),0,1)</f>
        <v>1</v>
      </c>
      <c r="M10461" t="s">
        <v>762</v>
      </c>
    </row>
    <row r="10462" spans="1:13" x14ac:dyDescent="0.2">
      <c r="A10462" t="s">
        <v>759</v>
      </c>
      <c r="B10462" t="s">
        <v>386</v>
      </c>
      <c r="C10462" t="s">
        <v>407</v>
      </c>
      <c r="D10462">
        <v>5420</v>
      </c>
      <c r="E10462">
        <v>2019</v>
      </c>
      <c r="F10462">
        <v>1</v>
      </c>
      <c r="G10462">
        <v>98819</v>
      </c>
      <c r="H10462" s="1">
        <v>3</v>
      </c>
      <c r="I10462">
        <v>1</v>
      </c>
      <c r="J10462">
        <f>IF($H10462=0,1,IF($I10462&lt;=1,2,0))</f>
        <v>2</v>
      </c>
      <c r="K10462">
        <v>0</v>
      </c>
      <c r="L10462">
        <f>IF(AND($J10462=0,$K10462=0),0,1)</f>
        <v>1</v>
      </c>
      <c r="M10462" t="s">
        <v>762</v>
      </c>
    </row>
    <row r="10463" spans="1:13" x14ac:dyDescent="0.2">
      <c r="A10463" t="s">
        <v>759</v>
      </c>
      <c r="B10463" t="s">
        <v>386</v>
      </c>
      <c r="C10463" t="s">
        <v>407</v>
      </c>
      <c r="D10463">
        <v>5421</v>
      </c>
      <c r="E10463">
        <v>2019</v>
      </c>
      <c r="F10463">
        <v>1</v>
      </c>
      <c r="G10463">
        <v>98898</v>
      </c>
      <c r="H10463" s="1">
        <v>3</v>
      </c>
      <c r="I10463">
        <v>1</v>
      </c>
      <c r="J10463">
        <f>IF($H10463=0,1,IF($I10463&lt;=1,2,0))</f>
        <v>2</v>
      </c>
      <c r="K10463">
        <v>0</v>
      </c>
      <c r="L10463">
        <f>IF(AND($J10463=0,$K10463=0),0,1)</f>
        <v>1</v>
      </c>
      <c r="M10463" t="s">
        <v>762</v>
      </c>
    </row>
    <row r="10464" spans="1:13" x14ac:dyDescent="0.2">
      <c r="A10464" t="s">
        <v>759</v>
      </c>
      <c r="B10464" t="s">
        <v>386</v>
      </c>
      <c r="C10464" t="s">
        <v>407</v>
      </c>
      <c r="D10464">
        <v>5430</v>
      </c>
      <c r="E10464">
        <v>2019</v>
      </c>
      <c r="F10464">
        <v>1</v>
      </c>
      <c r="G10464">
        <v>98818</v>
      </c>
      <c r="H10464" s="1">
        <v>3</v>
      </c>
      <c r="I10464">
        <v>0</v>
      </c>
      <c r="J10464">
        <f>IF($H10464=0,1,IF($I10464&lt;=1,2,0))</f>
        <v>2</v>
      </c>
      <c r="K10464">
        <v>0</v>
      </c>
      <c r="L10464">
        <f>IF(AND($J10464=0,$K10464=0),0,1)</f>
        <v>1</v>
      </c>
      <c r="M10464" t="s">
        <v>762</v>
      </c>
    </row>
    <row r="10465" spans="1:13" x14ac:dyDescent="0.2">
      <c r="A10465" t="s">
        <v>759</v>
      </c>
      <c r="B10465" t="s">
        <v>386</v>
      </c>
      <c r="C10465" t="s">
        <v>407</v>
      </c>
      <c r="D10465">
        <v>5500</v>
      </c>
      <c r="E10465">
        <v>2019</v>
      </c>
      <c r="F10465">
        <v>1</v>
      </c>
      <c r="G10465">
        <v>98816</v>
      </c>
      <c r="H10465" s="1">
        <v>3</v>
      </c>
      <c r="I10465">
        <v>3</v>
      </c>
      <c r="J10465">
        <f>IF($H10465=0,1,IF($I10465&lt;=1,2,0))</f>
        <v>0</v>
      </c>
      <c r="K10465">
        <v>4</v>
      </c>
      <c r="L10465">
        <f>IF(AND($J10465=0,$K10465=0),0,1)</f>
        <v>1</v>
      </c>
      <c r="M10465" t="s">
        <v>762</v>
      </c>
    </row>
    <row r="10466" spans="1:13" x14ac:dyDescent="0.2">
      <c r="A10466" t="s">
        <v>759</v>
      </c>
      <c r="B10466" t="s">
        <v>386</v>
      </c>
      <c r="C10466" t="s">
        <v>407</v>
      </c>
      <c r="D10466">
        <v>5700</v>
      </c>
      <c r="E10466">
        <v>2019</v>
      </c>
      <c r="F10466">
        <v>3</v>
      </c>
      <c r="G10466">
        <v>98860</v>
      </c>
      <c r="H10466" s="1">
        <v>3</v>
      </c>
      <c r="I10466">
        <v>2</v>
      </c>
      <c r="J10466">
        <f>IF($H10466=0,1,IF($I10466&lt;=1,2,0))</f>
        <v>0</v>
      </c>
      <c r="K10466">
        <v>4</v>
      </c>
      <c r="L10466">
        <f>IF(AND($J10466=0,$K10466=0),0,1)</f>
        <v>1</v>
      </c>
      <c r="M10466" t="s">
        <v>762</v>
      </c>
    </row>
    <row r="10467" spans="1:13" x14ac:dyDescent="0.2">
      <c r="A10467" t="s">
        <v>759</v>
      </c>
      <c r="B10467" t="s">
        <v>386</v>
      </c>
      <c r="C10467" t="s">
        <v>407</v>
      </c>
      <c r="D10467">
        <v>5700</v>
      </c>
      <c r="E10467">
        <v>2019</v>
      </c>
      <c r="F10467">
        <v>1</v>
      </c>
      <c r="G10467">
        <v>98862</v>
      </c>
      <c r="H10467" s="1">
        <v>3</v>
      </c>
      <c r="I10467">
        <v>0</v>
      </c>
      <c r="J10467">
        <f>IF($H10467=0,1,IF($I10467&lt;=1,2,0))</f>
        <v>2</v>
      </c>
      <c r="K10467">
        <v>0</v>
      </c>
      <c r="L10467">
        <f>IF(AND($J10467=0,$K10467=0),0,1)</f>
        <v>1</v>
      </c>
      <c r="M10467" t="s">
        <v>762</v>
      </c>
    </row>
    <row r="10468" spans="1:13" x14ac:dyDescent="0.2">
      <c r="A10468" t="s">
        <v>759</v>
      </c>
      <c r="B10468" t="s">
        <v>386</v>
      </c>
      <c r="C10468" t="s">
        <v>407</v>
      </c>
      <c r="D10468">
        <v>5700</v>
      </c>
      <c r="E10468">
        <v>2019</v>
      </c>
      <c r="F10468">
        <v>2</v>
      </c>
      <c r="G10468">
        <v>98861</v>
      </c>
      <c r="H10468" s="1">
        <v>3</v>
      </c>
      <c r="I10468">
        <v>0</v>
      </c>
      <c r="J10468">
        <f>IF($H10468=0,1,IF($I10468&lt;=1,2,0))</f>
        <v>2</v>
      </c>
      <c r="K10468">
        <v>0</v>
      </c>
      <c r="L10468">
        <f>IF(AND($J10468=0,$K10468=0),0,1)</f>
        <v>1</v>
      </c>
      <c r="M10468" t="s">
        <v>762</v>
      </c>
    </row>
    <row r="10469" spans="1:13" x14ac:dyDescent="0.2">
      <c r="A10469" t="s">
        <v>759</v>
      </c>
      <c r="B10469" t="s">
        <v>386</v>
      </c>
      <c r="C10469" t="s">
        <v>407</v>
      </c>
      <c r="D10469">
        <v>5701</v>
      </c>
      <c r="E10469">
        <v>2019</v>
      </c>
      <c r="F10469">
        <v>1</v>
      </c>
      <c r="G10469">
        <v>98814</v>
      </c>
      <c r="H10469" s="1">
        <v>3</v>
      </c>
      <c r="I10469">
        <v>0</v>
      </c>
      <c r="J10469">
        <f>IF($H10469=0,1,IF($I10469&lt;=1,2,0))</f>
        <v>2</v>
      </c>
      <c r="K10469">
        <v>0</v>
      </c>
      <c r="L10469">
        <f>IF(AND($J10469=0,$K10469=0),0,1)</f>
        <v>1</v>
      </c>
      <c r="M10469" t="s">
        <v>762</v>
      </c>
    </row>
    <row r="10470" spans="1:13" x14ac:dyDescent="0.2">
      <c r="A10470" t="s">
        <v>759</v>
      </c>
      <c r="B10470" t="s">
        <v>386</v>
      </c>
      <c r="C10470" t="s">
        <v>407</v>
      </c>
      <c r="D10470">
        <v>5800</v>
      </c>
      <c r="E10470">
        <v>2019</v>
      </c>
      <c r="F10470">
        <v>1</v>
      </c>
      <c r="G10470">
        <v>98812</v>
      </c>
      <c r="H10470" s="1">
        <v>0</v>
      </c>
      <c r="I10470">
        <v>27</v>
      </c>
      <c r="J10470">
        <f>IF($H10470=0,1,IF($I10470&lt;=1,2,0))</f>
        <v>1</v>
      </c>
      <c r="K10470">
        <v>0</v>
      </c>
      <c r="L10470">
        <f>IF(AND($J10470=0,$K10470=0),0,1)</f>
        <v>1</v>
      </c>
      <c r="M10470" t="s">
        <v>762</v>
      </c>
    </row>
    <row r="10471" spans="1:13" x14ac:dyDescent="0.2">
      <c r="A10471" t="s">
        <v>759</v>
      </c>
      <c r="B10471" t="s">
        <v>386</v>
      </c>
      <c r="C10471" t="s">
        <v>407</v>
      </c>
      <c r="D10471">
        <v>5840</v>
      </c>
      <c r="E10471">
        <v>2019</v>
      </c>
      <c r="F10471">
        <v>1</v>
      </c>
      <c r="G10471">
        <v>98806</v>
      </c>
      <c r="H10471" s="1">
        <v>3</v>
      </c>
      <c r="I10471">
        <v>27</v>
      </c>
      <c r="J10471">
        <f>IF($H10471=0,1,IF($I10471&lt;=1,2,0))</f>
        <v>0</v>
      </c>
      <c r="K10471">
        <v>4</v>
      </c>
      <c r="L10471">
        <f>IF(AND($J10471=0,$K10471=0),0,1)</f>
        <v>1</v>
      </c>
      <c r="M10471" t="s">
        <v>762</v>
      </c>
    </row>
    <row r="10472" spans="1:13" x14ac:dyDescent="0.2">
      <c r="A10472" t="s">
        <v>759</v>
      </c>
      <c r="B10472" t="s">
        <v>386</v>
      </c>
      <c r="C10472" t="s">
        <v>407</v>
      </c>
      <c r="D10472">
        <v>5850</v>
      </c>
      <c r="E10472">
        <v>2019</v>
      </c>
      <c r="F10472">
        <v>1</v>
      </c>
      <c r="G10472">
        <v>98804</v>
      </c>
      <c r="H10472" s="1">
        <v>3</v>
      </c>
      <c r="I10472">
        <v>27</v>
      </c>
      <c r="J10472">
        <f>IF($H10472=0,1,IF($I10472&lt;=1,2,0))</f>
        <v>0</v>
      </c>
      <c r="K10472">
        <v>4</v>
      </c>
      <c r="L10472">
        <f>IF(AND($J10472=0,$K10472=0),0,1)</f>
        <v>1</v>
      </c>
      <c r="M10472" t="s">
        <v>762</v>
      </c>
    </row>
    <row r="10473" spans="1:13" x14ac:dyDescent="0.2">
      <c r="A10473" t="s">
        <v>759</v>
      </c>
      <c r="B10473" t="s">
        <v>386</v>
      </c>
      <c r="C10473" t="s">
        <v>407</v>
      </c>
      <c r="D10473">
        <v>5860</v>
      </c>
      <c r="E10473">
        <v>2019</v>
      </c>
      <c r="F10473">
        <v>1</v>
      </c>
      <c r="G10473">
        <v>98785</v>
      </c>
      <c r="H10473" s="1">
        <v>3</v>
      </c>
      <c r="I10473">
        <v>27</v>
      </c>
      <c r="J10473">
        <f>IF($H10473=0,1,IF($I10473&lt;=1,2,0))</f>
        <v>0</v>
      </c>
      <c r="K10473">
        <v>4</v>
      </c>
      <c r="L10473">
        <f>IF(AND($J10473=0,$K10473=0),0,1)</f>
        <v>1</v>
      </c>
      <c r="M10473" t="s">
        <v>762</v>
      </c>
    </row>
    <row r="10474" spans="1:13" x14ac:dyDescent="0.2">
      <c r="A10474" t="s">
        <v>759</v>
      </c>
      <c r="B10474" t="s">
        <v>386</v>
      </c>
      <c r="C10474" t="s">
        <v>407</v>
      </c>
      <c r="D10474">
        <v>5932</v>
      </c>
      <c r="E10474">
        <v>2019</v>
      </c>
      <c r="F10474">
        <v>3</v>
      </c>
      <c r="G10474">
        <v>98857</v>
      </c>
      <c r="H10474" s="1" t="s">
        <v>1827</v>
      </c>
      <c r="I10474">
        <v>0</v>
      </c>
      <c r="J10474">
        <f>IF($H10474=0,1,IF($I10474&lt;=1,2,0))</f>
        <v>2</v>
      </c>
      <c r="K10474">
        <v>0</v>
      </c>
      <c r="L10474">
        <f>IF(AND($J10474=0,$K10474=0),0,1)</f>
        <v>1</v>
      </c>
      <c r="M10474" t="s">
        <v>761</v>
      </c>
    </row>
    <row r="10475" spans="1:13" x14ac:dyDescent="0.2">
      <c r="A10475" t="s">
        <v>759</v>
      </c>
      <c r="B10475" t="s">
        <v>386</v>
      </c>
      <c r="C10475" t="s">
        <v>407</v>
      </c>
      <c r="D10475">
        <v>5932</v>
      </c>
      <c r="E10475">
        <v>2019</v>
      </c>
      <c r="F10475">
        <v>4</v>
      </c>
      <c r="G10475">
        <v>98856</v>
      </c>
      <c r="H10475" s="1" t="s">
        <v>1827</v>
      </c>
      <c r="I10475">
        <v>0</v>
      </c>
      <c r="J10475">
        <f>IF($H10475=0,1,IF($I10475&lt;=1,2,0))</f>
        <v>2</v>
      </c>
      <c r="K10475">
        <v>0</v>
      </c>
      <c r="L10475">
        <f>IF(AND($J10475=0,$K10475=0),0,1)</f>
        <v>1</v>
      </c>
      <c r="M10475" t="s">
        <v>761</v>
      </c>
    </row>
    <row r="10476" spans="1:13" x14ac:dyDescent="0.2">
      <c r="A10476" t="s">
        <v>759</v>
      </c>
      <c r="B10476" t="s">
        <v>386</v>
      </c>
      <c r="C10476" t="s">
        <v>407</v>
      </c>
      <c r="D10476">
        <v>5932</v>
      </c>
      <c r="E10476">
        <v>2019</v>
      </c>
      <c r="F10476">
        <v>6</v>
      </c>
      <c r="G10476">
        <v>98854</v>
      </c>
      <c r="H10476" s="1" t="s">
        <v>1827</v>
      </c>
      <c r="I10476">
        <v>0</v>
      </c>
      <c r="J10476">
        <f>IF($H10476=0,1,IF($I10476&lt;=1,2,0))</f>
        <v>2</v>
      </c>
      <c r="K10476">
        <v>0</v>
      </c>
      <c r="L10476">
        <f>IF(AND($J10476=0,$K10476=0),0,1)</f>
        <v>1</v>
      </c>
      <c r="M10476" t="s">
        <v>761</v>
      </c>
    </row>
    <row r="10477" spans="1:13" x14ac:dyDescent="0.2">
      <c r="A10477" t="s">
        <v>759</v>
      </c>
      <c r="B10477" t="s">
        <v>386</v>
      </c>
      <c r="C10477" t="s">
        <v>407</v>
      </c>
      <c r="D10477">
        <v>5932</v>
      </c>
      <c r="E10477">
        <v>2019</v>
      </c>
      <c r="F10477">
        <v>11</v>
      </c>
      <c r="G10477">
        <v>98849</v>
      </c>
      <c r="H10477" s="1" t="s">
        <v>1827</v>
      </c>
      <c r="I10477">
        <v>0</v>
      </c>
      <c r="J10477">
        <f>IF($H10477=0,1,IF($I10477&lt;=1,2,0))</f>
        <v>2</v>
      </c>
      <c r="K10477">
        <v>0</v>
      </c>
      <c r="L10477">
        <f>IF(AND($J10477=0,$K10477=0),0,1)</f>
        <v>1</v>
      </c>
      <c r="M10477" t="s">
        <v>761</v>
      </c>
    </row>
    <row r="10478" spans="1:13" x14ac:dyDescent="0.2">
      <c r="A10478" t="s">
        <v>759</v>
      </c>
      <c r="B10478" t="s">
        <v>386</v>
      </c>
      <c r="C10478" t="s">
        <v>407</v>
      </c>
      <c r="D10478">
        <v>6812</v>
      </c>
      <c r="E10478">
        <v>2019</v>
      </c>
      <c r="F10478">
        <v>1</v>
      </c>
      <c r="G10478">
        <v>98802</v>
      </c>
      <c r="H10478" s="1">
        <v>0</v>
      </c>
      <c r="I10478">
        <v>27</v>
      </c>
      <c r="J10478">
        <f>IF($H10478=0,1,IF($I10478&lt;=1,2,0))</f>
        <v>1</v>
      </c>
      <c r="K10478">
        <v>0</v>
      </c>
      <c r="L10478">
        <f>IF(AND($J10478=0,$K10478=0),0,1)</f>
        <v>1</v>
      </c>
      <c r="M10478" t="s">
        <v>762</v>
      </c>
    </row>
    <row r="10479" spans="1:13" x14ac:dyDescent="0.2">
      <c r="A10479" t="s">
        <v>759</v>
      </c>
      <c r="B10479" t="s">
        <v>386</v>
      </c>
      <c r="C10479" t="s">
        <v>407</v>
      </c>
      <c r="D10479">
        <v>6842</v>
      </c>
      <c r="E10479">
        <v>2019</v>
      </c>
      <c r="F10479">
        <v>1</v>
      </c>
      <c r="G10479">
        <v>98801</v>
      </c>
      <c r="H10479" s="1">
        <v>3</v>
      </c>
      <c r="I10479">
        <v>27</v>
      </c>
      <c r="J10479">
        <f>IF($H10479=0,1,IF($I10479&lt;=1,2,0))</f>
        <v>0</v>
      </c>
      <c r="K10479">
        <v>4</v>
      </c>
      <c r="L10479">
        <f>IF(AND($J10479=0,$K10479=0),0,1)</f>
        <v>1</v>
      </c>
      <c r="M10479" t="s">
        <v>762</v>
      </c>
    </row>
    <row r="10480" spans="1:13" x14ac:dyDescent="0.2">
      <c r="A10480" t="s">
        <v>759</v>
      </c>
      <c r="B10480" t="s">
        <v>386</v>
      </c>
      <c r="C10480" t="s">
        <v>407</v>
      </c>
      <c r="D10480">
        <v>6852</v>
      </c>
      <c r="E10480">
        <v>2019</v>
      </c>
      <c r="F10480">
        <v>1</v>
      </c>
      <c r="G10480">
        <v>98799</v>
      </c>
      <c r="H10480" s="1">
        <v>3</v>
      </c>
      <c r="I10480">
        <v>27</v>
      </c>
      <c r="J10480">
        <f>IF($H10480=0,1,IF($I10480&lt;=1,2,0))</f>
        <v>0</v>
      </c>
      <c r="K10480">
        <v>4</v>
      </c>
      <c r="L10480">
        <f>IF(AND($J10480=0,$K10480=0),0,1)</f>
        <v>1</v>
      </c>
      <c r="M10480" t="s">
        <v>762</v>
      </c>
    </row>
    <row r="10481" spans="1:13" x14ac:dyDescent="0.2">
      <c r="A10481" t="s">
        <v>759</v>
      </c>
      <c r="B10481" t="s">
        <v>386</v>
      </c>
      <c r="C10481" t="s">
        <v>407</v>
      </c>
      <c r="D10481">
        <v>6862</v>
      </c>
      <c r="E10481">
        <v>2019</v>
      </c>
      <c r="F10481">
        <v>1</v>
      </c>
      <c r="G10481">
        <v>98797</v>
      </c>
      <c r="H10481" s="1">
        <v>3</v>
      </c>
      <c r="I10481">
        <v>27</v>
      </c>
      <c r="J10481">
        <f>IF($H10481=0,1,IF($I10481&lt;=1,2,0))</f>
        <v>0</v>
      </c>
      <c r="K10481">
        <v>4</v>
      </c>
      <c r="L10481">
        <f>IF(AND($J10481=0,$K10481=0),0,1)</f>
        <v>1</v>
      </c>
      <c r="M10481" t="s">
        <v>762</v>
      </c>
    </row>
    <row r="10482" spans="1:13" x14ac:dyDescent="0.2">
      <c r="A10482" t="s">
        <v>759</v>
      </c>
      <c r="B10482" t="s">
        <v>386</v>
      </c>
      <c r="C10482" t="s">
        <v>407</v>
      </c>
      <c r="D10482">
        <v>8000</v>
      </c>
      <c r="E10482">
        <v>2019</v>
      </c>
      <c r="F10482">
        <v>1</v>
      </c>
      <c r="G10482">
        <v>98796</v>
      </c>
      <c r="H10482" s="1">
        <v>3</v>
      </c>
      <c r="I10482">
        <v>14</v>
      </c>
      <c r="J10482">
        <f>IF($H10482=0,1,IF($I10482&lt;=1,2,0))</f>
        <v>0</v>
      </c>
      <c r="K10482">
        <v>4</v>
      </c>
      <c r="L10482">
        <f>IF(AND($J10482=0,$K10482=0),0,1)</f>
        <v>1</v>
      </c>
      <c r="M10482" t="s">
        <v>762</v>
      </c>
    </row>
    <row r="10483" spans="1:13" x14ac:dyDescent="0.2">
      <c r="A10483" t="s">
        <v>759</v>
      </c>
      <c r="B10483" t="s">
        <v>386</v>
      </c>
      <c r="C10483" t="s">
        <v>407</v>
      </c>
      <c r="D10483">
        <v>8100</v>
      </c>
      <c r="E10483">
        <v>2019</v>
      </c>
      <c r="F10483">
        <v>1</v>
      </c>
      <c r="G10483">
        <v>98794</v>
      </c>
      <c r="H10483" s="1">
        <v>3</v>
      </c>
      <c r="I10483">
        <v>13</v>
      </c>
      <c r="J10483">
        <f>IF($H10483=0,1,IF($I10483&lt;=1,2,0))</f>
        <v>0</v>
      </c>
      <c r="K10483">
        <v>4</v>
      </c>
      <c r="L10483">
        <f>IF(AND($J10483=0,$K10483=0),0,1)</f>
        <v>1</v>
      </c>
      <c r="M10483" t="s">
        <v>763</v>
      </c>
    </row>
    <row r="10484" spans="1:13" x14ac:dyDescent="0.2">
      <c r="A10484" t="s">
        <v>759</v>
      </c>
      <c r="B10484" t="s">
        <v>386</v>
      </c>
      <c r="C10484" t="s">
        <v>407</v>
      </c>
      <c r="D10484">
        <v>8301</v>
      </c>
      <c r="E10484">
        <v>2019</v>
      </c>
      <c r="F10484">
        <v>1</v>
      </c>
      <c r="G10484">
        <v>98791</v>
      </c>
      <c r="H10484" s="1">
        <v>3</v>
      </c>
      <c r="I10484">
        <v>14</v>
      </c>
      <c r="J10484">
        <f>IF($H10484=0,1,IF($I10484&lt;=1,2,0))</f>
        <v>0</v>
      </c>
      <c r="K10484">
        <v>4</v>
      </c>
      <c r="L10484">
        <f>IF(AND($J10484=0,$K10484=0),0,1)</f>
        <v>1</v>
      </c>
      <c r="M10484" t="s">
        <v>762</v>
      </c>
    </row>
    <row r="10485" spans="1:13" x14ac:dyDescent="0.2">
      <c r="A10485" t="s">
        <v>759</v>
      </c>
      <c r="B10485" t="s">
        <v>386</v>
      </c>
      <c r="C10485" t="s">
        <v>407</v>
      </c>
      <c r="D10485">
        <v>8311</v>
      </c>
      <c r="E10485">
        <v>2019</v>
      </c>
      <c r="F10485">
        <v>1</v>
      </c>
      <c r="G10485">
        <v>98897</v>
      </c>
      <c r="H10485" s="1">
        <v>3</v>
      </c>
      <c r="I10485">
        <v>4</v>
      </c>
      <c r="J10485">
        <f>IF($H10485=0,1,IF($I10485&lt;=1,2,0))</f>
        <v>0</v>
      </c>
      <c r="K10485">
        <v>4</v>
      </c>
      <c r="L10485">
        <f>IF(AND($J10485=0,$K10485=0),0,1)</f>
        <v>1</v>
      </c>
      <c r="M10485" t="s">
        <v>762</v>
      </c>
    </row>
    <row r="10486" spans="1:13" x14ac:dyDescent="0.2">
      <c r="A10486" t="s">
        <v>764</v>
      </c>
      <c r="B10486" t="s">
        <v>17</v>
      </c>
      <c r="C10486" t="s">
        <v>9</v>
      </c>
      <c r="D10486">
        <v>3101</v>
      </c>
      <c r="E10486">
        <v>2019</v>
      </c>
      <c r="F10486">
        <v>1</v>
      </c>
      <c r="G10486">
        <v>10332</v>
      </c>
      <c r="H10486" s="1">
        <v>5</v>
      </c>
      <c r="I10486">
        <v>1</v>
      </c>
      <c r="J10486">
        <f>IF($H10486=0,1,IF($I10486&lt;=1,2,0))</f>
        <v>2</v>
      </c>
      <c r="K10486">
        <v>0</v>
      </c>
      <c r="L10486">
        <f>IF(AND($J10486=0,$K10486=0),0,1)</f>
        <v>1</v>
      </c>
    </row>
    <row r="10487" spans="1:13" x14ac:dyDescent="0.2">
      <c r="A10487" t="s">
        <v>765</v>
      </c>
      <c r="B10487" t="s">
        <v>17</v>
      </c>
      <c r="C10487" t="s">
        <v>9</v>
      </c>
      <c r="D10487">
        <v>2101</v>
      </c>
      <c r="E10487">
        <v>2019</v>
      </c>
      <c r="F10487">
        <v>2</v>
      </c>
      <c r="G10487">
        <v>41206</v>
      </c>
      <c r="H10487" s="1">
        <v>4</v>
      </c>
      <c r="I10487">
        <v>1</v>
      </c>
      <c r="J10487">
        <f>IF($H10487=0,1,IF($I10487&lt;=1,2,0))</f>
        <v>2</v>
      </c>
      <c r="K10487">
        <v>0</v>
      </c>
      <c r="L10487">
        <f>IF(AND($J10487=0,$K10487=0),0,1)</f>
        <v>1</v>
      </c>
      <c r="M10487" t="s">
        <v>766</v>
      </c>
    </row>
    <row r="10488" spans="1:13" x14ac:dyDescent="0.2">
      <c r="A10488" t="s">
        <v>767</v>
      </c>
      <c r="B10488" t="s">
        <v>6</v>
      </c>
      <c r="C10488" t="s">
        <v>2</v>
      </c>
      <c r="D10488">
        <v>1050</v>
      </c>
      <c r="E10488">
        <v>2019</v>
      </c>
      <c r="F10488">
        <v>1</v>
      </c>
      <c r="G10488">
        <v>9909</v>
      </c>
      <c r="H10488" s="1">
        <v>3</v>
      </c>
      <c r="I10488">
        <v>85</v>
      </c>
      <c r="J10488">
        <f>IF($H10488=0,1,IF($I10488&lt;=1,2,0))</f>
        <v>0</v>
      </c>
      <c r="K10488">
        <v>7</v>
      </c>
      <c r="L10488">
        <f>IF(AND($J10488=0,$K10488=0),0,1)</f>
        <v>1</v>
      </c>
    </row>
    <row r="10489" spans="1:13" x14ac:dyDescent="0.2">
      <c r="A10489" t="s">
        <v>767</v>
      </c>
      <c r="B10489" t="s">
        <v>6</v>
      </c>
      <c r="C10489" t="s">
        <v>2</v>
      </c>
      <c r="D10489">
        <v>2140</v>
      </c>
      <c r="E10489">
        <v>2019</v>
      </c>
      <c r="F10489">
        <v>1</v>
      </c>
      <c r="G10489">
        <v>9904</v>
      </c>
      <c r="H10489" s="1">
        <v>3</v>
      </c>
      <c r="I10489">
        <v>44</v>
      </c>
      <c r="J10489">
        <f>IF($H10489=0,1,IF($I10489&lt;=1,2,0))</f>
        <v>0</v>
      </c>
      <c r="K10489">
        <v>7</v>
      </c>
      <c r="L10489">
        <f>IF(AND($J10489=0,$K10489=0),0,1)</f>
        <v>1</v>
      </c>
    </row>
    <row r="10490" spans="1:13" x14ac:dyDescent="0.2">
      <c r="A10490" t="s">
        <v>767</v>
      </c>
      <c r="B10490" t="s">
        <v>6</v>
      </c>
      <c r="C10490" t="s">
        <v>2</v>
      </c>
      <c r="D10490">
        <v>3513</v>
      </c>
      <c r="E10490">
        <v>2019</v>
      </c>
      <c r="F10490">
        <v>1</v>
      </c>
      <c r="G10490">
        <v>9912</v>
      </c>
      <c r="H10490" s="1">
        <v>4</v>
      </c>
      <c r="I10490">
        <v>16</v>
      </c>
      <c r="J10490">
        <f>IF($H10490=0,1,IF($I10490&lt;=1,2,0))</f>
        <v>0</v>
      </c>
      <c r="K10490">
        <v>7</v>
      </c>
      <c r="L10490">
        <f>IF(AND($J10490=0,$K10490=0),0,1)</f>
        <v>1</v>
      </c>
    </row>
    <row r="10491" spans="1:13" x14ac:dyDescent="0.2">
      <c r="A10491" t="s">
        <v>767</v>
      </c>
      <c r="B10491" t="s">
        <v>6</v>
      </c>
      <c r="C10491" t="s">
        <v>21</v>
      </c>
      <c r="D10491">
        <v>3525</v>
      </c>
      <c r="E10491">
        <v>2019</v>
      </c>
      <c r="F10491">
        <v>1</v>
      </c>
      <c r="G10491">
        <v>9907</v>
      </c>
      <c r="H10491" s="1">
        <v>4</v>
      </c>
      <c r="I10491">
        <v>11</v>
      </c>
      <c r="J10491">
        <f>IF($H10491=0,1,IF($I10491&lt;=1,2,0))</f>
        <v>0</v>
      </c>
      <c r="K10491">
        <v>4</v>
      </c>
      <c r="L10491">
        <f>IF(AND($J10491=0,$K10491=0),0,1)</f>
        <v>1</v>
      </c>
      <c r="M10491" t="s">
        <v>768</v>
      </c>
    </row>
    <row r="10492" spans="1:13" x14ac:dyDescent="0.2">
      <c r="A10492" t="s">
        <v>767</v>
      </c>
      <c r="B10492" t="s">
        <v>6</v>
      </c>
      <c r="C10492" t="s">
        <v>2</v>
      </c>
      <c r="D10492">
        <v>4325</v>
      </c>
      <c r="E10492">
        <v>2019</v>
      </c>
      <c r="F10492">
        <v>1</v>
      </c>
      <c r="G10492">
        <v>9914</v>
      </c>
      <c r="H10492" s="1">
        <v>4</v>
      </c>
      <c r="I10492">
        <v>16</v>
      </c>
      <c r="J10492">
        <f>IF($H10492=0,1,IF($I10492&lt;=1,2,0))</f>
        <v>0</v>
      </c>
      <c r="K10492">
        <v>7</v>
      </c>
      <c r="L10492">
        <f>IF(AND($J10492=0,$K10492=0),0,1)</f>
        <v>1</v>
      </c>
    </row>
    <row r="10493" spans="1:13" x14ac:dyDescent="0.2">
      <c r="A10493" t="s">
        <v>769</v>
      </c>
      <c r="B10493" t="s">
        <v>386</v>
      </c>
      <c r="C10493" t="s">
        <v>407</v>
      </c>
      <c r="D10493">
        <v>5700</v>
      </c>
      <c r="E10493">
        <v>2019</v>
      </c>
      <c r="F10493">
        <v>1</v>
      </c>
      <c r="G10493">
        <v>46774</v>
      </c>
      <c r="H10493" s="1" t="s">
        <v>770</v>
      </c>
      <c r="I10493">
        <v>1</v>
      </c>
      <c r="J10493">
        <f>IF($H10493=0,1,IF($I10493&lt;=1,2,0))</f>
        <v>2</v>
      </c>
      <c r="K10493">
        <v>0</v>
      </c>
      <c r="L10493">
        <f>IF(AND($J10493=0,$K10493=0),0,1)</f>
        <v>1</v>
      </c>
    </row>
    <row r="10494" spans="1:13" x14ac:dyDescent="0.2">
      <c r="A10494" t="s">
        <v>769</v>
      </c>
      <c r="B10494" t="s">
        <v>386</v>
      </c>
      <c r="C10494" t="s">
        <v>407</v>
      </c>
      <c r="D10494">
        <v>5800</v>
      </c>
      <c r="E10494">
        <v>2019</v>
      </c>
      <c r="F10494">
        <v>1</v>
      </c>
      <c r="G10494">
        <v>46756</v>
      </c>
      <c r="H10494" s="1" t="s">
        <v>1827</v>
      </c>
      <c r="I10494">
        <v>5</v>
      </c>
      <c r="J10494">
        <f>IF($H10494=0,1,IF($I10494&lt;=1,2,0))</f>
        <v>0</v>
      </c>
      <c r="K10494">
        <v>4</v>
      </c>
      <c r="L10494">
        <f>IF(AND($J10494=0,$K10494=0),0,1)</f>
        <v>1</v>
      </c>
    </row>
    <row r="10495" spans="1:13" x14ac:dyDescent="0.2">
      <c r="A10495" t="s">
        <v>769</v>
      </c>
      <c r="B10495" t="s">
        <v>386</v>
      </c>
      <c r="C10495" t="s">
        <v>34</v>
      </c>
      <c r="D10495">
        <v>9000</v>
      </c>
      <c r="E10495">
        <v>2019</v>
      </c>
      <c r="F10495">
        <v>1</v>
      </c>
      <c r="G10495">
        <v>29205</v>
      </c>
      <c r="H10495" s="1">
        <v>0</v>
      </c>
      <c r="I10495">
        <v>75</v>
      </c>
      <c r="J10495">
        <f>IF($H10495=0,1,IF($I10495&lt;=1,2,0))</f>
        <v>1</v>
      </c>
      <c r="K10495">
        <v>5</v>
      </c>
      <c r="L10495">
        <f>IF(AND($J10495=0,$K10495=0),0,1)</f>
        <v>1</v>
      </c>
    </row>
    <row r="10496" spans="1:13" x14ac:dyDescent="0.2">
      <c r="A10496" t="s">
        <v>769</v>
      </c>
      <c r="B10496" t="s">
        <v>386</v>
      </c>
      <c r="C10496" t="s">
        <v>34</v>
      </c>
      <c r="D10496">
        <v>9001</v>
      </c>
      <c r="E10496">
        <v>2019</v>
      </c>
      <c r="F10496">
        <v>1</v>
      </c>
      <c r="G10496">
        <v>46765</v>
      </c>
      <c r="H10496" s="1">
        <v>0</v>
      </c>
      <c r="I10496">
        <v>20</v>
      </c>
      <c r="J10496">
        <f>IF($H10496=0,1,IF($I10496&lt;=1,2,0))</f>
        <v>1</v>
      </c>
      <c r="K10496">
        <v>5</v>
      </c>
      <c r="L10496">
        <f>IF(AND($J10496=0,$K10496=0),0,1)</f>
        <v>1</v>
      </c>
    </row>
    <row r="10497" spans="1:13" x14ac:dyDescent="0.2">
      <c r="A10497" t="s">
        <v>769</v>
      </c>
      <c r="B10497" t="s">
        <v>386</v>
      </c>
      <c r="C10497" t="s">
        <v>407</v>
      </c>
      <c r="D10497">
        <v>9800</v>
      </c>
      <c r="E10497">
        <v>2019</v>
      </c>
      <c r="F10497">
        <v>1</v>
      </c>
      <c r="G10497">
        <v>10457</v>
      </c>
      <c r="H10497" s="1" t="s">
        <v>1828</v>
      </c>
      <c r="I10497">
        <v>0</v>
      </c>
      <c r="J10497">
        <f>IF($H10497=0,1,IF($I10497&lt;=1,2,0))</f>
        <v>2</v>
      </c>
      <c r="K10497">
        <v>5</v>
      </c>
      <c r="L10497">
        <f>IF(AND($J10497=0,$K10497=0),0,1)</f>
        <v>1</v>
      </c>
    </row>
    <row r="10498" spans="1:13" x14ac:dyDescent="0.2">
      <c r="A10498" t="s">
        <v>771</v>
      </c>
      <c r="B10498" t="s">
        <v>17</v>
      </c>
      <c r="C10498" t="s">
        <v>9</v>
      </c>
      <c r="D10498">
        <v>4997</v>
      </c>
      <c r="E10498">
        <v>2019</v>
      </c>
      <c r="F10498">
        <v>1</v>
      </c>
      <c r="G10498">
        <v>10576</v>
      </c>
      <c r="H10498" s="1">
        <v>3</v>
      </c>
      <c r="I10498">
        <v>2</v>
      </c>
      <c r="J10498">
        <f>IF($H10498=0,1,IF($I10498&lt;=1,2,0))</f>
        <v>0</v>
      </c>
      <c r="K10498">
        <v>9</v>
      </c>
      <c r="L10498">
        <f>IF(AND($J10498=0,$K10498=0),0,1)</f>
        <v>1</v>
      </c>
    </row>
    <row r="10499" spans="1:13" x14ac:dyDescent="0.2">
      <c r="A10499" t="s">
        <v>772</v>
      </c>
      <c r="B10499" t="s">
        <v>17</v>
      </c>
      <c r="C10499" t="s">
        <v>9</v>
      </c>
      <c r="D10499">
        <v>2101</v>
      </c>
      <c r="E10499">
        <v>2019</v>
      </c>
      <c r="F10499">
        <v>1</v>
      </c>
      <c r="G10499">
        <v>10473</v>
      </c>
      <c r="H10499" s="1">
        <v>4</v>
      </c>
      <c r="I10499">
        <v>1</v>
      </c>
      <c r="J10499">
        <f>IF($H10499=0,1,IF($I10499&lt;=1,2,0))</f>
        <v>2</v>
      </c>
      <c r="K10499">
        <v>0</v>
      </c>
      <c r="L10499">
        <f>IF(AND($J10499=0,$K10499=0),0,1)</f>
        <v>1</v>
      </c>
      <c r="M10499" t="s">
        <v>773</v>
      </c>
    </row>
    <row r="10500" spans="1:13" x14ac:dyDescent="0.2">
      <c r="A10500" t="s">
        <v>772</v>
      </c>
      <c r="B10500" t="s">
        <v>17</v>
      </c>
      <c r="C10500" t="s">
        <v>9</v>
      </c>
      <c r="D10500">
        <v>3101</v>
      </c>
      <c r="E10500">
        <v>2019</v>
      </c>
      <c r="F10500">
        <v>1</v>
      </c>
      <c r="G10500">
        <v>55404</v>
      </c>
      <c r="H10500" s="1">
        <v>3</v>
      </c>
      <c r="I10500">
        <v>1</v>
      </c>
      <c r="J10500">
        <f>IF($H10500=0,1,IF($I10500&lt;=1,2,0))</f>
        <v>2</v>
      </c>
      <c r="K10500">
        <v>0</v>
      </c>
      <c r="L10500">
        <f>IF(AND($J10500=0,$K10500=0),0,1)</f>
        <v>1</v>
      </c>
      <c r="M10500" t="s">
        <v>181</v>
      </c>
    </row>
    <row r="10501" spans="1:13" x14ac:dyDescent="0.2">
      <c r="A10501" t="s">
        <v>774</v>
      </c>
      <c r="B10501" t="s">
        <v>17</v>
      </c>
      <c r="C10501" t="s">
        <v>9</v>
      </c>
      <c r="D10501">
        <v>1101</v>
      </c>
      <c r="E10501">
        <v>2019</v>
      </c>
      <c r="F10501">
        <v>1</v>
      </c>
      <c r="G10501">
        <v>55393</v>
      </c>
      <c r="H10501" s="1">
        <v>4</v>
      </c>
      <c r="I10501">
        <v>1</v>
      </c>
      <c r="J10501">
        <f>IF($H10501=0,1,IF($I10501&lt;=1,2,0))</f>
        <v>2</v>
      </c>
      <c r="K10501">
        <v>0</v>
      </c>
      <c r="L10501">
        <f>IF(AND($J10501=0,$K10501=0),0,1)</f>
        <v>1</v>
      </c>
      <c r="M10501" t="s">
        <v>181</v>
      </c>
    </row>
    <row r="10502" spans="1:13" x14ac:dyDescent="0.2">
      <c r="A10502" t="s">
        <v>774</v>
      </c>
      <c r="B10502" t="s">
        <v>17</v>
      </c>
      <c r="C10502" t="s">
        <v>9</v>
      </c>
      <c r="D10502">
        <v>2101</v>
      </c>
      <c r="E10502">
        <v>2019</v>
      </c>
      <c r="F10502">
        <v>1</v>
      </c>
      <c r="G10502">
        <v>55405</v>
      </c>
      <c r="H10502" s="1">
        <v>4</v>
      </c>
      <c r="I10502">
        <v>0</v>
      </c>
      <c r="J10502">
        <f>IF($H10502=0,1,IF($I10502&lt;=1,2,0))</f>
        <v>2</v>
      </c>
      <c r="K10502">
        <v>0</v>
      </c>
      <c r="L10502">
        <f>IF(AND($J10502=0,$K10502=0),0,1)</f>
        <v>1</v>
      </c>
      <c r="M10502" t="s">
        <v>181</v>
      </c>
    </row>
    <row r="10503" spans="1:13" x14ac:dyDescent="0.2">
      <c r="A10503" t="s">
        <v>774</v>
      </c>
      <c r="B10503" t="s">
        <v>17</v>
      </c>
      <c r="C10503" t="s">
        <v>9</v>
      </c>
      <c r="D10503">
        <v>3101</v>
      </c>
      <c r="E10503">
        <v>2019</v>
      </c>
      <c r="F10503">
        <v>1</v>
      </c>
      <c r="G10503">
        <v>55406</v>
      </c>
      <c r="H10503" s="1">
        <v>3</v>
      </c>
      <c r="I10503">
        <v>0</v>
      </c>
      <c r="J10503">
        <f>IF($H10503=0,1,IF($I10503&lt;=1,2,0))</f>
        <v>2</v>
      </c>
      <c r="K10503">
        <v>0</v>
      </c>
      <c r="L10503">
        <f>IF(AND($J10503=0,$K10503=0),0,1)</f>
        <v>1</v>
      </c>
      <c r="M10503" t="s">
        <v>181</v>
      </c>
    </row>
    <row r="10504" spans="1:13" x14ac:dyDescent="0.2">
      <c r="A10504" t="s">
        <v>774</v>
      </c>
      <c r="B10504" t="s">
        <v>17</v>
      </c>
      <c r="C10504" t="s">
        <v>9</v>
      </c>
      <c r="D10504">
        <v>3998</v>
      </c>
      <c r="E10504">
        <v>2019</v>
      </c>
      <c r="F10504">
        <v>1</v>
      </c>
      <c r="G10504">
        <v>18873</v>
      </c>
      <c r="H10504" s="1">
        <v>1</v>
      </c>
      <c r="I10504">
        <v>1</v>
      </c>
      <c r="J10504">
        <f>IF($H10504=0,1,IF($I10504&lt;=1,2,0))</f>
        <v>2</v>
      </c>
      <c r="K10504">
        <v>9</v>
      </c>
      <c r="L10504">
        <f>IF(AND($J10504=0,$K10504=0),0,1)</f>
        <v>1</v>
      </c>
    </row>
    <row r="10505" spans="1:13" x14ac:dyDescent="0.2">
      <c r="A10505" t="s">
        <v>0</v>
      </c>
      <c r="B10505" t="s">
        <v>1</v>
      </c>
      <c r="C10505" t="s">
        <v>2</v>
      </c>
      <c r="D10505">
        <v>3450</v>
      </c>
      <c r="E10505">
        <v>2020</v>
      </c>
      <c r="F10505">
        <v>1</v>
      </c>
      <c r="G10505">
        <v>139</v>
      </c>
      <c r="H10505" s="1">
        <v>4</v>
      </c>
      <c r="I10505">
        <v>9</v>
      </c>
      <c r="J10505">
        <f>IF($H10505=0,1,IF($I10505&lt;=1,2,0))</f>
        <v>0</v>
      </c>
      <c r="K10505">
        <v>7</v>
      </c>
      <c r="L10505">
        <f>IF(AND($J10505=0,$K10505=0),0,1)</f>
        <v>1</v>
      </c>
      <c r="M10505" t="s">
        <v>3</v>
      </c>
    </row>
    <row r="10506" spans="1:13" x14ac:dyDescent="0.2">
      <c r="A10506" t="s">
        <v>0</v>
      </c>
      <c r="B10506" t="s">
        <v>1</v>
      </c>
      <c r="C10506" t="s">
        <v>2</v>
      </c>
      <c r="D10506">
        <v>3997</v>
      </c>
      <c r="E10506">
        <v>2020</v>
      </c>
      <c r="F10506">
        <v>1</v>
      </c>
      <c r="G10506">
        <v>141</v>
      </c>
      <c r="H10506" s="1">
        <v>4</v>
      </c>
      <c r="I10506">
        <v>11</v>
      </c>
      <c r="J10506">
        <f>IF($H10506=0,1,IF($I10506&lt;=1,2,0))</f>
        <v>0</v>
      </c>
      <c r="K10506">
        <v>7</v>
      </c>
      <c r="L10506">
        <f>IF(AND($J10506=0,$K10506=0),0,1)</f>
        <v>1</v>
      </c>
      <c r="M10506" t="s">
        <v>4</v>
      </c>
    </row>
    <row r="10507" spans="1:13" x14ac:dyDescent="0.2">
      <c r="A10507" t="s">
        <v>0</v>
      </c>
      <c r="B10507" t="s">
        <v>1</v>
      </c>
      <c r="C10507" t="s">
        <v>2</v>
      </c>
      <c r="D10507">
        <v>3997</v>
      </c>
      <c r="E10507">
        <v>2020</v>
      </c>
      <c r="F10507">
        <v>2</v>
      </c>
      <c r="G10507">
        <v>136</v>
      </c>
      <c r="H10507" s="1">
        <v>4</v>
      </c>
      <c r="I10507">
        <v>8</v>
      </c>
      <c r="J10507">
        <f>IF($H10507=0,1,IF($I10507&lt;=1,2,0))</f>
        <v>0</v>
      </c>
      <c r="K10507">
        <v>7</v>
      </c>
      <c r="L10507">
        <f>IF(AND($J10507=0,$K10507=0),0,1)</f>
        <v>1</v>
      </c>
      <c r="M10507" t="s">
        <v>4</v>
      </c>
    </row>
    <row r="10508" spans="1:13" x14ac:dyDescent="0.2">
      <c r="A10508" t="s">
        <v>5</v>
      </c>
      <c r="B10508" t="s">
        <v>6</v>
      </c>
      <c r="C10508" t="s">
        <v>7</v>
      </c>
      <c r="D10508">
        <v>1010</v>
      </c>
      <c r="E10508">
        <v>2020</v>
      </c>
      <c r="F10508">
        <v>7</v>
      </c>
      <c r="G10508">
        <v>24639</v>
      </c>
      <c r="H10508" s="1">
        <v>0</v>
      </c>
      <c r="I10508">
        <v>15</v>
      </c>
      <c r="J10508">
        <f>IF($H10508=0,1,IF($I10508&lt;=1,2,0))</f>
        <v>1</v>
      </c>
      <c r="K10508">
        <v>0</v>
      </c>
      <c r="L10508">
        <f>IF(AND($J10508=0,$K10508=0),0,1)</f>
        <v>1</v>
      </c>
      <c r="M10508" t="s">
        <v>776</v>
      </c>
    </row>
    <row r="10509" spans="1:13" x14ac:dyDescent="0.2">
      <c r="A10509" t="s">
        <v>5</v>
      </c>
      <c r="B10509" t="s">
        <v>6</v>
      </c>
      <c r="C10509" t="s">
        <v>7</v>
      </c>
      <c r="D10509">
        <v>1010</v>
      </c>
      <c r="E10509">
        <v>2020</v>
      </c>
      <c r="F10509">
        <v>1</v>
      </c>
      <c r="G10509">
        <v>24633</v>
      </c>
      <c r="H10509" s="1">
        <v>0</v>
      </c>
      <c r="I10509">
        <v>14</v>
      </c>
      <c r="J10509">
        <f>IF($H10509=0,1,IF($I10509&lt;=1,2,0))</f>
        <v>1</v>
      </c>
      <c r="K10509">
        <v>0</v>
      </c>
      <c r="L10509">
        <f>IF(AND($J10509=0,$K10509=0),0,1)</f>
        <v>1</v>
      </c>
    </row>
    <row r="10510" spans="1:13" x14ac:dyDescent="0.2">
      <c r="A10510" t="s">
        <v>5</v>
      </c>
      <c r="B10510" t="s">
        <v>6</v>
      </c>
      <c r="C10510" t="s">
        <v>7</v>
      </c>
      <c r="D10510">
        <v>1010</v>
      </c>
      <c r="E10510">
        <v>2020</v>
      </c>
      <c r="F10510">
        <v>2</v>
      </c>
      <c r="G10510">
        <v>24634</v>
      </c>
      <c r="H10510" s="1">
        <v>0</v>
      </c>
      <c r="I10510">
        <v>13</v>
      </c>
      <c r="J10510">
        <f>IF($H10510=0,1,IF($I10510&lt;=1,2,0))</f>
        <v>1</v>
      </c>
      <c r="K10510">
        <v>0</v>
      </c>
      <c r="L10510">
        <f>IF(AND($J10510=0,$K10510=0),0,1)</f>
        <v>1</v>
      </c>
    </row>
    <row r="10511" spans="1:13" x14ac:dyDescent="0.2">
      <c r="A10511" t="s">
        <v>5</v>
      </c>
      <c r="B10511" t="s">
        <v>6</v>
      </c>
      <c r="C10511" t="s">
        <v>7</v>
      </c>
      <c r="D10511">
        <v>1010</v>
      </c>
      <c r="E10511">
        <v>2020</v>
      </c>
      <c r="F10511">
        <v>4</v>
      </c>
      <c r="G10511">
        <v>24636</v>
      </c>
      <c r="H10511" s="1">
        <v>0</v>
      </c>
      <c r="I10511">
        <v>13</v>
      </c>
      <c r="J10511">
        <f>IF($H10511=0,1,IF($I10511&lt;=1,2,0))</f>
        <v>1</v>
      </c>
      <c r="K10511">
        <v>0</v>
      </c>
      <c r="L10511">
        <f>IF(AND($J10511=0,$K10511=0),0,1)</f>
        <v>1</v>
      </c>
      <c r="M10511" t="s">
        <v>775</v>
      </c>
    </row>
    <row r="10512" spans="1:13" x14ac:dyDescent="0.2">
      <c r="A10512" t="s">
        <v>5</v>
      </c>
      <c r="B10512" t="s">
        <v>6</v>
      </c>
      <c r="C10512" t="s">
        <v>7</v>
      </c>
      <c r="D10512">
        <v>1010</v>
      </c>
      <c r="E10512">
        <v>2020</v>
      </c>
      <c r="F10512">
        <v>3</v>
      </c>
      <c r="G10512">
        <v>24635</v>
      </c>
      <c r="H10512" s="1">
        <v>0</v>
      </c>
      <c r="I10512">
        <v>12</v>
      </c>
      <c r="J10512">
        <f>IF($H10512=0,1,IF($I10512&lt;=1,2,0))</f>
        <v>1</v>
      </c>
      <c r="K10512">
        <v>0</v>
      </c>
      <c r="L10512">
        <f>IF(AND($J10512=0,$K10512=0),0,1)</f>
        <v>1</v>
      </c>
    </row>
    <row r="10513" spans="1:13" x14ac:dyDescent="0.2">
      <c r="A10513" t="s">
        <v>5</v>
      </c>
      <c r="B10513" t="s">
        <v>6</v>
      </c>
      <c r="C10513" t="s">
        <v>7</v>
      </c>
      <c r="D10513">
        <v>1010</v>
      </c>
      <c r="E10513">
        <v>2020</v>
      </c>
      <c r="F10513">
        <v>5</v>
      </c>
      <c r="G10513">
        <v>24637</v>
      </c>
      <c r="H10513" s="1">
        <v>0</v>
      </c>
      <c r="I10513">
        <v>12</v>
      </c>
      <c r="J10513">
        <f>IF($H10513=0,1,IF($I10513&lt;=1,2,0))</f>
        <v>1</v>
      </c>
      <c r="K10513">
        <v>0</v>
      </c>
      <c r="L10513">
        <f>IF(AND($J10513=0,$K10513=0),0,1)</f>
        <v>1</v>
      </c>
      <c r="M10513" t="s">
        <v>775</v>
      </c>
    </row>
    <row r="10514" spans="1:13" x14ac:dyDescent="0.2">
      <c r="A10514" t="s">
        <v>5</v>
      </c>
      <c r="B10514" t="s">
        <v>6</v>
      </c>
      <c r="C10514" t="s">
        <v>7</v>
      </c>
      <c r="D10514">
        <v>1010</v>
      </c>
      <c r="E10514">
        <v>2020</v>
      </c>
      <c r="F10514">
        <v>6</v>
      </c>
      <c r="G10514">
        <v>24638</v>
      </c>
      <c r="H10514" s="1">
        <v>0</v>
      </c>
      <c r="I10514">
        <v>11</v>
      </c>
      <c r="J10514">
        <f>IF($H10514=0,1,IF($I10514&lt;=1,2,0))</f>
        <v>1</v>
      </c>
      <c r="K10514">
        <v>0</v>
      </c>
      <c r="L10514">
        <f>IF(AND($J10514=0,$K10514=0),0,1)</f>
        <v>1</v>
      </c>
    </row>
    <row r="10515" spans="1:13" x14ac:dyDescent="0.2">
      <c r="A10515" t="s">
        <v>5</v>
      </c>
      <c r="B10515" t="s">
        <v>6</v>
      </c>
      <c r="C10515" t="s">
        <v>7</v>
      </c>
      <c r="D10515">
        <v>1010</v>
      </c>
      <c r="E10515">
        <v>2020</v>
      </c>
      <c r="F10515">
        <v>8</v>
      </c>
      <c r="G10515">
        <v>24640</v>
      </c>
      <c r="H10515" s="1">
        <v>0</v>
      </c>
      <c r="I10515">
        <v>9</v>
      </c>
      <c r="J10515">
        <f>IF($H10515=0,1,IF($I10515&lt;=1,2,0))</f>
        <v>1</v>
      </c>
      <c r="K10515">
        <v>0</v>
      </c>
      <c r="L10515">
        <f>IF(AND($J10515=0,$K10515=0),0,1)</f>
        <v>1</v>
      </c>
      <c r="M10515" t="s">
        <v>776</v>
      </c>
    </row>
    <row r="10516" spans="1:13" x14ac:dyDescent="0.2">
      <c r="A10516" t="s">
        <v>5</v>
      </c>
      <c r="B10516" t="s">
        <v>6</v>
      </c>
      <c r="C10516" t="s">
        <v>7</v>
      </c>
      <c r="D10516">
        <v>1010</v>
      </c>
      <c r="E10516">
        <v>2020</v>
      </c>
      <c r="F10516">
        <v>9</v>
      </c>
      <c r="G10516">
        <v>24641</v>
      </c>
      <c r="H10516" s="1">
        <v>0</v>
      </c>
      <c r="I10516">
        <v>9</v>
      </c>
      <c r="J10516">
        <f>IF($H10516=0,1,IF($I10516&lt;=1,2,0))</f>
        <v>1</v>
      </c>
      <c r="K10516">
        <v>0</v>
      </c>
      <c r="L10516">
        <f>IF(AND($J10516=0,$K10516=0),0,1)</f>
        <v>1</v>
      </c>
      <c r="M10516" t="s">
        <v>777</v>
      </c>
    </row>
    <row r="10517" spans="1:13" x14ac:dyDescent="0.2">
      <c r="A10517" t="s">
        <v>5</v>
      </c>
      <c r="B10517" t="s">
        <v>6</v>
      </c>
      <c r="C10517" t="s">
        <v>7</v>
      </c>
      <c r="D10517">
        <v>1010</v>
      </c>
      <c r="E10517">
        <v>2020</v>
      </c>
      <c r="F10517">
        <v>10</v>
      </c>
      <c r="G10517">
        <v>24642</v>
      </c>
      <c r="H10517" s="1">
        <v>0</v>
      </c>
      <c r="I10517">
        <v>8</v>
      </c>
      <c r="J10517">
        <f>IF($H10517=0,1,IF($I10517&lt;=1,2,0))</f>
        <v>1</v>
      </c>
      <c r="K10517">
        <v>0</v>
      </c>
      <c r="L10517">
        <f>IF(AND($J10517=0,$K10517=0),0,1)</f>
        <v>1</v>
      </c>
      <c r="M10517" t="s">
        <v>778</v>
      </c>
    </row>
    <row r="10518" spans="1:13" x14ac:dyDescent="0.2">
      <c r="A10518" t="s">
        <v>5</v>
      </c>
      <c r="B10518" t="s">
        <v>6</v>
      </c>
      <c r="C10518" t="s">
        <v>7</v>
      </c>
      <c r="D10518">
        <v>1010</v>
      </c>
      <c r="E10518">
        <v>2020</v>
      </c>
      <c r="F10518">
        <v>12</v>
      </c>
      <c r="G10518">
        <v>24649</v>
      </c>
      <c r="H10518" s="1">
        <v>0</v>
      </c>
      <c r="I10518">
        <v>8</v>
      </c>
      <c r="J10518">
        <f>IF($H10518=0,1,IF($I10518&lt;=1,2,0))</f>
        <v>1</v>
      </c>
      <c r="K10518">
        <v>0</v>
      </c>
      <c r="L10518">
        <f>IF(AND($J10518=0,$K10518=0),0,1)</f>
        <v>1</v>
      </c>
    </row>
    <row r="10519" spans="1:13" x14ac:dyDescent="0.2">
      <c r="A10519" t="s">
        <v>5</v>
      </c>
      <c r="B10519" t="s">
        <v>6</v>
      </c>
      <c r="C10519" t="s">
        <v>7</v>
      </c>
      <c r="D10519">
        <v>1010</v>
      </c>
      <c r="E10519">
        <v>2020</v>
      </c>
      <c r="F10519">
        <v>11</v>
      </c>
      <c r="G10519">
        <v>24643</v>
      </c>
      <c r="H10519" s="1">
        <v>0</v>
      </c>
      <c r="I10519">
        <v>2</v>
      </c>
      <c r="J10519">
        <f>IF($H10519=0,1,IF($I10519&lt;=1,2,0))</f>
        <v>1</v>
      </c>
      <c r="K10519">
        <v>0</v>
      </c>
      <c r="L10519">
        <f>IF(AND($J10519=0,$K10519=0),0,1)</f>
        <v>1</v>
      </c>
      <c r="M10519" t="s">
        <v>778</v>
      </c>
    </row>
    <row r="10520" spans="1:13" x14ac:dyDescent="0.2">
      <c r="A10520" t="s">
        <v>5</v>
      </c>
      <c r="B10520" t="s">
        <v>6</v>
      </c>
      <c r="C10520" t="s">
        <v>11</v>
      </c>
      <c r="D10520">
        <v>6100</v>
      </c>
      <c r="E10520">
        <v>2020</v>
      </c>
      <c r="F10520">
        <v>1</v>
      </c>
      <c r="G10520">
        <v>14383</v>
      </c>
      <c r="H10520" s="1">
        <v>4</v>
      </c>
      <c r="I10520">
        <v>4</v>
      </c>
      <c r="J10520">
        <f>IF($H10520=0,1,IF($I10520&lt;=1,2,0))</f>
        <v>0</v>
      </c>
      <c r="K10520">
        <v>4</v>
      </c>
      <c r="L10520">
        <f>IF(AND($J10520=0,$K10520=0),0,1)</f>
        <v>1</v>
      </c>
      <c r="M10520" t="s">
        <v>783</v>
      </c>
    </row>
    <row r="10521" spans="1:13" x14ac:dyDescent="0.2">
      <c r="A10521" t="s">
        <v>5</v>
      </c>
      <c r="B10521" t="s">
        <v>6</v>
      </c>
      <c r="C10521" t="s">
        <v>11</v>
      </c>
      <c r="D10521">
        <v>6999</v>
      </c>
      <c r="E10521">
        <v>2020</v>
      </c>
      <c r="F10521">
        <v>1</v>
      </c>
      <c r="G10521">
        <v>14384</v>
      </c>
      <c r="H10521" s="1">
        <v>4</v>
      </c>
      <c r="I10521">
        <v>1</v>
      </c>
      <c r="J10521">
        <f>IF($H10521=0,1,IF($I10521&lt;=1,2,0))</f>
        <v>2</v>
      </c>
      <c r="K10521">
        <v>9</v>
      </c>
      <c r="L10521">
        <f>IF(AND($J10521=0,$K10521=0),0,1)</f>
        <v>1</v>
      </c>
    </row>
    <row r="10522" spans="1:13" x14ac:dyDescent="0.2">
      <c r="A10522" t="s">
        <v>14</v>
      </c>
      <c r="B10522" t="s">
        <v>1</v>
      </c>
      <c r="C10522" t="s">
        <v>2</v>
      </c>
      <c r="D10522">
        <v>3253</v>
      </c>
      <c r="E10522">
        <v>2020</v>
      </c>
      <c r="F10522">
        <v>1</v>
      </c>
      <c r="G10522">
        <v>540</v>
      </c>
      <c r="H10522" s="1">
        <v>4</v>
      </c>
      <c r="I10522">
        <v>29</v>
      </c>
      <c r="J10522">
        <f>IF($H10522=0,1,IF($I10522&lt;=1,2,0))</f>
        <v>0</v>
      </c>
      <c r="K10522">
        <v>7</v>
      </c>
      <c r="L10522">
        <f>IF(AND($J10522=0,$K10522=0),0,1)</f>
        <v>1</v>
      </c>
    </row>
    <row r="10523" spans="1:13" x14ac:dyDescent="0.2">
      <c r="A10523" t="s">
        <v>15</v>
      </c>
      <c r="B10523" t="s">
        <v>1</v>
      </c>
      <c r="C10523" t="s">
        <v>2</v>
      </c>
      <c r="D10523">
        <v>2004</v>
      </c>
      <c r="E10523">
        <v>2020</v>
      </c>
      <c r="F10523">
        <v>1</v>
      </c>
      <c r="G10523">
        <v>541</v>
      </c>
      <c r="H10523" s="1">
        <v>3</v>
      </c>
      <c r="I10523">
        <v>20</v>
      </c>
      <c r="J10523">
        <f>IF($H10523=0,1,IF($I10523&lt;=1,2,0))</f>
        <v>0</v>
      </c>
      <c r="K10523">
        <v>7</v>
      </c>
      <c r="L10523">
        <f>IF(AND($J10523=0,$K10523=0),0,1)</f>
        <v>1</v>
      </c>
    </row>
    <row r="10524" spans="1:13" x14ac:dyDescent="0.2">
      <c r="A10524" t="s">
        <v>15</v>
      </c>
      <c r="B10524" t="s">
        <v>1</v>
      </c>
      <c r="C10524" t="s">
        <v>2</v>
      </c>
      <c r="D10524">
        <v>2005</v>
      </c>
      <c r="E10524">
        <v>2020</v>
      </c>
      <c r="F10524">
        <v>1</v>
      </c>
      <c r="G10524">
        <v>585</v>
      </c>
      <c r="H10524" s="1">
        <v>3</v>
      </c>
      <c r="I10524">
        <v>17</v>
      </c>
      <c r="J10524">
        <f>IF($H10524=0,1,IF($I10524&lt;=1,2,0))</f>
        <v>0</v>
      </c>
      <c r="K10524">
        <v>7</v>
      </c>
      <c r="L10524">
        <f>IF(AND($J10524=0,$K10524=0),0,1)</f>
        <v>1</v>
      </c>
    </row>
    <row r="10525" spans="1:13" x14ac:dyDescent="0.2">
      <c r="A10525" t="s">
        <v>15</v>
      </c>
      <c r="B10525" t="s">
        <v>1</v>
      </c>
      <c r="C10525" t="s">
        <v>2</v>
      </c>
      <c r="D10525">
        <v>3585</v>
      </c>
      <c r="E10525">
        <v>2020</v>
      </c>
      <c r="F10525">
        <v>1</v>
      </c>
      <c r="G10525">
        <v>688</v>
      </c>
      <c r="H10525" s="1">
        <v>4</v>
      </c>
      <c r="I10525">
        <v>23</v>
      </c>
      <c r="J10525">
        <f>IF($H10525=0,1,IF($I10525&lt;=1,2,0))</f>
        <v>0</v>
      </c>
      <c r="K10525">
        <v>7</v>
      </c>
      <c r="L10525">
        <f>IF(AND($J10525=0,$K10525=0),0,1)</f>
        <v>1</v>
      </c>
    </row>
    <row r="10526" spans="1:13" x14ac:dyDescent="0.2">
      <c r="A10526" t="s">
        <v>15</v>
      </c>
      <c r="B10526" t="s">
        <v>1</v>
      </c>
      <c r="C10526" t="s">
        <v>2</v>
      </c>
      <c r="D10526">
        <v>3998</v>
      </c>
      <c r="E10526">
        <v>2020</v>
      </c>
      <c r="F10526">
        <v>1</v>
      </c>
      <c r="G10526">
        <v>584</v>
      </c>
      <c r="H10526" s="1">
        <v>4</v>
      </c>
      <c r="I10526">
        <v>4</v>
      </c>
      <c r="J10526">
        <f>IF($H10526=0,1,IF($I10526&lt;=1,2,0))</f>
        <v>0</v>
      </c>
      <c r="K10526">
        <v>7</v>
      </c>
      <c r="L10526">
        <f>IF(AND($J10526=0,$K10526=0),0,1)</f>
        <v>1</v>
      </c>
    </row>
    <row r="10527" spans="1:13" x14ac:dyDescent="0.2">
      <c r="A10527" t="s">
        <v>16</v>
      </c>
      <c r="B10527" t="s">
        <v>17</v>
      </c>
      <c r="C10527" t="s">
        <v>2</v>
      </c>
      <c r="D10527">
        <v>1001</v>
      </c>
      <c r="E10527">
        <v>2020</v>
      </c>
      <c r="F10527">
        <v>1</v>
      </c>
      <c r="G10527">
        <v>360</v>
      </c>
      <c r="H10527" s="1">
        <v>4</v>
      </c>
      <c r="I10527">
        <v>88</v>
      </c>
      <c r="J10527">
        <f>IF($H10527=0,1,IF($I10527&lt;=1,2,0))</f>
        <v>0</v>
      </c>
      <c r="K10527">
        <v>7</v>
      </c>
      <c r="L10527">
        <f>IF(AND($J10527=0,$K10527=0),0,1)</f>
        <v>1</v>
      </c>
      <c r="M10527" t="s">
        <v>784</v>
      </c>
    </row>
    <row r="10528" spans="1:13" x14ac:dyDescent="0.2">
      <c r="A10528" t="s">
        <v>16</v>
      </c>
      <c r="B10528" t="s">
        <v>17</v>
      </c>
      <c r="C10528" t="s">
        <v>7</v>
      </c>
      <c r="D10528">
        <v>1008</v>
      </c>
      <c r="E10528">
        <v>2020</v>
      </c>
      <c r="F10528">
        <v>1</v>
      </c>
      <c r="G10528">
        <v>23286</v>
      </c>
      <c r="H10528" s="1">
        <v>0</v>
      </c>
      <c r="I10528">
        <v>12</v>
      </c>
      <c r="J10528">
        <f>IF($H10528=0,1,IF($I10528&lt;=1,2,0))</f>
        <v>1</v>
      </c>
      <c r="K10528">
        <v>0</v>
      </c>
      <c r="L10528">
        <f>IF(AND($J10528=0,$K10528=0),0,1)</f>
        <v>1</v>
      </c>
    </row>
    <row r="10529" spans="1:13" x14ac:dyDescent="0.2">
      <c r="A10529" t="s">
        <v>16</v>
      </c>
      <c r="B10529" t="s">
        <v>17</v>
      </c>
      <c r="C10529" t="s">
        <v>7</v>
      </c>
      <c r="D10529">
        <v>1008</v>
      </c>
      <c r="E10529">
        <v>2020</v>
      </c>
      <c r="F10529">
        <v>2</v>
      </c>
      <c r="G10529">
        <v>23284</v>
      </c>
      <c r="H10529" s="1">
        <v>0</v>
      </c>
      <c r="I10529">
        <v>10</v>
      </c>
      <c r="J10529">
        <f>IF($H10529=0,1,IF($I10529&lt;=1,2,0))</f>
        <v>1</v>
      </c>
      <c r="K10529">
        <v>0</v>
      </c>
      <c r="L10529">
        <f>IF(AND($J10529=0,$K10529=0),0,1)</f>
        <v>1</v>
      </c>
    </row>
    <row r="10530" spans="1:13" x14ac:dyDescent="0.2">
      <c r="A10530" t="s">
        <v>16</v>
      </c>
      <c r="B10530" t="s">
        <v>17</v>
      </c>
      <c r="C10530" t="s">
        <v>7</v>
      </c>
      <c r="D10530">
        <v>1008</v>
      </c>
      <c r="E10530">
        <v>2020</v>
      </c>
      <c r="F10530">
        <v>6</v>
      </c>
      <c r="G10530">
        <v>23293</v>
      </c>
      <c r="H10530" s="1">
        <v>0</v>
      </c>
      <c r="I10530">
        <v>10</v>
      </c>
      <c r="J10530">
        <f>IF($H10530=0,1,IF($I10530&lt;=1,2,0))</f>
        <v>1</v>
      </c>
      <c r="K10530">
        <v>0</v>
      </c>
      <c r="L10530">
        <f>IF(AND($J10530=0,$K10530=0),0,1)</f>
        <v>1</v>
      </c>
    </row>
    <row r="10531" spans="1:13" x14ac:dyDescent="0.2">
      <c r="A10531" t="s">
        <v>16</v>
      </c>
      <c r="B10531" t="s">
        <v>17</v>
      </c>
      <c r="C10531" t="s">
        <v>7</v>
      </c>
      <c r="D10531">
        <v>1008</v>
      </c>
      <c r="E10531">
        <v>2020</v>
      </c>
      <c r="F10531">
        <v>8</v>
      </c>
      <c r="G10531">
        <v>23299</v>
      </c>
      <c r="H10531" s="1">
        <v>0</v>
      </c>
      <c r="I10531">
        <v>10</v>
      </c>
      <c r="J10531">
        <f>IF($H10531=0,1,IF($I10531&lt;=1,2,0))</f>
        <v>1</v>
      </c>
      <c r="K10531">
        <v>0</v>
      </c>
      <c r="L10531">
        <f>IF(AND($J10531=0,$K10531=0),0,1)</f>
        <v>1</v>
      </c>
    </row>
    <row r="10532" spans="1:13" x14ac:dyDescent="0.2">
      <c r="A10532" t="s">
        <v>16</v>
      </c>
      <c r="B10532" t="s">
        <v>17</v>
      </c>
      <c r="C10532" t="s">
        <v>7</v>
      </c>
      <c r="D10532">
        <v>1008</v>
      </c>
      <c r="E10532">
        <v>2020</v>
      </c>
      <c r="F10532">
        <v>3</v>
      </c>
      <c r="G10532">
        <v>23287</v>
      </c>
      <c r="H10532" s="1">
        <v>0</v>
      </c>
      <c r="I10532">
        <v>9</v>
      </c>
      <c r="J10532">
        <f>IF($H10532=0,1,IF($I10532&lt;=1,2,0))</f>
        <v>1</v>
      </c>
      <c r="K10532">
        <v>0</v>
      </c>
      <c r="L10532">
        <f>IF(AND($J10532=0,$K10532=0),0,1)</f>
        <v>1</v>
      </c>
    </row>
    <row r="10533" spans="1:13" x14ac:dyDescent="0.2">
      <c r="A10533" t="s">
        <v>16</v>
      </c>
      <c r="B10533" t="s">
        <v>17</v>
      </c>
      <c r="C10533" t="s">
        <v>7</v>
      </c>
      <c r="D10533">
        <v>1008</v>
      </c>
      <c r="E10533">
        <v>2020</v>
      </c>
      <c r="F10533">
        <v>5</v>
      </c>
      <c r="G10533">
        <v>23291</v>
      </c>
      <c r="H10533" s="1">
        <v>0</v>
      </c>
      <c r="I10533">
        <v>8</v>
      </c>
      <c r="J10533">
        <f>IF($H10533=0,1,IF($I10533&lt;=1,2,0))</f>
        <v>1</v>
      </c>
      <c r="K10533">
        <v>0</v>
      </c>
      <c r="L10533">
        <f>IF(AND($J10533=0,$K10533=0),0,1)</f>
        <v>1</v>
      </c>
    </row>
    <row r="10534" spans="1:13" x14ac:dyDescent="0.2">
      <c r="A10534" t="s">
        <v>16</v>
      </c>
      <c r="B10534" t="s">
        <v>17</v>
      </c>
      <c r="C10534" t="s">
        <v>7</v>
      </c>
      <c r="D10534">
        <v>1008</v>
      </c>
      <c r="E10534">
        <v>2020</v>
      </c>
      <c r="F10534">
        <v>7</v>
      </c>
      <c r="G10534">
        <v>23294</v>
      </c>
      <c r="H10534" s="1">
        <v>0</v>
      </c>
      <c r="I10534">
        <v>6</v>
      </c>
      <c r="J10534">
        <f>IF($H10534=0,1,IF($I10534&lt;=1,2,0))</f>
        <v>1</v>
      </c>
      <c r="K10534">
        <v>0</v>
      </c>
      <c r="L10534">
        <f>IF(AND($J10534=0,$K10534=0),0,1)</f>
        <v>1</v>
      </c>
    </row>
    <row r="10535" spans="1:13" x14ac:dyDescent="0.2">
      <c r="A10535" t="s">
        <v>16</v>
      </c>
      <c r="B10535" t="s">
        <v>17</v>
      </c>
      <c r="C10535" t="s">
        <v>7</v>
      </c>
      <c r="D10535">
        <v>1008</v>
      </c>
      <c r="E10535">
        <v>2020</v>
      </c>
      <c r="F10535">
        <v>9</v>
      </c>
      <c r="G10535">
        <v>23300</v>
      </c>
      <c r="H10535" s="1">
        <v>0</v>
      </c>
      <c r="I10535">
        <v>5</v>
      </c>
      <c r="J10535">
        <f>IF($H10535=0,1,IF($I10535&lt;=1,2,0))</f>
        <v>1</v>
      </c>
      <c r="K10535">
        <v>0</v>
      </c>
      <c r="L10535">
        <f>IF(AND($J10535=0,$K10535=0),0,1)</f>
        <v>1</v>
      </c>
    </row>
    <row r="10536" spans="1:13" x14ac:dyDescent="0.2">
      <c r="A10536" t="s">
        <v>16</v>
      </c>
      <c r="B10536" t="s">
        <v>17</v>
      </c>
      <c r="C10536" t="s">
        <v>7</v>
      </c>
      <c r="D10536">
        <v>1008</v>
      </c>
      <c r="E10536">
        <v>2020</v>
      </c>
      <c r="F10536">
        <v>10</v>
      </c>
      <c r="G10536">
        <v>23301</v>
      </c>
      <c r="H10536" s="1">
        <v>0</v>
      </c>
      <c r="I10536">
        <v>5</v>
      </c>
      <c r="J10536">
        <f>IF($H10536=0,1,IF($I10536&lt;=1,2,0))</f>
        <v>1</v>
      </c>
      <c r="K10536">
        <v>0</v>
      </c>
      <c r="L10536">
        <f>IF(AND($J10536=0,$K10536=0),0,1)</f>
        <v>1</v>
      </c>
    </row>
    <row r="10537" spans="1:13" x14ac:dyDescent="0.2">
      <c r="A10537" t="s">
        <v>16</v>
      </c>
      <c r="B10537" t="s">
        <v>17</v>
      </c>
      <c r="C10537" t="s">
        <v>7</v>
      </c>
      <c r="D10537">
        <v>1008</v>
      </c>
      <c r="E10537">
        <v>2020</v>
      </c>
      <c r="F10537">
        <v>4</v>
      </c>
      <c r="G10537">
        <v>23289</v>
      </c>
      <c r="H10537" s="1">
        <v>0</v>
      </c>
      <c r="I10537">
        <v>4</v>
      </c>
      <c r="J10537">
        <f>IF($H10537=0,1,IF($I10537&lt;=1,2,0))</f>
        <v>1</v>
      </c>
      <c r="K10537">
        <v>0</v>
      </c>
      <c r="L10537">
        <f>IF(AND($J10537=0,$K10537=0),0,1)</f>
        <v>1</v>
      </c>
    </row>
    <row r="10538" spans="1:13" x14ac:dyDescent="0.2">
      <c r="A10538" t="s">
        <v>16</v>
      </c>
      <c r="B10538" t="s">
        <v>17</v>
      </c>
      <c r="C10538" t="s">
        <v>2</v>
      </c>
      <c r="D10538">
        <v>2698</v>
      </c>
      <c r="E10538">
        <v>2020</v>
      </c>
      <c r="F10538">
        <v>1</v>
      </c>
      <c r="G10538">
        <v>763</v>
      </c>
      <c r="H10538" s="1">
        <v>3</v>
      </c>
      <c r="I10538">
        <v>18</v>
      </c>
      <c r="J10538">
        <f>IF($H10538=0,1,IF($I10538&lt;=1,2,0))</f>
        <v>0</v>
      </c>
      <c r="K10538">
        <v>7</v>
      </c>
      <c r="L10538">
        <f>IF(AND($J10538=0,$K10538=0),0,1)</f>
        <v>1</v>
      </c>
    </row>
    <row r="10539" spans="1:13" x14ac:dyDescent="0.2">
      <c r="A10539" t="s">
        <v>16</v>
      </c>
      <c r="B10539" t="s">
        <v>17</v>
      </c>
      <c r="C10539" t="s">
        <v>2</v>
      </c>
      <c r="D10539">
        <v>3003</v>
      </c>
      <c r="E10539">
        <v>2020</v>
      </c>
      <c r="F10539">
        <v>1</v>
      </c>
      <c r="G10539">
        <v>363</v>
      </c>
      <c r="H10539" s="1">
        <v>3</v>
      </c>
      <c r="I10539">
        <v>18</v>
      </c>
      <c r="J10539">
        <f>IF($H10539=0,1,IF($I10539&lt;=1,2,0))</f>
        <v>0</v>
      </c>
      <c r="K10539">
        <v>7</v>
      </c>
      <c r="L10539">
        <f>IF(AND($J10539=0,$K10539=0),0,1)</f>
        <v>1</v>
      </c>
      <c r="M10539" t="s">
        <v>787</v>
      </c>
    </row>
    <row r="10540" spans="1:13" x14ac:dyDescent="0.2">
      <c r="A10540" t="s">
        <v>16</v>
      </c>
      <c r="B10540" t="s">
        <v>17</v>
      </c>
      <c r="C10540" t="s">
        <v>2</v>
      </c>
      <c r="D10540">
        <v>3530</v>
      </c>
      <c r="E10540">
        <v>2020</v>
      </c>
      <c r="F10540">
        <v>1</v>
      </c>
      <c r="G10540">
        <v>669</v>
      </c>
      <c r="H10540" s="1">
        <v>4</v>
      </c>
      <c r="I10540">
        <v>16</v>
      </c>
      <c r="J10540">
        <f>IF($H10540=0,1,IF($I10540&lt;=1,2,0))</f>
        <v>0</v>
      </c>
      <c r="K10540">
        <v>7</v>
      </c>
      <c r="L10540">
        <f>IF(AND($J10540=0,$K10540=0),0,1)</f>
        <v>1</v>
      </c>
    </row>
    <row r="10541" spans="1:13" x14ac:dyDescent="0.2">
      <c r="A10541" t="s">
        <v>16</v>
      </c>
      <c r="B10541" t="s">
        <v>17</v>
      </c>
      <c r="C10541" t="s">
        <v>2</v>
      </c>
      <c r="D10541">
        <v>3626</v>
      </c>
      <c r="E10541">
        <v>2020</v>
      </c>
      <c r="F10541">
        <v>1</v>
      </c>
      <c r="G10541">
        <v>364</v>
      </c>
      <c r="H10541" s="1">
        <v>4</v>
      </c>
      <c r="I10541">
        <v>56</v>
      </c>
      <c r="J10541">
        <f>IF($H10541=0,1,IF($I10541&lt;=1,2,0))</f>
        <v>0</v>
      </c>
      <c r="K10541">
        <v>7</v>
      </c>
      <c r="L10541">
        <f>IF(AND($J10541=0,$K10541=0),0,1)</f>
        <v>1</v>
      </c>
      <c r="M10541" t="s">
        <v>792</v>
      </c>
    </row>
    <row r="10542" spans="1:13" x14ac:dyDescent="0.2">
      <c r="A10542" t="s">
        <v>16</v>
      </c>
      <c r="B10542" t="s">
        <v>17</v>
      </c>
      <c r="C10542" t="s">
        <v>2</v>
      </c>
      <c r="D10542">
        <v>3627</v>
      </c>
      <c r="E10542">
        <v>2020</v>
      </c>
      <c r="F10542">
        <v>8</v>
      </c>
      <c r="G10542">
        <v>954</v>
      </c>
      <c r="H10542" s="1">
        <v>0</v>
      </c>
      <c r="I10542">
        <v>12</v>
      </c>
      <c r="J10542">
        <f>IF($H10542=0,1,IF($I10542&lt;=1,2,0))</f>
        <v>1</v>
      </c>
      <c r="K10542">
        <v>7</v>
      </c>
      <c r="L10542">
        <f>IF(AND($J10542=0,$K10542=0),0,1)</f>
        <v>1</v>
      </c>
      <c r="M10542" t="s">
        <v>797</v>
      </c>
    </row>
    <row r="10543" spans="1:13" x14ac:dyDescent="0.2">
      <c r="A10543" t="s">
        <v>16</v>
      </c>
      <c r="B10543" t="s">
        <v>17</v>
      </c>
      <c r="C10543" t="s">
        <v>2</v>
      </c>
      <c r="D10543">
        <v>3627</v>
      </c>
      <c r="E10543">
        <v>2020</v>
      </c>
      <c r="F10543">
        <v>1</v>
      </c>
      <c r="G10543">
        <v>947</v>
      </c>
      <c r="H10543" s="1">
        <v>0</v>
      </c>
      <c r="I10543">
        <v>8</v>
      </c>
      <c r="J10543">
        <f>IF($H10543=0,1,IF($I10543&lt;=1,2,0))</f>
        <v>1</v>
      </c>
      <c r="K10543">
        <v>7</v>
      </c>
      <c r="L10543">
        <f>IF(AND($J10543=0,$K10543=0),0,1)</f>
        <v>1</v>
      </c>
      <c r="M10543" t="s">
        <v>793</v>
      </c>
    </row>
    <row r="10544" spans="1:13" x14ac:dyDescent="0.2">
      <c r="A10544" t="s">
        <v>16</v>
      </c>
      <c r="B10544" t="s">
        <v>17</v>
      </c>
      <c r="C10544" t="s">
        <v>2</v>
      </c>
      <c r="D10544">
        <v>3627</v>
      </c>
      <c r="E10544">
        <v>2020</v>
      </c>
      <c r="F10544">
        <v>4</v>
      </c>
      <c r="G10544">
        <v>950</v>
      </c>
      <c r="H10544" s="1">
        <v>0</v>
      </c>
      <c r="I10544">
        <v>8</v>
      </c>
      <c r="J10544">
        <f>IF($H10544=0,1,IF($I10544&lt;=1,2,0))</f>
        <v>1</v>
      </c>
      <c r="K10544">
        <v>7</v>
      </c>
      <c r="L10544">
        <f>IF(AND($J10544=0,$K10544=0),0,1)</f>
        <v>1</v>
      </c>
      <c r="M10544" t="s">
        <v>795</v>
      </c>
    </row>
    <row r="10545" spans="1:13" x14ac:dyDescent="0.2">
      <c r="A10545" t="s">
        <v>16</v>
      </c>
      <c r="B10545" t="s">
        <v>17</v>
      </c>
      <c r="C10545" t="s">
        <v>2</v>
      </c>
      <c r="D10545">
        <v>3627</v>
      </c>
      <c r="E10545">
        <v>2020</v>
      </c>
      <c r="F10545">
        <v>5</v>
      </c>
      <c r="G10545">
        <v>951</v>
      </c>
      <c r="H10545" s="1">
        <v>0</v>
      </c>
      <c r="I10545">
        <v>7</v>
      </c>
      <c r="J10545">
        <f>IF($H10545=0,1,IF($I10545&lt;=1,2,0))</f>
        <v>1</v>
      </c>
      <c r="K10545">
        <v>7</v>
      </c>
      <c r="L10545">
        <f>IF(AND($J10545=0,$K10545=0),0,1)</f>
        <v>1</v>
      </c>
      <c r="M10545" t="s">
        <v>796</v>
      </c>
    </row>
    <row r="10546" spans="1:13" x14ac:dyDescent="0.2">
      <c r="A10546" t="s">
        <v>16</v>
      </c>
      <c r="B10546" t="s">
        <v>17</v>
      </c>
      <c r="C10546" t="s">
        <v>2</v>
      </c>
      <c r="D10546">
        <v>3627</v>
      </c>
      <c r="E10546">
        <v>2020</v>
      </c>
      <c r="F10546">
        <v>7</v>
      </c>
      <c r="G10546">
        <v>953</v>
      </c>
      <c r="H10546" s="1">
        <v>0</v>
      </c>
      <c r="I10546">
        <v>6</v>
      </c>
      <c r="J10546">
        <f>IF($H10546=0,1,IF($I10546&lt;=1,2,0))</f>
        <v>1</v>
      </c>
      <c r="K10546">
        <v>7</v>
      </c>
      <c r="L10546">
        <f>IF(AND($J10546=0,$K10546=0),0,1)</f>
        <v>1</v>
      </c>
      <c r="M10546" t="s">
        <v>797</v>
      </c>
    </row>
    <row r="10547" spans="1:13" x14ac:dyDescent="0.2">
      <c r="A10547" t="s">
        <v>16</v>
      </c>
      <c r="B10547" t="s">
        <v>17</v>
      </c>
      <c r="C10547" t="s">
        <v>2</v>
      </c>
      <c r="D10547">
        <v>3627</v>
      </c>
      <c r="E10547">
        <v>2020</v>
      </c>
      <c r="F10547">
        <v>2</v>
      </c>
      <c r="G10547">
        <v>948</v>
      </c>
      <c r="H10547" s="1">
        <v>0</v>
      </c>
      <c r="I10547">
        <v>5</v>
      </c>
      <c r="J10547">
        <f>IF($H10547=0,1,IF($I10547&lt;=1,2,0))</f>
        <v>1</v>
      </c>
      <c r="K10547">
        <v>7</v>
      </c>
      <c r="L10547">
        <f>IF(AND($J10547=0,$K10547=0),0,1)</f>
        <v>1</v>
      </c>
      <c r="M10547" t="s">
        <v>794</v>
      </c>
    </row>
    <row r="10548" spans="1:13" x14ac:dyDescent="0.2">
      <c r="A10548" t="s">
        <v>16</v>
      </c>
      <c r="B10548" t="s">
        <v>17</v>
      </c>
      <c r="C10548" t="s">
        <v>2</v>
      </c>
      <c r="D10548">
        <v>3627</v>
      </c>
      <c r="E10548">
        <v>2020</v>
      </c>
      <c r="F10548">
        <v>3</v>
      </c>
      <c r="G10548">
        <v>949</v>
      </c>
      <c r="H10548" s="1">
        <v>0</v>
      </c>
      <c r="I10548">
        <v>5</v>
      </c>
      <c r="J10548">
        <f>IF($H10548=0,1,IF($I10548&lt;=1,2,0))</f>
        <v>1</v>
      </c>
      <c r="K10548">
        <v>7</v>
      </c>
      <c r="L10548">
        <f>IF(AND($J10548=0,$K10548=0),0,1)</f>
        <v>1</v>
      </c>
      <c r="M10548" t="s">
        <v>795</v>
      </c>
    </row>
    <row r="10549" spans="1:13" x14ac:dyDescent="0.2">
      <c r="A10549" t="s">
        <v>16</v>
      </c>
      <c r="B10549" t="s">
        <v>17</v>
      </c>
      <c r="C10549" t="s">
        <v>2</v>
      </c>
      <c r="D10549">
        <v>3627</v>
      </c>
      <c r="E10549">
        <v>2020</v>
      </c>
      <c r="F10549">
        <v>6</v>
      </c>
      <c r="G10549">
        <v>952</v>
      </c>
      <c r="H10549" s="1">
        <v>0</v>
      </c>
      <c r="I10549">
        <v>4</v>
      </c>
      <c r="J10549">
        <f>IF($H10549=0,1,IF($I10549&lt;=1,2,0))</f>
        <v>1</v>
      </c>
      <c r="K10549">
        <v>7</v>
      </c>
      <c r="L10549">
        <f>IF(AND($J10549=0,$K10549=0),0,1)</f>
        <v>1</v>
      </c>
      <c r="M10549" t="s">
        <v>796</v>
      </c>
    </row>
    <row r="10550" spans="1:13" x14ac:dyDescent="0.2">
      <c r="A10550" t="s">
        <v>16</v>
      </c>
      <c r="B10550" t="s">
        <v>17</v>
      </c>
      <c r="C10550" t="s">
        <v>2</v>
      </c>
      <c r="D10550">
        <v>3667</v>
      </c>
      <c r="E10550">
        <v>2020</v>
      </c>
      <c r="F10550">
        <v>1</v>
      </c>
      <c r="G10550">
        <v>365</v>
      </c>
      <c r="H10550" s="1">
        <v>4</v>
      </c>
      <c r="I10550">
        <v>156</v>
      </c>
      <c r="J10550">
        <f>IF($H10550=0,1,IF($I10550&lt;=1,2,0))</f>
        <v>0</v>
      </c>
      <c r="K10550">
        <v>7</v>
      </c>
      <c r="L10550">
        <f>IF(AND($J10550=0,$K10550=0),0,1)</f>
        <v>1</v>
      </c>
    </row>
    <row r="10551" spans="1:13" x14ac:dyDescent="0.2">
      <c r="A10551" t="s">
        <v>16</v>
      </c>
      <c r="B10551" t="s">
        <v>17</v>
      </c>
      <c r="C10551" t="s">
        <v>2</v>
      </c>
      <c r="D10551">
        <v>3668</v>
      </c>
      <c r="E10551">
        <v>2020</v>
      </c>
      <c r="F10551">
        <v>1</v>
      </c>
      <c r="G10551">
        <v>764</v>
      </c>
      <c r="H10551" s="1">
        <v>4</v>
      </c>
      <c r="I10551">
        <v>17</v>
      </c>
      <c r="J10551">
        <f>IF($H10551=0,1,IF($I10551&lt;=1,2,0))</f>
        <v>0</v>
      </c>
      <c r="K10551">
        <v>7</v>
      </c>
      <c r="L10551">
        <f>IF(AND($J10551=0,$K10551=0),0,1)</f>
        <v>1</v>
      </c>
      <c r="M10551" t="s">
        <v>798</v>
      </c>
    </row>
    <row r="10552" spans="1:13" x14ac:dyDescent="0.2">
      <c r="A10552" t="s">
        <v>16</v>
      </c>
      <c r="B10552" t="s">
        <v>17</v>
      </c>
      <c r="C10552" t="s">
        <v>2</v>
      </c>
      <c r="D10552">
        <v>3842</v>
      </c>
      <c r="E10552">
        <v>2020</v>
      </c>
      <c r="F10552">
        <v>1</v>
      </c>
      <c r="G10552">
        <v>366</v>
      </c>
      <c r="H10552" s="1">
        <v>4</v>
      </c>
      <c r="I10552">
        <v>24</v>
      </c>
      <c r="J10552">
        <f>IF($H10552=0,1,IF($I10552&lt;=1,2,0))</f>
        <v>0</v>
      </c>
      <c r="K10552">
        <v>7</v>
      </c>
      <c r="L10552">
        <f>IF(AND($J10552=0,$K10552=0),0,1)</f>
        <v>1</v>
      </c>
      <c r="M10552" t="s">
        <v>800</v>
      </c>
    </row>
    <row r="10553" spans="1:13" x14ac:dyDescent="0.2">
      <c r="A10553" t="s">
        <v>16</v>
      </c>
      <c r="B10553" t="s">
        <v>17</v>
      </c>
      <c r="C10553" t="s">
        <v>2</v>
      </c>
      <c r="D10553">
        <v>3949</v>
      </c>
      <c r="E10553">
        <v>2020</v>
      </c>
      <c r="F10553">
        <v>1</v>
      </c>
      <c r="G10553">
        <v>367</v>
      </c>
      <c r="H10553" s="1">
        <v>4</v>
      </c>
      <c r="I10553">
        <v>23</v>
      </c>
      <c r="J10553">
        <f>IF($H10553=0,1,IF($I10553&lt;=1,2,0))</f>
        <v>0</v>
      </c>
      <c r="K10553">
        <v>7</v>
      </c>
      <c r="L10553">
        <f>IF(AND($J10553=0,$K10553=0),0,1)</f>
        <v>1</v>
      </c>
      <c r="M10553" t="s">
        <v>801</v>
      </c>
    </row>
    <row r="10554" spans="1:13" x14ac:dyDescent="0.2">
      <c r="A10554" t="s">
        <v>16</v>
      </c>
      <c r="B10554" t="s">
        <v>17</v>
      </c>
      <c r="C10554" t="s">
        <v>2</v>
      </c>
      <c r="D10554">
        <v>3959</v>
      </c>
      <c r="E10554">
        <v>2020</v>
      </c>
      <c r="F10554">
        <v>1</v>
      </c>
      <c r="G10554">
        <v>368</v>
      </c>
      <c r="H10554" s="1">
        <v>3</v>
      </c>
      <c r="I10554">
        <v>19</v>
      </c>
      <c r="J10554">
        <f>IF($H10554=0,1,IF($I10554&lt;=1,2,0))</f>
        <v>0</v>
      </c>
      <c r="K10554">
        <v>7</v>
      </c>
      <c r="L10554">
        <f>IF(AND($J10554=0,$K10554=0),0,1)</f>
        <v>1</v>
      </c>
    </row>
    <row r="10555" spans="1:13" x14ac:dyDescent="0.2">
      <c r="A10555" t="s">
        <v>16</v>
      </c>
      <c r="B10555" t="s">
        <v>17</v>
      </c>
      <c r="C10555" t="s">
        <v>2</v>
      </c>
      <c r="D10555">
        <v>3968</v>
      </c>
      <c r="E10555">
        <v>2020</v>
      </c>
      <c r="F10555">
        <v>1</v>
      </c>
      <c r="G10555">
        <v>369</v>
      </c>
      <c r="H10555" s="1">
        <v>4</v>
      </c>
      <c r="I10555">
        <v>16</v>
      </c>
      <c r="J10555">
        <f>IF($H10555=0,1,IF($I10555&lt;=1,2,0))</f>
        <v>0</v>
      </c>
      <c r="K10555">
        <v>7</v>
      </c>
      <c r="L10555">
        <f>IF(AND($J10555=0,$K10555=0),0,1)</f>
        <v>1</v>
      </c>
      <c r="M10555" t="s">
        <v>802</v>
      </c>
    </row>
    <row r="10556" spans="1:13" x14ac:dyDescent="0.2">
      <c r="A10556" t="s">
        <v>16</v>
      </c>
      <c r="B10556" t="s">
        <v>17</v>
      </c>
      <c r="C10556" t="s">
        <v>2</v>
      </c>
      <c r="D10556">
        <v>3970</v>
      </c>
      <c r="E10556">
        <v>2020</v>
      </c>
      <c r="F10556">
        <v>1</v>
      </c>
      <c r="G10556">
        <v>370</v>
      </c>
      <c r="H10556" s="1">
        <v>4</v>
      </c>
      <c r="I10556">
        <v>15</v>
      </c>
      <c r="J10556">
        <f>IF($H10556=0,1,IF($I10556&lt;=1,2,0))</f>
        <v>0</v>
      </c>
      <c r="K10556">
        <v>7</v>
      </c>
      <c r="L10556">
        <f>IF(AND($J10556=0,$K10556=0),0,1)</f>
        <v>1</v>
      </c>
    </row>
    <row r="10557" spans="1:13" x14ac:dyDescent="0.2">
      <c r="A10557" t="s">
        <v>16</v>
      </c>
      <c r="B10557" t="s">
        <v>17</v>
      </c>
      <c r="C10557" t="s">
        <v>2</v>
      </c>
      <c r="D10557">
        <v>3970</v>
      </c>
      <c r="E10557">
        <v>2020</v>
      </c>
      <c r="F10557">
        <v>2</v>
      </c>
      <c r="G10557">
        <v>371</v>
      </c>
      <c r="H10557" s="1">
        <v>4</v>
      </c>
      <c r="I10557">
        <v>11</v>
      </c>
      <c r="J10557">
        <f>IF($H10557=0,1,IF($I10557&lt;=1,2,0))</f>
        <v>0</v>
      </c>
      <c r="K10557">
        <v>7</v>
      </c>
      <c r="L10557">
        <f>IF(AND($J10557=0,$K10557=0),0,1)</f>
        <v>1</v>
      </c>
    </row>
    <row r="10558" spans="1:13" x14ac:dyDescent="0.2">
      <c r="A10558" t="s">
        <v>16</v>
      </c>
      <c r="B10558" t="s">
        <v>17</v>
      </c>
      <c r="C10558" t="s">
        <v>11</v>
      </c>
      <c r="D10558">
        <v>5000</v>
      </c>
      <c r="E10558">
        <v>2020</v>
      </c>
      <c r="F10558">
        <v>1</v>
      </c>
      <c r="G10558">
        <v>11342</v>
      </c>
      <c r="H10558" s="1">
        <v>4</v>
      </c>
      <c r="I10558">
        <v>11</v>
      </c>
      <c r="J10558">
        <f>IF($H10558=0,1,IF($I10558&lt;=1,2,0))</f>
        <v>0</v>
      </c>
      <c r="K10558">
        <v>4</v>
      </c>
      <c r="L10558">
        <f>IF(AND($J10558=0,$K10558=0),0,1)</f>
        <v>1</v>
      </c>
      <c r="M10558" t="s">
        <v>35</v>
      </c>
    </row>
    <row r="10559" spans="1:13" x14ac:dyDescent="0.2">
      <c r="A10559" t="s">
        <v>16</v>
      </c>
      <c r="B10559" t="s">
        <v>17</v>
      </c>
      <c r="C10559" t="s">
        <v>11</v>
      </c>
      <c r="D10559">
        <v>5002</v>
      </c>
      <c r="E10559">
        <v>2020</v>
      </c>
      <c r="F10559">
        <v>1</v>
      </c>
      <c r="G10559">
        <v>11344</v>
      </c>
      <c r="H10559" s="1">
        <v>4</v>
      </c>
      <c r="I10559">
        <v>7</v>
      </c>
      <c r="J10559">
        <f>IF($H10559=0,1,IF($I10559&lt;=1,2,0))</f>
        <v>0</v>
      </c>
      <c r="K10559">
        <v>4</v>
      </c>
      <c r="L10559">
        <f>IF(AND($J10559=0,$K10559=0),0,1)</f>
        <v>1</v>
      </c>
      <c r="M10559" t="s">
        <v>36</v>
      </c>
    </row>
    <row r="10560" spans="1:13" x14ac:dyDescent="0.2">
      <c r="A10560" t="s">
        <v>16</v>
      </c>
      <c r="B10560" t="s">
        <v>17</v>
      </c>
      <c r="C10560" t="s">
        <v>11</v>
      </c>
      <c r="D10560">
        <v>5004</v>
      </c>
      <c r="E10560">
        <v>2020</v>
      </c>
      <c r="F10560">
        <v>1</v>
      </c>
      <c r="G10560">
        <v>24714</v>
      </c>
      <c r="H10560" s="1">
        <v>3</v>
      </c>
      <c r="I10560">
        <v>1</v>
      </c>
      <c r="J10560">
        <f>IF($H10560=0,1,IF($I10560&lt;=1,2,0))</f>
        <v>2</v>
      </c>
      <c r="K10560">
        <v>0</v>
      </c>
      <c r="L10560">
        <f>IF(AND($J10560=0,$K10560=0),0,1)</f>
        <v>1</v>
      </c>
    </row>
    <row r="10561" spans="1:12" x14ac:dyDescent="0.2">
      <c r="A10561" t="s">
        <v>16</v>
      </c>
      <c r="B10561" t="s">
        <v>17</v>
      </c>
      <c r="C10561" t="s">
        <v>11</v>
      </c>
      <c r="D10561">
        <v>5004</v>
      </c>
      <c r="E10561">
        <v>2020</v>
      </c>
      <c r="F10561">
        <v>2</v>
      </c>
      <c r="G10561">
        <v>24715</v>
      </c>
      <c r="H10561" s="1">
        <v>3</v>
      </c>
      <c r="I10561">
        <v>1</v>
      </c>
      <c r="J10561">
        <f>IF($H10561=0,1,IF($I10561&lt;=1,2,0))</f>
        <v>2</v>
      </c>
      <c r="K10561">
        <v>0</v>
      </c>
      <c r="L10561">
        <f>IF(AND($J10561=0,$K10561=0),0,1)</f>
        <v>1</v>
      </c>
    </row>
    <row r="10562" spans="1:12" x14ac:dyDescent="0.2">
      <c r="A10562" t="s">
        <v>16</v>
      </c>
      <c r="B10562" t="s">
        <v>17</v>
      </c>
      <c r="C10562" t="s">
        <v>11</v>
      </c>
      <c r="D10562">
        <v>5004</v>
      </c>
      <c r="E10562">
        <v>2020</v>
      </c>
      <c r="F10562">
        <v>3</v>
      </c>
      <c r="G10562">
        <v>24716</v>
      </c>
      <c r="H10562" s="1">
        <v>3</v>
      </c>
      <c r="I10562">
        <v>1</v>
      </c>
      <c r="J10562">
        <f>IF($H10562=0,1,IF($I10562&lt;=1,2,0))</f>
        <v>2</v>
      </c>
      <c r="K10562">
        <v>0</v>
      </c>
      <c r="L10562">
        <f>IF(AND($J10562=0,$K10562=0),0,1)</f>
        <v>1</v>
      </c>
    </row>
    <row r="10563" spans="1:12" x14ac:dyDescent="0.2">
      <c r="A10563" t="s">
        <v>16</v>
      </c>
      <c r="B10563" t="s">
        <v>17</v>
      </c>
      <c r="C10563" t="s">
        <v>11</v>
      </c>
      <c r="D10563">
        <v>9000</v>
      </c>
      <c r="E10563">
        <v>2020</v>
      </c>
      <c r="F10563">
        <v>28</v>
      </c>
      <c r="G10563">
        <v>14177</v>
      </c>
      <c r="H10563" s="1">
        <v>4</v>
      </c>
      <c r="I10563">
        <v>4</v>
      </c>
      <c r="J10563">
        <f>IF($H10563=0,1,IF($I10563&lt;=1,2,0))</f>
        <v>0</v>
      </c>
      <c r="K10563">
        <v>5</v>
      </c>
      <c r="L10563">
        <f>IF(AND($J10563=0,$K10563=0),0,1)</f>
        <v>1</v>
      </c>
    </row>
    <row r="10564" spans="1:12" x14ac:dyDescent="0.2">
      <c r="A10564" t="s">
        <v>16</v>
      </c>
      <c r="B10564" t="s">
        <v>17</v>
      </c>
      <c r="C10564" t="s">
        <v>11</v>
      </c>
      <c r="D10564">
        <v>9000</v>
      </c>
      <c r="E10564">
        <v>2020</v>
      </c>
      <c r="F10564">
        <v>1</v>
      </c>
      <c r="G10564">
        <v>14150</v>
      </c>
      <c r="H10564" s="1">
        <v>4</v>
      </c>
      <c r="I10564">
        <v>2</v>
      </c>
      <c r="J10564">
        <f>IF($H10564=0,1,IF($I10564&lt;=1,2,0))</f>
        <v>0</v>
      </c>
      <c r="K10564">
        <v>5</v>
      </c>
      <c r="L10564">
        <f>IF(AND($J10564=0,$K10564=0),0,1)</f>
        <v>1</v>
      </c>
    </row>
    <row r="10565" spans="1:12" x14ac:dyDescent="0.2">
      <c r="A10565" t="s">
        <v>16</v>
      </c>
      <c r="B10565" t="s">
        <v>17</v>
      </c>
      <c r="C10565" t="s">
        <v>11</v>
      </c>
      <c r="D10565">
        <v>9000</v>
      </c>
      <c r="E10565">
        <v>2020</v>
      </c>
      <c r="F10565">
        <v>3</v>
      </c>
      <c r="G10565">
        <v>14152</v>
      </c>
      <c r="H10565" s="1">
        <v>4</v>
      </c>
      <c r="I10565">
        <v>2</v>
      </c>
      <c r="J10565">
        <f>IF($H10565=0,1,IF($I10565&lt;=1,2,0))</f>
        <v>0</v>
      </c>
      <c r="K10565">
        <v>5</v>
      </c>
      <c r="L10565">
        <f>IF(AND($J10565=0,$K10565=0),0,1)</f>
        <v>1</v>
      </c>
    </row>
    <row r="10566" spans="1:12" x14ac:dyDescent="0.2">
      <c r="A10566" t="s">
        <v>16</v>
      </c>
      <c r="B10566" t="s">
        <v>17</v>
      </c>
      <c r="C10566" t="s">
        <v>11</v>
      </c>
      <c r="D10566">
        <v>9000</v>
      </c>
      <c r="E10566">
        <v>2020</v>
      </c>
      <c r="F10566">
        <v>7</v>
      </c>
      <c r="G10566">
        <v>14156</v>
      </c>
      <c r="H10566" s="1">
        <v>4</v>
      </c>
      <c r="I10566">
        <v>2</v>
      </c>
      <c r="J10566">
        <f>IF($H10566=0,1,IF($I10566&lt;=1,2,0))</f>
        <v>0</v>
      </c>
      <c r="K10566">
        <v>5</v>
      </c>
      <c r="L10566">
        <f>IF(AND($J10566=0,$K10566=0),0,1)</f>
        <v>1</v>
      </c>
    </row>
    <row r="10567" spans="1:12" x14ac:dyDescent="0.2">
      <c r="A10567" t="s">
        <v>16</v>
      </c>
      <c r="B10567" t="s">
        <v>17</v>
      </c>
      <c r="C10567" t="s">
        <v>11</v>
      </c>
      <c r="D10567">
        <v>9000</v>
      </c>
      <c r="E10567">
        <v>2020</v>
      </c>
      <c r="F10567">
        <v>10</v>
      </c>
      <c r="G10567">
        <v>14159</v>
      </c>
      <c r="H10567" s="1">
        <v>4</v>
      </c>
      <c r="I10567">
        <v>2</v>
      </c>
      <c r="J10567">
        <f>IF($H10567=0,1,IF($I10567&lt;=1,2,0))</f>
        <v>0</v>
      </c>
      <c r="K10567">
        <v>5</v>
      </c>
      <c r="L10567">
        <f>IF(AND($J10567=0,$K10567=0),0,1)</f>
        <v>1</v>
      </c>
    </row>
    <row r="10568" spans="1:12" x14ac:dyDescent="0.2">
      <c r="A10568" t="s">
        <v>16</v>
      </c>
      <c r="B10568" t="s">
        <v>17</v>
      </c>
      <c r="C10568" t="s">
        <v>11</v>
      </c>
      <c r="D10568">
        <v>9000</v>
      </c>
      <c r="E10568">
        <v>2020</v>
      </c>
      <c r="F10568">
        <v>19</v>
      </c>
      <c r="G10568">
        <v>14168</v>
      </c>
      <c r="H10568" s="1">
        <v>4</v>
      </c>
      <c r="I10568">
        <v>2</v>
      </c>
      <c r="J10568">
        <f>IF($H10568=0,1,IF($I10568&lt;=1,2,0))</f>
        <v>0</v>
      </c>
      <c r="K10568">
        <v>5</v>
      </c>
      <c r="L10568">
        <f>IF(AND($J10568=0,$K10568=0),0,1)</f>
        <v>1</v>
      </c>
    </row>
    <row r="10569" spans="1:12" x14ac:dyDescent="0.2">
      <c r="A10569" t="s">
        <v>16</v>
      </c>
      <c r="B10569" t="s">
        <v>17</v>
      </c>
      <c r="C10569" t="s">
        <v>11</v>
      </c>
      <c r="D10569">
        <v>9000</v>
      </c>
      <c r="E10569">
        <v>2020</v>
      </c>
      <c r="F10569">
        <v>20</v>
      </c>
      <c r="G10569">
        <v>14169</v>
      </c>
      <c r="H10569" s="1">
        <v>4</v>
      </c>
      <c r="I10569">
        <v>2</v>
      </c>
      <c r="J10569">
        <f>IF($H10569=0,1,IF($I10569&lt;=1,2,0))</f>
        <v>0</v>
      </c>
      <c r="K10569">
        <v>5</v>
      </c>
      <c r="L10569">
        <f>IF(AND($J10569=0,$K10569=0),0,1)</f>
        <v>1</v>
      </c>
    </row>
    <row r="10570" spans="1:12" x14ac:dyDescent="0.2">
      <c r="A10570" t="s">
        <v>16</v>
      </c>
      <c r="B10570" t="s">
        <v>17</v>
      </c>
      <c r="C10570" t="s">
        <v>11</v>
      </c>
      <c r="D10570">
        <v>9000</v>
      </c>
      <c r="E10570">
        <v>2020</v>
      </c>
      <c r="F10570">
        <v>24</v>
      </c>
      <c r="G10570">
        <v>14173</v>
      </c>
      <c r="H10570" s="1">
        <v>4</v>
      </c>
      <c r="I10570">
        <v>2</v>
      </c>
      <c r="J10570">
        <f>IF($H10570=0,1,IF($I10570&lt;=1,2,0))</f>
        <v>0</v>
      </c>
      <c r="K10570">
        <v>5</v>
      </c>
      <c r="L10570">
        <f>IF(AND($J10570=0,$K10570=0),0,1)</f>
        <v>1</v>
      </c>
    </row>
    <row r="10571" spans="1:12" x14ac:dyDescent="0.2">
      <c r="A10571" t="s">
        <v>16</v>
      </c>
      <c r="B10571" t="s">
        <v>17</v>
      </c>
      <c r="C10571" t="s">
        <v>11</v>
      </c>
      <c r="D10571">
        <v>9000</v>
      </c>
      <c r="E10571">
        <v>2020</v>
      </c>
      <c r="F10571">
        <v>6</v>
      </c>
      <c r="G10571">
        <v>14155</v>
      </c>
      <c r="H10571" s="1">
        <v>4</v>
      </c>
      <c r="I10571">
        <v>1</v>
      </c>
      <c r="J10571">
        <f>IF($H10571=0,1,IF($I10571&lt;=1,2,0))</f>
        <v>2</v>
      </c>
      <c r="K10571">
        <v>5</v>
      </c>
      <c r="L10571">
        <f>IF(AND($J10571=0,$K10571=0),0,1)</f>
        <v>1</v>
      </c>
    </row>
    <row r="10572" spans="1:12" x14ac:dyDescent="0.2">
      <c r="A10572" t="s">
        <v>16</v>
      </c>
      <c r="B10572" t="s">
        <v>17</v>
      </c>
      <c r="C10572" t="s">
        <v>11</v>
      </c>
      <c r="D10572">
        <v>9000</v>
      </c>
      <c r="E10572">
        <v>2020</v>
      </c>
      <c r="F10572">
        <v>8</v>
      </c>
      <c r="G10572">
        <v>14157</v>
      </c>
      <c r="H10572" s="1">
        <v>4</v>
      </c>
      <c r="I10572">
        <v>1</v>
      </c>
      <c r="J10572">
        <f>IF($H10572=0,1,IF($I10572&lt;=1,2,0))</f>
        <v>2</v>
      </c>
      <c r="K10572">
        <v>5</v>
      </c>
      <c r="L10572">
        <f>IF(AND($J10572=0,$K10572=0),0,1)</f>
        <v>1</v>
      </c>
    </row>
    <row r="10573" spans="1:12" x14ac:dyDescent="0.2">
      <c r="A10573" t="s">
        <v>16</v>
      </c>
      <c r="B10573" t="s">
        <v>17</v>
      </c>
      <c r="C10573" t="s">
        <v>11</v>
      </c>
      <c r="D10573">
        <v>9000</v>
      </c>
      <c r="E10573">
        <v>2020</v>
      </c>
      <c r="F10573">
        <v>14</v>
      </c>
      <c r="G10573">
        <v>14163</v>
      </c>
      <c r="H10573" s="1">
        <v>4</v>
      </c>
      <c r="I10573">
        <v>1</v>
      </c>
      <c r="J10573">
        <f>IF($H10573=0,1,IF($I10573&lt;=1,2,0))</f>
        <v>2</v>
      </c>
      <c r="K10573">
        <v>5</v>
      </c>
      <c r="L10573">
        <f>IF(AND($J10573=0,$K10573=0),0,1)</f>
        <v>1</v>
      </c>
    </row>
    <row r="10574" spans="1:12" x14ac:dyDescent="0.2">
      <c r="A10574" t="s">
        <v>16</v>
      </c>
      <c r="B10574" t="s">
        <v>17</v>
      </c>
      <c r="C10574" t="s">
        <v>11</v>
      </c>
      <c r="D10574">
        <v>9000</v>
      </c>
      <c r="E10574">
        <v>2020</v>
      </c>
      <c r="F10574">
        <v>32</v>
      </c>
      <c r="G10574">
        <v>14181</v>
      </c>
      <c r="H10574" s="1">
        <v>4</v>
      </c>
      <c r="I10574">
        <v>1</v>
      </c>
      <c r="J10574">
        <f>IF($H10574=0,1,IF($I10574&lt;=1,2,0))</f>
        <v>2</v>
      </c>
      <c r="K10574">
        <v>5</v>
      </c>
      <c r="L10574">
        <f>IF(AND($J10574=0,$K10574=0),0,1)</f>
        <v>1</v>
      </c>
    </row>
    <row r="10575" spans="1:12" x14ac:dyDescent="0.2">
      <c r="A10575" t="s">
        <v>16</v>
      </c>
      <c r="B10575" t="s">
        <v>17</v>
      </c>
      <c r="C10575" t="s">
        <v>11</v>
      </c>
      <c r="D10575">
        <v>9000</v>
      </c>
      <c r="E10575">
        <v>2020</v>
      </c>
      <c r="F10575">
        <v>2</v>
      </c>
      <c r="G10575">
        <v>14151</v>
      </c>
      <c r="H10575" s="1">
        <v>4</v>
      </c>
      <c r="I10575">
        <v>0</v>
      </c>
      <c r="J10575">
        <f>IF($H10575=0,1,IF($I10575&lt;=1,2,0))</f>
        <v>2</v>
      </c>
      <c r="K10575">
        <v>5</v>
      </c>
      <c r="L10575">
        <f>IF(AND($J10575=0,$K10575=0),0,1)</f>
        <v>1</v>
      </c>
    </row>
    <row r="10576" spans="1:12" x14ac:dyDescent="0.2">
      <c r="A10576" t="s">
        <v>16</v>
      </c>
      <c r="B10576" t="s">
        <v>17</v>
      </c>
      <c r="C10576" t="s">
        <v>11</v>
      </c>
      <c r="D10576">
        <v>9000</v>
      </c>
      <c r="E10576">
        <v>2020</v>
      </c>
      <c r="F10576">
        <v>4</v>
      </c>
      <c r="G10576">
        <v>14153</v>
      </c>
      <c r="H10576" s="1">
        <v>4</v>
      </c>
      <c r="I10576">
        <v>0</v>
      </c>
      <c r="J10576">
        <f>IF($H10576=0,1,IF($I10576&lt;=1,2,0))</f>
        <v>2</v>
      </c>
      <c r="K10576">
        <v>5</v>
      </c>
      <c r="L10576">
        <f>IF(AND($J10576=0,$K10576=0),0,1)</f>
        <v>1</v>
      </c>
    </row>
    <row r="10577" spans="1:12" x14ac:dyDescent="0.2">
      <c r="A10577" t="s">
        <v>16</v>
      </c>
      <c r="B10577" t="s">
        <v>17</v>
      </c>
      <c r="C10577" t="s">
        <v>11</v>
      </c>
      <c r="D10577">
        <v>9000</v>
      </c>
      <c r="E10577">
        <v>2020</v>
      </c>
      <c r="F10577">
        <v>5</v>
      </c>
      <c r="G10577">
        <v>14154</v>
      </c>
      <c r="H10577" s="1">
        <v>4</v>
      </c>
      <c r="I10577">
        <v>0</v>
      </c>
      <c r="J10577">
        <f>IF($H10577=0,1,IF($I10577&lt;=1,2,0))</f>
        <v>2</v>
      </c>
      <c r="K10577">
        <v>5</v>
      </c>
      <c r="L10577">
        <f>IF(AND($J10577=0,$K10577=0),0,1)</f>
        <v>1</v>
      </c>
    </row>
    <row r="10578" spans="1:12" x14ac:dyDescent="0.2">
      <c r="A10578" t="s">
        <v>16</v>
      </c>
      <c r="B10578" t="s">
        <v>17</v>
      </c>
      <c r="C10578" t="s">
        <v>11</v>
      </c>
      <c r="D10578">
        <v>9000</v>
      </c>
      <c r="E10578">
        <v>2020</v>
      </c>
      <c r="F10578">
        <v>9</v>
      </c>
      <c r="G10578">
        <v>14158</v>
      </c>
      <c r="H10578" s="1">
        <v>4</v>
      </c>
      <c r="I10578">
        <v>0</v>
      </c>
      <c r="J10578">
        <f>IF($H10578=0,1,IF($I10578&lt;=1,2,0))</f>
        <v>2</v>
      </c>
      <c r="K10578">
        <v>5</v>
      </c>
      <c r="L10578">
        <f>IF(AND($J10578=0,$K10578=0),0,1)</f>
        <v>1</v>
      </c>
    </row>
    <row r="10579" spans="1:12" x14ac:dyDescent="0.2">
      <c r="A10579" t="s">
        <v>16</v>
      </c>
      <c r="B10579" t="s">
        <v>17</v>
      </c>
      <c r="C10579" t="s">
        <v>11</v>
      </c>
      <c r="D10579">
        <v>9000</v>
      </c>
      <c r="E10579">
        <v>2020</v>
      </c>
      <c r="F10579">
        <v>11</v>
      </c>
      <c r="G10579">
        <v>14160</v>
      </c>
      <c r="H10579" s="1">
        <v>4</v>
      </c>
      <c r="I10579">
        <v>0</v>
      </c>
      <c r="J10579">
        <f>IF($H10579=0,1,IF($I10579&lt;=1,2,0))</f>
        <v>2</v>
      </c>
      <c r="K10579">
        <v>5</v>
      </c>
      <c r="L10579">
        <f>IF(AND($J10579=0,$K10579=0),0,1)</f>
        <v>1</v>
      </c>
    </row>
    <row r="10580" spans="1:12" x14ac:dyDescent="0.2">
      <c r="A10580" t="s">
        <v>16</v>
      </c>
      <c r="B10580" t="s">
        <v>17</v>
      </c>
      <c r="C10580" t="s">
        <v>11</v>
      </c>
      <c r="D10580">
        <v>9000</v>
      </c>
      <c r="E10580">
        <v>2020</v>
      </c>
      <c r="F10580">
        <v>12</v>
      </c>
      <c r="G10580">
        <v>14161</v>
      </c>
      <c r="H10580" s="1">
        <v>4</v>
      </c>
      <c r="I10580">
        <v>0</v>
      </c>
      <c r="J10580">
        <f>IF($H10580=0,1,IF($I10580&lt;=1,2,0))</f>
        <v>2</v>
      </c>
      <c r="K10580">
        <v>5</v>
      </c>
      <c r="L10580">
        <f>IF(AND($J10580=0,$K10580=0),0,1)</f>
        <v>1</v>
      </c>
    </row>
    <row r="10581" spans="1:12" x14ac:dyDescent="0.2">
      <c r="A10581" t="s">
        <v>16</v>
      </c>
      <c r="B10581" t="s">
        <v>17</v>
      </c>
      <c r="C10581" t="s">
        <v>11</v>
      </c>
      <c r="D10581">
        <v>9000</v>
      </c>
      <c r="E10581">
        <v>2020</v>
      </c>
      <c r="F10581">
        <v>13</v>
      </c>
      <c r="G10581">
        <v>14162</v>
      </c>
      <c r="H10581" s="1">
        <v>4</v>
      </c>
      <c r="I10581">
        <v>0</v>
      </c>
      <c r="J10581">
        <f>IF($H10581=0,1,IF($I10581&lt;=1,2,0))</f>
        <v>2</v>
      </c>
      <c r="K10581">
        <v>5</v>
      </c>
      <c r="L10581">
        <f>IF(AND($J10581=0,$K10581=0),0,1)</f>
        <v>1</v>
      </c>
    </row>
    <row r="10582" spans="1:12" x14ac:dyDescent="0.2">
      <c r="A10582" t="s">
        <v>16</v>
      </c>
      <c r="B10582" t="s">
        <v>17</v>
      </c>
      <c r="C10582" t="s">
        <v>11</v>
      </c>
      <c r="D10582">
        <v>9000</v>
      </c>
      <c r="E10582">
        <v>2020</v>
      </c>
      <c r="F10582">
        <v>15</v>
      </c>
      <c r="G10582">
        <v>14164</v>
      </c>
      <c r="H10582" s="1">
        <v>4</v>
      </c>
      <c r="I10582">
        <v>0</v>
      </c>
      <c r="J10582">
        <f>IF($H10582=0,1,IF($I10582&lt;=1,2,0))</f>
        <v>2</v>
      </c>
      <c r="K10582">
        <v>5</v>
      </c>
      <c r="L10582">
        <f>IF(AND($J10582=0,$K10582=0),0,1)</f>
        <v>1</v>
      </c>
    </row>
    <row r="10583" spans="1:12" x14ac:dyDescent="0.2">
      <c r="A10583" t="s">
        <v>16</v>
      </c>
      <c r="B10583" t="s">
        <v>17</v>
      </c>
      <c r="C10583" t="s">
        <v>11</v>
      </c>
      <c r="D10583">
        <v>9000</v>
      </c>
      <c r="E10583">
        <v>2020</v>
      </c>
      <c r="F10583">
        <v>16</v>
      </c>
      <c r="G10583">
        <v>14165</v>
      </c>
      <c r="H10583" s="1">
        <v>4</v>
      </c>
      <c r="I10583">
        <v>0</v>
      </c>
      <c r="J10583">
        <f>IF($H10583=0,1,IF($I10583&lt;=1,2,0))</f>
        <v>2</v>
      </c>
      <c r="K10583">
        <v>5</v>
      </c>
      <c r="L10583">
        <f>IF(AND($J10583=0,$K10583=0),0,1)</f>
        <v>1</v>
      </c>
    </row>
    <row r="10584" spans="1:12" x14ac:dyDescent="0.2">
      <c r="A10584" t="s">
        <v>16</v>
      </c>
      <c r="B10584" t="s">
        <v>17</v>
      </c>
      <c r="C10584" t="s">
        <v>11</v>
      </c>
      <c r="D10584">
        <v>9000</v>
      </c>
      <c r="E10584">
        <v>2020</v>
      </c>
      <c r="F10584">
        <v>17</v>
      </c>
      <c r="G10584">
        <v>14166</v>
      </c>
      <c r="H10584" s="1">
        <v>4</v>
      </c>
      <c r="I10584">
        <v>0</v>
      </c>
      <c r="J10584">
        <f>IF($H10584=0,1,IF($I10584&lt;=1,2,0))</f>
        <v>2</v>
      </c>
      <c r="K10584">
        <v>5</v>
      </c>
      <c r="L10584">
        <f>IF(AND($J10584=0,$K10584=0),0,1)</f>
        <v>1</v>
      </c>
    </row>
    <row r="10585" spans="1:12" x14ac:dyDescent="0.2">
      <c r="A10585" t="s">
        <v>16</v>
      </c>
      <c r="B10585" t="s">
        <v>17</v>
      </c>
      <c r="C10585" t="s">
        <v>11</v>
      </c>
      <c r="D10585">
        <v>9000</v>
      </c>
      <c r="E10585">
        <v>2020</v>
      </c>
      <c r="F10585">
        <v>18</v>
      </c>
      <c r="G10585">
        <v>14167</v>
      </c>
      <c r="H10585" s="1">
        <v>4</v>
      </c>
      <c r="I10585">
        <v>0</v>
      </c>
      <c r="J10585">
        <f>IF($H10585=0,1,IF($I10585&lt;=1,2,0))</f>
        <v>2</v>
      </c>
      <c r="K10585">
        <v>5</v>
      </c>
      <c r="L10585">
        <f>IF(AND($J10585=0,$K10585=0),0,1)</f>
        <v>1</v>
      </c>
    </row>
    <row r="10586" spans="1:12" x14ac:dyDescent="0.2">
      <c r="A10586" t="s">
        <v>16</v>
      </c>
      <c r="B10586" t="s">
        <v>17</v>
      </c>
      <c r="C10586" t="s">
        <v>11</v>
      </c>
      <c r="D10586">
        <v>9000</v>
      </c>
      <c r="E10586">
        <v>2020</v>
      </c>
      <c r="F10586">
        <v>21</v>
      </c>
      <c r="G10586">
        <v>14170</v>
      </c>
      <c r="H10586" s="1">
        <v>4</v>
      </c>
      <c r="I10586">
        <v>0</v>
      </c>
      <c r="J10586">
        <f>IF($H10586=0,1,IF($I10586&lt;=1,2,0))</f>
        <v>2</v>
      </c>
      <c r="K10586">
        <v>5</v>
      </c>
      <c r="L10586">
        <f>IF(AND($J10586=0,$K10586=0),0,1)</f>
        <v>1</v>
      </c>
    </row>
    <row r="10587" spans="1:12" x14ac:dyDescent="0.2">
      <c r="A10587" t="s">
        <v>16</v>
      </c>
      <c r="B10587" t="s">
        <v>17</v>
      </c>
      <c r="C10587" t="s">
        <v>11</v>
      </c>
      <c r="D10587">
        <v>9000</v>
      </c>
      <c r="E10587">
        <v>2020</v>
      </c>
      <c r="F10587">
        <v>22</v>
      </c>
      <c r="G10587">
        <v>14171</v>
      </c>
      <c r="H10587" s="1">
        <v>4</v>
      </c>
      <c r="I10587">
        <v>0</v>
      </c>
      <c r="J10587">
        <f>IF($H10587=0,1,IF($I10587&lt;=1,2,0))</f>
        <v>2</v>
      </c>
      <c r="K10587">
        <v>5</v>
      </c>
      <c r="L10587">
        <f>IF(AND($J10587=0,$K10587=0),0,1)</f>
        <v>1</v>
      </c>
    </row>
    <row r="10588" spans="1:12" x14ac:dyDescent="0.2">
      <c r="A10588" t="s">
        <v>16</v>
      </c>
      <c r="B10588" t="s">
        <v>17</v>
      </c>
      <c r="C10588" t="s">
        <v>11</v>
      </c>
      <c r="D10588">
        <v>9000</v>
      </c>
      <c r="E10588">
        <v>2020</v>
      </c>
      <c r="F10588">
        <v>23</v>
      </c>
      <c r="G10588">
        <v>14172</v>
      </c>
      <c r="H10588" s="1">
        <v>4</v>
      </c>
      <c r="I10588">
        <v>0</v>
      </c>
      <c r="J10588">
        <f>IF($H10588=0,1,IF($I10588&lt;=1,2,0))</f>
        <v>2</v>
      </c>
      <c r="K10588">
        <v>5</v>
      </c>
      <c r="L10588">
        <f>IF(AND($J10588=0,$K10588=0),0,1)</f>
        <v>1</v>
      </c>
    </row>
    <row r="10589" spans="1:12" x14ac:dyDescent="0.2">
      <c r="A10589" t="s">
        <v>16</v>
      </c>
      <c r="B10589" t="s">
        <v>17</v>
      </c>
      <c r="C10589" t="s">
        <v>11</v>
      </c>
      <c r="D10589">
        <v>9000</v>
      </c>
      <c r="E10589">
        <v>2020</v>
      </c>
      <c r="F10589">
        <v>25</v>
      </c>
      <c r="G10589">
        <v>14174</v>
      </c>
      <c r="H10589" s="1">
        <v>4</v>
      </c>
      <c r="I10589">
        <v>0</v>
      </c>
      <c r="J10589">
        <f>IF($H10589=0,1,IF($I10589&lt;=1,2,0))</f>
        <v>2</v>
      </c>
      <c r="K10589">
        <v>5</v>
      </c>
      <c r="L10589">
        <f>IF(AND($J10589=0,$K10589=0),0,1)</f>
        <v>1</v>
      </c>
    </row>
    <row r="10590" spans="1:12" x14ac:dyDescent="0.2">
      <c r="A10590" t="s">
        <v>16</v>
      </c>
      <c r="B10590" t="s">
        <v>17</v>
      </c>
      <c r="C10590" t="s">
        <v>11</v>
      </c>
      <c r="D10590">
        <v>9000</v>
      </c>
      <c r="E10590">
        <v>2020</v>
      </c>
      <c r="F10590">
        <v>26</v>
      </c>
      <c r="G10590">
        <v>14175</v>
      </c>
      <c r="H10590" s="1">
        <v>4</v>
      </c>
      <c r="I10590">
        <v>0</v>
      </c>
      <c r="J10590">
        <f>IF($H10590=0,1,IF($I10590&lt;=1,2,0))</f>
        <v>2</v>
      </c>
      <c r="K10590">
        <v>5</v>
      </c>
      <c r="L10590">
        <f>IF(AND($J10590=0,$K10590=0),0,1)</f>
        <v>1</v>
      </c>
    </row>
    <row r="10591" spans="1:12" x14ac:dyDescent="0.2">
      <c r="A10591" t="s">
        <v>16</v>
      </c>
      <c r="B10591" t="s">
        <v>17</v>
      </c>
      <c r="C10591" t="s">
        <v>11</v>
      </c>
      <c r="D10591">
        <v>9000</v>
      </c>
      <c r="E10591">
        <v>2020</v>
      </c>
      <c r="F10591">
        <v>27</v>
      </c>
      <c r="G10591">
        <v>14176</v>
      </c>
      <c r="H10591" s="1">
        <v>4</v>
      </c>
      <c r="I10591">
        <v>0</v>
      </c>
      <c r="J10591">
        <f>IF($H10591=0,1,IF($I10591&lt;=1,2,0))</f>
        <v>2</v>
      </c>
      <c r="K10591">
        <v>5</v>
      </c>
      <c r="L10591">
        <f>IF(AND($J10591=0,$K10591=0),0,1)</f>
        <v>1</v>
      </c>
    </row>
    <row r="10592" spans="1:12" x14ac:dyDescent="0.2">
      <c r="A10592" t="s">
        <v>16</v>
      </c>
      <c r="B10592" t="s">
        <v>17</v>
      </c>
      <c r="C10592" t="s">
        <v>11</v>
      </c>
      <c r="D10592">
        <v>9000</v>
      </c>
      <c r="E10592">
        <v>2020</v>
      </c>
      <c r="F10592">
        <v>29</v>
      </c>
      <c r="G10592">
        <v>14178</v>
      </c>
      <c r="H10592" s="1">
        <v>4</v>
      </c>
      <c r="I10592">
        <v>0</v>
      </c>
      <c r="J10592">
        <f>IF($H10592=0,1,IF($I10592&lt;=1,2,0))</f>
        <v>2</v>
      </c>
      <c r="K10592">
        <v>5</v>
      </c>
      <c r="L10592">
        <f>IF(AND($J10592=0,$K10592=0),0,1)</f>
        <v>1</v>
      </c>
    </row>
    <row r="10593" spans="1:12" x14ac:dyDescent="0.2">
      <c r="A10593" t="s">
        <v>16</v>
      </c>
      <c r="B10593" t="s">
        <v>17</v>
      </c>
      <c r="C10593" t="s">
        <v>11</v>
      </c>
      <c r="D10593">
        <v>9000</v>
      </c>
      <c r="E10593">
        <v>2020</v>
      </c>
      <c r="F10593">
        <v>30</v>
      </c>
      <c r="G10593">
        <v>14179</v>
      </c>
      <c r="H10593" s="1">
        <v>4</v>
      </c>
      <c r="I10593">
        <v>0</v>
      </c>
      <c r="J10593">
        <f>IF($H10593=0,1,IF($I10593&lt;=1,2,0))</f>
        <v>2</v>
      </c>
      <c r="K10593">
        <v>5</v>
      </c>
      <c r="L10593">
        <f>IF(AND($J10593=0,$K10593=0),0,1)</f>
        <v>1</v>
      </c>
    </row>
    <row r="10594" spans="1:12" x14ac:dyDescent="0.2">
      <c r="A10594" t="s">
        <v>16</v>
      </c>
      <c r="B10594" t="s">
        <v>17</v>
      </c>
      <c r="C10594" t="s">
        <v>11</v>
      </c>
      <c r="D10594">
        <v>9000</v>
      </c>
      <c r="E10594">
        <v>2020</v>
      </c>
      <c r="F10594">
        <v>31</v>
      </c>
      <c r="G10594">
        <v>14180</v>
      </c>
      <c r="H10594" s="1">
        <v>4</v>
      </c>
      <c r="I10594">
        <v>0</v>
      </c>
      <c r="J10594">
        <f>IF($H10594=0,1,IF($I10594&lt;=1,2,0))</f>
        <v>2</v>
      </c>
      <c r="K10594">
        <v>5</v>
      </c>
      <c r="L10594">
        <f>IF(AND($J10594=0,$K10594=0),0,1)</f>
        <v>1</v>
      </c>
    </row>
    <row r="10595" spans="1:12" x14ac:dyDescent="0.2">
      <c r="A10595" t="s">
        <v>16</v>
      </c>
      <c r="B10595" t="s">
        <v>17</v>
      </c>
      <c r="C10595" t="s">
        <v>11</v>
      </c>
      <c r="D10595">
        <v>9000</v>
      </c>
      <c r="E10595">
        <v>2020</v>
      </c>
      <c r="F10595">
        <v>33</v>
      </c>
      <c r="G10595">
        <v>14182</v>
      </c>
      <c r="H10595" s="1">
        <v>4</v>
      </c>
      <c r="I10595">
        <v>0</v>
      </c>
      <c r="J10595">
        <f>IF($H10595=0,1,IF($I10595&lt;=1,2,0))</f>
        <v>2</v>
      </c>
      <c r="K10595">
        <v>5</v>
      </c>
      <c r="L10595">
        <f>IF(AND($J10595=0,$K10595=0),0,1)</f>
        <v>1</v>
      </c>
    </row>
    <row r="10596" spans="1:12" x14ac:dyDescent="0.2">
      <c r="A10596" t="s">
        <v>16</v>
      </c>
      <c r="B10596" t="s">
        <v>17</v>
      </c>
      <c r="C10596" t="s">
        <v>11</v>
      </c>
      <c r="D10596">
        <v>9000</v>
      </c>
      <c r="E10596">
        <v>2020</v>
      </c>
      <c r="F10596">
        <v>34</v>
      </c>
      <c r="G10596">
        <v>14183</v>
      </c>
      <c r="H10596" s="1">
        <v>4</v>
      </c>
      <c r="I10596">
        <v>0</v>
      </c>
      <c r="J10596">
        <f>IF($H10596=0,1,IF($I10596&lt;=1,2,0))</f>
        <v>2</v>
      </c>
      <c r="K10596">
        <v>5</v>
      </c>
      <c r="L10596">
        <f>IF(AND($J10596=0,$K10596=0),0,1)</f>
        <v>1</v>
      </c>
    </row>
    <row r="10597" spans="1:12" x14ac:dyDescent="0.2">
      <c r="A10597" t="s">
        <v>16</v>
      </c>
      <c r="B10597" t="s">
        <v>17</v>
      </c>
      <c r="C10597" t="s">
        <v>11</v>
      </c>
      <c r="D10597">
        <v>9001</v>
      </c>
      <c r="E10597">
        <v>2020</v>
      </c>
      <c r="F10597">
        <v>11</v>
      </c>
      <c r="G10597">
        <v>14194</v>
      </c>
      <c r="H10597" s="1">
        <v>3</v>
      </c>
      <c r="I10597">
        <v>1</v>
      </c>
      <c r="J10597">
        <f>IF($H10597=0,1,IF($I10597&lt;=1,2,0))</f>
        <v>2</v>
      </c>
      <c r="K10597">
        <v>5</v>
      </c>
      <c r="L10597">
        <f>IF(AND($J10597=0,$K10597=0),0,1)</f>
        <v>1</v>
      </c>
    </row>
    <row r="10598" spans="1:12" x14ac:dyDescent="0.2">
      <c r="A10598" t="s">
        <v>16</v>
      </c>
      <c r="B10598" t="s">
        <v>17</v>
      </c>
      <c r="C10598" t="s">
        <v>11</v>
      </c>
      <c r="D10598">
        <v>9001</v>
      </c>
      <c r="E10598">
        <v>2020</v>
      </c>
      <c r="F10598">
        <v>13</v>
      </c>
      <c r="G10598">
        <v>14196</v>
      </c>
      <c r="H10598" s="1">
        <v>3</v>
      </c>
      <c r="I10598">
        <v>1</v>
      </c>
      <c r="J10598">
        <f>IF($H10598=0,1,IF($I10598&lt;=1,2,0))</f>
        <v>2</v>
      </c>
      <c r="K10598">
        <v>5</v>
      </c>
      <c r="L10598">
        <f>IF(AND($J10598=0,$K10598=0),0,1)</f>
        <v>1</v>
      </c>
    </row>
    <row r="10599" spans="1:12" x14ac:dyDescent="0.2">
      <c r="A10599" t="s">
        <v>16</v>
      </c>
      <c r="B10599" t="s">
        <v>17</v>
      </c>
      <c r="C10599" t="s">
        <v>11</v>
      </c>
      <c r="D10599">
        <v>9001</v>
      </c>
      <c r="E10599">
        <v>2020</v>
      </c>
      <c r="F10599">
        <v>19</v>
      </c>
      <c r="G10599">
        <v>14202</v>
      </c>
      <c r="H10599" s="1">
        <v>3</v>
      </c>
      <c r="I10599">
        <v>1</v>
      </c>
      <c r="J10599">
        <f>IF($H10599=0,1,IF($I10599&lt;=1,2,0))</f>
        <v>2</v>
      </c>
      <c r="K10599">
        <v>5</v>
      </c>
      <c r="L10599">
        <f>IF(AND($J10599=0,$K10599=0),0,1)</f>
        <v>1</v>
      </c>
    </row>
    <row r="10600" spans="1:12" x14ac:dyDescent="0.2">
      <c r="A10600" t="s">
        <v>16</v>
      </c>
      <c r="B10600" t="s">
        <v>17</v>
      </c>
      <c r="C10600" t="s">
        <v>11</v>
      </c>
      <c r="D10600">
        <v>9001</v>
      </c>
      <c r="E10600">
        <v>2020</v>
      </c>
      <c r="F10600">
        <v>20</v>
      </c>
      <c r="G10600">
        <v>14203</v>
      </c>
      <c r="H10600" s="1">
        <v>3</v>
      </c>
      <c r="I10600">
        <v>1</v>
      </c>
      <c r="J10600">
        <f>IF($H10600=0,1,IF($I10600&lt;=1,2,0))</f>
        <v>2</v>
      </c>
      <c r="K10600">
        <v>5</v>
      </c>
      <c r="L10600">
        <f>IF(AND($J10600=0,$K10600=0),0,1)</f>
        <v>1</v>
      </c>
    </row>
    <row r="10601" spans="1:12" x14ac:dyDescent="0.2">
      <c r="A10601" t="s">
        <v>16</v>
      </c>
      <c r="B10601" t="s">
        <v>17</v>
      </c>
      <c r="C10601" t="s">
        <v>11</v>
      </c>
      <c r="D10601">
        <v>9001</v>
      </c>
      <c r="E10601">
        <v>2020</v>
      </c>
      <c r="F10601">
        <v>25</v>
      </c>
      <c r="G10601">
        <v>14208</v>
      </c>
      <c r="H10601" s="1">
        <v>3</v>
      </c>
      <c r="I10601">
        <v>1</v>
      </c>
      <c r="J10601">
        <f>IF($H10601=0,1,IF($I10601&lt;=1,2,0))</f>
        <v>2</v>
      </c>
      <c r="K10601">
        <v>5</v>
      </c>
      <c r="L10601">
        <f>IF(AND($J10601=0,$K10601=0),0,1)</f>
        <v>1</v>
      </c>
    </row>
    <row r="10602" spans="1:12" x14ac:dyDescent="0.2">
      <c r="A10602" t="s">
        <v>16</v>
      </c>
      <c r="B10602" t="s">
        <v>17</v>
      </c>
      <c r="C10602" t="s">
        <v>11</v>
      </c>
      <c r="D10602">
        <v>9001</v>
      </c>
      <c r="E10602">
        <v>2020</v>
      </c>
      <c r="F10602">
        <v>28</v>
      </c>
      <c r="G10602">
        <v>14211</v>
      </c>
      <c r="H10602" s="1">
        <v>3</v>
      </c>
      <c r="I10602">
        <v>1</v>
      </c>
      <c r="J10602">
        <f>IF($H10602=0,1,IF($I10602&lt;=1,2,0))</f>
        <v>2</v>
      </c>
      <c r="K10602">
        <v>5</v>
      </c>
      <c r="L10602">
        <f>IF(AND($J10602=0,$K10602=0),0,1)</f>
        <v>1</v>
      </c>
    </row>
    <row r="10603" spans="1:12" x14ac:dyDescent="0.2">
      <c r="A10603" t="s">
        <v>16</v>
      </c>
      <c r="B10603" t="s">
        <v>17</v>
      </c>
      <c r="C10603" t="s">
        <v>11</v>
      </c>
      <c r="D10603">
        <v>9001</v>
      </c>
      <c r="E10603">
        <v>2020</v>
      </c>
      <c r="F10603">
        <v>32</v>
      </c>
      <c r="G10603">
        <v>14215</v>
      </c>
      <c r="H10603" s="1">
        <v>3</v>
      </c>
      <c r="I10603">
        <v>1</v>
      </c>
      <c r="J10603">
        <f>IF($H10603=0,1,IF($I10603&lt;=1,2,0))</f>
        <v>2</v>
      </c>
      <c r="K10603">
        <v>5</v>
      </c>
      <c r="L10603">
        <f>IF(AND($J10603=0,$K10603=0),0,1)</f>
        <v>1</v>
      </c>
    </row>
    <row r="10604" spans="1:12" x14ac:dyDescent="0.2">
      <c r="A10604" t="s">
        <v>16</v>
      </c>
      <c r="B10604" t="s">
        <v>17</v>
      </c>
      <c r="C10604" t="s">
        <v>11</v>
      </c>
      <c r="D10604">
        <v>9001</v>
      </c>
      <c r="E10604">
        <v>2020</v>
      </c>
      <c r="F10604">
        <v>1</v>
      </c>
      <c r="G10604">
        <v>14184</v>
      </c>
      <c r="H10604" s="1">
        <v>3</v>
      </c>
      <c r="I10604">
        <v>0</v>
      </c>
      <c r="J10604">
        <f>IF($H10604=0,1,IF($I10604&lt;=1,2,0))</f>
        <v>2</v>
      </c>
      <c r="K10604">
        <v>5</v>
      </c>
      <c r="L10604">
        <f>IF(AND($J10604=0,$K10604=0),0,1)</f>
        <v>1</v>
      </c>
    </row>
    <row r="10605" spans="1:12" x14ac:dyDescent="0.2">
      <c r="A10605" t="s">
        <v>16</v>
      </c>
      <c r="B10605" t="s">
        <v>17</v>
      </c>
      <c r="C10605" t="s">
        <v>11</v>
      </c>
      <c r="D10605">
        <v>9001</v>
      </c>
      <c r="E10605">
        <v>2020</v>
      </c>
      <c r="F10605">
        <v>2</v>
      </c>
      <c r="G10605">
        <v>14185</v>
      </c>
      <c r="H10605" s="1">
        <v>3</v>
      </c>
      <c r="I10605">
        <v>0</v>
      </c>
      <c r="J10605">
        <f>IF($H10605=0,1,IF($I10605&lt;=1,2,0))</f>
        <v>2</v>
      </c>
      <c r="K10605">
        <v>5</v>
      </c>
      <c r="L10605">
        <f>IF(AND($J10605=0,$K10605=0),0,1)</f>
        <v>1</v>
      </c>
    </row>
    <row r="10606" spans="1:12" x14ac:dyDescent="0.2">
      <c r="A10606" t="s">
        <v>16</v>
      </c>
      <c r="B10606" t="s">
        <v>17</v>
      </c>
      <c r="C10606" t="s">
        <v>11</v>
      </c>
      <c r="D10606">
        <v>9001</v>
      </c>
      <c r="E10606">
        <v>2020</v>
      </c>
      <c r="F10606">
        <v>3</v>
      </c>
      <c r="G10606">
        <v>14186</v>
      </c>
      <c r="H10606" s="1">
        <v>3</v>
      </c>
      <c r="I10606">
        <v>0</v>
      </c>
      <c r="J10606">
        <f>IF($H10606=0,1,IF($I10606&lt;=1,2,0))</f>
        <v>2</v>
      </c>
      <c r="K10606">
        <v>5</v>
      </c>
      <c r="L10606">
        <f>IF(AND($J10606=0,$K10606=0),0,1)</f>
        <v>1</v>
      </c>
    </row>
    <row r="10607" spans="1:12" x14ac:dyDescent="0.2">
      <c r="A10607" t="s">
        <v>16</v>
      </c>
      <c r="B10607" t="s">
        <v>17</v>
      </c>
      <c r="C10607" t="s">
        <v>11</v>
      </c>
      <c r="D10607">
        <v>9001</v>
      </c>
      <c r="E10607">
        <v>2020</v>
      </c>
      <c r="F10607">
        <v>4</v>
      </c>
      <c r="G10607">
        <v>14187</v>
      </c>
      <c r="H10607" s="1">
        <v>3</v>
      </c>
      <c r="I10607">
        <v>0</v>
      </c>
      <c r="J10607">
        <f>IF($H10607=0,1,IF($I10607&lt;=1,2,0))</f>
        <v>2</v>
      </c>
      <c r="K10607">
        <v>5</v>
      </c>
      <c r="L10607">
        <f>IF(AND($J10607=0,$K10607=0),0,1)</f>
        <v>1</v>
      </c>
    </row>
    <row r="10608" spans="1:12" x14ac:dyDescent="0.2">
      <c r="A10608" t="s">
        <v>16</v>
      </c>
      <c r="B10608" t="s">
        <v>17</v>
      </c>
      <c r="C10608" t="s">
        <v>11</v>
      </c>
      <c r="D10608">
        <v>9001</v>
      </c>
      <c r="E10608">
        <v>2020</v>
      </c>
      <c r="F10608">
        <v>5</v>
      </c>
      <c r="G10608">
        <v>14188</v>
      </c>
      <c r="H10608" s="1">
        <v>3</v>
      </c>
      <c r="I10608">
        <v>0</v>
      </c>
      <c r="J10608">
        <f>IF($H10608=0,1,IF($I10608&lt;=1,2,0))</f>
        <v>2</v>
      </c>
      <c r="K10608">
        <v>5</v>
      </c>
      <c r="L10608">
        <f>IF(AND($J10608=0,$K10608=0),0,1)</f>
        <v>1</v>
      </c>
    </row>
    <row r="10609" spans="1:12" x14ac:dyDescent="0.2">
      <c r="A10609" t="s">
        <v>16</v>
      </c>
      <c r="B10609" t="s">
        <v>17</v>
      </c>
      <c r="C10609" t="s">
        <v>11</v>
      </c>
      <c r="D10609">
        <v>9001</v>
      </c>
      <c r="E10609">
        <v>2020</v>
      </c>
      <c r="F10609">
        <v>6</v>
      </c>
      <c r="G10609">
        <v>14189</v>
      </c>
      <c r="H10609" s="1">
        <v>3</v>
      </c>
      <c r="I10609">
        <v>0</v>
      </c>
      <c r="J10609">
        <f>IF($H10609=0,1,IF($I10609&lt;=1,2,0))</f>
        <v>2</v>
      </c>
      <c r="K10609">
        <v>5</v>
      </c>
      <c r="L10609">
        <f>IF(AND($J10609=0,$K10609=0),0,1)</f>
        <v>1</v>
      </c>
    </row>
    <row r="10610" spans="1:12" x14ac:dyDescent="0.2">
      <c r="A10610" t="s">
        <v>16</v>
      </c>
      <c r="B10610" t="s">
        <v>17</v>
      </c>
      <c r="C10610" t="s">
        <v>11</v>
      </c>
      <c r="D10610">
        <v>9001</v>
      </c>
      <c r="E10610">
        <v>2020</v>
      </c>
      <c r="F10610">
        <v>7</v>
      </c>
      <c r="G10610">
        <v>14190</v>
      </c>
      <c r="H10610" s="1">
        <v>3</v>
      </c>
      <c r="I10610">
        <v>0</v>
      </c>
      <c r="J10610">
        <f>IF($H10610=0,1,IF($I10610&lt;=1,2,0))</f>
        <v>2</v>
      </c>
      <c r="K10610">
        <v>5</v>
      </c>
      <c r="L10610">
        <f>IF(AND($J10610=0,$K10610=0),0,1)</f>
        <v>1</v>
      </c>
    </row>
    <row r="10611" spans="1:12" x14ac:dyDescent="0.2">
      <c r="A10611" t="s">
        <v>16</v>
      </c>
      <c r="B10611" t="s">
        <v>17</v>
      </c>
      <c r="C10611" t="s">
        <v>11</v>
      </c>
      <c r="D10611">
        <v>9001</v>
      </c>
      <c r="E10611">
        <v>2020</v>
      </c>
      <c r="F10611">
        <v>8</v>
      </c>
      <c r="G10611">
        <v>14191</v>
      </c>
      <c r="H10611" s="1">
        <v>3</v>
      </c>
      <c r="I10611">
        <v>0</v>
      </c>
      <c r="J10611">
        <f>IF($H10611=0,1,IF($I10611&lt;=1,2,0))</f>
        <v>2</v>
      </c>
      <c r="K10611">
        <v>5</v>
      </c>
      <c r="L10611">
        <f>IF(AND($J10611=0,$K10611=0),0,1)</f>
        <v>1</v>
      </c>
    </row>
    <row r="10612" spans="1:12" x14ac:dyDescent="0.2">
      <c r="A10612" t="s">
        <v>16</v>
      </c>
      <c r="B10612" t="s">
        <v>17</v>
      </c>
      <c r="C10612" t="s">
        <v>11</v>
      </c>
      <c r="D10612">
        <v>9001</v>
      </c>
      <c r="E10612">
        <v>2020</v>
      </c>
      <c r="F10612">
        <v>9</v>
      </c>
      <c r="G10612">
        <v>14192</v>
      </c>
      <c r="H10612" s="1">
        <v>3</v>
      </c>
      <c r="I10612">
        <v>0</v>
      </c>
      <c r="J10612">
        <f>IF($H10612=0,1,IF($I10612&lt;=1,2,0))</f>
        <v>2</v>
      </c>
      <c r="K10612">
        <v>5</v>
      </c>
      <c r="L10612">
        <f>IF(AND($J10612=0,$K10612=0),0,1)</f>
        <v>1</v>
      </c>
    </row>
    <row r="10613" spans="1:12" x14ac:dyDescent="0.2">
      <c r="A10613" t="s">
        <v>16</v>
      </c>
      <c r="B10613" t="s">
        <v>17</v>
      </c>
      <c r="C10613" t="s">
        <v>11</v>
      </c>
      <c r="D10613">
        <v>9001</v>
      </c>
      <c r="E10613">
        <v>2020</v>
      </c>
      <c r="F10613">
        <v>10</v>
      </c>
      <c r="G10613">
        <v>14193</v>
      </c>
      <c r="H10613" s="1">
        <v>3</v>
      </c>
      <c r="I10613">
        <v>0</v>
      </c>
      <c r="J10613">
        <f>IF($H10613=0,1,IF($I10613&lt;=1,2,0))</f>
        <v>2</v>
      </c>
      <c r="K10613">
        <v>5</v>
      </c>
      <c r="L10613">
        <f>IF(AND($J10613=0,$K10613=0),0,1)</f>
        <v>1</v>
      </c>
    </row>
    <row r="10614" spans="1:12" x14ac:dyDescent="0.2">
      <c r="A10614" t="s">
        <v>16</v>
      </c>
      <c r="B10614" t="s">
        <v>17</v>
      </c>
      <c r="C10614" t="s">
        <v>11</v>
      </c>
      <c r="D10614">
        <v>9001</v>
      </c>
      <c r="E10614">
        <v>2020</v>
      </c>
      <c r="F10614">
        <v>12</v>
      </c>
      <c r="G10614">
        <v>14195</v>
      </c>
      <c r="H10614" s="1">
        <v>3</v>
      </c>
      <c r="I10614">
        <v>0</v>
      </c>
      <c r="J10614">
        <f>IF($H10614=0,1,IF($I10614&lt;=1,2,0))</f>
        <v>2</v>
      </c>
      <c r="K10614">
        <v>5</v>
      </c>
      <c r="L10614">
        <f>IF(AND($J10614=0,$K10614=0),0,1)</f>
        <v>1</v>
      </c>
    </row>
    <row r="10615" spans="1:12" x14ac:dyDescent="0.2">
      <c r="A10615" t="s">
        <v>16</v>
      </c>
      <c r="B10615" t="s">
        <v>17</v>
      </c>
      <c r="C10615" t="s">
        <v>11</v>
      </c>
      <c r="D10615">
        <v>9001</v>
      </c>
      <c r="E10615">
        <v>2020</v>
      </c>
      <c r="F10615">
        <v>14</v>
      </c>
      <c r="G10615">
        <v>14197</v>
      </c>
      <c r="H10615" s="1">
        <v>3</v>
      </c>
      <c r="I10615">
        <v>0</v>
      </c>
      <c r="J10615">
        <f>IF($H10615=0,1,IF($I10615&lt;=1,2,0))</f>
        <v>2</v>
      </c>
      <c r="K10615">
        <v>5</v>
      </c>
      <c r="L10615">
        <f>IF(AND($J10615=0,$K10615=0),0,1)</f>
        <v>1</v>
      </c>
    </row>
    <row r="10616" spans="1:12" x14ac:dyDescent="0.2">
      <c r="A10616" t="s">
        <v>16</v>
      </c>
      <c r="B10616" t="s">
        <v>17</v>
      </c>
      <c r="C10616" t="s">
        <v>11</v>
      </c>
      <c r="D10616">
        <v>9001</v>
      </c>
      <c r="E10616">
        <v>2020</v>
      </c>
      <c r="F10616">
        <v>15</v>
      </c>
      <c r="G10616">
        <v>14198</v>
      </c>
      <c r="H10616" s="1">
        <v>3</v>
      </c>
      <c r="I10616">
        <v>0</v>
      </c>
      <c r="J10616">
        <f>IF($H10616=0,1,IF($I10616&lt;=1,2,0))</f>
        <v>2</v>
      </c>
      <c r="K10616">
        <v>5</v>
      </c>
      <c r="L10616">
        <f>IF(AND($J10616=0,$K10616=0),0,1)</f>
        <v>1</v>
      </c>
    </row>
    <row r="10617" spans="1:12" x14ac:dyDescent="0.2">
      <c r="A10617" t="s">
        <v>16</v>
      </c>
      <c r="B10617" t="s">
        <v>17</v>
      </c>
      <c r="C10617" t="s">
        <v>11</v>
      </c>
      <c r="D10617">
        <v>9001</v>
      </c>
      <c r="E10617">
        <v>2020</v>
      </c>
      <c r="F10617">
        <v>16</v>
      </c>
      <c r="G10617">
        <v>14199</v>
      </c>
      <c r="H10617" s="1">
        <v>3</v>
      </c>
      <c r="I10617">
        <v>0</v>
      </c>
      <c r="J10617">
        <f>IF($H10617=0,1,IF($I10617&lt;=1,2,0))</f>
        <v>2</v>
      </c>
      <c r="K10617">
        <v>5</v>
      </c>
      <c r="L10617">
        <f>IF(AND($J10617=0,$K10617=0),0,1)</f>
        <v>1</v>
      </c>
    </row>
    <row r="10618" spans="1:12" x14ac:dyDescent="0.2">
      <c r="A10618" t="s">
        <v>16</v>
      </c>
      <c r="B10618" t="s">
        <v>17</v>
      </c>
      <c r="C10618" t="s">
        <v>11</v>
      </c>
      <c r="D10618">
        <v>9001</v>
      </c>
      <c r="E10618">
        <v>2020</v>
      </c>
      <c r="F10618">
        <v>17</v>
      </c>
      <c r="G10618">
        <v>14200</v>
      </c>
      <c r="H10618" s="1">
        <v>3</v>
      </c>
      <c r="I10618">
        <v>0</v>
      </c>
      <c r="J10618">
        <f>IF($H10618=0,1,IF($I10618&lt;=1,2,0))</f>
        <v>2</v>
      </c>
      <c r="K10618">
        <v>5</v>
      </c>
      <c r="L10618">
        <f>IF(AND($J10618=0,$K10618=0),0,1)</f>
        <v>1</v>
      </c>
    </row>
    <row r="10619" spans="1:12" x14ac:dyDescent="0.2">
      <c r="A10619" t="s">
        <v>16</v>
      </c>
      <c r="B10619" t="s">
        <v>17</v>
      </c>
      <c r="C10619" t="s">
        <v>11</v>
      </c>
      <c r="D10619">
        <v>9001</v>
      </c>
      <c r="E10619">
        <v>2020</v>
      </c>
      <c r="F10619">
        <v>18</v>
      </c>
      <c r="G10619">
        <v>14201</v>
      </c>
      <c r="H10619" s="1">
        <v>3</v>
      </c>
      <c r="I10619">
        <v>0</v>
      </c>
      <c r="J10619">
        <f>IF($H10619=0,1,IF($I10619&lt;=1,2,0))</f>
        <v>2</v>
      </c>
      <c r="K10619">
        <v>5</v>
      </c>
      <c r="L10619">
        <f>IF(AND($J10619=0,$K10619=0),0,1)</f>
        <v>1</v>
      </c>
    </row>
    <row r="10620" spans="1:12" x14ac:dyDescent="0.2">
      <c r="A10620" t="s">
        <v>16</v>
      </c>
      <c r="B10620" t="s">
        <v>17</v>
      </c>
      <c r="C10620" t="s">
        <v>11</v>
      </c>
      <c r="D10620">
        <v>9001</v>
      </c>
      <c r="E10620">
        <v>2020</v>
      </c>
      <c r="F10620">
        <v>21</v>
      </c>
      <c r="G10620">
        <v>14204</v>
      </c>
      <c r="H10620" s="1">
        <v>3</v>
      </c>
      <c r="I10620">
        <v>0</v>
      </c>
      <c r="J10620">
        <f>IF($H10620=0,1,IF($I10620&lt;=1,2,0))</f>
        <v>2</v>
      </c>
      <c r="K10620">
        <v>5</v>
      </c>
      <c r="L10620">
        <f>IF(AND($J10620=0,$K10620=0),0,1)</f>
        <v>1</v>
      </c>
    </row>
    <row r="10621" spans="1:12" x14ac:dyDescent="0.2">
      <c r="A10621" t="s">
        <v>16</v>
      </c>
      <c r="B10621" t="s">
        <v>17</v>
      </c>
      <c r="C10621" t="s">
        <v>11</v>
      </c>
      <c r="D10621">
        <v>9001</v>
      </c>
      <c r="E10621">
        <v>2020</v>
      </c>
      <c r="F10621">
        <v>22</v>
      </c>
      <c r="G10621">
        <v>14205</v>
      </c>
      <c r="H10621" s="1">
        <v>3</v>
      </c>
      <c r="I10621">
        <v>0</v>
      </c>
      <c r="J10621">
        <f>IF($H10621=0,1,IF($I10621&lt;=1,2,0))</f>
        <v>2</v>
      </c>
      <c r="K10621">
        <v>5</v>
      </c>
      <c r="L10621">
        <f>IF(AND($J10621=0,$K10621=0),0,1)</f>
        <v>1</v>
      </c>
    </row>
    <row r="10622" spans="1:12" x14ac:dyDescent="0.2">
      <c r="A10622" t="s">
        <v>16</v>
      </c>
      <c r="B10622" t="s">
        <v>17</v>
      </c>
      <c r="C10622" t="s">
        <v>11</v>
      </c>
      <c r="D10622">
        <v>9001</v>
      </c>
      <c r="E10622">
        <v>2020</v>
      </c>
      <c r="F10622">
        <v>23</v>
      </c>
      <c r="G10622">
        <v>14206</v>
      </c>
      <c r="H10622" s="1">
        <v>3</v>
      </c>
      <c r="I10622">
        <v>0</v>
      </c>
      <c r="J10622">
        <f>IF($H10622=0,1,IF($I10622&lt;=1,2,0))</f>
        <v>2</v>
      </c>
      <c r="K10622">
        <v>5</v>
      </c>
      <c r="L10622">
        <f>IF(AND($J10622=0,$K10622=0),0,1)</f>
        <v>1</v>
      </c>
    </row>
    <row r="10623" spans="1:12" x14ac:dyDescent="0.2">
      <c r="A10623" t="s">
        <v>16</v>
      </c>
      <c r="B10623" t="s">
        <v>17</v>
      </c>
      <c r="C10623" t="s">
        <v>11</v>
      </c>
      <c r="D10623">
        <v>9001</v>
      </c>
      <c r="E10623">
        <v>2020</v>
      </c>
      <c r="F10623">
        <v>24</v>
      </c>
      <c r="G10623">
        <v>14207</v>
      </c>
      <c r="H10623" s="1">
        <v>3</v>
      </c>
      <c r="I10623">
        <v>0</v>
      </c>
      <c r="J10623">
        <f>IF($H10623=0,1,IF($I10623&lt;=1,2,0))</f>
        <v>2</v>
      </c>
      <c r="K10623">
        <v>5</v>
      </c>
      <c r="L10623">
        <f>IF(AND($J10623=0,$K10623=0),0,1)</f>
        <v>1</v>
      </c>
    </row>
    <row r="10624" spans="1:12" x14ac:dyDescent="0.2">
      <c r="A10624" t="s">
        <v>16</v>
      </c>
      <c r="B10624" t="s">
        <v>17</v>
      </c>
      <c r="C10624" t="s">
        <v>11</v>
      </c>
      <c r="D10624">
        <v>9001</v>
      </c>
      <c r="E10624">
        <v>2020</v>
      </c>
      <c r="F10624">
        <v>26</v>
      </c>
      <c r="G10624">
        <v>14209</v>
      </c>
      <c r="H10624" s="1">
        <v>3</v>
      </c>
      <c r="I10624">
        <v>0</v>
      </c>
      <c r="J10624">
        <f>IF($H10624=0,1,IF($I10624&lt;=1,2,0))</f>
        <v>2</v>
      </c>
      <c r="K10624">
        <v>5</v>
      </c>
      <c r="L10624">
        <f>IF(AND($J10624=0,$K10624=0),0,1)</f>
        <v>1</v>
      </c>
    </row>
    <row r="10625" spans="1:13" x14ac:dyDescent="0.2">
      <c r="A10625" t="s">
        <v>16</v>
      </c>
      <c r="B10625" t="s">
        <v>17</v>
      </c>
      <c r="C10625" t="s">
        <v>11</v>
      </c>
      <c r="D10625">
        <v>9001</v>
      </c>
      <c r="E10625">
        <v>2020</v>
      </c>
      <c r="F10625">
        <v>27</v>
      </c>
      <c r="G10625">
        <v>14210</v>
      </c>
      <c r="H10625" s="1">
        <v>3</v>
      </c>
      <c r="I10625">
        <v>0</v>
      </c>
      <c r="J10625">
        <f>IF($H10625=0,1,IF($I10625&lt;=1,2,0))</f>
        <v>2</v>
      </c>
      <c r="K10625">
        <v>5</v>
      </c>
      <c r="L10625">
        <f>IF(AND($J10625=0,$K10625=0),0,1)</f>
        <v>1</v>
      </c>
    </row>
    <row r="10626" spans="1:13" x14ac:dyDescent="0.2">
      <c r="A10626" t="s">
        <v>16</v>
      </c>
      <c r="B10626" t="s">
        <v>17</v>
      </c>
      <c r="C10626" t="s">
        <v>11</v>
      </c>
      <c r="D10626">
        <v>9001</v>
      </c>
      <c r="E10626">
        <v>2020</v>
      </c>
      <c r="F10626">
        <v>29</v>
      </c>
      <c r="G10626">
        <v>14212</v>
      </c>
      <c r="H10626" s="1">
        <v>3</v>
      </c>
      <c r="I10626">
        <v>0</v>
      </c>
      <c r="J10626">
        <f>IF($H10626=0,1,IF($I10626&lt;=1,2,0))</f>
        <v>2</v>
      </c>
      <c r="K10626">
        <v>5</v>
      </c>
      <c r="L10626">
        <f>IF(AND($J10626=0,$K10626=0),0,1)</f>
        <v>1</v>
      </c>
    </row>
    <row r="10627" spans="1:13" x14ac:dyDescent="0.2">
      <c r="A10627" t="s">
        <v>16</v>
      </c>
      <c r="B10627" t="s">
        <v>17</v>
      </c>
      <c r="C10627" t="s">
        <v>11</v>
      </c>
      <c r="D10627">
        <v>9001</v>
      </c>
      <c r="E10627">
        <v>2020</v>
      </c>
      <c r="F10627">
        <v>30</v>
      </c>
      <c r="G10627">
        <v>14213</v>
      </c>
      <c r="H10627" s="1">
        <v>3</v>
      </c>
      <c r="I10627">
        <v>0</v>
      </c>
      <c r="J10627">
        <f>IF($H10627=0,1,IF($I10627&lt;=1,2,0))</f>
        <v>2</v>
      </c>
      <c r="K10627">
        <v>5</v>
      </c>
      <c r="L10627">
        <f>IF(AND($J10627=0,$K10627=0),0,1)</f>
        <v>1</v>
      </c>
    </row>
    <row r="10628" spans="1:13" x14ac:dyDescent="0.2">
      <c r="A10628" t="s">
        <v>16</v>
      </c>
      <c r="B10628" t="s">
        <v>17</v>
      </c>
      <c r="C10628" t="s">
        <v>11</v>
      </c>
      <c r="D10628">
        <v>9001</v>
      </c>
      <c r="E10628">
        <v>2020</v>
      </c>
      <c r="F10628">
        <v>31</v>
      </c>
      <c r="G10628">
        <v>14214</v>
      </c>
      <c r="H10628" s="1">
        <v>3</v>
      </c>
      <c r="I10628">
        <v>0</v>
      </c>
      <c r="J10628">
        <f>IF($H10628=0,1,IF($I10628&lt;=1,2,0))</f>
        <v>2</v>
      </c>
      <c r="K10628">
        <v>5</v>
      </c>
      <c r="L10628">
        <f>IF(AND($J10628=0,$K10628=0),0,1)</f>
        <v>1</v>
      </c>
    </row>
    <row r="10629" spans="1:13" x14ac:dyDescent="0.2">
      <c r="A10629" t="s">
        <v>16</v>
      </c>
      <c r="B10629" t="s">
        <v>17</v>
      </c>
      <c r="C10629" t="s">
        <v>11</v>
      </c>
      <c r="D10629">
        <v>9001</v>
      </c>
      <c r="E10629">
        <v>2020</v>
      </c>
      <c r="F10629">
        <v>33</v>
      </c>
      <c r="G10629">
        <v>14216</v>
      </c>
      <c r="H10629" s="1">
        <v>3</v>
      </c>
      <c r="I10629">
        <v>0</v>
      </c>
      <c r="J10629">
        <f>IF($H10629=0,1,IF($I10629&lt;=1,2,0))</f>
        <v>2</v>
      </c>
      <c r="K10629">
        <v>5</v>
      </c>
      <c r="L10629">
        <f>IF(AND($J10629=0,$K10629=0),0,1)</f>
        <v>1</v>
      </c>
    </row>
    <row r="10630" spans="1:13" x14ac:dyDescent="0.2">
      <c r="A10630" t="s">
        <v>16</v>
      </c>
      <c r="B10630" t="s">
        <v>17</v>
      </c>
      <c r="C10630" t="s">
        <v>11</v>
      </c>
      <c r="D10630">
        <v>9001</v>
      </c>
      <c r="E10630">
        <v>2020</v>
      </c>
      <c r="F10630">
        <v>34</v>
      </c>
      <c r="G10630">
        <v>14217</v>
      </c>
      <c r="H10630" s="1">
        <v>3</v>
      </c>
      <c r="I10630">
        <v>0</v>
      </c>
      <c r="J10630">
        <f>IF($H10630=0,1,IF($I10630&lt;=1,2,0))</f>
        <v>2</v>
      </c>
      <c r="K10630">
        <v>5</v>
      </c>
      <c r="L10630">
        <f>IF(AND($J10630=0,$K10630=0),0,1)</f>
        <v>1</v>
      </c>
    </row>
    <row r="10631" spans="1:13" x14ac:dyDescent="0.2">
      <c r="A10631" t="s">
        <v>42</v>
      </c>
      <c r="B10631" t="s">
        <v>17</v>
      </c>
      <c r="C10631" t="s">
        <v>21</v>
      </c>
      <c r="D10631">
        <v>2902</v>
      </c>
      <c r="E10631">
        <v>2020</v>
      </c>
      <c r="F10631">
        <v>1</v>
      </c>
      <c r="G10631">
        <v>24480</v>
      </c>
      <c r="H10631" s="1">
        <v>0</v>
      </c>
      <c r="I10631">
        <v>15</v>
      </c>
      <c r="J10631">
        <f>IF($H10631=0,1,IF($I10631&lt;=1,2,0))</f>
        <v>1</v>
      </c>
      <c r="K10631">
        <v>0</v>
      </c>
      <c r="L10631">
        <f>IF(AND($J10631=0,$K10631=0),0,1)</f>
        <v>1</v>
      </c>
    </row>
    <row r="10632" spans="1:13" x14ac:dyDescent="0.2">
      <c r="A10632" t="s">
        <v>42</v>
      </c>
      <c r="B10632" t="s">
        <v>17</v>
      </c>
      <c r="C10632" t="s">
        <v>21</v>
      </c>
      <c r="D10632">
        <v>2902</v>
      </c>
      <c r="E10632">
        <v>2020</v>
      </c>
      <c r="F10632">
        <v>2</v>
      </c>
      <c r="G10632">
        <v>24481</v>
      </c>
      <c r="H10632" s="1">
        <v>0</v>
      </c>
      <c r="I10632">
        <v>15</v>
      </c>
      <c r="J10632">
        <f>IF($H10632=0,1,IF($I10632&lt;=1,2,0))</f>
        <v>1</v>
      </c>
      <c r="K10632">
        <v>0</v>
      </c>
      <c r="L10632">
        <f>IF(AND($J10632=0,$K10632=0),0,1)</f>
        <v>1</v>
      </c>
    </row>
    <row r="10633" spans="1:13" x14ac:dyDescent="0.2">
      <c r="A10633" t="s">
        <v>42</v>
      </c>
      <c r="B10633" t="s">
        <v>17</v>
      </c>
      <c r="C10633" t="s">
        <v>21</v>
      </c>
      <c r="D10633">
        <v>2902</v>
      </c>
      <c r="E10633">
        <v>2020</v>
      </c>
      <c r="F10633">
        <v>3</v>
      </c>
      <c r="G10633">
        <v>24482</v>
      </c>
      <c r="H10633" s="1">
        <v>0</v>
      </c>
      <c r="I10633">
        <v>15</v>
      </c>
      <c r="J10633">
        <f>IF($H10633=0,1,IF($I10633&lt;=1,2,0))</f>
        <v>1</v>
      </c>
      <c r="K10633">
        <v>0</v>
      </c>
      <c r="L10633">
        <f>IF(AND($J10633=0,$K10633=0),0,1)</f>
        <v>1</v>
      </c>
    </row>
    <row r="10634" spans="1:13" x14ac:dyDescent="0.2">
      <c r="A10634" t="s">
        <v>42</v>
      </c>
      <c r="B10634" t="s">
        <v>17</v>
      </c>
      <c r="C10634" t="s">
        <v>21</v>
      </c>
      <c r="D10634">
        <v>2902</v>
      </c>
      <c r="E10634">
        <v>2020</v>
      </c>
      <c r="F10634">
        <v>4</v>
      </c>
      <c r="G10634">
        <v>24483</v>
      </c>
      <c r="H10634" s="1">
        <v>0</v>
      </c>
      <c r="I10634">
        <v>12</v>
      </c>
      <c r="J10634">
        <f>IF($H10634=0,1,IF($I10634&lt;=1,2,0))</f>
        <v>1</v>
      </c>
      <c r="K10634">
        <v>0</v>
      </c>
      <c r="L10634">
        <f>IF(AND($J10634=0,$K10634=0),0,1)</f>
        <v>1</v>
      </c>
    </row>
    <row r="10635" spans="1:13" x14ac:dyDescent="0.2">
      <c r="A10635" t="s">
        <v>44</v>
      </c>
      <c r="B10635" t="s">
        <v>6</v>
      </c>
      <c r="C10635" t="s">
        <v>2</v>
      </c>
      <c r="D10635">
        <v>3702</v>
      </c>
      <c r="E10635">
        <v>2020</v>
      </c>
      <c r="F10635">
        <v>1</v>
      </c>
      <c r="G10635">
        <v>774</v>
      </c>
      <c r="H10635" s="1">
        <v>1</v>
      </c>
      <c r="I10635">
        <v>22</v>
      </c>
      <c r="J10635">
        <f>IF($H10635=0,1,IF($I10635&lt;=1,2,0))</f>
        <v>0</v>
      </c>
      <c r="K10635">
        <v>7</v>
      </c>
      <c r="L10635">
        <f>IF(AND($J10635=0,$K10635=0),0,1)</f>
        <v>1</v>
      </c>
      <c r="M10635" t="s">
        <v>818</v>
      </c>
    </row>
    <row r="10636" spans="1:13" x14ac:dyDescent="0.2">
      <c r="A10636" t="s">
        <v>44</v>
      </c>
      <c r="B10636" t="s">
        <v>6</v>
      </c>
      <c r="C10636" t="s">
        <v>9</v>
      </c>
      <c r="D10636">
        <v>3998</v>
      </c>
      <c r="E10636">
        <v>2020</v>
      </c>
      <c r="F10636">
        <v>1</v>
      </c>
      <c r="G10636">
        <v>15438</v>
      </c>
      <c r="H10636" s="1" t="s">
        <v>1823</v>
      </c>
      <c r="I10636">
        <v>1</v>
      </c>
      <c r="J10636">
        <f>IF($H10636=0,1,IF($I10636&lt;=1,2,0))</f>
        <v>2</v>
      </c>
      <c r="K10636">
        <v>9</v>
      </c>
      <c r="L10636">
        <f>IF(AND($J10636=0,$K10636=0),0,1)</f>
        <v>1</v>
      </c>
    </row>
    <row r="10637" spans="1:13" x14ac:dyDescent="0.2">
      <c r="A10637" t="s">
        <v>44</v>
      </c>
      <c r="B10637" t="s">
        <v>6</v>
      </c>
      <c r="C10637" t="s">
        <v>2</v>
      </c>
      <c r="D10637">
        <v>3999</v>
      </c>
      <c r="E10637">
        <v>2020</v>
      </c>
      <c r="F10637">
        <v>1</v>
      </c>
      <c r="G10637">
        <v>979</v>
      </c>
      <c r="H10637" s="1" t="s">
        <v>1823</v>
      </c>
      <c r="I10637">
        <v>1</v>
      </c>
      <c r="J10637">
        <f>IF($H10637=0,1,IF($I10637&lt;=1,2,0))</f>
        <v>2</v>
      </c>
      <c r="K10637">
        <v>7</v>
      </c>
      <c r="L10637">
        <f>IF(AND($J10637=0,$K10637=0),0,1)</f>
        <v>1</v>
      </c>
    </row>
    <row r="10638" spans="1:13" x14ac:dyDescent="0.2">
      <c r="A10638" t="s">
        <v>50</v>
      </c>
      <c r="B10638" t="s">
        <v>6</v>
      </c>
      <c r="C10638" t="s">
        <v>21</v>
      </c>
      <c r="D10638">
        <v>3997</v>
      </c>
      <c r="E10638">
        <v>2020</v>
      </c>
      <c r="F10638">
        <v>1</v>
      </c>
      <c r="G10638">
        <v>13546</v>
      </c>
      <c r="H10638" s="1">
        <v>3</v>
      </c>
      <c r="I10638">
        <v>0</v>
      </c>
      <c r="J10638">
        <f>IF($H10638=0,1,IF($I10638&lt;=1,2,0))</f>
        <v>2</v>
      </c>
      <c r="K10638">
        <v>9</v>
      </c>
      <c r="L10638">
        <f>IF(AND($J10638=0,$K10638=0),0,1)</f>
        <v>1</v>
      </c>
    </row>
    <row r="10639" spans="1:13" x14ac:dyDescent="0.2">
      <c r="A10639" t="s">
        <v>50</v>
      </c>
      <c r="B10639" t="s">
        <v>6</v>
      </c>
      <c r="C10639" t="s">
        <v>21</v>
      </c>
      <c r="D10639">
        <v>3997</v>
      </c>
      <c r="E10639">
        <v>2020</v>
      </c>
      <c r="F10639">
        <v>2</v>
      </c>
      <c r="G10639">
        <v>13547</v>
      </c>
      <c r="H10639" s="1">
        <v>3</v>
      </c>
      <c r="I10639">
        <v>0</v>
      </c>
      <c r="J10639">
        <f>IF($H10639=0,1,IF($I10639&lt;=1,2,0))</f>
        <v>2</v>
      </c>
      <c r="K10639">
        <v>9</v>
      </c>
      <c r="L10639">
        <f>IF(AND($J10639=0,$K10639=0),0,1)</f>
        <v>1</v>
      </c>
    </row>
    <row r="10640" spans="1:13" x14ac:dyDescent="0.2">
      <c r="A10640" t="s">
        <v>50</v>
      </c>
      <c r="B10640" t="s">
        <v>6</v>
      </c>
      <c r="C10640" t="s">
        <v>21</v>
      </c>
      <c r="D10640">
        <v>3997</v>
      </c>
      <c r="E10640">
        <v>2020</v>
      </c>
      <c r="F10640">
        <v>3</v>
      </c>
      <c r="G10640">
        <v>13548</v>
      </c>
      <c r="H10640" s="1">
        <v>3</v>
      </c>
      <c r="I10640">
        <v>0</v>
      </c>
      <c r="J10640">
        <f>IF($H10640=0,1,IF($I10640&lt;=1,2,0))</f>
        <v>2</v>
      </c>
      <c r="K10640">
        <v>9</v>
      </c>
      <c r="L10640">
        <f>IF(AND($J10640=0,$K10640=0),0,1)</f>
        <v>1</v>
      </c>
    </row>
    <row r="10641" spans="1:12" x14ac:dyDescent="0.2">
      <c r="A10641" t="s">
        <v>50</v>
      </c>
      <c r="B10641" t="s">
        <v>6</v>
      </c>
      <c r="C10641" t="s">
        <v>21</v>
      </c>
      <c r="D10641">
        <v>3997</v>
      </c>
      <c r="E10641">
        <v>2020</v>
      </c>
      <c r="F10641">
        <v>4</v>
      </c>
      <c r="G10641">
        <v>13549</v>
      </c>
      <c r="H10641" s="1">
        <v>3</v>
      </c>
      <c r="I10641">
        <v>0</v>
      </c>
      <c r="J10641">
        <f>IF($H10641=0,1,IF($I10641&lt;=1,2,0))</f>
        <v>2</v>
      </c>
      <c r="K10641">
        <v>9</v>
      </c>
      <c r="L10641">
        <f>IF(AND($J10641=0,$K10641=0),0,1)</f>
        <v>1</v>
      </c>
    </row>
    <row r="10642" spans="1:12" x14ac:dyDescent="0.2">
      <c r="A10642" t="s">
        <v>50</v>
      </c>
      <c r="B10642" t="s">
        <v>6</v>
      </c>
      <c r="C10642" t="s">
        <v>21</v>
      </c>
      <c r="D10642">
        <v>3997</v>
      </c>
      <c r="E10642">
        <v>2020</v>
      </c>
      <c r="F10642">
        <v>5</v>
      </c>
      <c r="G10642">
        <v>13550</v>
      </c>
      <c r="H10642" s="1">
        <v>3</v>
      </c>
      <c r="I10642">
        <v>0</v>
      </c>
      <c r="J10642">
        <f>IF($H10642=0,1,IF($I10642&lt;=1,2,0))</f>
        <v>2</v>
      </c>
      <c r="K10642">
        <v>9</v>
      </c>
      <c r="L10642">
        <f>IF(AND($J10642=0,$K10642=0),0,1)</f>
        <v>1</v>
      </c>
    </row>
    <row r="10643" spans="1:12" x14ac:dyDescent="0.2">
      <c r="A10643" t="s">
        <v>50</v>
      </c>
      <c r="B10643" t="s">
        <v>6</v>
      </c>
      <c r="C10643" t="s">
        <v>21</v>
      </c>
      <c r="D10643">
        <v>3997</v>
      </c>
      <c r="E10643">
        <v>2020</v>
      </c>
      <c r="F10643">
        <v>6</v>
      </c>
      <c r="G10643">
        <v>13551</v>
      </c>
      <c r="H10643" s="1">
        <v>3</v>
      </c>
      <c r="I10643">
        <v>0</v>
      </c>
      <c r="J10643">
        <f>IF($H10643=0,1,IF($I10643&lt;=1,2,0))</f>
        <v>2</v>
      </c>
      <c r="K10643">
        <v>9</v>
      </c>
      <c r="L10643">
        <f>IF(AND($J10643=0,$K10643=0),0,1)</f>
        <v>1</v>
      </c>
    </row>
    <row r="10644" spans="1:12" x14ac:dyDescent="0.2">
      <c r="A10644" t="s">
        <v>50</v>
      </c>
      <c r="B10644" t="s">
        <v>6</v>
      </c>
      <c r="C10644" t="s">
        <v>21</v>
      </c>
      <c r="D10644">
        <v>3997</v>
      </c>
      <c r="E10644">
        <v>2020</v>
      </c>
      <c r="F10644">
        <v>7</v>
      </c>
      <c r="G10644">
        <v>13553</v>
      </c>
      <c r="H10644" s="1">
        <v>3</v>
      </c>
      <c r="I10644">
        <v>0</v>
      </c>
      <c r="J10644">
        <f>IF($H10644=0,1,IF($I10644&lt;=1,2,0))</f>
        <v>2</v>
      </c>
      <c r="K10644">
        <v>9</v>
      </c>
      <c r="L10644">
        <f>IF(AND($J10644=0,$K10644=0),0,1)</f>
        <v>1</v>
      </c>
    </row>
    <row r="10645" spans="1:12" x14ac:dyDescent="0.2">
      <c r="A10645" t="s">
        <v>50</v>
      </c>
      <c r="B10645" t="s">
        <v>6</v>
      </c>
      <c r="C10645" t="s">
        <v>21</v>
      </c>
      <c r="D10645">
        <v>3997</v>
      </c>
      <c r="E10645">
        <v>2020</v>
      </c>
      <c r="F10645">
        <v>8</v>
      </c>
      <c r="G10645">
        <v>13554</v>
      </c>
      <c r="H10645" s="1">
        <v>3</v>
      </c>
      <c r="I10645">
        <v>0</v>
      </c>
      <c r="J10645">
        <f>IF($H10645=0,1,IF($I10645&lt;=1,2,0))</f>
        <v>2</v>
      </c>
      <c r="K10645">
        <v>9</v>
      </c>
      <c r="L10645">
        <f>IF(AND($J10645=0,$K10645=0),0,1)</f>
        <v>1</v>
      </c>
    </row>
    <row r="10646" spans="1:12" x14ac:dyDescent="0.2">
      <c r="A10646" t="s">
        <v>50</v>
      </c>
      <c r="B10646" t="s">
        <v>6</v>
      </c>
      <c r="C10646" t="s">
        <v>21</v>
      </c>
      <c r="D10646">
        <v>3997</v>
      </c>
      <c r="E10646">
        <v>2020</v>
      </c>
      <c r="F10646">
        <v>9</v>
      </c>
      <c r="G10646">
        <v>13555</v>
      </c>
      <c r="H10646" s="1">
        <v>3</v>
      </c>
      <c r="I10646">
        <v>0</v>
      </c>
      <c r="J10646">
        <f>IF($H10646=0,1,IF($I10646&lt;=1,2,0))</f>
        <v>2</v>
      </c>
      <c r="K10646">
        <v>9</v>
      </c>
      <c r="L10646">
        <f>IF(AND($J10646=0,$K10646=0),0,1)</f>
        <v>1</v>
      </c>
    </row>
    <row r="10647" spans="1:12" x14ac:dyDescent="0.2">
      <c r="A10647" t="s">
        <v>50</v>
      </c>
      <c r="B10647" t="s">
        <v>6</v>
      </c>
      <c r="C10647" t="s">
        <v>9</v>
      </c>
      <c r="D10647">
        <v>3997</v>
      </c>
      <c r="E10647">
        <v>2020</v>
      </c>
      <c r="F10647">
        <v>10</v>
      </c>
      <c r="G10647">
        <v>543</v>
      </c>
      <c r="H10647" s="1">
        <v>3</v>
      </c>
      <c r="I10647">
        <v>0</v>
      </c>
      <c r="J10647">
        <f>IF($H10647=0,1,IF($I10647&lt;=1,2,0))</f>
        <v>2</v>
      </c>
      <c r="K10647">
        <v>9</v>
      </c>
      <c r="L10647">
        <f>IF(AND($J10647=0,$K10647=0),0,1)</f>
        <v>1</v>
      </c>
    </row>
    <row r="10648" spans="1:12" x14ac:dyDescent="0.2">
      <c r="A10648" t="s">
        <v>50</v>
      </c>
      <c r="B10648" t="s">
        <v>6</v>
      </c>
      <c r="C10648" t="s">
        <v>9</v>
      </c>
      <c r="D10648">
        <v>3997</v>
      </c>
      <c r="E10648">
        <v>2020</v>
      </c>
      <c r="F10648">
        <v>11</v>
      </c>
      <c r="G10648">
        <v>544</v>
      </c>
      <c r="H10648" s="1">
        <v>3</v>
      </c>
      <c r="I10648">
        <v>0</v>
      </c>
      <c r="J10648">
        <f>IF($H10648=0,1,IF($I10648&lt;=1,2,0))</f>
        <v>2</v>
      </c>
      <c r="K10648">
        <v>9</v>
      </c>
      <c r="L10648">
        <f>IF(AND($J10648=0,$K10648=0),0,1)</f>
        <v>1</v>
      </c>
    </row>
    <row r="10649" spans="1:12" x14ac:dyDescent="0.2">
      <c r="A10649" t="s">
        <v>50</v>
      </c>
      <c r="B10649" t="s">
        <v>6</v>
      </c>
      <c r="C10649" t="s">
        <v>9</v>
      </c>
      <c r="D10649">
        <v>3997</v>
      </c>
      <c r="E10649">
        <v>2020</v>
      </c>
      <c r="F10649">
        <v>12</v>
      </c>
      <c r="G10649">
        <v>545</v>
      </c>
      <c r="H10649" s="1">
        <v>3</v>
      </c>
      <c r="I10649">
        <v>0</v>
      </c>
      <c r="J10649">
        <f>IF($H10649=0,1,IF($I10649&lt;=1,2,0))</f>
        <v>2</v>
      </c>
      <c r="K10649">
        <v>9</v>
      </c>
      <c r="L10649">
        <f>IF(AND($J10649=0,$K10649=0),0,1)</f>
        <v>1</v>
      </c>
    </row>
    <row r="10650" spans="1:12" x14ac:dyDescent="0.2">
      <c r="A10650" t="s">
        <v>50</v>
      </c>
      <c r="B10650" t="s">
        <v>6</v>
      </c>
      <c r="C10650" t="s">
        <v>21</v>
      </c>
      <c r="D10650">
        <v>3997</v>
      </c>
      <c r="E10650">
        <v>2020</v>
      </c>
      <c r="F10650">
        <v>13</v>
      </c>
      <c r="G10650">
        <v>13797</v>
      </c>
      <c r="H10650" s="1">
        <v>3</v>
      </c>
      <c r="I10650">
        <v>0</v>
      </c>
      <c r="J10650">
        <f>IF($H10650=0,1,IF($I10650&lt;=1,2,0))</f>
        <v>2</v>
      </c>
      <c r="K10650">
        <v>9</v>
      </c>
      <c r="L10650">
        <f>IF(AND($J10650=0,$K10650=0),0,1)</f>
        <v>1</v>
      </c>
    </row>
    <row r="10651" spans="1:12" x14ac:dyDescent="0.2">
      <c r="A10651" t="s">
        <v>50</v>
      </c>
      <c r="B10651" t="s">
        <v>6</v>
      </c>
      <c r="C10651" t="s">
        <v>21</v>
      </c>
      <c r="D10651">
        <v>3998</v>
      </c>
      <c r="E10651">
        <v>2020</v>
      </c>
      <c r="F10651">
        <v>1</v>
      </c>
      <c r="G10651">
        <v>13566</v>
      </c>
      <c r="H10651" s="1">
        <v>3</v>
      </c>
      <c r="I10651">
        <v>0</v>
      </c>
      <c r="J10651">
        <f>IF($H10651=0,1,IF($I10651&lt;=1,2,0))</f>
        <v>2</v>
      </c>
      <c r="K10651">
        <v>9</v>
      </c>
      <c r="L10651">
        <f>IF(AND($J10651=0,$K10651=0),0,1)</f>
        <v>1</v>
      </c>
    </row>
    <row r="10652" spans="1:12" x14ac:dyDescent="0.2">
      <c r="A10652" t="s">
        <v>50</v>
      </c>
      <c r="B10652" t="s">
        <v>6</v>
      </c>
      <c r="C10652" t="s">
        <v>21</v>
      </c>
      <c r="D10652">
        <v>3998</v>
      </c>
      <c r="E10652">
        <v>2020</v>
      </c>
      <c r="F10652">
        <v>2</v>
      </c>
      <c r="G10652">
        <v>13567</v>
      </c>
      <c r="H10652" s="1">
        <v>3</v>
      </c>
      <c r="I10652">
        <v>0</v>
      </c>
      <c r="J10652">
        <f>IF($H10652=0,1,IF($I10652&lt;=1,2,0))</f>
        <v>2</v>
      </c>
      <c r="K10652">
        <v>9</v>
      </c>
      <c r="L10652">
        <f>IF(AND($J10652=0,$K10652=0),0,1)</f>
        <v>1</v>
      </c>
    </row>
    <row r="10653" spans="1:12" x14ac:dyDescent="0.2">
      <c r="A10653" t="s">
        <v>50</v>
      </c>
      <c r="B10653" t="s">
        <v>6</v>
      </c>
      <c r="C10653" t="s">
        <v>21</v>
      </c>
      <c r="D10653">
        <v>3998</v>
      </c>
      <c r="E10653">
        <v>2020</v>
      </c>
      <c r="F10653">
        <v>3</v>
      </c>
      <c r="G10653">
        <v>13568</v>
      </c>
      <c r="H10653" s="1">
        <v>3</v>
      </c>
      <c r="I10653">
        <v>0</v>
      </c>
      <c r="J10653">
        <f>IF($H10653=0,1,IF($I10653&lt;=1,2,0))</f>
        <v>2</v>
      </c>
      <c r="K10653">
        <v>9</v>
      </c>
      <c r="L10653">
        <f>IF(AND($J10653=0,$K10653=0),0,1)</f>
        <v>1</v>
      </c>
    </row>
    <row r="10654" spans="1:12" x14ac:dyDescent="0.2">
      <c r="A10654" t="s">
        <v>50</v>
      </c>
      <c r="B10654" t="s">
        <v>6</v>
      </c>
      <c r="C10654" t="s">
        <v>21</v>
      </c>
      <c r="D10654">
        <v>3998</v>
      </c>
      <c r="E10654">
        <v>2020</v>
      </c>
      <c r="F10654">
        <v>4</v>
      </c>
      <c r="G10654">
        <v>13570</v>
      </c>
      <c r="H10654" s="1">
        <v>3</v>
      </c>
      <c r="I10654">
        <v>0</v>
      </c>
      <c r="J10654">
        <f>IF($H10654=0,1,IF($I10654&lt;=1,2,0))</f>
        <v>2</v>
      </c>
      <c r="K10654">
        <v>9</v>
      </c>
      <c r="L10654">
        <f>IF(AND($J10654=0,$K10654=0),0,1)</f>
        <v>1</v>
      </c>
    </row>
    <row r="10655" spans="1:12" x14ac:dyDescent="0.2">
      <c r="A10655" t="s">
        <v>50</v>
      </c>
      <c r="B10655" t="s">
        <v>6</v>
      </c>
      <c r="C10655" t="s">
        <v>21</v>
      </c>
      <c r="D10655">
        <v>3998</v>
      </c>
      <c r="E10655">
        <v>2020</v>
      </c>
      <c r="F10655">
        <v>5</v>
      </c>
      <c r="G10655">
        <v>13571</v>
      </c>
      <c r="H10655" s="1">
        <v>3</v>
      </c>
      <c r="I10655">
        <v>0</v>
      </c>
      <c r="J10655">
        <f>IF($H10655=0,1,IF($I10655&lt;=1,2,0))</f>
        <v>2</v>
      </c>
      <c r="K10655">
        <v>9</v>
      </c>
      <c r="L10655">
        <f>IF(AND($J10655=0,$K10655=0),0,1)</f>
        <v>1</v>
      </c>
    </row>
    <row r="10656" spans="1:12" x14ac:dyDescent="0.2">
      <c r="A10656" t="s">
        <v>50</v>
      </c>
      <c r="B10656" t="s">
        <v>6</v>
      </c>
      <c r="C10656" t="s">
        <v>21</v>
      </c>
      <c r="D10656">
        <v>3998</v>
      </c>
      <c r="E10656">
        <v>2020</v>
      </c>
      <c r="F10656">
        <v>7</v>
      </c>
      <c r="G10656">
        <v>13572</v>
      </c>
      <c r="H10656" s="1">
        <v>3</v>
      </c>
      <c r="I10656">
        <v>0</v>
      </c>
      <c r="J10656">
        <f>IF($H10656=0,1,IF($I10656&lt;=1,2,0))</f>
        <v>2</v>
      </c>
      <c r="K10656">
        <v>9</v>
      </c>
      <c r="L10656">
        <f>IF(AND($J10656=0,$K10656=0),0,1)</f>
        <v>1</v>
      </c>
    </row>
    <row r="10657" spans="1:13" x14ac:dyDescent="0.2">
      <c r="A10657" t="s">
        <v>50</v>
      </c>
      <c r="B10657" t="s">
        <v>6</v>
      </c>
      <c r="C10657" t="s">
        <v>21</v>
      </c>
      <c r="D10657">
        <v>3998</v>
      </c>
      <c r="E10657">
        <v>2020</v>
      </c>
      <c r="F10657">
        <v>8</v>
      </c>
      <c r="G10657">
        <v>13573</v>
      </c>
      <c r="H10657" s="1">
        <v>3</v>
      </c>
      <c r="I10657">
        <v>0</v>
      </c>
      <c r="J10657">
        <f>IF($H10657=0,1,IF($I10657&lt;=1,2,0))</f>
        <v>2</v>
      </c>
      <c r="K10657">
        <v>9</v>
      </c>
      <c r="L10657">
        <f>IF(AND($J10657=0,$K10657=0),0,1)</f>
        <v>1</v>
      </c>
    </row>
    <row r="10658" spans="1:13" x14ac:dyDescent="0.2">
      <c r="A10658" t="s">
        <v>50</v>
      </c>
      <c r="B10658" t="s">
        <v>6</v>
      </c>
      <c r="C10658" t="s">
        <v>21</v>
      </c>
      <c r="D10658">
        <v>3998</v>
      </c>
      <c r="E10658">
        <v>2020</v>
      </c>
      <c r="F10658">
        <v>9</v>
      </c>
      <c r="G10658">
        <v>13574</v>
      </c>
      <c r="H10658" s="1">
        <v>3</v>
      </c>
      <c r="I10658">
        <v>0</v>
      </c>
      <c r="J10658">
        <f>IF($H10658=0,1,IF($I10658&lt;=1,2,0))</f>
        <v>2</v>
      </c>
      <c r="K10658">
        <v>9</v>
      </c>
      <c r="L10658">
        <f>IF(AND($J10658=0,$K10658=0),0,1)</f>
        <v>1</v>
      </c>
    </row>
    <row r="10659" spans="1:13" x14ac:dyDescent="0.2">
      <c r="A10659" t="s">
        <v>50</v>
      </c>
      <c r="B10659" t="s">
        <v>6</v>
      </c>
      <c r="C10659" t="s">
        <v>21</v>
      </c>
      <c r="D10659">
        <v>3998</v>
      </c>
      <c r="E10659">
        <v>2020</v>
      </c>
      <c r="F10659">
        <v>11</v>
      </c>
      <c r="G10659">
        <v>13575</v>
      </c>
      <c r="H10659" s="1">
        <v>3</v>
      </c>
      <c r="I10659">
        <v>0</v>
      </c>
      <c r="J10659">
        <f>IF($H10659=0,1,IF($I10659&lt;=1,2,0))</f>
        <v>2</v>
      </c>
      <c r="K10659">
        <v>9</v>
      </c>
      <c r="L10659">
        <f>IF(AND($J10659=0,$K10659=0),0,1)</f>
        <v>1</v>
      </c>
    </row>
    <row r="10660" spans="1:13" x14ac:dyDescent="0.2">
      <c r="A10660" t="s">
        <v>50</v>
      </c>
      <c r="B10660" t="s">
        <v>6</v>
      </c>
      <c r="C10660" t="s">
        <v>21</v>
      </c>
      <c r="D10660">
        <v>3998</v>
      </c>
      <c r="E10660">
        <v>2020</v>
      </c>
      <c r="F10660">
        <v>16</v>
      </c>
      <c r="G10660">
        <v>13576</v>
      </c>
      <c r="H10660" s="1">
        <v>3</v>
      </c>
      <c r="I10660">
        <v>0</v>
      </c>
      <c r="J10660">
        <f>IF($H10660=0,1,IF($I10660&lt;=1,2,0))</f>
        <v>2</v>
      </c>
      <c r="K10660">
        <v>9</v>
      </c>
      <c r="L10660">
        <f>IF(AND($J10660=0,$K10660=0),0,1)</f>
        <v>1</v>
      </c>
    </row>
    <row r="10661" spans="1:13" x14ac:dyDescent="0.2">
      <c r="A10661" t="s">
        <v>51</v>
      </c>
      <c r="B10661" t="s">
        <v>6</v>
      </c>
      <c r="C10661" t="s">
        <v>9</v>
      </c>
      <c r="D10661">
        <v>4016</v>
      </c>
      <c r="E10661">
        <v>2020</v>
      </c>
      <c r="F10661">
        <v>1</v>
      </c>
      <c r="G10661">
        <v>21078</v>
      </c>
      <c r="H10661" s="1">
        <v>0</v>
      </c>
      <c r="I10661">
        <v>80</v>
      </c>
      <c r="J10661">
        <f>IF($H10661=0,1,IF($I10661&lt;=1,2,0))</f>
        <v>1</v>
      </c>
      <c r="K10661">
        <v>0</v>
      </c>
      <c r="L10661">
        <f>IF(AND($J10661=0,$K10661=0),0,1)</f>
        <v>1</v>
      </c>
      <c r="M10661" t="s">
        <v>822</v>
      </c>
    </row>
    <row r="10662" spans="1:13" x14ac:dyDescent="0.2">
      <c r="A10662" t="s">
        <v>54</v>
      </c>
      <c r="B10662" t="s">
        <v>6</v>
      </c>
      <c r="C10662" t="s">
        <v>21</v>
      </c>
      <c r="D10662">
        <v>1012</v>
      </c>
      <c r="E10662">
        <v>2020</v>
      </c>
      <c r="F10662">
        <v>11</v>
      </c>
      <c r="G10662">
        <v>885</v>
      </c>
      <c r="H10662" s="1">
        <v>0</v>
      </c>
      <c r="I10662">
        <v>21</v>
      </c>
      <c r="J10662">
        <f>IF($H10662=0,1,IF($I10662&lt;=1,2,0))</f>
        <v>1</v>
      </c>
      <c r="K10662">
        <v>0</v>
      </c>
      <c r="L10662">
        <f>IF(AND($J10662=0,$K10662=0),0,1)</f>
        <v>1</v>
      </c>
      <c r="M10662" t="s">
        <v>826</v>
      </c>
    </row>
    <row r="10663" spans="1:13" x14ac:dyDescent="0.2">
      <c r="A10663" t="s">
        <v>54</v>
      </c>
      <c r="B10663" t="s">
        <v>6</v>
      </c>
      <c r="C10663" t="s">
        <v>21</v>
      </c>
      <c r="D10663">
        <v>1012</v>
      </c>
      <c r="E10663">
        <v>2020</v>
      </c>
      <c r="F10663">
        <v>13</v>
      </c>
      <c r="G10663">
        <v>887</v>
      </c>
      <c r="H10663" s="1">
        <v>0</v>
      </c>
      <c r="I10663">
        <v>18</v>
      </c>
      <c r="J10663">
        <f>IF($H10663=0,1,IF($I10663&lt;=1,2,0))</f>
        <v>1</v>
      </c>
      <c r="K10663">
        <v>0</v>
      </c>
      <c r="L10663">
        <f>IF(AND($J10663=0,$K10663=0),0,1)</f>
        <v>1</v>
      </c>
      <c r="M10663" t="s">
        <v>827</v>
      </c>
    </row>
    <row r="10664" spans="1:13" x14ac:dyDescent="0.2">
      <c r="A10664" t="s">
        <v>54</v>
      </c>
      <c r="B10664" t="s">
        <v>6</v>
      </c>
      <c r="C10664" t="s">
        <v>21</v>
      </c>
      <c r="D10664">
        <v>1012</v>
      </c>
      <c r="E10664">
        <v>2020</v>
      </c>
      <c r="F10664">
        <v>12</v>
      </c>
      <c r="G10664">
        <v>886</v>
      </c>
      <c r="H10664" s="1">
        <v>0</v>
      </c>
      <c r="I10664">
        <v>14</v>
      </c>
      <c r="J10664">
        <f>IF($H10664=0,1,IF($I10664&lt;=1,2,0))</f>
        <v>1</v>
      </c>
      <c r="K10664">
        <v>0</v>
      </c>
      <c r="L10664">
        <f>IF(AND($J10664=0,$K10664=0),0,1)</f>
        <v>1</v>
      </c>
    </row>
    <row r="10665" spans="1:13" x14ac:dyDescent="0.2">
      <c r="A10665" t="s">
        <v>54</v>
      </c>
      <c r="B10665" t="s">
        <v>6</v>
      </c>
      <c r="C10665" t="s">
        <v>21</v>
      </c>
      <c r="D10665">
        <v>1012</v>
      </c>
      <c r="E10665">
        <v>2020</v>
      </c>
      <c r="F10665">
        <v>10</v>
      </c>
      <c r="G10665">
        <v>884</v>
      </c>
      <c r="H10665" s="1">
        <v>0</v>
      </c>
      <c r="I10665">
        <v>9</v>
      </c>
      <c r="J10665">
        <f>IF($H10665=0,1,IF($I10665&lt;=1,2,0))</f>
        <v>1</v>
      </c>
      <c r="K10665">
        <v>0</v>
      </c>
      <c r="L10665">
        <f>IF(AND($J10665=0,$K10665=0),0,1)</f>
        <v>1</v>
      </c>
      <c r="M10665" t="s">
        <v>825</v>
      </c>
    </row>
    <row r="10666" spans="1:13" x14ac:dyDescent="0.2">
      <c r="A10666" t="s">
        <v>54</v>
      </c>
      <c r="B10666" t="s">
        <v>6</v>
      </c>
      <c r="C10666" t="s">
        <v>21</v>
      </c>
      <c r="D10666">
        <v>1012</v>
      </c>
      <c r="E10666">
        <v>2020</v>
      </c>
      <c r="F10666">
        <v>14</v>
      </c>
      <c r="G10666">
        <v>888</v>
      </c>
      <c r="H10666" s="1">
        <v>0</v>
      </c>
      <c r="I10666">
        <v>8</v>
      </c>
      <c r="J10666">
        <f>IF($H10666=0,1,IF($I10666&lt;=1,2,0))</f>
        <v>1</v>
      </c>
      <c r="K10666">
        <v>0</v>
      </c>
      <c r="L10666">
        <f>IF(AND($J10666=0,$K10666=0),0,1)</f>
        <v>1</v>
      </c>
      <c r="M10666" t="s">
        <v>828</v>
      </c>
    </row>
    <row r="10667" spans="1:13" x14ac:dyDescent="0.2">
      <c r="A10667" t="s">
        <v>54</v>
      </c>
      <c r="B10667" t="s">
        <v>6</v>
      </c>
      <c r="C10667" t="s">
        <v>21</v>
      </c>
      <c r="D10667">
        <v>1012</v>
      </c>
      <c r="E10667">
        <v>2020</v>
      </c>
      <c r="F10667">
        <v>15</v>
      </c>
      <c r="G10667">
        <v>889</v>
      </c>
      <c r="H10667" s="1">
        <v>0</v>
      </c>
      <c r="I10667">
        <v>8</v>
      </c>
      <c r="J10667">
        <f>IF($H10667=0,1,IF($I10667&lt;=1,2,0))</f>
        <v>1</v>
      </c>
      <c r="K10667">
        <v>0</v>
      </c>
      <c r="L10667">
        <f>IF(AND($J10667=0,$K10667=0),0,1)</f>
        <v>1</v>
      </c>
    </row>
    <row r="10668" spans="1:13" x14ac:dyDescent="0.2">
      <c r="A10668" t="s">
        <v>54</v>
      </c>
      <c r="B10668" t="s">
        <v>6</v>
      </c>
      <c r="C10668" t="s">
        <v>9</v>
      </c>
      <c r="D10668">
        <v>2111</v>
      </c>
      <c r="E10668">
        <v>2020</v>
      </c>
      <c r="F10668">
        <v>6</v>
      </c>
      <c r="G10668">
        <v>24853</v>
      </c>
      <c r="H10668" s="1">
        <v>0</v>
      </c>
      <c r="I10668">
        <v>23</v>
      </c>
      <c r="J10668">
        <f>IF($H10668=0,1,IF($I10668&lt;=1,2,0))</f>
        <v>1</v>
      </c>
      <c r="K10668">
        <v>0</v>
      </c>
      <c r="L10668">
        <f>IF(AND($J10668=0,$K10668=0),0,1)</f>
        <v>1</v>
      </c>
    </row>
    <row r="10669" spans="1:13" x14ac:dyDescent="0.2">
      <c r="A10669" t="s">
        <v>54</v>
      </c>
      <c r="B10669" t="s">
        <v>6</v>
      </c>
      <c r="C10669" t="s">
        <v>9</v>
      </c>
      <c r="D10669">
        <v>2111</v>
      </c>
      <c r="E10669">
        <v>2020</v>
      </c>
      <c r="F10669">
        <v>7</v>
      </c>
      <c r="G10669">
        <v>24854</v>
      </c>
      <c r="H10669" s="1">
        <v>0</v>
      </c>
      <c r="I10669">
        <v>14</v>
      </c>
      <c r="J10669">
        <f>IF($H10669=0,1,IF($I10669&lt;=1,2,0))</f>
        <v>1</v>
      </c>
      <c r="K10669">
        <v>0</v>
      </c>
      <c r="L10669">
        <f>IF(AND($J10669=0,$K10669=0),0,1)</f>
        <v>1</v>
      </c>
    </row>
    <row r="10670" spans="1:13" x14ac:dyDescent="0.2">
      <c r="A10670" t="s">
        <v>54</v>
      </c>
      <c r="B10670" t="s">
        <v>6</v>
      </c>
      <c r="C10670" t="s">
        <v>9</v>
      </c>
      <c r="D10670">
        <v>2111</v>
      </c>
      <c r="E10670">
        <v>2020</v>
      </c>
      <c r="F10670">
        <v>5</v>
      </c>
      <c r="G10670">
        <v>24852</v>
      </c>
      <c r="H10670" s="1">
        <v>0</v>
      </c>
      <c r="I10670">
        <v>13</v>
      </c>
      <c r="J10670">
        <f>IF($H10670=0,1,IF($I10670&lt;=1,2,0))</f>
        <v>1</v>
      </c>
      <c r="K10670">
        <v>0</v>
      </c>
      <c r="L10670">
        <f>IF(AND($J10670=0,$K10670=0),0,1)</f>
        <v>1</v>
      </c>
    </row>
    <row r="10671" spans="1:13" x14ac:dyDescent="0.2">
      <c r="A10671" t="s">
        <v>54</v>
      </c>
      <c r="B10671" t="s">
        <v>6</v>
      </c>
      <c r="C10671" t="s">
        <v>9</v>
      </c>
      <c r="D10671">
        <v>2111</v>
      </c>
      <c r="E10671">
        <v>2020</v>
      </c>
      <c r="F10671">
        <v>4</v>
      </c>
      <c r="G10671">
        <v>24851</v>
      </c>
      <c r="H10671" s="1">
        <v>0</v>
      </c>
      <c r="I10671">
        <v>11</v>
      </c>
      <c r="J10671">
        <f>IF($H10671=0,1,IF($I10671&lt;=1,2,0))</f>
        <v>1</v>
      </c>
      <c r="K10671">
        <v>0</v>
      </c>
      <c r="L10671">
        <f>IF(AND($J10671=0,$K10671=0),0,1)</f>
        <v>1</v>
      </c>
    </row>
    <row r="10672" spans="1:13" x14ac:dyDescent="0.2">
      <c r="A10672" t="s">
        <v>54</v>
      </c>
      <c r="B10672" t="s">
        <v>6</v>
      </c>
      <c r="C10672" t="s">
        <v>9</v>
      </c>
      <c r="D10672">
        <v>2111</v>
      </c>
      <c r="E10672">
        <v>2020</v>
      </c>
      <c r="F10672">
        <v>8</v>
      </c>
      <c r="G10672">
        <v>24855</v>
      </c>
      <c r="H10672" s="1">
        <v>0</v>
      </c>
      <c r="I10672">
        <v>7</v>
      </c>
      <c r="J10672">
        <f>IF($H10672=0,1,IF($I10672&lt;=1,2,0))</f>
        <v>1</v>
      </c>
      <c r="K10672">
        <v>0</v>
      </c>
      <c r="L10672">
        <f>IF(AND($J10672=0,$K10672=0),0,1)</f>
        <v>1</v>
      </c>
    </row>
    <row r="10673" spans="1:13" x14ac:dyDescent="0.2">
      <c r="A10673" t="s">
        <v>54</v>
      </c>
      <c r="B10673" t="s">
        <v>6</v>
      </c>
      <c r="C10673" t="s">
        <v>9</v>
      </c>
      <c r="D10673">
        <v>2111</v>
      </c>
      <c r="E10673">
        <v>2020</v>
      </c>
      <c r="F10673">
        <v>10</v>
      </c>
      <c r="G10673">
        <v>24857</v>
      </c>
      <c r="H10673" s="1">
        <v>0</v>
      </c>
      <c r="I10673">
        <v>5</v>
      </c>
      <c r="J10673">
        <f>IF($H10673=0,1,IF($I10673&lt;=1,2,0))</f>
        <v>1</v>
      </c>
      <c r="K10673">
        <v>0</v>
      </c>
      <c r="L10673">
        <f>IF(AND($J10673=0,$K10673=0),0,1)</f>
        <v>1</v>
      </c>
    </row>
    <row r="10674" spans="1:13" x14ac:dyDescent="0.2">
      <c r="A10674" t="s">
        <v>54</v>
      </c>
      <c r="B10674" t="s">
        <v>6</v>
      </c>
      <c r="C10674" t="s">
        <v>9</v>
      </c>
      <c r="D10674">
        <v>2111</v>
      </c>
      <c r="E10674">
        <v>2020</v>
      </c>
      <c r="F10674">
        <v>9</v>
      </c>
      <c r="G10674">
        <v>24856</v>
      </c>
      <c r="H10674" s="1">
        <v>0</v>
      </c>
      <c r="I10674">
        <v>4</v>
      </c>
      <c r="J10674">
        <f>IF($H10674=0,1,IF($I10674&lt;=1,2,0))</f>
        <v>1</v>
      </c>
      <c r="K10674">
        <v>0</v>
      </c>
      <c r="L10674">
        <f>IF(AND($J10674=0,$K10674=0),0,1)</f>
        <v>1</v>
      </c>
    </row>
    <row r="10675" spans="1:13" x14ac:dyDescent="0.2">
      <c r="A10675" t="s">
        <v>54</v>
      </c>
      <c r="B10675" t="s">
        <v>6</v>
      </c>
      <c r="C10675" t="s">
        <v>2</v>
      </c>
      <c r="D10675">
        <v>3234</v>
      </c>
      <c r="E10675">
        <v>2020</v>
      </c>
      <c r="F10675">
        <v>1</v>
      </c>
      <c r="G10675">
        <v>762</v>
      </c>
      <c r="H10675" s="1">
        <v>4</v>
      </c>
      <c r="I10675">
        <v>32</v>
      </c>
      <c r="J10675">
        <f>IF($H10675=0,1,IF($I10675&lt;=1,2,0))</f>
        <v>0</v>
      </c>
      <c r="K10675">
        <v>7</v>
      </c>
      <c r="L10675">
        <f>IF(AND($J10675=0,$K10675=0),0,1)</f>
        <v>1</v>
      </c>
    </row>
    <row r="10676" spans="1:13" x14ac:dyDescent="0.2">
      <c r="A10676" t="s">
        <v>54</v>
      </c>
      <c r="B10676" t="s">
        <v>6</v>
      </c>
      <c r="C10676" t="s">
        <v>2</v>
      </c>
      <c r="D10676">
        <v>3726</v>
      </c>
      <c r="E10676">
        <v>2020</v>
      </c>
      <c r="F10676">
        <v>1</v>
      </c>
      <c r="G10676">
        <v>772</v>
      </c>
      <c r="H10676" s="1">
        <v>4</v>
      </c>
      <c r="I10676">
        <v>16</v>
      </c>
      <c r="J10676">
        <f>IF($H10676=0,1,IF($I10676&lt;=1,2,0))</f>
        <v>0</v>
      </c>
      <c r="K10676">
        <v>7</v>
      </c>
      <c r="L10676">
        <f>IF(AND($J10676=0,$K10676=0),0,1)</f>
        <v>1</v>
      </c>
    </row>
    <row r="10677" spans="1:13" x14ac:dyDescent="0.2">
      <c r="A10677" t="s">
        <v>54</v>
      </c>
      <c r="B10677" t="s">
        <v>6</v>
      </c>
      <c r="C10677" t="s">
        <v>2</v>
      </c>
      <c r="D10677">
        <v>3871</v>
      </c>
      <c r="E10677">
        <v>2020</v>
      </c>
      <c r="F10677">
        <v>1</v>
      </c>
      <c r="G10677">
        <v>430</v>
      </c>
      <c r="H10677" s="1">
        <v>4</v>
      </c>
      <c r="I10677">
        <v>21</v>
      </c>
      <c r="J10677">
        <f>IF($H10677=0,1,IF($I10677&lt;=1,2,0))</f>
        <v>0</v>
      </c>
      <c r="K10677">
        <v>7</v>
      </c>
      <c r="L10677">
        <f>IF(AND($J10677=0,$K10677=0),0,1)</f>
        <v>1</v>
      </c>
      <c r="M10677" t="s">
        <v>834</v>
      </c>
    </row>
    <row r="10678" spans="1:13" x14ac:dyDescent="0.2">
      <c r="A10678" t="s">
        <v>54</v>
      </c>
      <c r="B10678" t="s">
        <v>6</v>
      </c>
      <c r="C10678" t="s">
        <v>2</v>
      </c>
      <c r="D10678">
        <v>3871</v>
      </c>
      <c r="E10678">
        <v>2020</v>
      </c>
      <c r="F10678">
        <v>2</v>
      </c>
      <c r="G10678">
        <v>681</v>
      </c>
      <c r="H10678" s="1">
        <v>4</v>
      </c>
      <c r="I10678">
        <v>1</v>
      </c>
      <c r="J10678">
        <f>IF($H10678=0,1,IF($I10678&lt;=1,2,0))</f>
        <v>2</v>
      </c>
      <c r="K10678">
        <v>7</v>
      </c>
      <c r="L10678">
        <f>IF(AND($J10678=0,$K10678=0),0,1)</f>
        <v>1</v>
      </c>
    </row>
    <row r="10679" spans="1:13" x14ac:dyDescent="0.2">
      <c r="A10679" t="s">
        <v>54</v>
      </c>
      <c r="B10679" t="s">
        <v>6</v>
      </c>
      <c r="C10679" t="s">
        <v>2</v>
      </c>
      <c r="D10679">
        <v>3911</v>
      </c>
      <c r="E10679">
        <v>2020</v>
      </c>
      <c r="F10679">
        <v>1</v>
      </c>
      <c r="G10679">
        <v>427</v>
      </c>
      <c r="H10679" s="1">
        <v>4</v>
      </c>
      <c r="I10679">
        <v>20</v>
      </c>
      <c r="J10679">
        <f>IF($H10679=0,1,IF($I10679&lt;=1,2,0))</f>
        <v>0</v>
      </c>
      <c r="K10679">
        <v>7</v>
      </c>
      <c r="L10679">
        <f>IF(AND($J10679=0,$K10679=0),0,1)</f>
        <v>1</v>
      </c>
      <c r="M10679" t="s">
        <v>836</v>
      </c>
    </row>
    <row r="10680" spans="1:13" x14ac:dyDescent="0.2">
      <c r="A10680" t="s">
        <v>54</v>
      </c>
      <c r="B10680" t="s">
        <v>6</v>
      </c>
      <c r="C10680" t="s">
        <v>9</v>
      </c>
      <c r="D10680">
        <v>3997</v>
      </c>
      <c r="E10680">
        <v>2020</v>
      </c>
      <c r="F10680">
        <v>5</v>
      </c>
      <c r="G10680">
        <v>13038</v>
      </c>
      <c r="H10680" s="1" t="s">
        <v>1825</v>
      </c>
      <c r="I10680">
        <v>1</v>
      </c>
      <c r="J10680">
        <f>IF($H10680=0,1,IF($I10680&lt;=1,2,0))</f>
        <v>2</v>
      </c>
      <c r="K10680">
        <v>9</v>
      </c>
      <c r="L10680">
        <f>IF(AND($J10680=0,$K10680=0),0,1)</f>
        <v>1</v>
      </c>
      <c r="M10680" t="s">
        <v>838</v>
      </c>
    </row>
    <row r="10681" spans="1:13" x14ac:dyDescent="0.2">
      <c r="A10681" t="s">
        <v>54</v>
      </c>
      <c r="B10681" t="s">
        <v>6</v>
      </c>
      <c r="C10681" t="s">
        <v>9</v>
      </c>
      <c r="D10681">
        <v>3997</v>
      </c>
      <c r="E10681">
        <v>2020</v>
      </c>
      <c r="F10681">
        <v>8</v>
      </c>
      <c r="G10681">
        <v>13041</v>
      </c>
      <c r="H10681" s="1" t="s">
        <v>1825</v>
      </c>
      <c r="I10681">
        <v>1</v>
      </c>
      <c r="J10681">
        <f>IF($H10681=0,1,IF($I10681&lt;=1,2,0))</f>
        <v>2</v>
      </c>
      <c r="K10681">
        <v>9</v>
      </c>
      <c r="L10681">
        <f>IF(AND($J10681=0,$K10681=0),0,1)</f>
        <v>1</v>
      </c>
      <c r="M10681" t="s">
        <v>838</v>
      </c>
    </row>
    <row r="10682" spans="1:13" x14ac:dyDescent="0.2">
      <c r="A10682" t="s">
        <v>54</v>
      </c>
      <c r="B10682" t="s">
        <v>6</v>
      </c>
      <c r="C10682" t="s">
        <v>9</v>
      </c>
      <c r="D10682">
        <v>3997</v>
      </c>
      <c r="E10682">
        <v>2020</v>
      </c>
      <c r="F10682">
        <v>18</v>
      </c>
      <c r="G10682">
        <v>13053</v>
      </c>
      <c r="H10682" s="1" t="s">
        <v>1825</v>
      </c>
      <c r="I10682">
        <v>1</v>
      </c>
      <c r="J10682">
        <f>IF($H10682=0,1,IF($I10682&lt;=1,2,0))</f>
        <v>2</v>
      </c>
      <c r="K10682">
        <v>9</v>
      </c>
      <c r="L10682">
        <f>IF(AND($J10682=0,$K10682=0),0,1)</f>
        <v>1</v>
      </c>
      <c r="M10682" t="s">
        <v>837</v>
      </c>
    </row>
    <row r="10683" spans="1:13" x14ac:dyDescent="0.2">
      <c r="A10683" t="s">
        <v>54</v>
      </c>
      <c r="B10683" t="s">
        <v>6</v>
      </c>
      <c r="C10683" t="s">
        <v>9</v>
      </c>
      <c r="D10683">
        <v>3997</v>
      </c>
      <c r="E10683">
        <v>2020</v>
      </c>
      <c r="F10683">
        <v>21</v>
      </c>
      <c r="G10683">
        <v>13139</v>
      </c>
      <c r="H10683" s="1" t="s">
        <v>1825</v>
      </c>
      <c r="I10683">
        <v>1</v>
      </c>
      <c r="J10683">
        <f>IF($H10683=0,1,IF($I10683&lt;=1,2,0))</f>
        <v>2</v>
      </c>
      <c r="K10683">
        <v>9</v>
      </c>
      <c r="L10683">
        <f>IF(AND($J10683=0,$K10683=0),0,1)</f>
        <v>1</v>
      </c>
      <c r="M10683" t="s">
        <v>837</v>
      </c>
    </row>
    <row r="10684" spans="1:13" x14ac:dyDescent="0.2">
      <c r="A10684" t="s">
        <v>54</v>
      </c>
      <c r="B10684" t="s">
        <v>6</v>
      </c>
      <c r="C10684" t="s">
        <v>9</v>
      </c>
      <c r="D10684">
        <v>3997</v>
      </c>
      <c r="E10684">
        <v>2020</v>
      </c>
      <c r="F10684">
        <v>22</v>
      </c>
      <c r="G10684">
        <v>13140</v>
      </c>
      <c r="H10684" s="1" t="s">
        <v>1825</v>
      </c>
      <c r="I10684">
        <v>1</v>
      </c>
      <c r="J10684">
        <f>IF($H10684=0,1,IF($I10684&lt;=1,2,0))</f>
        <v>2</v>
      </c>
      <c r="K10684">
        <v>9</v>
      </c>
      <c r="L10684">
        <f>IF(AND($J10684=0,$K10684=0),0,1)</f>
        <v>1</v>
      </c>
      <c r="M10684" t="s">
        <v>837</v>
      </c>
    </row>
    <row r="10685" spans="1:13" x14ac:dyDescent="0.2">
      <c r="A10685" t="s">
        <v>54</v>
      </c>
      <c r="B10685" t="s">
        <v>6</v>
      </c>
      <c r="C10685" t="s">
        <v>9</v>
      </c>
      <c r="D10685">
        <v>3997</v>
      </c>
      <c r="E10685">
        <v>2020</v>
      </c>
      <c r="F10685">
        <v>1</v>
      </c>
      <c r="G10685">
        <v>13034</v>
      </c>
      <c r="H10685" s="1" t="s">
        <v>1825</v>
      </c>
      <c r="I10685">
        <v>0</v>
      </c>
      <c r="J10685">
        <f>IF($H10685=0,1,IF($I10685&lt;=1,2,0))</f>
        <v>2</v>
      </c>
      <c r="K10685">
        <v>9</v>
      </c>
      <c r="L10685">
        <f>IF(AND($J10685=0,$K10685=0),0,1)</f>
        <v>1</v>
      </c>
      <c r="M10685" t="s">
        <v>837</v>
      </c>
    </row>
    <row r="10686" spans="1:13" x14ac:dyDescent="0.2">
      <c r="A10686" t="s">
        <v>54</v>
      </c>
      <c r="B10686" t="s">
        <v>6</v>
      </c>
      <c r="C10686" t="s">
        <v>9</v>
      </c>
      <c r="D10686">
        <v>3997</v>
      </c>
      <c r="E10686">
        <v>2020</v>
      </c>
      <c r="F10686">
        <v>2</v>
      </c>
      <c r="G10686">
        <v>13035</v>
      </c>
      <c r="H10686" s="1" t="s">
        <v>1825</v>
      </c>
      <c r="I10686">
        <v>0</v>
      </c>
      <c r="J10686">
        <f>IF($H10686=0,1,IF($I10686&lt;=1,2,0))</f>
        <v>2</v>
      </c>
      <c r="K10686">
        <v>9</v>
      </c>
      <c r="L10686">
        <f>IF(AND($J10686=0,$K10686=0),0,1)</f>
        <v>1</v>
      </c>
      <c r="M10686" t="s">
        <v>837</v>
      </c>
    </row>
    <row r="10687" spans="1:13" x14ac:dyDescent="0.2">
      <c r="A10687" t="s">
        <v>54</v>
      </c>
      <c r="B10687" t="s">
        <v>6</v>
      </c>
      <c r="C10687" t="s">
        <v>9</v>
      </c>
      <c r="D10687">
        <v>3997</v>
      </c>
      <c r="E10687">
        <v>2020</v>
      </c>
      <c r="F10687">
        <v>3</v>
      </c>
      <c r="G10687">
        <v>13036</v>
      </c>
      <c r="H10687" s="1" t="s">
        <v>1825</v>
      </c>
      <c r="I10687">
        <v>0</v>
      </c>
      <c r="J10687">
        <f>IF($H10687=0,1,IF($I10687&lt;=1,2,0))</f>
        <v>2</v>
      </c>
      <c r="K10687">
        <v>9</v>
      </c>
      <c r="L10687">
        <f>IF(AND($J10687=0,$K10687=0),0,1)</f>
        <v>1</v>
      </c>
      <c r="M10687" t="s">
        <v>837</v>
      </c>
    </row>
    <row r="10688" spans="1:13" x14ac:dyDescent="0.2">
      <c r="A10688" t="s">
        <v>54</v>
      </c>
      <c r="B10688" t="s">
        <v>6</v>
      </c>
      <c r="C10688" t="s">
        <v>9</v>
      </c>
      <c r="D10688">
        <v>3997</v>
      </c>
      <c r="E10688">
        <v>2020</v>
      </c>
      <c r="F10688">
        <v>4</v>
      </c>
      <c r="G10688">
        <v>13037</v>
      </c>
      <c r="H10688" s="1" t="s">
        <v>1825</v>
      </c>
      <c r="I10688">
        <v>0</v>
      </c>
      <c r="J10688">
        <f>IF($H10688=0,1,IF($I10688&lt;=1,2,0))</f>
        <v>2</v>
      </c>
      <c r="K10688">
        <v>9</v>
      </c>
      <c r="L10688">
        <f>IF(AND($J10688=0,$K10688=0),0,1)</f>
        <v>1</v>
      </c>
      <c r="M10688" t="s">
        <v>838</v>
      </c>
    </row>
    <row r="10689" spans="1:13" x14ac:dyDescent="0.2">
      <c r="A10689" t="s">
        <v>54</v>
      </c>
      <c r="B10689" t="s">
        <v>6</v>
      </c>
      <c r="C10689" t="s">
        <v>9</v>
      </c>
      <c r="D10689">
        <v>3997</v>
      </c>
      <c r="E10689">
        <v>2020</v>
      </c>
      <c r="F10689">
        <v>6</v>
      </c>
      <c r="G10689">
        <v>13039</v>
      </c>
      <c r="H10689" s="1" t="s">
        <v>1825</v>
      </c>
      <c r="I10689">
        <v>0</v>
      </c>
      <c r="J10689">
        <f>IF($H10689=0,1,IF($I10689&lt;=1,2,0))</f>
        <v>2</v>
      </c>
      <c r="K10689">
        <v>9</v>
      </c>
      <c r="L10689">
        <f>IF(AND($J10689=0,$K10689=0),0,1)</f>
        <v>1</v>
      </c>
      <c r="M10689" t="s">
        <v>837</v>
      </c>
    </row>
    <row r="10690" spans="1:13" x14ac:dyDescent="0.2">
      <c r="A10690" t="s">
        <v>54</v>
      </c>
      <c r="B10690" t="s">
        <v>6</v>
      </c>
      <c r="C10690" t="s">
        <v>9</v>
      </c>
      <c r="D10690">
        <v>3997</v>
      </c>
      <c r="E10690">
        <v>2020</v>
      </c>
      <c r="F10690">
        <v>7</v>
      </c>
      <c r="G10690">
        <v>13040</v>
      </c>
      <c r="H10690" s="1" t="s">
        <v>1825</v>
      </c>
      <c r="I10690">
        <v>0</v>
      </c>
      <c r="J10690">
        <f>IF($H10690=0,1,IF($I10690&lt;=1,2,0))</f>
        <v>2</v>
      </c>
      <c r="K10690">
        <v>9</v>
      </c>
      <c r="L10690">
        <f>IF(AND($J10690=0,$K10690=0),0,1)</f>
        <v>1</v>
      </c>
      <c r="M10690" t="s">
        <v>837</v>
      </c>
    </row>
    <row r="10691" spans="1:13" x14ac:dyDescent="0.2">
      <c r="A10691" t="s">
        <v>54</v>
      </c>
      <c r="B10691" t="s">
        <v>6</v>
      </c>
      <c r="C10691" t="s">
        <v>9</v>
      </c>
      <c r="D10691">
        <v>3997</v>
      </c>
      <c r="E10691">
        <v>2020</v>
      </c>
      <c r="F10691">
        <v>9</v>
      </c>
      <c r="G10691">
        <v>13042</v>
      </c>
      <c r="H10691" s="1" t="s">
        <v>1825</v>
      </c>
      <c r="I10691">
        <v>0</v>
      </c>
      <c r="J10691">
        <f>IF($H10691=0,1,IF($I10691&lt;=1,2,0))</f>
        <v>2</v>
      </c>
      <c r="K10691">
        <v>9</v>
      </c>
      <c r="L10691">
        <f>IF(AND($J10691=0,$K10691=0),0,1)</f>
        <v>1</v>
      </c>
      <c r="M10691" t="s">
        <v>837</v>
      </c>
    </row>
    <row r="10692" spans="1:13" x14ac:dyDescent="0.2">
      <c r="A10692" t="s">
        <v>54</v>
      </c>
      <c r="B10692" t="s">
        <v>6</v>
      </c>
      <c r="C10692" t="s">
        <v>9</v>
      </c>
      <c r="D10692">
        <v>3997</v>
      </c>
      <c r="E10692">
        <v>2020</v>
      </c>
      <c r="F10692">
        <v>10</v>
      </c>
      <c r="G10692">
        <v>13043</v>
      </c>
      <c r="H10692" s="1" t="s">
        <v>1825</v>
      </c>
      <c r="I10692">
        <v>0</v>
      </c>
      <c r="J10692">
        <f>IF($H10692=0,1,IF($I10692&lt;=1,2,0))</f>
        <v>2</v>
      </c>
      <c r="K10692">
        <v>9</v>
      </c>
      <c r="L10692">
        <f>IF(AND($J10692=0,$K10692=0),0,1)</f>
        <v>1</v>
      </c>
      <c r="M10692" t="s">
        <v>837</v>
      </c>
    </row>
    <row r="10693" spans="1:13" x14ac:dyDescent="0.2">
      <c r="A10693" t="s">
        <v>54</v>
      </c>
      <c r="B10693" t="s">
        <v>6</v>
      </c>
      <c r="C10693" t="s">
        <v>9</v>
      </c>
      <c r="D10693">
        <v>3997</v>
      </c>
      <c r="E10693">
        <v>2020</v>
      </c>
      <c r="F10693">
        <v>11</v>
      </c>
      <c r="G10693">
        <v>13044</v>
      </c>
      <c r="H10693" s="1" t="s">
        <v>1825</v>
      </c>
      <c r="I10693">
        <v>0</v>
      </c>
      <c r="J10693">
        <f>IF($H10693=0,1,IF($I10693&lt;=1,2,0))</f>
        <v>2</v>
      </c>
      <c r="K10693">
        <v>9</v>
      </c>
      <c r="L10693">
        <f>IF(AND($J10693=0,$K10693=0),0,1)</f>
        <v>1</v>
      </c>
      <c r="M10693" t="s">
        <v>837</v>
      </c>
    </row>
    <row r="10694" spans="1:13" x14ac:dyDescent="0.2">
      <c r="A10694" t="s">
        <v>54</v>
      </c>
      <c r="B10694" t="s">
        <v>6</v>
      </c>
      <c r="C10694" t="s">
        <v>9</v>
      </c>
      <c r="D10694">
        <v>3997</v>
      </c>
      <c r="E10694">
        <v>2020</v>
      </c>
      <c r="F10694">
        <v>12</v>
      </c>
      <c r="G10694">
        <v>13045</v>
      </c>
      <c r="H10694" s="1" t="s">
        <v>1825</v>
      </c>
      <c r="I10694">
        <v>0</v>
      </c>
      <c r="J10694">
        <f>IF($H10694=0,1,IF($I10694&lt;=1,2,0))</f>
        <v>2</v>
      </c>
      <c r="K10694">
        <v>9</v>
      </c>
      <c r="L10694">
        <f>IF(AND($J10694=0,$K10694=0),0,1)</f>
        <v>1</v>
      </c>
      <c r="M10694" t="s">
        <v>837</v>
      </c>
    </row>
    <row r="10695" spans="1:13" x14ac:dyDescent="0.2">
      <c r="A10695" t="s">
        <v>54</v>
      </c>
      <c r="B10695" t="s">
        <v>6</v>
      </c>
      <c r="C10695" t="s">
        <v>9</v>
      </c>
      <c r="D10695">
        <v>3997</v>
      </c>
      <c r="E10695">
        <v>2020</v>
      </c>
      <c r="F10695">
        <v>13</v>
      </c>
      <c r="G10695">
        <v>13046</v>
      </c>
      <c r="H10695" s="1" t="s">
        <v>1825</v>
      </c>
      <c r="I10695">
        <v>0</v>
      </c>
      <c r="J10695">
        <f>IF($H10695=0,1,IF($I10695&lt;=1,2,0))</f>
        <v>2</v>
      </c>
      <c r="K10695">
        <v>9</v>
      </c>
      <c r="L10695">
        <f>IF(AND($J10695=0,$K10695=0),0,1)</f>
        <v>1</v>
      </c>
      <c r="M10695" t="s">
        <v>837</v>
      </c>
    </row>
    <row r="10696" spans="1:13" x14ac:dyDescent="0.2">
      <c r="A10696" t="s">
        <v>54</v>
      </c>
      <c r="B10696" t="s">
        <v>6</v>
      </c>
      <c r="C10696" t="s">
        <v>9</v>
      </c>
      <c r="D10696">
        <v>3997</v>
      </c>
      <c r="E10696">
        <v>2020</v>
      </c>
      <c r="F10696">
        <v>14</v>
      </c>
      <c r="G10696">
        <v>13047</v>
      </c>
      <c r="H10696" s="1" t="s">
        <v>1825</v>
      </c>
      <c r="I10696">
        <v>0</v>
      </c>
      <c r="J10696">
        <f>IF($H10696=0,1,IF($I10696&lt;=1,2,0))</f>
        <v>2</v>
      </c>
      <c r="K10696">
        <v>9</v>
      </c>
      <c r="L10696">
        <f>IF(AND($J10696=0,$K10696=0),0,1)</f>
        <v>1</v>
      </c>
      <c r="M10696" t="s">
        <v>837</v>
      </c>
    </row>
    <row r="10697" spans="1:13" x14ac:dyDescent="0.2">
      <c r="A10697" t="s">
        <v>54</v>
      </c>
      <c r="B10697" t="s">
        <v>6</v>
      </c>
      <c r="C10697" t="s">
        <v>9</v>
      </c>
      <c r="D10697">
        <v>3997</v>
      </c>
      <c r="E10697">
        <v>2020</v>
      </c>
      <c r="F10697">
        <v>15</v>
      </c>
      <c r="G10697">
        <v>13048</v>
      </c>
      <c r="H10697" s="1" t="s">
        <v>1825</v>
      </c>
      <c r="I10697">
        <v>0</v>
      </c>
      <c r="J10697">
        <f>IF($H10697=0,1,IF($I10697&lt;=1,2,0))</f>
        <v>2</v>
      </c>
      <c r="K10697">
        <v>9</v>
      </c>
      <c r="L10697">
        <f>IF(AND($J10697=0,$K10697=0),0,1)</f>
        <v>1</v>
      </c>
      <c r="M10697" t="s">
        <v>837</v>
      </c>
    </row>
    <row r="10698" spans="1:13" x14ac:dyDescent="0.2">
      <c r="A10698" t="s">
        <v>54</v>
      </c>
      <c r="B10698" t="s">
        <v>6</v>
      </c>
      <c r="C10698" t="s">
        <v>9</v>
      </c>
      <c r="D10698">
        <v>3997</v>
      </c>
      <c r="E10698">
        <v>2020</v>
      </c>
      <c r="F10698">
        <v>16</v>
      </c>
      <c r="G10698">
        <v>13050</v>
      </c>
      <c r="H10698" s="1" t="s">
        <v>1825</v>
      </c>
      <c r="I10698">
        <v>0</v>
      </c>
      <c r="J10698">
        <f>IF($H10698=0,1,IF($I10698&lt;=1,2,0))</f>
        <v>2</v>
      </c>
      <c r="K10698">
        <v>9</v>
      </c>
      <c r="L10698">
        <f>IF(AND($J10698=0,$K10698=0),0,1)</f>
        <v>1</v>
      </c>
      <c r="M10698" t="s">
        <v>837</v>
      </c>
    </row>
    <row r="10699" spans="1:13" x14ac:dyDescent="0.2">
      <c r="A10699" t="s">
        <v>54</v>
      </c>
      <c r="B10699" t="s">
        <v>6</v>
      </c>
      <c r="C10699" t="s">
        <v>9</v>
      </c>
      <c r="D10699">
        <v>3997</v>
      </c>
      <c r="E10699">
        <v>2020</v>
      </c>
      <c r="F10699">
        <v>17</v>
      </c>
      <c r="G10699">
        <v>13052</v>
      </c>
      <c r="H10699" s="1" t="s">
        <v>1825</v>
      </c>
      <c r="I10699">
        <v>0</v>
      </c>
      <c r="J10699">
        <f>IF($H10699=0,1,IF($I10699&lt;=1,2,0))</f>
        <v>2</v>
      </c>
      <c r="K10699">
        <v>9</v>
      </c>
      <c r="L10699">
        <f>IF(AND($J10699=0,$K10699=0),0,1)</f>
        <v>1</v>
      </c>
      <c r="M10699" t="s">
        <v>837</v>
      </c>
    </row>
    <row r="10700" spans="1:13" x14ac:dyDescent="0.2">
      <c r="A10700" t="s">
        <v>54</v>
      </c>
      <c r="B10700" t="s">
        <v>6</v>
      </c>
      <c r="C10700" t="s">
        <v>9</v>
      </c>
      <c r="D10700">
        <v>3997</v>
      </c>
      <c r="E10700">
        <v>2020</v>
      </c>
      <c r="F10700">
        <v>19</v>
      </c>
      <c r="G10700">
        <v>13136</v>
      </c>
      <c r="H10700" s="1" t="s">
        <v>1825</v>
      </c>
      <c r="I10700">
        <v>0</v>
      </c>
      <c r="J10700">
        <f>IF($H10700=0,1,IF($I10700&lt;=1,2,0))</f>
        <v>2</v>
      </c>
      <c r="K10700">
        <v>9</v>
      </c>
      <c r="L10700">
        <f>IF(AND($J10700=0,$K10700=0),0,1)</f>
        <v>1</v>
      </c>
      <c r="M10700" t="s">
        <v>837</v>
      </c>
    </row>
    <row r="10701" spans="1:13" x14ac:dyDescent="0.2">
      <c r="A10701" t="s">
        <v>54</v>
      </c>
      <c r="B10701" t="s">
        <v>6</v>
      </c>
      <c r="C10701" t="s">
        <v>9</v>
      </c>
      <c r="D10701">
        <v>3997</v>
      </c>
      <c r="E10701">
        <v>2020</v>
      </c>
      <c r="F10701">
        <v>20</v>
      </c>
      <c r="G10701">
        <v>13137</v>
      </c>
      <c r="H10701" s="1" t="s">
        <v>1825</v>
      </c>
      <c r="I10701">
        <v>0</v>
      </c>
      <c r="J10701">
        <f>IF($H10701=0,1,IF($I10701&lt;=1,2,0))</f>
        <v>2</v>
      </c>
      <c r="K10701">
        <v>9</v>
      </c>
      <c r="L10701">
        <f>IF(AND($J10701=0,$K10701=0),0,1)</f>
        <v>1</v>
      </c>
      <c r="M10701" t="s">
        <v>837</v>
      </c>
    </row>
    <row r="10702" spans="1:13" x14ac:dyDescent="0.2">
      <c r="A10702" t="s">
        <v>54</v>
      </c>
      <c r="B10702" t="s">
        <v>6</v>
      </c>
      <c r="C10702" t="s">
        <v>9</v>
      </c>
      <c r="D10702">
        <v>3997</v>
      </c>
      <c r="E10702">
        <v>2020</v>
      </c>
      <c r="F10702">
        <v>23</v>
      </c>
      <c r="G10702">
        <v>13143</v>
      </c>
      <c r="H10702" s="1" t="s">
        <v>1825</v>
      </c>
      <c r="I10702">
        <v>0</v>
      </c>
      <c r="J10702">
        <f>IF($H10702=0,1,IF($I10702&lt;=1,2,0))</f>
        <v>2</v>
      </c>
      <c r="K10702">
        <v>9</v>
      </c>
      <c r="L10702">
        <f>IF(AND($J10702=0,$K10702=0),0,1)</f>
        <v>1</v>
      </c>
      <c r="M10702" t="s">
        <v>837</v>
      </c>
    </row>
    <row r="10703" spans="1:13" x14ac:dyDescent="0.2">
      <c r="A10703" t="s">
        <v>54</v>
      </c>
      <c r="B10703" t="s">
        <v>6</v>
      </c>
      <c r="C10703" t="s">
        <v>9</v>
      </c>
      <c r="D10703">
        <v>3997</v>
      </c>
      <c r="E10703">
        <v>2020</v>
      </c>
      <c r="F10703">
        <v>24</v>
      </c>
      <c r="G10703">
        <v>13144</v>
      </c>
      <c r="H10703" s="1" t="s">
        <v>1825</v>
      </c>
      <c r="I10703">
        <v>0</v>
      </c>
      <c r="J10703">
        <f>IF($H10703=0,1,IF($I10703&lt;=1,2,0))</f>
        <v>2</v>
      </c>
      <c r="K10703">
        <v>9</v>
      </c>
      <c r="L10703">
        <f>IF(AND($J10703=0,$K10703=0),0,1)</f>
        <v>1</v>
      </c>
      <c r="M10703" t="s">
        <v>837</v>
      </c>
    </row>
    <row r="10704" spans="1:13" x14ac:dyDescent="0.2">
      <c r="A10704" t="s">
        <v>54</v>
      </c>
      <c r="B10704" t="s">
        <v>6</v>
      </c>
      <c r="C10704" t="s">
        <v>9</v>
      </c>
      <c r="D10704">
        <v>3997</v>
      </c>
      <c r="E10704">
        <v>2020</v>
      </c>
      <c r="F10704">
        <v>25</v>
      </c>
      <c r="G10704">
        <v>13145</v>
      </c>
      <c r="H10704" s="1" t="s">
        <v>1825</v>
      </c>
      <c r="I10704">
        <v>0</v>
      </c>
      <c r="J10704">
        <f>IF($H10704=0,1,IF($I10704&lt;=1,2,0))</f>
        <v>2</v>
      </c>
      <c r="K10704">
        <v>9</v>
      </c>
      <c r="L10704">
        <f>IF(AND($J10704=0,$K10704=0),0,1)</f>
        <v>1</v>
      </c>
      <c r="M10704" t="s">
        <v>837</v>
      </c>
    </row>
    <row r="10705" spans="1:13" x14ac:dyDescent="0.2">
      <c r="A10705" t="s">
        <v>54</v>
      </c>
      <c r="B10705" t="s">
        <v>6</v>
      </c>
      <c r="C10705" t="s">
        <v>9</v>
      </c>
      <c r="D10705">
        <v>3997</v>
      </c>
      <c r="E10705">
        <v>2020</v>
      </c>
      <c r="F10705">
        <v>26</v>
      </c>
      <c r="G10705">
        <v>13146</v>
      </c>
      <c r="H10705" s="1" t="s">
        <v>1825</v>
      </c>
      <c r="I10705">
        <v>0</v>
      </c>
      <c r="J10705">
        <f>IF($H10705=0,1,IF($I10705&lt;=1,2,0))</f>
        <v>2</v>
      </c>
      <c r="K10705">
        <v>9</v>
      </c>
      <c r="L10705">
        <f>IF(AND($J10705=0,$K10705=0),0,1)</f>
        <v>1</v>
      </c>
      <c r="M10705" t="s">
        <v>837</v>
      </c>
    </row>
    <row r="10706" spans="1:13" x14ac:dyDescent="0.2">
      <c r="A10706" t="s">
        <v>54</v>
      </c>
      <c r="B10706" t="s">
        <v>6</v>
      </c>
      <c r="C10706" t="s">
        <v>9</v>
      </c>
      <c r="D10706">
        <v>3997</v>
      </c>
      <c r="E10706">
        <v>2020</v>
      </c>
      <c r="F10706">
        <v>27</v>
      </c>
      <c r="G10706">
        <v>13147</v>
      </c>
      <c r="H10706" s="1" t="s">
        <v>1825</v>
      </c>
      <c r="I10706">
        <v>0</v>
      </c>
      <c r="J10706">
        <f>IF($H10706=0,1,IF($I10706&lt;=1,2,0))</f>
        <v>2</v>
      </c>
      <c r="K10706">
        <v>9</v>
      </c>
      <c r="L10706">
        <f>IF(AND($J10706=0,$K10706=0),0,1)</f>
        <v>1</v>
      </c>
      <c r="M10706" t="s">
        <v>837</v>
      </c>
    </row>
    <row r="10707" spans="1:13" x14ac:dyDescent="0.2">
      <c r="A10707" t="s">
        <v>54</v>
      </c>
      <c r="B10707" t="s">
        <v>6</v>
      </c>
      <c r="C10707" t="s">
        <v>9</v>
      </c>
      <c r="D10707">
        <v>3997</v>
      </c>
      <c r="E10707">
        <v>2020</v>
      </c>
      <c r="F10707">
        <v>28</v>
      </c>
      <c r="G10707">
        <v>13472</v>
      </c>
      <c r="H10707" s="1" t="s">
        <v>1825</v>
      </c>
      <c r="I10707">
        <v>0</v>
      </c>
      <c r="J10707">
        <f>IF($H10707=0,1,IF($I10707&lt;=1,2,0))</f>
        <v>2</v>
      </c>
      <c r="K10707">
        <v>9</v>
      </c>
      <c r="L10707">
        <f>IF(AND($J10707=0,$K10707=0),0,1)</f>
        <v>1</v>
      </c>
      <c r="M10707" t="s">
        <v>837</v>
      </c>
    </row>
    <row r="10708" spans="1:13" x14ac:dyDescent="0.2">
      <c r="A10708" t="s">
        <v>54</v>
      </c>
      <c r="B10708" t="s">
        <v>6</v>
      </c>
      <c r="C10708" t="s">
        <v>9</v>
      </c>
      <c r="D10708">
        <v>3997</v>
      </c>
      <c r="E10708">
        <v>2020</v>
      </c>
      <c r="F10708">
        <v>29</v>
      </c>
      <c r="G10708">
        <v>13474</v>
      </c>
      <c r="H10708" s="1" t="s">
        <v>1825</v>
      </c>
      <c r="I10708">
        <v>0</v>
      </c>
      <c r="J10708">
        <f>IF($H10708=0,1,IF($I10708&lt;=1,2,0))</f>
        <v>2</v>
      </c>
      <c r="K10708">
        <v>9</v>
      </c>
      <c r="L10708">
        <f>IF(AND($J10708=0,$K10708=0),0,1)</f>
        <v>1</v>
      </c>
      <c r="M10708" t="s">
        <v>837</v>
      </c>
    </row>
    <row r="10709" spans="1:13" x14ac:dyDescent="0.2">
      <c r="A10709" t="s">
        <v>54</v>
      </c>
      <c r="B10709" t="s">
        <v>6</v>
      </c>
      <c r="C10709" t="s">
        <v>9</v>
      </c>
      <c r="D10709">
        <v>3997</v>
      </c>
      <c r="E10709">
        <v>2020</v>
      </c>
      <c r="F10709">
        <v>30</v>
      </c>
      <c r="G10709">
        <v>13476</v>
      </c>
      <c r="H10709" s="1" t="s">
        <v>1825</v>
      </c>
      <c r="I10709">
        <v>0</v>
      </c>
      <c r="J10709">
        <f>IF($H10709=0,1,IF($I10709&lt;=1,2,0))</f>
        <v>2</v>
      </c>
      <c r="K10709">
        <v>9</v>
      </c>
      <c r="L10709">
        <f>IF(AND($J10709=0,$K10709=0),0,1)</f>
        <v>1</v>
      </c>
      <c r="M10709" t="s">
        <v>837</v>
      </c>
    </row>
    <row r="10710" spans="1:13" x14ac:dyDescent="0.2">
      <c r="A10710" t="s">
        <v>54</v>
      </c>
      <c r="B10710" t="s">
        <v>6</v>
      </c>
      <c r="C10710" t="s">
        <v>9</v>
      </c>
      <c r="D10710">
        <v>3997</v>
      </c>
      <c r="E10710">
        <v>2020</v>
      </c>
      <c r="F10710">
        <v>31</v>
      </c>
      <c r="G10710">
        <v>24858</v>
      </c>
      <c r="H10710" s="1" t="s">
        <v>1825</v>
      </c>
      <c r="I10710">
        <v>0</v>
      </c>
      <c r="J10710">
        <f>IF($H10710=0,1,IF($I10710&lt;=1,2,0))</f>
        <v>2</v>
      </c>
      <c r="K10710">
        <v>9</v>
      </c>
      <c r="L10710">
        <f>IF(AND($J10710=0,$K10710=0),0,1)</f>
        <v>1</v>
      </c>
    </row>
    <row r="10711" spans="1:13" x14ac:dyDescent="0.2">
      <c r="A10711" t="s">
        <v>54</v>
      </c>
      <c r="B10711" t="s">
        <v>6</v>
      </c>
      <c r="C10711" t="s">
        <v>9</v>
      </c>
      <c r="D10711">
        <v>3997</v>
      </c>
      <c r="E10711">
        <v>2020</v>
      </c>
      <c r="F10711">
        <v>32</v>
      </c>
      <c r="G10711">
        <v>24859</v>
      </c>
      <c r="H10711" s="1" t="s">
        <v>1825</v>
      </c>
      <c r="I10711">
        <v>0</v>
      </c>
      <c r="J10711">
        <f>IF($H10711=0,1,IF($I10711&lt;=1,2,0))</f>
        <v>2</v>
      </c>
      <c r="K10711">
        <v>9</v>
      </c>
      <c r="L10711">
        <f>IF(AND($J10711=0,$K10711=0),0,1)</f>
        <v>1</v>
      </c>
    </row>
    <row r="10712" spans="1:13" x14ac:dyDescent="0.2">
      <c r="A10712" t="s">
        <v>54</v>
      </c>
      <c r="B10712" t="s">
        <v>6</v>
      </c>
      <c r="C10712" t="s">
        <v>2</v>
      </c>
      <c r="D10712">
        <v>3999</v>
      </c>
      <c r="E10712">
        <v>2020</v>
      </c>
      <c r="F10712">
        <v>1</v>
      </c>
      <c r="G10712">
        <v>978</v>
      </c>
      <c r="H10712" s="1" t="s">
        <v>1824</v>
      </c>
      <c r="I10712">
        <v>1</v>
      </c>
      <c r="J10712">
        <f>IF($H10712=0,1,IF($I10712&lt;=1,2,0))</f>
        <v>2</v>
      </c>
      <c r="K10712">
        <v>7</v>
      </c>
      <c r="L10712">
        <f>IF(AND($J10712=0,$K10712=0),0,1)</f>
        <v>1</v>
      </c>
    </row>
    <row r="10713" spans="1:13" x14ac:dyDescent="0.2">
      <c r="A10713" t="s">
        <v>54</v>
      </c>
      <c r="B10713" t="s">
        <v>6</v>
      </c>
      <c r="C10713" t="s">
        <v>11</v>
      </c>
      <c r="D10713">
        <v>6601</v>
      </c>
      <c r="E10713">
        <v>2020</v>
      </c>
      <c r="F10713">
        <v>1</v>
      </c>
      <c r="G10713">
        <v>21471</v>
      </c>
      <c r="H10713" s="1">
        <v>3</v>
      </c>
      <c r="I10713">
        <v>7</v>
      </c>
      <c r="J10713">
        <f>IF($H10713=0,1,IF($I10713&lt;=1,2,0))</f>
        <v>0</v>
      </c>
      <c r="K10713">
        <v>4</v>
      </c>
      <c r="L10713">
        <f>IF(AND($J10713=0,$K10713=0),0,1)</f>
        <v>1</v>
      </c>
      <c r="M10713" t="s">
        <v>847</v>
      </c>
    </row>
    <row r="10714" spans="1:13" x14ac:dyDescent="0.2">
      <c r="A10714" t="s">
        <v>54</v>
      </c>
      <c r="B10714" t="s">
        <v>6</v>
      </c>
      <c r="C10714" t="s">
        <v>11</v>
      </c>
      <c r="D10714">
        <v>9101</v>
      </c>
      <c r="E10714">
        <v>2020</v>
      </c>
      <c r="F10714">
        <v>9</v>
      </c>
      <c r="G10714">
        <v>13025</v>
      </c>
      <c r="H10714" s="1" t="s">
        <v>1826</v>
      </c>
      <c r="I10714">
        <v>5</v>
      </c>
      <c r="J10714">
        <f>IF($H10714=0,1,IF($I10714&lt;=1,2,0))</f>
        <v>0</v>
      </c>
      <c r="K10714">
        <v>5</v>
      </c>
      <c r="L10714">
        <f>IF(AND($J10714=0,$K10714=0),0,1)</f>
        <v>1</v>
      </c>
      <c r="M10714" t="s">
        <v>837</v>
      </c>
    </row>
    <row r="10715" spans="1:13" x14ac:dyDescent="0.2">
      <c r="A10715" t="s">
        <v>54</v>
      </c>
      <c r="B10715" t="s">
        <v>6</v>
      </c>
      <c r="C10715" t="s">
        <v>11</v>
      </c>
      <c r="D10715">
        <v>9101</v>
      </c>
      <c r="E10715">
        <v>2020</v>
      </c>
      <c r="F10715">
        <v>5</v>
      </c>
      <c r="G10715">
        <v>13021</v>
      </c>
      <c r="H10715" s="1" t="s">
        <v>1826</v>
      </c>
      <c r="I10715">
        <v>2</v>
      </c>
      <c r="J10715">
        <f>IF($H10715=0,1,IF($I10715&lt;=1,2,0))</f>
        <v>0</v>
      </c>
      <c r="K10715">
        <v>5</v>
      </c>
      <c r="L10715">
        <f>IF(AND($J10715=0,$K10715=0),0,1)</f>
        <v>1</v>
      </c>
      <c r="M10715" t="s">
        <v>850</v>
      </c>
    </row>
    <row r="10716" spans="1:13" x14ac:dyDescent="0.2">
      <c r="A10716" t="s">
        <v>54</v>
      </c>
      <c r="B10716" t="s">
        <v>6</v>
      </c>
      <c r="C10716" t="s">
        <v>11</v>
      </c>
      <c r="D10716">
        <v>9101</v>
      </c>
      <c r="E10716">
        <v>2020</v>
      </c>
      <c r="F10716">
        <v>3</v>
      </c>
      <c r="G10716">
        <v>13019</v>
      </c>
      <c r="H10716" s="1" t="s">
        <v>1826</v>
      </c>
      <c r="I10716">
        <v>1</v>
      </c>
      <c r="J10716">
        <f>IF($H10716=0,1,IF($I10716&lt;=1,2,0))</f>
        <v>2</v>
      </c>
      <c r="K10716">
        <v>5</v>
      </c>
      <c r="L10716">
        <f>IF(AND($J10716=0,$K10716=0),0,1)</f>
        <v>1</v>
      </c>
      <c r="M10716" t="s">
        <v>850</v>
      </c>
    </row>
    <row r="10717" spans="1:13" x14ac:dyDescent="0.2">
      <c r="A10717" t="s">
        <v>54</v>
      </c>
      <c r="B10717" t="s">
        <v>6</v>
      </c>
      <c r="C10717" t="s">
        <v>11</v>
      </c>
      <c r="D10717">
        <v>9101</v>
      </c>
      <c r="E10717">
        <v>2020</v>
      </c>
      <c r="F10717">
        <v>8</v>
      </c>
      <c r="G10717">
        <v>13024</v>
      </c>
      <c r="H10717" s="1" t="s">
        <v>1826</v>
      </c>
      <c r="I10717">
        <v>1</v>
      </c>
      <c r="J10717">
        <f>IF($H10717=0,1,IF($I10717&lt;=1,2,0))</f>
        <v>2</v>
      </c>
      <c r="K10717">
        <v>5</v>
      </c>
      <c r="L10717">
        <f>IF(AND($J10717=0,$K10717=0),0,1)</f>
        <v>1</v>
      </c>
      <c r="M10717" t="s">
        <v>837</v>
      </c>
    </row>
    <row r="10718" spans="1:13" x14ac:dyDescent="0.2">
      <c r="A10718" t="s">
        <v>54</v>
      </c>
      <c r="B10718" t="s">
        <v>6</v>
      </c>
      <c r="C10718" t="s">
        <v>11</v>
      </c>
      <c r="D10718">
        <v>9101</v>
      </c>
      <c r="E10718">
        <v>2020</v>
      </c>
      <c r="F10718">
        <v>14</v>
      </c>
      <c r="G10718">
        <v>13029</v>
      </c>
      <c r="H10718" s="1" t="s">
        <v>1826</v>
      </c>
      <c r="I10718">
        <v>1</v>
      </c>
      <c r="J10718">
        <f>IF($H10718=0,1,IF($I10718&lt;=1,2,0))</f>
        <v>2</v>
      </c>
      <c r="K10718">
        <v>5</v>
      </c>
      <c r="L10718">
        <f>IF(AND($J10718=0,$K10718=0),0,1)</f>
        <v>1</v>
      </c>
      <c r="M10718" t="s">
        <v>837</v>
      </c>
    </row>
    <row r="10719" spans="1:13" x14ac:dyDescent="0.2">
      <c r="A10719" t="s">
        <v>54</v>
      </c>
      <c r="B10719" t="s">
        <v>6</v>
      </c>
      <c r="C10719" t="s">
        <v>11</v>
      </c>
      <c r="D10719">
        <v>9101</v>
      </c>
      <c r="E10719">
        <v>2020</v>
      </c>
      <c r="F10719">
        <v>1</v>
      </c>
      <c r="G10719">
        <v>11308</v>
      </c>
      <c r="H10719" s="1" t="s">
        <v>1826</v>
      </c>
      <c r="I10719">
        <v>0</v>
      </c>
      <c r="J10719">
        <f>IF($H10719=0,1,IF($I10719&lt;=1,2,0))</f>
        <v>2</v>
      </c>
      <c r="K10719">
        <v>5</v>
      </c>
      <c r="L10719">
        <f>IF(AND($J10719=0,$K10719=0),0,1)</f>
        <v>1</v>
      </c>
      <c r="M10719" t="s">
        <v>849</v>
      </c>
    </row>
    <row r="10720" spans="1:13" x14ac:dyDescent="0.2">
      <c r="A10720" t="s">
        <v>54</v>
      </c>
      <c r="B10720" t="s">
        <v>6</v>
      </c>
      <c r="C10720" t="s">
        <v>11</v>
      </c>
      <c r="D10720">
        <v>9101</v>
      </c>
      <c r="E10720">
        <v>2020</v>
      </c>
      <c r="F10720">
        <v>2</v>
      </c>
      <c r="G10720">
        <v>13018</v>
      </c>
      <c r="H10720" s="1" t="s">
        <v>1826</v>
      </c>
      <c r="I10720">
        <v>0</v>
      </c>
      <c r="J10720">
        <f>IF($H10720=0,1,IF($I10720&lt;=1,2,0))</f>
        <v>2</v>
      </c>
      <c r="K10720">
        <v>5</v>
      </c>
      <c r="L10720">
        <f>IF(AND($J10720=0,$K10720=0),0,1)</f>
        <v>1</v>
      </c>
      <c r="M10720" t="s">
        <v>849</v>
      </c>
    </row>
    <row r="10721" spans="1:13" x14ac:dyDescent="0.2">
      <c r="A10721" t="s">
        <v>54</v>
      </c>
      <c r="B10721" t="s">
        <v>6</v>
      </c>
      <c r="C10721" t="s">
        <v>11</v>
      </c>
      <c r="D10721">
        <v>9101</v>
      </c>
      <c r="E10721">
        <v>2020</v>
      </c>
      <c r="F10721">
        <v>4</v>
      </c>
      <c r="G10721">
        <v>13020</v>
      </c>
      <c r="H10721" s="1" t="s">
        <v>1826</v>
      </c>
      <c r="I10721">
        <v>0</v>
      </c>
      <c r="J10721">
        <f>IF($H10721=0,1,IF($I10721&lt;=1,2,0))</f>
        <v>2</v>
      </c>
      <c r="K10721">
        <v>5</v>
      </c>
      <c r="L10721">
        <f>IF(AND($J10721=0,$K10721=0),0,1)</f>
        <v>1</v>
      </c>
      <c r="M10721" t="s">
        <v>850</v>
      </c>
    </row>
    <row r="10722" spans="1:13" x14ac:dyDescent="0.2">
      <c r="A10722" t="s">
        <v>54</v>
      </c>
      <c r="B10722" t="s">
        <v>6</v>
      </c>
      <c r="C10722" t="s">
        <v>11</v>
      </c>
      <c r="D10722">
        <v>9101</v>
      </c>
      <c r="E10722">
        <v>2020</v>
      </c>
      <c r="F10722">
        <v>6</v>
      </c>
      <c r="G10722">
        <v>13022</v>
      </c>
      <c r="H10722" s="1" t="s">
        <v>1826</v>
      </c>
      <c r="I10722">
        <v>0</v>
      </c>
      <c r="J10722">
        <f>IF($H10722=0,1,IF($I10722&lt;=1,2,0))</f>
        <v>2</v>
      </c>
      <c r="K10722">
        <v>5</v>
      </c>
      <c r="L10722">
        <f>IF(AND($J10722=0,$K10722=0),0,1)</f>
        <v>1</v>
      </c>
      <c r="M10722" t="s">
        <v>850</v>
      </c>
    </row>
    <row r="10723" spans="1:13" x14ac:dyDescent="0.2">
      <c r="A10723" t="s">
        <v>54</v>
      </c>
      <c r="B10723" t="s">
        <v>6</v>
      </c>
      <c r="C10723" t="s">
        <v>11</v>
      </c>
      <c r="D10723">
        <v>9101</v>
      </c>
      <c r="E10723">
        <v>2020</v>
      </c>
      <c r="F10723">
        <v>7</v>
      </c>
      <c r="G10723">
        <v>13023</v>
      </c>
      <c r="H10723" s="1" t="s">
        <v>1826</v>
      </c>
      <c r="I10723">
        <v>0</v>
      </c>
      <c r="J10723">
        <f>IF($H10723=0,1,IF($I10723&lt;=1,2,0))</f>
        <v>2</v>
      </c>
      <c r="K10723">
        <v>5</v>
      </c>
      <c r="L10723">
        <f>IF(AND($J10723=0,$K10723=0),0,1)</f>
        <v>1</v>
      </c>
      <c r="M10723" t="s">
        <v>835</v>
      </c>
    </row>
    <row r="10724" spans="1:13" x14ac:dyDescent="0.2">
      <c r="A10724" t="s">
        <v>54</v>
      </c>
      <c r="B10724" t="s">
        <v>6</v>
      </c>
      <c r="C10724" t="s">
        <v>11</v>
      </c>
      <c r="D10724">
        <v>9101</v>
      </c>
      <c r="E10724">
        <v>2020</v>
      </c>
      <c r="F10724">
        <v>10</v>
      </c>
      <c r="G10724">
        <v>13026</v>
      </c>
      <c r="H10724" s="1" t="s">
        <v>1826</v>
      </c>
      <c r="I10724">
        <v>0</v>
      </c>
      <c r="J10724">
        <f>IF($H10724=0,1,IF($I10724&lt;=1,2,0))</f>
        <v>2</v>
      </c>
      <c r="K10724">
        <v>5</v>
      </c>
      <c r="L10724">
        <f>IF(AND($J10724=0,$K10724=0),0,1)</f>
        <v>1</v>
      </c>
      <c r="M10724" t="s">
        <v>837</v>
      </c>
    </row>
    <row r="10725" spans="1:13" x14ac:dyDescent="0.2">
      <c r="A10725" t="s">
        <v>54</v>
      </c>
      <c r="B10725" t="s">
        <v>6</v>
      </c>
      <c r="C10725" t="s">
        <v>11</v>
      </c>
      <c r="D10725">
        <v>9101</v>
      </c>
      <c r="E10725">
        <v>2020</v>
      </c>
      <c r="F10725">
        <v>12</v>
      </c>
      <c r="G10725">
        <v>13027</v>
      </c>
      <c r="H10725" s="1" t="s">
        <v>1826</v>
      </c>
      <c r="I10725">
        <v>0</v>
      </c>
      <c r="J10725">
        <f>IF($H10725=0,1,IF($I10725&lt;=1,2,0))</f>
        <v>2</v>
      </c>
      <c r="K10725">
        <v>5</v>
      </c>
      <c r="L10725">
        <f>IF(AND($J10725=0,$K10725=0),0,1)</f>
        <v>1</v>
      </c>
      <c r="M10725" t="s">
        <v>837</v>
      </c>
    </row>
    <row r="10726" spans="1:13" x14ac:dyDescent="0.2">
      <c r="A10726" t="s">
        <v>54</v>
      </c>
      <c r="B10726" t="s">
        <v>6</v>
      </c>
      <c r="C10726" t="s">
        <v>11</v>
      </c>
      <c r="D10726">
        <v>9101</v>
      </c>
      <c r="E10726">
        <v>2020</v>
      </c>
      <c r="F10726">
        <v>13</v>
      </c>
      <c r="G10726">
        <v>13028</v>
      </c>
      <c r="H10726" s="1" t="s">
        <v>1826</v>
      </c>
      <c r="I10726">
        <v>0</v>
      </c>
      <c r="J10726">
        <f>IF($H10726=0,1,IF($I10726&lt;=1,2,0))</f>
        <v>2</v>
      </c>
      <c r="K10726">
        <v>5</v>
      </c>
      <c r="L10726">
        <f>IF(AND($J10726=0,$K10726=0),0,1)</f>
        <v>1</v>
      </c>
      <c r="M10726" t="s">
        <v>837</v>
      </c>
    </row>
    <row r="10727" spans="1:13" x14ac:dyDescent="0.2">
      <c r="A10727" t="s">
        <v>54</v>
      </c>
      <c r="B10727" t="s">
        <v>6</v>
      </c>
      <c r="C10727" t="s">
        <v>11</v>
      </c>
      <c r="D10727">
        <v>9101</v>
      </c>
      <c r="E10727">
        <v>2020</v>
      </c>
      <c r="F10727">
        <v>15</v>
      </c>
      <c r="G10727">
        <v>13030</v>
      </c>
      <c r="H10727" s="1" t="s">
        <v>1826</v>
      </c>
      <c r="I10727">
        <v>0</v>
      </c>
      <c r="J10727">
        <f>IF($H10727=0,1,IF($I10727&lt;=1,2,0))</f>
        <v>2</v>
      </c>
      <c r="K10727">
        <v>5</v>
      </c>
      <c r="L10727">
        <f>IF(AND($J10727=0,$K10727=0),0,1)</f>
        <v>1</v>
      </c>
      <c r="M10727" t="s">
        <v>837</v>
      </c>
    </row>
    <row r="10728" spans="1:13" x14ac:dyDescent="0.2">
      <c r="A10728" t="s">
        <v>54</v>
      </c>
      <c r="B10728" t="s">
        <v>6</v>
      </c>
      <c r="C10728" t="s">
        <v>11</v>
      </c>
      <c r="D10728">
        <v>9101</v>
      </c>
      <c r="E10728">
        <v>2020</v>
      </c>
      <c r="F10728">
        <v>16</v>
      </c>
      <c r="G10728">
        <v>13031</v>
      </c>
      <c r="H10728" s="1" t="s">
        <v>1826</v>
      </c>
      <c r="I10728">
        <v>0</v>
      </c>
      <c r="J10728">
        <f>IF($H10728=0,1,IF($I10728&lt;=1,2,0))</f>
        <v>2</v>
      </c>
      <c r="K10728">
        <v>5</v>
      </c>
      <c r="L10728">
        <f>IF(AND($J10728=0,$K10728=0),0,1)</f>
        <v>1</v>
      </c>
      <c r="M10728" t="s">
        <v>837</v>
      </c>
    </row>
    <row r="10729" spans="1:13" x14ac:dyDescent="0.2">
      <c r="A10729" t="s">
        <v>54</v>
      </c>
      <c r="B10729" t="s">
        <v>6</v>
      </c>
      <c r="C10729" t="s">
        <v>11</v>
      </c>
      <c r="D10729">
        <v>9101</v>
      </c>
      <c r="E10729">
        <v>2020</v>
      </c>
      <c r="F10729">
        <v>17</v>
      </c>
      <c r="G10729">
        <v>13032</v>
      </c>
      <c r="H10729" s="1" t="s">
        <v>1826</v>
      </c>
      <c r="I10729">
        <v>0</v>
      </c>
      <c r="J10729">
        <f>IF($H10729=0,1,IF($I10729&lt;=1,2,0))</f>
        <v>2</v>
      </c>
      <c r="K10729">
        <v>5</v>
      </c>
      <c r="L10729">
        <f>IF(AND($J10729=0,$K10729=0),0,1)</f>
        <v>1</v>
      </c>
      <c r="M10729" t="s">
        <v>837</v>
      </c>
    </row>
    <row r="10730" spans="1:13" x14ac:dyDescent="0.2">
      <c r="A10730" t="s">
        <v>54</v>
      </c>
      <c r="B10730" t="s">
        <v>6</v>
      </c>
      <c r="C10730" t="s">
        <v>11</v>
      </c>
      <c r="D10730">
        <v>9101</v>
      </c>
      <c r="E10730">
        <v>2020</v>
      </c>
      <c r="F10730">
        <v>18</v>
      </c>
      <c r="G10730">
        <v>13033</v>
      </c>
      <c r="H10730" s="1" t="s">
        <v>1826</v>
      </c>
      <c r="I10730">
        <v>0</v>
      </c>
      <c r="J10730">
        <f>IF($H10730=0,1,IF($I10730&lt;=1,2,0))</f>
        <v>2</v>
      </c>
      <c r="K10730">
        <v>5</v>
      </c>
      <c r="L10730">
        <f>IF(AND($J10730=0,$K10730=0),0,1)</f>
        <v>1</v>
      </c>
      <c r="M10730" t="s">
        <v>837</v>
      </c>
    </row>
    <row r="10731" spans="1:13" x14ac:dyDescent="0.2">
      <c r="A10731" t="s">
        <v>54</v>
      </c>
      <c r="B10731" t="s">
        <v>6</v>
      </c>
      <c r="C10731" t="s">
        <v>11</v>
      </c>
      <c r="D10731">
        <v>9101</v>
      </c>
      <c r="E10731">
        <v>2020</v>
      </c>
      <c r="F10731">
        <v>19</v>
      </c>
      <c r="G10731">
        <v>13484</v>
      </c>
      <c r="H10731" s="1" t="s">
        <v>1826</v>
      </c>
      <c r="I10731">
        <v>0</v>
      </c>
      <c r="J10731">
        <f>IF($H10731=0,1,IF($I10731&lt;=1,2,0))</f>
        <v>2</v>
      </c>
      <c r="K10731">
        <v>5</v>
      </c>
      <c r="L10731">
        <f>IF(AND($J10731=0,$K10731=0),0,1)</f>
        <v>1</v>
      </c>
      <c r="M10731" t="s">
        <v>837</v>
      </c>
    </row>
    <row r="10732" spans="1:13" x14ac:dyDescent="0.2">
      <c r="A10732" t="s">
        <v>54</v>
      </c>
      <c r="B10732" t="s">
        <v>6</v>
      </c>
      <c r="C10732" t="s">
        <v>11</v>
      </c>
      <c r="D10732">
        <v>9101</v>
      </c>
      <c r="E10732">
        <v>2020</v>
      </c>
      <c r="F10732">
        <v>20</v>
      </c>
      <c r="G10732">
        <v>13488</v>
      </c>
      <c r="H10732" s="1" t="s">
        <v>1826</v>
      </c>
      <c r="I10732">
        <v>0</v>
      </c>
      <c r="J10732">
        <f>IF($H10732=0,1,IF($I10732&lt;=1,2,0))</f>
        <v>2</v>
      </c>
      <c r="K10732">
        <v>5</v>
      </c>
      <c r="L10732">
        <f>IF(AND($J10732=0,$K10732=0),0,1)</f>
        <v>1</v>
      </c>
      <c r="M10732" t="s">
        <v>837</v>
      </c>
    </row>
    <row r="10733" spans="1:13" x14ac:dyDescent="0.2">
      <c r="A10733" t="s">
        <v>54</v>
      </c>
      <c r="B10733" t="s">
        <v>6</v>
      </c>
      <c r="C10733" t="s">
        <v>11</v>
      </c>
      <c r="D10733">
        <v>9101</v>
      </c>
      <c r="E10733">
        <v>2020</v>
      </c>
      <c r="F10733">
        <v>21</v>
      </c>
      <c r="G10733">
        <v>22875</v>
      </c>
      <c r="H10733" s="1" t="s">
        <v>1826</v>
      </c>
      <c r="I10733">
        <v>0</v>
      </c>
      <c r="J10733">
        <f>IF($H10733=0,1,IF($I10733&lt;=1,2,0))</f>
        <v>2</v>
      </c>
      <c r="K10733">
        <v>5</v>
      </c>
      <c r="L10733">
        <f>IF(AND($J10733=0,$K10733=0),0,1)</f>
        <v>1</v>
      </c>
    </row>
    <row r="10734" spans="1:13" x14ac:dyDescent="0.2">
      <c r="A10734" t="s">
        <v>54</v>
      </c>
      <c r="B10734" t="s">
        <v>6</v>
      </c>
      <c r="C10734" t="s">
        <v>11</v>
      </c>
      <c r="D10734">
        <v>9101</v>
      </c>
      <c r="E10734">
        <v>2020</v>
      </c>
      <c r="F10734">
        <v>22</v>
      </c>
      <c r="G10734">
        <v>24645</v>
      </c>
      <c r="H10734" s="1" t="s">
        <v>1826</v>
      </c>
      <c r="I10734">
        <v>0</v>
      </c>
      <c r="J10734">
        <f>IF($H10734=0,1,IF($I10734&lt;=1,2,0))</f>
        <v>2</v>
      </c>
      <c r="K10734">
        <v>5</v>
      </c>
      <c r="L10734">
        <f>IF(AND($J10734=0,$K10734=0),0,1)</f>
        <v>1</v>
      </c>
    </row>
    <row r="10735" spans="1:13" x14ac:dyDescent="0.2">
      <c r="A10735" t="s">
        <v>54</v>
      </c>
      <c r="B10735" t="s">
        <v>6</v>
      </c>
      <c r="C10735" t="s">
        <v>11</v>
      </c>
      <c r="D10735">
        <v>9101</v>
      </c>
      <c r="E10735">
        <v>2020</v>
      </c>
      <c r="F10735">
        <v>23</v>
      </c>
      <c r="G10735">
        <v>24646</v>
      </c>
      <c r="H10735" s="1" t="s">
        <v>1826</v>
      </c>
      <c r="I10735">
        <v>0</v>
      </c>
      <c r="J10735">
        <f>IF($H10735=0,1,IF($I10735&lt;=1,2,0))</f>
        <v>2</v>
      </c>
      <c r="K10735">
        <v>5</v>
      </c>
      <c r="L10735">
        <f>IF(AND($J10735=0,$K10735=0),0,1)</f>
        <v>1</v>
      </c>
    </row>
    <row r="10736" spans="1:13" x14ac:dyDescent="0.2">
      <c r="A10736" t="s">
        <v>54</v>
      </c>
      <c r="B10736" t="s">
        <v>6</v>
      </c>
      <c r="C10736" t="s">
        <v>11</v>
      </c>
      <c r="D10736">
        <v>9102</v>
      </c>
      <c r="E10736">
        <v>2020</v>
      </c>
      <c r="F10736">
        <v>2</v>
      </c>
      <c r="G10736">
        <v>13127</v>
      </c>
      <c r="H10736" s="1" t="s">
        <v>1826</v>
      </c>
      <c r="I10736">
        <v>1</v>
      </c>
      <c r="J10736">
        <f>IF($H10736=0,1,IF($I10736&lt;=1,2,0))</f>
        <v>2</v>
      </c>
      <c r="K10736">
        <v>5</v>
      </c>
      <c r="L10736">
        <f>IF(AND($J10736=0,$K10736=0),0,1)</f>
        <v>1</v>
      </c>
      <c r="M10736" t="s">
        <v>837</v>
      </c>
    </row>
    <row r="10737" spans="1:13" x14ac:dyDescent="0.2">
      <c r="A10737" t="s">
        <v>54</v>
      </c>
      <c r="B10737" t="s">
        <v>6</v>
      </c>
      <c r="C10737" t="s">
        <v>11</v>
      </c>
      <c r="D10737">
        <v>9102</v>
      </c>
      <c r="E10737">
        <v>2020</v>
      </c>
      <c r="F10737">
        <v>1</v>
      </c>
      <c r="G10737">
        <v>13126</v>
      </c>
      <c r="H10737" s="1" t="s">
        <v>1826</v>
      </c>
      <c r="I10737">
        <v>0</v>
      </c>
      <c r="J10737">
        <f>IF($H10737=0,1,IF($I10737&lt;=1,2,0))</f>
        <v>2</v>
      </c>
      <c r="K10737">
        <v>5</v>
      </c>
      <c r="L10737">
        <f>IF(AND($J10737=0,$K10737=0),0,1)</f>
        <v>1</v>
      </c>
      <c r="M10737" t="s">
        <v>837</v>
      </c>
    </row>
    <row r="10738" spans="1:13" x14ac:dyDescent="0.2">
      <c r="A10738" t="s">
        <v>54</v>
      </c>
      <c r="B10738" t="s">
        <v>6</v>
      </c>
      <c r="C10738" t="s">
        <v>11</v>
      </c>
      <c r="D10738">
        <v>9102</v>
      </c>
      <c r="E10738">
        <v>2020</v>
      </c>
      <c r="F10738">
        <v>3</v>
      </c>
      <c r="G10738">
        <v>13128</v>
      </c>
      <c r="H10738" s="1" t="s">
        <v>1826</v>
      </c>
      <c r="I10738">
        <v>0</v>
      </c>
      <c r="J10738">
        <f>IF($H10738=0,1,IF($I10738&lt;=1,2,0))</f>
        <v>2</v>
      </c>
      <c r="K10738">
        <v>5</v>
      </c>
      <c r="L10738">
        <f>IF(AND($J10738=0,$K10738=0),0,1)</f>
        <v>1</v>
      </c>
      <c r="M10738" t="s">
        <v>837</v>
      </c>
    </row>
    <row r="10739" spans="1:13" x14ac:dyDescent="0.2">
      <c r="A10739" t="s">
        <v>54</v>
      </c>
      <c r="B10739" t="s">
        <v>6</v>
      </c>
      <c r="C10739" t="s">
        <v>11</v>
      </c>
      <c r="D10739">
        <v>9102</v>
      </c>
      <c r="E10739">
        <v>2020</v>
      </c>
      <c r="F10739">
        <v>4</v>
      </c>
      <c r="G10739">
        <v>13129</v>
      </c>
      <c r="H10739" s="1" t="s">
        <v>1826</v>
      </c>
      <c r="I10739">
        <v>0</v>
      </c>
      <c r="J10739">
        <f>IF($H10739=0,1,IF($I10739&lt;=1,2,0))</f>
        <v>2</v>
      </c>
      <c r="K10739">
        <v>5</v>
      </c>
      <c r="L10739">
        <f>IF(AND($J10739=0,$K10739=0),0,1)</f>
        <v>1</v>
      </c>
      <c r="M10739" t="s">
        <v>837</v>
      </c>
    </row>
    <row r="10740" spans="1:13" x14ac:dyDescent="0.2">
      <c r="A10740" t="s">
        <v>54</v>
      </c>
      <c r="B10740" t="s">
        <v>6</v>
      </c>
      <c r="C10740" t="s">
        <v>11</v>
      </c>
      <c r="D10740">
        <v>9102</v>
      </c>
      <c r="E10740">
        <v>2020</v>
      </c>
      <c r="F10740">
        <v>5</v>
      </c>
      <c r="G10740">
        <v>13130</v>
      </c>
      <c r="H10740" s="1" t="s">
        <v>1826</v>
      </c>
      <c r="I10740">
        <v>0</v>
      </c>
      <c r="J10740">
        <f>IF($H10740=0,1,IF($I10740&lt;=1,2,0))</f>
        <v>2</v>
      </c>
      <c r="K10740">
        <v>5</v>
      </c>
      <c r="L10740">
        <f>IF(AND($J10740=0,$K10740=0),0,1)</f>
        <v>1</v>
      </c>
      <c r="M10740" t="s">
        <v>837</v>
      </c>
    </row>
    <row r="10741" spans="1:13" x14ac:dyDescent="0.2">
      <c r="A10741" t="s">
        <v>54</v>
      </c>
      <c r="B10741" t="s">
        <v>6</v>
      </c>
      <c r="C10741" t="s">
        <v>11</v>
      </c>
      <c r="D10741">
        <v>9102</v>
      </c>
      <c r="E10741">
        <v>2020</v>
      </c>
      <c r="F10741">
        <v>6</v>
      </c>
      <c r="G10741">
        <v>13131</v>
      </c>
      <c r="H10741" s="1" t="s">
        <v>1826</v>
      </c>
      <c r="I10741">
        <v>0</v>
      </c>
      <c r="J10741">
        <f>IF($H10741=0,1,IF($I10741&lt;=1,2,0))</f>
        <v>2</v>
      </c>
      <c r="K10741">
        <v>5</v>
      </c>
      <c r="L10741">
        <f>IF(AND($J10741=0,$K10741=0),0,1)</f>
        <v>1</v>
      </c>
      <c r="M10741" t="s">
        <v>837</v>
      </c>
    </row>
    <row r="10742" spans="1:13" x14ac:dyDescent="0.2">
      <c r="A10742" t="s">
        <v>54</v>
      </c>
      <c r="B10742" t="s">
        <v>6</v>
      </c>
      <c r="C10742" t="s">
        <v>11</v>
      </c>
      <c r="D10742">
        <v>9102</v>
      </c>
      <c r="E10742">
        <v>2020</v>
      </c>
      <c r="F10742">
        <v>7</v>
      </c>
      <c r="G10742">
        <v>13132</v>
      </c>
      <c r="H10742" s="1" t="s">
        <v>1826</v>
      </c>
      <c r="I10742">
        <v>0</v>
      </c>
      <c r="J10742">
        <f>IF($H10742=0,1,IF($I10742&lt;=1,2,0))</f>
        <v>2</v>
      </c>
      <c r="K10742">
        <v>5</v>
      </c>
      <c r="L10742">
        <f>IF(AND($J10742=0,$K10742=0),0,1)</f>
        <v>1</v>
      </c>
      <c r="M10742" t="s">
        <v>837</v>
      </c>
    </row>
    <row r="10743" spans="1:13" x14ac:dyDescent="0.2">
      <c r="A10743" t="s">
        <v>54</v>
      </c>
      <c r="B10743" t="s">
        <v>6</v>
      </c>
      <c r="C10743" t="s">
        <v>11</v>
      </c>
      <c r="D10743">
        <v>9102</v>
      </c>
      <c r="E10743">
        <v>2020</v>
      </c>
      <c r="F10743">
        <v>8</v>
      </c>
      <c r="G10743">
        <v>13133</v>
      </c>
      <c r="H10743" s="1" t="s">
        <v>1826</v>
      </c>
      <c r="I10743">
        <v>0</v>
      </c>
      <c r="J10743">
        <f>IF($H10743=0,1,IF($I10743&lt;=1,2,0))</f>
        <v>2</v>
      </c>
      <c r="K10743">
        <v>5</v>
      </c>
      <c r="L10743">
        <f>IF(AND($J10743=0,$K10743=0),0,1)</f>
        <v>1</v>
      </c>
      <c r="M10743" t="s">
        <v>837</v>
      </c>
    </row>
    <row r="10744" spans="1:13" x14ac:dyDescent="0.2">
      <c r="A10744" t="s">
        <v>54</v>
      </c>
      <c r="B10744" t="s">
        <v>6</v>
      </c>
      <c r="C10744" t="s">
        <v>11</v>
      </c>
      <c r="D10744">
        <v>9102</v>
      </c>
      <c r="E10744">
        <v>2020</v>
      </c>
      <c r="F10744">
        <v>9</v>
      </c>
      <c r="G10744">
        <v>13135</v>
      </c>
      <c r="H10744" s="1" t="s">
        <v>1826</v>
      </c>
      <c r="I10744">
        <v>0</v>
      </c>
      <c r="J10744">
        <f>IF($H10744=0,1,IF($I10744&lt;=1,2,0))</f>
        <v>2</v>
      </c>
      <c r="K10744">
        <v>5</v>
      </c>
      <c r="L10744">
        <f>IF(AND($J10744=0,$K10744=0),0,1)</f>
        <v>1</v>
      </c>
      <c r="M10744" t="s">
        <v>837</v>
      </c>
    </row>
    <row r="10745" spans="1:13" x14ac:dyDescent="0.2">
      <c r="A10745" t="s">
        <v>54</v>
      </c>
      <c r="B10745" t="s">
        <v>6</v>
      </c>
      <c r="C10745" t="s">
        <v>11</v>
      </c>
      <c r="D10745">
        <v>9102</v>
      </c>
      <c r="E10745">
        <v>2020</v>
      </c>
      <c r="F10745">
        <v>10</v>
      </c>
      <c r="G10745">
        <v>13479</v>
      </c>
      <c r="H10745" s="1" t="s">
        <v>1826</v>
      </c>
      <c r="I10745">
        <v>0</v>
      </c>
      <c r="J10745">
        <f>IF($H10745=0,1,IF($I10745&lt;=1,2,0))</f>
        <v>2</v>
      </c>
      <c r="K10745">
        <v>5</v>
      </c>
      <c r="L10745">
        <f>IF(AND($J10745=0,$K10745=0),0,1)</f>
        <v>1</v>
      </c>
      <c r="M10745" t="s">
        <v>851</v>
      </c>
    </row>
    <row r="10746" spans="1:13" x14ac:dyDescent="0.2">
      <c r="A10746" t="s">
        <v>54</v>
      </c>
      <c r="B10746" t="s">
        <v>6</v>
      </c>
      <c r="C10746" t="s">
        <v>11</v>
      </c>
      <c r="D10746">
        <v>9105</v>
      </c>
      <c r="E10746">
        <v>2020</v>
      </c>
      <c r="F10746">
        <v>11</v>
      </c>
      <c r="G10746">
        <v>13117</v>
      </c>
      <c r="H10746" s="1" t="s">
        <v>1826</v>
      </c>
      <c r="I10746">
        <v>2</v>
      </c>
      <c r="J10746">
        <f>IF($H10746=0,1,IF($I10746&lt;=1,2,0))</f>
        <v>0</v>
      </c>
      <c r="K10746">
        <v>5</v>
      </c>
      <c r="L10746">
        <f>IF(AND($J10746=0,$K10746=0),0,1)</f>
        <v>1</v>
      </c>
      <c r="M10746" t="s">
        <v>837</v>
      </c>
    </row>
    <row r="10747" spans="1:13" x14ac:dyDescent="0.2">
      <c r="A10747" t="s">
        <v>54</v>
      </c>
      <c r="B10747" t="s">
        <v>6</v>
      </c>
      <c r="C10747" t="s">
        <v>11</v>
      </c>
      <c r="D10747">
        <v>9105</v>
      </c>
      <c r="E10747">
        <v>2020</v>
      </c>
      <c r="F10747">
        <v>1</v>
      </c>
      <c r="G10747">
        <v>13057</v>
      </c>
      <c r="H10747" s="1" t="s">
        <v>1826</v>
      </c>
      <c r="I10747">
        <v>1</v>
      </c>
      <c r="J10747">
        <f>IF($H10747=0,1,IF($I10747&lt;=1,2,0))</f>
        <v>2</v>
      </c>
      <c r="K10747">
        <v>5</v>
      </c>
      <c r="L10747">
        <f>IF(AND($J10747=0,$K10747=0),0,1)</f>
        <v>1</v>
      </c>
      <c r="M10747" t="s">
        <v>837</v>
      </c>
    </row>
    <row r="10748" spans="1:13" x14ac:dyDescent="0.2">
      <c r="A10748" t="s">
        <v>54</v>
      </c>
      <c r="B10748" t="s">
        <v>6</v>
      </c>
      <c r="C10748" t="s">
        <v>11</v>
      </c>
      <c r="D10748">
        <v>9105</v>
      </c>
      <c r="E10748">
        <v>2020</v>
      </c>
      <c r="F10748">
        <v>2</v>
      </c>
      <c r="G10748">
        <v>13058</v>
      </c>
      <c r="H10748" s="1" t="s">
        <v>1826</v>
      </c>
      <c r="I10748">
        <v>0</v>
      </c>
      <c r="J10748">
        <f>IF($H10748=0,1,IF($I10748&lt;=1,2,0))</f>
        <v>2</v>
      </c>
      <c r="K10748">
        <v>5</v>
      </c>
      <c r="L10748">
        <f>IF(AND($J10748=0,$K10748=0),0,1)</f>
        <v>1</v>
      </c>
      <c r="M10748" t="s">
        <v>837</v>
      </c>
    </row>
    <row r="10749" spans="1:13" x14ac:dyDescent="0.2">
      <c r="A10749" t="s">
        <v>54</v>
      </c>
      <c r="B10749" t="s">
        <v>6</v>
      </c>
      <c r="C10749" t="s">
        <v>11</v>
      </c>
      <c r="D10749">
        <v>9105</v>
      </c>
      <c r="E10749">
        <v>2020</v>
      </c>
      <c r="F10749">
        <v>3</v>
      </c>
      <c r="G10749">
        <v>13059</v>
      </c>
      <c r="H10749" s="1" t="s">
        <v>1826</v>
      </c>
      <c r="I10749">
        <v>0</v>
      </c>
      <c r="J10749">
        <f>IF($H10749=0,1,IF($I10749&lt;=1,2,0))</f>
        <v>2</v>
      </c>
      <c r="K10749">
        <v>5</v>
      </c>
      <c r="L10749">
        <f>IF(AND($J10749=0,$K10749=0),0,1)</f>
        <v>1</v>
      </c>
      <c r="M10749" t="s">
        <v>837</v>
      </c>
    </row>
    <row r="10750" spans="1:13" x14ac:dyDescent="0.2">
      <c r="A10750" t="s">
        <v>54</v>
      </c>
      <c r="B10750" t="s">
        <v>6</v>
      </c>
      <c r="C10750" t="s">
        <v>11</v>
      </c>
      <c r="D10750">
        <v>9105</v>
      </c>
      <c r="E10750">
        <v>2020</v>
      </c>
      <c r="F10750">
        <v>4</v>
      </c>
      <c r="G10750">
        <v>13061</v>
      </c>
      <c r="H10750" s="1" t="s">
        <v>1826</v>
      </c>
      <c r="I10750">
        <v>0</v>
      </c>
      <c r="J10750">
        <f>IF($H10750=0,1,IF($I10750&lt;=1,2,0))</f>
        <v>2</v>
      </c>
      <c r="K10750">
        <v>5</v>
      </c>
      <c r="L10750">
        <f>IF(AND($J10750=0,$K10750=0),0,1)</f>
        <v>1</v>
      </c>
      <c r="M10750" t="s">
        <v>837</v>
      </c>
    </row>
    <row r="10751" spans="1:13" x14ac:dyDescent="0.2">
      <c r="A10751" t="s">
        <v>54</v>
      </c>
      <c r="B10751" t="s">
        <v>6</v>
      </c>
      <c r="C10751" t="s">
        <v>11</v>
      </c>
      <c r="D10751">
        <v>9105</v>
      </c>
      <c r="E10751">
        <v>2020</v>
      </c>
      <c r="F10751">
        <v>5</v>
      </c>
      <c r="G10751">
        <v>13062</v>
      </c>
      <c r="H10751" s="1" t="s">
        <v>1826</v>
      </c>
      <c r="I10751">
        <v>0</v>
      </c>
      <c r="J10751">
        <f>IF($H10751=0,1,IF($I10751&lt;=1,2,0))</f>
        <v>2</v>
      </c>
      <c r="K10751">
        <v>5</v>
      </c>
      <c r="L10751">
        <f>IF(AND($J10751=0,$K10751=0),0,1)</f>
        <v>1</v>
      </c>
      <c r="M10751" t="s">
        <v>837</v>
      </c>
    </row>
    <row r="10752" spans="1:13" x14ac:dyDescent="0.2">
      <c r="A10752" t="s">
        <v>54</v>
      </c>
      <c r="B10752" t="s">
        <v>6</v>
      </c>
      <c r="C10752" t="s">
        <v>11</v>
      </c>
      <c r="D10752">
        <v>9105</v>
      </c>
      <c r="E10752">
        <v>2020</v>
      </c>
      <c r="F10752">
        <v>6</v>
      </c>
      <c r="G10752">
        <v>13070</v>
      </c>
      <c r="H10752" s="1" t="s">
        <v>1826</v>
      </c>
      <c r="I10752">
        <v>0</v>
      </c>
      <c r="J10752">
        <f>IF($H10752=0,1,IF($I10752&lt;=1,2,0))</f>
        <v>2</v>
      </c>
      <c r="K10752">
        <v>5</v>
      </c>
      <c r="L10752">
        <f>IF(AND($J10752=0,$K10752=0),0,1)</f>
        <v>1</v>
      </c>
      <c r="M10752" t="s">
        <v>837</v>
      </c>
    </row>
    <row r="10753" spans="1:13" x14ac:dyDescent="0.2">
      <c r="A10753" t="s">
        <v>54</v>
      </c>
      <c r="B10753" t="s">
        <v>6</v>
      </c>
      <c r="C10753" t="s">
        <v>11</v>
      </c>
      <c r="D10753">
        <v>9105</v>
      </c>
      <c r="E10753">
        <v>2020</v>
      </c>
      <c r="F10753">
        <v>7</v>
      </c>
      <c r="G10753">
        <v>13113</v>
      </c>
      <c r="H10753" s="1" t="s">
        <v>1826</v>
      </c>
      <c r="I10753">
        <v>0</v>
      </c>
      <c r="J10753">
        <f>IF($H10753=0,1,IF($I10753&lt;=1,2,0))</f>
        <v>2</v>
      </c>
      <c r="K10753">
        <v>5</v>
      </c>
      <c r="L10753">
        <f>IF(AND($J10753=0,$K10753=0),0,1)</f>
        <v>1</v>
      </c>
      <c r="M10753" t="s">
        <v>837</v>
      </c>
    </row>
    <row r="10754" spans="1:13" x14ac:dyDescent="0.2">
      <c r="A10754" t="s">
        <v>54</v>
      </c>
      <c r="B10754" t="s">
        <v>6</v>
      </c>
      <c r="C10754" t="s">
        <v>11</v>
      </c>
      <c r="D10754">
        <v>9105</v>
      </c>
      <c r="E10754">
        <v>2020</v>
      </c>
      <c r="F10754">
        <v>9</v>
      </c>
      <c r="G10754">
        <v>13115</v>
      </c>
      <c r="H10754" s="1" t="s">
        <v>1826</v>
      </c>
      <c r="I10754">
        <v>0</v>
      </c>
      <c r="J10754">
        <f>IF($H10754=0,1,IF($I10754&lt;=1,2,0))</f>
        <v>2</v>
      </c>
      <c r="K10754">
        <v>5</v>
      </c>
      <c r="L10754">
        <f>IF(AND($J10754=0,$K10754=0),0,1)</f>
        <v>1</v>
      </c>
      <c r="M10754" t="s">
        <v>837</v>
      </c>
    </row>
    <row r="10755" spans="1:13" x14ac:dyDescent="0.2">
      <c r="A10755" t="s">
        <v>54</v>
      </c>
      <c r="B10755" t="s">
        <v>6</v>
      </c>
      <c r="C10755" t="s">
        <v>11</v>
      </c>
      <c r="D10755">
        <v>9105</v>
      </c>
      <c r="E10755">
        <v>2020</v>
      </c>
      <c r="F10755">
        <v>10</v>
      </c>
      <c r="G10755">
        <v>13116</v>
      </c>
      <c r="H10755" s="1" t="s">
        <v>1826</v>
      </c>
      <c r="I10755">
        <v>0</v>
      </c>
      <c r="J10755">
        <f>IF($H10755=0,1,IF($I10755&lt;=1,2,0))</f>
        <v>2</v>
      </c>
      <c r="K10755">
        <v>5</v>
      </c>
      <c r="L10755">
        <f>IF(AND($J10755=0,$K10755=0),0,1)</f>
        <v>1</v>
      </c>
      <c r="M10755" t="s">
        <v>837</v>
      </c>
    </row>
    <row r="10756" spans="1:13" x14ac:dyDescent="0.2">
      <c r="A10756" t="s">
        <v>54</v>
      </c>
      <c r="B10756" t="s">
        <v>6</v>
      </c>
      <c r="C10756" t="s">
        <v>11</v>
      </c>
      <c r="D10756">
        <v>9105</v>
      </c>
      <c r="E10756">
        <v>2020</v>
      </c>
      <c r="F10756">
        <v>12</v>
      </c>
      <c r="G10756">
        <v>13118</v>
      </c>
      <c r="H10756" s="1" t="s">
        <v>1826</v>
      </c>
      <c r="I10756">
        <v>0</v>
      </c>
      <c r="J10756">
        <f>IF($H10756=0,1,IF($I10756&lt;=1,2,0))</f>
        <v>2</v>
      </c>
      <c r="K10756">
        <v>5</v>
      </c>
      <c r="L10756">
        <f>IF(AND($J10756=0,$K10756=0),0,1)</f>
        <v>1</v>
      </c>
      <c r="M10756" t="s">
        <v>837</v>
      </c>
    </row>
    <row r="10757" spans="1:13" x14ac:dyDescent="0.2">
      <c r="A10757" t="s">
        <v>54</v>
      </c>
      <c r="B10757" t="s">
        <v>6</v>
      </c>
      <c r="C10757" t="s">
        <v>11</v>
      </c>
      <c r="D10757">
        <v>9105</v>
      </c>
      <c r="E10757">
        <v>2020</v>
      </c>
      <c r="F10757">
        <v>13</v>
      </c>
      <c r="G10757">
        <v>13119</v>
      </c>
      <c r="H10757" s="1" t="s">
        <v>1826</v>
      </c>
      <c r="I10757">
        <v>0</v>
      </c>
      <c r="J10757">
        <f>IF($H10757=0,1,IF($I10757&lt;=1,2,0))</f>
        <v>2</v>
      </c>
      <c r="K10757">
        <v>5</v>
      </c>
      <c r="L10757">
        <f>IF(AND($J10757=0,$K10757=0),0,1)</f>
        <v>1</v>
      </c>
      <c r="M10757" t="s">
        <v>837</v>
      </c>
    </row>
    <row r="10758" spans="1:13" x14ac:dyDescent="0.2">
      <c r="A10758" t="s">
        <v>54</v>
      </c>
      <c r="B10758" t="s">
        <v>6</v>
      </c>
      <c r="C10758" t="s">
        <v>11</v>
      </c>
      <c r="D10758">
        <v>9105</v>
      </c>
      <c r="E10758">
        <v>2020</v>
      </c>
      <c r="F10758">
        <v>14</v>
      </c>
      <c r="G10758">
        <v>13120</v>
      </c>
      <c r="H10758" s="1" t="s">
        <v>1826</v>
      </c>
      <c r="I10758">
        <v>0</v>
      </c>
      <c r="J10758">
        <f>IF($H10758=0,1,IF($I10758&lt;=1,2,0))</f>
        <v>2</v>
      </c>
      <c r="K10758">
        <v>5</v>
      </c>
      <c r="L10758">
        <f>IF(AND($J10758=0,$K10758=0),0,1)</f>
        <v>1</v>
      </c>
      <c r="M10758" t="s">
        <v>837</v>
      </c>
    </row>
    <row r="10759" spans="1:13" x14ac:dyDescent="0.2">
      <c r="A10759" t="s">
        <v>54</v>
      </c>
      <c r="B10759" t="s">
        <v>6</v>
      </c>
      <c r="C10759" t="s">
        <v>11</v>
      </c>
      <c r="D10759">
        <v>9105</v>
      </c>
      <c r="E10759">
        <v>2020</v>
      </c>
      <c r="F10759">
        <v>15</v>
      </c>
      <c r="G10759">
        <v>13121</v>
      </c>
      <c r="H10759" s="1" t="s">
        <v>1826</v>
      </c>
      <c r="I10759">
        <v>0</v>
      </c>
      <c r="J10759">
        <f>IF($H10759=0,1,IF($I10759&lt;=1,2,0))</f>
        <v>2</v>
      </c>
      <c r="K10759">
        <v>5</v>
      </c>
      <c r="L10759">
        <f>IF(AND($J10759=0,$K10759=0),0,1)</f>
        <v>1</v>
      </c>
      <c r="M10759" t="s">
        <v>837</v>
      </c>
    </row>
    <row r="10760" spans="1:13" x14ac:dyDescent="0.2">
      <c r="A10760" t="s">
        <v>54</v>
      </c>
      <c r="B10760" t="s">
        <v>6</v>
      </c>
      <c r="C10760" t="s">
        <v>11</v>
      </c>
      <c r="D10760">
        <v>9105</v>
      </c>
      <c r="E10760">
        <v>2020</v>
      </c>
      <c r="F10760">
        <v>16</v>
      </c>
      <c r="G10760">
        <v>13122</v>
      </c>
      <c r="H10760" s="1" t="s">
        <v>1826</v>
      </c>
      <c r="I10760">
        <v>0</v>
      </c>
      <c r="J10760">
        <f>IF($H10760=0,1,IF($I10760&lt;=1,2,0))</f>
        <v>2</v>
      </c>
      <c r="K10760">
        <v>5</v>
      </c>
      <c r="L10760">
        <f>IF(AND($J10760=0,$K10760=0),0,1)</f>
        <v>1</v>
      </c>
      <c r="M10760" t="s">
        <v>837</v>
      </c>
    </row>
    <row r="10761" spans="1:13" x14ac:dyDescent="0.2">
      <c r="A10761" t="s">
        <v>54</v>
      </c>
      <c r="B10761" t="s">
        <v>6</v>
      </c>
      <c r="C10761" t="s">
        <v>11</v>
      </c>
      <c r="D10761">
        <v>9105</v>
      </c>
      <c r="E10761">
        <v>2020</v>
      </c>
      <c r="F10761">
        <v>17</v>
      </c>
      <c r="G10761">
        <v>13123</v>
      </c>
      <c r="H10761" s="1" t="s">
        <v>1826</v>
      </c>
      <c r="I10761">
        <v>0</v>
      </c>
      <c r="J10761">
        <f>IF($H10761=0,1,IF($I10761&lt;=1,2,0))</f>
        <v>2</v>
      </c>
      <c r="K10761">
        <v>5</v>
      </c>
      <c r="L10761">
        <f>IF(AND($J10761=0,$K10761=0),0,1)</f>
        <v>1</v>
      </c>
      <c r="M10761" t="s">
        <v>837</v>
      </c>
    </row>
    <row r="10762" spans="1:13" x14ac:dyDescent="0.2">
      <c r="A10762" t="s">
        <v>54</v>
      </c>
      <c r="B10762" t="s">
        <v>6</v>
      </c>
      <c r="C10762" t="s">
        <v>11</v>
      </c>
      <c r="D10762">
        <v>9105</v>
      </c>
      <c r="E10762">
        <v>2020</v>
      </c>
      <c r="F10762">
        <v>18</v>
      </c>
      <c r="G10762">
        <v>13124</v>
      </c>
      <c r="H10762" s="1" t="s">
        <v>1826</v>
      </c>
      <c r="I10762">
        <v>0</v>
      </c>
      <c r="J10762">
        <f>IF($H10762=0,1,IF($I10762&lt;=1,2,0))</f>
        <v>2</v>
      </c>
      <c r="K10762">
        <v>5</v>
      </c>
      <c r="L10762">
        <f>IF(AND($J10762=0,$K10762=0),0,1)</f>
        <v>1</v>
      </c>
      <c r="M10762" t="s">
        <v>837</v>
      </c>
    </row>
    <row r="10763" spans="1:13" x14ac:dyDescent="0.2">
      <c r="A10763" t="s">
        <v>54</v>
      </c>
      <c r="B10763" t="s">
        <v>6</v>
      </c>
      <c r="C10763" t="s">
        <v>11</v>
      </c>
      <c r="D10763">
        <v>9105</v>
      </c>
      <c r="E10763">
        <v>2020</v>
      </c>
      <c r="F10763">
        <v>19</v>
      </c>
      <c r="G10763">
        <v>13491</v>
      </c>
      <c r="H10763" s="1" t="s">
        <v>1826</v>
      </c>
      <c r="I10763">
        <v>0</v>
      </c>
      <c r="J10763">
        <f>IF($H10763=0,1,IF($I10763&lt;=1,2,0))</f>
        <v>2</v>
      </c>
      <c r="K10763">
        <v>5</v>
      </c>
      <c r="L10763">
        <f>IF(AND($J10763=0,$K10763=0),0,1)</f>
        <v>1</v>
      </c>
      <c r="M10763" t="s">
        <v>837</v>
      </c>
    </row>
    <row r="10764" spans="1:13" x14ac:dyDescent="0.2">
      <c r="A10764" t="s">
        <v>54</v>
      </c>
      <c r="B10764" t="s">
        <v>6</v>
      </c>
      <c r="C10764" t="s">
        <v>11</v>
      </c>
      <c r="D10764">
        <v>9105</v>
      </c>
      <c r="E10764">
        <v>2020</v>
      </c>
      <c r="F10764">
        <v>20</v>
      </c>
      <c r="G10764">
        <v>13492</v>
      </c>
      <c r="H10764" s="1" t="s">
        <v>1826</v>
      </c>
      <c r="I10764">
        <v>0</v>
      </c>
      <c r="J10764">
        <f>IF($H10764=0,1,IF($I10764&lt;=1,2,0))</f>
        <v>2</v>
      </c>
      <c r="K10764">
        <v>5</v>
      </c>
      <c r="L10764">
        <f>IF(AND($J10764=0,$K10764=0),0,1)</f>
        <v>1</v>
      </c>
      <c r="M10764" t="s">
        <v>837</v>
      </c>
    </row>
    <row r="10765" spans="1:13" x14ac:dyDescent="0.2">
      <c r="A10765" t="s">
        <v>54</v>
      </c>
      <c r="B10765" t="s">
        <v>6</v>
      </c>
      <c r="C10765" t="s">
        <v>11</v>
      </c>
      <c r="D10765">
        <v>9105</v>
      </c>
      <c r="E10765">
        <v>2020</v>
      </c>
      <c r="F10765">
        <v>21</v>
      </c>
      <c r="G10765">
        <v>24647</v>
      </c>
      <c r="H10765" s="1" t="s">
        <v>1826</v>
      </c>
      <c r="I10765">
        <v>0</v>
      </c>
      <c r="J10765">
        <f>IF($H10765=0,1,IF($I10765&lt;=1,2,0))</f>
        <v>2</v>
      </c>
      <c r="K10765">
        <v>5</v>
      </c>
      <c r="L10765">
        <f>IF(AND($J10765=0,$K10765=0),0,1)</f>
        <v>1</v>
      </c>
    </row>
    <row r="10766" spans="1:13" x14ac:dyDescent="0.2">
      <c r="A10766" t="s">
        <v>54</v>
      </c>
      <c r="B10766" t="s">
        <v>6</v>
      </c>
      <c r="C10766" t="s">
        <v>11</v>
      </c>
      <c r="D10766">
        <v>9105</v>
      </c>
      <c r="E10766">
        <v>2020</v>
      </c>
      <c r="F10766">
        <v>22</v>
      </c>
      <c r="G10766">
        <v>24648</v>
      </c>
      <c r="H10766" s="1" t="s">
        <v>1826</v>
      </c>
      <c r="I10766">
        <v>0</v>
      </c>
      <c r="J10766">
        <f>IF($H10766=0,1,IF($I10766&lt;=1,2,0))</f>
        <v>2</v>
      </c>
      <c r="K10766">
        <v>5</v>
      </c>
      <c r="L10766">
        <f>IF(AND($J10766=0,$K10766=0),0,1)</f>
        <v>1</v>
      </c>
    </row>
    <row r="10767" spans="1:13" x14ac:dyDescent="0.2">
      <c r="A10767" t="s">
        <v>54</v>
      </c>
      <c r="B10767" t="s">
        <v>6</v>
      </c>
      <c r="C10767" t="s">
        <v>11</v>
      </c>
      <c r="D10767">
        <v>9110</v>
      </c>
      <c r="E10767">
        <v>2020</v>
      </c>
      <c r="F10767">
        <v>1</v>
      </c>
      <c r="G10767">
        <v>10796</v>
      </c>
      <c r="H10767" s="1" t="s">
        <v>1826</v>
      </c>
      <c r="I10767">
        <v>0</v>
      </c>
      <c r="J10767">
        <f>IF($H10767=0,1,IF($I10767&lt;=1,2,0))</f>
        <v>2</v>
      </c>
      <c r="K10767">
        <v>5</v>
      </c>
      <c r="L10767">
        <f>IF(AND($J10767=0,$K10767=0),0,1)</f>
        <v>1</v>
      </c>
      <c r="M10767" t="s">
        <v>852</v>
      </c>
    </row>
    <row r="10768" spans="1:13" x14ac:dyDescent="0.2">
      <c r="A10768" t="s">
        <v>54</v>
      </c>
      <c r="B10768" t="s">
        <v>6</v>
      </c>
      <c r="C10768" t="s">
        <v>11</v>
      </c>
      <c r="D10768">
        <v>9111</v>
      </c>
      <c r="E10768">
        <v>2020</v>
      </c>
      <c r="F10768">
        <v>1</v>
      </c>
      <c r="G10768">
        <v>10797</v>
      </c>
      <c r="H10768" s="1" t="s">
        <v>1826</v>
      </c>
      <c r="I10768">
        <v>0</v>
      </c>
      <c r="J10768">
        <f>IF($H10768=0,1,IF($I10768&lt;=1,2,0))</f>
        <v>2</v>
      </c>
      <c r="K10768">
        <v>5</v>
      </c>
      <c r="L10768">
        <f>IF(AND($J10768=0,$K10768=0),0,1)</f>
        <v>1</v>
      </c>
      <c r="M10768" t="s">
        <v>853</v>
      </c>
    </row>
    <row r="10769" spans="1:12" x14ac:dyDescent="0.2">
      <c r="A10769" t="s">
        <v>54</v>
      </c>
      <c r="B10769" t="s">
        <v>6</v>
      </c>
      <c r="C10769" t="s">
        <v>11</v>
      </c>
      <c r="D10769">
        <v>9999</v>
      </c>
      <c r="E10769">
        <v>2020</v>
      </c>
      <c r="F10769">
        <v>1</v>
      </c>
      <c r="G10769">
        <v>10795</v>
      </c>
      <c r="H10769" s="1">
        <v>0</v>
      </c>
      <c r="I10769">
        <v>47</v>
      </c>
      <c r="J10769">
        <f>IF($H10769=0,1,IF($I10769&lt;=1,2,0))</f>
        <v>1</v>
      </c>
      <c r="K10769">
        <v>5</v>
      </c>
      <c r="L10769">
        <f>IF(AND($J10769=0,$K10769=0),0,1)</f>
        <v>1</v>
      </c>
    </row>
    <row r="10770" spans="1:12" x14ac:dyDescent="0.2">
      <c r="A10770" t="s">
        <v>70</v>
      </c>
      <c r="B10770" t="s">
        <v>71</v>
      </c>
      <c r="C10770" t="s">
        <v>72</v>
      </c>
      <c r="D10770">
        <v>3999</v>
      </c>
      <c r="E10770">
        <v>2020</v>
      </c>
      <c r="F10770">
        <v>3</v>
      </c>
      <c r="G10770">
        <v>22284</v>
      </c>
      <c r="H10770" s="1" t="s">
        <v>1837</v>
      </c>
      <c r="I10770">
        <v>1</v>
      </c>
      <c r="J10770">
        <f>IF($H10770=0,1,IF($I10770&lt;=1,2,0))</f>
        <v>2</v>
      </c>
      <c r="K10770">
        <v>9</v>
      </c>
      <c r="L10770">
        <f>IF(AND($J10770=0,$K10770=0),0,1)</f>
        <v>1</v>
      </c>
    </row>
    <row r="10771" spans="1:12" x14ac:dyDescent="0.2">
      <c r="A10771" t="s">
        <v>70</v>
      </c>
      <c r="B10771" t="s">
        <v>71</v>
      </c>
      <c r="C10771" t="s">
        <v>72</v>
      </c>
      <c r="D10771">
        <v>3999</v>
      </c>
      <c r="E10771">
        <v>2020</v>
      </c>
      <c r="F10771">
        <v>4</v>
      </c>
      <c r="G10771">
        <v>24746</v>
      </c>
      <c r="H10771" s="1" t="s">
        <v>1837</v>
      </c>
      <c r="I10771">
        <v>1</v>
      </c>
      <c r="J10771">
        <f>IF($H10771=0,1,IF($I10771&lt;=1,2,0))</f>
        <v>2</v>
      </c>
      <c r="K10771">
        <v>9</v>
      </c>
      <c r="L10771">
        <f>IF(AND($J10771=0,$K10771=0),0,1)</f>
        <v>1</v>
      </c>
    </row>
    <row r="10772" spans="1:12" x14ac:dyDescent="0.2">
      <c r="A10772" t="s">
        <v>70</v>
      </c>
      <c r="B10772" t="s">
        <v>71</v>
      </c>
      <c r="C10772" t="s">
        <v>72</v>
      </c>
      <c r="D10772">
        <v>4999</v>
      </c>
      <c r="E10772">
        <v>2020</v>
      </c>
      <c r="F10772">
        <v>1</v>
      </c>
      <c r="G10772">
        <v>24552</v>
      </c>
      <c r="H10772" s="1" t="s">
        <v>1827</v>
      </c>
      <c r="I10772">
        <v>1</v>
      </c>
      <c r="J10772">
        <f>IF($H10772=0,1,IF($I10772&lt;=1,2,0))</f>
        <v>2</v>
      </c>
      <c r="K10772">
        <v>9</v>
      </c>
      <c r="L10772">
        <f>IF(AND($J10772=0,$K10772=0),0,1)</f>
        <v>1</v>
      </c>
    </row>
    <row r="10773" spans="1:12" x14ac:dyDescent="0.2">
      <c r="A10773" t="s">
        <v>70</v>
      </c>
      <c r="B10773" t="s">
        <v>71</v>
      </c>
      <c r="C10773" t="s">
        <v>72</v>
      </c>
      <c r="D10773">
        <v>4999</v>
      </c>
      <c r="E10773">
        <v>2020</v>
      </c>
      <c r="F10773">
        <v>2</v>
      </c>
      <c r="G10773">
        <v>12590</v>
      </c>
      <c r="H10773" s="1" t="s">
        <v>1827</v>
      </c>
      <c r="I10773">
        <v>1</v>
      </c>
      <c r="J10773">
        <f>IF($H10773=0,1,IF($I10773&lt;=1,2,0))</f>
        <v>2</v>
      </c>
      <c r="K10773">
        <v>9</v>
      </c>
      <c r="L10773">
        <f>IF(AND($J10773=0,$K10773=0),0,1)</f>
        <v>1</v>
      </c>
    </row>
    <row r="10774" spans="1:12" x14ac:dyDescent="0.2">
      <c r="A10774" t="s">
        <v>70</v>
      </c>
      <c r="B10774" t="s">
        <v>71</v>
      </c>
      <c r="C10774" t="s">
        <v>72</v>
      </c>
      <c r="D10774">
        <v>4999</v>
      </c>
      <c r="E10774">
        <v>2020</v>
      </c>
      <c r="F10774">
        <v>3</v>
      </c>
      <c r="G10774">
        <v>25136</v>
      </c>
      <c r="H10774" s="1" t="s">
        <v>1827</v>
      </c>
      <c r="I10774">
        <v>0</v>
      </c>
      <c r="J10774">
        <f>IF($H10774=0,1,IF($I10774&lt;=1,2,0))</f>
        <v>2</v>
      </c>
      <c r="K10774">
        <v>9</v>
      </c>
      <c r="L10774">
        <f>IF(AND($J10774=0,$K10774=0),0,1)</f>
        <v>1</v>
      </c>
    </row>
    <row r="10775" spans="1:12" x14ac:dyDescent="0.2">
      <c r="A10775" t="s">
        <v>70</v>
      </c>
      <c r="B10775" t="s">
        <v>71</v>
      </c>
      <c r="C10775" t="s">
        <v>72</v>
      </c>
      <c r="D10775">
        <v>6650</v>
      </c>
      <c r="E10775">
        <v>2020</v>
      </c>
      <c r="F10775">
        <v>20</v>
      </c>
      <c r="G10775">
        <v>12586</v>
      </c>
      <c r="H10775" s="1" t="s">
        <v>1828</v>
      </c>
      <c r="I10775">
        <v>1</v>
      </c>
      <c r="J10775">
        <f>IF($H10775=0,1,IF($I10775&lt;=1,2,0))</f>
        <v>2</v>
      </c>
      <c r="K10775">
        <v>0</v>
      </c>
      <c r="L10775">
        <f>IF(AND($J10775=0,$K10775=0),0,1)</f>
        <v>1</v>
      </c>
    </row>
    <row r="10776" spans="1:12" x14ac:dyDescent="0.2">
      <c r="A10776" t="s">
        <v>70</v>
      </c>
      <c r="B10776" t="s">
        <v>71</v>
      </c>
      <c r="C10776" t="s">
        <v>72</v>
      </c>
      <c r="D10776">
        <v>6650</v>
      </c>
      <c r="E10776">
        <v>2020</v>
      </c>
      <c r="F10776">
        <v>26</v>
      </c>
      <c r="G10776">
        <v>12587</v>
      </c>
      <c r="H10776" s="1" t="s">
        <v>1828</v>
      </c>
      <c r="I10776">
        <v>1</v>
      </c>
      <c r="J10776">
        <f>IF($H10776=0,1,IF($I10776&lt;=1,2,0))</f>
        <v>2</v>
      </c>
      <c r="K10776">
        <v>0</v>
      </c>
      <c r="L10776">
        <f>IF(AND($J10776=0,$K10776=0),0,1)</f>
        <v>1</v>
      </c>
    </row>
    <row r="10777" spans="1:12" x14ac:dyDescent="0.2">
      <c r="A10777" t="s">
        <v>70</v>
      </c>
      <c r="B10777" t="s">
        <v>71</v>
      </c>
      <c r="C10777" t="s">
        <v>72</v>
      </c>
      <c r="D10777">
        <v>6650</v>
      </c>
      <c r="E10777">
        <v>2020</v>
      </c>
      <c r="F10777">
        <v>39</v>
      </c>
      <c r="G10777">
        <v>24846</v>
      </c>
      <c r="H10777" s="1" t="s">
        <v>1828</v>
      </c>
      <c r="I10777">
        <v>1</v>
      </c>
      <c r="J10777">
        <f>IF($H10777=0,1,IF($I10777&lt;=1,2,0))</f>
        <v>2</v>
      </c>
      <c r="K10777">
        <v>0</v>
      </c>
      <c r="L10777">
        <f>IF(AND($J10777=0,$K10777=0),0,1)</f>
        <v>1</v>
      </c>
    </row>
    <row r="10778" spans="1:12" x14ac:dyDescent="0.2">
      <c r="A10778" t="s">
        <v>70</v>
      </c>
      <c r="B10778" t="s">
        <v>71</v>
      </c>
      <c r="C10778" t="s">
        <v>72</v>
      </c>
      <c r="D10778">
        <v>6650</v>
      </c>
      <c r="E10778">
        <v>2020</v>
      </c>
      <c r="F10778">
        <v>10</v>
      </c>
      <c r="G10778">
        <v>12581</v>
      </c>
      <c r="H10778" s="1" t="s">
        <v>1828</v>
      </c>
      <c r="I10778">
        <v>0</v>
      </c>
      <c r="J10778">
        <f>IF($H10778=0,1,IF($I10778&lt;=1,2,0))</f>
        <v>2</v>
      </c>
      <c r="K10778">
        <v>0</v>
      </c>
      <c r="L10778">
        <f>IF(AND($J10778=0,$K10778=0),0,1)</f>
        <v>1</v>
      </c>
    </row>
    <row r="10779" spans="1:12" x14ac:dyDescent="0.2">
      <c r="A10779" t="s">
        <v>70</v>
      </c>
      <c r="B10779" t="s">
        <v>71</v>
      </c>
      <c r="C10779" t="s">
        <v>72</v>
      </c>
      <c r="D10779">
        <v>6650</v>
      </c>
      <c r="E10779">
        <v>2020</v>
      </c>
      <c r="F10779">
        <v>11</v>
      </c>
      <c r="G10779">
        <v>12582</v>
      </c>
      <c r="H10779" s="1" t="s">
        <v>1828</v>
      </c>
      <c r="I10779">
        <v>0</v>
      </c>
      <c r="J10779">
        <f>IF($H10779=0,1,IF($I10779&lt;=1,2,0))</f>
        <v>2</v>
      </c>
      <c r="K10779">
        <v>0</v>
      </c>
      <c r="L10779">
        <f>IF(AND($J10779=0,$K10779=0),0,1)</f>
        <v>1</v>
      </c>
    </row>
    <row r="10780" spans="1:12" x14ac:dyDescent="0.2">
      <c r="A10780" t="s">
        <v>70</v>
      </c>
      <c r="B10780" t="s">
        <v>71</v>
      </c>
      <c r="C10780" t="s">
        <v>72</v>
      </c>
      <c r="D10780">
        <v>6650</v>
      </c>
      <c r="E10780">
        <v>2020</v>
      </c>
      <c r="F10780">
        <v>17</v>
      </c>
      <c r="G10780">
        <v>12584</v>
      </c>
      <c r="H10780" s="1" t="s">
        <v>1828</v>
      </c>
      <c r="I10780">
        <v>0</v>
      </c>
      <c r="J10780">
        <f>IF($H10780=0,1,IF($I10780&lt;=1,2,0))</f>
        <v>2</v>
      </c>
      <c r="K10780">
        <v>0</v>
      </c>
      <c r="L10780">
        <f>IF(AND($J10780=0,$K10780=0),0,1)</f>
        <v>1</v>
      </c>
    </row>
    <row r="10781" spans="1:12" x14ac:dyDescent="0.2">
      <c r="A10781" t="s">
        <v>70</v>
      </c>
      <c r="B10781" t="s">
        <v>71</v>
      </c>
      <c r="C10781" t="s">
        <v>72</v>
      </c>
      <c r="D10781">
        <v>6650</v>
      </c>
      <c r="E10781">
        <v>2020</v>
      </c>
      <c r="F10781">
        <v>18</v>
      </c>
      <c r="G10781">
        <v>12585</v>
      </c>
      <c r="H10781" s="1" t="s">
        <v>1828</v>
      </c>
      <c r="I10781">
        <v>0</v>
      </c>
      <c r="J10781">
        <f>IF($H10781=0,1,IF($I10781&lt;=1,2,0))</f>
        <v>2</v>
      </c>
      <c r="K10781">
        <v>0</v>
      </c>
      <c r="L10781">
        <f>IF(AND($J10781=0,$K10781=0),0,1)</f>
        <v>1</v>
      </c>
    </row>
    <row r="10782" spans="1:12" x14ac:dyDescent="0.2">
      <c r="A10782" t="s">
        <v>70</v>
      </c>
      <c r="B10782" t="s">
        <v>71</v>
      </c>
      <c r="C10782" t="s">
        <v>72</v>
      </c>
      <c r="D10782">
        <v>6650</v>
      </c>
      <c r="E10782">
        <v>2020</v>
      </c>
      <c r="F10782">
        <v>31</v>
      </c>
      <c r="G10782">
        <v>12588</v>
      </c>
      <c r="H10782" s="1" t="s">
        <v>1828</v>
      </c>
      <c r="I10782">
        <v>0</v>
      </c>
      <c r="J10782">
        <f>IF($H10782=0,1,IF($I10782&lt;=1,2,0))</f>
        <v>2</v>
      </c>
      <c r="K10782">
        <v>0</v>
      </c>
      <c r="L10782">
        <f>IF(AND($J10782=0,$K10782=0),0,1)</f>
        <v>1</v>
      </c>
    </row>
    <row r="10783" spans="1:12" x14ac:dyDescent="0.2">
      <c r="A10783" t="s">
        <v>70</v>
      </c>
      <c r="B10783" t="s">
        <v>71</v>
      </c>
      <c r="C10783" t="s">
        <v>72</v>
      </c>
      <c r="D10783">
        <v>6650</v>
      </c>
      <c r="E10783">
        <v>2020</v>
      </c>
      <c r="F10783">
        <v>37</v>
      </c>
      <c r="G10783">
        <v>12589</v>
      </c>
      <c r="H10783" s="1" t="s">
        <v>1828</v>
      </c>
      <c r="I10783">
        <v>0</v>
      </c>
      <c r="J10783">
        <f>IF($H10783=0,1,IF($I10783&lt;=1,2,0))</f>
        <v>2</v>
      </c>
      <c r="K10783">
        <v>0</v>
      </c>
      <c r="L10783">
        <f>IF(AND($J10783=0,$K10783=0),0,1)</f>
        <v>1</v>
      </c>
    </row>
    <row r="10784" spans="1:12" x14ac:dyDescent="0.2">
      <c r="A10784" t="s">
        <v>70</v>
      </c>
      <c r="B10784" t="s">
        <v>71</v>
      </c>
      <c r="C10784" t="s">
        <v>72</v>
      </c>
      <c r="D10784">
        <v>9301</v>
      </c>
      <c r="E10784">
        <v>2020</v>
      </c>
      <c r="F10784">
        <v>9</v>
      </c>
      <c r="G10784">
        <v>12561</v>
      </c>
      <c r="H10784" s="1" t="s">
        <v>1829</v>
      </c>
      <c r="I10784">
        <v>5</v>
      </c>
      <c r="J10784">
        <f>IF($H10784=0,1,IF($I10784&lt;=1,2,0))</f>
        <v>0</v>
      </c>
      <c r="K10784">
        <v>5</v>
      </c>
      <c r="L10784">
        <f>IF(AND($J10784=0,$K10784=0),0,1)</f>
        <v>1</v>
      </c>
    </row>
    <row r="10785" spans="1:12" x14ac:dyDescent="0.2">
      <c r="A10785" t="s">
        <v>70</v>
      </c>
      <c r="B10785" t="s">
        <v>71</v>
      </c>
      <c r="C10785" t="s">
        <v>72</v>
      </c>
      <c r="D10785">
        <v>9301</v>
      </c>
      <c r="E10785">
        <v>2020</v>
      </c>
      <c r="F10785">
        <v>10</v>
      </c>
      <c r="G10785">
        <v>12562</v>
      </c>
      <c r="H10785" s="1" t="s">
        <v>1829</v>
      </c>
      <c r="I10785">
        <v>5</v>
      </c>
      <c r="J10785">
        <f>IF($H10785=0,1,IF($I10785&lt;=1,2,0))</f>
        <v>0</v>
      </c>
      <c r="K10785">
        <v>5</v>
      </c>
      <c r="L10785">
        <f>IF(AND($J10785=0,$K10785=0),0,1)</f>
        <v>1</v>
      </c>
    </row>
    <row r="10786" spans="1:12" x14ac:dyDescent="0.2">
      <c r="A10786" t="s">
        <v>70</v>
      </c>
      <c r="B10786" t="s">
        <v>71</v>
      </c>
      <c r="C10786" t="s">
        <v>72</v>
      </c>
      <c r="D10786">
        <v>9301</v>
      </c>
      <c r="E10786">
        <v>2020</v>
      </c>
      <c r="F10786">
        <v>17</v>
      </c>
      <c r="G10786">
        <v>12567</v>
      </c>
      <c r="H10786" s="1" t="s">
        <v>1829</v>
      </c>
      <c r="I10786">
        <v>5</v>
      </c>
      <c r="J10786">
        <f>IF($H10786=0,1,IF($I10786&lt;=1,2,0))</f>
        <v>0</v>
      </c>
      <c r="K10786">
        <v>5</v>
      </c>
      <c r="L10786">
        <f>IF(AND($J10786=0,$K10786=0),0,1)</f>
        <v>1</v>
      </c>
    </row>
    <row r="10787" spans="1:12" x14ac:dyDescent="0.2">
      <c r="A10787" t="s">
        <v>70</v>
      </c>
      <c r="B10787" t="s">
        <v>71</v>
      </c>
      <c r="C10787" t="s">
        <v>72</v>
      </c>
      <c r="D10787">
        <v>9301</v>
      </c>
      <c r="E10787">
        <v>2020</v>
      </c>
      <c r="F10787">
        <v>34</v>
      </c>
      <c r="G10787">
        <v>12578</v>
      </c>
      <c r="H10787" s="1" t="s">
        <v>1829</v>
      </c>
      <c r="I10787">
        <v>5</v>
      </c>
      <c r="J10787">
        <f>IF($H10787=0,1,IF($I10787&lt;=1,2,0))</f>
        <v>0</v>
      </c>
      <c r="K10787">
        <v>5</v>
      </c>
      <c r="L10787">
        <f>IF(AND($J10787=0,$K10787=0),0,1)</f>
        <v>1</v>
      </c>
    </row>
    <row r="10788" spans="1:12" x14ac:dyDescent="0.2">
      <c r="A10788" t="s">
        <v>70</v>
      </c>
      <c r="B10788" t="s">
        <v>71</v>
      </c>
      <c r="C10788" t="s">
        <v>72</v>
      </c>
      <c r="D10788">
        <v>9301</v>
      </c>
      <c r="E10788">
        <v>2020</v>
      </c>
      <c r="F10788">
        <v>16</v>
      </c>
      <c r="G10788">
        <v>22306</v>
      </c>
      <c r="H10788" s="1" t="s">
        <v>1829</v>
      </c>
      <c r="I10788">
        <v>4</v>
      </c>
      <c r="J10788">
        <f>IF($H10788=0,1,IF($I10788&lt;=1,2,0))</f>
        <v>0</v>
      </c>
      <c r="K10788">
        <v>5</v>
      </c>
      <c r="L10788">
        <f>IF(AND($J10788=0,$K10788=0),0,1)</f>
        <v>1</v>
      </c>
    </row>
    <row r="10789" spans="1:12" x14ac:dyDescent="0.2">
      <c r="A10789" t="s">
        <v>70</v>
      </c>
      <c r="B10789" t="s">
        <v>71</v>
      </c>
      <c r="C10789" t="s">
        <v>72</v>
      </c>
      <c r="D10789">
        <v>9301</v>
      </c>
      <c r="E10789">
        <v>2020</v>
      </c>
      <c r="F10789">
        <v>15</v>
      </c>
      <c r="G10789">
        <v>12566</v>
      </c>
      <c r="H10789" s="1" t="s">
        <v>1829</v>
      </c>
      <c r="I10789">
        <v>3</v>
      </c>
      <c r="J10789">
        <f>IF($H10789=0,1,IF($I10789&lt;=1,2,0))</f>
        <v>0</v>
      </c>
      <c r="K10789">
        <v>5</v>
      </c>
      <c r="L10789">
        <f>IF(AND($J10789=0,$K10789=0),0,1)</f>
        <v>1</v>
      </c>
    </row>
    <row r="10790" spans="1:12" x14ac:dyDescent="0.2">
      <c r="A10790" t="s">
        <v>70</v>
      </c>
      <c r="B10790" t="s">
        <v>71</v>
      </c>
      <c r="C10790" t="s">
        <v>72</v>
      </c>
      <c r="D10790">
        <v>9301</v>
      </c>
      <c r="E10790">
        <v>2020</v>
      </c>
      <c r="F10790">
        <v>18</v>
      </c>
      <c r="G10790">
        <v>12568</v>
      </c>
      <c r="H10790" s="1" t="s">
        <v>1829</v>
      </c>
      <c r="I10790">
        <v>3</v>
      </c>
      <c r="J10790">
        <f>IF($H10790=0,1,IF($I10790&lt;=1,2,0))</f>
        <v>0</v>
      </c>
      <c r="K10790">
        <v>5</v>
      </c>
      <c r="L10790">
        <f>IF(AND($J10790=0,$K10790=0),0,1)</f>
        <v>1</v>
      </c>
    </row>
    <row r="10791" spans="1:12" x14ac:dyDescent="0.2">
      <c r="A10791" t="s">
        <v>70</v>
      </c>
      <c r="B10791" t="s">
        <v>71</v>
      </c>
      <c r="C10791" t="s">
        <v>72</v>
      </c>
      <c r="D10791">
        <v>9301</v>
      </c>
      <c r="E10791">
        <v>2020</v>
      </c>
      <c r="F10791">
        <v>22</v>
      </c>
      <c r="G10791">
        <v>12570</v>
      </c>
      <c r="H10791" s="1" t="s">
        <v>1829</v>
      </c>
      <c r="I10791">
        <v>2</v>
      </c>
      <c r="J10791">
        <f>IF($H10791=0,1,IF($I10791&lt;=1,2,0))</f>
        <v>0</v>
      </c>
      <c r="K10791">
        <v>5</v>
      </c>
      <c r="L10791">
        <f>IF(AND($J10791=0,$K10791=0),0,1)</f>
        <v>1</v>
      </c>
    </row>
    <row r="10792" spans="1:12" x14ac:dyDescent="0.2">
      <c r="A10792" t="s">
        <v>70</v>
      </c>
      <c r="B10792" t="s">
        <v>71</v>
      </c>
      <c r="C10792" t="s">
        <v>72</v>
      </c>
      <c r="D10792">
        <v>9301</v>
      </c>
      <c r="E10792">
        <v>2020</v>
      </c>
      <c r="F10792">
        <v>24</v>
      </c>
      <c r="G10792">
        <v>12571</v>
      </c>
      <c r="H10792" s="1" t="s">
        <v>1829</v>
      </c>
      <c r="I10792">
        <v>2</v>
      </c>
      <c r="J10792">
        <f>IF($H10792=0,1,IF($I10792&lt;=1,2,0))</f>
        <v>0</v>
      </c>
      <c r="K10792">
        <v>5</v>
      </c>
      <c r="L10792">
        <f>IF(AND($J10792=0,$K10792=0),0,1)</f>
        <v>1</v>
      </c>
    </row>
    <row r="10793" spans="1:12" x14ac:dyDescent="0.2">
      <c r="A10793" t="s">
        <v>70</v>
      </c>
      <c r="B10793" t="s">
        <v>71</v>
      </c>
      <c r="C10793" t="s">
        <v>72</v>
      </c>
      <c r="D10793">
        <v>9301</v>
      </c>
      <c r="E10793">
        <v>2020</v>
      </c>
      <c r="F10793">
        <v>32</v>
      </c>
      <c r="G10793">
        <v>12577</v>
      </c>
      <c r="H10793" s="1" t="s">
        <v>1829</v>
      </c>
      <c r="I10793">
        <v>2</v>
      </c>
      <c r="J10793">
        <f>IF($H10793=0,1,IF($I10793&lt;=1,2,0))</f>
        <v>0</v>
      </c>
      <c r="K10793">
        <v>5</v>
      </c>
      <c r="L10793">
        <f>IF(AND($J10793=0,$K10793=0),0,1)</f>
        <v>1</v>
      </c>
    </row>
    <row r="10794" spans="1:12" x14ac:dyDescent="0.2">
      <c r="A10794" t="s">
        <v>70</v>
      </c>
      <c r="B10794" t="s">
        <v>71</v>
      </c>
      <c r="C10794" t="s">
        <v>72</v>
      </c>
      <c r="D10794">
        <v>9301</v>
      </c>
      <c r="E10794">
        <v>2020</v>
      </c>
      <c r="F10794">
        <v>36</v>
      </c>
      <c r="G10794">
        <v>12580</v>
      </c>
      <c r="H10794" s="1" t="s">
        <v>1829</v>
      </c>
      <c r="I10794">
        <v>2</v>
      </c>
      <c r="J10794">
        <f>IF($H10794=0,1,IF($I10794&lt;=1,2,0))</f>
        <v>0</v>
      </c>
      <c r="K10794">
        <v>5</v>
      </c>
      <c r="L10794">
        <f>IF(AND($J10794=0,$K10794=0),0,1)</f>
        <v>1</v>
      </c>
    </row>
    <row r="10795" spans="1:12" x14ac:dyDescent="0.2">
      <c r="A10795" t="s">
        <v>70</v>
      </c>
      <c r="B10795" t="s">
        <v>71</v>
      </c>
      <c r="C10795" t="s">
        <v>72</v>
      </c>
      <c r="D10795">
        <v>9301</v>
      </c>
      <c r="E10795">
        <v>2020</v>
      </c>
      <c r="F10795">
        <v>5</v>
      </c>
      <c r="G10795">
        <v>12560</v>
      </c>
      <c r="H10795" s="1" t="s">
        <v>1829</v>
      </c>
      <c r="I10795">
        <v>1</v>
      </c>
      <c r="J10795">
        <f>IF($H10795=0,1,IF($I10795&lt;=1,2,0))</f>
        <v>2</v>
      </c>
      <c r="K10795">
        <v>5</v>
      </c>
      <c r="L10795">
        <f>IF(AND($J10795=0,$K10795=0),0,1)</f>
        <v>1</v>
      </c>
    </row>
    <row r="10796" spans="1:12" x14ac:dyDescent="0.2">
      <c r="A10796" t="s">
        <v>70</v>
      </c>
      <c r="B10796" t="s">
        <v>71</v>
      </c>
      <c r="C10796" t="s">
        <v>72</v>
      </c>
      <c r="D10796">
        <v>9301</v>
      </c>
      <c r="E10796">
        <v>2020</v>
      </c>
      <c r="F10796">
        <v>11</v>
      </c>
      <c r="G10796">
        <v>12563</v>
      </c>
      <c r="H10796" s="1" t="s">
        <v>1829</v>
      </c>
      <c r="I10796">
        <v>1</v>
      </c>
      <c r="J10796">
        <f>IF($H10796=0,1,IF($I10796&lt;=1,2,0))</f>
        <v>2</v>
      </c>
      <c r="K10796">
        <v>5</v>
      </c>
      <c r="L10796">
        <f>IF(AND($J10796=0,$K10796=0),0,1)</f>
        <v>1</v>
      </c>
    </row>
    <row r="10797" spans="1:12" x14ac:dyDescent="0.2">
      <c r="A10797" t="s">
        <v>70</v>
      </c>
      <c r="B10797" t="s">
        <v>71</v>
      </c>
      <c r="C10797" t="s">
        <v>72</v>
      </c>
      <c r="D10797">
        <v>9301</v>
      </c>
      <c r="E10797">
        <v>2020</v>
      </c>
      <c r="F10797">
        <v>13</v>
      </c>
      <c r="G10797">
        <v>12565</v>
      </c>
      <c r="H10797" s="1" t="s">
        <v>1829</v>
      </c>
      <c r="I10797">
        <v>1</v>
      </c>
      <c r="J10797">
        <f>IF($H10797=0,1,IF($I10797&lt;=1,2,0))</f>
        <v>2</v>
      </c>
      <c r="K10797">
        <v>5</v>
      </c>
      <c r="L10797">
        <f>IF(AND($J10797=0,$K10797=0),0,1)</f>
        <v>1</v>
      </c>
    </row>
    <row r="10798" spans="1:12" x14ac:dyDescent="0.2">
      <c r="A10798" t="s">
        <v>70</v>
      </c>
      <c r="B10798" t="s">
        <v>71</v>
      </c>
      <c r="C10798" t="s">
        <v>72</v>
      </c>
      <c r="D10798">
        <v>9301</v>
      </c>
      <c r="E10798">
        <v>2020</v>
      </c>
      <c r="F10798">
        <v>25</v>
      </c>
      <c r="G10798">
        <v>12572</v>
      </c>
      <c r="H10798" s="1" t="s">
        <v>1829</v>
      </c>
      <c r="I10798">
        <v>1</v>
      </c>
      <c r="J10798">
        <f>IF($H10798=0,1,IF($I10798&lt;=1,2,0))</f>
        <v>2</v>
      </c>
      <c r="K10798">
        <v>5</v>
      </c>
      <c r="L10798">
        <f>IF(AND($J10798=0,$K10798=0),0,1)</f>
        <v>1</v>
      </c>
    </row>
    <row r="10799" spans="1:12" x14ac:dyDescent="0.2">
      <c r="A10799" t="s">
        <v>70</v>
      </c>
      <c r="B10799" t="s">
        <v>71</v>
      </c>
      <c r="C10799" t="s">
        <v>72</v>
      </c>
      <c r="D10799">
        <v>9301</v>
      </c>
      <c r="E10799">
        <v>2020</v>
      </c>
      <c r="F10799">
        <v>26</v>
      </c>
      <c r="G10799">
        <v>12573</v>
      </c>
      <c r="H10799" s="1" t="s">
        <v>1829</v>
      </c>
      <c r="I10799">
        <v>1</v>
      </c>
      <c r="J10799">
        <f>IF($H10799=0,1,IF($I10799&lt;=1,2,0))</f>
        <v>2</v>
      </c>
      <c r="K10799">
        <v>5</v>
      </c>
      <c r="L10799">
        <f>IF(AND($J10799=0,$K10799=0),0,1)</f>
        <v>1</v>
      </c>
    </row>
    <row r="10800" spans="1:12" x14ac:dyDescent="0.2">
      <c r="A10800" t="s">
        <v>70</v>
      </c>
      <c r="B10800" t="s">
        <v>71</v>
      </c>
      <c r="C10800" t="s">
        <v>72</v>
      </c>
      <c r="D10800">
        <v>9301</v>
      </c>
      <c r="E10800">
        <v>2020</v>
      </c>
      <c r="F10800">
        <v>28</v>
      </c>
      <c r="G10800">
        <v>12574</v>
      </c>
      <c r="H10800" s="1" t="s">
        <v>1829</v>
      </c>
      <c r="I10800">
        <v>1</v>
      </c>
      <c r="J10800">
        <f>IF($H10800=0,1,IF($I10800&lt;=1,2,0))</f>
        <v>2</v>
      </c>
      <c r="K10800">
        <v>5</v>
      </c>
      <c r="L10800">
        <f>IF(AND($J10800=0,$K10800=0),0,1)</f>
        <v>1</v>
      </c>
    </row>
    <row r="10801" spans="1:12" x14ac:dyDescent="0.2">
      <c r="A10801" t="s">
        <v>70</v>
      </c>
      <c r="B10801" t="s">
        <v>71</v>
      </c>
      <c r="C10801" t="s">
        <v>72</v>
      </c>
      <c r="D10801">
        <v>9301</v>
      </c>
      <c r="E10801">
        <v>2020</v>
      </c>
      <c r="F10801">
        <v>30</v>
      </c>
      <c r="G10801">
        <v>12575</v>
      </c>
      <c r="H10801" s="1" t="s">
        <v>1829</v>
      </c>
      <c r="I10801">
        <v>1</v>
      </c>
      <c r="J10801">
        <f>IF($H10801=0,1,IF($I10801&lt;=1,2,0))</f>
        <v>2</v>
      </c>
      <c r="K10801">
        <v>5</v>
      </c>
      <c r="L10801">
        <f>IF(AND($J10801=0,$K10801=0),0,1)</f>
        <v>1</v>
      </c>
    </row>
    <row r="10802" spans="1:12" x14ac:dyDescent="0.2">
      <c r="A10802" t="s">
        <v>70</v>
      </c>
      <c r="B10802" t="s">
        <v>71</v>
      </c>
      <c r="C10802" t="s">
        <v>72</v>
      </c>
      <c r="D10802">
        <v>9301</v>
      </c>
      <c r="E10802">
        <v>2020</v>
      </c>
      <c r="F10802">
        <v>31</v>
      </c>
      <c r="G10802">
        <v>12576</v>
      </c>
      <c r="H10802" s="1" t="s">
        <v>1829</v>
      </c>
      <c r="I10802">
        <v>1</v>
      </c>
      <c r="J10802">
        <f>IF($H10802=0,1,IF($I10802&lt;=1,2,0))</f>
        <v>2</v>
      </c>
      <c r="K10802">
        <v>5</v>
      </c>
      <c r="L10802">
        <f>IF(AND($J10802=0,$K10802=0),0,1)</f>
        <v>1</v>
      </c>
    </row>
    <row r="10803" spans="1:12" x14ac:dyDescent="0.2">
      <c r="A10803" t="s">
        <v>70</v>
      </c>
      <c r="B10803" t="s">
        <v>71</v>
      </c>
      <c r="C10803" t="s">
        <v>72</v>
      </c>
      <c r="D10803">
        <v>9301</v>
      </c>
      <c r="E10803">
        <v>2020</v>
      </c>
      <c r="F10803">
        <v>35</v>
      </c>
      <c r="G10803">
        <v>12579</v>
      </c>
      <c r="H10803" s="1" t="s">
        <v>1829</v>
      </c>
      <c r="I10803">
        <v>1</v>
      </c>
      <c r="J10803">
        <f>IF($H10803=0,1,IF($I10803&lt;=1,2,0))</f>
        <v>2</v>
      </c>
      <c r="K10803">
        <v>5</v>
      </c>
      <c r="L10803">
        <f>IF(AND($J10803=0,$K10803=0),0,1)</f>
        <v>1</v>
      </c>
    </row>
    <row r="10804" spans="1:12" x14ac:dyDescent="0.2">
      <c r="A10804" t="s">
        <v>70</v>
      </c>
      <c r="B10804" t="s">
        <v>71</v>
      </c>
      <c r="C10804" t="s">
        <v>72</v>
      </c>
      <c r="D10804">
        <v>9301</v>
      </c>
      <c r="E10804">
        <v>2020</v>
      </c>
      <c r="F10804">
        <v>12</v>
      </c>
      <c r="G10804">
        <v>12564</v>
      </c>
      <c r="H10804" s="1" t="s">
        <v>1829</v>
      </c>
      <c r="I10804">
        <v>0</v>
      </c>
      <c r="J10804">
        <f>IF($H10804=0,1,IF($I10804&lt;=1,2,0))</f>
        <v>2</v>
      </c>
      <c r="K10804">
        <v>5</v>
      </c>
      <c r="L10804">
        <f>IF(AND($J10804=0,$K10804=0),0,1)</f>
        <v>1</v>
      </c>
    </row>
    <row r="10805" spans="1:12" x14ac:dyDescent="0.2">
      <c r="A10805" t="s">
        <v>70</v>
      </c>
      <c r="B10805" t="s">
        <v>71</v>
      </c>
      <c r="C10805" t="s">
        <v>72</v>
      </c>
      <c r="D10805">
        <v>9301</v>
      </c>
      <c r="E10805">
        <v>2020</v>
      </c>
      <c r="F10805">
        <v>21</v>
      </c>
      <c r="G10805">
        <v>12569</v>
      </c>
      <c r="H10805" s="1" t="s">
        <v>1829</v>
      </c>
      <c r="I10805">
        <v>0</v>
      </c>
      <c r="J10805">
        <f>IF($H10805=0,1,IF($I10805&lt;=1,2,0))</f>
        <v>2</v>
      </c>
      <c r="K10805">
        <v>5</v>
      </c>
      <c r="L10805">
        <f>IF(AND($J10805=0,$K10805=0),0,1)</f>
        <v>1</v>
      </c>
    </row>
    <row r="10806" spans="1:12" x14ac:dyDescent="0.2">
      <c r="A10806" t="s">
        <v>75</v>
      </c>
      <c r="B10806" t="s">
        <v>71</v>
      </c>
      <c r="C10806" t="s">
        <v>72</v>
      </c>
      <c r="D10806">
        <v>2001</v>
      </c>
      <c r="E10806">
        <v>2020</v>
      </c>
      <c r="F10806" t="s">
        <v>60</v>
      </c>
      <c r="G10806">
        <v>12595</v>
      </c>
      <c r="H10806" s="1">
        <v>0</v>
      </c>
      <c r="I10806">
        <v>29</v>
      </c>
      <c r="J10806">
        <f>IF($H10806=0,1,IF($I10806&lt;=1,2,0))</f>
        <v>1</v>
      </c>
      <c r="K10806">
        <v>0</v>
      </c>
      <c r="L10806">
        <f>IF(AND($J10806=0,$K10806=0),0,1)</f>
        <v>1</v>
      </c>
    </row>
    <row r="10807" spans="1:12" x14ac:dyDescent="0.2">
      <c r="A10807" t="s">
        <v>75</v>
      </c>
      <c r="B10807" t="s">
        <v>71</v>
      </c>
      <c r="C10807" t="s">
        <v>72</v>
      </c>
      <c r="D10807">
        <v>2001</v>
      </c>
      <c r="E10807">
        <v>2020</v>
      </c>
      <c r="F10807" t="s">
        <v>77</v>
      </c>
      <c r="G10807">
        <v>12596</v>
      </c>
      <c r="H10807" s="1">
        <v>0</v>
      </c>
      <c r="I10807">
        <v>29</v>
      </c>
      <c r="J10807">
        <f>IF($H10807=0,1,IF($I10807&lt;=1,2,0))</f>
        <v>1</v>
      </c>
      <c r="K10807">
        <v>0</v>
      </c>
      <c r="L10807">
        <f>IF(AND($J10807=0,$K10807=0),0,1)</f>
        <v>1</v>
      </c>
    </row>
    <row r="10808" spans="1:12" x14ac:dyDescent="0.2">
      <c r="A10808" t="s">
        <v>75</v>
      </c>
      <c r="B10808" t="s">
        <v>71</v>
      </c>
      <c r="C10808" t="s">
        <v>72</v>
      </c>
      <c r="D10808">
        <v>2001</v>
      </c>
      <c r="E10808">
        <v>2020</v>
      </c>
      <c r="F10808" t="s">
        <v>78</v>
      </c>
      <c r="G10808">
        <v>12598</v>
      </c>
      <c r="H10808" s="1">
        <v>0</v>
      </c>
      <c r="I10808">
        <v>29</v>
      </c>
      <c r="J10808">
        <f>IF($H10808=0,1,IF($I10808&lt;=1,2,0))</f>
        <v>1</v>
      </c>
      <c r="K10808">
        <v>0</v>
      </c>
      <c r="L10808">
        <f>IF(AND($J10808=0,$K10808=0),0,1)</f>
        <v>1</v>
      </c>
    </row>
    <row r="10809" spans="1:12" x14ac:dyDescent="0.2">
      <c r="A10809" t="s">
        <v>75</v>
      </c>
      <c r="B10809" t="s">
        <v>71</v>
      </c>
      <c r="C10809" t="s">
        <v>72</v>
      </c>
      <c r="D10809">
        <v>2001</v>
      </c>
      <c r="E10809">
        <v>2020</v>
      </c>
      <c r="F10809" t="s">
        <v>80</v>
      </c>
      <c r="G10809">
        <v>12600</v>
      </c>
      <c r="H10809" s="1">
        <v>0</v>
      </c>
      <c r="I10809">
        <v>29</v>
      </c>
      <c r="J10809">
        <f>IF($H10809=0,1,IF($I10809&lt;=1,2,0))</f>
        <v>1</v>
      </c>
      <c r="K10809">
        <v>0</v>
      </c>
      <c r="L10809">
        <f>IF(AND($J10809=0,$K10809=0),0,1)</f>
        <v>1</v>
      </c>
    </row>
    <row r="10810" spans="1:12" x14ac:dyDescent="0.2">
      <c r="A10810" t="s">
        <v>75</v>
      </c>
      <c r="B10810" t="s">
        <v>71</v>
      </c>
      <c r="C10810" t="s">
        <v>72</v>
      </c>
      <c r="D10810">
        <v>2001</v>
      </c>
      <c r="E10810">
        <v>2020</v>
      </c>
      <c r="F10810" t="s">
        <v>81</v>
      </c>
      <c r="G10810">
        <v>12601</v>
      </c>
      <c r="H10810" s="1">
        <v>0</v>
      </c>
      <c r="I10810">
        <v>29</v>
      </c>
      <c r="J10810">
        <f>IF($H10810=0,1,IF($I10810&lt;=1,2,0))</f>
        <v>1</v>
      </c>
      <c r="K10810">
        <v>0</v>
      </c>
      <c r="L10810">
        <f>IF(AND($J10810=0,$K10810=0),0,1)</f>
        <v>1</v>
      </c>
    </row>
    <row r="10811" spans="1:12" x14ac:dyDescent="0.2">
      <c r="A10811" t="s">
        <v>75</v>
      </c>
      <c r="B10811" t="s">
        <v>71</v>
      </c>
      <c r="C10811" t="s">
        <v>72</v>
      </c>
      <c r="D10811">
        <v>2001</v>
      </c>
      <c r="E10811">
        <v>2020</v>
      </c>
      <c r="F10811" t="s">
        <v>83</v>
      </c>
      <c r="G10811">
        <v>12603</v>
      </c>
      <c r="H10811" s="1">
        <v>0</v>
      </c>
      <c r="I10811">
        <v>27</v>
      </c>
      <c r="J10811">
        <f>IF($H10811=0,1,IF($I10811&lt;=1,2,0))</f>
        <v>1</v>
      </c>
      <c r="K10811">
        <v>0</v>
      </c>
      <c r="L10811">
        <f>IF(AND($J10811=0,$K10811=0),0,1)</f>
        <v>1</v>
      </c>
    </row>
    <row r="10812" spans="1:12" x14ac:dyDescent="0.2">
      <c r="A10812" t="s">
        <v>75</v>
      </c>
      <c r="B10812" t="s">
        <v>71</v>
      </c>
      <c r="C10812" t="s">
        <v>72</v>
      </c>
      <c r="D10812">
        <v>2001</v>
      </c>
      <c r="E10812">
        <v>2020</v>
      </c>
      <c r="F10812" t="s">
        <v>59</v>
      </c>
      <c r="G10812">
        <v>12594</v>
      </c>
      <c r="H10812" s="1">
        <v>0</v>
      </c>
      <c r="I10812">
        <v>26</v>
      </c>
      <c r="J10812">
        <f>IF($H10812=0,1,IF($I10812&lt;=1,2,0))</f>
        <v>1</v>
      </c>
      <c r="K10812">
        <v>0</v>
      </c>
      <c r="L10812">
        <f>IF(AND($J10812=0,$K10812=0),0,1)</f>
        <v>1</v>
      </c>
    </row>
    <row r="10813" spans="1:12" x14ac:dyDescent="0.2">
      <c r="A10813" t="s">
        <v>75</v>
      </c>
      <c r="B10813" t="s">
        <v>71</v>
      </c>
      <c r="C10813" t="s">
        <v>72</v>
      </c>
      <c r="D10813">
        <v>2001</v>
      </c>
      <c r="E10813">
        <v>2020</v>
      </c>
      <c r="F10813" t="s">
        <v>79</v>
      </c>
      <c r="G10813">
        <v>12599</v>
      </c>
      <c r="H10813" s="1">
        <v>0</v>
      </c>
      <c r="I10813">
        <v>18</v>
      </c>
      <c r="J10813">
        <f>IF($H10813=0,1,IF($I10813&lt;=1,2,0))</f>
        <v>1</v>
      </c>
      <c r="K10813">
        <v>0</v>
      </c>
      <c r="L10813">
        <f>IF(AND($J10813=0,$K10813=0),0,1)</f>
        <v>1</v>
      </c>
    </row>
    <row r="10814" spans="1:12" x14ac:dyDescent="0.2">
      <c r="A10814" t="s">
        <v>75</v>
      </c>
      <c r="B10814" t="s">
        <v>71</v>
      </c>
      <c r="C10814" t="s">
        <v>72</v>
      </c>
      <c r="D10814">
        <v>2001</v>
      </c>
      <c r="E10814">
        <v>2020</v>
      </c>
      <c r="F10814" t="s">
        <v>82</v>
      </c>
      <c r="G10814">
        <v>12602</v>
      </c>
      <c r="H10814" s="1">
        <v>0</v>
      </c>
      <c r="I10814">
        <v>15</v>
      </c>
      <c r="J10814">
        <f>IF($H10814=0,1,IF($I10814&lt;=1,2,0))</f>
        <v>1</v>
      </c>
      <c r="K10814">
        <v>0</v>
      </c>
      <c r="L10814">
        <f>IF(AND($J10814=0,$K10814=0),0,1)</f>
        <v>1</v>
      </c>
    </row>
    <row r="10815" spans="1:12" x14ac:dyDescent="0.2">
      <c r="A10815" t="s">
        <v>75</v>
      </c>
      <c r="B10815" t="s">
        <v>71</v>
      </c>
      <c r="C10815" t="s">
        <v>72</v>
      </c>
      <c r="D10815">
        <v>3900</v>
      </c>
      <c r="E10815">
        <v>2020</v>
      </c>
      <c r="F10815">
        <v>5</v>
      </c>
      <c r="G10815">
        <v>22253</v>
      </c>
      <c r="H10815" s="1" t="s">
        <v>1830</v>
      </c>
      <c r="I10815">
        <v>4</v>
      </c>
      <c r="J10815">
        <f>IF($H10815=0,1,IF($I10815&lt;=1,2,0))</f>
        <v>0</v>
      </c>
      <c r="K10815">
        <v>9</v>
      </c>
      <c r="L10815">
        <f>IF(AND($J10815=0,$K10815=0),0,1)</f>
        <v>1</v>
      </c>
    </row>
    <row r="10816" spans="1:12" x14ac:dyDescent="0.2">
      <c r="A10816" t="s">
        <v>75</v>
      </c>
      <c r="B10816" t="s">
        <v>71</v>
      </c>
      <c r="C10816" t="s">
        <v>72</v>
      </c>
      <c r="D10816">
        <v>3900</v>
      </c>
      <c r="E10816">
        <v>2020</v>
      </c>
      <c r="F10816">
        <v>7</v>
      </c>
      <c r="G10816">
        <v>25146</v>
      </c>
      <c r="H10816" s="1" t="s">
        <v>1830</v>
      </c>
      <c r="I10816">
        <v>1</v>
      </c>
      <c r="J10816">
        <f>IF($H10816=0,1,IF($I10816&lt;=1,2,0))</f>
        <v>2</v>
      </c>
      <c r="K10816">
        <v>9</v>
      </c>
      <c r="L10816">
        <f>IF(AND($J10816=0,$K10816=0),0,1)</f>
        <v>1</v>
      </c>
    </row>
    <row r="10817" spans="1:13" x14ac:dyDescent="0.2">
      <c r="A10817" t="s">
        <v>86</v>
      </c>
      <c r="B10817" t="s">
        <v>71</v>
      </c>
      <c r="C10817" t="s">
        <v>72</v>
      </c>
      <c r="D10817">
        <v>3900</v>
      </c>
      <c r="E10817">
        <v>2020</v>
      </c>
      <c r="F10817">
        <v>6</v>
      </c>
      <c r="G10817">
        <v>22391</v>
      </c>
      <c r="H10817" s="1" t="s">
        <v>1830</v>
      </c>
      <c r="I10817">
        <v>2</v>
      </c>
      <c r="J10817">
        <f>IF($H10817=0,1,IF($I10817&lt;=1,2,0))</f>
        <v>0</v>
      </c>
      <c r="K10817">
        <v>9</v>
      </c>
      <c r="L10817">
        <f>IF(AND($J10817=0,$K10817=0),0,1)</f>
        <v>1</v>
      </c>
    </row>
    <row r="10818" spans="1:13" x14ac:dyDescent="0.2">
      <c r="A10818" t="s">
        <v>86</v>
      </c>
      <c r="B10818" t="s">
        <v>71</v>
      </c>
      <c r="C10818" t="s">
        <v>72</v>
      </c>
      <c r="D10818">
        <v>3900</v>
      </c>
      <c r="E10818">
        <v>2020</v>
      </c>
      <c r="F10818">
        <v>5</v>
      </c>
      <c r="G10818">
        <v>22392</v>
      </c>
      <c r="H10818" s="1" t="s">
        <v>1830</v>
      </c>
      <c r="I10818">
        <v>0</v>
      </c>
      <c r="J10818">
        <f>IF($H10818=0,1,IF($I10818&lt;=1,2,0))</f>
        <v>2</v>
      </c>
      <c r="K10818">
        <v>9</v>
      </c>
      <c r="L10818">
        <f>IF(AND($J10818=0,$K10818=0),0,1)</f>
        <v>1</v>
      </c>
    </row>
    <row r="10819" spans="1:13" x14ac:dyDescent="0.2">
      <c r="A10819" t="s">
        <v>86</v>
      </c>
      <c r="B10819" t="s">
        <v>71</v>
      </c>
      <c r="C10819" t="s">
        <v>72</v>
      </c>
      <c r="D10819">
        <v>6081</v>
      </c>
      <c r="E10819">
        <v>2020</v>
      </c>
      <c r="F10819" t="s">
        <v>84</v>
      </c>
      <c r="G10819">
        <v>21571</v>
      </c>
      <c r="H10819" s="1">
        <v>3</v>
      </c>
      <c r="I10819">
        <v>1</v>
      </c>
      <c r="J10819">
        <f>IF($H10819=0,1,IF($I10819&lt;=1,2,0))</f>
        <v>2</v>
      </c>
      <c r="K10819">
        <v>0</v>
      </c>
      <c r="L10819">
        <f>IF(AND($J10819=0,$K10819=0),0,1)</f>
        <v>1</v>
      </c>
      <c r="M10819" t="s">
        <v>85</v>
      </c>
    </row>
    <row r="10820" spans="1:13" x14ac:dyDescent="0.2">
      <c r="A10820" t="s">
        <v>93</v>
      </c>
      <c r="B10820" t="s">
        <v>17</v>
      </c>
      <c r="C10820" t="s">
        <v>21</v>
      </c>
      <c r="D10820">
        <v>3997</v>
      </c>
      <c r="E10820">
        <v>2020</v>
      </c>
      <c r="F10820">
        <v>3</v>
      </c>
      <c r="G10820">
        <v>668</v>
      </c>
      <c r="H10820" s="1" t="s">
        <v>1832</v>
      </c>
      <c r="I10820">
        <v>3</v>
      </c>
      <c r="J10820">
        <f>IF($H10820=0,1,IF($I10820&lt;=1,2,0))</f>
        <v>0</v>
      </c>
      <c r="K10820">
        <v>9</v>
      </c>
      <c r="L10820">
        <f>IF(AND($J10820=0,$K10820=0),0,1)</f>
        <v>1</v>
      </c>
      <c r="M10820" t="s">
        <v>858</v>
      </c>
    </row>
    <row r="10821" spans="1:13" x14ac:dyDescent="0.2">
      <c r="A10821" t="s">
        <v>93</v>
      </c>
      <c r="B10821" t="s">
        <v>17</v>
      </c>
      <c r="C10821" t="s">
        <v>21</v>
      </c>
      <c r="D10821">
        <v>3997</v>
      </c>
      <c r="E10821">
        <v>2020</v>
      </c>
      <c r="F10821">
        <v>1</v>
      </c>
      <c r="G10821">
        <v>652</v>
      </c>
      <c r="H10821" s="1" t="s">
        <v>1832</v>
      </c>
      <c r="I10821">
        <v>1</v>
      </c>
      <c r="J10821">
        <f>IF($H10821=0,1,IF($I10821&lt;=1,2,0))</f>
        <v>2</v>
      </c>
      <c r="K10821">
        <v>9</v>
      </c>
      <c r="L10821">
        <f>IF(AND($J10821=0,$K10821=0),0,1)</f>
        <v>1</v>
      </c>
      <c r="M10821" t="s">
        <v>858</v>
      </c>
    </row>
    <row r="10822" spans="1:13" x14ac:dyDescent="0.2">
      <c r="A10822" t="s">
        <v>93</v>
      </c>
      <c r="B10822" t="s">
        <v>17</v>
      </c>
      <c r="C10822" t="s">
        <v>21</v>
      </c>
      <c r="D10822">
        <v>3997</v>
      </c>
      <c r="E10822">
        <v>2020</v>
      </c>
      <c r="F10822">
        <v>4</v>
      </c>
      <c r="G10822">
        <v>654</v>
      </c>
      <c r="H10822" s="1" t="s">
        <v>1832</v>
      </c>
      <c r="I10822">
        <v>1</v>
      </c>
      <c r="J10822">
        <f>IF($H10822=0,1,IF($I10822&lt;=1,2,0))</f>
        <v>2</v>
      </c>
      <c r="K10822">
        <v>9</v>
      </c>
      <c r="L10822">
        <f>IF(AND($J10822=0,$K10822=0),0,1)</f>
        <v>1</v>
      </c>
      <c r="M10822" t="s">
        <v>858</v>
      </c>
    </row>
    <row r="10823" spans="1:13" x14ac:dyDescent="0.2">
      <c r="A10823" t="s">
        <v>93</v>
      </c>
      <c r="B10823" t="s">
        <v>17</v>
      </c>
      <c r="C10823" t="s">
        <v>21</v>
      </c>
      <c r="D10823">
        <v>3997</v>
      </c>
      <c r="E10823">
        <v>2020</v>
      </c>
      <c r="F10823">
        <v>2</v>
      </c>
      <c r="G10823">
        <v>653</v>
      </c>
      <c r="H10823" s="1" t="s">
        <v>1832</v>
      </c>
      <c r="I10823">
        <v>0</v>
      </c>
      <c r="J10823">
        <f>IF($H10823=0,1,IF($I10823&lt;=1,2,0))</f>
        <v>2</v>
      </c>
      <c r="K10823">
        <v>9</v>
      </c>
      <c r="L10823">
        <f>IF(AND($J10823=0,$K10823=0),0,1)</f>
        <v>1</v>
      </c>
      <c r="M10823" t="s">
        <v>858</v>
      </c>
    </row>
    <row r="10824" spans="1:13" x14ac:dyDescent="0.2">
      <c r="A10824" t="s">
        <v>93</v>
      </c>
      <c r="B10824" t="s">
        <v>17</v>
      </c>
      <c r="C10824" t="s">
        <v>102</v>
      </c>
      <c r="D10824">
        <v>4001</v>
      </c>
      <c r="E10824">
        <v>2020</v>
      </c>
      <c r="F10824">
        <v>1</v>
      </c>
      <c r="G10824">
        <v>11274</v>
      </c>
      <c r="H10824" s="1">
        <v>9</v>
      </c>
      <c r="I10824">
        <v>88</v>
      </c>
      <c r="J10824">
        <f>IF($H10824=0,1,IF($I10824&lt;=1,2,0))</f>
        <v>0</v>
      </c>
      <c r="K10824">
        <v>6</v>
      </c>
      <c r="L10824">
        <f>IF(AND($J10824=0,$K10824=0),0,1)</f>
        <v>1</v>
      </c>
      <c r="M10824" t="s">
        <v>1865</v>
      </c>
    </row>
    <row r="10825" spans="1:13" x14ac:dyDescent="0.2">
      <c r="A10825" t="s">
        <v>93</v>
      </c>
      <c r="B10825" t="s">
        <v>17</v>
      </c>
      <c r="C10825" t="s">
        <v>102</v>
      </c>
      <c r="D10825">
        <v>4003</v>
      </c>
      <c r="E10825">
        <v>2020</v>
      </c>
      <c r="F10825">
        <v>1</v>
      </c>
      <c r="G10825">
        <v>11288</v>
      </c>
      <c r="H10825" s="1">
        <v>9</v>
      </c>
      <c r="I10825">
        <v>87</v>
      </c>
      <c r="J10825">
        <f>IF($H10825=0,1,IF($I10825&lt;=1,2,0))</f>
        <v>0</v>
      </c>
      <c r="K10825">
        <v>6</v>
      </c>
      <c r="L10825">
        <f>IF(AND($J10825=0,$K10825=0),0,1)</f>
        <v>1</v>
      </c>
      <c r="M10825" t="s">
        <v>1865</v>
      </c>
    </row>
    <row r="10826" spans="1:13" x14ac:dyDescent="0.2">
      <c r="A10826" t="s">
        <v>93</v>
      </c>
      <c r="B10826" t="s">
        <v>17</v>
      </c>
      <c r="C10826" t="s">
        <v>102</v>
      </c>
      <c r="D10826">
        <v>4005</v>
      </c>
      <c r="E10826">
        <v>2020</v>
      </c>
      <c r="F10826">
        <v>1</v>
      </c>
      <c r="G10826">
        <v>11335</v>
      </c>
      <c r="H10826" s="1">
        <v>9</v>
      </c>
      <c r="I10826">
        <v>187</v>
      </c>
      <c r="J10826">
        <f>IF($H10826=0,1,IF($I10826&lt;=1,2,0))</f>
        <v>0</v>
      </c>
      <c r="K10826">
        <v>6</v>
      </c>
      <c r="L10826">
        <f>IF(AND($J10826=0,$K10826=0),0,1)</f>
        <v>1</v>
      </c>
      <c r="M10826" t="s">
        <v>1865</v>
      </c>
    </row>
    <row r="10827" spans="1:13" x14ac:dyDescent="0.2">
      <c r="A10827" t="s">
        <v>93</v>
      </c>
      <c r="B10827" t="s">
        <v>17</v>
      </c>
      <c r="C10827" t="s">
        <v>102</v>
      </c>
      <c r="D10827">
        <v>4023</v>
      </c>
      <c r="E10827">
        <v>2020</v>
      </c>
      <c r="F10827">
        <v>1</v>
      </c>
      <c r="G10827">
        <v>11729</v>
      </c>
      <c r="H10827" s="1">
        <v>3</v>
      </c>
      <c r="I10827">
        <v>88</v>
      </c>
      <c r="J10827">
        <f>IF($H10827=0,1,IF($I10827&lt;=1,2,0))</f>
        <v>0</v>
      </c>
      <c r="K10827">
        <v>6</v>
      </c>
      <c r="L10827">
        <f>IF(AND($J10827=0,$K10827=0),0,1)</f>
        <v>1</v>
      </c>
      <c r="M10827" t="s">
        <v>103</v>
      </c>
    </row>
    <row r="10828" spans="1:13" x14ac:dyDescent="0.2">
      <c r="A10828" t="s">
        <v>93</v>
      </c>
      <c r="B10828" t="s">
        <v>17</v>
      </c>
      <c r="C10828" t="s">
        <v>102</v>
      </c>
      <c r="D10828">
        <v>4032</v>
      </c>
      <c r="E10828">
        <v>2020</v>
      </c>
      <c r="F10828">
        <v>1</v>
      </c>
      <c r="G10828">
        <v>11869</v>
      </c>
      <c r="H10828" s="1">
        <v>3</v>
      </c>
      <c r="I10828">
        <v>10</v>
      </c>
      <c r="J10828">
        <f>IF($H10828=0,1,IF($I10828&lt;=1,2,0))</f>
        <v>0</v>
      </c>
      <c r="K10828">
        <v>6</v>
      </c>
      <c r="L10828">
        <f>IF(AND($J10828=0,$K10828=0),0,1)</f>
        <v>1</v>
      </c>
      <c r="M10828" t="s">
        <v>104</v>
      </c>
    </row>
    <row r="10829" spans="1:13" x14ac:dyDescent="0.2">
      <c r="A10829" t="s">
        <v>93</v>
      </c>
      <c r="B10829" t="s">
        <v>17</v>
      </c>
      <c r="C10829" t="s">
        <v>102</v>
      </c>
      <c r="D10829">
        <v>4040</v>
      </c>
      <c r="E10829">
        <v>2020</v>
      </c>
      <c r="F10829">
        <v>1</v>
      </c>
      <c r="G10829">
        <v>11877</v>
      </c>
      <c r="H10829" s="1">
        <v>9</v>
      </c>
      <c r="I10829">
        <v>8</v>
      </c>
      <c r="J10829">
        <f>IF($H10829=0,1,IF($I10829&lt;=1,2,0))</f>
        <v>0</v>
      </c>
      <c r="K10829">
        <v>6</v>
      </c>
      <c r="L10829">
        <f>IF(AND($J10829=0,$K10829=0),0,1)</f>
        <v>1</v>
      </c>
      <c r="M10829" t="s">
        <v>104</v>
      </c>
    </row>
    <row r="10830" spans="1:13" x14ac:dyDescent="0.2">
      <c r="A10830" t="s">
        <v>93</v>
      </c>
      <c r="B10830" t="s">
        <v>17</v>
      </c>
      <c r="C10830" t="s">
        <v>102</v>
      </c>
      <c r="D10830">
        <v>4050</v>
      </c>
      <c r="E10830">
        <v>2020</v>
      </c>
      <c r="F10830">
        <v>1</v>
      </c>
      <c r="G10830">
        <v>11679</v>
      </c>
      <c r="H10830" s="1">
        <v>1.5</v>
      </c>
      <c r="I10830">
        <v>3</v>
      </c>
      <c r="J10830">
        <f>IF($H10830=0,1,IF($I10830&lt;=1,2,0))</f>
        <v>0</v>
      </c>
      <c r="K10830">
        <v>6</v>
      </c>
      <c r="L10830">
        <f>IF(AND($J10830=0,$K10830=0),0,1)</f>
        <v>1</v>
      </c>
      <c r="M10830" t="s">
        <v>1866</v>
      </c>
    </row>
    <row r="10831" spans="1:13" x14ac:dyDescent="0.2">
      <c r="A10831" t="s">
        <v>93</v>
      </c>
      <c r="B10831" t="s">
        <v>17</v>
      </c>
      <c r="C10831" t="s">
        <v>102</v>
      </c>
      <c r="D10831">
        <v>4080</v>
      </c>
      <c r="E10831">
        <v>2020</v>
      </c>
      <c r="F10831">
        <v>1</v>
      </c>
      <c r="G10831">
        <v>11884</v>
      </c>
      <c r="H10831" s="1">
        <v>1.5</v>
      </c>
      <c r="I10831">
        <v>1</v>
      </c>
      <c r="J10831">
        <f>IF($H10831=0,1,IF($I10831&lt;=1,2,0))</f>
        <v>2</v>
      </c>
      <c r="K10831">
        <v>6</v>
      </c>
      <c r="L10831">
        <f>IF(AND($J10831=0,$K10831=0),0,1)</f>
        <v>1</v>
      </c>
      <c r="M10831" t="s">
        <v>105</v>
      </c>
    </row>
    <row r="10832" spans="1:13" x14ac:dyDescent="0.2">
      <c r="A10832" t="s">
        <v>93</v>
      </c>
      <c r="B10832" t="s">
        <v>17</v>
      </c>
      <c r="C10832" t="s">
        <v>102</v>
      </c>
      <c r="D10832">
        <v>4101</v>
      </c>
      <c r="E10832">
        <v>2020</v>
      </c>
      <c r="F10832">
        <v>1</v>
      </c>
      <c r="G10832">
        <v>11276</v>
      </c>
      <c r="H10832" s="1">
        <v>0</v>
      </c>
      <c r="I10832">
        <v>12</v>
      </c>
      <c r="J10832">
        <f>IF($H10832=0,1,IF($I10832&lt;=1,2,0))</f>
        <v>1</v>
      </c>
      <c r="K10832">
        <v>6</v>
      </c>
      <c r="L10832">
        <f>IF(AND($J10832=0,$K10832=0),0,1)</f>
        <v>1</v>
      </c>
    </row>
    <row r="10833" spans="1:12" x14ac:dyDescent="0.2">
      <c r="A10833" t="s">
        <v>93</v>
      </c>
      <c r="B10833" t="s">
        <v>17</v>
      </c>
      <c r="C10833" t="s">
        <v>102</v>
      </c>
      <c r="D10833">
        <v>4101</v>
      </c>
      <c r="E10833">
        <v>2020</v>
      </c>
      <c r="F10833">
        <v>2</v>
      </c>
      <c r="G10833">
        <v>11277</v>
      </c>
      <c r="H10833" s="1">
        <v>0</v>
      </c>
      <c r="I10833">
        <v>12</v>
      </c>
      <c r="J10833">
        <f>IF($H10833=0,1,IF($I10833&lt;=1,2,0))</f>
        <v>1</v>
      </c>
      <c r="K10833">
        <v>6</v>
      </c>
      <c r="L10833">
        <f>IF(AND($J10833=0,$K10833=0),0,1)</f>
        <v>1</v>
      </c>
    </row>
    <row r="10834" spans="1:12" x14ac:dyDescent="0.2">
      <c r="A10834" t="s">
        <v>93</v>
      </c>
      <c r="B10834" t="s">
        <v>17</v>
      </c>
      <c r="C10834" t="s">
        <v>102</v>
      </c>
      <c r="D10834">
        <v>4101</v>
      </c>
      <c r="E10834">
        <v>2020</v>
      </c>
      <c r="F10834">
        <v>4</v>
      </c>
      <c r="G10834">
        <v>11282</v>
      </c>
      <c r="H10834" s="1">
        <v>0</v>
      </c>
      <c r="I10834">
        <v>11</v>
      </c>
      <c r="J10834">
        <f>IF($H10834=0,1,IF($I10834&lt;=1,2,0))</f>
        <v>1</v>
      </c>
      <c r="K10834">
        <v>6</v>
      </c>
      <c r="L10834">
        <f>IF(AND($J10834=0,$K10834=0),0,1)</f>
        <v>1</v>
      </c>
    </row>
    <row r="10835" spans="1:12" x14ac:dyDescent="0.2">
      <c r="A10835" t="s">
        <v>93</v>
      </c>
      <c r="B10835" t="s">
        <v>17</v>
      </c>
      <c r="C10835" t="s">
        <v>102</v>
      </c>
      <c r="D10835">
        <v>4101</v>
      </c>
      <c r="E10835">
        <v>2020</v>
      </c>
      <c r="F10835">
        <v>7</v>
      </c>
      <c r="G10835">
        <v>11286</v>
      </c>
      <c r="H10835" s="1">
        <v>0</v>
      </c>
      <c r="I10835">
        <v>11</v>
      </c>
      <c r="J10835">
        <f>IF($H10835=0,1,IF($I10835&lt;=1,2,0))</f>
        <v>1</v>
      </c>
      <c r="K10835">
        <v>6</v>
      </c>
      <c r="L10835">
        <f>IF(AND($J10835=0,$K10835=0),0,1)</f>
        <v>1</v>
      </c>
    </row>
    <row r="10836" spans="1:12" x14ac:dyDescent="0.2">
      <c r="A10836" t="s">
        <v>93</v>
      </c>
      <c r="B10836" t="s">
        <v>17</v>
      </c>
      <c r="C10836" t="s">
        <v>102</v>
      </c>
      <c r="D10836">
        <v>4101</v>
      </c>
      <c r="E10836">
        <v>2020</v>
      </c>
      <c r="F10836">
        <v>8</v>
      </c>
      <c r="G10836">
        <v>11287</v>
      </c>
      <c r="H10836" s="1">
        <v>0</v>
      </c>
      <c r="I10836">
        <v>11</v>
      </c>
      <c r="J10836">
        <f>IF($H10836=0,1,IF($I10836&lt;=1,2,0))</f>
        <v>1</v>
      </c>
      <c r="K10836">
        <v>6</v>
      </c>
      <c r="L10836">
        <f>IF(AND($J10836=0,$K10836=0),0,1)</f>
        <v>1</v>
      </c>
    </row>
    <row r="10837" spans="1:12" x14ac:dyDescent="0.2">
      <c r="A10837" t="s">
        <v>93</v>
      </c>
      <c r="B10837" t="s">
        <v>17</v>
      </c>
      <c r="C10837" t="s">
        <v>102</v>
      </c>
      <c r="D10837">
        <v>4101</v>
      </c>
      <c r="E10837">
        <v>2020</v>
      </c>
      <c r="F10837">
        <v>3</v>
      </c>
      <c r="G10837">
        <v>11280</v>
      </c>
      <c r="H10837" s="1">
        <v>0</v>
      </c>
      <c r="I10837">
        <v>10</v>
      </c>
      <c r="J10837">
        <f>IF($H10837=0,1,IF($I10837&lt;=1,2,0))</f>
        <v>1</v>
      </c>
      <c r="K10837">
        <v>6</v>
      </c>
      <c r="L10837">
        <f>IF(AND($J10837=0,$K10837=0),0,1)</f>
        <v>1</v>
      </c>
    </row>
    <row r="10838" spans="1:12" x14ac:dyDescent="0.2">
      <c r="A10838" t="s">
        <v>93</v>
      </c>
      <c r="B10838" t="s">
        <v>17</v>
      </c>
      <c r="C10838" t="s">
        <v>102</v>
      </c>
      <c r="D10838">
        <v>4101</v>
      </c>
      <c r="E10838">
        <v>2020</v>
      </c>
      <c r="F10838">
        <v>5</v>
      </c>
      <c r="G10838">
        <v>11284</v>
      </c>
      <c r="H10838" s="1">
        <v>0</v>
      </c>
      <c r="I10838">
        <v>10</v>
      </c>
      <c r="J10838">
        <f>IF($H10838=0,1,IF($I10838&lt;=1,2,0))</f>
        <v>1</v>
      </c>
      <c r="K10838">
        <v>6</v>
      </c>
      <c r="L10838">
        <f>IF(AND($J10838=0,$K10838=0),0,1)</f>
        <v>1</v>
      </c>
    </row>
    <row r="10839" spans="1:12" x14ac:dyDescent="0.2">
      <c r="A10839" t="s">
        <v>93</v>
      </c>
      <c r="B10839" t="s">
        <v>17</v>
      </c>
      <c r="C10839" t="s">
        <v>102</v>
      </c>
      <c r="D10839">
        <v>4101</v>
      </c>
      <c r="E10839">
        <v>2020</v>
      </c>
      <c r="F10839">
        <v>6</v>
      </c>
      <c r="G10839">
        <v>11285</v>
      </c>
      <c r="H10839" s="1">
        <v>0</v>
      </c>
      <c r="I10839">
        <v>10</v>
      </c>
      <c r="J10839">
        <f>IF($H10839=0,1,IF($I10839&lt;=1,2,0))</f>
        <v>1</v>
      </c>
      <c r="K10839">
        <v>6</v>
      </c>
      <c r="L10839">
        <f>IF(AND($J10839=0,$K10839=0),0,1)</f>
        <v>1</v>
      </c>
    </row>
    <row r="10840" spans="1:12" x14ac:dyDescent="0.2">
      <c r="A10840" t="s">
        <v>93</v>
      </c>
      <c r="B10840" t="s">
        <v>17</v>
      </c>
      <c r="C10840" t="s">
        <v>102</v>
      </c>
      <c r="D10840">
        <v>4103</v>
      </c>
      <c r="E10840">
        <v>2020</v>
      </c>
      <c r="F10840">
        <v>2</v>
      </c>
      <c r="G10840">
        <v>11328</v>
      </c>
      <c r="H10840" s="1">
        <v>0</v>
      </c>
      <c r="I10840">
        <v>12</v>
      </c>
      <c r="J10840">
        <f>IF($H10840=0,1,IF($I10840&lt;=1,2,0))</f>
        <v>1</v>
      </c>
      <c r="K10840">
        <v>6</v>
      </c>
      <c r="L10840">
        <f>IF(AND($J10840=0,$K10840=0),0,1)</f>
        <v>1</v>
      </c>
    </row>
    <row r="10841" spans="1:12" x14ac:dyDescent="0.2">
      <c r="A10841" t="s">
        <v>93</v>
      </c>
      <c r="B10841" t="s">
        <v>17</v>
      </c>
      <c r="C10841" t="s">
        <v>102</v>
      </c>
      <c r="D10841">
        <v>4103</v>
      </c>
      <c r="E10841">
        <v>2020</v>
      </c>
      <c r="F10841">
        <v>3</v>
      </c>
      <c r="G10841">
        <v>11329</v>
      </c>
      <c r="H10841" s="1">
        <v>0</v>
      </c>
      <c r="I10841">
        <v>12</v>
      </c>
      <c r="J10841">
        <f>IF($H10841=0,1,IF($I10841&lt;=1,2,0))</f>
        <v>1</v>
      </c>
      <c r="K10841">
        <v>6</v>
      </c>
      <c r="L10841">
        <f>IF(AND($J10841=0,$K10841=0),0,1)</f>
        <v>1</v>
      </c>
    </row>
    <row r="10842" spans="1:12" x14ac:dyDescent="0.2">
      <c r="A10842" t="s">
        <v>93</v>
      </c>
      <c r="B10842" t="s">
        <v>17</v>
      </c>
      <c r="C10842" t="s">
        <v>102</v>
      </c>
      <c r="D10842">
        <v>4103</v>
      </c>
      <c r="E10842">
        <v>2020</v>
      </c>
      <c r="F10842">
        <v>4</v>
      </c>
      <c r="G10842">
        <v>11330</v>
      </c>
      <c r="H10842" s="1">
        <v>0</v>
      </c>
      <c r="I10842">
        <v>12</v>
      </c>
      <c r="J10842">
        <f>IF($H10842=0,1,IF($I10842&lt;=1,2,0))</f>
        <v>1</v>
      </c>
      <c r="K10842">
        <v>6</v>
      </c>
      <c r="L10842">
        <f>IF(AND($J10842=0,$K10842=0),0,1)</f>
        <v>1</v>
      </c>
    </row>
    <row r="10843" spans="1:12" x14ac:dyDescent="0.2">
      <c r="A10843" t="s">
        <v>93</v>
      </c>
      <c r="B10843" t="s">
        <v>17</v>
      </c>
      <c r="C10843" t="s">
        <v>102</v>
      </c>
      <c r="D10843">
        <v>4103</v>
      </c>
      <c r="E10843">
        <v>2020</v>
      </c>
      <c r="F10843">
        <v>7</v>
      </c>
      <c r="G10843">
        <v>11333</v>
      </c>
      <c r="H10843" s="1">
        <v>0</v>
      </c>
      <c r="I10843">
        <v>12</v>
      </c>
      <c r="J10843">
        <f>IF($H10843=0,1,IF($I10843&lt;=1,2,0))</f>
        <v>1</v>
      </c>
      <c r="K10843">
        <v>6</v>
      </c>
      <c r="L10843">
        <f>IF(AND($J10843=0,$K10843=0),0,1)</f>
        <v>1</v>
      </c>
    </row>
    <row r="10844" spans="1:12" x14ac:dyDescent="0.2">
      <c r="A10844" t="s">
        <v>93</v>
      </c>
      <c r="B10844" t="s">
        <v>17</v>
      </c>
      <c r="C10844" t="s">
        <v>102</v>
      </c>
      <c r="D10844">
        <v>4103</v>
      </c>
      <c r="E10844">
        <v>2020</v>
      </c>
      <c r="F10844">
        <v>5</v>
      </c>
      <c r="G10844">
        <v>11331</v>
      </c>
      <c r="H10844" s="1">
        <v>0</v>
      </c>
      <c r="I10844">
        <v>11</v>
      </c>
      <c r="J10844">
        <f>IF($H10844=0,1,IF($I10844&lt;=1,2,0))</f>
        <v>1</v>
      </c>
      <c r="K10844">
        <v>6</v>
      </c>
      <c r="L10844">
        <f>IF(AND($J10844=0,$K10844=0),0,1)</f>
        <v>1</v>
      </c>
    </row>
    <row r="10845" spans="1:12" x14ac:dyDescent="0.2">
      <c r="A10845" t="s">
        <v>93</v>
      </c>
      <c r="B10845" t="s">
        <v>17</v>
      </c>
      <c r="C10845" t="s">
        <v>102</v>
      </c>
      <c r="D10845">
        <v>4103</v>
      </c>
      <c r="E10845">
        <v>2020</v>
      </c>
      <c r="F10845">
        <v>1</v>
      </c>
      <c r="G10845">
        <v>11326</v>
      </c>
      <c r="H10845" s="1">
        <v>0</v>
      </c>
      <c r="I10845">
        <v>10</v>
      </c>
      <c r="J10845">
        <f>IF($H10845=0,1,IF($I10845&lt;=1,2,0))</f>
        <v>1</v>
      </c>
      <c r="K10845">
        <v>6</v>
      </c>
      <c r="L10845">
        <f>IF(AND($J10845=0,$K10845=0),0,1)</f>
        <v>1</v>
      </c>
    </row>
    <row r="10846" spans="1:12" x14ac:dyDescent="0.2">
      <c r="A10846" t="s">
        <v>93</v>
      </c>
      <c r="B10846" t="s">
        <v>17</v>
      </c>
      <c r="C10846" t="s">
        <v>102</v>
      </c>
      <c r="D10846">
        <v>4103</v>
      </c>
      <c r="E10846">
        <v>2020</v>
      </c>
      <c r="F10846">
        <v>8</v>
      </c>
      <c r="G10846">
        <v>11334</v>
      </c>
      <c r="H10846" s="1">
        <v>0</v>
      </c>
      <c r="I10846">
        <v>9</v>
      </c>
      <c r="J10846">
        <f>IF($H10846=0,1,IF($I10846&lt;=1,2,0))</f>
        <v>1</v>
      </c>
      <c r="K10846">
        <v>6</v>
      </c>
      <c r="L10846">
        <f>IF(AND($J10846=0,$K10846=0),0,1)</f>
        <v>1</v>
      </c>
    </row>
    <row r="10847" spans="1:12" x14ac:dyDescent="0.2">
      <c r="A10847" t="s">
        <v>93</v>
      </c>
      <c r="B10847" t="s">
        <v>17</v>
      </c>
      <c r="C10847" t="s">
        <v>102</v>
      </c>
      <c r="D10847">
        <v>4103</v>
      </c>
      <c r="E10847">
        <v>2020</v>
      </c>
      <c r="F10847">
        <v>6</v>
      </c>
      <c r="G10847">
        <v>11332</v>
      </c>
      <c r="H10847" s="1">
        <v>0</v>
      </c>
      <c r="I10847">
        <v>7</v>
      </c>
      <c r="J10847">
        <f>IF($H10847=0,1,IF($I10847&lt;=1,2,0))</f>
        <v>1</v>
      </c>
      <c r="K10847">
        <v>6</v>
      </c>
      <c r="L10847">
        <f>IF(AND($J10847=0,$K10847=0),0,1)</f>
        <v>1</v>
      </c>
    </row>
    <row r="10848" spans="1:12" x14ac:dyDescent="0.2">
      <c r="A10848" t="s">
        <v>93</v>
      </c>
      <c r="B10848" t="s">
        <v>17</v>
      </c>
      <c r="C10848" t="s">
        <v>102</v>
      </c>
      <c r="D10848">
        <v>4105</v>
      </c>
      <c r="E10848">
        <v>2020</v>
      </c>
      <c r="F10848">
        <v>8</v>
      </c>
      <c r="G10848">
        <v>11513</v>
      </c>
      <c r="H10848" s="1">
        <v>0</v>
      </c>
      <c r="I10848">
        <v>12</v>
      </c>
      <c r="J10848">
        <f>IF($H10848=0,1,IF($I10848&lt;=1,2,0))</f>
        <v>1</v>
      </c>
      <c r="K10848">
        <v>6</v>
      </c>
      <c r="L10848">
        <f>IF(AND($J10848=0,$K10848=0),0,1)</f>
        <v>1</v>
      </c>
    </row>
    <row r="10849" spans="1:12" x14ac:dyDescent="0.2">
      <c r="A10849" t="s">
        <v>93</v>
      </c>
      <c r="B10849" t="s">
        <v>17</v>
      </c>
      <c r="C10849" t="s">
        <v>102</v>
      </c>
      <c r="D10849">
        <v>4105</v>
      </c>
      <c r="E10849">
        <v>2020</v>
      </c>
      <c r="F10849">
        <v>9</v>
      </c>
      <c r="G10849">
        <v>11517</v>
      </c>
      <c r="H10849" s="1">
        <v>0</v>
      </c>
      <c r="I10849">
        <v>12</v>
      </c>
      <c r="J10849">
        <f>IF($H10849=0,1,IF($I10849&lt;=1,2,0))</f>
        <v>1</v>
      </c>
      <c r="K10849">
        <v>6</v>
      </c>
      <c r="L10849">
        <f>IF(AND($J10849=0,$K10849=0),0,1)</f>
        <v>1</v>
      </c>
    </row>
    <row r="10850" spans="1:12" x14ac:dyDescent="0.2">
      <c r="A10850" t="s">
        <v>93</v>
      </c>
      <c r="B10850" t="s">
        <v>17</v>
      </c>
      <c r="C10850" t="s">
        <v>102</v>
      </c>
      <c r="D10850">
        <v>4105</v>
      </c>
      <c r="E10850">
        <v>2020</v>
      </c>
      <c r="F10850">
        <v>11</v>
      </c>
      <c r="G10850">
        <v>11525</v>
      </c>
      <c r="H10850" s="1">
        <v>0</v>
      </c>
      <c r="I10850">
        <v>12</v>
      </c>
      <c r="J10850">
        <f>IF($H10850=0,1,IF($I10850&lt;=1,2,0))</f>
        <v>1</v>
      </c>
      <c r="K10850">
        <v>6</v>
      </c>
      <c r="L10850">
        <f>IF(AND($J10850=0,$K10850=0),0,1)</f>
        <v>1</v>
      </c>
    </row>
    <row r="10851" spans="1:12" x14ac:dyDescent="0.2">
      <c r="A10851" t="s">
        <v>93</v>
      </c>
      <c r="B10851" t="s">
        <v>17</v>
      </c>
      <c r="C10851" t="s">
        <v>102</v>
      </c>
      <c r="D10851">
        <v>4105</v>
      </c>
      <c r="E10851">
        <v>2020</v>
      </c>
      <c r="F10851">
        <v>14</v>
      </c>
      <c r="G10851">
        <v>11535</v>
      </c>
      <c r="H10851" s="1">
        <v>0</v>
      </c>
      <c r="I10851">
        <v>12</v>
      </c>
      <c r="J10851">
        <f>IF($H10851=0,1,IF($I10851&lt;=1,2,0))</f>
        <v>1</v>
      </c>
      <c r="K10851">
        <v>6</v>
      </c>
      <c r="L10851">
        <f>IF(AND($J10851=0,$K10851=0),0,1)</f>
        <v>1</v>
      </c>
    </row>
    <row r="10852" spans="1:12" x14ac:dyDescent="0.2">
      <c r="A10852" t="s">
        <v>93</v>
      </c>
      <c r="B10852" t="s">
        <v>17</v>
      </c>
      <c r="C10852" t="s">
        <v>102</v>
      </c>
      <c r="D10852">
        <v>4105</v>
      </c>
      <c r="E10852">
        <v>2020</v>
      </c>
      <c r="F10852">
        <v>16</v>
      </c>
      <c r="G10852">
        <v>11539</v>
      </c>
      <c r="H10852" s="1">
        <v>0</v>
      </c>
      <c r="I10852">
        <v>12</v>
      </c>
      <c r="J10852">
        <f>IF($H10852=0,1,IF($I10852&lt;=1,2,0))</f>
        <v>1</v>
      </c>
      <c r="K10852">
        <v>6</v>
      </c>
      <c r="L10852">
        <f>IF(AND($J10852=0,$K10852=0),0,1)</f>
        <v>1</v>
      </c>
    </row>
    <row r="10853" spans="1:12" x14ac:dyDescent="0.2">
      <c r="A10853" t="s">
        <v>93</v>
      </c>
      <c r="B10853" t="s">
        <v>17</v>
      </c>
      <c r="C10853" t="s">
        <v>102</v>
      </c>
      <c r="D10853">
        <v>4105</v>
      </c>
      <c r="E10853">
        <v>2020</v>
      </c>
      <c r="F10853">
        <v>2</v>
      </c>
      <c r="G10853">
        <v>11343</v>
      </c>
      <c r="H10853" s="1">
        <v>0</v>
      </c>
      <c r="I10853">
        <v>11</v>
      </c>
      <c r="J10853">
        <f>IF($H10853=0,1,IF($I10853&lt;=1,2,0))</f>
        <v>1</v>
      </c>
      <c r="K10853">
        <v>6</v>
      </c>
      <c r="L10853">
        <f>IF(AND($J10853=0,$K10853=0),0,1)</f>
        <v>1</v>
      </c>
    </row>
    <row r="10854" spans="1:12" x14ac:dyDescent="0.2">
      <c r="A10854" t="s">
        <v>93</v>
      </c>
      <c r="B10854" t="s">
        <v>17</v>
      </c>
      <c r="C10854" t="s">
        <v>102</v>
      </c>
      <c r="D10854">
        <v>4105</v>
      </c>
      <c r="E10854">
        <v>2020</v>
      </c>
      <c r="F10854">
        <v>4</v>
      </c>
      <c r="G10854">
        <v>11350</v>
      </c>
      <c r="H10854" s="1">
        <v>0</v>
      </c>
      <c r="I10854">
        <v>11</v>
      </c>
      <c r="J10854">
        <f>IF($H10854=0,1,IF($I10854&lt;=1,2,0))</f>
        <v>1</v>
      </c>
      <c r="K10854">
        <v>6</v>
      </c>
      <c r="L10854">
        <f>IF(AND($J10854=0,$K10854=0),0,1)</f>
        <v>1</v>
      </c>
    </row>
    <row r="10855" spans="1:12" x14ac:dyDescent="0.2">
      <c r="A10855" t="s">
        <v>93</v>
      </c>
      <c r="B10855" t="s">
        <v>17</v>
      </c>
      <c r="C10855" t="s">
        <v>102</v>
      </c>
      <c r="D10855">
        <v>4105</v>
      </c>
      <c r="E10855">
        <v>2020</v>
      </c>
      <c r="F10855">
        <v>10</v>
      </c>
      <c r="G10855">
        <v>11523</v>
      </c>
      <c r="H10855" s="1">
        <v>0</v>
      </c>
      <c r="I10855">
        <v>11</v>
      </c>
      <c r="J10855">
        <f>IF($H10855=0,1,IF($I10855&lt;=1,2,0))</f>
        <v>1</v>
      </c>
      <c r="K10855">
        <v>6</v>
      </c>
      <c r="L10855">
        <f>IF(AND($J10855=0,$K10855=0),0,1)</f>
        <v>1</v>
      </c>
    </row>
    <row r="10856" spans="1:12" x14ac:dyDescent="0.2">
      <c r="A10856" t="s">
        <v>93</v>
      </c>
      <c r="B10856" t="s">
        <v>17</v>
      </c>
      <c r="C10856" t="s">
        <v>102</v>
      </c>
      <c r="D10856">
        <v>4105</v>
      </c>
      <c r="E10856">
        <v>2020</v>
      </c>
      <c r="F10856">
        <v>15</v>
      </c>
      <c r="G10856">
        <v>11536</v>
      </c>
      <c r="H10856" s="1">
        <v>0</v>
      </c>
      <c r="I10856">
        <v>11</v>
      </c>
      <c r="J10856">
        <f>IF($H10856=0,1,IF($I10856&lt;=1,2,0))</f>
        <v>1</v>
      </c>
      <c r="K10856">
        <v>6</v>
      </c>
      <c r="L10856">
        <f>IF(AND($J10856=0,$K10856=0),0,1)</f>
        <v>1</v>
      </c>
    </row>
    <row r="10857" spans="1:12" x14ac:dyDescent="0.2">
      <c r="A10857" t="s">
        <v>93</v>
      </c>
      <c r="B10857" t="s">
        <v>17</v>
      </c>
      <c r="C10857" t="s">
        <v>102</v>
      </c>
      <c r="D10857">
        <v>4105</v>
      </c>
      <c r="E10857">
        <v>2020</v>
      </c>
      <c r="F10857">
        <v>1</v>
      </c>
      <c r="G10857">
        <v>11338</v>
      </c>
      <c r="H10857" s="1">
        <v>0</v>
      </c>
      <c r="I10857">
        <v>10</v>
      </c>
      <c r="J10857">
        <f>IF($H10857=0,1,IF($I10857&lt;=1,2,0))</f>
        <v>1</v>
      </c>
      <c r="K10857">
        <v>6</v>
      </c>
      <c r="L10857">
        <f>IF(AND($J10857=0,$K10857=0),0,1)</f>
        <v>1</v>
      </c>
    </row>
    <row r="10858" spans="1:12" x14ac:dyDescent="0.2">
      <c r="A10858" t="s">
        <v>93</v>
      </c>
      <c r="B10858" t="s">
        <v>17</v>
      </c>
      <c r="C10858" t="s">
        <v>102</v>
      </c>
      <c r="D10858">
        <v>4105</v>
      </c>
      <c r="E10858">
        <v>2020</v>
      </c>
      <c r="F10858">
        <v>3</v>
      </c>
      <c r="G10858">
        <v>11347</v>
      </c>
      <c r="H10858" s="1">
        <v>0</v>
      </c>
      <c r="I10858">
        <v>10</v>
      </c>
      <c r="J10858">
        <f>IF($H10858=0,1,IF($I10858&lt;=1,2,0))</f>
        <v>1</v>
      </c>
      <c r="K10858">
        <v>6</v>
      </c>
      <c r="L10858">
        <f>IF(AND($J10858=0,$K10858=0),0,1)</f>
        <v>1</v>
      </c>
    </row>
    <row r="10859" spans="1:12" x14ac:dyDescent="0.2">
      <c r="A10859" t="s">
        <v>93</v>
      </c>
      <c r="B10859" t="s">
        <v>17</v>
      </c>
      <c r="C10859" t="s">
        <v>102</v>
      </c>
      <c r="D10859">
        <v>4105</v>
      </c>
      <c r="E10859">
        <v>2020</v>
      </c>
      <c r="F10859">
        <v>12</v>
      </c>
      <c r="G10859">
        <v>11530</v>
      </c>
      <c r="H10859" s="1">
        <v>0</v>
      </c>
      <c r="I10859">
        <v>10</v>
      </c>
      <c r="J10859">
        <f>IF($H10859=0,1,IF($I10859&lt;=1,2,0))</f>
        <v>1</v>
      </c>
      <c r="K10859">
        <v>6</v>
      </c>
      <c r="L10859">
        <f>IF(AND($J10859=0,$K10859=0),0,1)</f>
        <v>1</v>
      </c>
    </row>
    <row r="10860" spans="1:12" x14ac:dyDescent="0.2">
      <c r="A10860" t="s">
        <v>93</v>
      </c>
      <c r="B10860" t="s">
        <v>17</v>
      </c>
      <c r="C10860" t="s">
        <v>102</v>
      </c>
      <c r="D10860">
        <v>4105</v>
      </c>
      <c r="E10860">
        <v>2020</v>
      </c>
      <c r="F10860">
        <v>13</v>
      </c>
      <c r="G10860">
        <v>11533</v>
      </c>
      <c r="H10860" s="1">
        <v>0</v>
      </c>
      <c r="I10860">
        <v>10</v>
      </c>
      <c r="J10860">
        <f>IF($H10860=0,1,IF($I10860&lt;=1,2,0))</f>
        <v>1</v>
      </c>
      <c r="K10860">
        <v>6</v>
      </c>
      <c r="L10860">
        <f>IF(AND($J10860=0,$K10860=0),0,1)</f>
        <v>1</v>
      </c>
    </row>
    <row r="10861" spans="1:12" x14ac:dyDescent="0.2">
      <c r="A10861" t="s">
        <v>93</v>
      </c>
      <c r="B10861" t="s">
        <v>17</v>
      </c>
      <c r="C10861" t="s">
        <v>102</v>
      </c>
      <c r="D10861">
        <v>4105</v>
      </c>
      <c r="E10861">
        <v>2020</v>
      </c>
      <c r="F10861">
        <v>6</v>
      </c>
      <c r="G10861">
        <v>11505</v>
      </c>
      <c r="H10861" s="1">
        <v>0</v>
      </c>
      <c r="I10861">
        <v>9</v>
      </c>
      <c r="J10861">
        <f>IF($H10861=0,1,IF($I10861&lt;=1,2,0))</f>
        <v>1</v>
      </c>
      <c r="K10861">
        <v>6</v>
      </c>
      <c r="L10861">
        <f>IF(AND($J10861=0,$K10861=0),0,1)</f>
        <v>1</v>
      </c>
    </row>
    <row r="10862" spans="1:12" x14ac:dyDescent="0.2">
      <c r="A10862" t="s">
        <v>93</v>
      </c>
      <c r="B10862" t="s">
        <v>17</v>
      </c>
      <c r="C10862" t="s">
        <v>102</v>
      </c>
      <c r="D10862">
        <v>4105</v>
      </c>
      <c r="E10862">
        <v>2020</v>
      </c>
      <c r="F10862">
        <v>5</v>
      </c>
      <c r="G10862">
        <v>11351</v>
      </c>
      <c r="H10862" s="1">
        <v>0</v>
      </c>
      <c r="I10862">
        <v>8</v>
      </c>
      <c r="J10862">
        <f>IF($H10862=0,1,IF($I10862&lt;=1,2,0))</f>
        <v>1</v>
      </c>
      <c r="K10862">
        <v>6</v>
      </c>
      <c r="L10862">
        <f>IF(AND($J10862=0,$K10862=0),0,1)</f>
        <v>1</v>
      </c>
    </row>
    <row r="10863" spans="1:12" x14ac:dyDescent="0.2">
      <c r="A10863" t="s">
        <v>93</v>
      </c>
      <c r="B10863" t="s">
        <v>17</v>
      </c>
      <c r="C10863" t="s">
        <v>102</v>
      </c>
      <c r="D10863">
        <v>4105</v>
      </c>
      <c r="E10863">
        <v>2020</v>
      </c>
      <c r="F10863">
        <v>17</v>
      </c>
      <c r="G10863">
        <v>11541</v>
      </c>
      <c r="H10863" s="1">
        <v>0</v>
      </c>
      <c r="I10863">
        <v>8</v>
      </c>
      <c r="J10863">
        <f>IF($H10863=0,1,IF($I10863&lt;=1,2,0))</f>
        <v>1</v>
      </c>
      <c r="K10863">
        <v>6</v>
      </c>
      <c r="L10863">
        <f>IF(AND($J10863=0,$K10863=0),0,1)</f>
        <v>1</v>
      </c>
    </row>
    <row r="10864" spans="1:12" x14ac:dyDescent="0.2">
      <c r="A10864" t="s">
        <v>93</v>
      </c>
      <c r="B10864" t="s">
        <v>17</v>
      </c>
      <c r="C10864" t="s">
        <v>102</v>
      </c>
      <c r="D10864">
        <v>4105</v>
      </c>
      <c r="E10864">
        <v>2020</v>
      </c>
      <c r="F10864">
        <v>7</v>
      </c>
      <c r="G10864">
        <v>11510</v>
      </c>
      <c r="H10864" s="1">
        <v>0</v>
      </c>
      <c r="I10864">
        <v>7</v>
      </c>
      <c r="J10864">
        <f>IF($H10864=0,1,IF($I10864&lt;=1,2,0))</f>
        <v>1</v>
      </c>
      <c r="K10864">
        <v>6</v>
      </c>
      <c r="L10864">
        <f>IF(AND($J10864=0,$K10864=0),0,1)</f>
        <v>1</v>
      </c>
    </row>
    <row r="10865" spans="1:13" x14ac:dyDescent="0.2">
      <c r="A10865" t="s">
        <v>93</v>
      </c>
      <c r="B10865" t="s">
        <v>17</v>
      </c>
      <c r="C10865" t="s">
        <v>102</v>
      </c>
      <c r="D10865">
        <v>4105</v>
      </c>
      <c r="E10865">
        <v>2020</v>
      </c>
      <c r="F10865">
        <v>18</v>
      </c>
      <c r="G10865">
        <v>11542</v>
      </c>
      <c r="H10865" s="1">
        <v>0</v>
      </c>
      <c r="I10865">
        <v>7</v>
      </c>
      <c r="J10865">
        <f>IF($H10865=0,1,IF($I10865&lt;=1,2,0))</f>
        <v>1</v>
      </c>
      <c r="K10865">
        <v>6</v>
      </c>
      <c r="L10865">
        <f>IF(AND($J10865=0,$K10865=0),0,1)</f>
        <v>1</v>
      </c>
    </row>
    <row r="10866" spans="1:13" x14ac:dyDescent="0.2">
      <c r="A10866" t="s">
        <v>93</v>
      </c>
      <c r="B10866" t="s">
        <v>17</v>
      </c>
      <c r="C10866" t="s">
        <v>102</v>
      </c>
      <c r="D10866">
        <v>4111</v>
      </c>
      <c r="E10866">
        <v>2020</v>
      </c>
      <c r="F10866">
        <v>1</v>
      </c>
      <c r="G10866">
        <v>11761</v>
      </c>
      <c r="H10866" s="1">
        <v>3</v>
      </c>
      <c r="I10866">
        <v>68</v>
      </c>
      <c r="J10866">
        <f>IF($H10866=0,1,IF($I10866&lt;=1,2,0))</f>
        <v>0</v>
      </c>
      <c r="K10866">
        <v>6</v>
      </c>
      <c r="L10866">
        <f>IF(AND($J10866=0,$K10866=0),0,1)</f>
        <v>1</v>
      </c>
      <c r="M10866" t="s">
        <v>106</v>
      </c>
    </row>
    <row r="10867" spans="1:13" x14ac:dyDescent="0.2">
      <c r="A10867" t="s">
        <v>93</v>
      </c>
      <c r="B10867" t="s">
        <v>17</v>
      </c>
      <c r="C10867" t="s">
        <v>102</v>
      </c>
      <c r="D10867">
        <v>4113</v>
      </c>
      <c r="E10867">
        <v>2020</v>
      </c>
      <c r="F10867">
        <v>1</v>
      </c>
      <c r="G10867">
        <v>11762</v>
      </c>
      <c r="H10867" s="1">
        <v>3</v>
      </c>
      <c r="I10867">
        <v>85</v>
      </c>
      <c r="J10867">
        <f>IF($H10867=0,1,IF($I10867&lt;=1,2,0))</f>
        <v>0</v>
      </c>
      <c r="K10867">
        <v>6</v>
      </c>
      <c r="L10867">
        <f>IF(AND($J10867=0,$K10867=0),0,1)</f>
        <v>1</v>
      </c>
      <c r="M10867" t="s">
        <v>106</v>
      </c>
    </row>
    <row r="10868" spans="1:13" x14ac:dyDescent="0.2">
      <c r="A10868" t="s">
        <v>93</v>
      </c>
      <c r="B10868" t="s">
        <v>17</v>
      </c>
      <c r="C10868" t="s">
        <v>102</v>
      </c>
      <c r="D10868">
        <v>4114</v>
      </c>
      <c r="E10868">
        <v>2020</v>
      </c>
      <c r="F10868">
        <v>1</v>
      </c>
      <c r="G10868">
        <v>11763</v>
      </c>
      <c r="H10868" s="1">
        <v>3</v>
      </c>
      <c r="I10868">
        <v>84</v>
      </c>
      <c r="J10868">
        <f>IF($H10868=0,1,IF($I10868&lt;=1,2,0))</f>
        <v>0</v>
      </c>
      <c r="K10868">
        <v>6</v>
      </c>
      <c r="L10868">
        <f>IF(AND($J10868=0,$K10868=0),0,1)</f>
        <v>1</v>
      </c>
      <c r="M10868" t="s">
        <v>859</v>
      </c>
    </row>
    <row r="10869" spans="1:13" x14ac:dyDescent="0.2">
      <c r="A10869" t="s">
        <v>93</v>
      </c>
      <c r="B10869" t="s">
        <v>17</v>
      </c>
      <c r="C10869" t="s">
        <v>102</v>
      </c>
      <c r="D10869">
        <v>4337</v>
      </c>
      <c r="E10869">
        <v>2020</v>
      </c>
      <c r="F10869">
        <v>1</v>
      </c>
      <c r="G10869">
        <v>12044</v>
      </c>
      <c r="H10869" s="1">
        <v>3</v>
      </c>
      <c r="I10869">
        <v>11</v>
      </c>
      <c r="J10869">
        <f>IF($H10869=0,1,IF($I10869&lt;=1,2,0))</f>
        <v>0</v>
      </c>
      <c r="K10869">
        <v>6</v>
      </c>
      <c r="L10869">
        <f>IF(AND($J10869=0,$K10869=0),0,1)</f>
        <v>1</v>
      </c>
      <c r="M10869" t="s">
        <v>1973</v>
      </c>
    </row>
    <row r="10870" spans="1:13" x14ac:dyDescent="0.2">
      <c r="A10870" t="s">
        <v>93</v>
      </c>
      <c r="B10870" t="s">
        <v>17</v>
      </c>
      <c r="C10870" t="s">
        <v>102</v>
      </c>
      <c r="D10870">
        <v>4341</v>
      </c>
      <c r="E10870">
        <v>2020</v>
      </c>
      <c r="F10870">
        <v>1</v>
      </c>
      <c r="G10870">
        <v>11889</v>
      </c>
      <c r="H10870" s="1">
        <v>3</v>
      </c>
      <c r="I10870">
        <v>15</v>
      </c>
      <c r="J10870">
        <f>IF($H10870=0,1,IF($I10870&lt;=1,2,0))</f>
        <v>0</v>
      </c>
      <c r="K10870">
        <v>6</v>
      </c>
      <c r="L10870">
        <f>IF(AND($J10870=0,$K10870=0),0,1)</f>
        <v>1</v>
      </c>
      <c r="M10870" t="s">
        <v>1974</v>
      </c>
    </row>
    <row r="10871" spans="1:13" x14ac:dyDescent="0.2">
      <c r="A10871" t="s">
        <v>93</v>
      </c>
      <c r="B10871" t="s">
        <v>17</v>
      </c>
      <c r="C10871" t="s">
        <v>102</v>
      </c>
      <c r="D10871">
        <v>4348</v>
      </c>
      <c r="E10871">
        <v>2020</v>
      </c>
      <c r="F10871">
        <v>2</v>
      </c>
      <c r="G10871">
        <v>11550</v>
      </c>
      <c r="H10871" s="1">
        <v>3</v>
      </c>
      <c r="I10871">
        <v>30</v>
      </c>
      <c r="J10871">
        <f>IF($H10871=0,1,IF($I10871&lt;=1,2,0))</f>
        <v>0</v>
      </c>
      <c r="K10871">
        <v>6</v>
      </c>
      <c r="L10871">
        <f>IF(AND($J10871=0,$K10871=0),0,1)</f>
        <v>1</v>
      </c>
      <c r="M10871" t="s">
        <v>108</v>
      </c>
    </row>
    <row r="10872" spans="1:13" x14ac:dyDescent="0.2">
      <c r="A10872" t="s">
        <v>93</v>
      </c>
      <c r="B10872" t="s">
        <v>17</v>
      </c>
      <c r="C10872" t="s">
        <v>102</v>
      </c>
      <c r="D10872">
        <v>4348</v>
      </c>
      <c r="E10872">
        <v>2020</v>
      </c>
      <c r="F10872">
        <v>3</v>
      </c>
      <c r="G10872">
        <v>11551</v>
      </c>
      <c r="H10872" s="1">
        <v>3</v>
      </c>
      <c r="I10872">
        <v>30</v>
      </c>
      <c r="J10872">
        <f>IF($H10872=0,1,IF($I10872&lt;=1,2,0))</f>
        <v>0</v>
      </c>
      <c r="K10872">
        <v>6</v>
      </c>
      <c r="L10872">
        <f>IF(AND($J10872=0,$K10872=0),0,1)</f>
        <v>1</v>
      </c>
      <c r="M10872" t="s">
        <v>108</v>
      </c>
    </row>
    <row r="10873" spans="1:13" x14ac:dyDescent="0.2">
      <c r="A10873" t="s">
        <v>93</v>
      </c>
      <c r="B10873" t="s">
        <v>17</v>
      </c>
      <c r="C10873" t="s">
        <v>102</v>
      </c>
      <c r="D10873">
        <v>4348</v>
      </c>
      <c r="E10873">
        <v>2020</v>
      </c>
      <c r="F10873">
        <v>1</v>
      </c>
      <c r="G10873">
        <v>11545</v>
      </c>
      <c r="H10873" s="1">
        <v>3</v>
      </c>
      <c r="I10873">
        <v>28</v>
      </c>
      <c r="J10873">
        <f>IF($H10873=0,1,IF($I10873&lt;=1,2,0))</f>
        <v>0</v>
      </c>
      <c r="K10873">
        <v>6</v>
      </c>
      <c r="L10873">
        <f>IF(AND($J10873=0,$K10873=0),0,1)</f>
        <v>1</v>
      </c>
      <c r="M10873" t="s">
        <v>107</v>
      </c>
    </row>
    <row r="10874" spans="1:13" x14ac:dyDescent="0.2">
      <c r="A10874" t="s">
        <v>93</v>
      </c>
      <c r="B10874" t="s">
        <v>17</v>
      </c>
      <c r="C10874" t="s">
        <v>102</v>
      </c>
      <c r="D10874">
        <v>4399</v>
      </c>
      <c r="E10874">
        <v>2020</v>
      </c>
      <c r="F10874">
        <v>1</v>
      </c>
      <c r="G10874">
        <v>11552</v>
      </c>
      <c r="H10874" s="1">
        <v>3</v>
      </c>
      <c r="I10874">
        <v>15</v>
      </c>
      <c r="J10874">
        <f>IF($H10874=0,1,IF($I10874&lt;=1,2,0))</f>
        <v>0</v>
      </c>
      <c r="K10874">
        <v>6</v>
      </c>
      <c r="L10874">
        <f>IF(AND($J10874=0,$K10874=0),0,1)</f>
        <v>1</v>
      </c>
      <c r="M10874" t="s">
        <v>860</v>
      </c>
    </row>
    <row r="10875" spans="1:13" x14ac:dyDescent="0.2">
      <c r="A10875" t="s">
        <v>93</v>
      </c>
      <c r="B10875" t="s">
        <v>17</v>
      </c>
      <c r="C10875" t="s">
        <v>102</v>
      </c>
      <c r="D10875">
        <v>4402</v>
      </c>
      <c r="E10875">
        <v>2020</v>
      </c>
      <c r="F10875">
        <v>1</v>
      </c>
      <c r="G10875">
        <v>12928</v>
      </c>
      <c r="H10875" s="1">
        <v>3</v>
      </c>
      <c r="I10875">
        <v>104</v>
      </c>
      <c r="J10875">
        <f>IF($H10875=0,1,IF($I10875&lt;=1,2,0))</f>
        <v>0</v>
      </c>
      <c r="K10875">
        <v>6</v>
      </c>
      <c r="L10875">
        <f>IF(AND($J10875=0,$K10875=0),0,1)</f>
        <v>1</v>
      </c>
      <c r="M10875" t="s">
        <v>861</v>
      </c>
    </row>
    <row r="10876" spans="1:13" x14ac:dyDescent="0.2">
      <c r="A10876" t="s">
        <v>93</v>
      </c>
      <c r="B10876" t="s">
        <v>17</v>
      </c>
      <c r="C10876" t="s">
        <v>102</v>
      </c>
      <c r="D10876">
        <v>4427</v>
      </c>
      <c r="E10876">
        <v>2020</v>
      </c>
      <c r="F10876">
        <v>1</v>
      </c>
      <c r="G10876">
        <v>11725</v>
      </c>
      <c r="H10876" s="1">
        <v>3</v>
      </c>
      <c r="I10876">
        <v>12</v>
      </c>
      <c r="J10876">
        <f>IF($H10876=0,1,IF($I10876&lt;=1,2,0))</f>
        <v>0</v>
      </c>
      <c r="K10876">
        <v>6</v>
      </c>
      <c r="L10876">
        <f>IF(AND($J10876=0,$K10876=0),0,1)</f>
        <v>1</v>
      </c>
      <c r="M10876" t="s">
        <v>862</v>
      </c>
    </row>
    <row r="10877" spans="1:13" x14ac:dyDescent="0.2">
      <c r="A10877" t="s">
        <v>93</v>
      </c>
      <c r="B10877" t="s">
        <v>17</v>
      </c>
      <c r="C10877" t="s">
        <v>102</v>
      </c>
      <c r="D10877">
        <v>4469</v>
      </c>
      <c r="E10877">
        <v>2020</v>
      </c>
      <c r="F10877">
        <v>1</v>
      </c>
      <c r="G10877">
        <v>11554</v>
      </c>
      <c r="H10877" s="1">
        <v>3</v>
      </c>
      <c r="I10877">
        <v>66</v>
      </c>
      <c r="J10877">
        <f>IF($H10877=0,1,IF($I10877&lt;=1,2,0))</f>
        <v>0</v>
      </c>
      <c r="K10877">
        <v>6</v>
      </c>
      <c r="L10877">
        <f>IF(AND($J10877=0,$K10877=0),0,1)</f>
        <v>1</v>
      </c>
      <c r="M10877" t="s">
        <v>1869</v>
      </c>
    </row>
    <row r="10878" spans="1:13" x14ac:dyDescent="0.2">
      <c r="A10878" t="s">
        <v>93</v>
      </c>
      <c r="B10878" t="s">
        <v>17</v>
      </c>
      <c r="C10878" t="s">
        <v>102</v>
      </c>
      <c r="D10878">
        <v>4504</v>
      </c>
      <c r="E10878">
        <v>2020</v>
      </c>
      <c r="F10878">
        <v>1</v>
      </c>
      <c r="G10878">
        <v>12878</v>
      </c>
      <c r="H10878" s="1">
        <v>3</v>
      </c>
      <c r="I10878">
        <v>9</v>
      </c>
      <c r="J10878">
        <f>IF($H10878=0,1,IF($I10878&lt;=1,2,0))</f>
        <v>0</v>
      </c>
      <c r="K10878">
        <v>6</v>
      </c>
      <c r="L10878">
        <f>IF(AND($J10878=0,$K10878=0),0,1)</f>
        <v>1</v>
      </c>
      <c r="M10878" t="s">
        <v>1975</v>
      </c>
    </row>
    <row r="10879" spans="1:13" x14ac:dyDescent="0.2">
      <c r="A10879" t="s">
        <v>93</v>
      </c>
      <c r="B10879" t="s">
        <v>17</v>
      </c>
      <c r="C10879" t="s">
        <v>102</v>
      </c>
      <c r="D10879">
        <v>4507</v>
      </c>
      <c r="E10879">
        <v>2020</v>
      </c>
      <c r="F10879">
        <v>1</v>
      </c>
      <c r="G10879">
        <v>22398</v>
      </c>
      <c r="H10879" s="1">
        <v>3</v>
      </c>
      <c r="I10879">
        <v>16</v>
      </c>
      <c r="J10879">
        <f>IF($H10879=0,1,IF($I10879&lt;=1,2,0))</f>
        <v>0</v>
      </c>
      <c r="K10879">
        <v>6</v>
      </c>
      <c r="L10879">
        <f>IF(AND($J10879=0,$K10879=0),0,1)</f>
        <v>1</v>
      </c>
      <c r="M10879" t="s">
        <v>863</v>
      </c>
    </row>
    <row r="10880" spans="1:13" x14ac:dyDescent="0.2">
      <c r="A10880" t="s">
        <v>93</v>
      </c>
      <c r="B10880" t="s">
        <v>17</v>
      </c>
      <c r="C10880" t="s">
        <v>102</v>
      </c>
      <c r="D10880">
        <v>4510</v>
      </c>
      <c r="E10880">
        <v>2020</v>
      </c>
      <c r="F10880">
        <v>1</v>
      </c>
      <c r="G10880">
        <v>11890</v>
      </c>
      <c r="H10880" s="1">
        <v>6</v>
      </c>
      <c r="I10880">
        <v>14</v>
      </c>
      <c r="J10880">
        <f>IF($H10880=0,1,IF($I10880&lt;=1,2,0))</f>
        <v>0</v>
      </c>
      <c r="K10880">
        <v>6</v>
      </c>
      <c r="L10880">
        <f>IF(AND($J10880=0,$K10880=0),0,1)</f>
        <v>1</v>
      </c>
      <c r="M10880" t="s">
        <v>110</v>
      </c>
    </row>
    <row r="10881" spans="1:13" x14ac:dyDescent="0.2">
      <c r="A10881" t="s">
        <v>93</v>
      </c>
      <c r="B10881" t="s">
        <v>17</v>
      </c>
      <c r="C10881" t="s">
        <v>102</v>
      </c>
      <c r="D10881">
        <v>4534</v>
      </c>
      <c r="E10881">
        <v>2020</v>
      </c>
      <c r="F10881">
        <v>1</v>
      </c>
      <c r="G10881">
        <v>11730</v>
      </c>
      <c r="H10881" s="1">
        <v>3</v>
      </c>
      <c r="I10881">
        <v>37</v>
      </c>
      <c r="J10881">
        <f>IF($H10881=0,1,IF($I10881&lt;=1,2,0))</f>
        <v>0</v>
      </c>
      <c r="K10881">
        <v>6</v>
      </c>
      <c r="L10881">
        <f>IF(AND($J10881=0,$K10881=0),0,1)</f>
        <v>1</v>
      </c>
      <c r="M10881" t="s">
        <v>1870</v>
      </c>
    </row>
    <row r="10882" spans="1:13" x14ac:dyDescent="0.2">
      <c r="A10882" t="s">
        <v>93</v>
      </c>
      <c r="B10882" t="s">
        <v>17</v>
      </c>
      <c r="C10882" t="s">
        <v>102</v>
      </c>
      <c r="D10882">
        <v>4560</v>
      </c>
      <c r="E10882">
        <v>2020</v>
      </c>
      <c r="F10882">
        <v>1</v>
      </c>
      <c r="G10882">
        <v>11727</v>
      </c>
      <c r="H10882" s="1">
        <v>3</v>
      </c>
      <c r="I10882">
        <v>81</v>
      </c>
      <c r="J10882">
        <f>IF($H10882=0,1,IF($I10882&lt;=1,2,0))</f>
        <v>0</v>
      </c>
      <c r="K10882">
        <v>6</v>
      </c>
      <c r="L10882">
        <f>IF(AND($J10882=0,$K10882=0),0,1)</f>
        <v>1</v>
      </c>
      <c r="M10882" t="s">
        <v>864</v>
      </c>
    </row>
    <row r="10883" spans="1:13" x14ac:dyDescent="0.2">
      <c r="A10883" t="s">
        <v>93</v>
      </c>
      <c r="B10883" t="s">
        <v>17</v>
      </c>
      <c r="C10883" t="s">
        <v>102</v>
      </c>
      <c r="D10883">
        <v>4597</v>
      </c>
      <c r="E10883">
        <v>2020</v>
      </c>
      <c r="F10883">
        <v>1</v>
      </c>
      <c r="G10883">
        <v>11555</v>
      </c>
      <c r="H10883" s="1">
        <v>3</v>
      </c>
      <c r="I10883">
        <v>14</v>
      </c>
      <c r="J10883">
        <f>IF($H10883=0,1,IF($I10883&lt;=1,2,0))</f>
        <v>0</v>
      </c>
      <c r="K10883">
        <v>6</v>
      </c>
      <c r="L10883">
        <f>IF(AND($J10883=0,$K10883=0),0,1)</f>
        <v>1</v>
      </c>
      <c r="M10883" t="s">
        <v>113</v>
      </c>
    </row>
    <row r="10884" spans="1:13" x14ac:dyDescent="0.2">
      <c r="A10884" t="s">
        <v>93</v>
      </c>
      <c r="B10884" t="s">
        <v>17</v>
      </c>
      <c r="C10884" t="s">
        <v>102</v>
      </c>
      <c r="D10884">
        <v>4620</v>
      </c>
      <c r="E10884">
        <v>2020</v>
      </c>
      <c r="F10884">
        <v>1</v>
      </c>
      <c r="G10884">
        <v>11556</v>
      </c>
      <c r="H10884" s="1">
        <v>3</v>
      </c>
      <c r="I10884">
        <v>16</v>
      </c>
      <c r="J10884">
        <f>IF($H10884=0,1,IF($I10884&lt;=1,2,0))</f>
        <v>0</v>
      </c>
      <c r="K10884">
        <v>6</v>
      </c>
      <c r="L10884">
        <f>IF(AND($J10884=0,$K10884=0),0,1)</f>
        <v>1</v>
      </c>
      <c r="M10884" t="s">
        <v>1872</v>
      </c>
    </row>
    <row r="10885" spans="1:13" x14ac:dyDescent="0.2">
      <c r="A10885" t="s">
        <v>93</v>
      </c>
      <c r="B10885" t="s">
        <v>17</v>
      </c>
      <c r="C10885" t="s">
        <v>102</v>
      </c>
      <c r="D10885">
        <v>4625</v>
      </c>
      <c r="E10885">
        <v>2020</v>
      </c>
      <c r="F10885">
        <v>1</v>
      </c>
      <c r="G10885">
        <v>11764</v>
      </c>
      <c r="H10885" s="1">
        <v>3</v>
      </c>
      <c r="I10885">
        <v>6</v>
      </c>
      <c r="J10885">
        <f>IF($H10885=0,1,IF($I10885&lt;=1,2,0))</f>
        <v>0</v>
      </c>
      <c r="K10885">
        <v>6</v>
      </c>
      <c r="L10885">
        <f>IF(AND($J10885=0,$K10885=0),0,1)</f>
        <v>1</v>
      </c>
      <c r="M10885" t="s">
        <v>114</v>
      </c>
    </row>
    <row r="10886" spans="1:13" x14ac:dyDescent="0.2">
      <c r="A10886" t="s">
        <v>93</v>
      </c>
      <c r="B10886" t="s">
        <v>17</v>
      </c>
      <c r="C10886" t="s">
        <v>102</v>
      </c>
      <c r="D10886">
        <v>4684</v>
      </c>
      <c r="E10886">
        <v>2020</v>
      </c>
      <c r="F10886">
        <v>1</v>
      </c>
      <c r="G10886">
        <v>11766</v>
      </c>
      <c r="H10886" s="1">
        <v>3</v>
      </c>
      <c r="I10886">
        <v>11</v>
      </c>
      <c r="J10886">
        <f>IF($H10886=0,1,IF($I10886&lt;=1,2,0))</f>
        <v>0</v>
      </c>
      <c r="K10886">
        <v>6</v>
      </c>
      <c r="L10886">
        <f>IF(AND($J10886=0,$K10886=0),0,1)</f>
        <v>1</v>
      </c>
      <c r="M10886" t="s">
        <v>114</v>
      </c>
    </row>
    <row r="10887" spans="1:13" x14ac:dyDescent="0.2">
      <c r="A10887" t="s">
        <v>93</v>
      </c>
      <c r="B10887" t="s">
        <v>17</v>
      </c>
      <c r="C10887" t="s">
        <v>102</v>
      </c>
      <c r="D10887">
        <v>4715</v>
      </c>
      <c r="E10887">
        <v>2020</v>
      </c>
      <c r="F10887">
        <v>1</v>
      </c>
      <c r="G10887">
        <v>11731</v>
      </c>
      <c r="H10887" s="1">
        <v>3</v>
      </c>
      <c r="I10887">
        <v>16</v>
      </c>
      <c r="J10887">
        <f>IF($H10887=0,1,IF($I10887&lt;=1,2,0))</f>
        <v>0</v>
      </c>
      <c r="K10887">
        <v>6</v>
      </c>
      <c r="L10887">
        <f>IF(AND($J10887=0,$K10887=0),0,1)</f>
        <v>1</v>
      </c>
      <c r="M10887" t="s">
        <v>115</v>
      </c>
    </row>
    <row r="10888" spans="1:13" x14ac:dyDescent="0.2">
      <c r="A10888" t="s">
        <v>93</v>
      </c>
      <c r="B10888" t="s">
        <v>17</v>
      </c>
      <c r="C10888" t="s">
        <v>102</v>
      </c>
      <c r="D10888">
        <v>4726</v>
      </c>
      <c r="E10888">
        <v>2020</v>
      </c>
      <c r="F10888">
        <v>1</v>
      </c>
      <c r="G10888">
        <v>11743</v>
      </c>
      <c r="H10888" s="1">
        <v>3</v>
      </c>
      <c r="I10888">
        <v>11</v>
      </c>
      <c r="J10888">
        <f>IF($H10888=0,1,IF($I10888&lt;=1,2,0))</f>
        <v>0</v>
      </c>
      <c r="K10888">
        <v>6</v>
      </c>
      <c r="L10888">
        <f>IF(AND($J10888=0,$K10888=0),0,1)</f>
        <v>1</v>
      </c>
      <c r="M10888" t="s">
        <v>1870</v>
      </c>
    </row>
    <row r="10889" spans="1:13" x14ac:dyDescent="0.2">
      <c r="A10889" t="s">
        <v>93</v>
      </c>
      <c r="B10889" t="s">
        <v>17</v>
      </c>
      <c r="C10889" t="s">
        <v>102</v>
      </c>
      <c r="D10889">
        <v>4776</v>
      </c>
      <c r="E10889">
        <v>2020</v>
      </c>
      <c r="F10889">
        <v>1</v>
      </c>
      <c r="G10889">
        <v>11767</v>
      </c>
      <c r="H10889" s="1">
        <v>3</v>
      </c>
      <c r="I10889">
        <v>16</v>
      </c>
      <c r="J10889">
        <f>IF($H10889=0,1,IF($I10889&lt;=1,2,0))</f>
        <v>0</v>
      </c>
      <c r="K10889">
        <v>6</v>
      </c>
      <c r="L10889">
        <f>IF(AND($J10889=0,$K10889=0),0,1)</f>
        <v>1</v>
      </c>
      <c r="M10889" t="s">
        <v>114</v>
      </c>
    </row>
    <row r="10890" spans="1:13" x14ac:dyDescent="0.2">
      <c r="A10890" t="s">
        <v>93</v>
      </c>
      <c r="B10890" t="s">
        <v>17</v>
      </c>
      <c r="C10890" t="s">
        <v>102</v>
      </c>
      <c r="D10890">
        <v>4778</v>
      </c>
      <c r="E10890">
        <v>2020</v>
      </c>
      <c r="F10890">
        <v>1</v>
      </c>
      <c r="G10890">
        <v>11749</v>
      </c>
      <c r="H10890" s="1">
        <v>3</v>
      </c>
      <c r="I10890">
        <v>18</v>
      </c>
      <c r="J10890">
        <f>IF($H10890=0,1,IF($I10890&lt;=1,2,0))</f>
        <v>0</v>
      </c>
      <c r="K10890">
        <v>6</v>
      </c>
      <c r="L10890">
        <f>IF(AND($J10890=0,$K10890=0),0,1)</f>
        <v>1</v>
      </c>
      <c r="M10890" t="s">
        <v>1870</v>
      </c>
    </row>
    <row r="10891" spans="1:13" x14ac:dyDescent="0.2">
      <c r="A10891" t="s">
        <v>93</v>
      </c>
      <c r="B10891" t="s">
        <v>17</v>
      </c>
      <c r="C10891" t="s">
        <v>102</v>
      </c>
      <c r="D10891">
        <v>4815</v>
      </c>
      <c r="E10891">
        <v>2020</v>
      </c>
      <c r="F10891">
        <v>1</v>
      </c>
      <c r="G10891">
        <v>12804</v>
      </c>
      <c r="H10891" s="1">
        <v>3</v>
      </c>
      <c r="I10891">
        <v>20</v>
      </c>
      <c r="J10891">
        <f>IF($H10891=0,1,IF($I10891&lt;=1,2,0))</f>
        <v>0</v>
      </c>
      <c r="K10891">
        <v>6</v>
      </c>
      <c r="L10891">
        <f>IF(AND($J10891=0,$K10891=0),0,1)</f>
        <v>1</v>
      </c>
      <c r="M10891" t="s">
        <v>865</v>
      </c>
    </row>
    <row r="10892" spans="1:13" x14ac:dyDescent="0.2">
      <c r="A10892" t="s">
        <v>93</v>
      </c>
      <c r="B10892" t="s">
        <v>17</v>
      </c>
      <c r="C10892" t="s">
        <v>102</v>
      </c>
      <c r="D10892">
        <v>4832</v>
      </c>
      <c r="E10892">
        <v>2020</v>
      </c>
      <c r="F10892">
        <v>1</v>
      </c>
      <c r="G10892">
        <v>11753</v>
      </c>
      <c r="H10892" s="1">
        <v>3</v>
      </c>
      <c r="I10892">
        <v>9</v>
      </c>
      <c r="J10892">
        <f>IF($H10892=0,1,IF($I10892&lt;=1,2,0))</f>
        <v>0</v>
      </c>
      <c r="K10892">
        <v>6</v>
      </c>
      <c r="L10892">
        <f>IF(AND($J10892=0,$K10892=0),0,1)</f>
        <v>1</v>
      </c>
      <c r="M10892" t="s">
        <v>1870</v>
      </c>
    </row>
    <row r="10893" spans="1:13" x14ac:dyDescent="0.2">
      <c r="A10893" t="s">
        <v>93</v>
      </c>
      <c r="B10893" t="s">
        <v>17</v>
      </c>
      <c r="C10893" t="s">
        <v>102</v>
      </c>
      <c r="D10893">
        <v>4845</v>
      </c>
      <c r="E10893">
        <v>2020</v>
      </c>
      <c r="F10893">
        <v>1</v>
      </c>
      <c r="G10893">
        <v>11758</v>
      </c>
      <c r="H10893" s="1">
        <v>3</v>
      </c>
      <c r="I10893">
        <v>25</v>
      </c>
      <c r="J10893">
        <f>IF($H10893=0,1,IF($I10893&lt;=1,2,0))</f>
        <v>0</v>
      </c>
      <c r="K10893">
        <v>6</v>
      </c>
      <c r="L10893">
        <f>IF(AND($J10893=0,$K10893=0),0,1)</f>
        <v>1</v>
      </c>
      <c r="M10893" t="s">
        <v>866</v>
      </c>
    </row>
    <row r="10894" spans="1:13" x14ac:dyDescent="0.2">
      <c r="A10894" t="s">
        <v>93</v>
      </c>
      <c r="B10894" t="s">
        <v>17</v>
      </c>
      <c r="C10894" t="s">
        <v>102</v>
      </c>
      <c r="D10894">
        <v>4856</v>
      </c>
      <c r="E10894">
        <v>2020</v>
      </c>
      <c r="F10894">
        <v>1</v>
      </c>
      <c r="G10894">
        <v>11771</v>
      </c>
      <c r="H10894" s="1">
        <v>3</v>
      </c>
      <c r="I10894">
        <v>18</v>
      </c>
      <c r="J10894">
        <f>IF($H10894=0,1,IF($I10894&lt;=1,2,0))</f>
        <v>0</v>
      </c>
      <c r="K10894">
        <v>6</v>
      </c>
      <c r="L10894">
        <f>IF(AND($J10894=0,$K10894=0),0,1)</f>
        <v>1</v>
      </c>
      <c r="M10894" t="s">
        <v>1874</v>
      </c>
    </row>
    <row r="10895" spans="1:13" x14ac:dyDescent="0.2">
      <c r="A10895" t="s">
        <v>93</v>
      </c>
      <c r="B10895" t="s">
        <v>17</v>
      </c>
      <c r="C10895" t="s">
        <v>102</v>
      </c>
      <c r="D10895">
        <v>4861</v>
      </c>
      <c r="E10895">
        <v>2020</v>
      </c>
      <c r="F10895">
        <v>1</v>
      </c>
      <c r="G10895">
        <v>11772</v>
      </c>
      <c r="H10895" s="1">
        <v>3</v>
      </c>
      <c r="I10895">
        <v>26</v>
      </c>
      <c r="J10895">
        <f>IF($H10895=0,1,IF($I10895&lt;=1,2,0))</f>
        <v>0</v>
      </c>
      <c r="K10895">
        <v>6</v>
      </c>
      <c r="L10895">
        <f>IF(AND($J10895=0,$K10895=0),0,1)</f>
        <v>1</v>
      </c>
      <c r="M10895" t="s">
        <v>116</v>
      </c>
    </row>
    <row r="10896" spans="1:13" x14ac:dyDescent="0.2">
      <c r="A10896" t="s">
        <v>93</v>
      </c>
      <c r="B10896" t="s">
        <v>17</v>
      </c>
      <c r="C10896" t="s">
        <v>102</v>
      </c>
      <c r="D10896">
        <v>4866</v>
      </c>
      <c r="E10896">
        <v>2020</v>
      </c>
      <c r="F10896">
        <v>1</v>
      </c>
      <c r="G10896">
        <v>21963</v>
      </c>
      <c r="H10896" s="1">
        <v>3</v>
      </c>
      <c r="I10896">
        <v>13</v>
      </c>
      <c r="J10896">
        <f>IF($H10896=0,1,IF($I10896&lt;=1,2,0))</f>
        <v>0</v>
      </c>
      <c r="K10896">
        <v>6</v>
      </c>
      <c r="L10896">
        <f>IF(AND($J10896=0,$K10896=0),0,1)</f>
        <v>1</v>
      </c>
      <c r="M10896" t="s">
        <v>867</v>
      </c>
    </row>
    <row r="10897" spans="1:13" x14ac:dyDescent="0.2">
      <c r="A10897" t="s">
        <v>93</v>
      </c>
      <c r="B10897" t="s">
        <v>17</v>
      </c>
      <c r="C10897" t="s">
        <v>102</v>
      </c>
      <c r="D10897">
        <v>4892</v>
      </c>
      <c r="E10897">
        <v>2020</v>
      </c>
      <c r="F10897">
        <v>1</v>
      </c>
      <c r="G10897">
        <v>11269</v>
      </c>
      <c r="H10897" s="1">
        <v>3</v>
      </c>
      <c r="I10897">
        <v>16</v>
      </c>
      <c r="J10897">
        <f>IF($H10897=0,1,IF($I10897&lt;=1,2,0))</f>
        <v>0</v>
      </c>
      <c r="K10897">
        <v>6</v>
      </c>
      <c r="L10897">
        <f>IF(AND($J10897=0,$K10897=0),0,1)</f>
        <v>1</v>
      </c>
      <c r="M10897" t="s">
        <v>117</v>
      </c>
    </row>
    <row r="10898" spans="1:13" x14ac:dyDescent="0.2">
      <c r="A10898" t="s">
        <v>93</v>
      </c>
      <c r="B10898" t="s">
        <v>17</v>
      </c>
      <c r="C10898" t="s">
        <v>102</v>
      </c>
      <c r="D10898">
        <v>4987</v>
      </c>
      <c r="E10898">
        <v>2020</v>
      </c>
      <c r="F10898">
        <v>1</v>
      </c>
      <c r="G10898">
        <v>11755</v>
      </c>
      <c r="H10898" s="1">
        <v>3</v>
      </c>
      <c r="I10898">
        <v>12</v>
      </c>
      <c r="J10898">
        <f>IF($H10898=0,1,IF($I10898&lt;=1,2,0))</f>
        <v>0</v>
      </c>
      <c r="K10898">
        <v>6</v>
      </c>
      <c r="L10898">
        <f>IF(AND($J10898=0,$K10898=0),0,1)</f>
        <v>1</v>
      </c>
      <c r="M10898" t="s">
        <v>1870</v>
      </c>
    </row>
    <row r="10899" spans="1:13" x14ac:dyDescent="0.2">
      <c r="A10899" t="s">
        <v>93</v>
      </c>
      <c r="B10899" t="s">
        <v>17</v>
      </c>
      <c r="C10899" t="s">
        <v>102</v>
      </c>
      <c r="D10899">
        <v>6305</v>
      </c>
      <c r="E10899">
        <v>2020</v>
      </c>
      <c r="F10899">
        <v>1</v>
      </c>
      <c r="G10899">
        <v>11891</v>
      </c>
      <c r="H10899" s="1">
        <v>6</v>
      </c>
      <c r="I10899">
        <v>4</v>
      </c>
      <c r="J10899">
        <f>IF($H10899=0,1,IF($I10899&lt;=1,2,0))</f>
        <v>0</v>
      </c>
      <c r="K10899">
        <v>6</v>
      </c>
      <c r="L10899">
        <f>IF(AND($J10899=0,$K10899=0),0,1)</f>
        <v>1</v>
      </c>
      <c r="M10899" t="s">
        <v>1876</v>
      </c>
    </row>
    <row r="10900" spans="1:13" x14ac:dyDescent="0.2">
      <c r="A10900" t="s">
        <v>93</v>
      </c>
      <c r="B10900" t="s">
        <v>17</v>
      </c>
      <c r="C10900" t="s">
        <v>102</v>
      </c>
      <c r="D10900">
        <v>6402</v>
      </c>
      <c r="E10900">
        <v>2020</v>
      </c>
      <c r="F10900">
        <v>2</v>
      </c>
      <c r="G10900">
        <v>24585</v>
      </c>
      <c r="H10900" s="1">
        <v>0</v>
      </c>
      <c r="I10900">
        <v>60</v>
      </c>
      <c r="J10900">
        <f>IF($H10900=0,1,IF($I10900&lt;=1,2,0))</f>
        <v>1</v>
      </c>
      <c r="K10900">
        <v>6</v>
      </c>
      <c r="L10900">
        <f>IF(AND($J10900=0,$K10900=0),0,1)</f>
        <v>1</v>
      </c>
      <c r="M10900" t="s">
        <v>868</v>
      </c>
    </row>
    <row r="10901" spans="1:13" x14ac:dyDescent="0.2">
      <c r="A10901" t="s">
        <v>93</v>
      </c>
      <c r="B10901" t="s">
        <v>17</v>
      </c>
      <c r="C10901" t="s">
        <v>102</v>
      </c>
      <c r="D10901">
        <v>6402</v>
      </c>
      <c r="E10901">
        <v>2020</v>
      </c>
      <c r="F10901">
        <v>1</v>
      </c>
      <c r="G10901">
        <v>24584</v>
      </c>
      <c r="H10901" s="1">
        <v>0</v>
      </c>
      <c r="I10901">
        <v>43</v>
      </c>
      <c r="J10901">
        <f>IF($H10901=0,1,IF($I10901&lt;=1,2,0))</f>
        <v>1</v>
      </c>
      <c r="K10901">
        <v>6</v>
      </c>
      <c r="L10901">
        <f>IF(AND($J10901=0,$K10901=0),0,1)</f>
        <v>1</v>
      </c>
      <c r="M10901" t="s">
        <v>868</v>
      </c>
    </row>
    <row r="10902" spans="1:13" x14ac:dyDescent="0.2">
      <c r="A10902" t="s">
        <v>93</v>
      </c>
      <c r="B10902" t="s">
        <v>17</v>
      </c>
      <c r="C10902" t="s">
        <v>102</v>
      </c>
      <c r="D10902">
        <v>6451</v>
      </c>
      <c r="E10902">
        <v>2020</v>
      </c>
      <c r="F10902">
        <v>1</v>
      </c>
      <c r="G10902">
        <v>11564</v>
      </c>
      <c r="H10902" s="1">
        <v>3</v>
      </c>
      <c r="I10902">
        <v>24</v>
      </c>
      <c r="J10902">
        <f>IF($H10902=0,1,IF($I10902&lt;=1,2,0))</f>
        <v>0</v>
      </c>
      <c r="K10902">
        <v>6</v>
      </c>
      <c r="L10902">
        <f>IF(AND($J10902=0,$K10902=0),0,1)</f>
        <v>1</v>
      </c>
      <c r="M10902" t="s">
        <v>1878</v>
      </c>
    </row>
    <row r="10903" spans="1:13" x14ac:dyDescent="0.2">
      <c r="A10903" t="s">
        <v>93</v>
      </c>
      <c r="B10903" t="s">
        <v>17</v>
      </c>
      <c r="C10903" t="s">
        <v>102</v>
      </c>
      <c r="D10903">
        <v>6455</v>
      </c>
      <c r="E10903">
        <v>2020</v>
      </c>
      <c r="F10903">
        <v>1</v>
      </c>
      <c r="G10903">
        <v>11565</v>
      </c>
      <c r="H10903" s="1">
        <v>3</v>
      </c>
      <c r="I10903">
        <v>17</v>
      </c>
      <c r="J10903">
        <f>IF($H10903=0,1,IF($I10903&lt;=1,2,0))</f>
        <v>0</v>
      </c>
      <c r="K10903">
        <v>6</v>
      </c>
      <c r="L10903">
        <f>IF(AND($J10903=0,$K10903=0),0,1)</f>
        <v>1</v>
      </c>
      <c r="M10903" t="s">
        <v>1879</v>
      </c>
    </row>
    <row r="10904" spans="1:13" x14ac:dyDescent="0.2">
      <c r="A10904" t="s">
        <v>93</v>
      </c>
      <c r="B10904" t="s">
        <v>17</v>
      </c>
      <c r="C10904" t="s">
        <v>102</v>
      </c>
      <c r="D10904">
        <v>6740</v>
      </c>
      <c r="E10904">
        <v>2020</v>
      </c>
      <c r="F10904">
        <v>1</v>
      </c>
      <c r="G10904">
        <v>11893</v>
      </c>
      <c r="H10904" s="1">
        <v>3</v>
      </c>
      <c r="I10904">
        <v>15</v>
      </c>
      <c r="J10904">
        <f>IF($H10904=0,1,IF($I10904&lt;=1,2,0))</f>
        <v>0</v>
      </c>
      <c r="K10904">
        <v>6</v>
      </c>
      <c r="L10904">
        <f>IF(AND($J10904=0,$K10904=0),0,1)</f>
        <v>1</v>
      </c>
      <c r="M10904" t="s">
        <v>122</v>
      </c>
    </row>
    <row r="10905" spans="1:13" x14ac:dyDescent="0.2">
      <c r="A10905" t="s">
        <v>93</v>
      </c>
      <c r="B10905" t="s">
        <v>17</v>
      </c>
      <c r="C10905" t="s">
        <v>102</v>
      </c>
      <c r="D10905">
        <v>6756</v>
      </c>
      <c r="E10905">
        <v>2020</v>
      </c>
      <c r="F10905">
        <v>1</v>
      </c>
      <c r="G10905">
        <v>11757</v>
      </c>
      <c r="H10905" s="1">
        <v>3</v>
      </c>
      <c r="I10905">
        <v>6</v>
      </c>
      <c r="J10905">
        <f>IF($H10905=0,1,IF($I10905&lt;=1,2,0))</f>
        <v>0</v>
      </c>
      <c r="K10905">
        <v>6</v>
      </c>
      <c r="L10905">
        <f>IF(AND($J10905=0,$K10905=0),0,1)</f>
        <v>1</v>
      </c>
      <c r="M10905" t="s">
        <v>123</v>
      </c>
    </row>
    <row r="10906" spans="1:13" x14ac:dyDescent="0.2">
      <c r="A10906" t="s">
        <v>93</v>
      </c>
      <c r="B10906" t="s">
        <v>17</v>
      </c>
      <c r="C10906" t="s">
        <v>102</v>
      </c>
      <c r="D10906">
        <v>6767</v>
      </c>
      <c r="E10906">
        <v>2020</v>
      </c>
      <c r="F10906">
        <v>1</v>
      </c>
      <c r="G10906">
        <v>11894</v>
      </c>
      <c r="H10906" s="1">
        <v>3</v>
      </c>
      <c r="I10906">
        <v>15</v>
      </c>
      <c r="J10906">
        <f>IF($H10906=0,1,IF($I10906&lt;=1,2,0))</f>
        <v>0</v>
      </c>
      <c r="K10906">
        <v>6</v>
      </c>
      <c r="L10906">
        <f>IF(AND($J10906=0,$K10906=0),0,1)</f>
        <v>1</v>
      </c>
      <c r="M10906" t="s">
        <v>124</v>
      </c>
    </row>
    <row r="10907" spans="1:13" x14ac:dyDescent="0.2">
      <c r="A10907" t="s">
        <v>93</v>
      </c>
      <c r="B10907" t="s">
        <v>17</v>
      </c>
      <c r="C10907" t="s">
        <v>102</v>
      </c>
      <c r="D10907">
        <v>6768</v>
      </c>
      <c r="E10907">
        <v>2020</v>
      </c>
      <c r="F10907">
        <v>1</v>
      </c>
      <c r="G10907">
        <v>12806</v>
      </c>
      <c r="H10907" s="1">
        <v>1.5</v>
      </c>
      <c r="I10907">
        <v>9</v>
      </c>
      <c r="J10907">
        <f>IF($H10907=0,1,IF($I10907&lt;=1,2,0))</f>
        <v>0</v>
      </c>
      <c r="K10907">
        <v>6</v>
      </c>
      <c r="L10907">
        <f>IF(AND($J10907=0,$K10907=0),0,1)</f>
        <v>1</v>
      </c>
      <c r="M10907" t="s">
        <v>1880</v>
      </c>
    </row>
    <row r="10908" spans="1:13" x14ac:dyDescent="0.2">
      <c r="A10908" t="s">
        <v>93</v>
      </c>
      <c r="B10908" t="s">
        <v>17</v>
      </c>
      <c r="C10908" t="s">
        <v>102</v>
      </c>
      <c r="D10908">
        <v>6784</v>
      </c>
      <c r="E10908">
        <v>2020</v>
      </c>
      <c r="F10908">
        <v>1</v>
      </c>
      <c r="G10908">
        <v>12807</v>
      </c>
      <c r="H10908" s="1">
        <v>1.5</v>
      </c>
      <c r="I10908">
        <v>11</v>
      </c>
      <c r="J10908">
        <f>IF($H10908=0,1,IF($I10908&lt;=1,2,0))</f>
        <v>0</v>
      </c>
      <c r="K10908">
        <v>6</v>
      </c>
      <c r="L10908">
        <f>IF(AND($J10908=0,$K10908=0),0,1)</f>
        <v>1</v>
      </c>
      <c r="M10908" t="s">
        <v>869</v>
      </c>
    </row>
    <row r="10909" spans="1:13" x14ac:dyDescent="0.2">
      <c r="A10909" t="s">
        <v>93</v>
      </c>
      <c r="B10909" t="s">
        <v>17</v>
      </c>
      <c r="C10909" t="s">
        <v>102</v>
      </c>
      <c r="D10909">
        <v>6790</v>
      </c>
      <c r="E10909">
        <v>2020</v>
      </c>
      <c r="F10909">
        <v>1</v>
      </c>
      <c r="G10909">
        <v>11895</v>
      </c>
      <c r="H10909" s="1">
        <v>3</v>
      </c>
      <c r="I10909">
        <v>11</v>
      </c>
      <c r="J10909">
        <f>IF($H10909=0,1,IF($I10909&lt;=1,2,0))</f>
        <v>0</v>
      </c>
      <c r="K10909">
        <v>6</v>
      </c>
      <c r="L10909">
        <f>IF(AND($J10909=0,$K10909=0),0,1)</f>
        <v>1</v>
      </c>
      <c r="M10909" t="s">
        <v>125</v>
      </c>
    </row>
    <row r="10910" spans="1:13" x14ac:dyDescent="0.2">
      <c r="A10910" t="s">
        <v>93</v>
      </c>
      <c r="B10910" t="s">
        <v>17</v>
      </c>
      <c r="C10910" t="s">
        <v>102</v>
      </c>
      <c r="D10910">
        <v>6813</v>
      </c>
      <c r="E10910">
        <v>2020</v>
      </c>
      <c r="F10910">
        <v>1</v>
      </c>
      <c r="G10910">
        <v>11676</v>
      </c>
      <c r="H10910" s="1">
        <v>3</v>
      </c>
      <c r="I10910">
        <v>19</v>
      </c>
      <c r="J10910">
        <f>IF($H10910=0,1,IF($I10910&lt;=1,2,0))</f>
        <v>0</v>
      </c>
      <c r="K10910">
        <v>6</v>
      </c>
      <c r="L10910">
        <f>IF(AND($J10910=0,$K10910=0),0,1)</f>
        <v>1</v>
      </c>
      <c r="M10910" t="s">
        <v>1885</v>
      </c>
    </row>
    <row r="10911" spans="1:13" x14ac:dyDescent="0.2">
      <c r="A10911" t="s">
        <v>93</v>
      </c>
      <c r="B10911" t="s">
        <v>17</v>
      </c>
      <c r="C10911" t="s">
        <v>102</v>
      </c>
      <c r="D10911">
        <v>6824</v>
      </c>
      <c r="E10911">
        <v>2020</v>
      </c>
      <c r="F10911">
        <v>1</v>
      </c>
      <c r="G10911">
        <v>11848</v>
      </c>
      <c r="H10911" s="1">
        <v>3</v>
      </c>
      <c r="I10911">
        <v>46</v>
      </c>
      <c r="J10911">
        <f>IF($H10911=0,1,IF($I10911&lt;=1,2,0))</f>
        <v>0</v>
      </c>
      <c r="K10911">
        <v>6</v>
      </c>
      <c r="L10911">
        <f>IF(AND($J10911=0,$K10911=0),0,1)</f>
        <v>1</v>
      </c>
      <c r="M10911" t="s">
        <v>870</v>
      </c>
    </row>
    <row r="10912" spans="1:13" x14ac:dyDescent="0.2">
      <c r="A10912" t="s">
        <v>93</v>
      </c>
      <c r="B10912" t="s">
        <v>17</v>
      </c>
      <c r="C10912" t="s">
        <v>102</v>
      </c>
      <c r="D10912">
        <v>6830</v>
      </c>
      <c r="E10912">
        <v>2020</v>
      </c>
      <c r="F10912">
        <v>1</v>
      </c>
      <c r="G10912">
        <v>22397</v>
      </c>
      <c r="H10912" s="1">
        <v>3</v>
      </c>
      <c r="I10912">
        <v>5</v>
      </c>
      <c r="J10912">
        <f>IF($H10912=0,1,IF($I10912&lt;=1,2,0))</f>
        <v>0</v>
      </c>
      <c r="K10912">
        <v>6</v>
      </c>
      <c r="L10912">
        <f>IF(AND($J10912=0,$K10912=0),0,1)</f>
        <v>1</v>
      </c>
    </row>
    <row r="10913" spans="1:13" x14ac:dyDescent="0.2">
      <c r="A10913" t="s">
        <v>93</v>
      </c>
      <c r="B10913" t="s">
        <v>17</v>
      </c>
      <c r="C10913" t="s">
        <v>102</v>
      </c>
      <c r="D10913">
        <v>6837</v>
      </c>
      <c r="E10913">
        <v>2020</v>
      </c>
      <c r="F10913">
        <v>1</v>
      </c>
      <c r="G10913">
        <v>11677</v>
      </c>
      <c r="H10913" s="1">
        <v>3</v>
      </c>
      <c r="I10913">
        <v>22</v>
      </c>
      <c r="J10913">
        <f>IF($H10913=0,1,IF($I10913&lt;=1,2,0))</f>
        <v>0</v>
      </c>
      <c r="K10913">
        <v>6</v>
      </c>
      <c r="L10913">
        <f>IF(AND($J10913=0,$K10913=0),0,1)</f>
        <v>1</v>
      </c>
      <c r="M10913" t="s">
        <v>1976</v>
      </c>
    </row>
    <row r="10914" spans="1:13" x14ac:dyDescent="0.2">
      <c r="A10914" t="s">
        <v>93</v>
      </c>
      <c r="B10914" t="s">
        <v>17</v>
      </c>
      <c r="C10914" t="s">
        <v>102</v>
      </c>
      <c r="D10914">
        <v>6849</v>
      </c>
      <c r="E10914">
        <v>2020</v>
      </c>
      <c r="F10914">
        <v>1</v>
      </c>
      <c r="G10914">
        <v>11856</v>
      </c>
      <c r="H10914" s="1">
        <v>9</v>
      </c>
      <c r="I10914">
        <v>43</v>
      </c>
      <c r="J10914">
        <f>IF($H10914=0,1,IF($I10914&lt;=1,2,0))</f>
        <v>0</v>
      </c>
      <c r="K10914">
        <v>6</v>
      </c>
      <c r="L10914">
        <f>IF(AND($J10914=0,$K10914=0),0,1)</f>
        <v>1</v>
      </c>
      <c r="M10914" t="s">
        <v>871</v>
      </c>
    </row>
    <row r="10915" spans="1:13" x14ac:dyDescent="0.2">
      <c r="A10915" t="s">
        <v>93</v>
      </c>
      <c r="B10915" t="s">
        <v>17</v>
      </c>
      <c r="C10915" t="s">
        <v>102</v>
      </c>
      <c r="D10915">
        <v>6857</v>
      </c>
      <c r="E10915">
        <v>2020</v>
      </c>
      <c r="F10915">
        <v>1</v>
      </c>
      <c r="G10915">
        <v>11775</v>
      </c>
      <c r="H10915" s="1">
        <v>3</v>
      </c>
      <c r="I10915">
        <v>8</v>
      </c>
      <c r="J10915">
        <f>IF($H10915=0,1,IF($I10915&lt;=1,2,0))</f>
        <v>0</v>
      </c>
      <c r="K10915">
        <v>6</v>
      </c>
      <c r="L10915">
        <f>IF(AND($J10915=0,$K10915=0),0,1)</f>
        <v>1</v>
      </c>
      <c r="M10915" t="s">
        <v>114</v>
      </c>
    </row>
    <row r="10916" spans="1:13" x14ac:dyDescent="0.2">
      <c r="A10916" t="s">
        <v>93</v>
      </c>
      <c r="B10916" t="s">
        <v>17</v>
      </c>
      <c r="C10916" t="s">
        <v>102</v>
      </c>
      <c r="D10916">
        <v>6868</v>
      </c>
      <c r="E10916">
        <v>2020</v>
      </c>
      <c r="F10916">
        <v>0</v>
      </c>
      <c r="G10916">
        <v>11726</v>
      </c>
      <c r="H10916" s="1">
        <v>3</v>
      </c>
      <c r="I10916">
        <v>11</v>
      </c>
      <c r="J10916">
        <f>IF($H10916=0,1,IF($I10916&lt;=1,2,0))</f>
        <v>0</v>
      </c>
      <c r="K10916">
        <v>6</v>
      </c>
      <c r="L10916">
        <f>IF(AND($J10916=0,$K10916=0),0,1)</f>
        <v>1</v>
      </c>
      <c r="M10916" t="s">
        <v>860</v>
      </c>
    </row>
    <row r="10917" spans="1:13" x14ac:dyDescent="0.2">
      <c r="A10917" t="s">
        <v>93</v>
      </c>
      <c r="B10917" t="s">
        <v>17</v>
      </c>
      <c r="C10917" t="s">
        <v>102</v>
      </c>
      <c r="D10917">
        <v>6875</v>
      </c>
      <c r="E10917">
        <v>2020</v>
      </c>
      <c r="F10917">
        <v>1</v>
      </c>
      <c r="G10917">
        <v>12879</v>
      </c>
      <c r="H10917" s="1">
        <v>3</v>
      </c>
      <c r="I10917">
        <v>15</v>
      </c>
      <c r="J10917">
        <f>IF($H10917=0,1,IF($I10917&lt;=1,2,0))</f>
        <v>0</v>
      </c>
      <c r="K10917">
        <v>6</v>
      </c>
      <c r="L10917">
        <f>IF(AND($J10917=0,$K10917=0),0,1)</f>
        <v>1</v>
      </c>
      <c r="M10917" t="s">
        <v>1977</v>
      </c>
    </row>
    <row r="10918" spans="1:13" x14ac:dyDescent="0.2">
      <c r="A10918" t="s">
        <v>93</v>
      </c>
      <c r="B10918" t="s">
        <v>17</v>
      </c>
      <c r="C10918" t="s">
        <v>102</v>
      </c>
      <c r="D10918">
        <v>6877</v>
      </c>
      <c r="E10918">
        <v>2020</v>
      </c>
      <c r="F10918">
        <v>1</v>
      </c>
      <c r="G10918">
        <v>12880</v>
      </c>
      <c r="H10918" s="1">
        <v>3</v>
      </c>
      <c r="I10918">
        <v>10</v>
      </c>
      <c r="J10918">
        <f>IF($H10918=0,1,IF($I10918&lt;=1,2,0))</f>
        <v>0</v>
      </c>
      <c r="K10918">
        <v>6</v>
      </c>
      <c r="L10918">
        <f>IF(AND($J10918=0,$K10918=0),0,1)</f>
        <v>1</v>
      </c>
      <c r="M10918" t="s">
        <v>1977</v>
      </c>
    </row>
    <row r="10919" spans="1:13" x14ac:dyDescent="0.2">
      <c r="A10919" t="s">
        <v>93</v>
      </c>
      <c r="B10919" t="s">
        <v>17</v>
      </c>
      <c r="C10919" t="s">
        <v>102</v>
      </c>
      <c r="D10919">
        <v>6881</v>
      </c>
      <c r="E10919">
        <v>2020</v>
      </c>
      <c r="F10919">
        <v>1</v>
      </c>
      <c r="G10919">
        <v>12926</v>
      </c>
      <c r="H10919" s="1">
        <v>3</v>
      </c>
      <c r="I10919">
        <v>7</v>
      </c>
      <c r="J10919">
        <f>IF($H10919=0,1,IF($I10919&lt;=1,2,0))</f>
        <v>0</v>
      </c>
      <c r="K10919">
        <v>6</v>
      </c>
      <c r="L10919">
        <f>IF(AND($J10919=0,$K10919=0),0,1)</f>
        <v>1</v>
      </c>
      <c r="M10919" t="s">
        <v>1978</v>
      </c>
    </row>
    <row r="10920" spans="1:13" x14ac:dyDescent="0.2">
      <c r="A10920" t="s">
        <v>93</v>
      </c>
      <c r="B10920" t="s">
        <v>17</v>
      </c>
      <c r="C10920" t="s">
        <v>102</v>
      </c>
      <c r="D10920">
        <v>6883</v>
      </c>
      <c r="E10920">
        <v>2020</v>
      </c>
      <c r="F10920">
        <v>1</v>
      </c>
      <c r="G10920">
        <v>12925</v>
      </c>
      <c r="H10920" s="1">
        <v>3</v>
      </c>
      <c r="I10920">
        <v>22</v>
      </c>
      <c r="J10920">
        <f>IF($H10920=0,1,IF($I10920&lt;=1,2,0))</f>
        <v>0</v>
      </c>
      <c r="K10920">
        <v>6</v>
      </c>
      <c r="L10920">
        <f>IF(AND($J10920=0,$K10920=0),0,1)</f>
        <v>1</v>
      </c>
      <c r="M10920" t="s">
        <v>872</v>
      </c>
    </row>
    <row r="10921" spans="1:13" x14ac:dyDescent="0.2">
      <c r="A10921" t="s">
        <v>93</v>
      </c>
      <c r="B10921" t="s">
        <v>17</v>
      </c>
      <c r="C10921" t="s">
        <v>102</v>
      </c>
      <c r="D10921">
        <v>6885</v>
      </c>
      <c r="E10921">
        <v>2020</v>
      </c>
      <c r="F10921">
        <v>1</v>
      </c>
      <c r="G10921">
        <v>13814</v>
      </c>
      <c r="H10921" s="1">
        <v>3</v>
      </c>
      <c r="I10921">
        <v>16</v>
      </c>
      <c r="J10921">
        <f>IF($H10921=0,1,IF($I10921&lt;=1,2,0))</f>
        <v>0</v>
      </c>
      <c r="K10921">
        <v>6</v>
      </c>
      <c r="L10921">
        <f>IF(AND($J10921=0,$K10921=0),0,1)</f>
        <v>1</v>
      </c>
      <c r="M10921" t="s">
        <v>1979</v>
      </c>
    </row>
    <row r="10922" spans="1:13" x14ac:dyDescent="0.2">
      <c r="A10922" t="s">
        <v>93</v>
      </c>
      <c r="B10922" t="s">
        <v>17</v>
      </c>
      <c r="C10922" t="s">
        <v>102</v>
      </c>
      <c r="D10922">
        <v>6900</v>
      </c>
      <c r="E10922">
        <v>2020</v>
      </c>
      <c r="F10922">
        <v>1</v>
      </c>
      <c r="G10922">
        <v>11681</v>
      </c>
      <c r="H10922" s="1" t="s">
        <v>1833</v>
      </c>
      <c r="I10922">
        <v>3</v>
      </c>
      <c r="J10922">
        <f>IF($H10922=0,1,IF($I10922&lt;=1,2,0))</f>
        <v>0</v>
      </c>
      <c r="K10922">
        <v>6</v>
      </c>
      <c r="L10922">
        <f>IF(AND($J10922=0,$K10922=0),0,1)</f>
        <v>1</v>
      </c>
      <c r="M10922" t="s">
        <v>873</v>
      </c>
    </row>
    <row r="10923" spans="1:13" x14ac:dyDescent="0.2">
      <c r="A10923" t="s">
        <v>93</v>
      </c>
      <c r="B10923" t="s">
        <v>17</v>
      </c>
      <c r="C10923" t="s">
        <v>102</v>
      </c>
      <c r="D10923">
        <v>6934</v>
      </c>
      <c r="E10923">
        <v>2020</v>
      </c>
      <c r="F10923">
        <v>1</v>
      </c>
      <c r="G10923">
        <v>11896</v>
      </c>
      <c r="H10923" s="1">
        <v>3</v>
      </c>
      <c r="I10923">
        <v>17</v>
      </c>
      <c r="J10923">
        <f>IF($H10923=0,1,IF($I10923&lt;=1,2,0))</f>
        <v>0</v>
      </c>
      <c r="K10923">
        <v>6</v>
      </c>
      <c r="L10923">
        <f>IF(AND($J10923=0,$K10923=0),0,1)</f>
        <v>1</v>
      </c>
      <c r="M10923" t="s">
        <v>1890</v>
      </c>
    </row>
    <row r="10924" spans="1:13" x14ac:dyDescent="0.2">
      <c r="A10924" t="s">
        <v>93</v>
      </c>
      <c r="B10924" t="s">
        <v>17</v>
      </c>
      <c r="C10924" t="s">
        <v>102</v>
      </c>
      <c r="D10924">
        <v>6944</v>
      </c>
      <c r="E10924">
        <v>2020</v>
      </c>
      <c r="F10924">
        <v>1</v>
      </c>
      <c r="G10924">
        <v>12808</v>
      </c>
      <c r="H10924" s="1">
        <v>1.5</v>
      </c>
      <c r="I10924">
        <v>17</v>
      </c>
      <c r="J10924">
        <f>IF($H10924=0,1,IF($I10924&lt;=1,2,0))</f>
        <v>0</v>
      </c>
      <c r="K10924">
        <v>6</v>
      </c>
      <c r="L10924">
        <f>IF(AND($J10924=0,$K10924=0),0,1)</f>
        <v>1</v>
      </c>
      <c r="M10924" t="s">
        <v>874</v>
      </c>
    </row>
    <row r="10925" spans="1:13" x14ac:dyDescent="0.2">
      <c r="A10925" t="s">
        <v>93</v>
      </c>
      <c r="B10925" t="s">
        <v>17</v>
      </c>
      <c r="C10925" t="s">
        <v>102</v>
      </c>
      <c r="D10925">
        <v>8904</v>
      </c>
      <c r="E10925">
        <v>2020</v>
      </c>
      <c r="F10925">
        <v>1</v>
      </c>
      <c r="G10925">
        <v>11777</v>
      </c>
      <c r="H10925" s="1">
        <v>3</v>
      </c>
      <c r="I10925">
        <v>7</v>
      </c>
      <c r="J10925">
        <f>IF($H10925=0,1,IF($I10925&lt;=1,2,0))</f>
        <v>0</v>
      </c>
      <c r="K10925">
        <v>6</v>
      </c>
      <c r="L10925">
        <f>IF(AND($J10925=0,$K10925=0),0,1)</f>
        <v>1</v>
      </c>
    </row>
    <row r="10926" spans="1:13" x14ac:dyDescent="0.2">
      <c r="A10926" t="s">
        <v>129</v>
      </c>
      <c r="B10926" t="s">
        <v>6</v>
      </c>
      <c r="C10926" t="s">
        <v>21</v>
      </c>
      <c r="D10926">
        <v>1360</v>
      </c>
      <c r="E10926">
        <v>2020</v>
      </c>
      <c r="F10926">
        <v>5</v>
      </c>
      <c r="G10926">
        <v>23323</v>
      </c>
      <c r="H10926" s="1">
        <v>0</v>
      </c>
      <c r="I10926">
        <v>11</v>
      </c>
      <c r="J10926">
        <f>IF($H10926=0,1,IF($I10926&lt;=1,2,0))</f>
        <v>1</v>
      </c>
      <c r="K10926">
        <v>0</v>
      </c>
      <c r="L10926">
        <f>IF(AND($J10926=0,$K10926=0),0,1)</f>
        <v>1</v>
      </c>
    </row>
    <row r="10927" spans="1:13" x14ac:dyDescent="0.2">
      <c r="A10927" t="s">
        <v>129</v>
      </c>
      <c r="B10927" t="s">
        <v>6</v>
      </c>
      <c r="C10927" t="s">
        <v>21</v>
      </c>
      <c r="D10927">
        <v>1360</v>
      </c>
      <c r="E10927">
        <v>2020</v>
      </c>
      <c r="F10927">
        <v>7</v>
      </c>
      <c r="G10927">
        <v>23325</v>
      </c>
      <c r="H10927" s="1">
        <v>0</v>
      </c>
      <c r="I10927">
        <v>9</v>
      </c>
      <c r="J10927">
        <f>IF($H10927=0,1,IF($I10927&lt;=1,2,0))</f>
        <v>1</v>
      </c>
      <c r="K10927">
        <v>0</v>
      </c>
      <c r="L10927">
        <f>IF(AND($J10927=0,$K10927=0),0,1)</f>
        <v>1</v>
      </c>
    </row>
    <row r="10928" spans="1:13" x14ac:dyDescent="0.2">
      <c r="A10928" t="s">
        <v>129</v>
      </c>
      <c r="B10928" t="s">
        <v>6</v>
      </c>
      <c r="C10928" t="s">
        <v>21</v>
      </c>
      <c r="D10928">
        <v>1360</v>
      </c>
      <c r="E10928">
        <v>2020</v>
      </c>
      <c r="F10928">
        <v>1</v>
      </c>
      <c r="G10928">
        <v>23319</v>
      </c>
      <c r="H10928" s="1">
        <v>0</v>
      </c>
      <c r="I10928">
        <v>8</v>
      </c>
      <c r="J10928">
        <f>IF($H10928=0,1,IF($I10928&lt;=1,2,0))</f>
        <v>1</v>
      </c>
      <c r="K10928">
        <v>0</v>
      </c>
      <c r="L10928">
        <f>IF(AND($J10928=0,$K10928=0),0,1)</f>
        <v>1</v>
      </c>
    </row>
    <row r="10929" spans="1:12" x14ac:dyDescent="0.2">
      <c r="A10929" t="s">
        <v>129</v>
      </c>
      <c r="B10929" t="s">
        <v>6</v>
      </c>
      <c r="C10929" t="s">
        <v>21</v>
      </c>
      <c r="D10929">
        <v>1360</v>
      </c>
      <c r="E10929">
        <v>2020</v>
      </c>
      <c r="F10929">
        <v>3</v>
      </c>
      <c r="G10929">
        <v>23321</v>
      </c>
      <c r="H10929" s="1">
        <v>0</v>
      </c>
      <c r="I10929">
        <v>8</v>
      </c>
      <c r="J10929">
        <f>IF($H10929=0,1,IF($I10929&lt;=1,2,0))</f>
        <v>1</v>
      </c>
      <c r="K10929">
        <v>0</v>
      </c>
      <c r="L10929">
        <f>IF(AND($J10929=0,$K10929=0),0,1)</f>
        <v>1</v>
      </c>
    </row>
    <row r="10930" spans="1:12" x14ac:dyDescent="0.2">
      <c r="A10930" t="s">
        <v>129</v>
      </c>
      <c r="B10930" t="s">
        <v>6</v>
      </c>
      <c r="C10930" t="s">
        <v>21</v>
      </c>
      <c r="D10930">
        <v>1360</v>
      </c>
      <c r="E10930">
        <v>2020</v>
      </c>
      <c r="F10930">
        <v>4</v>
      </c>
      <c r="G10930">
        <v>23322</v>
      </c>
      <c r="H10930" s="1">
        <v>0</v>
      </c>
      <c r="I10930">
        <v>8</v>
      </c>
      <c r="J10930">
        <f>IF($H10930=0,1,IF($I10930&lt;=1,2,0))</f>
        <v>1</v>
      </c>
      <c r="K10930">
        <v>0</v>
      </c>
      <c r="L10930">
        <f>IF(AND($J10930=0,$K10930=0),0,1)</f>
        <v>1</v>
      </c>
    </row>
    <row r="10931" spans="1:12" x14ac:dyDescent="0.2">
      <c r="A10931" t="s">
        <v>129</v>
      </c>
      <c r="B10931" t="s">
        <v>6</v>
      </c>
      <c r="C10931" t="s">
        <v>21</v>
      </c>
      <c r="D10931">
        <v>1360</v>
      </c>
      <c r="E10931">
        <v>2020</v>
      </c>
      <c r="F10931">
        <v>8</v>
      </c>
      <c r="G10931">
        <v>23326</v>
      </c>
      <c r="H10931" s="1">
        <v>0</v>
      </c>
      <c r="I10931">
        <v>7</v>
      </c>
      <c r="J10931">
        <f>IF($H10931=0,1,IF($I10931&lt;=1,2,0))</f>
        <v>1</v>
      </c>
      <c r="K10931">
        <v>0</v>
      </c>
      <c r="L10931">
        <f>IF(AND($J10931=0,$K10931=0),0,1)</f>
        <v>1</v>
      </c>
    </row>
    <row r="10932" spans="1:12" x14ac:dyDescent="0.2">
      <c r="A10932" t="s">
        <v>129</v>
      </c>
      <c r="B10932" t="s">
        <v>6</v>
      </c>
      <c r="C10932" t="s">
        <v>21</v>
      </c>
      <c r="D10932">
        <v>1360</v>
      </c>
      <c r="E10932">
        <v>2020</v>
      </c>
      <c r="F10932">
        <v>6</v>
      </c>
      <c r="G10932">
        <v>23324</v>
      </c>
      <c r="H10932" s="1">
        <v>0</v>
      </c>
      <c r="I10932">
        <v>4</v>
      </c>
      <c r="J10932">
        <f>IF($H10932=0,1,IF($I10932&lt;=1,2,0))</f>
        <v>1</v>
      </c>
      <c r="K10932">
        <v>0</v>
      </c>
      <c r="L10932">
        <f>IF(AND($J10932=0,$K10932=0),0,1)</f>
        <v>1</v>
      </c>
    </row>
    <row r="10933" spans="1:12" x14ac:dyDescent="0.2">
      <c r="A10933" t="s">
        <v>129</v>
      </c>
      <c r="B10933" t="s">
        <v>6</v>
      </c>
      <c r="C10933" t="s">
        <v>21</v>
      </c>
      <c r="D10933">
        <v>1360</v>
      </c>
      <c r="E10933">
        <v>2020</v>
      </c>
      <c r="F10933">
        <v>2</v>
      </c>
      <c r="G10933">
        <v>23320</v>
      </c>
      <c r="H10933" s="1">
        <v>0</v>
      </c>
      <c r="I10933">
        <v>2</v>
      </c>
      <c r="J10933">
        <f>IF($H10933=0,1,IF($I10933&lt;=1,2,0))</f>
        <v>1</v>
      </c>
      <c r="K10933">
        <v>0</v>
      </c>
      <c r="L10933">
        <f>IF(AND($J10933=0,$K10933=0),0,1)</f>
        <v>1</v>
      </c>
    </row>
    <row r="10934" spans="1:12" x14ac:dyDescent="0.2">
      <c r="A10934" t="s">
        <v>129</v>
      </c>
      <c r="B10934" t="s">
        <v>6</v>
      </c>
      <c r="C10934" t="s">
        <v>21</v>
      </c>
      <c r="D10934">
        <v>1371</v>
      </c>
      <c r="E10934">
        <v>2020</v>
      </c>
      <c r="F10934">
        <v>4</v>
      </c>
      <c r="G10934">
        <v>24489</v>
      </c>
      <c r="H10934" s="1">
        <v>0</v>
      </c>
      <c r="I10934">
        <v>12</v>
      </c>
      <c r="J10934">
        <f>IF($H10934=0,1,IF($I10934&lt;=1,2,0))</f>
        <v>1</v>
      </c>
      <c r="K10934">
        <v>0</v>
      </c>
      <c r="L10934">
        <f>IF(AND($J10934=0,$K10934=0),0,1)</f>
        <v>1</v>
      </c>
    </row>
    <row r="10935" spans="1:12" x14ac:dyDescent="0.2">
      <c r="A10935" t="s">
        <v>129</v>
      </c>
      <c r="B10935" t="s">
        <v>6</v>
      </c>
      <c r="C10935" t="s">
        <v>21</v>
      </c>
      <c r="D10935">
        <v>1371</v>
      </c>
      <c r="E10935">
        <v>2020</v>
      </c>
      <c r="F10935">
        <v>2</v>
      </c>
      <c r="G10935">
        <v>24487</v>
      </c>
      <c r="H10935" s="1">
        <v>0</v>
      </c>
      <c r="I10935">
        <v>11</v>
      </c>
      <c r="J10935">
        <f>IF($H10935=0,1,IF($I10935&lt;=1,2,0))</f>
        <v>1</v>
      </c>
      <c r="K10935">
        <v>0</v>
      </c>
      <c r="L10935">
        <f>IF(AND($J10935=0,$K10935=0),0,1)</f>
        <v>1</v>
      </c>
    </row>
    <row r="10936" spans="1:12" x14ac:dyDescent="0.2">
      <c r="A10936" t="s">
        <v>129</v>
      </c>
      <c r="B10936" t="s">
        <v>6</v>
      </c>
      <c r="C10936" t="s">
        <v>21</v>
      </c>
      <c r="D10936">
        <v>1371</v>
      </c>
      <c r="E10936">
        <v>2020</v>
      </c>
      <c r="F10936">
        <v>3</v>
      </c>
      <c r="G10936">
        <v>24488</v>
      </c>
      <c r="H10936" s="1">
        <v>0</v>
      </c>
      <c r="I10936">
        <v>7</v>
      </c>
      <c r="J10936">
        <f>IF($H10936=0,1,IF($I10936&lt;=1,2,0))</f>
        <v>1</v>
      </c>
      <c r="K10936">
        <v>0</v>
      </c>
      <c r="L10936">
        <f>IF(AND($J10936=0,$K10936=0),0,1)</f>
        <v>1</v>
      </c>
    </row>
    <row r="10937" spans="1:12" x14ac:dyDescent="0.2">
      <c r="A10937" t="s">
        <v>129</v>
      </c>
      <c r="B10937" t="s">
        <v>6</v>
      </c>
      <c r="C10937" t="s">
        <v>21</v>
      </c>
      <c r="D10937">
        <v>1371</v>
      </c>
      <c r="E10937">
        <v>2020</v>
      </c>
      <c r="F10937">
        <v>6</v>
      </c>
      <c r="G10937">
        <v>24491</v>
      </c>
      <c r="H10937" s="1">
        <v>0</v>
      </c>
      <c r="I10937">
        <v>7</v>
      </c>
      <c r="J10937">
        <f>IF($H10937=0,1,IF($I10937&lt;=1,2,0))</f>
        <v>1</v>
      </c>
      <c r="K10937">
        <v>0</v>
      </c>
      <c r="L10937">
        <f>IF(AND($J10937=0,$K10937=0),0,1)</f>
        <v>1</v>
      </c>
    </row>
    <row r="10938" spans="1:12" x14ac:dyDescent="0.2">
      <c r="A10938" t="s">
        <v>129</v>
      </c>
      <c r="B10938" t="s">
        <v>6</v>
      </c>
      <c r="C10938" t="s">
        <v>21</v>
      </c>
      <c r="D10938">
        <v>1371</v>
      </c>
      <c r="E10938">
        <v>2020</v>
      </c>
      <c r="F10938">
        <v>7</v>
      </c>
      <c r="G10938">
        <v>24492</v>
      </c>
      <c r="H10938" s="1">
        <v>0</v>
      </c>
      <c r="I10938">
        <v>7</v>
      </c>
      <c r="J10938">
        <f>IF($H10938=0,1,IF($I10938&lt;=1,2,0))</f>
        <v>1</v>
      </c>
      <c r="K10938">
        <v>0</v>
      </c>
      <c r="L10938">
        <f>IF(AND($J10938=0,$K10938=0),0,1)</f>
        <v>1</v>
      </c>
    </row>
    <row r="10939" spans="1:12" x14ac:dyDescent="0.2">
      <c r="A10939" t="s">
        <v>129</v>
      </c>
      <c r="B10939" t="s">
        <v>6</v>
      </c>
      <c r="C10939" t="s">
        <v>21</v>
      </c>
      <c r="D10939">
        <v>1371</v>
      </c>
      <c r="E10939">
        <v>2020</v>
      </c>
      <c r="F10939">
        <v>8</v>
      </c>
      <c r="G10939">
        <v>24493</v>
      </c>
      <c r="H10939" s="1">
        <v>0</v>
      </c>
      <c r="I10939">
        <v>7</v>
      </c>
      <c r="J10939">
        <f>IF($H10939=0,1,IF($I10939&lt;=1,2,0))</f>
        <v>1</v>
      </c>
      <c r="K10939">
        <v>0</v>
      </c>
      <c r="L10939">
        <f>IF(AND($J10939=0,$K10939=0),0,1)</f>
        <v>1</v>
      </c>
    </row>
    <row r="10940" spans="1:12" x14ac:dyDescent="0.2">
      <c r="A10940" t="s">
        <v>129</v>
      </c>
      <c r="B10940" t="s">
        <v>6</v>
      </c>
      <c r="C10940" t="s">
        <v>21</v>
      </c>
      <c r="D10940">
        <v>1371</v>
      </c>
      <c r="E10940">
        <v>2020</v>
      </c>
      <c r="F10940">
        <v>5</v>
      </c>
      <c r="G10940">
        <v>24490</v>
      </c>
      <c r="H10940" s="1">
        <v>0</v>
      </c>
      <c r="I10940">
        <v>6</v>
      </c>
      <c r="J10940">
        <f>IF($H10940=0,1,IF($I10940&lt;=1,2,0))</f>
        <v>1</v>
      </c>
      <c r="K10940">
        <v>0</v>
      </c>
      <c r="L10940">
        <f>IF(AND($J10940=0,$K10940=0),0,1)</f>
        <v>1</v>
      </c>
    </row>
    <row r="10941" spans="1:12" x14ac:dyDescent="0.2">
      <c r="A10941" t="s">
        <v>129</v>
      </c>
      <c r="B10941" t="s">
        <v>6</v>
      </c>
      <c r="C10941" t="s">
        <v>21</v>
      </c>
      <c r="D10941">
        <v>1371</v>
      </c>
      <c r="E10941">
        <v>2020</v>
      </c>
      <c r="F10941">
        <v>1</v>
      </c>
      <c r="G10941">
        <v>24486</v>
      </c>
      <c r="H10941" s="1">
        <v>0</v>
      </c>
      <c r="I10941">
        <v>5</v>
      </c>
      <c r="J10941">
        <f>IF($H10941=0,1,IF($I10941&lt;=1,2,0))</f>
        <v>1</v>
      </c>
      <c r="K10941">
        <v>0</v>
      </c>
      <c r="L10941">
        <f>IF(AND($J10941=0,$K10941=0),0,1)</f>
        <v>1</v>
      </c>
    </row>
    <row r="10942" spans="1:12" x14ac:dyDescent="0.2">
      <c r="A10942" t="s">
        <v>129</v>
      </c>
      <c r="B10942" t="s">
        <v>6</v>
      </c>
      <c r="C10942" t="s">
        <v>9</v>
      </c>
      <c r="D10942">
        <v>1377</v>
      </c>
      <c r="E10942">
        <v>2020</v>
      </c>
      <c r="F10942">
        <v>1</v>
      </c>
      <c r="G10942">
        <v>23329</v>
      </c>
      <c r="H10942" s="1">
        <v>0</v>
      </c>
      <c r="I10942">
        <v>16</v>
      </c>
      <c r="J10942">
        <f>IF($H10942=0,1,IF($I10942&lt;=1,2,0))</f>
        <v>1</v>
      </c>
      <c r="K10942">
        <v>0</v>
      </c>
      <c r="L10942">
        <f>IF(AND($J10942=0,$K10942=0),0,1)</f>
        <v>1</v>
      </c>
    </row>
    <row r="10943" spans="1:12" x14ac:dyDescent="0.2">
      <c r="A10943" t="s">
        <v>129</v>
      </c>
      <c r="B10943" t="s">
        <v>6</v>
      </c>
      <c r="C10943" t="s">
        <v>9</v>
      </c>
      <c r="D10943">
        <v>1377</v>
      </c>
      <c r="E10943">
        <v>2020</v>
      </c>
      <c r="F10943">
        <v>3</v>
      </c>
      <c r="G10943">
        <v>23331</v>
      </c>
      <c r="H10943" s="1">
        <v>0</v>
      </c>
      <c r="I10943">
        <v>11</v>
      </c>
      <c r="J10943">
        <f>IF($H10943=0,1,IF($I10943&lt;=1,2,0))</f>
        <v>1</v>
      </c>
      <c r="K10943">
        <v>0</v>
      </c>
      <c r="L10943">
        <f>IF(AND($J10943=0,$K10943=0),0,1)</f>
        <v>1</v>
      </c>
    </row>
    <row r="10944" spans="1:12" x14ac:dyDescent="0.2">
      <c r="A10944" t="s">
        <v>129</v>
      </c>
      <c r="B10944" t="s">
        <v>6</v>
      </c>
      <c r="C10944" t="s">
        <v>9</v>
      </c>
      <c r="D10944">
        <v>1377</v>
      </c>
      <c r="E10944">
        <v>2020</v>
      </c>
      <c r="F10944">
        <v>6</v>
      </c>
      <c r="G10944">
        <v>23334</v>
      </c>
      <c r="H10944" s="1">
        <v>0</v>
      </c>
      <c r="I10944">
        <v>11</v>
      </c>
      <c r="J10944">
        <f>IF($H10944=0,1,IF($I10944&lt;=1,2,0))</f>
        <v>1</v>
      </c>
      <c r="K10944">
        <v>0</v>
      </c>
      <c r="L10944">
        <f>IF(AND($J10944=0,$K10944=0),0,1)</f>
        <v>1</v>
      </c>
    </row>
    <row r="10945" spans="1:13" x14ac:dyDescent="0.2">
      <c r="A10945" t="s">
        <v>129</v>
      </c>
      <c r="B10945" t="s">
        <v>6</v>
      </c>
      <c r="C10945" t="s">
        <v>9</v>
      </c>
      <c r="D10945">
        <v>1377</v>
      </c>
      <c r="E10945">
        <v>2020</v>
      </c>
      <c r="F10945">
        <v>5</v>
      </c>
      <c r="G10945">
        <v>23333</v>
      </c>
      <c r="H10945" s="1">
        <v>0</v>
      </c>
      <c r="I10945">
        <v>9</v>
      </c>
      <c r="J10945">
        <f>IF($H10945=0,1,IF($I10945&lt;=1,2,0))</f>
        <v>1</v>
      </c>
      <c r="K10945">
        <v>0</v>
      </c>
      <c r="L10945">
        <f>IF(AND($J10945=0,$K10945=0),0,1)</f>
        <v>1</v>
      </c>
    </row>
    <row r="10946" spans="1:13" x14ac:dyDescent="0.2">
      <c r="A10946" t="s">
        <v>129</v>
      </c>
      <c r="B10946" t="s">
        <v>6</v>
      </c>
      <c r="C10946" t="s">
        <v>9</v>
      </c>
      <c r="D10946">
        <v>1377</v>
      </c>
      <c r="E10946">
        <v>2020</v>
      </c>
      <c r="F10946">
        <v>2</v>
      </c>
      <c r="G10946">
        <v>23330</v>
      </c>
      <c r="H10946" s="1">
        <v>0</v>
      </c>
      <c r="I10946">
        <v>8</v>
      </c>
      <c r="J10946">
        <f>IF($H10946=0,1,IF($I10946&lt;=1,2,0))</f>
        <v>1</v>
      </c>
      <c r="K10946">
        <v>0</v>
      </c>
      <c r="L10946">
        <f>IF(AND($J10946=0,$K10946=0),0,1)</f>
        <v>1</v>
      </c>
    </row>
    <row r="10947" spans="1:13" x14ac:dyDescent="0.2">
      <c r="A10947" t="s">
        <v>129</v>
      </c>
      <c r="B10947" t="s">
        <v>6</v>
      </c>
      <c r="C10947" t="s">
        <v>9</v>
      </c>
      <c r="D10947">
        <v>1377</v>
      </c>
      <c r="E10947">
        <v>2020</v>
      </c>
      <c r="F10947">
        <v>4</v>
      </c>
      <c r="G10947">
        <v>23332</v>
      </c>
      <c r="H10947" s="1">
        <v>0</v>
      </c>
      <c r="I10947">
        <v>8</v>
      </c>
      <c r="J10947">
        <f>IF($H10947=0,1,IF($I10947&lt;=1,2,0))</f>
        <v>1</v>
      </c>
      <c r="K10947">
        <v>0</v>
      </c>
      <c r="L10947">
        <f>IF(AND($J10947=0,$K10947=0),0,1)</f>
        <v>1</v>
      </c>
    </row>
    <row r="10948" spans="1:13" x14ac:dyDescent="0.2">
      <c r="A10948" t="s">
        <v>130</v>
      </c>
      <c r="B10948" t="s">
        <v>6</v>
      </c>
      <c r="C10948" t="s">
        <v>21</v>
      </c>
      <c r="D10948">
        <v>2113</v>
      </c>
      <c r="E10948">
        <v>2020</v>
      </c>
      <c r="F10948">
        <v>3</v>
      </c>
      <c r="G10948">
        <v>12932</v>
      </c>
      <c r="H10948" s="1">
        <v>0</v>
      </c>
      <c r="I10948">
        <v>15</v>
      </c>
      <c r="J10948">
        <f>IF($H10948=0,1,IF($I10948&lt;=1,2,0))</f>
        <v>1</v>
      </c>
      <c r="K10948">
        <v>0</v>
      </c>
      <c r="L10948">
        <f>IF(AND($J10948=0,$K10948=0),0,1)</f>
        <v>1</v>
      </c>
      <c r="M10948" t="s">
        <v>876</v>
      </c>
    </row>
    <row r="10949" spans="1:13" x14ac:dyDescent="0.2">
      <c r="A10949" t="s">
        <v>130</v>
      </c>
      <c r="B10949" t="s">
        <v>6</v>
      </c>
      <c r="C10949" t="s">
        <v>21</v>
      </c>
      <c r="D10949">
        <v>2113</v>
      </c>
      <c r="E10949">
        <v>2020</v>
      </c>
      <c r="F10949">
        <v>1</v>
      </c>
      <c r="G10949">
        <v>12930</v>
      </c>
      <c r="H10949" s="1">
        <v>0</v>
      </c>
      <c r="I10949">
        <v>14</v>
      </c>
      <c r="J10949">
        <f>IF($H10949=0,1,IF($I10949&lt;=1,2,0))</f>
        <v>1</v>
      </c>
      <c r="K10949">
        <v>0</v>
      </c>
      <c r="L10949">
        <f>IF(AND($J10949=0,$K10949=0),0,1)</f>
        <v>1</v>
      </c>
      <c r="M10949" t="s">
        <v>876</v>
      </c>
    </row>
    <row r="10950" spans="1:13" x14ac:dyDescent="0.2">
      <c r="A10950" t="s">
        <v>130</v>
      </c>
      <c r="B10950" t="s">
        <v>6</v>
      </c>
      <c r="C10950" t="s">
        <v>21</v>
      </c>
      <c r="D10950">
        <v>2113</v>
      </c>
      <c r="E10950">
        <v>2020</v>
      </c>
      <c r="F10950">
        <v>2</v>
      </c>
      <c r="G10950">
        <v>12931</v>
      </c>
      <c r="H10950" s="1">
        <v>0</v>
      </c>
      <c r="I10950">
        <v>14</v>
      </c>
      <c r="J10950">
        <f>IF($H10950=0,1,IF($I10950&lt;=1,2,0))</f>
        <v>1</v>
      </c>
      <c r="K10950">
        <v>0</v>
      </c>
      <c r="L10950">
        <f>IF(AND($J10950=0,$K10950=0),0,1)</f>
        <v>1</v>
      </c>
      <c r="M10950" t="s">
        <v>876</v>
      </c>
    </row>
    <row r="10951" spans="1:13" x14ac:dyDescent="0.2">
      <c r="A10951" t="s">
        <v>130</v>
      </c>
      <c r="B10951" t="s">
        <v>6</v>
      </c>
      <c r="C10951" t="s">
        <v>21</v>
      </c>
      <c r="D10951">
        <v>2113</v>
      </c>
      <c r="E10951">
        <v>2020</v>
      </c>
      <c r="F10951">
        <v>5</v>
      </c>
      <c r="G10951">
        <v>12934</v>
      </c>
      <c r="H10951" s="1">
        <v>0</v>
      </c>
      <c r="I10951">
        <v>6</v>
      </c>
      <c r="J10951">
        <f>IF($H10951=0,1,IF($I10951&lt;=1,2,0))</f>
        <v>1</v>
      </c>
      <c r="K10951">
        <v>0</v>
      </c>
      <c r="L10951">
        <f>IF(AND($J10951=0,$K10951=0),0,1)</f>
        <v>1</v>
      </c>
      <c r="M10951" t="s">
        <v>876</v>
      </c>
    </row>
    <row r="10952" spans="1:13" x14ac:dyDescent="0.2">
      <c r="A10952" t="s">
        <v>130</v>
      </c>
      <c r="B10952" t="s">
        <v>6</v>
      </c>
      <c r="C10952" t="s">
        <v>21</v>
      </c>
      <c r="D10952">
        <v>2113</v>
      </c>
      <c r="E10952">
        <v>2020</v>
      </c>
      <c r="F10952">
        <v>6</v>
      </c>
      <c r="G10952">
        <v>12935</v>
      </c>
      <c r="H10952" s="1">
        <v>0</v>
      </c>
      <c r="I10952">
        <v>6</v>
      </c>
      <c r="J10952">
        <f>IF($H10952=0,1,IF($I10952&lt;=1,2,0))</f>
        <v>1</v>
      </c>
      <c r="K10952">
        <v>0</v>
      </c>
      <c r="L10952">
        <f>IF(AND($J10952=0,$K10952=0),0,1)</f>
        <v>1</v>
      </c>
      <c r="M10952" t="s">
        <v>876</v>
      </c>
    </row>
    <row r="10953" spans="1:13" x14ac:dyDescent="0.2">
      <c r="A10953" t="s">
        <v>130</v>
      </c>
      <c r="B10953" t="s">
        <v>6</v>
      </c>
      <c r="C10953" t="s">
        <v>21</v>
      </c>
      <c r="D10953">
        <v>2113</v>
      </c>
      <c r="E10953">
        <v>2020</v>
      </c>
      <c r="F10953">
        <v>4</v>
      </c>
      <c r="G10953">
        <v>12933</v>
      </c>
      <c r="H10953" s="1">
        <v>0</v>
      </c>
      <c r="I10953">
        <v>2</v>
      </c>
      <c r="J10953">
        <f>IF($H10953=0,1,IF($I10953&lt;=1,2,0))</f>
        <v>1</v>
      </c>
      <c r="K10953">
        <v>0</v>
      </c>
      <c r="L10953">
        <f>IF(AND($J10953=0,$K10953=0),0,1)</f>
        <v>1</v>
      </c>
      <c r="M10953" t="s">
        <v>876</v>
      </c>
    </row>
    <row r="10954" spans="1:13" x14ac:dyDescent="0.2">
      <c r="A10954" t="s">
        <v>131</v>
      </c>
      <c r="B10954" t="s">
        <v>1</v>
      </c>
      <c r="C10954" t="s">
        <v>2</v>
      </c>
      <c r="D10954">
        <v>3999</v>
      </c>
      <c r="E10954">
        <v>2020</v>
      </c>
      <c r="F10954">
        <v>1</v>
      </c>
      <c r="G10954">
        <v>630</v>
      </c>
      <c r="H10954" s="1">
        <v>4</v>
      </c>
      <c r="I10954">
        <v>2</v>
      </c>
      <c r="J10954">
        <f>IF($H10954=0,1,IF($I10954&lt;=1,2,0))</f>
        <v>0</v>
      </c>
      <c r="K10954">
        <v>7</v>
      </c>
      <c r="L10954">
        <f>IF(AND($J10954=0,$K10954=0),0,1)</f>
        <v>1</v>
      </c>
    </row>
    <row r="10955" spans="1:13" x14ac:dyDescent="0.2">
      <c r="A10955" t="s">
        <v>131</v>
      </c>
      <c r="B10955" t="s">
        <v>1</v>
      </c>
      <c r="C10955" t="s">
        <v>2</v>
      </c>
      <c r="D10955">
        <v>3999</v>
      </c>
      <c r="E10955">
        <v>2020</v>
      </c>
      <c r="F10955">
        <v>3</v>
      </c>
      <c r="G10955">
        <v>632</v>
      </c>
      <c r="H10955" s="1">
        <v>4</v>
      </c>
      <c r="I10955">
        <v>1</v>
      </c>
      <c r="J10955">
        <f>IF($H10955=0,1,IF($I10955&lt;=1,2,0))</f>
        <v>2</v>
      </c>
      <c r="K10955">
        <v>7</v>
      </c>
      <c r="L10955">
        <f>IF(AND($J10955=0,$K10955=0),0,1)</f>
        <v>1</v>
      </c>
    </row>
    <row r="10956" spans="1:13" x14ac:dyDescent="0.2">
      <c r="A10956" t="s">
        <v>131</v>
      </c>
      <c r="B10956" t="s">
        <v>1</v>
      </c>
      <c r="C10956" t="s">
        <v>2</v>
      </c>
      <c r="D10956">
        <v>3999</v>
      </c>
      <c r="E10956">
        <v>2020</v>
      </c>
      <c r="F10956">
        <v>4</v>
      </c>
      <c r="G10956">
        <v>633</v>
      </c>
      <c r="H10956" s="1">
        <v>4</v>
      </c>
      <c r="I10956">
        <v>1</v>
      </c>
      <c r="J10956">
        <f>IF($H10956=0,1,IF($I10956&lt;=1,2,0))</f>
        <v>2</v>
      </c>
      <c r="K10956">
        <v>7</v>
      </c>
      <c r="L10956">
        <f>IF(AND($J10956=0,$K10956=0),0,1)</f>
        <v>1</v>
      </c>
    </row>
    <row r="10957" spans="1:13" x14ac:dyDescent="0.2">
      <c r="A10957" t="s">
        <v>131</v>
      </c>
      <c r="B10957" t="s">
        <v>1</v>
      </c>
      <c r="C10957" t="s">
        <v>2</v>
      </c>
      <c r="D10957">
        <v>3999</v>
      </c>
      <c r="E10957">
        <v>2020</v>
      </c>
      <c r="F10957">
        <v>2</v>
      </c>
      <c r="G10957">
        <v>631</v>
      </c>
      <c r="H10957" s="1">
        <v>4</v>
      </c>
      <c r="I10957">
        <v>0</v>
      </c>
      <c r="J10957">
        <f>IF($H10957=0,1,IF($I10957&lt;=1,2,0))</f>
        <v>2</v>
      </c>
      <c r="K10957">
        <v>7</v>
      </c>
      <c r="L10957">
        <f>IF(AND($J10957=0,$K10957=0),0,1)</f>
        <v>1</v>
      </c>
    </row>
    <row r="10958" spans="1:13" x14ac:dyDescent="0.2">
      <c r="A10958" t="s">
        <v>131</v>
      </c>
      <c r="B10958" t="s">
        <v>1</v>
      </c>
      <c r="C10958" t="s">
        <v>2</v>
      </c>
      <c r="D10958">
        <v>3999</v>
      </c>
      <c r="E10958">
        <v>2020</v>
      </c>
      <c r="F10958">
        <v>5</v>
      </c>
      <c r="G10958">
        <v>634</v>
      </c>
      <c r="H10958" s="1">
        <v>4</v>
      </c>
      <c r="I10958">
        <v>0</v>
      </c>
      <c r="J10958">
        <f>IF($H10958=0,1,IF($I10958&lt;=1,2,0))</f>
        <v>2</v>
      </c>
      <c r="K10958">
        <v>7</v>
      </c>
      <c r="L10958">
        <f>IF(AND($J10958=0,$K10958=0),0,1)</f>
        <v>1</v>
      </c>
    </row>
    <row r="10959" spans="1:13" x14ac:dyDescent="0.2">
      <c r="A10959" t="s">
        <v>131</v>
      </c>
      <c r="B10959" t="s">
        <v>1</v>
      </c>
      <c r="C10959" t="s">
        <v>2</v>
      </c>
      <c r="D10959">
        <v>3999</v>
      </c>
      <c r="E10959">
        <v>2020</v>
      </c>
      <c r="F10959">
        <v>6</v>
      </c>
      <c r="G10959">
        <v>635</v>
      </c>
      <c r="H10959" s="1">
        <v>4</v>
      </c>
      <c r="I10959">
        <v>0</v>
      </c>
      <c r="J10959">
        <f>IF($H10959=0,1,IF($I10959&lt;=1,2,0))</f>
        <v>2</v>
      </c>
      <c r="K10959">
        <v>7</v>
      </c>
      <c r="L10959">
        <f>IF(AND($J10959=0,$K10959=0),0,1)</f>
        <v>1</v>
      </c>
    </row>
    <row r="10960" spans="1:13" x14ac:dyDescent="0.2">
      <c r="A10960" t="s">
        <v>132</v>
      </c>
      <c r="B10960" t="s">
        <v>133</v>
      </c>
      <c r="C10960" t="s">
        <v>9</v>
      </c>
      <c r="D10960">
        <v>3997</v>
      </c>
      <c r="E10960">
        <v>2020</v>
      </c>
      <c r="F10960">
        <v>1</v>
      </c>
      <c r="G10960">
        <v>20806</v>
      </c>
      <c r="H10960" s="1">
        <v>3</v>
      </c>
      <c r="I10960">
        <v>2</v>
      </c>
      <c r="J10960">
        <f>IF($H10960=0,1,IF($I10960&lt;=1,2,0))</f>
        <v>0</v>
      </c>
      <c r="K10960">
        <v>9</v>
      </c>
      <c r="L10960">
        <f>IF(AND($J10960=0,$K10960=0),0,1)</f>
        <v>1</v>
      </c>
    </row>
    <row r="10961" spans="1:13" x14ac:dyDescent="0.2">
      <c r="A10961" t="s">
        <v>132</v>
      </c>
      <c r="B10961" t="s">
        <v>133</v>
      </c>
      <c r="C10961" t="s">
        <v>11</v>
      </c>
      <c r="D10961">
        <v>9003</v>
      </c>
      <c r="E10961">
        <v>2020</v>
      </c>
      <c r="F10961">
        <v>1</v>
      </c>
      <c r="G10961">
        <v>12076</v>
      </c>
      <c r="H10961" s="1">
        <v>3</v>
      </c>
      <c r="I10961">
        <v>12</v>
      </c>
      <c r="J10961">
        <f>IF($H10961=0,1,IF($I10961&lt;=1,2,0))</f>
        <v>0</v>
      </c>
      <c r="K10961">
        <v>5</v>
      </c>
      <c r="L10961">
        <f>IF(AND($J10961=0,$K10961=0),0,1)</f>
        <v>1</v>
      </c>
    </row>
    <row r="10962" spans="1:13" x14ac:dyDescent="0.2">
      <c r="A10962" t="s">
        <v>134</v>
      </c>
      <c r="B10962" t="s">
        <v>133</v>
      </c>
      <c r="C10962" t="s">
        <v>7</v>
      </c>
      <c r="D10962">
        <v>3511</v>
      </c>
      <c r="E10962">
        <v>2020</v>
      </c>
      <c r="F10962">
        <v>3</v>
      </c>
      <c r="G10962">
        <v>11846</v>
      </c>
      <c r="H10962" s="1">
        <v>0</v>
      </c>
      <c r="I10962">
        <v>29</v>
      </c>
      <c r="J10962">
        <f>IF($H10962=0,1,IF($I10962&lt;=1,2,0))</f>
        <v>1</v>
      </c>
      <c r="K10962">
        <v>0</v>
      </c>
      <c r="L10962">
        <f>IF(AND($J10962=0,$K10962=0),0,1)</f>
        <v>1</v>
      </c>
      <c r="M10962" t="s">
        <v>878</v>
      </c>
    </row>
    <row r="10963" spans="1:13" x14ac:dyDescent="0.2">
      <c r="A10963" t="s">
        <v>134</v>
      </c>
      <c r="B10963" t="s">
        <v>133</v>
      </c>
      <c r="C10963" t="s">
        <v>7</v>
      </c>
      <c r="D10963">
        <v>3511</v>
      </c>
      <c r="E10963">
        <v>2020</v>
      </c>
      <c r="F10963">
        <v>4</v>
      </c>
      <c r="G10963">
        <v>11847</v>
      </c>
      <c r="H10963" s="1">
        <v>0</v>
      </c>
      <c r="I10963">
        <v>29</v>
      </c>
      <c r="J10963">
        <f>IF($H10963=0,1,IF($I10963&lt;=1,2,0))</f>
        <v>1</v>
      </c>
      <c r="K10963">
        <v>0</v>
      </c>
      <c r="L10963">
        <f>IF(AND($J10963=0,$K10963=0),0,1)</f>
        <v>1</v>
      </c>
      <c r="M10963" t="s">
        <v>878</v>
      </c>
    </row>
    <row r="10964" spans="1:13" x14ac:dyDescent="0.2">
      <c r="A10964" t="s">
        <v>134</v>
      </c>
      <c r="B10964" t="s">
        <v>133</v>
      </c>
      <c r="C10964" t="s">
        <v>7</v>
      </c>
      <c r="D10964">
        <v>3511</v>
      </c>
      <c r="E10964">
        <v>2020</v>
      </c>
      <c r="F10964">
        <v>1</v>
      </c>
      <c r="G10964">
        <v>11844</v>
      </c>
      <c r="H10964" s="1">
        <v>0</v>
      </c>
      <c r="I10964">
        <v>28</v>
      </c>
      <c r="J10964">
        <f>IF($H10964=0,1,IF($I10964&lt;=1,2,0))</f>
        <v>1</v>
      </c>
      <c r="K10964">
        <v>0</v>
      </c>
      <c r="L10964">
        <f>IF(AND($J10964=0,$K10964=0),0,1)</f>
        <v>1</v>
      </c>
      <c r="M10964" t="s">
        <v>878</v>
      </c>
    </row>
    <row r="10965" spans="1:13" x14ac:dyDescent="0.2">
      <c r="A10965" t="s">
        <v>134</v>
      </c>
      <c r="B10965" t="s">
        <v>133</v>
      </c>
      <c r="C10965" t="s">
        <v>7</v>
      </c>
      <c r="D10965">
        <v>3511</v>
      </c>
      <c r="E10965">
        <v>2020</v>
      </c>
      <c r="F10965">
        <v>5</v>
      </c>
      <c r="G10965">
        <v>24554</v>
      </c>
      <c r="H10965" s="1">
        <v>0</v>
      </c>
      <c r="I10965">
        <v>14</v>
      </c>
      <c r="J10965">
        <f>IF($H10965=0,1,IF($I10965&lt;=1,2,0))</f>
        <v>1</v>
      </c>
      <c r="K10965">
        <v>0</v>
      </c>
      <c r="L10965">
        <f>IF(AND($J10965=0,$K10965=0),0,1)</f>
        <v>1</v>
      </c>
    </row>
    <row r="10966" spans="1:13" x14ac:dyDescent="0.2">
      <c r="A10966" t="s">
        <v>134</v>
      </c>
      <c r="B10966" t="s">
        <v>133</v>
      </c>
      <c r="C10966" t="s">
        <v>7</v>
      </c>
      <c r="D10966">
        <v>3511</v>
      </c>
      <c r="E10966">
        <v>2020</v>
      </c>
      <c r="F10966">
        <v>2</v>
      </c>
      <c r="G10966">
        <v>11845</v>
      </c>
      <c r="H10966" s="1">
        <v>0</v>
      </c>
      <c r="I10966">
        <v>9</v>
      </c>
      <c r="J10966">
        <f>IF($H10966=0,1,IF($I10966&lt;=1,2,0))</f>
        <v>1</v>
      </c>
      <c r="K10966">
        <v>0</v>
      </c>
      <c r="L10966">
        <f>IF(AND($J10966=0,$K10966=0),0,1)</f>
        <v>1</v>
      </c>
      <c r="M10966" t="s">
        <v>878</v>
      </c>
    </row>
    <row r="10967" spans="1:13" x14ac:dyDescent="0.2">
      <c r="A10967" t="s">
        <v>134</v>
      </c>
      <c r="B10967" t="s">
        <v>133</v>
      </c>
      <c r="C10967" t="s">
        <v>11</v>
      </c>
      <c r="D10967">
        <v>6400</v>
      </c>
      <c r="E10967">
        <v>2020</v>
      </c>
      <c r="F10967">
        <v>1</v>
      </c>
      <c r="G10967">
        <v>23054</v>
      </c>
      <c r="H10967" s="1">
        <v>4</v>
      </c>
      <c r="I10967">
        <v>0</v>
      </c>
      <c r="J10967">
        <f>IF($H10967=0,1,IF($I10967&lt;=1,2,0))</f>
        <v>2</v>
      </c>
      <c r="K10967">
        <v>0</v>
      </c>
      <c r="L10967">
        <f>IF(AND($J10967=0,$K10967=0),0,1)</f>
        <v>1</v>
      </c>
    </row>
    <row r="10968" spans="1:13" x14ac:dyDescent="0.2">
      <c r="A10968" t="s">
        <v>138</v>
      </c>
      <c r="B10968" t="s">
        <v>17</v>
      </c>
      <c r="C10968" t="s">
        <v>9</v>
      </c>
      <c r="D10968">
        <v>4331</v>
      </c>
      <c r="E10968">
        <v>2020</v>
      </c>
      <c r="F10968">
        <v>1</v>
      </c>
      <c r="G10968">
        <v>10536</v>
      </c>
      <c r="H10968" s="1">
        <v>3</v>
      </c>
      <c r="I10968">
        <v>0</v>
      </c>
      <c r="J10968">
        <f>IF($H10968=0,1,IF($I10968&lt;=1,2,0))</f>
        <v>2</v>
      </c>
      <c r="K10968">
        <v>0</v>
      </c>
      <c r="L10968">
        <f>IF(AND($J10968=0,$K10968=0),0,1)</f>
        <v>1</v>
      </c>
    </row>
    <row r="10969" spans="1:13" x14ac:dyDescent="0.2">
      <c r="A10969" t="s">
        <v>139</v>
      </c>
      <c r="B10969" t="s">
        <v>17</v>
      </c>
      <c r="C10969" t="s">
        <v>9</v>
      </c>
      <c r="D10969">
        <v>3101</v>
      </c>
      <c r="E10969">
        <v>2020</v>
      </c>
      <c r="F10969">
        <v>1</v>
      </c>
      <c r="G10969">
        <v>14422</v>
      </c>
      <c r="H10969" s="1">
        <v>3</v>
      </c>
      <c r="I10969">
        <v>0</v>
      </c>
      <c r="J10969">
        <f>IF($H10969=0,1,IF($I10969&lt;=1,2,0))</f>
        <v>2</v>
      </c>
      <c r="K10969">
        <v>0</v>
      </c>
      <c r="L10969">
        <f>IF(AND($J10969=0,$K10969=0),0,1)</f>
        <v>1</v>
      </c>
      <c r="M10969" t="s">
        <v>879</v>
      </c>
    </row>
    <row r="10970" spans="1:13" x14ac:dyDescent="0.2">
      <c r="A10970" t="s">
        <v>140</v>
      </c>
      <c r="B10970" t="s">
        <v>133</v>
      </c>
      <c r="C10970" t="s">
        <v>11</v>
      </c>
      <c r="D10970">
        <v>4000</v>
      </c>
      <c r="E10970">
        <v>2020</v>
      </c>
      <c r="F10970">
        <v>1</v>
      </c>
      <c r="G10970">
        <v>13049</v>
      </c>
      <c r="H10970" s="1">
        <v>3</v>
      </c>
      <c r="I10970">
        <v>3</v>
      </c>
      <c r="J10970">
        <f>IF($H10970=0,1,IF($I10970&lt;=1,2,0))</f>
        <v>0</v>
      </c>
      <c r="K10970">
        <v>4</v>
      </c>
      <c r="L10970">
        <f>IF(AND($J10970=0,$K10970=0),0,1)</f>
        <v>1</v>
      </c>
      <c r="M10970" t="s">
        <v>880</v>
      </c>
    </row>
    <row r="10971" spans="1:13" x14ac:dyDescent="0.2">
      <c r="A10971" t="s">
        <v>140</v>
      </c>
      <c r="B10971" t="s">
        <v>133</v>
      </c>
      <c r="C10971" t="s">
        <v>11</v>
      </c>
      <c r="D10971">
        <v>4099</v>
      </c>
      <c r="E10971">
        <v>2020</v>
      </c>
      <c r="F10971">
        <v>1</v>
      </c>
      <c r="G10971">
        <v>13067</v>
      </c>
      <c r="H10971" s="1">
        <v>1</v>
      </c>
      <c r="I10971">
        <v>26</v>
      </c>
      <c r="J10971">
        <f>IF($H10971=0,1,IF($I10971&lt;=1,2,0))</f>
        <v>0</v>
      </c>
      <c r="K10971">
        <v>4</v>
      </c>
      <c r="L10971">
        <f>IF(AND($J10971=0,$K10971=0),0,1)</f>
        <v>1</v>
      </c>
      <c r="M10971" t="s">
        <v>880</v>
      </c>
    </row>
    <row r="10972" spans="1:13" x14ac:dyDescent="0.2">
      <c r="A10972" t="s">
        <v>140</v>
      </c>
      <c r="B10972" t="s">
        <v>133</v>
      </c>
      <c r="C10972" t="s">
        <v>11</v>
      </c>
      <c r="D10972">
        <v>6001</v>
      </c>
      <c r="E10972">
        <v>2020</v>
      </c>
      <c r="F10972">
        <v>3</v>
      </c>
      <c r="G10972">
        <v>13071</v>
      </c>
      <c r="H10972" s="1" t="s">
        <v>1834</v>
      </c>
      <c r="I10972">
        <v>1</v>
      </c>
      <c r="J10972">
        <f>IF($H10972=0,1,IF($I10972&lt;=1,2,0))</f>
        <v>2</v>
      </c>
      <c r="K10972">
        <v>0</v>
      </c>
      <c r="L10972">
        <f>IF(AND($J10972=0,$K10972=0),0,1)</f>
        <v>1</v>
      </c>
    </row>
    <row r="10973" spans="1:13" x14ac:dyDescent="0.2">
      <c r="A10973" t="s">
        <v>140</v>
      </c>
      <c r="B10973" t="s">
        <v>133</v>
      </c>
      <c r="C10973" t="s">
        <v>11</v>
      </c>
      <c r="D10973">
        <v>6001</v>
      </c>
      <c r="E10973">
        <v>2020</v>
      </c>
      <c r="F10973">
        <v>6</v>
      </c>
      <c r="G10973">
        <v>13074</v>
      </c>
      <c r="H10973" s="1" t="s">
        <v>1834</v>
      </c>
      <c r="I10973">
        <v>1</v>
      </c>
      <c r="J10973">
        <f>IF($H10973=0,1,IF($I10973&lt;=1,2,0))</f>
        <v>2</v>
      </c>
      <c r="K10973">
        <v>0</v>
      </c>
      <c r="L10973">
        <f>IF(AND($J10973=0,$K10973=0),0,1)</f>
        <v>1</v>
      </c>
    </row>
    <row r="10974" spans="1:13" x14ac:dyDescent="0.2">
      <c r="A10974" t="s">
        <v>140</v>
      </c>
      <c r="B10974" t="s">
        <v>133</v>
      </c>
      <c r="C10974" t="s">
        <v>11</v>
      </c>
      <c r="D10974">
        <v>6001</v>
      </c>
      <c r="E10974">
        <v>2020</v>
      </c>
      <c r="F10974">
        <v>14</v>
      </c>
      <c r="G10974">
        <v>13083</v>
      </c>
      <c r="H10974" s="1" t="s">
        <v>1834</v>
      </c>
      <c r="I10974">
        <v>1</v>
      </c>
      <c r="J10974">
        <f>IF($H10974=0,1,IF($I10974&lt;=1,2,0))</f>
        <v>2</v>
      </c>
      <c r="K10974">
        <v>0</v>
      </c>
      <c r="L10974">
        <f>IF(AND($J10974=0,$K10974=0),0,1)</f>
        <v>1</v>
      </c>
    </row>
    <row r="10975" spans="1:13" x14ac:dyDescent="0.2">
      <c r="A10975" t="s">
        <v>140</v>
      </c>
      <c r="B10975" t="s">
        <v>133</v>
      </c>
      <c r="C10975" t="s">
        <v>11</v>
      </c>
      <c r="D10975">
        <v>6001</v>
      </c>
      <c r="E10975">
        <v>2020</v>
      </c>
      <c r="F10975">
        <v>17</v>
      </c>
      <c r="G10975">
        <v>22880</v>
      </c>
      <c r="H10975" s="1" t="s">
        <v>1834</v>
      </c>
      <c r="I10975">
        <v>1</v>
      </c>
      <c r="J10975">
        <f>IF($H10975=0,1,IF($I10975&lt;=1,2,0))</f>
        <v>2</v>
      </c>
      <c r="K10975">
        <v>0</v>
      </c>
      <c r="L10975">
        <f>IF(AND($J10975=0,$K10975=0),0,1)</f>
        <v>1</v>
      </c>
    </row>
    <row r="10976" spans="1:13" x14ac:dyDescent="0.2">
      <c r="A10976" t="s">
        <v>140</v>
      </c>
      <c r="B10976" t="s">
        <v>133</v>
      </c>
      <c r="C10976" t="s">
        <v>11</v>
      </c>
      <c r="D10976">
        <v>6001</v>
      </c>
      <c r="E10976">
        <v>2020</v>
      </c>
      <c r="F10976">
        <v>21</v>
      </c>
      <c r="G10976">
        <v>22881</v>
      </c>
      <c r="H10976" s="1" t="s">
        <v>1834</v>
      </c>
      <c r="I10976">
        <v>1</v>
      </c>
      <c r="J10976">
        <f>IF($H10976=0,1,IF($I10976&lt;=1,2,0))</f>
        <v>2</v>
      </c>
      <c r="K10976">
        <v>0</v>
      </c>
      <c r="L10976">
        <f>IF(AND($J10976=0,$K10976=0),0,1)</f>
        <v>1</v>
      </c>
    </row>
    <row r="10977" spans="1:12" x14ac:dyDescent="0.2">
      <c r="A10977" t="s">
        <v>140</v>
      </c>
      <c r="B10977" t="s">
        <v>133</v>
      </c>
      <c r="C10977" t="s">
        <v>11</v>
      </c>
      <c r="D10977">
        <v>6001</v>
      </c>
      <c r="E10977">
        <v>2020</v>
      </c>
      <c r="F10977">
        <v>22</v>
      </c>
      <c r="G10977">
        <v>23201</v>
      </c>
      <c r="H10977" s="1" t="s">
        <v>1834</v>
      </c>
      <c r="I10977">
        <v>1</v>
      </c>
      <c r="J10977">
        <f>IF($H10977=0,1,IF($I10977&lt;=1,2,0))</f>
        <v>2</v>
      </c>
      <c r="K10977">
        <v>0</v>
      </c>
      <c r="L10977">
        <f>IF(AND($J10977=0,$K10977=0),0,1)</f>
        <v>1</v>
      </c>
    </row>
    <row r="10978" spans="1:12" x14ac:dyDescent="0.2">
      <c r="A10978" t="s">
        <v>140</v>
      </c>
      <c r="B10978" t="s">
        <v>133</v>
      </c>
      <c r="C10978" t="s">
        <v>11</v>
      </c>
      <c r="D10978">
        <v>6001</v>
      </c>
      <c r="E10978">
        <v>2020</v>
      </c>
      <c r="F10978">
        <v>1</v>
      </c>
      <c r="G10978">
        <v>13068</v>
      </c>
      <c r="H10978" s="1" t="s">
        <v>1834</v>
      </c>
      <c r="I10978">
        <v>0</v>
      </c>
      <c r="J10978">
        <f>IF($H10978=0,1,IF($I10978&lt;=1,2,0))</f>
        <v>2</v>
      </c>
      <c r="K10978">
        <v>0</v>
      </c>
      <c r="L10978">
        <f>IF(AND($J10978=0,$K10978=0),0,1)</f>
        <v>1</v>
      </c>
    </row>
    <row r="10979" spans="1:12" x14ac:dyDescent="0.2">
      <c r="A10979" t="s">
        <v>140</v>
      </c>
      <c r="B10979" t="s">
        <v>133</v>
      </c>
      <c r="C10979" t="s">
        <v>11</v>
      </c>
      <c r="D10979">
        <v>6001</v>
      </c>
      <c r="E10979">
        <v>2020</v>
      </c>
      <c r="F10979">
        <v>4</v>
      </c>
      <c r="G10979">
        <v>13072</v>
      </c>
      <c r="H10979" s="1" t="s">
        <v>1834</v>
      </c>
      <c r="I10979">
        <v>0</v>
      </c>
      <c r="J10979">
        <f>IF($H10979=0,1,IF($I10979&lt;=1,2,0))</f>
        <v>2</v>
      </c>
      <c r="K10979">
        <v>0</v>
      </c>
      <c r="L10979">
        <f>IF(AND($J10979=0,$K10979=0),0,1)</f>
        <v>1</v>
      </c>
    </row>
    <row r="10980" spans="1:12" x14ac:dyDescent="0.2">
      <c r="A10980" t="s">
        <v>140</v>
      </c>
      <c r="B10980" t="s">
        <v>133</v>
      </c>
      <c r="C10980" t="s">
        <v>11</v>
      </c>
      <c r="D10980">
        <v>6001</v>
      </c>
      <c r="E10980">
        <v>2020</v>
      </c>
      <c r="F10980">
        <v>5</v>
      </c>
      <c r="G10980">
        <v>13073</v>
      </c>
      <c r="H10980" s="1" t="s">
        <v>1834</v>
      </c>
      <c r="I10980">
        <v>0</v>
      </c>
      <c r="J10980">
        <f>IF($H10980=0,1,IF($I10980&lt;=1,2,0))</f>
        <v>2</v>
      </c>
      <c r="K10980">
        <v>0</v>
      </c>
      <c r="L10980">
        <f>IF(AND($J10980=0,$K10980=0),0,1)</f>
        <v>1</v>
      </c>
    </row>
    <row r="10981" spans="1:12" x14ac:dyDescent="0.2">
      <c r="A10981" t="s">
        <v>140</v>
      </c>
      <c r="B10981" t="s">
        <v>133</v>
      </c>
      <c r="C10981" t="s">
        <v>11</v>
      </c>
      <c r="D10981">
        <v>6001</v>
      </c>
      <c r="E10981">
        <v>2020</v>
      </c>
      <c r="F10981">
        <v>8</v>
      </c>
      <c r="G10981">
        <v>13077</v>
      </c>
      <c r="H10981" s="1" t="s">
        <v>1834</v>
      </c>
      <c r="I10981">
        <v>0</v>
      </c>
      <c r="J10981">
        <f>IF($H10981=0,1,IF($I10981&lt;=1,2,0))</f>
        <v>2</v>
      </c>
      <c r="K10981">
        <v>0</v>
      </c>
      <c r="L10981">
        <f>IF(AND($J10981=0,$K10981=0),0,1)</f>
        <v>1</v>
      </c>
    </row>
    <row r="10982" spans="1:12" x14ac:dyDescent="0.2">
      <c r="A10982" t="s">
        <v>140</v>
      </c>
      <c r="B10982" t="s">
        <v>133</v>
      </c>
      <c r="C10982" t="s">
        <v>11</v>
      </c>
      <c r="D10982">
        <v>6001</v>
      </c>
      <c r="E10982">
        <v>2020</v>
      </c>
      <c r="F10982">
        <v>10</v>
      </c>
      <c r="G10982">
        <v>13079</v>
      </c>
      <c r="H10982" s="1" t="s">
        <v>1834</v>
      </c>
      <c r="I10982">
        <v>0</v>
      </c>
      <c r="J10982">
        <f>IF($H10982=0,1,IF($I10982&lt;=1,2,0))</f>
        <v>2</v>
      </c>
      <c r="K10982">
        <v>0</v>
      </c>
      <c r="L10982">
        <f>IF(AND($J10982=0,$K10982=0),0,1)</f>
        <v>1</v>
      </c>
    </row>
    <row r="10983" spans="1:12" x14ac:dyDescent="0.2">
      <c r="A10983" t="s">
        <v>140</v>
      </c>
      <c r="B10983" t="s">
        <v>133</v>
      </c>
      <c r="C10983" t="s">
        <v>11</v>
      </c>
      <c r="D10983">
        <v>6001</v>
      </c>
      <c r="E10983">
        <v>2020</v>
      </c>
      <c r="F10983">
        <v>11</v>
      </c>
      <c r="G10983">
        <v>13080</v>
      </c>
      <c r="H10983" s="1" t="s">
        <v>1834</v>
      </c>
      <c r="I10983">
        <v>0</v>
      </c>
      <c r="J10983">
        <f>IF($H10983=0,1,IF($I10983&lt;=1,2,0))</f>
        <v>2</v>
      </c>
      <c r="K10983">
        <v>0</v>
      </c>
      <c r="L10983">
        <f>IF(AND($J10983=0,$K10983=0),0,1)</f>
        <v>1</v>
      </c>
    </row>
    <row r="10984" spans="1:12" x14ac:dyDescent="0.2">
      <c r="A10984" t="s">
        <v>140</v>
      </c>
      <c r="B10984" t="s">
        <v>133</v>
      </c>
      <c r="C10984" t="s">
        <v>11</v>
      </c>
      <c r="D10984">
        <v>8010</v>
      </c>
      <c r="E10984">
        <v>2020</v>
      </c>
      <c r="F10984">
        <v>1</v>
      </c>
      <c r="G10984">
        <v>13086</v>
      </c>
      <c r="H10984" s="1">
        <v>2</v>
      </c>
      <c r="I10984">
        <v>1</v>
      </c>
      <c r="J10984">
        <f>IF($H10984=0,1,IF($I10984&lt;=1,2,0))</f>
        <v>2</v>
      </c>
      <c r="K10984">
        <v>0</v>
      </c>
      <c r="L10984">
        <f>IF(AND($J10984=0,$K10984=0),0,1)</f>
        <v>1</v>
      </c>
    </row>
    <row r="10985" spans="1:12" x14ac:dyDescent="0.2">
      <c r="A10985" t="s">
        <v>140</v>
      </c>
      <c r="B10985" t="s">
        <v>133</v>
      </c>
      <c r="C10985" t="s">
        <v>11</v>
      </c>
      <c r="D10985">
        <v>8010</v>
      </c>
      <c r="E10985">
        <v>2020</v>
      </c>
      <c r="F10985">
        <v>2</v>
      </c>
      <c r="G10985">
        <v>13087</v>
      </c>
      <c r="H10985" s="1">
        <v>2</v>
      </c>
      <c r="I10985">
        <v>1</v>
      </c>
      <c r="J10985">
        <f>IF($H10985=0,1,IF($I10985&lt;=1,2,0))</f>
        <v>2</v>
      </c>
      <c r="K10985">
        <v>0</v>
      </c>
      <c r="L10985">
        <f>IF(AND($J10985=0,$K10985=0),0,1)</f>
        <v>1</v>
      </c>
    </row>
    <row r="10986" spans="1:12" x14ac:dyDescent="0.2">
      <c r="A10986" t="s">
        <v>140</v>
      </c>
      <c r="B10986" t="s">
        <v>133</v>
      </c>
      <c r="C10986" t="s">
        <v>11</v>
      </c>
      <c r="D10986">
        <v>8010</v>
      </c>
      <c r="E10986">
        <v>2020</v>
      </c>
      <c r="F10986">
        <v>3</v>
      </c>
      <c r="G10986">
        <v>13088</v>
      </c>
      <c r="H10986" s="1">
        <v>2</v>
      </c>
      <c r="I10986">
        <v>1</v>
      </c>
      <c r="J10986">
        <f>IF($H10986=0,1,IF($I10986&lt;=1,2,0))</f>
        <v>2</v>
      </c>
      <c r="K10986">
        <v>0</v>
      </c>
      <c r="L10986">
        <f>IF(AND($J10986=0,$K10986=0),0,1)</f>
        <v>1</v>
      </c>
    </row>
    <row r="10987" spans="1:12" x14ac:dyDescent="0.2">
      <c r="A10987" t="s">
        <v>140</v>
      </c>
      <c r="B10987" t="s">
        <v>133</v>
      </c>
      <c r="C10987" t="s">
        <v>11</v>
      </c>
      <c r="D10987">
        <v>8010</v>
      </c>
      <c r="E10987">
        <v>2020</v>
      </c>
      <c r="F10987">
        <v>4</v>
      </c>
      <c r="G10987">
        <v>13089</v>
      </c>
      <c r="H10987" s="1">
        <v>2</v>
      </c>
      <c r="I10987">
        <v>1</v>
      </c>
      <c r="J10987">
        <f>IF($H10987=0,1,IF($I10987&lt;=1,2,0))</f>
        <v>2</v>
      </c>
      <c r="K10987">
        <v>0</v>
      </c>
      <c r="L10987">
        <f>IF(AND($J10987=0,$K10987=0),0,1)</f>
        <v>1</v>
      </c>
    </row>
    <row r="10988" spans="1:12" x14ac:dyDescent="0.2">
      <c r="A10988" t="s">
        <v>140</v>
      </c>
      <c r="B10988" t="s">
        <v>133</v>
      </c>
      <c r="C10988" t="s">
        <v>11</v>
      </c>
      <c r="D10988">
        <v>8010</v>
      </c>
      <c r="E10988">
        <v>2020</v>
      </c>
      <c r="F10988">
        <v>6</v>
      </c>
      <c r="G10988">
        <v>13090</v>
      </c>
      <c r="H10988" s="1">
        <v>2</v>
      </c>
      <c r="I10988">
        <v>0</v>
      </c>
      <c r="J10988">
        <f>IF($H10988=0,1,IF($I10988&lt;=1,2,0))</f>
        <v>2</v>
      </c>
      <c r="K10988">
        <v>0</v>
      </c>
      <c r="L10988">
        <f>IF(AND($J10988=0,$K10988=0),0,1)</f>
        <v>1</v>
      </c>
    </row>
    <row r="10989" spans="1:12" x14ac:dyDescent="0.2">
      <c r="A10989" t="s">
        <v>140</v>
      </c>
      <c r="B10989" t="s">
        <v>133</v>
      </c>
      <c r="C10989" t="s">
        <v>11</v>
      </c>
      <c r="D10989">
        <v>9001</v>
      </c>
      <c r="E10989">
        <v>2020</v>
      </c>
      <c r="F10989">
        <v>2</v>
      </c>
      <c r="G10989">
        <v>13094</v>
      </c>
      <c r="H10989" s="1" t="s">
        <v>1834</v>
      </c>
      <c r="I10989">
        <v>2</v>
      </c>
      <c r="J10989">
        <f>IF($H10989=0,1,IF($I10989&lt;=1,2,0))</f>
        <v>0</v>
      </c>
      <c r="K10989">
        <v>5</v>
      </c>
      <c r="L10989">
        <f>IF(AND($J10989=0,$K10989=0),0,1)</f>
        <v>1</v>
      </c>
    </row>
    <row r="10990" spans="1:12" x14ac:dyDescent="0.2">
      <c r="A10990" t="s">
        <v>140</v>
      </c>
      <c r="B10990" t="s">
        <v>133</v>
      </c>
      <c r="C10990" t="s">
        <v>11</v>
      </c>
      <c r="D10990">
        <v>9001</v>
      </c>
      <c r="E10990">
        <v>2020</v>
      </c>
      <c r="F10990">
        <v>1</v>
      </c>
      <c r="G10990">
        <v>13093</v>
      </c>
      <c r="H10990" s="1" t="s">
        <v>1834</v>
      </c>
      <c r="I10990">
        <v>1</v>
      </c>
      <c r="J10990">
        <f>IF($H10990=0,1,IF($I10990&lt;=1,2,0))</f>
        <v>2</v>
      </c>
      <c r="K10990">
        <v>5</v>
      </c>
      <c r="L10990">
        <f>IF(AND($J10990=0,$K10990=0),0,1)</f>
        <v>1</v>
      </c>
    </row>
    <row r="10991" spans="1:12" x14ac:dyDescent="0.2">
      <c r="A10991" t="s">
        <v>140</v>
      </c>
      <c r="B10991" t="s">
        <v>133</v>
      </c>
      <c r="C10991" t="s">
        <v>11</v>
      </c>
      <c r="D10991">
        <v>9001</v>
      </c>
      <c r="E10991">
        <v>2020</v>
      </c>
      <c r="F10991">
        <v>3</v>
      </c>
      <c r="G10991">
        <v>13095</v>
      </c>
      <c r="H10991" s="1" t="s">
        <v>1834</v>
      </c>
      <c r="I10991">
        <v>1</v>
      </c>
      <c r="J10991">
        <f>IF($H10991=0,1,IF($I10991&lt;=1,2,0))</f>
        <v>2</v>
      </c>
      <c r="K10991">
        <v>5</v>
      </c>
      <c r="L10991">
        <f>IF(AND($J10991=0,$K10991=0),0,1)</f>
        <v>1</v>
      </c>
    </row>
    <row r="10992" spans="1:12" x14ac:dyDescent="0.2">
      <c r="A10992" t="s">
        <v>140</v>
      </c>
      <c r="B10992" t="s">
        <v>133</v>
      </c>
      <c r="C10992" t="s">
        <v>11</v>
      </c>
      <c r="D10992">
        <v>9001</v>
      </c>
      <c r="E10992">
        <v>2020</v>
      </c>
      <c r="F10992">
        <v>5</v>
      </c>
      <c r="G10992">
        <v>13096</v>
      </c>
      <c r="H10992" s="1" t="s">
        <v>1834</v>
      </c>
      <c r="I10992">
        <v>1</v>
      </c>
      <c r="J10992">
        <f>IF($H10992=0,1,IF($I10992&lt;=1,2,0))</f>
        <v>2</v>
      </c>
      <c r="K10992">
        <v>5</v>
      </c>
      <c r="L10992">
        <f>IF(AND($J10992=0,$K10992=0),0,1)</f>
        <v>1</v>
      </c>
    </row>
    <row r="10993" spans="1:13" x14ac:dyDescent="0.2">
      <c r="A10993" t="s">
        <v>140</v>
      </c>
      <c r="B10993" t="s">
        <v>133</v>
      </c>
      <c r="C10993" t="s">
        <v>11</v>
      </c>
      <c r="D10993">
        <v>9001</v>
      </c>
      <c r="E10993">
        <v>2020</v>
      </c>
      <c r="F10993">
        <v>6</v>
      </c>
      <c r="G10993">
        <v>13097</v>
      </c>
      <c r="H10993" s="1" t="s">
        <v>1834</v>
      </c>
      <c r="I10993">
        <v>1</v>
      </c>
      <c r="J10993">
        <f>IF($H10993=0,1,IF($I10993&lt;=1,2,0))</f>
        <v>2</v>
      </c>
      <c r="K10993">
        <v>5</v>
      </c>
      <c r="L10993">
        <f>IF(AND($J10993=0,$K10993=0),0,1)</f>
        <v>1</v>
      </c>
    </row>
    <row r="10994" spans="1:13" x14ac:dyDescent="0.2">
      <c r="A10994" t="s">
        <v>140</v>
      </c>
      <c r="B10994" t="s">
        <v>133</v>
      </c>
      <c r="C10994" t="s">
        <v>11</v>
      </c>
      <c r="D10994">
        <v>9001</v>
      </c>
      <c r="E10994">
        <v>2020</v>
      </c>
      <c r="F10994">
        <v>8</v>
      </c>
      <c r="G10994">
        <v>13099</v>
      </c>
      <c r="H10994" s="1" t="s">
        <v>1834</v>
      </c>
      <c r="I10994">
        <v>1</v>
      </c>
      <c r="J10994">
        <f>IF($H10994=0,1,IF($I10994&lt;=1,2,0))</f>
        <v>2</v>
      </c>
      <c r="K10994">
        <v>5</v>
      </c>
      <c r="L10994">
        <f>IF(AND($J10994=0,$K10994=0),0,1)</f>
        <v>1</v>
      </c>
    </row>
    <row r="10995" spans="1:13" x14ac:dyDescent="0.2">
      <c r="A10995" t="s">
        <v>140</v>
      </c>
      <c r="B10995" t="s">
        <v>133</v>
      </c>
      <c r="C10995" t="s">
        <v>11</v>
      </c>
      <c r="D10995">
        <v>9001</v>
      </c>
      <c r="E10995">
        <v>2020</v>
      </c>
      <c r="F10995">
        <v>9</v>
      </c>
      <c r="G10995">
        <v>13100</v>
      </c>
      <c r="H10995" s="1" t="s">
        <v>1834</v>
      </c>
      <c r="I10995">
        <v>1</v>
      </c>
      <c r="J10995">
        <f>IF($H10995=0,1,IF($I10995&lt;=1,2,0))</f>
        <v>2</v>
      </c>
      <c r="K10995">
        <v>5</v>
      </c>
      <c r="L10995">
        <f>IF(AND($J10995=0,$K10995=0),0,1)</f>
        <v>1</v>
      </c>
    </row>
    <row r="10996" spans="1:13" x14ac:dyDescent="0.2">
      <c r="A10996" t="s">
        <v>140</v>
      </c>
      <c r="B10996" t="s">
        <v>133</v>
      </c>
      <c r="C10996" t="s">
        <v>11</v>
      </c>
      <c r="D10996">
        <v>9001</v>
      </c>
      <c r="E10996">
        <v>2020</v>
      </c>
      <c r="F10996">
        <v>10</v>
      </c>
      <c r="G10996">
        <v>13101</v>
      </c>
      <c r="H10996" s="1" t="s">
        <v>1834</v>
      </c>
      <c r="I10996">
        <v>1</v>
      </c>
      <c r="J10996">
        <f>IF($H10996=0,1,IF($I10996&lt;=1,2,0))</f>
        <v>2</v>
      </c>
      <c r="K10996">
        <v>5</v>
      </c>
      <c r="L10996">
        <f>IF(AND($J10996=0,$K10996=0),0,1)</f>
        <v>1</v>
      </c>
    </row>
    <row r="10997" spans="1:13" x14ac:dyDescent="0.2">
      <c r="A10997" t="s">
        <v>140</v>
      </c>
      <c r="B10997" t="s">
        <v>133</v>
      </c>
      <c r="C10997" t="s">
        <v>11</v>
      </c>
      <c r="D10997">
        <v>9001</v>
      </c>
      <c r="E10997">
        <v>2020</v>
      </c>
      <c r="F10997">
        <v>7</v>
      </c>
      <c r="G10997">
        <v>13098</v>
      </c>
      <c r="H10997" s="1" t="s">
        <v>1834</v>
      </c>
      <c r="I10997">
        <v>0</v>
      </c>
      <c r="J10997">
        <f>IF($H10997=0,1,IF($I10997&lt;=1,2,0))</f>
        <v>2</v>
      </c>
      <c r="K10997">
        <v>5</v>
      </c>
      <c r="L10997">
        <f>IF(AND($J10997=0,$K10997=0),0,1)</f>
        <v>1</v>
      </c>
    </row>
    <row r="10998" spans="1:13" x14ac:dyDescent="0.2">
      <c r="A10998" t="s">
        <v>140</v>
      </c>
      <c r="B10998" t="s">
        <v>133</v>
      </c>
      <c r="C10998" t="s">
        <v>11</v>
      </c>
      <c r="D10998">
        <v>9999</v>
      </c>
      <c r="E10998">
        <v>2020</v>
      </c>
      <c r="F10998">
        <v>4</v>
      </c>
      <c r="G10998">
        <v>13103</v>
      </c>
      <c r="H10998" s="1">
        <v>0</v>
      </c>
      <c r="I10998">
        <v>1</v>
      </c>
      <c r="J10998">
        <f>IF($H10998=0,1,IF($I10998&lt;=1,2,0))</f>
        <v>1</v>
      </c>
      <c r="K10998">
        <v>5</v>
      </c>
      <c r="L10998">
        <f>IF(AND($J10998=0,$K10998=0),0,1)</f>
        <v>1</v>
      </c>
    </row>
    <row r="10999" spans="1:13" x14ac:dyDescent="0.2">
      <c r="A10999" t="s">
        <v>140</v>
      </c>
      <c r="B10999" t="s">
        <v>133</v>
      </c>
      <c r="C10999" t="s">
        <v>11</v>
      </c>
      <c r="D10999">
        <v>9999</v>
      </c>
      <c r="E10999">
        <v>2020</v>
      </c>
      <c r="F10999">
        <v>5</v>
      </c>
      <c r="G10999">
        <v>13104</v>
      </c>
      <c r="H10999" s="1">
        <v>0</v>
      </c>
      <c r="I10999">
        <v>1</v>
      </c>
      <c r="J10999">
        <f>IF($H10999=0,1,IF($I10999&lt;=1,2,0))</f>
        <v>1</v>
      </c>
      <c r="K10999">
        <v>5</v>
      </c>
      <c r="L10999">
        <f>IF(AND($J10999=0,$K10999=0),0,1)</f>
        <v>1</v>
      </c>
    </row>
    <row r="11000" spans="1:13" x14ac:dyDescent="0.2">
      <c r="A11000" t="s">
        <v>140</v>
      </c>
      <c r="B11000" t="s">
        <v>133</v>
      </c>
      <c r="C11000" t="s">
        <v>11</v>
      </c>
      <c r="D11000">
        <v>9999</v>
      </c>
      <c r="E11000">
        <v>2020</v>
      </c>
      <c r="F11000">
        <v>2</v>
      </c>
      <c r="G11000">
        <v>13102</v>
      </c>
      <c r="H11000" s="1">
        <v>0</v>
      </c>
      <c r="I11000">
        <v>0</v>
      </c>
      <c r="J11000">
        <f>IF($H11000=0,1,IF($I11000&lt;=1,2,0))</f>
        <v>1</v>
      </c>
      <c r="K11000">
        <v>5</v>
      </c>
      <c r="L11000">
        <f>IF(AND($J11000=0,$K11000=0),0,1)</f>
        <v>1</v>
      </c>
    </row>
    <row r="11001" spans="1:13" x14ac:dyDescent="0.2">
      <c r="A11001" t="s">
        <v>140</v>
      </c>
      <c r="B11001" t="s">
        <v>133</v>
      </c>
      <c r="C11001" t="s">
        <v>11</v>
      </c>
      <c r="D11001">
        <v>9999</v>
      </c>
      <c r="E11001">
        <v>2020</v>
      </c>
      <c r="F11001">
        <v>6</v>
      </c>
      <c r="G11001">
        <v>13105</v>
      </c>
      <c r="H11001" s="1">
        <v>0</v>
      </c>
      <c r="I11001">
        <v>0</v>
      </c>
      <c r="J11001">
        <f>IF($H11001=0,1,IF($I11001&lt;=1,2,0))</f>
        <v>1</v>
      </c>
      <c r="K11001">
        <v>5</v>
      </c>
      <c r="L11001">
        <f>IF(AND($J11001=0,$K11001=0),0,1)</f>
        <v>1</v>
      </c>
    </row>
    <row r="11002" spans="1:13" x14ac:dyDescent="0.2">
      <c r="A11002" t="s">
        <v>140</v>
      </c>
      <c r="B11002" t="s">
        <v>133</v>
      </c>
      <c r="C11002" t="s">
        <v>11</v>
      </c>
      <c r="D11002">
        <v>9999</v>
      </c>
      <c r="E11002">
        <v>2020</v>
      </c>
      <c r="F11002">
        <v>7</v>
      </c>
      <c r="G11002">
        <v>13106</v>
      </c>
      <c r="H11002" s="1">
        <v>0</v>
      </c>
      <c r="I11002">
        <v>0</v>
      </c>
      <c r="J11002">
        <f>IF($H11002=0,1,IF($I11002&lt;=1,2,0))</f>
        <v>1</v>
      </c>
      <c r="K11002">
        <v>5</v>
      </c>
      <c r="L11002">
        <f>IF(AND($J11002=0,$K11002=0),0,1)</f>
        <v>1</v>
      </c>
    </row>
    <row r="11003" spans="1:13" x14ac:dyDescent="0.2">
      <c r="A11003" t="s">
        <v>140</v>
      </c>
      <c r="B11003" t="s">
        <v>133</v>
      </c>
      <c r="C11003" t="s">
        <v>11</v>
      </c>
      <c r="D11003">
        <v>9999</v>
      </c>
      <c r="E11003">
        <v>2020</v>
      </c>
      <c r="F11003">
        <v>8</v>
      </c>
      <c r="G11003">
        <v>13107</v>
      </c>
      <c r="H11003" s="1">
        <v>0</v>
      </c>
      <c r="I11003">
        <v>0</v>
      </c>
      <c r="J11003">
        <f>IF($H11003=0,1,IF($I11003&lt;=1,2,0))</f>
        <v>1</v>
      </c>
      <c r="K11003">
        <v>5</v>
      </c>
      <c r="L11003">
        <f>IF(AND($J11003=0,$K11003=0),0,1)</f>
        <v>1</v>
      </c>
    </row>
    <row r="11004" spans="1:13" x14ac:dyDescent="0.2">
      <c r="A11004" t="s">
        <v>142</v>
      </c>
      <c r="B11004" t="s">
        <v>133</v>
      </c>
      <c r="C11004" t="s">
        <v>2</v>
      </c>
      <c r="D11004">
        <v>1008</v>
      </c>
      <c r="E11004">
        <v>2020</v>
      </c>
      <c r="F11004">
        <v>1</v>
      </c>
      <c r="G11004">
        <v>804</v>
      </c>
      <c r="H11004" s="1">
        <v>3</v>
      </c>
      <c r="I11004">
        <v>22</v>
      </c>
      <c r="J11004">
        <f>IF($H11004=0,1,IF($I11004&lt;=1,2,0))</f>
        <v>0</v>
      </c>
      <c r="K11004">
        <v>7</v>
      </c>
      <c r="L11004">
        <f>IF(AND($J11004=0,$K11004=0),0,1)</f>
        <v>1</v>
      </c>
      <c r="M11004" t="s">
        <v>882</v>
      </c>
    </row>
    <row r="11005" spans="1:13" x14ac:dyDescent="0.2">
      <c r="A11005" t="s">
        <v>142</v>
      </c>
      <c r="B11005" t="s">
        <v>133</v>
      </c>
      <c r="C11005" t="s">
        <v>2</v>
      </c>
      <c r="D11005">
        <v>1500</v>
      </c>
      <c r="E11005">
        <v>2020</v>
      </c>
      <c r="F11005">
        <v>1</v>
      </c>
      <c r="G11005">
        <v>74</v>
      </c>
      <c r="H11005" s="1">
        <v>3</v>
      </c>
      <c r="I11005">
        <v>192</v>
      </c>
      <c r="J11005">
        <f>IF($H11005=0,1,IF($I11005&lt;=1,2,0))</f>
        <v>0</v>
      </c>
      <c r="K11005">
        <v>7</v>
      </c>
      <c r="L11005">
        <f>IF(AND($J11005=0,$K11005=0),0,1)</f>
        <v>1</v>
      </c>
      <c r="M11005" t="s">
        <v>883</v>
      </c>
    </row>
    <row r="11006" spans="1:13" x14ac:dyDescent="0.2">
      <c r="A11006" t="s">
        <v>142</v>
      </c>
      <c r="B11006" t="s">
        <v>133</v>
      </c>
      <c r="C11006" t="s">
        <v>2</v>
      </c>
      <c r="D11006">
        <v>1500</v>
      </c>
      <c r="E11006">
        <v>2020</v>
      </c>
      <c r="F11006">
        <v>2</v>
      </c>
      <c r="G11006">
        <v>749</v>
      </c>
      <c r="H11006" s="1">
        <v>3</v>
      </c>
      <c r="I11006">
        <v>35</v>
      </c>
      <c r="J11006">
        <f>IF($H11006=0,1,IF($I11006&lt;=1,2,0))</f>
        <v>0</v>
      </c>
      <c r="K11006">
        <v>7</v>
      </c>
      <c r="L11006">
        <f>IF(AND($J11006=0,$K11006=0),0,1)</f>
        <v>1</v>
      </c>
      <c r="M11006" t="s">
        <v>883</v>
      </c>
    </row>
    <row r="11007" spans="1:13" x14ac:dyDescent="0.2">
      <c r="A11007" t="s">
        <v>142</v>
      </c>
      <c r="B11007" t="s">
        <v>133</v>
      </c>
      <c r="C11007" t="s">
        <v>2</v>
      </c>
      <c r="D11007">
        <v>1501</v>
      </c>
      <c r="E11007">
        <v>2020</v>
      </c>
      <c r="F11007">
        <v>11</v>
      </c>
      <c r="G11007">
        <v>85</v>
      </c>
      <c r="H11007" s="1">
        <v>2</v>
      </c>
      <c r="I11007">
        <v>17</v>
      </c>
      <c r="J11007">
        <f>IF($H11007=0,1,IF($I11007&lt;=1,2,0))</f>
        <v>0</v>
      </c>
      <c r="K11007">
        <v>7</v>
      </c>
      <c r="L11007">
        <f>IF(AND($J11007=0,$K11007=0),0,1)</f>
        <v>1</v>
      </c>
      <c r="M11007" t="s">
        <v>884</v>
      </c>
    </row>
    <row r="11008" spans="1:13" x14ac:dyDescent="0.2">
      <c r="A11008" t="s">
        <v>142</v>
      </c>
      <c r="B11008" t="s">
        <v>133</v>
      </c>
      <c r="C11008" t="s">
        <v>2</v>
      </c>
      <c r="D11008">
        <v>1501</v>
      </c>
      <c r="E11008">
        <v>2020</v>
      </c>
      <c r="F11008">
        <v>1</v>
      </c>
      <c r="G11008">
        <v>75</v>
      </c>
      <c r="H11008" s="1">
        <v>2</v>
      </c>
      <c r="I11008">
        <v>16</v>
      </c>
      <c r="J11008">
        <f>IF($H11008=0,1,IF($I11008&lt;=1,2,0))</f>
        <v>0</v>
      </c>
      <c r="K11008">
        <v>7</v>
      </c>
      <c r="L11008">
        <f>IF(AND($J11008=0,$K11008=0),0,1)</f>
        <v>1</v>
      </c>
      <c r="M11008" t="s">
        <v>884</v>
      </c>
    </row>
    <row r="11009" spans="1:13" x14ac:dyDescent="0.2">
      <c r="A11009" t="s">
        <v>142</v>
      </c>
      <c r="B11009" t="s">
        <v>133</v>
      </c>
      <c r="C11009" t="s">
        <v>2</v>
      </c>
      <c r="D11009">
        <v>1501</v>
      </c>
      <c r="E11009">
        <v>2020</v>
      </c>
      <c r="F11009">
        <v>10</v>
      </c>
      <c r="G11009">
        <v>84</v>
      </c>
      <c r="H11009" s="1">
        <v>2</v>
      </c>
      <c r="I11009">
        <v>16</v>
      </c>
      <c r="J11009">
        <f>IF($H11009=0,1,IF($I11009&lt;=1,2,0))</f>
        <v>0</v>
      </c>
      <c r="K11009">
        <v>7</v>
      </c>
      <c r="L11009">
        <f>IF(AND($J11009=0,$K11009=0),0,1)</f>
        <v>1</v>
      </c>
      <c r="M11009" t="s">
        <v>884</v>
      </c>
    </row>
    <row r="11010" spans="1:13" x14ac:dyDescent="0.2">
      <c r="A11010" t="s">
        <v>142</v>
      </c>
      <c r="B11010" t="s">
        <v>133</v>
      </c>
      <c r="C11010" t="s">
        <v>2</v>
      </c>
      <c r="D11010">
        <v>1501</v>
      </c>
      <c r="E11010">
        <v>2020</v>
      </c>
      <c r="F11010">
        <v>13</v>
      </c>
      <c r="G11010">
        <v>87</v>
      </c>
      <c r="H11010" s="1">
        <v>2</v>
      </c>
      <c r="I11010">
        <v>16</v>
      </c>
      <c r="J11010">
        <f>IF($H11010=0,1,IF($I11010&lt;=1,2,0))</f>
        <v>0</v>
      </c>
      <c r="K11010">
        <v>7</v>
      </c>
      <c r="L11010">
        <f>IF(AND($J11010=0,$K11010=0),0,1)</f>
        <v>1</v>
      </c>
      <c r="M11010" t="s">
        <v>884</v>
      </c>
    </row>
    <row r="11011" spans="1:13" x14ac:dyDescent="0.2">
      <c r="A11011" t="s">
        <v>142</v>
      </c>
      <c r="B11011" t="s">
        <v>133</v>
      </c>
      <c r="C11011" t="s">
        <v>2</v>
      </c>
      <c r="D11011">
        <v>1501</v>
      </c>
      <c r="E11011">
        <v>2020</v>
      </c>
      <c r="F11011">
        <v>16</v>
      </c>
      <c r="G11011">
        <v>890</v>
      </c>
      <c r="H11011" s="1">
        <v>2</v>
      </c>
      <c r="I11011">
        <v>16</v>
      </c>
      <c r="J11011">
        <f>IF($H11011=0,1,IF($I11011&lt;=1,2,0))</f>
        <v>0</v>
      </c>
      <c r="K11011">
        <v>7</v>
      </c>
      <c r="L11011">
        <f>IF(AND($J11011=0,$K11011=0),0,1)</f>
        <v>1</v>
      </c>
      <c r="M11011" t="s">
        <v>884</v>
      </c>
    </row>
    <row r="11012" spans="1:13" x14ac:dyDescent="0.2">
      <c r="A11012" t="s">
        <v>142</v>
      </c>
      <c r="B11012" t="s">
        <v>133</v>
      </c>
      <c r="C11012" t="s">
        <v>2</v>
      </c>
      <c r="D11012">
        <v>1501</v>
      </c>
      <c r="E11012">
        <v>2020</v>
      </c>
      <c r="F11012">
        <v>5</v>
      </c>
      <c r="G11012">
        <v>79</v>
      </c>
      <c r="H11012" s="1">
        <v>2</v>
      </c>
      <c r="I11012">
        <v>15</v>
      </c>
      <c r="J11012">
        <f>IF($H11012=0,1,IF($I11012&lt;=1,2,0))</f>
        <v>0</v>
      </c>
      <c r="K11012">
        <v>7</v>
      </c>
      <c r="L11012">
        <f>IF(AND($J11012=0,$K11012=0),0,1)</f>
        <v>1</v>
      </c>
      <c r="M11012" t="s">
        <v>884</v>
      </c>
    </row>
    <row r="11013" spans="1:13" x14ac:dyDescent="0.2">
      <c r="A11013" t="s">
        <v>142</v>
      </c>
      <c r="B11013" t="s">
        <v>133</v>
      </c>
      <c r="C11013" t="s">
        <v>2</v>
      </c>
      <c r="D11013">
        <v>1501</v>
      </c>
      <c r="E11013">
        <v>2020</v>
      </c>
      <c r="F11013">
        <v>7</v>
      </c>
      <c r="G11013">
        <v>81</v>
      </c>
      <c r="H11013" s="1">
        <v>2</v>
      </c>
      <c r="I11013">
        <v>15</v>
      </c>
      <c r="J11013">
        <f>IF($H11013=0,1,IF($I11013&lt;=1,2,0))</f>
        <v>0</v>
      </c>
      <c r="K11013">
        <v>7</v>
      </c>
      <c r="L11013">
        <f>IF(AND($J11013=0,$K11013=0),0,1)</f>
        <v>1</v>
      </c>
      <c r="M11013" t="s">
        <v>884</v>
      </c>
    </row>
    <row r="11014" spans="1:13" x14ac:dyDescent="0.2">
      <c r="A11014" t="s">
        <v>142</v>
      </c>
      <c r="B11014" t="s">
        <v>133</v>
      </c>
      <c r="C11014" t="s">
        <v>2</v>
      </c>
      <c r="D11014">
        <v>1501</v>
      </c>
      <c r="E11014">
        <v>2020</v>
      </c>
      <c r="F11014">
        <v>12</v>
      </c>
      <c r="G11014">
        <v>86</v>
      </c>
      <c r="H11014" s="1">
        <v>2</v>
      </c>
      <c r="I11014">
        <v>15</v>
      </c>
      <c r="J11014">
        <f>IF($H11014=0,1,IF($I11014&lt;=1,2,0))</f>
        <v>0</v>
      </c>
      <c r="K11014">
        <v>7</v>
      </c>
      <c r="L11014">
        <f>IF(AND($J11014=0,$K11014=0),0,1)</f>
        <v>1</v>
      </c>
      <c r="M11014" t="s">
        <v>884</v>
      </c>
    </row>
    <row r="11015" spans="1:13" x14ac:dyDescent="0.2">
      <c r="A11015" t="s">
        <v>142</v>
      </c>
      <c r="B11015" t="s">
        <v>133</v>
      </c>
      <c r="C11015" t="s">
        <v>2</v>
      </c>
      <c r="D11015">
        <v>1501</v>
      </c>
      <c r="E11015">
        <v>2020</v>
      </c>
      <c r="F11015">
        <v>15</v>
      </c>
      <c r="G11015">
        <v>817</v>
      </c>
      <c r="H11015" s="1">
        <v>2</v>
      </c>
      <c r="I11015">
        <v>15</v>
      </c>
      <c r="J11015">
        <f>IF($H11015=0,1,IF($I11015&lt;=1,2,0))</f>
        <v>0</v>
      </c>
      <c r="K11015">
        <v>7</v>
      </c>
      <c r="L11015">
        <f>IF(AND($J11015=0,$K11015=0),0,1)</f>
        <v>1</v>
      </c>
      <c r="M11015" t="s">
        <v>884</v>
      </c>
    </row>
    <row r="11016" spans="1:13" x14ac:dyDescent="0.2">
      <c r="A11016" t="s">
        <v>142</v>
      </c>
      <c r="B11016" t="s">
        <v>133</v>
      </c>
      <c r="C11016" t="s">
        <v>2</v>
      </c>
      <c r="D11016">
        <v>1501</v>
      </c>
      <c r="E11016">
        <v>2020</v>
      </c>
      <c r="F11016">
        <v>4</v>
      </c>
      <c r="G11016">
        <v>78</v>
      </c>
      <c r="H11016" s="1">
        <v>2</v>
      </c>
      <c r="I11016">
        <v>14</v>
      </c>
      <c r="J11016">
        <f>IF($H11016=0,1,IF($I11016&lt;=1,2,0))</f>
        <v>0</v>
      </c>
      <c r="K11016">
        <v>7</v>
      </c>
      <c r="L11016">
        <f>IF(AND($J11016=0,$K11016=0),0,1)</f>
        <v>1</v>
      </c>
      <c r="M11016" t="s">
        <v>884</v>
      </c>
    </row>
    <row r="11017" spans="1:13" x14ac:dyDescent="0.2">
      <c r="A11017" t="s">
        <v>142</v>
      </c>
      <c r="B11017" t="s">
        <v>133</v>
      </c>
      <c r="C11017" t="s">
        <v>2</v>
      </c>
      <c r="D11017">
        <v>1501</v>
      </c>
      <c r="E11017">
        <v>2020</v>
      </c>
      <c r="F11017">
        <v>6</v>
      </c>
      <c r="G11017">
        <v>80</v>
      </c>
      <c r="H11017" s="1">
        <v>2</v>
      </c>
      <c r="I11017">
        <v>14</v>
      </c>
      <c r="J11017">
        <f>IF($H11017=0,1,IF($I11017&lt;=1,2,0))</f>
        <v>0</v>
      </c>
      <c r="K11017">
        <v>7</v>
      </c>
      <c r="L11017">
        <f>IF(AND($J11017=0,$K11017=0),0,1)</f>
        <v>1</v>
      </c>
      <c r="M11017" t="s">
        <v>884</v>
      </c>
    </row>
    <row r="11018" spans="1:13" x14ac:dyDescent="0.2">
      <c r="A11018" t="s">
        <v>142</v>
      </c>
      <c r="B11018" t="s">
        <v>133</v>
      </c>
      <c r="C11018" t="s">
        <v>2</v>
      </c>
      <c r="D11018">
        <v>1501</v>
      </c>
      <c r="E11018">
        <v>2020</v>
      </c>
      <c r="F11018">
        <v>14</v>
      </c>
      <c r="G11018">
        <v>816</v>
      </c>
      <c r="H11018" s="1">
        <v>2</v>
      </c>
      <c r="I11018">
        <v>14</v>
      </c>
      <c r="J11018">
        <f>IF($H11018=0,1,IF($I11018&lt;=1,2,0))</f>
        <v>0</v>
      </c>
      <c r="K11018">
        <v>7</v>
      </c>
      <c r="L11018">
        <f>IF(AND($J11018=0,$K11018=0),0,1)</f>
        <v>1</v>
      </c>
      <c r="M11018" t="s">
        <v>884</v>
      </c>
    </row>
    <row r="11019" spans="1:13" x14ac:dyDescent="0.2">
      <c r="A11019" t="s">
        <v>142</v>
      </c>
      <c r="B11019" t="s">
        <v>133</v>
      </c>
      <c r="C11019" t="s">
        <v>2</v>
      </c>
      <c r="D11019">
        <v>1501</v>
      </c>
      <c r="E11019">
        <v>2020</v>
      </c>
      <c r="F11019">
        <v>2</v>
      </c>
      <c r="G11019">
        <v>76</v>
      </c>
      <c r="H11019" s="1">
        <v>2</v>
      </c>
      <c r="I11019">
        <v>13</v>
      </c>
      <c r="J11019">
        <f>IF($H11019=0,1,IF($I11019&lt;=1,2,0))</f>
        <v>0</v>
      </c>
      <c r="K11019">
        <v>7</v>
      </c>
      <c r="L11019">
        <f>IF(AND($J11019=0,$K11019=0),0,1)</f>
        <v>1</v>
      </c>
      <c r="M11019" t="s">
        <v>884</v>
      </c>
    </row>
    <row r="11020" spans="1:13" x14ac:dyDescent="0.2">
      <c r="A11020" t="s">
        <v>142</v>
      </c>
      <c r="B11020" t="s">
        <v>133</v>
      </c>
      <c r="C11020" t="s">
        <v>2</v>
      </c>
      <c r="D11020">
        <v>1510</v>
      </c>
      <c r="E11020">
        <v>2020</v>
      </c>
      <c r="F11020">
        <v>4</v>
      </c>
      <c r="G11020">
        <v>829</v>
      </c>
      <c r="H11020" s="1">
        <v>0</v>
      </c>
      <c r="I11020">
        <v>23</v>
      </c>
      <c r="J11020">
        <f>IF($H11020=0,1,IF($I11020&lt;=1,2,0))</f>
        <v>1</v>
      </c>
      <c r="K11020">
        <v>7</v>
      </c>
      <c r="L11020">
        <f>IF(AND($J11020=0,$K11020=0),0,1)</f>
        <v>1</v>
      </c>
      <c r="M11020" t="s">
        <v>886</v>
      </c>
    </row>
    <row r="11021" spans="1:13" x14ac:dyDescent="0.2">
      <c r="A11021" t="s">
        <v>142</v>
      </c>
      <c r="B11021" t="s">
        <v>133</v>
      </c>
      <c r="C11021" t="s">
        <v>2</v>
      </c>
      <c r="D11021">
        <v>1510</v>
      </c>
      <c r="E11021">
        <v>2020</v>
      </c>
      <c r="F11021">
        <v>2</v>
      </c>
      <c r="G11021">
        <v>827</v>
      </c>
      <c r="H11021" s="1">
        <v>0</v>
      </c>
      <c r="I11021">
        <v>22</v>
      </c>
      <c r="J11021">
        <f>IF($H11021=0,1,IF($I11021&lt;=1,2,0))</f>
        <v>1</v>
      </c>
      <c r="K11021">
        <v>7</v>
      </c>
      <c r="L11021">
        <f>IF(AND($J11021=0,$K11021=0),0,1)</f>
        <v>1</v>
      </c>
      <c r="M11021" t="s">
        <v>885</v>
      </c>
    </row>
    <row r="11022" spans="1:13" x14ac:dyDescent="0.2">
      <c r="A11022" t="s">
        <v>142</v>
      </c>
      <c r="B11022" t="s">
        <v>133</v>
      </c>
      <c r="C11022" t="s">
        <v>2</v>
      </c>
      <c r="D11022">
        <v>1510</v>
      </c>
      <c r="E11022">
        <v>2020</v>
      </c>
      <c r="F11022">
        <v>1</v>
      </c>
      <c r="G11022">
        <v>826</v>
      </c>
      <c r="H11022" s="1">
        <v>0</v>
      </c>
      <c r="I11022">
        <v>21</v>
      </c>
      <c r="J11022">
        <f>IF($H11022=0,1,IF($I11022&lt;=1,2,0))</f>
        <v>1</v>
      </c>
      <c r="K11022">
        <v>7</v>
      </c>
      <c r="L11022">
        <f>IF(AND($J11022=0,$K11022=0),0,1)</f>
        <v>1</v>
      </c>
      <c r="M11022" t="s">
        <v>885</v>
      </c>
    </row>
    <row r="11023" spans="1:13" x14ac:dyDescent="0.2">
      <c r="A11023" t="s">
        <v>142</v>
      </c>
      <c r="B11023" t="s">
        <v>133</v>
      </c>
      <c r="C11023" t="s">
        <v>2</v>
      </c>
      <c r="D11023">
        <v>1510</v>
      </c>
      <c r="E11023">
        <v>2020</v>
      </c>
      <c r="F11023">
        <v>10</v>
      </c>
      <c r="G11023">
        <v>835</v>
      </c>
      <c r="H11023" s="1">
        <v>0</v>
      </c>
      <c r="I11023">
        <v>21</v>
      </c>
      <c r="J11023">
        <f>IF($H11023=0,1,IF($I11023&lt;=1,2,0))</f>
        <v>1</v>
      </c>
      <c r="K11023">
        <v>7</v>
      </c>
      <c r="L11023">
        <f>IF(AND($J11023=0,$K11023=0),0,1)</f>
        <v>1</v>
      </c>
      <c r="M11023" t="s">
        <v>885</v>
      </c>
    </row>
    <row r="11024" spans="1:13" x14ac:dyDescent="0.2">
      <c r="A11024" t="s">
        <v>142</v>
      </c>
      <c r="B11024" t="s">
        <v>133</v>
      </c>
      <c r="C11024" t="s">
        <v>2</v>
      </c>
      <c r="D11024">
        <v>1510</v>
      </c>
      <c r="E11024">
        <v>2020</v>
      </c>
      <c r="F11024">
        <v>3</v>
      </c>
      <c r="G11024">
        <v>828</v>
      </c>
      <c r="H11024" s="1">
        <v>0</v>
      </c>
      <c r="I11024">
        <v>19</v>
      </c>
      <c r="J11024">
        <f>IF($H11024=0,1,IF($I11024&lt;=1,2,0))</f>
        <v>1</v>
      </c>
      <c r="K11024">
        <v>7</v>
      </c>
      <c r="L11024">
        <f>IF(AND($J11024=0,$K11024=0),0,1)</f>
        <v>1</v>
      </c>
      <c r="M11024" t="s">
        <v>885</v>
      </c>
    </row>
    <row r="11025" spans="1:13" x14ac:dyDescent="0.2">
      <c r="A11025" t="s">
        <v>142</v>
      </c>
      <c r="B11025" t="s">
        <v>133</v>
      </c>
      <c r="C11025" t="s">
        <v>2</v>
      </c>
      <c r="D11025">
        <v>1510</v>
      </c>
      <c r="E11025">
        <v>2020</v>
      </c>
      <c r="F11025">
        <v>5</v>
      </c>
      <c r="G11025">
        <v>830</v>
      </c>
      <c r="H11025" s="1">
        <v>0</v>
      </c>
      <c r="I11025">
        <v>19</v>
      </c>
      <c r="J11025">
        <f>IF($H11025=0,1,IF($I11025&lt;=1,2,0))</f>
        <v>1</v>
      </c>
      <c r="K11025">
        <v>7</v>
      </c>
      <c r="L11025">
        <f>IF(AND($J11025=0,$K11025=0),0,1)</f>
        <v>1</v>
      </c>
      <c r="M11025" t="s">
        <v>885</v>
      </c>
    </row>
    <row r="11026" spans="1:13" x14ac:dyDescent="0.2">
      <c r="A11026" t="s">
        <v>142</v>
      </c>
      <c r="B11026" t="s">
        <v>133</v>
      </c>
      <c r="C11026" t="s">
        <v>2</v>
      </c>
      <c r="D11026">
        <v>1510</v>
      </c>
      <c r="E11026">
        <v>2020</v>
      </c>
      <c r="F11026">
        <v>6</v>
      </c>
      <c r="G11026">
        <v>831</v>
      </c>
      <c r="H11026" s="1">
        <v>0</v>
      </c>
      <c r="I11026">
        <v>19</v>
      </c>
      <c r="J11026">
        <f>IF($H11026=0,1,IF($I11026&lt;=1,2,0))</f>
        <v>1</v>
      </c>
      <c r="K11026">
        <v>7</v>
      </c>
      <c r="L11026">
        <f>IF(AND($J11026=0,$K11026=0),0,1)</f>
        <v>1</v>
      </c>
      <c r="M11026" t="s">
        <v>885</v>
      </c>
    </row>
    <row r="11027" spans="1:13" x14ac:dyDescent="0.2">
      <c r="A11027" t="s">
        <v>142</v>
      </c>
      <c r="B11027" t="s">
        <v>133</v>
      </c>
      <c r="C11027" t="s">
        <v>2</v>
      </c>
      <c r="D11027">
        <v>1510</v>
      </c>
      <c r="E11027">
        <v>2020</v>
      </c>
      <c r="F11027">
        <v>8</v>
      </c>
      <c r="G11027">
        <v>833</v>
      </c>
      <c r="H11027" s="1">
        <v>0</v>
      </c>
      <c r="I11027">
        <v>19</v>
      </c>
      <c r="J11027">
        <f>IF($H11027=0,1,IF($I11027&lt;=1,2,0))</f>
        <v>1</v>
      </c>
      <c r="K11027">
        <v>7</v>
      </c>
      <c r="L11027">
        <f>IF(AND($J11027=0,$K11027=0),0,1)</f>
        <v>1</v>
      </c>
      <c r="M11027" t="s">
        <v>885</v>
      </c>
    </row>
    <row r="11028" spans="1:13" x14ac:dyDescent="0.2">
      <c r="A11028" t="s">
        <v>142</v>
      </c>
      <c r="B11028" t="s">
        <v>133</v>
      </c>
      <c r="C11028" t="s">
        <v>2</v>
      </c>
      <c r="D11028">
        <v>1510</v>
      </c>
      <c r="E11028">
        <v>2020</v>
      </c>
      <c r="F11028">
        <v>11</v>
      </c>
      <c r="G11028">
        <v>836</v>
      </c>
      <c r="H11028" s="1">
        <v>0</v>
      </c>
      <c r="I11028">
        <v>19</v>
      </c>
      <c r="J11028">
        <f>IF($H11028=0,1,IF($I11028&lt;=1,2,0))</f>
        <v>1</v>
      </c>
      <c r="K11028">
        <v>7</v>
      </c>
      <c r="L11028">
        <f>IF(AND($J11028=0,$K11028=0),0,1)</f>
        <v>1</v>
      </c>
      <c r="M11028" t="s">
        <v>885</v>
      </c>
    </row>
    <row r="11029" spans="1:13" x14ac:dyDescent="0.2">
      <c r="A11029" t="s">
        <v>142</v>
      </c>
      <c r="B11029" t="s">
        <v>133</v>
      </c>
      <c r="C11029" t="s">
        <v>2</v>
      </c>
      <c r="D11029">
        <v>1510</v>
      </c>
      <c r="E11029">
        <v>2020</v>
      </c>
      <c r="F11029">
        <v>7</v>
      </c>
      <c r="G11029">
        <v>832</v>
      </c>
      <c r="H11029" s="1">
        <v>0</v>
      </c>
      <c r="I11029">
        <v>18</v>
      </c>
      <c r="J11029">
        <f>IF($H11029=0,1,IF($I11029&lt;=1,2,0))</f>
        <v>1</v>
      </c>
      <c r="K11029">
        <v>7</v>
      </c>
      <c r="L11029">
        <f>IF(AND($J11029=0,$K11029=0),0,1)</f>
        <v>1</v>
      </c>
      <c r="M11029" t="s">
        <v>885</v>
      </c>
    </row>
    <row r="11030" spans="1:13" x14ac:dyDescent="0.2">
      <c r="A11030" t="s">
        <v>142</v>
      </c>
      <c r="B11030" t="s">
        <v>133</v>
      </c>
      <c r="C11030" t="s">
        <v>2</v>
      </c>
      <c r="D11030">
        <v>1510</v>
      </c>
      <c r="E11030">
        <v>2020</v>
      </c>
      <c r="F11030">
        <v>9</v>
      </c>
      <c r="G11030">
        <v>834</v>
      </c>
      <c r="H11030" s="1">
        <v>0</v>
      </c>
      <c r="I11030">
        <v>14</v>
      </c>
      <c r="J11030">
        <f>IF($H11030=0,1,IF($I11030&lt;=1,2,0))</f>
        <v>1</v>
      </c>
      <c r="K11030">
        <v>7</v>
      </c>
      <c r="L11030">
        <f>IF(AND($J11030=0,$K11030=0),0,1)</f>
        <v>1</v>
      </c>
      <c r="M11030" t="s">
        <v>885</v>
      </c>
    </row>
    <row r="11031" spans="1:13" x14ac:dyDescent="0.2">
      <c r="A11031" t="s">
        <v>142</v>
      </c>
      <c r="B11031" t="s">
        <v>133</v>
      </c>
      <c r="C11031" t="s">
        <v>2</v>
      </c>
      <c r="D11031">
        <v>1510</v>
      </c>
      <c r="E11031">
        <v>2020</v>
      </c>
      <c r="F11031">
        <v>12</v>
      </c>
      <c r="G11031">
        <v>837</v>
      </c>
      <c r="H11031" s="1">
        <v>0</v>
      </c>
      <c r="I11031">
        <v>14</v>
      </c>
      <c r="J11031">
        <f>IF($H11031=0,1,IF($I11031&lt;=1,2,0))</f>
        <v>1</v>
      </c>
      <c r="K11031">
        <v>7</v>
      </c>
      <c r="L11031">
        <f>IF(AND($J11031=0,$K11031=0),0,1)</f>
        <v>1</v>
      </c>
      <c r="M11031" t="s">
        <v>885</v>
      </c>
    </row>
    <row r="11032" spans="1:13" x14ac:dyDescent="0.2">
      <c r="A11032" t="s">
        <v>142</v>
      </c>
      <c r="B11032" t="s">
        <v>133</v>
      </c>
      <c r="C11032" t="s">
        <v>2</v>
      </c>
      <c r="D11032">
        <v>1599</v>
      </c>
      <c r="E11032">
        <v>2020</v>
      </c>
      <c r="F11032">
        <v>1</v>
      </c>
      <c r="G11032">
        <v>90</v>
      </c>
      <c r="H11032" s="1">
        <v>1</v>
      </c>
      <c r="I11032">
        <v>15</v>
      </c>
      <c r="J11032">
        <f>IF($H11032=0,1,IF($I11032&lt;=1,2,0))</f>
        <v>0</v>
      </c>
      <c r="K11032">
        <v>7</v>
      </c>
      <c r="L11032">
        <f>IF(AND($J11032=0,$K11032=0),0,1)</f>
        <v>1</v>
      </c>
      <c r="M11032" t="s">
        <v>887</v>
      </c>
    </row>
    <row r="11033" spans="1:13" x14ac:dyDescent="0.2">
      <c r="A11033" t="s">
        <v>142</v>
      </c>
      <c r="B11033" t="s">
        <v>133</v>
      </c>
      <c r="C11033" t="s">
        <v>7</v>
      </c>
      <c r="D11033">
        <v>2015</v>
      </c>
      <c r="E11033">
        <v>2020</v>
      </c>
      <c r="F11033">
        <v>9</v>
      </c>
      <c r="G11033">
        <v>11832</v>
      </c>
      <c r="H11033" s="1">
        <v>0</v>
      </c>
      <c r="I11033">
        <v>29</v>
      </c>
      <c r="J11033">
        <f>IF($H11033=0,1,IF($I11033&lt;=1,2,0))</f>
        <v>1</v>
      </c>
      <c r="K11033">
        <v>0</v>
      </c>
      <c r="L11033">
        <f>IF(AND($J11033=0,$K11033=0),0,1)</f>
        <v>1</v>
      </c>
      <c r="M11033" t="s">
        <v>890</v>
      </c>
    </row>
    <row r="11034" spans="1:13" x14ac:dyDescent="0.2">
      <c r="A11034" t="s">
        <v>142</v>
      </c>
      <c r="B11034" t="s">
        <v>133</v>
      </c>
      <c r="C11034" t="s">
        <v>7</v>
      </c>
      <c r="D11034">
        <v>2015</v>
      </c>
      <c r="E11034">
        <v>2020</v>
      </c>
      <c r="F11034">
        <v>14</v>
      </c>
      <c r="G11034">
        <v>11837</v>
      </c>
      <c r="H11034" s="1">
        <v>0</v>
      </c>
      <c r="I11034">
        <v>29</v>
      </c>
      <c r="J11034">
        <f>IF($H11034=0,1,IF($I11034&lt;=1,2,0))</f>
        <v>1</v>
      </c>
      <c r="K11034">
        <v>0</v>
      </c>
      <c r="L11034">
        <f>IF(AND($J11034=0,$K11034=0),0,1)</f>
        <v>1</v>
      </c>
      <c r="M11034" t="s">
        <v>890</v>
      </c>
    </row>
    <row r="11035" spans="1:13" x14ac:dyDescent="0.2">
      <c r="A11035" t="s">
        <v>142</v>
      </c>
      <c r="B11035" t="s">
        <v>133</v>
      </c>
      <c r="C11035" t="s">
        <v>7</v>
      </c>
      <c r="D11035">
        <v>2015</v>
      </c>
      <c r="E11035">
        <v>2020</v>
      </c>
      <c r="F11035">
        <v>8</v>
      </c>
      <c r="G11035">
        <v>11831</v>
      </c>
      <c r="H11035" s="1">
        <v>0</v>
      </c>
      <c r="I11035">
        <v>26</v>
      </c>
      <c r="J11035">
        <f>IF($H11035=0,1,IF($I11035&lt;=1,2,0))</f>
        <v>1</v>
      </c>
      <c r="K11035">
        <v>0</v>
      </c>
      <c r="L11035">
        <f>IF(AND($J11035=0,$K11035=0),0,1)</f>
        <v>1</v>
      </c>
      <c r="M11035" t="s">
        <v>890</v>
      </c>
    </row>
    <row r="11036" spans="1:13" x14ac:dyDescent="0.2">
      <c r="A11036" t="s">
        <v>142</v>
      </c>
      <c r="B11036" t="s">
        <v>133</v>
      </c>
      <c r="C11036" t="s">
        <v>7</v>
      </c>
      <c r="D11036">
        <v>2015</v>
      </c>
      <c r="E11036">
        <v>2020</v>
      </c>
      <c r="F11036">
        <v>7</v>
      </c>
      <c r="G11036">
        <v>11830</v>
      </c>
      <c r="H11036" s="1">
        <v>0</v>
      </c>
      <c r="I11036">
        <v>25</v>
      </c>
      <c r="J11036">
        <f>IF($H11036=0,1,IF($I11036&lt;=1,2,0))</f>
        <v>1</v>
      </c>
      <c r="K11036">
        <v>0</v>
      </c>
      <c r="L11036">
        <f>IF(AND($J11036=0,$K11036=0),0,1)</f>
        <v>1</v>
      </c>
      <c r="M11036" t="s">
        <v>891</v>
      </c>
    </row>
    <row r="11037" spans="1:13" x14ac:dyDescent="0.2">
      <c r="A11037" t="s">
        <v>142</v>
      </c>
      <c r="B11037" t="s">
        <v>133</v>
      </c>
      <c r="C11037" t="s">
        <v>7</v>
      </c>
      <c r="D11037">
        <v>2015</v>
      </c>
      <c r="E11037">
        <v>2020</v>
      </c>
      <c r="F11037">
        <v>3</v>
      </c>
      <c r="G11037">
        <v>11781</v>
      </c>
      <c r="H11037" s="1">
        <v>0</v>
      </c>
      <c r="I11037">
        <v>24</v>
      </c>
      <c r="J11037">
        <f>IF($H11037=0,1,IF($I11037&lt;=1,2,0))</f>
        <v>1</v>
      </c>
      <c r="K11037">
        <v>0</v>
      </c>
      <c r="L11037">
        <f>IF(AND($J11037=0,$K11037=0),0,1)</f>
        <v>1</v>
      </c>
      <c r="M11037" t="s">
        <v>889</v>
      </c>
    </row>
    <row r="11038" spans="1:13" x14ac:dyDescent="0.2">
      <c r="A11038" t="s">
        <v>142</v>
      </c>
      <c r="B11038" t="s">
        <v>133</v>
      </c>
      <c r="C11038" t="s">
        <v>7</v>
      </c>
      <c r="D11038">
        <v>2015</v>
      </c>
      <c r="E11038">
        <v>2020</v>
      </c>
      <c r="F11038">
        <v>11</v>
      </c>
      <c r="G11038">
        <v>11834</v>
      </c>
      <c r="H11038" s="1">
        <v>0</v>
      </c>
      <c r="I11038">
        <v>24</v>
      </c>
      <c r="J11038">
        <f>IF($H11038=0,1,IF($I11038&lt;=1,2,0))</f>
        <v>1</v>
      </c>
      <c r="K11038">
        <v>0</v>
      </c>
      <c r="L11038">
        <f>IF(AND($J11038=0,$K11038=0),0,1)</f>
        <v>1</v>
      </c>
      <c r="M11038" t="s">
        <v>890</v>
      </c>
    </row>
    <row r="11039" spans="1:13" x14ac:dyDescent="0.2">
      <c r="A11039" t="s">
        <v>142</v>
      </c>
      <c r="B11039" t="s">
        <v>133</v>
      </c>
      <c r="C11039" t="s">
        <v>7</v>
      </c>
      <c r="D11039">
        <v>2015</v>
      </c>
      <c r="E11039">
        <v>2020</v>
      </c>
      <c r="F11039">
        <v>13</v>
      </c>
      <c r="G11039">
        <v>11836</v>
      </c>
      <c r="H11039" s="1">
        <v>0</v>
      </c>
      <c r="I11039">
        <v>22</v>
      </c>
      <c r="J11039">
        <f>IF($H11039=0,1,IF($I11039&lt;=1,2,0))</f>
        <v>1</v>
      </c>
      <c r="K11039">
        <v>0</v>
      </c>
      <c r="L11039">
        <f>IF(AND($J11039=0,$K11039=0),0,1)</f>
        <v>1</v>
      </c>
      <c r="M11039" t="s">
        <v>890</v>
      </c>
    </row>
    <row r="11040" spans="1:13" x14ac:dyDescent="0.2">
      <c r="A11040" t="s">
        <v>142</v>
      </c>
      <c r="B11040" t="s">
        <v>133</v>
      </c>
      <c r="C11040" t="s">
        <v>7</v>
      </c>
      <c r="D11040">
        <v>2015</v>
      </c>
      <c r="E11040">
        <v>2020</v>
      </c>
      <c r="F11040">
        <v>10</v>
      </c>
      <c r="G11040">
        <v>11833</v>
      </c>
      <c r="H11040" s="1">
        <v>0</v>
      </c>
      <c r="I11040">
        <v>21</v>
      </c>
      <c r="J11040">
        <f>IF($H11040=0,1,IF($I11040&lt;=1,2,0))</f>
        <v>1</v>
      </c>
      <c r="K11040">
        <v>0</v>
      </c>
      <c r="L11040">
        <f>IF(AND($J11040=0,$K11040=0),0,1)</f>
        <v>1</v>
      </c>
      <c r="M11040" t="s">
        <v>890</v>
      </c>
    </row>
    <row r="11041" spans="1:13" x14ac:dyDescent="0.2">
      <c r="A11041" t="s">
        <v>142</v>
      </c>
      <c r="B11041" t="s">
        <v>133</v>
      </c>
      <c r="C11041" t="s">
        <v>7</v>
      </c>
      <c r="D11041">
        <v>2015</v>
      </c>
      <c r="E11041">
        <v>2020</v>
      </c>
      <c r="F11041">
        <v>4</v>
      </c>
      <c r="G11041">
        <v>11827</v>
      </c>
      <c r="H11041" s="1">
        <v>0</v>
      </c>
      <c r="I11041">
        <v>19</v>
      </c>
      <c r="J11041">
        <f>IF($H11041=0,1,IF($I11041&lt;=1,2,0))</f>
        <v>1</v>
      </c>
      <c r="K11041">
        <v>0</v>
      </c>
      <c r="L11041">
        <f>IF(AND($J11041=0,$K11041=0),0,1)</f>
        <v>1</v>
      </c>
      <c r="M11041" t="s">
        <v>890</v>
      </c>
    </row>
    <row r="11042" spans="1:13" x14ac:dyDescent="0.2">
      <c r="A11042" t="s">
        <v>142</v>
      </c>
      <c r="B11042" t="s">
        <v>133</v>
      </c>
      <c r="C11042" t="s">
        <v>7</v>
      </c>
      <c r="D11042">
        <v>2015</v>
      </c>
      <c r="E11042">
        <v>2020</v>
      </c>
      <c r="F11042">
        <v>12</v>
      </c>
      <c r="G11042">
        <v>11835</v>
      </c>
      <c r="H11042" s="1">
        <v>0</v>
      </c>
      <c r="I11042">
        <v>18</v>
      </c>
      <c r="J11042">
        <f>IF($H11042=0,1,IF($I11042&lt;=1,2,0))</f>
        <v>1</v>
      </c>
      <c r="K11042">
        <v>0</v>
      </c>
      <c r="L11042">
        <f>IF(AND($J11042=0,$K11042=0),0,1)</f>
        <v>1</v>
      </c>
      <c r="M11042" t="s">
        <v>890</v>
      </c>
    </row>
    <row r="11043" spans="1:13" x14ac:dyDescent="0.2">
      <c r="A11043" t="s">
        <v>142</v>
      </c>
      <c r="B11043" t="s">
        <v>133</v>
      </c>
      <c r="C11043" t="s">
        <v>7</v>
      </c>
      <c r="D11043">
        <v>2015</v>
      </c>
      <c r="E11043">
        <v>2020</v>
      </c>
      <c r="F11043">
        <v>5</v>
      </c>
      <c r="G11043">
        <v>11828</v>
      </c>
      <c r="H11043" s="1">
        <v>0</v>
      </c>
      <c r="I11043">
        <v>15</v>
      </c>
      <c r="J11043">
        <f>IF($H11043=0,1,IF($I11043&lt;=1,2,0))</f>
        <v>1</v>
      </c>
      <c r="K11043">
        <v>0</v>
      </c>
      <c r="L11043">
        <f>IF(AND($J11043=0,$K11043=0),0,1)</f>
        <v>1</v>
      </c>
      <c r="M11043" t="s">
        <v>890</v>
      </c>
    </row>
    <row r="11044" spans="1:13" x14ac:dyDescent="0.2">
      <c r="A11044" t="s">
        <v>142</v>
      </c>
      <c r="B11044" t="s">
        <v>133</v>
      </c>
      <c r="C11044" t="s">
        <v>7</v>
      </c>
      <c r="D11044">
        <v>2015</v>
      </c>
      <c r="E11044">
        <v>2020</v>
      </c>
      <c r="F11044">
        <v>1</v>
      </c>
      <c r="G11044">
        <v>11778</v>
      </c>
      <c r="H11044" s="1">
        <v>0</v>
      </c>
      <c r="I11044">
        <v>14</v>
      </c>
      <c r="J11044">
        <f>IF($H11044=0,1,IF($I11044&lt;=1,2,0))</f>
        <v>1</v>
      </c>
      <c r="K11044">
        <v>0</v>
      </c>
      <c r="L11044">
        <f>IF(AND($J11044=0,$K11044=0),0,1)</f>
        <v>1</v>
      </c>
      <c r="M11044" t="s">
        <v>151</v>
      </c>
    </row>
    <row r="11045" spans="1:13" x14ac:dyDescent="0.2">
      <c r="A11045" t="s">
        <v>142</v>
      </c>
      <c r="B11045" t="s">
        <v>133</v>
      </c>
      <c r="C11045" t="s">
        <v>7</v>
      </c>
      <c r="D11045">
        <v>2015</v>
      </c>
      <c r="E11045">
        <v>2020</v>
      </c>
      <c r="F11045">
        <v>6</v>
      </c>
      <c r="G11045">
        <v>11829</v>
      </c>
      <c r="H11045" s="1">
        <v>0</v>
      </c>
      <c r="I11045">
        <v>12</v>
      </c>
      <c r="J11045">
        <f>IF($H11045=0,1,IF($I11045&lt;=1,2,0))</f>
        <v>1</v>
      </c>
      <c r="K11045">
        <v>0</v>
      </c>
      <c r="L11045">
        <f>IF(AND($J11045=0,$K11045=0),0,1)</f>
        <v>1</v>
      </c>
      <c r="M11045" t="s">
        <v>890</v>
      </c>
    </row>
    <row r="11046" spans="1:13" x14ac:dyDescent="0.2">
      <c r="A11046" t="s">
        <v>142</v>
      </c>
      <c r="B11046" t="s">
        <v>133</v>
      </c>
      <c r="C11046" t="s">
        <v>7</v>
      </c>
      <c r="D11046">
        <v>2015</v>
      </c>
      <c r="E11046">
        <v>2020</v>
      </c>
      <c r="F11046">
        <v>2</v>
      </c>
      <c r="G11046">
        <v>11779</v>
      </c>
      <c r="H11046" s="1">
        <v>0</v>
      </c>
      <c r="I11046">
        <v>11</v>
      </c>
      <c r="J11046">
        <f>IF($H11046=0,1,IF($I11046&lt;=1,2,0))</f>
        <v>1</v>
      </c>
      <c r="K11046">
        <v>0</v>
      </c>
      <c r="L11046">
        <f>IF(AND($J11046=0,$K11046=0),0,1)</f>
        <v>1</v>
      </c>
      <c r="M11046" t="s">
        <v>151</v>
      </c>
    </row>
    <row r="11047" spans="1:13" x14ac:dyDescent="0.2">
      <c r="A11047" t="s">
        <v>142</v>
      </c>
      <c r="B11047" t="s">
        <v>133</v>
      </c>
      <c r="C11047" t="s">
        <v>7</v>
      </c>
      <c r="D11047">
        <v>2015</v>
      </c>
      <c r="E11047">
        <v>2020</v>
      </c>
      <c r="F11047">
        <v>15</v>
      </c>
      <c r="G11047">
        <v>24476</v>
      </c>
      <c r="H11047" s="1">
        <v>0</v>
      </c>
      <c r="I11047">
        <v>10</v>
      </c>
      <c r="J11047">
        <f>IF($H11047=0,1,IF($I11047&lt;=1,2,0))</f>
        <v>1</v>
      </c>
      <c r="K11047">
        <v>0</v>
      </c>
      <c r="L11047">
        <f>IF(AND($J11047=0,$K11047=0),0,1)</f>
        <v>1</v>
      </c>
      <c r="M11047" t="s">
        <v>890</v>
      </c>
    </row>
    <row r="11048" spans="1:13" x14ac:dyDescent="0.2">
      <c r="A11048" t="s">
        <v>142</v>
      </c>
      <c r="B11048" t="s">
        <v>133</v>
      </c>
      <c r="C11048" t="s">
        <v>2</v>
      </c>
      <c r="D11048">
        <v>2100</v>
      </c>
      <c r="E11048">
        <v>2020</v>
      </c>
      <c r="F11048">
        <v>1</v>
      </c>
      <c r="G11048">
        <v>91</v>
      </c>
      <c r="H11048" s="1">
        <v>3</v>
      </c>
      <c r="I11048">
        <v>49</v>
      </c>
      <c r="J11048">
        <f>IF($H11048=0,1,IF($I11048&lt;=1,2,0))</f>
        <v>0</v>
      </c>
      <c r="K11048">
        <v>7</v>
      </c>
      <c r="L11048">
        <f>IF(AND($J11048=0,$K11048=0),0,1)</f>
        <v>1</v>
      </c>
      <c r="M11048" t="s">
        <v>1895</v>
      </c>
    </row>
    <row r="11049" spans="1:13" x14ac:dyDescent="0.2">
      <c r="A11049" t="s">
        <v>142</v>
      </c>
      <c r="B11049" t="s">
        <v>133</v>
      </c>
      <c r="C11049" t="s">
        <v>2</v>
      </c>
      <c r="D11049">
        <v>2281</v>
      </c>
      <c r="E11049">
        <v>2020</v>
      </c>
      <c r="F11049">
        <v>1</v>
      </c>
      <c r="G11049">
        <v>750</v>
      </c>
      <c r="H11049" s="1">
        <v>3</v>
      </c>
      <c r="I11049">
        <v>3</v>
      </c>
      <c r="J11049">
        <f>IF($H11049=0,1,IF($I11049&lt;=1,2,0))</f>
        <v>0</v>
      </c>
      <c r="K11049">
        <v>7</v>
      </c>
      <c r="L11049">
        <f>IF(AND($J11049=0,$K11049=0),0,1)</f>
        <v>1</v>
      </c>
      <c r="M11049" t="s">
        <v>892</v>
      </c>
    </row>
    <row r="11050" spans="1:13" x14ac:dyDescent="0.2">
      <c r="A11050" t="s">
        <v>142</v>
      </c>
      <c r="B11050" t="s">
        <v>133</v>
      </c>
      <c r="C11050" t="s">
        <v>2</v>
      </c>
      <c r="D11050">
        <v>2500</v>
      </c>
      <c r="E11050">
        <v>2020</v>
      </c>
      <c r="F11050">
        <v>1</v>
      </c>
      <c r="G11050">
        <v>92</v>
      </c>
      <c r="H11050" s="1">
        <v>3</v>
      </c>
      <c r="I11050">
        <v>13</v>
      </c>
      <c r="J11050">
        <f>IF($H11050=0,1,IF($I11050&lt;=1,2,0))</f>
        <v>0</v>
      </c>
      <c r="K11050">
        <v>7</v>
      </c>
      <c r="L11050">
        <f>IF(AND($J11050=0,$K11050=0),0,1)</f>
        <v>1</v>
      </c>
      <c r="M11050" t="s">
        <v>894</v>
      </c>
    </row>
    <row r="11051" spans="1:13" x14ac:dyDescent="0.2">
      <c r="A11051" t="s">
        <v>142</v>
      </c>
      <c r="B11051" t="s">
        <v>133</v>
      </c>
      <c r="C11051" t="s">
        <v>9</v>
      </c>
      <c r="D11051">
        <v>2501</v>
      </c>
      <c r="E11051">
        <v>2020</v>
      </c>
      <c r="F11051">
        <v>2</v>
      </c>
      <c r="G11051">
        <v>12817</v>
      </c>
      <c r="H11051" s="1">
        <v>3</v>
      </c>
      <c r="I11051">
        <v>40</v>
      </c>
      <c r="J11051">
        <f>IF($H11051=0,1,IF($I11051&lt;=1,2,0))</f>
        <v>0</v>
      </c>
      <c r="K11051">
        <v>8</v>
      </c>
      <c r="L11051">
        <f>IF(AND($J11051=0,$K11051=0),0,1)</f>
        <v>1</v>
      </c>
    </row>
    <row r="11052" spans="1:13" x14ac:dyDescent="0.2">
      <c r="A11052" t="s">
        <v>142</v>
      </c>
      <c r="B11052" t="s">
        <v>133</v>
      </c>
      <c r="C11052" t="s">
        <v>9</v>
      </c>
      <c r="D11052">
        <v>2501</v>
      </c>
      <c r="E11052">
        <v>2020</v>
      </c>
      <c r="F11052">
        <v>4</v>
      </c>
      <c r="G11052">
        <v>12819</v>
      </c>
      <c r="H11052" s="1">
        <v>3</v>
      </c>
      <c r="I11052">
        <v>39</v>
      </c>
      <c r="J11052">
        <f>IF($H11052=0,1,IF($I11052&lt;=1,2,0))</f>
        <v>0</v>
      </c>
      <c r="K11052">
        <v>8</v>
      </c>
      <c r="L11052">
        <f>IF(AND($J11052=0,$K11052=0),0,1)</f>
        <v>1</v>
      </c>
      <c r="M11052" t="s">
        <v>1981</v>
      </c>
    </row>
    <row r="11053" spans="1:13" x14ac:dyDescent="0.2">
      <c r="A11053" t="s">
        <v>142</v>
      </c>
      <c r="B11053" t="s">
        <v>133</v>
      </c>
      <c r="C11053" t="s">
        <v>9</v>
      </c>
      <c r="D11053">
        <v>2501</v>
      </c>
      <c r="E11053">
        <v>2020</v>
      </c>
      <c r="F11053">
        <v>3</v>
      </c>
      <c r="G11053">
        <v>12818</v>
      </c>
      <c r="H11053" s="1">
        <v>3</v>
      </c>
      <c r="I11053">
        <v>35</v>
      </c>
      <c r="J11053">
        <f>IF($H11053=0,1,IF($I11053&lt;=1,2,0))</f>
        <v>0</v>
      </c>
      <c r="K11053">
        <v>8</v>
      </c>
      <c r="L11053">
        <f>IF(AND($J11053=0,$K11053=0),0,1)</f>
        <v>1</v>
      </c>
      <c r="M11053" t="s">
        <v>1981</v>
      </c>
    </row>
    <row r="11054" spans="1:13" x14ac:dyDescent="0.2">
      <c r="A11054" t="s">
        <v>142</v>
      </c>
      <c r="B11054" t="s">
        <v>133</v>
      </c>
      <c r="C11054" t="s">
        <v>9</v>
      </c>
      <c r="D11054">
        <v>2501</v>
      </c>
      <c r="E11054">
        <v>2020</v>
      </c>
      <c r="F11054">
        <v>5</v>
      </c>
      <c r="G11054">
        <v>12820</v>
      </c>
      <c r="H11054" s="1">
        <v>3</v>
      </c>
      <c r="I11054">
        <v>23</v>
      </c>
      <c r="J11054">
        <f>IF($H11054=0,1,IF($I11054&lt;=1,2,0))</f>
        <v>0</v>
      </c>
      <c r="K11054">
        <v>8</v>
      </c>
      <c r="L11054">
        <f>IF(AND($J11054=0,$K11054=0),0,1)</f>
        <v>1</v>
      </c>
      <c r="M11054" t="s">
        <v>1981</v>
      </c>
    </row>
    <row r="11055" spans="1:13" x14ac:dyDescent="0.2">
      <c r="A11055" t="s">
        <v>142</v>
      </c>
      <c r="B11055" t="s">
        <v>133</v>
      </c>
      <c r="C11055" t="s">
        <v>9</v>
      </c>
      <c r="D11055">
        <v>2501</v>
      </c>
      <c r="E11055">
        <v>2020</v>
      </c>
      <c r="F11055">
        <v>1</v>
      </c>
      <c r="G11055">
        <v>12816</v>
      </c>
      <c r="H11055" s="1">
        <v>3</v>
      </c>
      <c r="I11055">
        <v>16</v>
      </c>
      <c r="J11055">
        <f>IF($H11055=0,1,IF($I11055&lt;=1,2,0))</f>
        <v>0</v>
      </c>
      <c r="K11055">
        <v>8</v>
      </c>
      <c r="L11055">
        <f>IF(AND($J11055=0,$K11055=0),0,1)</f>
        <v>1</v>
      </c>
    </row>
    <row r="11056" spans="1:13" x14ac:dyDescent="0.2">
      <c r="A11056" t="s">
        <v>142</v>
      </c>
      <c r="B11056" t="s">
        <v>133</v>
      </c>
      <c r="C11056" t="s">
        <v>2</v>
      </c>
      <c r="D11056">
        <v>3305</v>
      </c>
      <c r="E11056">
        <v>2020</v>
      </c>
      <c r="F11056">
        <v>1</v>
      </c>
      <c r="G11056">
        <v>93</v>
      </c>
      <c r="H11056" s="1">
        <v>3</v>
      </c>
      <c r="I11056">
        <v>11</v>
      </c>
      <c r="J11056">
        <f>IF($H11056=0,1,IF($I11056&lt;=1,2,0))</f>
        <v>0</v>
      </c>
      <c r="K11056">
        <v>7</v>
      </c>
      <c r="L11056">
        <f>IF(AND($J11056=0,$K11056=0),0,1)</f>
        <v>1</v>
      </c>
      <c r="M11056" t="s">
        <v>1897</v>
      </c>
    </row>
    <row r="11057" spans="1:13" x14ac:dyDescent="0.2">
      <c r="A11057" t="s">
        <v>142</v>
      </c>
      <c r="B11057" t="s">
        <v>133</v>
      </c>
      <c r="C11057" t="s">
        <v>2</v>
      </c>
      <c r="D11057">
        <v>3310</v>
      </c>
      <c r="E11057">
        <v>2020</v>
      </c>
      <c r="F11057">
        <v>1</v>
      </c>
      <c r="G11057">
        <v>94</v>
      </c>
      <c r="H11057" s="1">
        <v>3</v>
      </c>
      <c r="I11057">
        <v>32</v>
      </c>
      <c r="J11057">
        <f>IF($H11057=0,1,IF($I11057&lt;=1,2,0))</f>
        <v>0</v>
      </c>
      <c r="K11057">
        <v>7</v>
      </c>
      <c r="L11057">
        <f>IF(AND($J11057=0,$K11057=0),0,1)</f>
        <v>1</v>
      </c>
      <c r="M11057" t="s">
        <v>1897</v>
      </c>
    </row>
    <row r="11058" spans="1:13" x14ac:dyDescent="0.2">
      <c r="A11058" t="s">
        <v>142</v>
      </c>
      <c r="B11058" t="s">
        <v>133</v>
      </c>
      <c r="C11058" t="s">
        <v>2</v>
      </c>
      <c r="D11058">
        <v>3320</v>
      </c>
      <c r="E11058">
        <v>2020</v>
      </c>
      <c r="F11058">
        <v>1</v>
      </c>
      <c r="G11058">
        <v>96</v>
      </c>
      <c r="H11058" s="1">
        <v>3</v>
      </c>
      <c r="I11058">
        <v>27</v>
      </c>
      <c r="J11058">
        <f>IF($H11058=0,1,IF($I11058&lt;=1,2,0))</f>
        <v>0</v>
      </c>
      <c r="K11058">
        <v>7</v>
      </c>
      <c r="L11058">
        <f>IF(AND($J11058=0,$K11058=0),0,1)</f>
        <v>1</v>
      </c>
      <c r="M11058" t="s">
        <v>1897</v>
      </c>
    </row>
    <row r="11059" spans="1:13" x14ac:dyDescent="0.2">
      <c r="A11059" t="s">
        <v>142</v>
      </c>
      <c r="B11059" t="s">
        <v>133</v>
      </c>
      <c r="C11059" t="s">
        <v>2</v>
      </c>
      <c r="D11059">
        <v>3321</v>
      </c>
      <c r="E11059">
        <v>2020</v>
      </c>
      <c r="F11059">
        <v>1</v>
      </c>
      <c r="G11059">
        <v>332</v>
      </c>
      <c r="H11059" s="1">
        <v>3</v>
      </c>
      <c r="I11059">
        <v>9</v>
      </c>
      <c r="J11059">
        <f>IF($H11059=0,1,IF($I11059&lt;=1,2,0))</f>
        <v>0</v>
      </c>
      <c r="K11059">
        <v>7</v>
      </c>
      <c r="L11059">
        <f>IF(AND($J11059=0,$K11059=0),0,1)</f>
        <v>1</v>
      </c>
      <c r="M11059" t="s">
        <v>898</v>
      </c>
    </row>
    <row r="11060" spans="1:13" x14ac:dyDescent="0.2">
      <c r="A11060" t="s">
        <v>142</v>
      </c>
      <c r="B11060" t="s">
        <v>133</v>
      </c>
      <c r="C11060" t="s">
        <v>2</v>
      </c>
      <c r="D11060">
        <v>3360</v>
      </c>
      <c r="E11060">
        <v>2020</v>
      </c>
      <c r="F11060">
        <v>1</v>
      </c>
      <c r="G11060">
        <v>97</v>
      </c>
      <c r="H11060" s="1">
        <v>3</v>
      </c>
      <c r="I11060">
        <v>56</v>
      </c>
      <c r="J11060">
        <f>IF($H11060=0,1,IF($I11060&lt;=1,2,0))</f>
        <v>0</v>
      </c>
      <c r="K11060">
        <v>7</v>
      </c>
      <c r="L11060">
        <f>IF(AND($J11060=0,$K11060=0),0,1)</f>
        <v>1</v>
      </c>
      <c r="M11060" t="s">
        <v>1895</v>
      </c>
    </row>
    <row r="11061" spans="1:13" x14ac:dyDescent="0.2">
      <c r="A11061" t="s">
        <v>142</v>
      </c>
      <c r="B11061" t="s">
        <v>133</v>
      </c>
      <c r="C11061" t="s">
        <v>2</v>
      </c>
      <c r="D11061">
        <v>3362</v>
      </c>
      <c r="E11061">
        <v>2020</v>
      </c>
      <c r="F11061">
        <v>1</v>
      </c>
      <c r="G11061">
        <v>98</v>
      </c>
      <c r="H11061" s="1">
        <v>3</v>
      </c>
      <c r="I11061">
        <v>74</v>
      </c>
      <c r="J11061">
        <f>IF($H11061=0,1,IF($I11061&lt;=1,2,0))</f>
        <v>0</v>
      </c>
      <c r="K11061">
        <v>7</v>
      </c>
      <c r="L11061">
        <f>IF(AND($J11061=0,$K11061=0),0,1)</f>
        <v>1</v>
      </c>
      <c r="M11061" t="s">
        <v>1898</v>
      </c>
    </row>
    <row r="11062" spans="1:13" x14ac:dyDescent="0.2">
      <c r="A11062" t="s">
        <v>142</v>
      </c>
      <c r="B11062" t="s">
        <v>133</v>
      </c>
      <c r="C11062" t="s">
        <v>9</v>
      </c>
      <c r="D11062">
        <v>3510</v>
      </c>
      <c r="E11062">
        <v>2020</v>
      </c>
      <c r="F11062">
        <v>2</v>
      </c>
      <c r="G11062">
        <v>11732</v>
      </c>
      <c r="H11062" s="1">
        <v>0</v>
      </c>
      <c r="I11062">
        <v>9</v>
      </c>
      <c r="J11062">
        <f>IF($H11062=0,1,IF($I11062&lt;=1,2,0))</f>
        <v>1</v>
      </c>
      <c r="K11062">
        <v>0</v>
      </c>
      <c r="L11062">
        <f>IF(AND($J11062=0,$K11062=0),0,1)</f>
        <v>1</v>
      </c>
      <c r="M11062" t="s">
        <v>900</v>
      </c>
    </row>
    <row r="11063" spans="1:13" x14ac:dyDescent="0.2">
      <c r="A11063" t="s">
        <v>142</v>
      </c>
      <c r="B11063" t="s">
        <v>133</v>
      </c>
      <c r="C11063" t="s">
        <v>9</v>
      </c>
      <c r="D11063">
        <v>3510</v>
      </c>
      <c r="E11063">
        <v>2020</v>
      </c>
      <c r="F11063">
        <v>1</v>
      </c>
      <c r="G11063">
        <v>11733</v>
      </c>
      <c r="H11063" s="1">
        <v>0</v>
      </c>
      <c r="I11063">
        <v>7</v>
      </c>
      <c r="J11063">
        <f>IF($H11063=0,1,IF($I11063&lt;=1,2,0))</f>
        <v>1</v>
      </c>
      <c r="K11063">
        <v>0</v>
      </c>
      <c r="L11063">
        <f>IF(AND($J11063=0,$K11063=0),0,1)</f>
        <v>1</v>
      </c>
      <c r="M11063" t="s">
        <v>900</v>
      </c>
    </row>
    <row r="11064" spans="1:13" x14ac:dyDescent="0.2">
      <c r="A11064" t="s">
        <v>142</v>
      </c>
      <c r="B11064" t="s">
        <v>133</v>
      </c>
      <c r="C11064" t="s">
        <v>2</v>
      </c>
      <c r="D11064">
        <v>3590</v>
      </c>
      <c r="E11064">
        <v>2020</v>
      </c>
      <c r="F11064">
        <v>1</v>
      </c>
      <c r="G11064">
        <v>99</v>
      </c>
      <c r="H11064" s="1">
        <v>4</v>
      </c>
      <c r="I11064">
        <v>14</v>
      </c>
      <c r="J11064">
        <f>IF($H11064=0,1,IF($I11064&lt;=1,2,0))</f>
        <v>0</v>
      </c>
      <c r="K11064">
        <v>7</v>
      </c>
      <c r="L11064">
        <f>IF(AND($J11064=0,$K11064=0),0,1)</f>
        <v>1</v>
      </c>
      <c r="M11064" t="s">
        <v>901</v>
      </c>
    </row>
    <row r="11065" spans="1:13" x14ac:dyDescent="0.2">
      <c r="A11065" t="s">
        <v>142</v>
      </c>
      <c r="B11065" t="s">
        <v>133</v>
      </c>
      <c r="C11065" t="s">
        <v>2</v>
      </c>
      <c r="D11065">
        <v>3591</v>
      </c>
      <c r="E11065">
        <v>2020</v>
      </c>
      <c r="F11065">
        <v>1</v>
      </c>
      <c r="G11065">
        <v>100</v>
      </c>
      <c r="H11065" s="1">
        <v>4</v>
      </c>
      <c r="I11065">
        <v>15</v>
      </c>
      <c r="J11065">
        <f>IF($H11065=0,1,IF($I11065&lt;=1,2,0))</f>
        <v>0</v>
      </c>
      <c r="K11065">
        <v>7</v>
      </c>
      <c r="L11065">
        <f>IF(AND($J11065=0,$K11065=0),0,1)</f>
        <v>1</v>
      </c>
      <c r="M11065" t="s">
        <v>163</v>
      </c>
    </row>
    <row r="11066" spans="1:13" x14ac:dyDescent="0.2">
      <c r="A11066" t="s">
        <v>142</v>
      </c>
      <c r="B11066" t="s">
        <v>133</v>
      </c>
      <c r="C11066" t="s">
        <v>2</v>
      </c>
      <c r="D11066">
        <v>3593</v>
      </c>
      <c r="E11066">
        <v>2020</v>
      </c>
      <c r="F11066">
        <v>1</v>
      </c>
      <c r="G11066">
        <v>101</v>
      </c>
      <c r="H11066" s="1">
        <v>4</v>
      </c>
      <c r="I11066">
        <v>3</v>
      </c>
      <c r="J11066">
        <f>IF($H11066=0,1,IF($I11066&lt;=1,2,0))</f>
        <v>0</v>
      </c>
      <c r="K11066">
        <v>7</v>
      </c>
      <c r="L11066">
        <f>IF(AND($J11066=0,$K11066=0),0,1)</f>
        <v>1</v>
      </c>
      <c r="M11066" t="s">
        <v>164</v>
      </c>
    </row>
    <row r="11067" spans="1:13" x14ac:dyDescent="0.2">
      <c r="A11067" t="s">
        <v>142</v>
      </c>
      <c r="B11067" t="s">
        <v>133</v>
      </c>
      <c r="C11067" t="s">
        <v>2</v>
      </c>
      <c r="D11067">
        <v>3597</v>
      </c>
      <c r="E11067">
        <v>2020</v>
      </c>
      <c r="F11067">
        <v>10</v>
      </c>
      <c r="G11067">
        <v>112</v>
      </c>
      <c r="H11067" s="1" t="s">
        <v>1823</v>
      </c>
      <c r="I11067">
        <v>7</v>
      </c>
      <c r="J11067">
        <f>IF($H11067=0,1,IF($I11067&lt;=1,2,0))</f>
        <v>0</v>
      </c>
      <c r="K11067">
        <v>7</v>
      </c>
      <c r="L11067">
        <f>IF(AND($J11067=0,$K11067=0),0,1)</f>
        <v>1</v>
      </c>
      <c r="M11067" t="s">
        <v>165</v>
      </c>
    </row>
    <row r="11068" spans="1:13" x14ac:dyDescent="0.2">
      <c r="A11068" t="s">
        <v>142</v>
      </c>
      <c r="B11068" t="s">
        <v>133</v>
      </c>
      <c r="C11068" t="s">
        <v>2</v>
      </c>
      <c r="D11068">
        <v>3597</v>
      </c>
      <c r="E11068">
        <v>2020</v>
      </c>
      <c r="F11068">
        <v>3</v>
      </c>
      <c r="G11068">
        <v>105</v>
      </c>
      <c r="H11068" s="1" t="s">
        <v>1823</v>
      </c>
      <c r="I11068">
        <v>5</v>
      </c>
      <c r="J11068">
        <f>IF($H11068=0,1,IF($I11068&lt;=1,2,0))</f>
        <v>0</v>
      </c>
      <c r="K11068">
        <v>7</v>
      </c>
      <c r="L11068">
        <f>IF(AND($J11068=0,$K11068=0),0,1)</f>
        <v>1</v>
      </c>
      <c r="M11068" t="s">
        <v>165</v>
      </c>
    </row>
    <row r="11069" spans="1:13" x14ac:dyDescent="0.2">
      <c r="A11069" t="s">
        <v>142</v>
      </c>
      <c r="B11069" t="s">
        <v>133</v>
      </c>
      <c r="C11069" t="s">
        <v>2</v>
      </c>
      <c r="D11069">
        <v>3597</v>
      </c>
      <c r="E11069">
        <v>2020</v>
      </c>
      <c r="F11069">
        <v>9</v>
      </c>
      <c r="G11069">
        <v>111</v>
      </c>
      <c r="H11069" s="1" t="s">
        <v>1823</v>
      </c>
      <c r="I11069">
        <v>4</v>
      </c>
      <c r="J11069">
        <f>IF($H11069=0,1,IF($I11069&lt;=1,2,0))</f>
        <v>0</v>
      </c>
      <c r="K11069">
        <v>7</v>
      </c>
      <c r="L11069">
        <f>IF(AND($J11069=0,$K11069=0),0,1)</f>
        <v>1</v>
      </c>
      <c r="M11069" t="s">
        <v>165</v>
      </c>
    </row>
    <row r="11070" spans="1:13" x14ac:dyDescent="0.2">
      <c r="A11070" t="s">
        <v>142</v>
      </c>
      <c r="B11070" t="s">
        <v>133</v>
      </c>
      <c r="C11070" t="s">
        <v>2</v>
      </c>
      <c r="D11070">
        <v>3597</v>
      </c>
      <c r="E11070">
        <v>2020</v>
      </c>
      <c r="F11070">
        <v>1</v>
      </c>
      <c r="G11070">
        <v>103</v>
      </c>
      <c r="H11070" s="1" t="s">
        <v>1823</v>
      </c>
      <c r="I11070">
        <v>2</v>
      </c>
      <c r="J11070">
        <f>IF($H11070=0,1,IF($I11070&lt;=1,2,0))</f>
        <v>0</v>
      </c>
      <c r="K11070">
        <v>7</v>
      </c>
      <c r="L11070">
        <f>IF(AND($J11070=0,$K11070=0),0,1)</f>
        <v>1</v>
      </c>
      <c r="M11070" t="s">
        <v>165</v>
      </c>
    </row>
    <row r="11071" spans="1:13" x14ac:dyDescent="0.2">
      <c r="A11071" t="s">
        <v>142</v>
      </c>
      <c r="B11071" t="s">
        <v>133</v>
      </c>
      <c r="C11071" t="s">
        <v>2</v>
      </c>
      <c r="D11071">
        <v>3597</v>
      </c>
      <c r="E11071">
        <v>2020</v>
      </c>
      <c r="F11071">
        <v>6</v>
      </c>
      <c r="G11071">
        <v>108</v>
      </c>
      <c r="H11071" s="1" t="s">
        <v>1823</v>
      </c>
      <c r="I11071">
        <v>2</v>
      </c>
      <c r="J11071">
        <f>IF($H11071=0,1,IF($I11071&lt;=1,2,0))</f>
        <v>0</v>
      </c>
      <c r="K11071">
        <v>7</v>
      </c>
      <c r="L11071">
        <f>IF(AND($J11071=0,$K11071=0),0,1)</f>
        <v>1</v>
      </c>
      <c r="M11071" t="s">
        <v>165</v>
      </c>
    </row>
    <row r="11072" spans="1:13" x14ac:dyDescent="0.2">
      <c r="A11072" t="s">
        <v>142</v>
      </c>
      <c r="B11072" t="s">
        <v>133</v>
      </c>
      <c r="C11072" t="s">
        <v>2</v>
      </c>
      <c r="D11072">
        <v>3597</v>
      </c>
      <c r="E11072">
        <v>2020</v>
      </c>
      <c r="F11072">
        <v>7</v>
      </c>
      <c r="G11072">
        <v>109</v>
      </c>
      <c r="H11072" s="1" t="s">
        <v>1823</v>
      </c>
      <c r="I11072">
        <v>2</v>
      </c>
      <c r="J11072">
        <f>IF($H11072=0,1,IF($I11072&lt;=1,2,0))</f>
        <v>0</v>
      </c>
      <c r="K11072">
        <v>7</v>
      </c>
      <c r="L11072">
        <f>IF(AND($J11072=0,$K11072=0),0,1)</f>
        <v>1</v>
      </c>
      <c r="M11072" t="s">
        <v>165</v>
      </c>
    </row>
    <row r="11073" spans="1:13" x14ac:dyDescent="0.2">
      <c r="A11073" t="s">
        <v>142</v>
      </c>
      <c r="B11073" t="s">
        <v>133</v>
      </c>
      <c r="C11073" t="s">
        <v>2</v>
      </c>
      <c r="D11073">
        <v>3597</v>
      </c>
      <c r="E11073">
        <v>2020</v>
      </c>
      <c r="F11073">
        <v>2</v>
      </c>
      <c r="G11073">
        <v>104</v>
      </c>
      <c r="H11073" s="1" t="s">
        <v>1823</v>
      </c>
      <c r="I11073">
        <v>1</v>
      </c>
      <c r="J11073">
        <f>IF($H11073=0,1,IF($I11073&lt;=1,2,0))</f>
        <v>2</v>
      </c>
      <c r="K11073">
        <v>7</v>
      </c>
      <c r="L11073">
        <f>IF(AND($J11073=0,$K11073=0),0,1)</f>
        <v>1</v>
      </c>
      <c r="M11073" t="s">
        <v>165</v>
      </c>
    </row>
    <row r="11074" spans="1:13" x14ac:dyDescent="0.2">
      <c r="A11074" t="s">
        <v>142</v>
      </c>
      <c r="B11074" t="s">
        <v>133</v>
      </c>
      <c r="C11074" t="s">
        <v>2</v>
      </c>
      <c r="D11074">
        <v>3597</v>
      </c>
      <c r="E11074">
        <v>2020</v>
      </c>
      <c r="F11074">
        <v>5</v>
      </c>
      <c r="G11074">
        <v>107</v>
      </c>
      <c r="H11074" s="1" t="s">
        <v>1823</v>
      </c>
      <c r="I11074">
        <v>1</v>
      </c>
      <c r="J11074">
        <f>IF($H11074=0,1,IF($I11074&lt;=1,2,0))</f>
        <v>2</v>
      </c>
      <c r="K11074">
        <v>7</v>
      </c>
      <c r="L11074">
        <f>IF(AND($J11074=0,$K11074=0),0,1)</f>
        <v>1</v>
      </c>
      <c r="M11074" t="s">
        <v>165</v>
      </c>
    </row>
    <row r="11075" spans="1:13" x14ac:dyDescent="0.2">
      <c r="A11075" t="s">
        <v>142</v>
      </c>
      <c r="B11075" t="s">
        <v>133</v>
      </c>
      <c r="C11075" t="s">
        <v>2</v>
      </c>
      <c r="D11075">
        <v>3597</v>
      </c>
      <c r="E11075">
        <v>2020</v>
      </c>
      <c r="F11075">
        <v>4</v>
      </c>
      <c r="G11075">
        <v>106</v>
      </c>
      <c r="H11075" s="1" t="s">
        <v>1823</v>
      </c>
      <c r="I11075">
        <v>0</v>
      </c>
      <c r="J11075">
        <f>IF($H11075=0,1,IF($I11075&lt;=1,2,0))</f>
        <v>2</v>
      </c>
      <c r="K11075">
        <v>7</v>
      </c>
      <c r="L11075">
        <f>IF(AND($J11075=0,$K11075=0),0,1)</f>
        <v>1</v>
      </c>
      <c r="M11075" t="s">
        <v>165</v>
      </c>
    </row>
    <row r="11076" spans="1:13" x14ac:dyDescent="0.2">
      <c r="A11076" t="s">
        <v>142</v>
      </c>
      <c r="B11076" t="s">
        <v>133</v>
      </c>
      <c r="C11076" t="s">
        <v>2</v>
      </c>
      <c r="D11076">
        <v>3597</v>
      </c>
      <c r="E11076">
        <v>2020</v>
      </c>
      <c r="F11076">
        <v>8</v>
      </c>
      <c r="G11076">
        <v>110</v>
      </c>
      <c r="H11076" s="1" t="s">
        <v>1823</v>
      </c>
      <c r="I11076">
        <v>0</v>
      </c>
      <c r="J11076">
        <f>IF($H11076=0,1,IF($I11076&lt;=1,2,0))</f>
        <v>2</v>
      </c>
      <c r="K11076">
        <v>7</v>
      </c>
      <c r="L11076">
        <f>IF(AND($J11076=0,$K11076=0),0,1)</f>
        <v>1</v>
      </c>
      <c r="M11076" t="s">
        <v>165</v>
      </c>
    </row>
    <row r="11077" spans="1:13" x14ac:dyDescent="0.2">
      <c r="A11077" t="s">
        <v>142</v>
      </c>
      <c r="B11077" t="s">
        <v>133</v>
      </c>
      <c r="C11077" t="s">
        <v>11</v>
      </c>
      <c r="D11077">
        <v>6401</v>
      </c>
      <c r="E11077">
        <v>2020</v>
      </c>
      <c r="F11077">
        <v>1</v>
      </c>
      <c r="G11077">
        <v>21968</v>
      </c>
      <c r="H11077" s="1">
        <v>2</v>
      </c>
      <c r="I11077">
        <v>16</v>
      </c>
      <c r="J11077">
        <f>IF($H11077=0,1,IF($I11077&lt;=1,2,0))</f>
        <v>0</v>
      </c>
      <c r="K11077">
        <v>4</v>
      </c>
      <c r="L11077">
        <f>IF(AND($J11077=0,$K11077=0),0,1)</f>
        <v>1</v>
      </c>
      <c r="M11077" t="s">
        <v>904</v>
      </c>
    </row>
    <row r="11078" spans="1:13" x14ac:dyDescent="0.2">
      <c r="A11078" t="s">
        <v>142</v>
      </c>
      <c r="B11078" t="s">
        <v>133</v>
      </c>
      <c r="C11078" t="s">
        <v>11</v>
      </c>
      <c r="D11078">
        <v>9301</v>
      </c>
      <c r="E11078">
        <v>2020</v>
      </c>
      <c r="F11078">
        <v>1</v>
      </c>
      <c r="G11078">
        <v>11936</v>
      </c>
      <c r="H11078" s="1">
        <v>3</v>
      </c>
      <c r="I11078">
        <v>18</v>
      </c>
      <c r="J11078">
        <f>IF($H11078=0,1,IF($I11078&lt;=1,2,0))</f>
        <v>0</v>
      </c>
      <c r="K11078">
        <v>5</v>
      </c>
      <c r="L11078">
        <f>IF(AND($J11078=0,$K11078=0),0,1)</f>
        <v>1</v>
      </c>
      <c r="M11078" t="s">
        <v>906</v>
      </c>
    </row>
    <row r="11079" spans="1:13" x14ac:dyDescent="0.2">
      <c r="A11079" t="s">
        <v>142</v>
      </c>
      <c r="B11079" t="s">
        <v>133</v>
      </c>
      <c r="C11079" t="s">
        <v>11</v>
      </c>
      <c r="D11079">
        <v>9500</v>
      </c>
      <c r="E11079">
        <v>2020</v>
      </c>
      <c r="F11079">
        <v>1</v>
      </c>
      <c r="G11079">
        <v>14427</v>
      </c>
      <c r="H11079" s="1" t="s">
        <v>1834</v>
      </c>
      <c r="I11079">
        <v>117</v>
      </c>
      <c r="J11079">
        <f>IF($H11079=0,1,IF($I11079&lt;=1,2,0))</f>
        <v>0</v>
      </c>
      <c r="K11079">
        <v>5</v>
      </c>
      <c r="L11079">
        <f>IF(AND($J11079=0,$K11079=0),0,1)</f>
        <v>1</v>
      </c>
    </row>
    <row r="11080" spans="1:13" x14ac:dyDescent="0.2">
      <c r="A11080" t="s">
        <v>171</v>
      </c>
      <c r="B11080" t="s">
        <v>133</v>
      </c>
      <c r="C11080" t="s">
        <v>11</v>
      </c>
      <c r="D11080">
        <v>5500</v>
      </c>
      <c r="E11080">
        <v>2020</v>
      </c>
      <c r="F11080">
        <v>1</v>
      </c>
      <c r="G11080">
        <v>22044</v>
      </c>
      <c r="H11080" s="1" t="s">
        <v>1835</v>
      </c>
      <c r="I11080">
        <v>15</v>
      </c>
      <c r="J11080">
        <f>IF($H11080=0,1,IF($I11080&lt;=1,2,0))</f>
        <v>0</v>
      </c>
      <c r="K11080">
        <v>4</v>
      </c>
      <c r="L11080">
        <f>IF(AND($J11080=0,$K11080=0),0,1)</f>
        <v>1</v>
      </c>
      <c r="M11080" t="s">
        <v>907</v>
      </c>
    </row>
    <row r="11081" spans="1:13" x14ac:dyDescent="0.2">
      <c r="A11081" t="s">
        <v>171</v>
      </c>
      <c r="B11081" t="s">
        <v>133</v>
      </c>
      <c r="C11081" t="s">
        <v>11</v>
      </c>
      <c r="D11081">
        <v>5501</v>
      </c>
      <c r="E11081">
        <v>2020</v>
      </c>
      <c r="F11081">
        <v>1</v>
      </c>
      <c r="G11081">
        <v>22045</v>
      </c>
      <c r="H11081" s="1" t="s">
        <v>1835</v>
      </c>
      <c r="I11081">
        <v>2</v>
      </c>
      <c r="J11081">
        <f>IF($H11081=0,1,IF($I11081&lt;=1,2,0))</f>
        <v>0</v>
      </c>
      <c r="K11081">
        <v>4</v>
      </c>
      <c r="L11081">
        <f>IF(AND($J11081=0,$K11081=0),0,1)</f>
        <v>1</v>
      </c>
      <c r="M11081" t="s">
        <v>907</v>
      </c>
    </row>
    <row r="11082" spans="1:13" x14ac:dyDescent="0.2">
      <c r="A11082" t="s">
        <v>174</v>
      </c>
      <c r="B11082" t="s">
        <v>71</v>
      </c>
      <c r="C11082" t="s">
        <v>72</v>
      </c>
      <c r="D11082">
        <v>3810</v>
      </c>
      <c r="E11082">
        <v>2020</v>
      </c>
      <c r="F11082">
        <v>2</v>
      </c>
      <c r="G11082">
        <v>13155</v>
      </c>
      <c r="H11082" s="1">
        <v>3</v>
      </c>
      <c r="I11082">
        <v>23</v>
      </c>
      <c r="J11082">
        <f>IF($H11082=0,1,IF($I11082&lt;=1,2,0))</f>
        <v>0</v>
      </c>
      <c r="K11082">
        <v>8</v>
      </c>
      <c r="L11082">
        <f>IF(AND($J11082=0,$K11082=0),0,1)</f>
        <v>1</v>
      </c>
    </row>
    <row r="11083" spans="1:13" x14ac:dyDescent="0.2">
      <c r="A11083" t="s">
        <v>174</v>
      </c>
      <c r="B11083" t="s">
        <v>71</v>
      </c>
      <c r="C11083" t="s">
        <v>72</v>
      </c>
      <c r="D11083">
        <v>3810</v>
      </c>
      <c r="E11083">
        <v>2020</v>
      </c>
      <c r="F11083">
        <v>1</v>
      </c>
      <c r="G11083">
        <v>13154</v>
      </c>
      <c r="H11083" s="1">
        <v>3</v>
      </c>
      <c r="I11083">
        <v>22</v>
      </c>
      <c r="J11083">
        <f>IF($H11083=0,1,IF($I11083&lt;=1,2,0))</f>
        <v>0</v>
      </c>
      <c r="K11083">
        <v>8</v>
      </c>
      <c r="L11083">
        <f>IF(AND($J11083=0,$K11083=0),0,1)</f>
        <v>1</v>
      </c>
    </row>
    <row r="11084" spans="1:13" x14ac:dyDescent="0.2">
      <c r="A11084" t="s">
        <v>174</v>
      </c>
      <c r="B11084" t="s">
        <v>71</v>
      </c>
      <c r="C11084" t="s">
        <v>72</v>
      </c>
      <c r="D11084">
        <v>3998</v>
      </c>
      <c r="E11084">
        <v>2020</v>
      </c>
      <c r="F11084">
        <v>2</v>
      </c>
      <c r="G11084">
        <v>13164</v>
      </c>
      <c r="H11084" s="1" t="s">
        <v>1827</v>
      </c>
      <c r="I11084">
        <v>3</v>
      </c>
      <c r="J11084">
        <f>IF($H11084=0,1,IF($I11084&lt;=1,2,0))</f>
        <v>0</v>
      </c>
      <c r="K11084">
        <v>9</v>
      </c>
      <c r="L11084">
        <f>IF(AND($J11084=0,$K11084=0),0,1)</f>
        <v>1</v>
      </c>
    </row>
    <row r="11085" spans="1:13" x14ac:dyDescent="0.2">
      <c r="A11085" t="s">
        <v>174</v>
      </c>
      <c r="B11085" t="s">
        <v>71</v>
      </c>
      <c r="C11085" t="s">
        <v>72</v>
      </c>
      <c r="D11085">
        <v>3998</v>
      </c>
      <c r="E11085">
        <v>2020</v>
      </c>
      <c r="F11085">
        <v>7</v>
      </c>
      <c r="G11085">
        <v>13169</v>
      </c>
      <c r="H11085" s="1" t="s">
        <v>1827</v>
      </c>
      <c r="I11085">
        <v>2</v>
      </c>
      <c r="J11085">
        <f>IF($H11085=0,1,IF($I11085&lt;=1,2,0))</f>
        <v>0</v>
      </c>
      <c r="K11085">
        <v>9</v>
      </c>
      <c r="L11085">
        <f>IF(AND($J11085=0,$K11085=0),0,1)</f>
        <v>1</v>
      </c>
    </row>
    <row r="11086" spans="1:13" x14ac:dyDescent="0.2">
      <c r="A11086" t="s">
        <v>174</v>
      </c>
      <c r="B11086" t="s">
        <v>71</v>
      </c>
      <c r="C11086" t="s">
        <v>72</v>
      </c>
      <c r="D11086">
        <v>3998</v>
      </c>
      <c r="E11086">
        <v>2020</v>
      </c>
      <c r="F11086">
        <v>25</v>
      </c>
      <c r="G11086">
        <v>13187</v>
      </c>
      <c r="H11086" s="1" t="s">
        <v>1827</v>
      </c>
      <c r="I11086">
        <v>2</v>
      </c>
      <c r="J11086">
        <f>IF($H11086=0,1,IF($I11086&lt;=1,2,0))</f>
        <v>0</v>
      </c>
      <c r="K11086">
        <v>9</v>
      </c>
      <c r="L11086">
        <f>IF(AND($J11086=0,$K11086=0),0,1)</f>
        <v>1</v>
      </c>
    </row>
    <row r="11087" spans="1:13" x14ac:dyDescent="0.2">
      <c r="A11087" t="s">
        <v>174</v>
      </c>
      <c r="B11087" t="s">
        <v>71</v>
      </c>
      <c r="C11087" t="s">
        <v>72</v>
      </c>
      <c r="D11087">
        <v>3998</v>
      </c>
      <c r="E11087">
        <v>2020</v>
      </c>
      <c r="F11087">
        <v>30</v>
      </c>
      <c r="G11087">
        <v>13161</v>
      </c>
      <c r="H11087" s="1" t="s">
        <v>1827</v>
      </c>
      <c r="I11087">
        <v>2</v>
      </c>
      <c r="J11087">
        <f>IF($H11087=0,1,IF($I11087&lt;=1,2,0))</f>
        <v>0</v>
      </c>
      <c r="K11087">
        <v>9</v>
      </c>
      <c r="L11087">
        <f>IF(AND($J11087=0,$K11087=0),0,1)</f>
        <v>1</v>
      </c>
    </row>
    <row r="11088" spans="1:13" x14ac:dyDescent="0.2">
      <c r="A11088" t="s">
        <v>174</v>
      </c>
      <c r="B11088" t="s">
        <v>71</v>
      </c>
      <c r="C11088" t="s">
        <v>72</v>
      </c>
      <c r="D11088">
        <v>3998</v>
      </c>
      <c r="E11088">
        <v>2020</v>
      </c>
      <c r="F11088">
        <v>19</v>
      </c>
      <c r="G11088">
        <v>13181</v>
      </c>
      <c r="H11088" s="1" t="s">
        <v>1827</v>
      </c>
      <c r="I11088">
        <v>1</v>
      </c>
      <c r="J11088">
        <f>IF($H11088=0,1,IF($I11088&lt;=1,2,0))</f>
        <v>2</v>
      </c>
      <c r="K11088">
        <v>9</v>
      </c>
      <c r="L11088">
        <f>IF(AND($J11088=0,$K11088=0),0,1)</f>
        <v>1</v>
      </c>
    </row>
    <row r="11089" spans="1:12" x14ac:dyDescent="0.2">
      <c r="A11089" t="s">
        <v>174</v>
      </c>
      <c r="B11089" t="s">
        <v>71</v>
      </c>
      <c r="C11089" t="s">
        <v>72</v>
      </c>
      <c r="D11089">
        <v>3998</v>
      </c>
      <c r="E11089">
        <v>2020</v>
      </c>
      <c r="F11089">
        <v>21</v>
      </c>
      <c r="G11089">
        <v>13183</v>
      </c>
      <c r="H11089" s="1" t="s">
        <v>1827</v>
      </c>
      <c r="I11089">
        <v>1</v>
      </c>
      <c r="J11089">
        <f>IF($H11089=0,1,IF($I11089&lt;=1,2,0))</f>
        <v>2</v>
      </c>
      <c r="K11089">
        <v>9</v>
      </c>
      <c r="L11089">
        <f>IF(AND($J11089=0,$K11089=0),0,1)</f>
        <v>1</v>
      </c>
    </row>
    <row r="11090" spans="1:12" x14ac:dyDescent="0.2">
      <c r="A11090" t="s">
        <v>174</v>
      </c>
      <c r="B11090" t="s">
        <v>71</v>
      </c>
      <c r="C11090" t="s">
        <v>72</v>
      </c>
      <c r="D11090">
        <v>3998</v>
      </c>
      <c r="E11090">
        <v>2020</v>
      </c>
      <c r="F11090">
        <v>22</v>
      </c>
      <c r="G11090">
        <v>13184</v>
      </c>
      <c r="H11090" s="1" t="s">
        <v>1827</v>
      </c>
      <c r="I11090">
        <v>1</v>
      </c>
      <c r="J11090">
        <f>IF($H11090=0,1,IF($I11090&lt;=1,2,0))</f>
        <v>2</v>
      </c>
      <c r="K11090">
        <v>9</v>
      </c>
      <c r="L11090">
        <f>IF(AND($J11090=0,$K11090=0),0,1)</f>
        <v>1</v>
      </c>
    </row>
    <row r="11091" spans="1:12" x14ac:dyDescent="0.2">
      <c r="A11091" t="s">
        <v>174</v>
      </c>
      <c r="B11091" t="s">
        <v>71</v>
      </c>
      <c r="C11091" t="s">
        <v>72</v>
      </c>
      <c r="D11091">
        <v>3998</v>
      </c>
      <c r="E11091">
        <v>2020</v>
      </c>
      <c r="F11091">
        <v>1</v>
      </c>
      <c r="G11091">
        <v>13162</v>
      </c>
      <c r="H11091" s="1" t="s">
        <v>1827</v>
      </c>
      <c r="I11091">
        <v>0</v>
      </c>
      <c r="J11091">
        <f>IF($H11091=0,1,IF($I11091&lt;=1,2,0))</f>
        <v>2</v>
      </c>
      <c r="K11091">
        <v>9</v>
      </c>
      <c r="L11091">
        <f>IF(AND($J11091=0,$K11091=0),0,1)</f>
        <v>1</v>
      </c>
    </row>
    <row r="11092" spans="1:12" x14ac:dyDescent="0.2">
      <c r="A11092" t="s">
        <v>174</v>
      </c>
      <c r="B11092" t="s">
        <v>71</v>
      </c>
      <c r="C11092" t="s">
        <v>72</v>
      </c>
      <c r="D11092">
        <v>3998</v>
      </c>
      <c r="E11092">
        <v>2020</v>
      </c>
      <c r="F11092">
        <v>3</v>
      </c>
      <c r="G11092">
        <v>13165</v>
      </c>
      <c r="H11092" s="1" t="s">
        <v>1827</v>
      </c>
      <c r="I11092">
        <v>0</v>
      </c>
      <c r="J11092">
        <f>IF($H11092=0,1,IF($I11092&lt;=1,2,0))</f>
        <v>2</v>
      </c>
      <c r="K11092">
        <v>9</v>
      </c>
      <c r="L11092">
        <f>IF(AND($J11092=0,$K11092=0),0,1)</f>
        <v>1</v>
      </c>
    </row>
    <row r="11093" spans="1:12" x14ac:dyDescent="0.2">
      <c r="A11093" t="s">
        <v>174</v>
      </c>
      <c r="B11093" t="s">
        <v>71</v>
      </c>
      <c r="C11093" t="s">
        <v>72</v>
      </c>
      <c r="D11093">
        <v>3998</v>
      </c>
      <c r="E11093">
        <v>2020</v>
      </c>
      <c r="F11093">
        <v>4</v>
      </c>
      <c r="G11093">
        <v>13166</v>
      </c>
      <c r="H11093" s="1" t="s">
        <v>1827</v>
      </c>
      <c r="I11093">
        <v>0</v>
      </c>
      <c r="J11093">
        <f>IF($H11093=0,1,IF($I11093&lt;=1,2,0))</f>
        <v>2</v>
      </c>
      <c r="K11093">
        <v>9</v>
      </c>
      <c r="L11093">
        <f>IF(AND($J11093=0,$K11093=0),0,1)</f>
        <v>1</v>
      </c>
    </row>
    <row r="11094" spans="1:12" x14ac:dyDescent="0.2">
      <c r="A11094" t="s">
        <v>174</v>
      </c>
      <c r="B11094" t="s">
        <v>71</v>
      </c>
      <c r="C11094" t="s">
        <v>72</v>
      </c>
      <c r="D11094">
        <v>3998</v>
      </c>
      <c r="E11094">
        <v>2020</v>
      </c>
      <c r="F11094">
        <v>5</v>
      </c>
      <c r="G11094">
        <v>13167</v>
      </c>
      <c r="H11094" s="1" t="s">
        <v>1827</v>
      </c>
      <c r="I11094">
        <v>0</v>
      </c>
      <c r="J11094">
        <f>IF($H11094=0,1,IF($I11094&lt;=1,2,0))</f>
        <v>2</v>
      </c>
      <c r="K11094">
        <v>9</v>
      </c>
      <c r="L11094">
        <f>IF(AND($J11094=0,$K11094=0),0,1)</f>
        <v>1</v>
      </c>
    </row>
    <row r="11095" spans="1:12" x14ac:dyDescent="0.2">
      <c r="A11095" t="s">
        <v>174</v>
      </c>
      <c r="B11095" t="s">
        <v>71</v>
      </c>
      <c r="C11095" t="s">
        <v>72</v>
      </c>
      <c r="D11095">
        <v>3998</v>
      </c>
      <c r="E11095">
        <v>2020</v>
      </c>
      <c r="F11095">
        <v>6</v>
      </c>
      <c r="G11095">
        <v>13168</v>
      </c>
      <c r="H11095" s="1" t="s">
        <v>1827</v>
      </c>
      <c r="I11095">
        <v>0</v>
      </c>
      <c r="J11095">
        <f>IF($H11095=0,1,IF($I11095&lt;=1,2,0))</f>
        <v>2</v>
      </c>
      <c r="K11095">
        <v>9</v>
      </c>
      <c r="L11095">
        <f>IF(AND($J11095=0,$K11095=0),0,1)</f>
        <v>1</v>
      </c>
    </row>
    <row r="11096" spans="1:12" x14ac:dyDescent="0.2">
      <c r="A11096" t="s">
        <v>174</v>
      </c>
      <c r="B11096" t="s">
        <v>71</v>
      </c>
      <c r="C11096" t="s">
        <v>72</v>
      </c>
      <c r="D11096">
        <v>3998</v>
      </c>
      <c r="E11096">
        <v>2020</v>
      </c>
      <c r="F11096">
        <v>8</v>
      </c>
      <c r="G11096">
        <v>13170</v>
      </c>
      <c r="H11096" s="1" t="s">
        <v>1827</v>
      </c>
      <c r="I11096">
        <v>0</v>
      </c>
      <c r="J11096">
        <f>IF($H11096=0,1,IF($I11096&lt;=1,2,0))</f>
        <v>2</v>
      </c>
      <c r="K11096">
        <v>9</v>
      </c>
      <c r="L11096">
        <f>IF(AND($J11096=0,$K11096=0),0,1)</f>
        <v>1</v>
      </c>
    </row>
    <row r="11097" spans="1:12" x14ac:dyDescent="0.2">
      <c r="A11097" t="s">
        <v>174</v>
      </c>
      <c r="B11097" t="s">
        <v>71</v>
      </c>
      <c r="C11097" t="s">
        <v>72</v>
      </c>
      <c r="D11097">
        <v>3998</v>
      </c>
      <c r="E11097">
        <v>2020</v>
      </c>
      <c r="F11097">
        <v>9</v>
      </c>
      <c r="G11097">
        <v>13171</v>
      </c>
      <c r="H11097" s="1" t="s">
        <v>1827</v>
      </c>
      <c r="I11097">
        <v>0</v>
      </c>
      <c r="J11097">
        <f>IF($H11097=0,1,IF($I11097&lt;=1,2,0))</f>
        <v>2</v>
      </c>
      <c r="K11097">
        <v>9</v>
      </c>
      <c r="L11097">
        <f>IF(AND($J11097=0,$K11097=0),0,1)</f>
        <v>1</v>
      </c>
    </row>
    <row r="11098" spans="1:12" x14ac:dyDescent="0.2">
      <c r="A11098" t="s">
        <v>174</v>
      </c>
      <c r="B11098" t="s">
        <v>71</v>
      </c>
      <c r="C11098" t="s">
        <v>72</v>
      </c>
      <c r="D11098">
        <v>3998</v>
      </c>
      <c r="E11098">
        <v>2020</v>
      </c>
      <c r="F11098">
        <v>10</v>
      </c>
      <c r="G11098">
        <v>13172</v>
      </c>
      <c r="H11098" s="1" t="s">
        <v>1827</v>
      </c>
      <c r="I11098">
        <v>0</v>
      </c>
      <c r="J11098">
        <f>IF($H11098=0,1,IF($I11098&lt;=1,2,0))</f>
        <v>2</v>
      </c>
      <c r="K11098">
        <v>9</v>
      </c>
      <c r="L11098">
        <f>IF(AND($J11098=0,$K11098=0),0,1)</f>
        <v>1</v>
      </c>
    </row>
    <row r="11099" spans="1:12" x14ac:dyDescent="0.2">
      <c r="A11099" t="s">
        <v>174</v>
      </c>
      <c r="B11099" t="s">
        <v>71</v>
      </c>
      <c r="C11099" t="s">
        <v>72</v>
      </c>
      <c r="D11099">
        <v>3998</v>
      </c>
      <c r="E11099">
        <v>2020</v>
      </c>
      <c r="F11099">
        <v>11</v>
      </c>
      <c r="G11099">
        <v>13173</v>
      </c>
      <c r="H11099" s="1" t="s">
        <v>1827</v>
      </c>
      <c r="I11099">
        <v>0</v>
      </c>
      <c r="J11099">
        <f>IF($H11099=0,1,IF($I11099&lt;=1,2,0))</f>
        <v>2</v>
      </c>
      <c r="K11099">
        <v>9</v>
      </c>
      <c r="L11099">
        <f>IF(AND($J11099=0,$K11099=0),0,1)</f>
        <v>1</v>
      </c>
    </row>
    <row r="11100" spans="1:12" x14ac:dyDescent="0.2">
      <c r="A11100" t="s">
        <v>174</v>
      </c>
      <c r="B11100" t="s">
        <v>71</v>
      </c>
      <c r="C11100" t="s">
        <v>72</v>
      </c>
      <c r="D11100">
        <v>3998</v>
      </c>
      <c r="E11100">
        <v>2020</v>
      </c>
      <c r="F11100">
        <v>12</v>
      </c>
      <c r="G11100">
        <v>13174</v>
      </c>
      <c r="H11100" s="1" t="s">
        <v>1827</v>
      </c>
      <c r="I11100">
        <v>0</v>
      </c>
      <c r="J11100">
        <f>IF($H11100=0,1,IF($I11100&lt;=1,2,0))</f>
        <v>2</v>
      </c>
      <c r="K11100">
        <v>9</v>
      </c>
      <c r="L11100">
        <f>IF(AND($J11100=0,$K11100=0),0,1)</f>
        <v>1</v>
      </c>
    </row>
    <row r="11101" spans="1:12" x14ac:dyDescent="0.2">
      <c r="A11101" t="s">
        <v>174</v>
      </c>
      <c r="B11101" t="s">
        <v>71</v>
      </c>
      <c r="C11101" t="s">
        <v>72</v>
      </c>
      <c r="D11101">
        <v>3998</v>
      </c>
      <c r="E11101">
        <v>2020</v>
      </c>
      <c r="F11101">
        <v>13</v>
      </c>
      <c r="G11101">
        <v>13175</v>
      </c>
      <c r="H11101" s="1" t="s">
        <v>1827</v>
      </c>
      <c r="I11101">
        <v>0</v>
      </c>
      <c r="J11101">
        <f>IF($H11101=0,1,IF($I11101&lt;=1,2,0))</f>
        <v>2</v>
      </c>
      <c r="K11101">
        <v>9</v>
      </c>
      <c r="L11101">
        <f>IF(AND($J11101=0,$K11101=0),0,1)</f>
        <v>1</v>
      </c>
    </row>
    <row r="11102" spans="1:12" x14ac:dyDescent="0.2">
      <c r="A11102" t="s">
        <v>174</v>
      </c>
      <c r="B11102" t="s">
        <v>71</v>
      </c>
      <c r="C11102" t="s">
        <v>72</v>
      </c>
      <c r="D11102">
        <v>3998</v>
      </c>
      <c r="E11102">
        <v>2020</v>
      </c>
      <c r="F11102">
        <v>14</v>
      </c>
      <c r="G11102">
        <v>13176</v>
      </c>
      <c r="H11102" s="1" t="s">
        <v>1827</v>
      </c>
      <c r="I11102">
        <v>0</v>
      </c>
      <c r="J11102">
        <f>IF($H11102=0,1,IF($I11102&lt;=1,2,0))</f>
        <v>2</v>
      </c>
      <c r="K11102">
        <v>9</v>
      </c>
      <c r="L11102">
        <f>IF(AND($J11102=0,$K11102=0),0,1)</f>
        <v>1</v>
      </c>
    </row>
    <row r="11103" spans="1:12" x14ac:dyDescent="0.2">
      <c r="A11103" t="s">
        <v>174</v>
      </c>
      <c r="B11103" t="s">
        <v>71</v>
      </c>
      <c r="C11103" t="s">
        <v>72</v>
      </c>
      <c r="D11103">
        <v>3998</v>
      </c>
      <c r="E11103">
        <v>2020</v>
      </c>
      <c r="F11103">
        <v>15</v>
      </c>
      <c r="G11103">
        <v>13177</v>
      </c>
      <c r="H11103" s="1" t="s">
        <v>1827</v>
      </c>
      <c r="I11103">
        <v>0</v>
      </c>
      <c r="J11103">
        <f>IF($H11103=0,1,IF($I11103&lt;=1,2,0))</f>
        <v>2</v>
      </c>
      <c r="K11103">
        <v>9</v>
      </c>
      <c r="L11103">
        <f>IF(AND($J11103=0,$K11103=0),0,1)</f>
        <v>1</v>
      </c>
    </row>
    <row r="11104" spans="1:12" x14ac:dyDescent="0.2">
      <c r="A11104" t="s">
        <v>174</v>
      </c>
      <c r="B11104" t="s">
        <v>71</v>
      </c>
      <c r="C11104" t="s">
        <v>72</v>
      </c>
      <c r="D11104">
        <v>3998</v>
      </c>
      <c r="E11104">
        <v>2020</v>
      </c>
      <c r="F11104">
        <v>16</v>
      </c>
      <c r="G11104">
        <v>13178</v>
      </c>
      <c r="H11104" s="1" t="s">
        <v>1827</v>
      </c>
      <c r="I11104">
        <v>0</v>
      </c>
      <c r="J11104">
        <f>IF($H11104=0,1,IF($I11104&lt;=1,2,0))</f>
        <v>2</v>
      </c>
      <c r="K11104">
        <v>9</v>
      </c>
      <c r="L11104">
        <f>IF(AND($J11104=0,$K11104=0),0,1)</f>
        <v>1</v>
      </c>
    </row>
    <row r="11105" spans="1:13" x14ac:dyDescent="0.2">
      <c r="A11105" t="s">
        <v>174</v>
      </c>
      <c r="B11105" t="s">
        <v>71</v>
      </c>
      <c r="C11105" t="s">
        <v>72</v>
      </c>
      <c r="D11105">
        <v>3998</v>
      </c>
      <c r="E11105">
        <v>2020</v>
      </c>
      <c r="F11105">
        <v>17</v>
      </c>
      <c r="G11105">
        <v>13179</v>
      </c>
      <c r="H11105" s="1" t="s">
        <v>1827</v>
      </c>
      <c r="I11105">
        <v>0</v>
      </c>
      <c r="J11105">
        <f>IF($H11105=0,1,IF($I11105&lt;=1,2,0))</f>
        <v>2</v>
      </c>
      <c r="K11105">
        <v>9</v>
      </c>
      <c r="L11105">
        <f>IF(AND($J11105=0,$K11105=0),0,1)</f>
        <v>1</v>
      </c>
    </row>
    <row r="11106" spans="1:13" x14ac:dyDescent="0.2">
      <c r="A11106" t="s">
        <v>174</v>
      </c>
      <c r="B11106" t="s">
        <v>71</v>
      </c>
      <c r="C11106" t="s">
        <v>72</v>
      </c>
      <c r="D11106">
        <v>3998</v>
      </c>
      <c r="E11106">
        <v>2020</v>
      </c>
      <c r="F11106">
        <v>18</v>
      </c>
      <c r="G11106">
        <v>13180</v>
      </c>
      <c r="H11106" s="1" t="s">
        <v>1827</v>
      </c>
      <c r="I11106">
        <v>0</v>
      </c>
      <c r="J11106">
        <f>IF($H11106=0,1,IF($I11106&lt;=1,2,0))</f>
        <v>2</v>
      </c>
      <c r="K11106">
        <v>9</v>
      </c>
      <c r="L11106">
        <f>IF(AND($J11106=0,$K11106=0),0,1)</f>
        <v>1</v>
      </c>
    </row>
    <row r="11107" spans="1:13" x14ac:dyDescent="0.2">
      <c r="A11107" t="s">
        <v>174</v>
      </c>
      <c r="B11107" t="s">
        <v>71</v>
      </c>
      <c r="C11107" t="s">
        <v>72</v>
      </c>
      <c r="D11107">
        <v>3998</v>
      </c>
      <c r="E11107">
        <v>2020</v>
      </c>
      <c r="F11107">
        <v>20</v>
      </c>
      <c r="G11107">
        <v>13182</v>
      </c>
      <c r="H11107" s="1" t="s">
        <v>1827</v>
      </c>
      <c r="I11107">
        <v>0</v>
      </c>
      <c r="J11107">
        <f>IF($H11107=0,1,IF($I11107&lt;=1,2,0))</f>
        <v>2</v>
      </c>
      <c r="K11107">
        <v>9</v>
      </c>
      <c r="L11107">
        <f>IF(AND($J11107=0,$K11107=0),0,1)</f>
        <v>1</v>
      </c>
    </row>
    <row r="11108" spans="1:13" x14ac:dyDescent="0.2">
      <c r="A11108" t="s">
        <v>174</v>
      </c>
      <c r="B11108" t="s">
        <v>71</v>
      </c>
      <c r="C11108" t="s">
        <v>72</v>
      </c>
      <c r="D11108">
        <v>3998</v>
      </c>
      <c r="E11108">
        <v>2020</v>
      </c>
      <c r="F11108">
        <v>23</v>
      </c>
      <c r="G11108">
        <v>13185</v>
      </c>
      <c r="H11108" s="1" t="s">
        <v>1827</v>
      </c>
      <c r="I11108">
        <v>0</v>
      </c>
      <c r="J11108">
        <f>IF($H11108=0,1,IF($I11108&lt;=1,2,0))</f>
        <v>2</v>
      </c>
      <c r="K11108">
        <v>9</v>
      </c>
      <c r="L11108">
        <f>IF(AND($J11108=0,$K11108=0),0,1)</f>
        <v>1</v>
      </c>
    </row>
    <row r="11109" spans="1:13" x14ac:dyDescent="0.2">
      <c r="A11109" t="s">
        <v>174</v>
      </c>
      <c r="B11109" t="s">
        <v>71</v>
      </c>
      <c r="C11109" t="s">
        <v>72</v>
      </c>
      <c r="D11109">
        <v>3998</v>
      </c>
      <c r="E11109">
        <v>2020</v>
      </c>
      <c r="F11109">
        <v>24</v>
      </c>
      <c r="G11109">
        <v>13186</v>
      </c>
      <c r="H11109" s="1" t="s">
        <v>1827</v>
      </c>
      <c r="I11109">
        <v>0</v>
      </c>
      <c r="J11109">
        <f>IF($H11109=0,1,IF($I11109&lt;=1,2,0))</f>
        <v>2</v>
      </c>
      <c r="K11109">
        <v>9</v>
      </c>
      <c r="L11109">
        <f>IF(AND($J11109=0,$K11109=0),0,1)</f>
        <v>1</v>
      </c>
    </row>
    <row r="11110" spans="1:13" x14ac:dyDescent="0.2">
      <c r="A11110" t="s">
        <v>174</v>
      </c>
      <c r="B11110" t="s">
        <v>71</v>
      </c>
      <c r="C11110" t="s">
        <v>72</v>
      </c>
      <c r="D11110">
        <v>3998</v>
      </c>
      <c r="E11110">
        <v>2020</v>
      </c>
      <c r="F11110">
        <v>26</v>
      </c>
      <c r="G11110">
        <v>13188</v>
      </c>
      <c r="H11110" s="1" t="s">
        <v>1827</v>
      </c>
      <c r="I11110">
        <v>0</v>
      </c>
      <c r="J11110">
        <f>IF($H11110=0,1,IF($I11110&lt;=1,2,0))</f>
        <v>2</v>
      </c>
      <c r="K11110">
        <v>9</v>
      </c>
      <c r="L11110">
        <f>IF(AND($J11110=0,$K11110=0),0,1)</f>
        <v>1</v>
      </c>
    </row>
    <row r="11111" spans="1:13" x14ac:dyDescent="0.2">
      <c r="A11111" t="s">
        <v>174</v>
      </c>
      <c r="B11111" t="s">
        <v>71</v>
      </c>
      <c r="C11111" t="s">
        <v>72</v>
      </c>
      <c r="D11111">
        <v>3998</v>
      </c>
      <c r="E11111">
        <v>2020</v>
      </c>
      <c r="F11111">
        <v>27</v>
      </c>
      <c r="G11111">
        <v>13189</v>
      </c>
      <c r="H11111" s="1" t="s">
        <v>1827</v>
      </c>
      <c r="I11111">
        <v>0</v>
      </c>
      <c r="J11111">
        <f>IF($H11111=0,1,IF($I11111&lt;=1,2,0))</f>
        <v>2</v>
      </c>
      <c r="K11111">
        <v>9</v>
      </c>
      <c r="L11111">
        <f>IF(AND($J11111=0,$K11111=0),0,1)</f>
        <v>1</v>
      </c>
    </row>
    <row r="11112" spans="1:13" x14ac:dyDescent="0.2">
      <c r="A11112" t="s">
        <v>174</v>
      </c>
      <c r="B11112" t="s">
        <v>71</v>
      </c>
      <c r="C11112" t="s">
        <v>72</v>
      </c>
      <c r="D11112">
        <v>3998</v>
      </c>
      <c r="E11112">
        <v>2020</v>
      </c>
      <c r="F11112">
        <v>28</v>
      </c>
      <c r="G11112">
        <v>13190</v>
      </c>
      <c r="H11112" s="1" t="s">
        <v>1827</v>
      </c>
      <c r="I11112">
        <v>0</v>
      </c>
      <c r="J11112">
        <f>IF($H11112=0,1,IF($I11112&lt;=1,2,0))</f>
        <v>2</v>
      </c>
      <c r="K11112">
        <v>9</v>
      </c>
      <c r="L11112">
        <f>IF(AND($J11112=0,$K11112=0),0,1)</f>
        <v>1</v>
      </c>
    </row>
    <row r="11113" spans="1:13" x14ac:dyDescent="0.2">
      <c r="A11113" t="s">
        <v>174</v>
      </c>
      <c r="B11113" t="s">
        <v>71</v>
      </c>
      <c r="C11113" t="s">
        <v>72</v>
      </c>
      <c r="D11113">
        <v>3998</v>
      </c>
      <c r="E11113">
        <v>2020</v>
      </c>
      <c r="F11113">
        <v>29</v>
      </c>
      <c r="G11113">
        <v>13191</v>
      </c>
      <c r="H11113" s="1" t="s">
        <v>1827</v>
      </c>
      <c r="I11113">
        <v>0</v>
      </c>
      <c r="J11113">
        <f>IF($H11113=0,1,IF($I11113&lt;=1,2,0))</f>
        <v>2</v>
      </c>
      <c r="K11113">
        <v>9</v>
      </c>
      <c r="L11113">
        <f>IF(AND($J11113=0,$K11113=0),0,1)</f>
        <v>1</v>
      </c>
    </row>
    <row r="11114" spans="1:13" x14ac:dyDescent="0.2">
      <c r="A11114" t="s">
        <v>174</v>
      </c>
      <c r="B11114" t="s">
        <v>71</v>
      </c>
      <c r="C11114" t="s">
        <v>72</v>
      </c>
      <c r="D11114">
        <v>3998</v>
      </c>
      <c r="E11114">
        <v>2020</v>
      </c>
      <c r="F11114">
        <v>31</v>
      </c>
      <c r="G11114">
        <v>13193</v>
      </c>
      <c r="H11114" s="1" t="s">
        <v>1827</v>
      </c>
      <c r="I11114">
        <v>0</v>
      </c>
      <c r="J11114">
        <f>IF($H11114=0,1,IF($I11114&lt;=1,2,0))</f>
        <v>2</v>
      </c>
      <c r="K11114">
        <v>9</v>
      </c>
      <c r="L11114">
        <f>IF(AND($J11114=0,$K11114=0),0,1)</f>
        <v>1</v>
      </c>
    </row>
    <row r="11115" spans="1:13" x14ac:dyDescent="0.2">
      <c r="A11115" t="s">
        <v>174</v>
      </c>
      <c r="B11115" t="s">
        <v>71</v>
      </c>
      <c r="C11115" t="s">
        <v>72</v>
      </c>
      <c r="D11115">
        <v>3999</v>
      </c>
      <c r="E11115">
        <v>2020</v>
      </c>
      <c r="F11115">
        <v>1</v>
      </c>
      <c r="G11115">
        <v>13158</v>
      </c>
      <c r="H11115" s="1" t="s">
        <v>1837</v>
      </c>
      <c r="I11115">
        <v>1</v>
      </c>
      <c r="J11115">
        <f>IF($H11115=0,1,IF($I11115&lt;=1,2,0))</f>
        <v>2</v>
      </c>
      <c r="K11115">
        <v>9</v>
      </c>
      <c r="L11115">
        <f>IF(AND($J11115=0,$K11115=0),0,1)</f>
        <v>1</v>
      </c>
    </row>
    <row r="11116" spans="1:13" x14ac:dyDescent="0.2">
      <c r="A11116" t="s">
        <v>174</v>
      </c>
      <c r="B11116" t="s">
        <v>71</v>
      </c>
      <c r="C11116" t="s">
        <v>72</v>
      </c>
      <c r="D11116">
        <v>4302</v>
      </c>
      <c r="E11116">
        <v>2020</v>
      </c>
      <c r="F11116" t="s">
        <v>84</v>
      </c>
      <c r="G11116">
        <v>21532</v>
      </c>
      <c r="H11116" s="1">
        <v>3</v>
      </c>
      <c r="I11116">
        <v>1</v>
      </c>
      <c r="J11116">
        <f>IF($H11116=0,1,IF($I11116&lt;=1,2,0))</f>
        <v>2</v>
      </c>
      <c r="K11116">
        <v>0</v>
      </c>
      <c r="L11116">
        <f>IF(AND($J11116=0,$K11116=0),0,1)</f>
        <v>1</v>
      </c>
      <c r="M11116" t="s">
        <v>85</v>
      </c>
    </row>
    <row r="11117" spans="1:13" x14ac:dyDescent="0.2">
      <c r="A11117" t="s">
        <v>174</v>
      </c>
      <c r="B11117" t="s">
        <v>71</v>
      </c>
      <c r="C11117" t="s">
        <v>72</v>
      </c>
      <c r="D11117">
        <v>4999</v>
      </c>
      <c r="E11117">
        <v>2020</v>
      </c>
      <c r="F11117">
        <v>1</v>
      </c>
      <c r="G11117">
        <v>13159</v>
      </c>
      <c r="H11117" s="1" t="s">
        <v>1837</v>
      </c>
      <c r="I11117">
        <v>6</v>
      </c>
      <c r="J11117">
        <f>IF($H11117=0,1,IF($I11117&lt;=1,2,0))</f>
        <v>0</v>
      </c>
      <c r="K11117">
        <v>9</v>
      </c>
      <c r="L11117">
        <f>IF(AND($J11117=0,$K11117=0),0,1)</f>
        <v>1</v>
      </c>
    </row>
    <row r="11118" spans="1:13" x14ac:dyDescent="0.2">
      <c r="A11118" t="s">
        <v>174</v>
      </c>
      <c r="B11118" t="s">
        <v>71</v>
      </c>
      <c r="C11118" t="s">
        <v>72</v>
      </c>
      <c r="D11118">
        <v>6005</v>
      </c>
      <c r="E11118">
        <v>2020</v>
      </c>
      <c r="F11118">
        <v>1</v>
      </c>
      <c r="G11118">
        <v>15450</v>
      </c>
      <c r="H11118" s="1">
        <v>3</v>
      </c>
      <c r="I11118">
        <v>23</v>
      </c>
      <c r="J11118">
        <f>IF($H11118=0,1,IF($I11118&lt;=1,2,0))</f>
        <v>0</v>
      </c>
      <c r="K11118">
        <v>1</v>
      </c>
      <c r="L11118">
        <f>IF(AND($J11118=0,$K11118=0),0,1)</f>
        <v>1</v>
      </c>
      <c r="M11118" t="s">
        <v>910</v>
      </c>
    </row>
    <row r="11119" spans="1:13" x14ac:dyDescent="0.2">
      <c r="A11119" t="s">
        <v>174</v>
      </c>
      <c r="B11119" t="s">
        <v>71</v>
      </c>
      <c r="C11119" t="s">
        <v>72</v>
      </c>
      <c r="D11119">
        <v>9100</v>
      </c>
      <c r="E11119">
        <v>2020</v>
      </c>
      <c r="F11119">
        <v>14</v>
      </c>
      <c r="G11119">
        <v>13207</v>
      </c>
      <c r="H11119" s="1" t="s">
        <v>1828</v>
      </c>
      <c r="I11119">
        <v>4</v>
      </c>
      <c r="J11119">
        <f>IF($H11119=0,1,IF($I11119&lt;=1,2,0))</f>
        <v>0</v>
      </c>
      <c r="K11119">
        <v>5</v>
      </c>
      <c r="L11119">
        <f>IF(AND($J11119=0,$K11119=0),0,1)</f>
        <v>1</v>
      </c>
    </row>
    <row r="11120" spans="1:13" x14ac:dyDescent="0.2">
      <c r="A11120" t="s">
        <v>174</v>
      </c>
      <c r="B11120" t="s">
        <v>71</v>
      </c>
      <c r="C11120" t="s">
        <v>72</v>
      </c>
      <c r="D11120">
        <v>9100</v>
      </c>
      <c r="E11120">
        <v>2020</v>
      </c>
      <c r="F11120">
        <v>2</v>
      </c>
      <c r="G11120">
        <v>13195</v>
      </c>
      <c r="H11120" s="1" t="s">
        <v>1828</v>
      </c>
      <c r="I11120">
        <v>3</v>
      </c>
      <c r="J11120">
        <f>IF($H11120=0,1,IF($I11120&lt;=1,2,0))</f>
        <v>0</v>
      </c>
      <c r="K11120">
        <v>5</v>
      </c>
      <c r="L11120">
        <f>IF(AND($J11120=0,$K11120=0),0,1)</f>
        <v>1</v>
      </c>
    </row>
    <row r="11121" spans="1:12" x14ac:dyDescent="0.2">
      <c r="A11121" t="s">
        <v>174</v>
      </c>
      <c r="B11121" t="s">
        <v>71</v>
      </c>
      <c r="C11121" t="s">
        <v>72</v>
      </c>
      <c r="D11121">
        <v>9100</v>
      </c>
      <c r="E11121">
        <v>2020</v>
      </c>
      <c r="F11121">
        <v>19</v>
      </c>
      <c r="G11121">
        <v>13212</v>
      </c>
      <c r="H11121" s="1" t="s">
        <v>1828</v>
      </c>
      <c r="I11121">
        <v>3</v>
      </c>
      <c r="J11121">
        <f>IF($H11121=0,1,IF($I11121&lt;=1,2,0))</f>
        <v>0</v>
      </c>
      <c r="K11121">
        <v>5</v>
      </c>
      <c r="L11121">
        <f>IF(AND($J11121=0,$K11121=0),0,1)</f>
        <v>1</v>
      </c>
    </row>
    <row r="11122" spans="1:12" x14ac:dyDescent="0.2">
      <c r="A11122" t="s">
        <v>174</v>
      </c>
      <c r="B11122" t="s">
        <v>71</v>
      </c>
      <c r="C11122" t="s">
        <v>72</v>
      </c>
      <c r="D11122">
        <v>9100</v>
      </c>
      <c r="E11122">
        <v>2020</v>
      </c>
      <c r="F11122">
        <v>25</v>
      </c>
      <c r="G11122">
        <v>13218</v>
      </c>
      <c r="H11122" s="1" t="s">
        <v>1828</v>
      </c>
      <c r="I11122">
        <v>3</v>
      </c>
      <c r="J11122">
        <f>IF($H11122=0,1,IF($I11122&lt;=1,2,0))</f>
        <v>0</v>
      </c>
      <c r="K11122">
        <v>5</v>
      </c>
      <c r="L11122">
        <f>IF(AND($J11122=0,$K11122=0),0,1)</f>
        <v>1</v>
      </c>
    </row>
    <row r="11123" spans="1:12" x14ac:dyDescent="0.2">
      <c r="A11123" t="s">
        <v>174</v>
      </c>
      <c r="B11123" t="s">
        <v>71</v>
      </c>
      <c r="C11123" t="s">
        <v>72</v>
      </c>
      <c r="D11123">
        <v>9100</v>
      </c>
      <c r="E11123">
        <v>2020</v>
      </c>
      <c r="F11123">
        <v>7</v>
      </c>
      <c r="G11123">
        <v>13200</v>
      </c>
      <c r="H11123" s="1" t="s">
        <v>1828</v>
      </c>
      <c r="I11123">
        <v>2</v>
      </c>
      <c r="J11123">
        <f>IF($H11123=0,1,IF($I11123&lt;=1,2,0))</f>
        <v>0</v>
      </c>
      <c r="K11123">
        <v>5</v>
      </c>
      <c r="L11123">
        <f>IF(AND($J11123=0,$K11123=0),0,1)</f>
        <v>1</v>
      </c>
    </row>
    <row r="11124" spans="1:12" x14ac:dyDescent="0.2">
      <c r="A11124" t="s">
        <v>174</v>
      </c>
      <c r="B11124" t="s">
        <v>71</v>
      </c>
      <c r="C11124" t="s">
        <v>72</v>
      </c>
      <c r="D11124">
        <v>9100</v>
      </c>
      <c r="E11124">
        <v>2020</v>
      </c>
      <c r="F11124">
        <v>10</v>
      </c>
      <c r="G11124">
        <v>13203</v>
      </c>
      <c r="H11124" s="1" t="s">
        <v>1828</v>
      </c>
      <c r="I11124">
        <v>2</v>
      </c>
      <c r="J11124">
        <f>IF($H11124=0,1,IF($I11124&lt;=1,2,0))</f>
        <v>0</v>
      </c>
      <c r="K11124">
        <v>5</v>
      </c>
      <c r="L11124">
        <f>IF(AND($J11124=0,$K11124=0),0,1)</f>
        <v>1</v>
      </c>
    </row>
    <row r="11125" spans="1:12" x14ac:dyDescent="0.2">
      <c r="A11125" t="s">
        <v>174</v>
      </c>
      <c r="B11125" t="s">
        <v>71</v>
      </c>
      <c r="C11125" t="s">
        <v>72</v>
      </c>
      <c r="D11125">
        <v>9100</v>
      </c>
      <c r="E11125">
        <v>2020</v>
      </c>
      <c r="F11125">
        <v>17</v>
      </c>
      <c r="G11125">
        <v>13210</v>
      </c>
      <c r="H11125" s="1" t="s">
        <v>1828</v>
      </c>
      <c r="I11125">
        <v>2</v>
      </c>
      <c r="J11125">
        <f>IF($H11125=0,1,IF($I11125&lt;=1,2,0))</f>
        <v>0</v>
      </c>
      <c r="K11125">
        <v>5</v>
      </c>
      <c r="L11125">
        <f>IF(AND($J11125=0,$K11125=0),0,1)</f>
        <v>1</v>
      </c>
    </row>
    <row r="11126" spans="1:12" x14ac:dyDescent="0.2">
      <c r="A11126" t="s">
        <v>174</v>
      </c>
      <c r="B11126" t="s">
        <v>71</v>
      </c>
      <c r="C11126" t="s">
        <v>72</v>
      </c>
      <c r="D11126">
        <v>9100</v>
      </c>
      <c r="E11126">
        <v>2020</v>
      </c>
      <c r="F11126">
        <v>29</v>
      </c>
      <c r="G11126">
        <v>13222</v>
      </c>
      <c r="H11126" s="1" t="s">
        <v>1828</v>
      </c>
      <c r="I11126">
        <v>2</v>
      </c>
      <c r="J11126">
        <f>IF($H11126=0,1,IF($I11126&lt;=1,2,0))</f>
        <v>0</v>
      </c>
      <c r="K11126">
        <v>5</v>
      </c>
      <c r="L11126">
        <f>IF(AND($J11126=0,$K11126=0),0,1)</f>
        <v>1</v>
      </c>
    </row>
    <row r="11127" spans="1:12" x14ac:dyDescent="0.2">
      <c r="A11127" t="s">
        <v>174</v>
      </c>
      <c r="B11127" t="s">
        <v>71</v>
      </c>
      <c r="C11127" t="s">
        <v>72</v>
      </c>
      <c r="D11127">
        <v>9100</v>
      </c>
      <c r="E11127">
        <v>2020</v>
      </c>
      <c r="F11127">
        <v>6</v>
      </c>
      <c r="G11127">
        <v>13199</v>
      </c>
      <c r="H11127" s="1" t="s">
        <v>1828</v>
      </c>
      <c r="I11127">
        <v>1</v>
      </c>
      <c r="J11127">
        <f>IF($H11127=0,1,IF($I11127&lt;=1,2,0))</f>
        <v>2</v>
      </c>
      <c r="K11127">
        <v>5</v>
      </c>
      <c r="L11127">
        <f>IF(AND($J11127=0,$K11127=0),0,1)</f>
        <v>1</v>
      </c>
    </row>
    <row r="11128" spans="1:12" x14ac:dyDescent="0.2">
      <c r="A11128" t="s">
        <v>174</v>
      </c>
      <c r="B11128" t="s">
        <v>71</v>
      </c>
      <c r="C11128" t="s">
        <v>72</v>
      </c>
      <c r="D11128">
        <v>9100</v>
      </c>
      <c r="E11128">
        <v>2020</v>
      </c>
      <c r="F11128">
        <v>9</v>
      </c>
      <c r="G11128">
        <v>13202</v>
      </c>
      <c r="H11128" s="1" t="s">
        <v>1828</v>
      </c>
      <c r="I11128">
        <v>1</v>
      </c>
      <c r="J11128">
        <f>IF($H11128=0,1,IF($I11128&lt;=1,2,0))</f>
        <v>2</v>
      </c>
      <c r="K11128">
        <v>5</v>
      </c>
      <c r="L11128">
        <f>IF(AND($J11128=0,$K11128=0),0,1)</f>
        <v>1</v>
      </c>
    </row>
    <row r="11129" spans="1:12" x14ac:dyDescent="0.2">
      <c r="A11129" t="s">
        <v>174</v>
      </c>
      <c r="B11129" t="s">
        <v>71</v>
      </c>
      <c r="C11129" t="s">
        <v>72</v>
      </c>
      <c r="D11129">
        <v>9100</v>
      </c>
      <c r="E11129">
        <v>2020</v>
      </c>
      <c r="F11129">
        <v>11</v>
      </c>
      <c r="G11129">
        <v>13204</v>
      </c>
      <c r="H11129" s="1" t="s">
        <v>1828</v>
      </c>
      <c r="I11129">
        <v>1</v>
      </c>
      <c r="J11129">
        <f>IF($H11129=0,1,IF($I11129&lt;=1,2,0))</f>
        <v>2</v>
      </c>
      <c r="K11129">
        <v>5</v>
      </c>
      <c r="L11129">
        <f>IF(AND($J11129=0,$K11129=0),0,1)</f>
        <v>1</v>
      </c>
    </row>
    <row r="11130" spans="1:12" x14ac:dyDescent="0.2">
      <c r="A11130" t="s">
        <v>174</v>
      </c>
      <c r="B11130" t="s">
        <v>71</v>
      </c>
      <c r="C11130" t="s">
        <v>72</v>
      </c>
      <c r="D11130">
        <v>9100</v>
      </c>
      <c r="E11130">
        <v>2020</v>
      </c>
      <c r="F11130">
        <v>16</v>
      </c>
      <c r="G11130">
        <v>13209</v>
      </c>
      <c r="H11130" s="1" t="s">
        <v>1828</v>
      </c>
      <c r="I11130">
        <v>1</v>
      </c>
      <c r="J11130">
        <f>IF($H11130=0,1,IF($I11130&lt;=1,2,0))</f>
        <v>2</v>
      </c>
      <c r="K11130">
        <v>5</v>
      </c>
      <c r="L11130">
        <f>IF(AND($J11130=0,$K11130=0),0,1)</f>
        <v>1</v>
      </c>
    </row>
    <row r="11131" spans="1:12" x14ac:dyDescent="0.2">
      <c r="A11131" t="s">
        <v>174</v>
      </c>
      <c r="B11131" t="s">
        <v>71</v>
      </c>
      <c r="C11131" t="s">
        <v>72</v>
      </c>
      <c r="D11131">
        <v>9100</v>
      </c>
      <c r="E11131">
        <v>2020</v>
      </c>
      <c r="F11131">
        <v>18</v>
      </c>
      <c r="G11131">
        <v>13211</v>
      </c>
      <c r="H11131" s="1" t="s">
        <v>1828</v>
      </c>
      <c r="I11131">
        <v>1</v>
      </c>
      <c r="J11131">
        <f>IF($H11131=0,1,IF($I11131&lt;=1,2,0))</f>
        <v>2</v>
      </c>
      <c r="K11131">
        <v>5</v>
      </c>
      <c r="L11131">
        <f>IF(AND($J11131=0,$K11131=0),0,1)</f>
        <v>1</v>
      </c>
    </row>
    <row r="11132" spans="1:12" x14ac:dyDescent="0.2">
      <c r="A11132" t="s">
        <v>174</v>
      </c>
      <c r="B11132" t="s">
        <v>71</v>
      </c>
      <c r="C11132" t="s">
        <v>72</v>
      </c>
      <c r="D11132">
        <v>9100</v>
      </c>
      <c r="E11132">
        <v>2020</v>
      </c>
      <c r="F11132">
        <v>22</v>
      </c>
      <c r="G11132">
        <v>13215</v>
      </c>
      <c r="H11132" s="1" t="s">
        <v>1828</v>
      </c>
      <c r="I11132">
        <v>1</v>
      </c>
      <c r="J11132">
        <f>IF($H11132=0,1,IF($I11132&lt;=1,2,0))</f>
        <v>2</v>
      </c>
      <c r="K11132">
        <v>5</v>
      </c>
      <c r="L11132">
        <f>IF(AND($J11132=0,$K11132=0),0,1)</f>
        <v>1</v>
      </c>
    </row>
    <row r="11133" spans="1:12" x14ac:dyDescent="0.2">
      <c r="A11133" t="s">
        <v>174</v>
      </c>
      <c r="B11133" t="s">
        <v>71</v>
      </c>
      <c r="C11133" t="s">
        <v>72</v>
      </c>
      <c r="D11133">
        <v>9100</v>
      </c>
      <c r="E11133">
        <v>2020</v>
      </c>
      <c r="F11133">
        <v>26</v>
      </c>
      <c r="G11133">
        <v>13219</v>
      </c>
      <c r="H11133" s="1" t="s">
        <v>1828</v>
      </c>
      <c r="I11133">
        <v>1</v>
      </c>
      <c r="J11133">
        <f>IF($H11133=0,1,IF($I11133&lt;=1,2,0))</f>
        <v>2</v>
      </c>
      <c r="K11133">
        <v>5</v>
      </c>
      <c r="L11133">
        <f>IF(AND($J11133=0,$K11133=0),0,1)</f>
        <v>1</v>
      </c>
    </row>
    <row r="11134" spans="1:12" x14ac:dyDescent="0.2">
      <c r="A11134" t="s">
        <v>174</v>
      </c>
      <c r="B11134" t="s">
        <v>71</v>
      </c>
      <c r="C11134" t="s">
        <v>72</v>
      </c>
      <c r="D11134">
        <v>9100</v>
      </c>
      <c r="E11134">
        <v>2020</v>
      </c>
      <c r="F11134">
        <v>31</v>
      </c>
      <c r="G11134">
        <v>13225</v>
      </c>
      <c r="H11134" s="1" t="s">
        <v>1828</v>
      </c>
      <c r="I11134">
        <v>1</v>
      </c>
      <c r="J11134">
        <f>IF($H11134=0,1,IF($I11134&lt;=1,2,0))</f>
        <v>2</v>
      </c>
      <c r="K11134">
        <v>5</v>
      </c>
      <c r="L11134">
        <f>IF(AND($J11134=0,$K11134=0),0,1)</f>
        <v>1</v>
      </c>
    </row>
    <row r="11135" spans="1:12" x14ac:dyDescent="0.2">
      <c r="A11135" t="s">
        <v>174</v>
      </c>
      <c r="B11135" t="s">
        <v>71</v>
      </c>
      <c r="C11135" t="s">
        <v>72</v>
      </c>
      <c r="D11135">
        <v>9100</v>
      </c>
      <c r="E11135">
        <v>2020</v>
      </c>
      <c r="F11135">
        <v>1</v>
      </c>
      <c r="G11135">
        <v>13194</v>
      </c>
      <c r="H11135" s="1" t="s">
        <v>1828</v>
      </c>
      <c r="I11135">
        <v>0</v>
      </c>
      <c r="J11135">
        <f>IF($H11135=0,1,IF($I11135&lt;=1,2,0))</f>
        <v>2</v>
      </c>
      <c r="K11135">
        <v>5</v>
      </c>
      <c r="L11135">
        <f>IF(AND($J11135=0,$K11135=0),0,1)</f>
        <v>1</v>
      </c>
    </row>
    <row r="11136" spans="1:12" x14ac:dyDescent="0.2">
      <c r="A11136" t="s">
        <v>174</v>
      </c>
      <c r="B11136" t="s">
        <v>71</v>
      </c>
      <c r="C11136" t="s">
        <v>72</v>
      </c>
      <c r="D11136">
        <v>9100</v>
      </c>
      <c r="E11136">
        <v>2020</v>
      </c>
      <c r="F11136">
        <v>3</v>
      </c>
      <c r="G11136">
        <v>13196</v>
      </c>
      <c r="H11136" s="1" t="s">
        <v>1828</v>
      </c>
      <c r="I11136">
        <v>0</v>
      </c>
      <c r="J11136">
        <f>IF($H11136=0,1,IF($I11136&lt;=1,2,0))</f>
        <v>2</v>
      </c>
      <c r="K11136">
        <v>5</v>
      </c>
      <c r="L11136">
        <f>IF(AND($J11136=0,$K11136=0),0,1)</f>
        <v>1</v>
      </c>
    </row>
    <row r="11137" spans="1:12" x14ac:dyDescent="0.2">
      <c r="A11137" t="s">
        <v>174</v>
      </c>
      <c r="B11137" t="s">
        <v>71</v>
      </c>
      <c r="C11137" t="s">
        <v>72</v>
      </c>
      <c r="D11137">
        <v>9100</v>
      </c>
      <c r="E11137">
        <v>2020</v>
      </c>
      <c r="F11137">
        <v>4</v>
      </c>
      <c r="G11137">
        <v>13197</v>
      </c>
      <c r="H11137" s="1" t="s">
        <v>1828</v>
      </c>
      <c r="I11137">
        <v>0</v>
      </c>
      <c r="J11137">
        <f>IF($H11137=0,1,IF($I11137&lt;=1,2,0))</f>
        <v>2</v>
      </c>
      <c r="K11137">
        <v>5</v>
      </c>
      <c r="L11137">
        <f>IF(AND($J11137=0,$K11137=0),0,1)</f>
        <v>1</v>
      </c>
    </row>
    <row r="11138" spans="1:12" x14ac:dyDescent="0.2">
      <c r="A11138" t="s">
        <v>174</v>
      </c>
      <c r="B11138" t="s">
        <v>71</v>
      </c>
      <c r="C11138" t="s">
        <v>72</v>
      </c>
      <c r="D11138">
        <v>9100</v>
      </c>
      <c r="E11138">
        <v>2020</v>
      </c>
      <c r="F11138">
        <v>5</v>
      </c>
      <c r="G11138">
        <v>13198</v>
      </c>
      <c r="H11138" s="1" t="s">
        <v>1828</v>
      </c>
      <c r="I11138">
        <v>0</v>
      </c>
      <c r="J11138">
        <f>IF($H11138=0,1,IF($I11138&lt;=1,2,0))</f>
        <v>2</v>
      </c>
      <c r="K11138">
        <v>5</v>
      </c>
      <c r="L11138">
        <f>IF(AND($J11138=0,$K11138=0),0,1)</f>
        <v>1</v>
      </c>
    </row>
    <row r="11139" spans="1:12" x14ac:dyDescent="0.2">
      <c r="A11139" t="s">
        <v>174</v>
      </c>
      <c r="B11139" t="s">
        <v>71</v>
      </c>
      <c r="C11139" t="s">
        <v>72</v>
      </c>
      <c r="D11139">
        <v>9100</v>
      </c>
      <c r="E11139">
        <v>2020</v>
      </c>
      <c r="F11139">
        <v>8</v>
      </c>
      <c r="G11139">
        <v>13201</v>
      </c>
      <c r="H11139" s="1" t="s">
        <v>1828</v>
      </c>
      <c r="I11139">
        <v>0</v>
      </c>
      <c r="J11139">
        <f>IF($H11139=0,1,IF($I11139&lt;=1,2,0))</f>
        <v>2</v>
      </c>
      <c r="K11139">
        <v>5</v>
      </c>
      <c r="L11139">
        <f>IF(AND($J11139=0,$K11139=0),0,1)</f>
        <v>1</v>
      </c>
    </row>
    <row r="11140" spans="1:12" x14ac:dyDescent="0.2">
      <c r="A11140" t="s">
        <v>174</v>
      </c>
      <c r="B11140" t="s">
        <v>71</v>
      </c>
      <c r="C11140" t="s">
        <v>72</v>
      </c>
      <c r="D11140">
        <v>9100</v>
      </c>
      <c r="E11140">
        <v>2020</v>
      </c>
      <c r="F11140">
        <v>12</v>
      </c>
      <c r="G11140">
        <v>13205</v>
      </c>
      <c r="H11140" s="1" t="s">
        <v>1828</v>
      </c>
      <c r="I11140">
        <v>0</v>
      </c>
      <c r="J11140">
        <f>IF($H11140=0,1,IF($I11140&lt;=1,2,0))</f>
        <v>2</v>
      </c>
      <c r="K11140">
        <v>5</v>
      </c>
      <c r="L11140">
        <f>IF(AND($J11140=0,$K11140=0),0,1)</f>
        <v>1</v>
      </c>
    </row>
    <row r="11141" spans="1:12" x14ac:dyDescent="0.2">
      <c r="A11141" t="s">
        <v>174</v>
      </c>
      <c r="B11141" t="s">
        <v>71</v>
      </c>
      <c r="C11141" t="s">
        <v>72</v>
      </c>
      <c r="D11141">
        <v>9100</v>
      </c>
      <c r="E11141">
        <v>2020</v>
      </c>
      <c r="F11141">
        <v>13</v>
      </c>
      <c r="G11141">
        <v>13206</v>
      </c>
      <c r="H11141" s="1" t="s">
        <v>1828</v>
      </c>
      <c r="I11141">
        <v>0</v>
      </c>
      <c r="J11141">
        <f>IF($H11141=0,1,IF($I11141&lt;=1,2,0))</f>
        <v>2</v>
      </c>
      <c r="K11141">
        <v>5</v>
      </c>
      <c r="L11141">
        <f>IF(AND($J11141=0,$K11141=0),0,1)</f>
        <v>1</v>
      </c>
    </row>
    <row r="11142" spans="1:12" x14ac:dyDescent="0.2">
      <c r="A11142" t="s">
        <v>174</v>
      </c>
      <c r="B11142" t="s">
        <v>71</v>
      </c>
      <c r="C11142" t="s">
        <v>72</v>
      </c>
      <c r="D11142">
        <v>9100</v>
      </c>
      <c r="E11142">
        <v>2020</v>
      </c>
      <c r="F11142">
        <v>15</v>
      </c>
      <c r="G11142">
        <v>13208</v>
      </c>
      <c r="H11142" s="1" t="s">
        <v>1828</v>
      </c>
      <c r="I11142">
        <v>0</v>
      </c>
      <c r="J11142">
        <f>IF($H11142=0,1,IF($I11142&lt;=1,2,0))</f>
        <v>2</v>
      </c>
      <c r="K11142">
        <v>5</v>
      </c>
      <c r="L11142">
        <f>IF(AND($J11142=0,$K11142=0),0,1)</f>
        <v>1</v>
      </c>
    </row>
    <row r="11143" spans="1:12" x14ac:dyDescent="0.2">
      <c r="A11143" t="s">
        <v>174</v>
      </c>
      <c r="B11143" t="s">
        <v>71</v>
      </c>
      <c r="C11143" t="s">
        <v>72</v>
      </c>
      <c r="D11143">
        <v>9100</v>
      </c>
      <c r="E11143">
        <v>2020</v>
      </c>
      <c r="F11143">
        <v>20</v>
      </c>
      <c r="G11143">
        <v>13213</v>
      </c>
      <c r="H11143" s="1" t="s">
        <v>1828</v>
      </c>
      <c r="I11143">
        <v>0</v>
      </c>
      <c r="J11143">
        <f>IF($H11143=0,1,IF($I11143&lt;=1,2,0))</f>
        <v>2</v>
      </c>
      <c r="K11143">
        <v>5</v>
      </c>
      <c r="L11143">
        <f>IF(AND($J11143=0,$K11143=0),0,1)</f>
        <v>1</v>
      </c>
    </row>
    <row r="11144" spans="1:12" x14ac:dyDescent="0.2">
      <c r="A11144" t="s">
        <v>174</v>
      </c>
      <c r="B11144" t="s">
        <v>71</v>
      </c>
      <c r="C11144" t="s">
        <v>72</v>
      </c>
      <c r="D11144">
        <v>9100</v>
      </c>
      <c r="E11144">
        <v>2020</v>
      </c>
      <c r="F11144">
        <v>21</v>
      </c>
      <c r="G11144">
        <v>13214</v>
      </c>
      <c r="H11144" s="1" t="s">
        <v>1828</v>
      </c>
      <c r="I11144">
        <v>0</v>
      </c>
      <c r="J11144">
        <f>IF($H11144=0,1,IF($I11144&lt;=1,2,0))</f>
        <v>2</v>
      </c>
      <c r="K11144">
        <v>5</v>
      </c>
      <c r="L11144">
        <f>IF(AND($J11144=0,$K11144=0),0,1)</f>
        <v>1</v>
      </c>
    </row>
    <row r="11145" spans="1:12" x14ac:dyDescent="0.2">
      <c r="A11145" t="s">
        <v>174</v>
      </c>
      <c r="B11145" t="s">
        <v>71</v>
      </c>
      <c r="C11145" t="s">
        <v>72</v>
      </c>
      <c r="D11145">
        <v>9100</v>
      </c>
      <c r="E11145">
        <v>2020</v>
      </c>
      <c r="F11145">
        <v>23</v>
      </c>
      <c r="G11145">
        <v>13216</v>
      </c>
      <c r="H11145" s="1" t="s">
        <v>1828</v>
      </c>
      <c r="I11145">
        <v>0</v>
      </c>
      <c r="J11145">
        <f>IF($H11145=0,1,IF($I11145&lt;=1,2,0))</f>
        <v>2</v>
      </c>
      <c r="K11145">
        <v>5</v>
      </c>
      <c r="L11145">
        <f>IF(AND($J11145=0,$K11145=0),0,1)</f>
        <v>1</v>
      </c>
    </row>
    <row r="11146" spans="1:12" x14ac:dyDescent="0.2">
      <c r="A11146" t="s">
        <v>174</v>
      </c>
      <c r="B11146" t="s">
        <v>71</v>
      </c>
      <c r="C11146" t="s">
        <v>72</v>
      </c>
      <c r="D11146">
        <v>9100</v>
      </c>
      <c r="E11146">
        <v>2020</v>
      </c>
      <c r="F11146">
        <v>24</v>
      </c>
      <c r="G11146">
        <v>13217</v>
      </c>
      <c r="H11146" s="1" t="s">
        <v>1828</v>
      </c>
      <c r="I11146">
        <v>0</v>
      </c>
      <c r="J11146">
        <f>IF($H11146=0,1,IF($I11146&lt;=1,2,0))</f>
        <v>2</v>
      </c>
      <c r="K11146">
        <v>5</v>
      </c>
      <c r="L11146">
        <f>IF(AND($J11146=0,$K11146=0),0,1)</f>
        <v>1</v>
      </c>
    </row>
    <row r="11147" spans="1:12" x14ac:dyDescent="0.2">
      <c r="A11147" t="s">
        <v>174</v>
      </c>
      <c r="B11147" t="s">
        <v>71</v>
      </c>
      <c r="C11147" t="s">
        <v>72</v>
      </c>
      <c r="D11147">
        <v>9100</v>
      </c>
      <c r="E11147">
        <v>2020</v>
      </c>
      <c r="F11147">
        <v>27</v>
      </c>
      <c r="G11147">
        <v>13220</v>
      </c>
      <c r="H11147" s="1" t="s">
        <v>1828</v>
      </c>
      <c r="I11147">
        <v>0</v>
      </c>
      <c r="J11147">
        <f>IF($H11147=0,1,IF($I11147&lt;=1,2,0))</f>
        <v>2</v>
      </c>
      <c r="K11147">
        <v>5</v>
      </c>
      <c r="L11147">
        <f>IF(AND($J11147=0,$K11147=0),0,1)</f>
        <v>1</v>
      </c>
    </row>
    <row r="11148" spans="1:12" x14ac:dyDescent="0.2">
      <c r="A11148" t="s">
        <v>174</v>
      </c>
      <c r="B11148" t="s">
        <v>71</v>
      </c>
      <c r="C11148" t="s">
        <v>72</v>
      </c>
      <c r="D11148">
        <v>9100</v>
      </c>
      <c r="E11148">
        <v>2020</v>
      </c>
      <c r="F11148">
        <v>28</v>
      </c>
      <c r="G11148">
        <v>13221</v>
      </c>
      <c r="H11148" s="1" t="s">
        <v>1828</v>
      </c>
      <c r="I11148">
        <v>0</v>
      </c>
      <c r="J11148">
        <f>IF($H11148=0,1,IF($I11148&lt;=1,2,0))</f>
        <v>2</v>
      </c>
      <c r="K11148">
        <v>5</v>
      </c>
      <c r="L11148">
        <f>IF(AND($J11148=0,$K11148=0),0,1)</f>
        <v>1</v>
      </c>
    </row>
    <row r="11149" spans="1:12" x14ac:dyDescent="0.2">
      <c r="A11149" t="s">
        <v>174</v>
      </c>
      <c r="B11149" t="s">
        <v>71</v>
      </c>
      <c r="C11149" t="s">
        <v>72</v>
      </c>
      <c r="D11149">
        <v>9100</v>
      </c>
      <c r="E11149">
        <v>2020</v>
      </c>
      <c r="F11149">
        <v>30</v>
      </c>
      <c r="G11149">
        <v>13223</v>
      </c>
      <c r="H11149" s="1" t="s">
        <v>1828</v>
      </c>
      <c r="I11149">
        <v>0</v>
      </c>
      <c r="J11149">
        <f>IF($H11149=0,1,IF($I11149&lt;=1,2,0))</f>
        <v>2</v>
      </c>
      <c r="K11149">
        <v>5</v>
      </c>
      <c r="L11149">
        <f>IF(AND($J11149=0,$K11149=0),0,1)</f>
        <v>1</v>
      </c>
    </row>
    <row r="11150" spans="1:12" x14ac:dyDescent="0.2">
      <c r="A11150" t="s">
        <v>174</v>
      </c>
      <c r="B11150" t="s">
        <v>71</v>
      </c>
      <c r="C11150" t="s">
        <v>72</v>
      </c>
      <c r="D11150">
        <v>9500</v>
      </c>
      <c r="E11150">
        <v>2020</v>
      </c>
      <c r="F11150">
        <v>7</v>
      </c>
      <c r="G11150">
        <v>13232</v>
      </c>
      <c r="H11150" s="1" t="s">
        <v>1828</v>
      </c>
      <c r="I11150">
        <v>7</v>
      </c>
      <c r="J11150">
        <f>IF($H11150=0,1,IF($I11150&lt;=1,2,0))</f>
        <v>0</v>
      </c>
      <c r="K11150">
        <v>5</v>
      </c>
      <c r="L11150">
        <f>IF(AND($J11150=0,$K11150=0),0,1)</f>
        <v>1</v>
      </c>
    </row>
    <row r="11151" spans="1:12" x14ac:dyDescent="0.2">
      <c r="A11151" t="s">
        <v>174</v>
      </c>
      <c r="B11151" t="s">
        <v>71</v>
      </c>
      <c r="C11151" t="s">
        <v>72</v>
      </c>
      <c r="D11151">
        <v>9500</v>
      </c>
      <c r="E11151">
        <v>2020</v>
      </c>
      <c r="F11151">
        <v>6</v>
      </c>
      <c r="G11151">
        <v>13231</v>
      </c>
      <c r="H11151" s="1" t="s">
        <v>1828</v>
      </c>
      <c r="I11151">
        <v>6</v>
      </c>
      <c r="J11151">
        <f>IF($H11151=0,1,IF($I11151&lt;=1,2,0))</f>
        <v>0</v>
      </c>
      <c r="K11151">
        <v>5</v>
      </c>
      <c r="L11151">
        <f>IF(AND($J11151=0,$K11151=0),0,1)</f>
        <v>1</v>
      </c>
    </row>
    <row r="11152" spans="1:12" x14ac:dyDescent="0.2">
      <c r="A11152" t="s">
        <v>174</v>
      </c>
      <c r="B11152" t="s">
        <v>71</v>
      </c>
      <c r="C11152" t="s">
        <v>72</v>
      </c>
      <c r="D11152">
        <v>9500</v>
      </c>
      <c r="E11152">
        <v>2020</v>
      </c>
      <c r="F11152">
        <v>12</v>
      </c>
      <c r="G11152">
        <v>13237</v>
      </c>
      <c r="H11152" s="1" t="s">
        <v>1828</v>
      </c>
      <c r="I11152">
        <v>6</v>
      </c>
      <c r="J11152">
        <f>IF($H11152=0,1,IF($I11152&lt;=1,2,0))</f>
        <v>0</v>
      </c>
      <c r="K11152">
        <v>5</v>
      </c>
      <c r="L11152">
        <f>IF(AND($J11152=0,$K11152=0),0,1)</f>
        <v>1</v>
      </c>
    </row>
    <row r="11153" spans="1:12" x14ac:dyDescent="0.2">
      <c r="A11153" t="s">
        <v>174</v>
      </c>
      <c r="B11153" t="s">
        <v>71</v>
      </c>
      <c r="C11153" t="s">
        <v>72</v>
      </c>
      <c r="D11153">
        <v>9500</v>
      </c>
      <c r="E11153">
        <v>2020</v>
      </c>
      <c r="F11153">
        <v>14</v>
      </c>
      <c r="G11153">
        <v>13239</v>
      </c>
      <c r="H11153" s="1" t="s">
        <v>1828</v>
      </c>
      <c r="I11153">
        <v>5</v>
      </c>
      <c r="J11153">
        <f>IF($H11153=0,1,IF($I11153&lt;=1,2,0))</f>
        <v>0</v>
      </c>
      <c r="K11153">
        <v>5</v>
      </c>
      <c r="L11153">
        <f>IF(AND($J11153=0,$K11153=0),0,1)</f>
        <v>1</v>
      </c>
    </row>
    <row r="11154" spans="1:12" x14ac:dyDescent="0.2">
      <c r="A11154" t="s">
        <v>174</v>
      </c>
      <c r="B11154" t="s">
        <v>71</v>
      </c>
      <c r="C11154" t="s">
        <v>72</v>
      </c>
      <c r="D11154">
        <v>9500</v>
      </c>
      <c r="E11154">
        <v>2020</v>
      </c>
      <c r="F11154">
        <v>16</v>
      </c>
      <c r="G11154">
        <v>13241</v>
      </c>
      <c r="H11154" s="1" t="s">
        <v>1828</v>
      </c>
      <c r="I11154">
        <v>5</v>
      </c>
      <c r="J11154">
        <f>IF($H11154=0,1,IF($I11154&lt;=1,2,0))</f>
        <v>0</v>
      </c>
      <c r="K11154">
        <v>5</v>
      </c>
      <c r="L11154">
        <f>IF(AND($J11154=0,$K11154=0),0,1)</f>
        <v>1</v>
      </c>
    </row>
    <row r="11155" spans="1:12" x14ac:dyDescent="0.2">
      <c r="A11155" t="s">
        <v>174</v>
      </c>
      <c r="B11155" t="s">
        <v>71</v>
      </c>
      <c r="C11155" t="s">
        <v>72</v>
      </c>
      <c r="D11155">
        <v>9500</v>
      </c>
      <c r="E11155">
        <v>2020</v>
      </c>
      <c r="F11155">
        <v>2</v>
      </c>
      <c r="G11155">
        <v>13227</v>
      </c>
      <c r="H11155" s="1" t="s">
        <v>1828</v>
      </c>
      <c r="I11155">
        <v>4</v>
      </c>
      <c r="J11155">
        <f>IF($H11155=0,1,IF($I11155&lt;=1,2,0))</f>
        <v>0</v>
      </c>
      <c r="K11155">
        <v>5</v>
      </c>
      <c r="L11155">
        <f>IF(AND($J11155=0,$K11155=0),0,1)</f>
        <v>1</v>
      </c>
    </row>
    <row r="11156" spans="1:12" x14ac:dyDescent="0.2">
      <c r="A11156" t="s">
        <v>174</v>
      </c>
      <c r="B11156" t="s">
        <v>71</v>
      </c>
      <c r="C11156" t="s">
        <v>72</v>
      </c>
      <c r="D11156">
        <v>9500</v>
      </c>
      <c r="E11156">
        <v>2020</v>
      </c>
      <c r="F11156">
        <v>11</v>
      </c>
      <c r="G11156">
        <v>13236</v>
      </c>
      <c r="H11156" s="1" t="s">
        <v>1828</v>
      </c>
      <c r="I11156">
        <v>4</v>
      </c>
      <c r="J11156">
        <f>IF($H11156=0,1,IF($I11156&lt;=1,2,0))</f>
        <v>0</v>
      </c>
      <c r="K11156">
        <v>5</v>
      </c>
      <c r="L11156">
        <f>IF(AND($J11156=0,$K11156=0),0,1)</f>
        <v>1</v>
      </c>
    </row>
    <row r="11157" spans="1:12" x14ac:dyDescent="0.2">
      <c r="A11157" t="s">
        <v>174</v>
      </c>
      <c r="B11157" t="s">
        <v>71</v>
      </c>
      <c r="C11157" t="s">
        <v>72</v>
      </c>
      <c r="D11157">
        <v>9500</v>
      </c>
      <c r="E11157">
        <v>2020</v>
      </c>
      <c r="F11157">
        <v>17</v>
      </c>
      <c r="G11157">
        <v>13242</v>
      </c>
      <c r="H11157" s="1" t="s">
        <v>1828</v>
      </c>
      <c r="I11157">
        <v>4</v>
      </c>
      <c r="J11157">
        <f>IF($H11157=0,1,IF($I11157&lt;=1,2,0))</f>
        <v>0</v>
      </c>
      <c r="K11157">
        <v>5</v>
      </c>
      <c r="L11157">
        <f>IF(AND($J11157=0,$K11157=0),0,1)</f>
        <v>1</v>
      </c>
    </row>
    <row r="11158" spans="1:12" x14ac:dyDescent="0.2">
      <c r="A11158" t="s">
        <v>174</v>
      </c>
      <c r="B11158" t="s">
        <v>71</v>
      </c>
      <c r="C11158" t="s">
        <v>72</v>
      </c>
      <c r="D11158">
        <v>9500</v>
      </c>
      <c r="E11158">
        <v>2020</v>
      </c>
      <c r="F11158">
        <v>22</v>
      </c>
      <c r="G11158">
        <v>13247</v>
      </c>
      <c r="H11158" s="1" t="s">
        <v>1828</v>
      </c>
      <c r="I11158">
        <v>4</v>
      </c>
      <c r="J11158">
        <f>IF($H11158=0,1,IF($I11158&lt;=1,2,0))</f>
        <v>0</v>
      </c>
      <c r="K11158">
        <v>5</v>
      </c>
      <c r="L11158">
        <f>IF(AND($J11158=0,$K11158=0),0,1)</f>
        <v>1</v>
      </c>
    </row>
    <row r="11159" spans="1:12" x14ac:dyDescent="0.2">
      <c r="A11159" t="s">
        <v>174</v>
      </c>
      <c r="B11159" t="s">
        <v>71</v>
      </c>
      <c r="C11159" t="s">
        <v>72</v>
      </c>
      <c r="D11159">
        <v>9500</v>
      </c>
      <c r="E11159">
        <v>2020</v>
      </c>
      <c r="F11159">
        <v>27</v>
      </c>
      <c r="G11159">
        <v>13253</v>
      </c>
      <c r="H11159" s="1" t="s">
        <v>1828</v>
      </c>
      <c r="I11159">
        <v>4</v>
      </c>
      <c r="J11159">
        <f>IF($H11159=0,1,IF($I11159&lt;=1,2,0))</f>
        <v>0</v>
      </c>
      <c r="K11159">
        <v>5</v>
      </c>
      <c r="L11159">
        <f>IF(AND($J11159=0,$K11159=0),0,1)</f>
        <v>1</v>
      </c>
    </row>
    <row r="11160" spans="1:12" x14ac:dyDescent="0.2">
      <c r="A11160" t="s">
        <v>174</v>
      </c>
      <c r="B11160" t="s">
        <v>71</v>
      </c>
      <c r="C11160" t="s">
        <v>72</v>
      </c>
      <c r="D11160">
        <v>9500</v>
      </c>
      <c r="E11160">
        <v>2020</v>
      </c>
      <c r="F11160">
        <v>28</v>
      </c>
      <c r="G11160">
        <v>13254</v>
      </c>
      <c r="H11160" s="1" t="s">
        <v>1828</v>
      </c>
      <c r="I11160">
        <v>4</v>
      </c>
      <c r="J11160">
        <f>IF($H11160=0,1,IF($I11160&lt;=1,2,0))</f>
        <v>0</v>
      </c>
      <c r="K11160">
        <v>5</v>
      </c>
      <c r="L11160">
        <f>IF(AND($J11160=0,$K11160=0),0,1)</f>
        <v>1</v>
      </c>
    </row>
    <row r="11161" spans="1:12" x14ac:dyDescent="0.2">
      <c r="A11161" t="s">
        <v>174</v>
      </c>
      <c r="B11161" t="s">
        <v>71</v>
      </c>
      <c r="C11161" t="s">
        <v>72</v>
      </c>
      <c r="D11161">
        <v>9500</v>
      </c>
      <c r="E11161">
        <v>2020</v>
      </c>
      <c r="F11161">
        <v>3</v>
      </c>
      <c r="G11161">
        <v>13228</v>
      </c>
      <c r="H11161" s="1" t="s">
        <v>1828</v>
      </c>
      <c r="I11161">
        <v>3</v>
      </c>
      <c r="J11161">
        <f>IF($H11161=0,1,IF($I11161&lt;=1,2,0))</f>
        <v>0</v>
      </c>
      <c r="K11161">
        <v>5</v>
      </c>
      <c r="L11161">
        <f>IF(AND($J11161=0,$K11161=0),0,1)</f>
        <v>1</v>
      </c>
    </row>
    <row r="11162" spans="1:12" x14ac:dyDescent="0.2">
      <c r="A11162" t="s">
        <v>174</v>
      </c>
      <c r="B11162" t="s">
        <v>71</v>
      </c>
      <c r="C11162" t="s">
        <v>72</v>
      </c>
      <c r="D11162">
        <v>9500</v>
      </c>
      <c r="E11162">
        <v>2020</v>
      </c>
      <c r="F11162">
        <v>9</v>
      </c>
      <c r="G11162">
        <v>13234</v>
      </c>
      <c r="H11162" s="1" t="s">
        <v>1828</v>
      </c>
      <c r="I11162">
        <v>3</v>
      </c>
      <c r="J11162">
        <f>IF($H11162=0,1,IF($I11162&lt;=1,2,0))</f>
        <v>0</v>
      </c>
      <c r="K11162">
        <v>5</v>
      </c>
      <c r="L11162">
        <f>IF(AND($J11162=0,$K11162=0),0,1)</f>
        <v>1</v>
      </c>
    </row>
    <row r="11163" spans="1:12" x14ac:dyDescent="0.2">
      <c r="A11163" t="s">
        <v>174</v>
      </c>
      <c r="B11163" t="s">
        <v>71</v>
      </c>
      <c r="C11163" t="s">
        <v>72</v>
      </c>
      <c r="D11163">
        <v>9500</v>
      </c>
      <c r="E11163">
        <v>2020</v>
      </c>
      <c r="F11163">
        <v>26</v>
      </c>
      <c r="G11163">
        <v>13252</v>
      </c>
      <c r="H11163" s="1" t="s">
        <v>1828</v>
      </c>
      <c r="I11163">
        <v>3</v>
      </c>
      <c r="J11163">
        <f>IF($H11163=0,1,IF($I11163&lt;=1,2,0))</f>
        <v>0</v>
      </c>
      <c r="K11163">
        <v>5</v>
      </c>
      <c r="L11163">
        <f>IF(AND($J11163=0,$K11163=0),0,1)</f>
        <v>1</v>
      </c>
    </row>
    <row r="11164" spans="1:12" x14ac:dyDescent="0.2">
      <c r="A11164" t="s">
        <v>174</v>
      </c>
      <c r="B11164" t="s">
        <v>71</v>
      </c>
      <c r="C11164" t="s">
        <v>72</v>
      </c>
      <c r="D11164">
        <v>9500</v>
      </c>
      <c r="E11164">
        <v>2020</v>
      </c>
      <c r="F11164">
        <v>29</v>
      </c>
      <c r="G11164">
        <v>13255</v>
      </c>
      <c r="H11164" s="1" t="s">
        <v>1828</v>
      </c>
      <c r="I11164">
        <v>3</v>
      </c>
      <c r="J11164">
        <f>IF($H11164=0,1,IF($I11164&lt;=1,2,0))</f>
        <v>0</v>
      </c>
      <c r="K11164">
        <v>5</v>
      </c>
      <c r="L11164">
        <f>IF(AND($J11164=0,$K11164=0),0,1)</f>
        <v>1</v>
      </c>
    </row>
    <row r="11165" spans="1:12" x14ac:dyDescent="0.2">
      <c r="A11165" t="s">
        <v>174</v>
      </c>
      <c r="B11165" t="s">
        <v>71</v>
      </c>
      <c r="C11165" t="s">
        <v>72</v>
      </c>
      <c r="D11165">
        <v>9500</v>
      </c>
      <c r="E11165">
        <v>2020</v>
      </c>
      <c r="F11165">
        <v>4</v>
      </c>
      <c r="G11165">
        <v>13229</v>
      </c>
      <c r="H11165" s="1" t="s">
        <v>1828</v>
      </c>
      <c r="I11165">
        <v>2</v>
      </c>
      <c r="J11165">
        <f>IF($H11165=0,1,IF($I11165&lt;=1,2,0))</f>
        <v>0</v>
      </c>
      <c r="K11165">
        <v>5</v>
      </c>
      <c r="L11165">
        <f>IF(AND($J11165=0,$K11165=0),0,1)</f>
        <v>1</v>
      </c>
    </row>
    <row r="11166" spans="1:12" x14ac:dyDescent="0.2">
      <c r="A11166" t="s">
        <v>174</v>
      </c>
      <c r="B11166" t="s">
        <v>71</v>
      </c>
      <c r="C11166" t="s">
        <v>72</v>
      </c>
      <c r="D11166">
        <v>9500</v>
      </c>
      <c r="E11166">
        <v>2020</v>
      </c>
      <c r="F11166">
        <v>10</v>
      </c>
      <c r="G11166">
        <v>13235</v>
      </c>
      <c r="H11166" s="1" t="s">
        <v>1828</v>
      </c>
      <c r="I11166">
        <v>2</v>
      </c>
      <c r="J11166">
        <f>IF($H11166=0,1,IF($I11166&lt;=1,2,0))</f>
        <v>0</v>
      </c>
      <c r="K11166">
        <v>5</v>
      </c>
      <c r="L11166">
        <f>IF(AND($J11166=0,$K11166=0),0,1)</f>
        <v>1</v>
      </c>
    </row>
    <row r="11167" spans="1:12" x14ac:dyDescent="0.2">
      <c r="A11167" t="s">
        <v>174</v>
      </c>
      <c r="B11167" t="s">
        <v>71</v>
      </c>
      <c r="C11167" t="s">
        <v>72</v>
      </c>
      <c r="D11167">
        <v>9500</v>
      </c>
      <c r="E11167">
        <v>2020</v>
      </c>
      <c r="F11167">
        <v>25</v>
      </c>
      <c r="G11167">
        <v>13251</v>
      </c>
      <c r="H11167" s="1" t="s">
        <v>1828</v>
      </c>
      <c r="I11167">
        <v>2</v>
      </c>
      <c r="J11167">
        <f>IF($H11167=0,1,IF($I11167&lt;=1,2,0))</f>
        <v>0</v>
      </c>
      <c r="K11167">
        <v>5</v>
      </c>
      <c r="L11167">
        <f>IF(AND($J11167=0,$K11167=0),0,1)</f>
        <v>1</v>
      </c>
    </row>
    <row r="11168" spans="1:12" x14ac:dyDescent="0.2">
      <c r="A11168" t="s">
        <v>174</v>
      </c>
      <c r="B11168" t="s">
        <v>71</v>
      </c>
      <c r="C11168" t="s">
        <v>72</v>
      </c>
      <c r="D11168">
        <v>9500</v>
      </c>
      <c r="E11168">
        <v>2020</v>
      </c>
      <c r="F11168">
        <v>30</v>
      </c>
      <c r="G11168">
        <v>13256</v>
      </c>
      <c r="H11168" s="1" t="s">
        <v>1828</v>
      </c>
      <c r="I11168">
        <v>2</v>
      </c>
      <c r="J11168">
        <f>IF($H11168=0,1,IF($I11168&lt;=1,2,0))</f>
        <v>0</v>
      </c>
      <c r="K11168">
        <v>5</v>
      </c>
      <c r="L11168">
        <f>IF(AND($J11168=0,$K11168=0),0,1)</f>
        <v>1</v>
      </c>
    </row>
    <row r="11169" spans="1:12" x14ac:dyDescent="0.2">
      <c r="A11169" t="s">
        <v>174</v>
      </c>
      <c r="B11169" t="s">
        <v>71</v>
      </c>
      <c r="C11169" t="s">
        <v>72</v>
      </c>
      <c r="D11169">
        <v>9500</v>
      </c>
      <c r="E11169">
        <v>2020</v>
      </c>
      <c r="F11169">
        <v>1</v>
      </c>
      <c r="G11169">
        <v>13226</v>
      </c>
      <c r="H11169" s="1" t="s">
        <v>1828</v>
      </c>
      <c r="I11169">
        <v>1</v>
      </c>
      <c r="J11169">
        <f>IF($H11169=0,1,IF($I11169&lt;=1,2,0))</f>
        <v>2</v>
      </c>
      <c r="K11169">
        <v>5</v>
      </c>
      <c r="L11169">
        <f>IF(AND($J11169=0,$K11169=0),0,1)</f>
        <v>1</v>
      </c>
    </row>
    <row r="11170" spans="1:12" x14ac:dyDescent="0.2">
      <c r="A11170" t="s">
        <v>174</v>
      </c>
      <c r="B11170" t="s">
        <v>71</v>
      </c>
      <c r="C11170" t="s">
        <v>72</v>
      </c>
      <c r="D11170">
        <v>9500</v>
      </c>
      <c r="E11170">
        <v>2020</v>
      </c>
      <c r="F11170">
        <v>5</v>
      </c>
      <c r="G11170">
        <v>13230</v>
      </c>
      <c r="H11170" s="1" t="s">
        <v>1828</v>
      </c>
      <c r="I11170">
        <v>1</v>
      </c>
      <c r="J11170">
        <f>IF($H11170=0,1,IF($I11170&lt;=1,2,0))</f>
        <v>2</v>
      </c>
      <c r="K11170">
        <v>5</v>
      </c>
      <c r="L11170">
        <f>IF(AND($J11170=0,$K11170=0),0,1)</f>
        <v>1</v>
      </c>
    </row>
    <row r="11171" spans="1:12" x14ac:dyDescent="0.2">
      <c r="A11171" t="s">
        <v>174</v>
      </c>
      <c r="B11171" t="s">
        <v>71</v>
      </c>
      <c r="C11171" t="s">
        <v>72</v>
      </c>
      <c r="D11171">
        <v>9500</v>
      </c>
      <c r="E11171">
        <v>2020</v>
      </c>
      <c r="F11171">
        <v>18</v>
      </c>
      <c r="G11171">
        <v>13243</v>
      </c>
      <c r="H11171" s="1" t="s">
        <v>1828</v>
      </c>
      <c r="I11171">
        <v>1</v>
      </c>
      <c r="J11171">
        <f>IF($H11171=0,1,IF($I11171&lt;=1,2,0))</f>
        <v>2</v>
      </c>
      <c r="K11171">
        <v>5</v>
      </c>
      <c r="L11171">
        <f>IF(AND($J11171=0,$K11171=0),0,1)</f>
        <v>1</v>
      </c>
    </row>
    <row r="11172" spans="1:12" x14ac:dyDescent="0.2">
      <c r="A11172" t="s">
        <v>174</v>
      </c>
      <c r="B11172" t="s">
        <v>71</v>
      </c>
      <c r="C11172" t="s">
        <v>72</v>
      </c>
      <c r="D11172">
        <v>9500</v>
      </c>
      <c r="E11172">
        <v>2020</v>
      </c>
      <c r="F11172">
        <v>31</v>
      </c>
      <c r="G11172">
        <v>13257</v>
      </c>
      <c r="H11172" s="1" t="s">
        <v>1828</v>
      </c>
      <c r="I11172">
        <v>1</v>
      </c>
      <c r="J11172">
        <f>IF($H11172=0,1,IF($I11172&lt;=1,2,0))</f>
        <v>2</v>
      </c>
      <c r="K11172">
        <v>5</v>
      </c>
      <c r="L11172">
        <f>IF(AND($J11172=0,$K11172=0),0,1)</f>
        <v>1</v>
      </c>
    </row>
    <row r="11173" spans="1:12" x14ac:dyDescent="0.2">
      <c r="A11173" t="s">
        <v>174</v>
      </c>
      <c r="B11173" t="s">
        <v>71</v>
      </c>
      <c r="C11173" t="s">
        <v>72</v>
      </c>
      <c r="D11173">
        <v>9500</v>
      </c>
      <c r="E11173">
        <v>2020</v>
      </c>
      <c r="F11173">
        <v>8</v>
      </c>
      <c r="G11173">
        <v>13233</v>
      </c>
      <c r="H11173" s="1" t="s">
        <v>1828</v>
      </c>
      <c r="I11173">
        <v>0</v>
      </c>
      <c r="J11173">
        <f>IF($H11173=0,1,IF($I11173&lt;=1,2,0))</f>
        <v>2</v>
      </c>
      <c r="K11173">
        <v>5</v>
      </c>
      <c r="L11173">
        <f>IF(AND($J11173=0,$K11173=0),0,1)</f>
        <v>1</v>
      </c>
    </row>
    <row r="11174" spans="1:12" x14ac:dyDescent="0.2">
      <c r="A11174" t="s">
        <v>174</v>
      </c>
      <c r="B11174" t="s">
        <v>71</v>
      </c>
      <c r="C11174" t="s">
        <v>72</v>
      </c>
      <c r="D11174">
        <v>9500</v>
      </c>
      <c r="E11174">
        <v>2020</v>
      </c>
      <c r="F11174">
        <v>13</v>
      </c>
      <c r="G11174">
        <v>13238</v>
      </c>
      <c r="H11174" s="1" t="s">
        <v>1828</v>
      </c>
      <c r="I11174">
        <v>0</v>
      </c>
      <c r="J11174">
        <f>IF($H11174=0,1,IF($I11174&lt;=1,2,0))</f>
        <v>2</v>
      </c>
      <c r="K11174">
        <v>5</v>
      </c>
      <c r="L11174">
        <f>IF(AND($J11174=0,$K11174=0),0,1)</f>
        <v>1</v>
      </c>
    </row>
    <row r="11175" spans="1:12" x14ac:dyDescent="0.2">
      <c r="A11175" t="s">
        <v>174</v>
      </c>
      <c r="B11175" t="s">
        <v>71</v>
      </c>
      <c r="C11175" t="s">
        <v>72</v>
      </c>
      <c r="D11175">
        <v>9500</v>
      </c>
      <c r="E11175">
        <v>2020</v>
      </c>
      <c r="F11175">
        <v>15</v>
      </c>
      <c r="G11175">
        <v>13240</v>
      </c>
      <c r="H11175" s="1" t="s">
        <v>1828</v>
      </c>
      <c r="I11175">
        <v>0</v>
      </c>
      <c r="J11175">
        <f>IF($H11175=0,1,IF($I11175&lt;=1,2,0))</f>
        <v>2</v>
      </c>
      <c r="K11175">
        <v>5</v>
      </c>
      <c r="L11175">
        <f>IF(AND($J11175=0,$K11175=0),0,1)</f>
        <v>1</v>
      </c>
    </row>
    <row r="11176" spans="1:12" x14ac:dyDescent="0.2">
      <c r="A11176" t="s">
        <v>174</v>
      </c>
      <c r="B11176" t="s">
        <v>71</v>
      </c>
      <c r="C11176" t="s">
        <v>72</v>
      </c>
      <c r="D11176">
        <v>9500</v>
      </c>
      <c r="E11176">
        <v>2020</v>
      </c>
      <c r="F11176">
        <v>19</v>
      </c>
      <c r="G11176">
        <v>13244</v>
      </c>
      <c r="H11176" s="1" t="s">
        <v>1828</v>
      </c>
      <c r="I11176">
        <v>0</v>
      </c>
      <c r="J11176">
        <f>IF($H11176=0,1,IF($I11176&lt;=1,2,0))</f>
        <v>2</v>
      </c>
      <c r="K11176">
        <v>5</v>
      </c>
      <c r="L11176">
        <f>IF(AND($J11176=0,$K11176=0),0,1)</f>
        <v>1</v>
      </c>
    </row>
    <row r="11177" spans="1:12" x14ac:dyDescent="0.2">
      <c r="A11177" t="s">
        <v>174</v>
      </c>
      <c r="B11177" t="s">
        <v>71</v>
      </c>
      <c r="C11177" t="s">
        <v>72</v>
      </c>
      <c r="D11177">
        <v>9500</v>
      </c>
      <c r="E11177">
        <v>2020</v>
      </c>
      <c r="F11177">
        <v>20</v>
      </c>
      <c r="G11177">
        <v>13245</v>
      </c>
      <c r="H11177" s="1" t="s">
        <v>1828</v>
      </c>
      <c r="I11177">
        <v>0</v>
      </c>
      <c r="J11177">
        <f>IF($H11177=0,1,IF($I11177&lt;=1,2,0))</f>
        <v>2</v>
      </c>
      <c r="K11177">
        <v>5</v>
      </c>
      <c r="L11177">
        <f>IF(AND($J11177=0,$K11177=0),0,1)</f>
        <v>1</v>
      </c>
    </row>
    <row r="11178" spans="1:12" x14ac:dyDescent="0.2">
      <c r="A11178" t="s">
        <v>174</v>
      </c>
      <c r="B11178" t="s">
        <v>71</v>
      </c>
      <c r="C11178" t="s">
        <v>72</v>
      </c>
      <c r="D11178">
        <v>9500</v>
      </c>
      <c r="E11178">
        <v>2020</v>
      </c>
      <c r="F11178">
        <v>21</v>
      </c>
      <c r="G11178">
        <v>13246</v>
      </c>
      <c r="H11178" s="1" t="s">
        <v>1828</v>
      </c>
      <c r="I11178">
        <v>0</v>
      </c>
      <c r="J11178">
        <f>IF($H11178=0,1,IF($I11178&lt;=1,2,0))</f>
        <v>2</v>
      </c>
      <c r="K11178">
        <v>5</v>
      </c>
      <c r="L11178">
        <f>IF(AND($J11178=0,$K11178=0),0,1)</f>
        <v>1</v>
      </c>
    </row>
    <row r="11179" spans="1:12" x14ac:dyDescent="0.2">
      <c r="A11179" t="s">
        <v>174</v>
      </c>
      <c r="B11179" t="s">
        <v>71</v>
      </c>
      <c r="C11179" t="s">
        <v>72</v>
      </c>
      <c r="D11179">
        <v>9500</v>
      </c>
      <c r="E11179">
        <v>2020</v>
      </c>
      <c r="F11179">
        <v>23</v>
      </c>
      <c r="G11179">
        <v>13248</v>
      </c>
      <c r="H11179" s="1" t="s">
        <v>1828</v>
      </c>
      <c r="I11179">
        <v>0</v>
      </c>
      <c r="J11179">
        <f>IF($H11179=0,1,IF($I11179&lt;=1,2,0))</f>
        <v>2</v>
      </c>
      <c r="K11179">
        <v>5</v>
      </c>
      <c r="L11179">
        <f>IF(AND($J11179=0,$K11179=0),0,1)</f>
        <v>1</v>
      </c>
    </row>
    <row r="11180" spans="1:12" x14ac:dyDescent="0.2">
      <c r="A11180" t="s">
        <v>174</v>
      </c>
      <c r="B11180" t="s">
        <v>71</v>
      </c>
      <c r="C11180" t="s">
        <v>72</v>
      </c>
      <c r="D11180">
        <v>9500</v>
      </c>
      <c r="E11180">
        <v>2020</v>
      </c>
      <c r="F11180">
        <v>24</v>
      </c>
      <c r="G11180">
        <v>13249</v>
      </c>
      <c r="H11180" s="1" t="s">
        <v>1828</v>
      </c>
      <c r="I11180">
        <v>0</v>
      </c>
      <c r="J11180">
        <f>IF($H11180=0,1,IF($I11180&lt;=1,2,0))</f>
        <v>2</v>
      </c>
      <c r="K11180">
        <v>5</v>
      </c>
      <c r="L11180">
        <f>IF(AND($J11180=0,$K11180=0),0,1)</f>
        <v>1</v>
      </c>
    </row>
    <row r="11181" spans="1:12" x14ac:dyDescent="0.2">
      <c r="A11181" t="s">
        <v>174</v>
      </c>
      <c r="B11181" t="s">
        <v>71</v>
      </c>
      <c r="C11181" t="s">
        <v>72</v>
      </c>
      <c r="D11181">
        <v>9700</v>
      </c>
      <c r="E11181">
        <v>2020</v>
      </c>
      <c r="F11181">
        <v>1</v>
      </c>
      <c r="G11181">
        <v>13152</v>
      </c>
      <c r="H11181" s="1">
        <v>0</v>
      </c>
      <c r="I11181">
        <v>89</v>
      </c>
      <c r="J11181">
        <f>IF($H11181=0,1,IF($I11181&lt;=1,2,0))</f>
        <v>1</v>
      </c>
      <c r="K11181">
        <v>5</v>
      </c>
      <c r="L11181">
        <f>IF(AND($J11181=0,$K11181=0),0,1)</f>
        <v>1</v>
      </c>
    </row>
    <row r="11182" spans="1:12" x14ac:dyDescent="0.2">
      <c r="A11182" t="s">
        <v>174</v>
      </c>
      <c r="B11182" t="s">
        <v>71</v>
      </c>
      <c r="C11182" t="s">
        <v>72</v>
      </c>
      <c r="D11182">
        <v>9800</v>
      </c>
      <c r="E11182">
        <v>2020</v>
      </c>
      <c r="F11182">
        <v>12</v>
      </c>
      <c r="G11182">
        <v>13269</v>
      </c>
      <c r="H11182" s="1" t="s">
        <v>1838</v>
      </c>
      <c r="I11182">
        <v>1</v>
      </c>
      <c r="J11182">
        <f>IF($H11182=0,1,IF($I11182&lt;=1,2,0))</f>
        <v>2</v>
      </c>
      <c r="K11182">
        <v>5</v>
      </c>
      <c r="L11182">
        <f>IF(AND($J11182=0,$K11182=0),0,1)</f>
        <v>1</v>
      </c>
    </row>
    <row r="11183" spans="1:12" x14ac:dyDescent="0.2">
      <c r="A11183" t="s">
        <v>174</v>
      </c>
      <c r="B11183" t="s">
        <v>71</v>
      </c>
      <c r="C11183" t="s">
        <v>72</v>
      </c>
      <c r="D11183">
        <v>9800</v>
      </c>
      <c r="E11183">
        <v>2020</v>
      </c>
      <c r="F11183">
        <v>1</v>
      </c>
      <c r="G11183">
        <v>13258</v>
      </c>
      <c r="H11183" s="1" t="s">
        <v>1838</v>
      </c>
      <c r="I11183">
        <v>0</v>
      </c>
      <c r="J11183">
        <f>IF($H11183=0,1,IF($I11183&lt;=1,2,0))</f>
        <v>2</v>
      </c>
      <c r="K11183">
        <v>5</v>
      </c>
      <c r="L11183">
        <f>IF(AND($J11183=0,$K11183=0),0,1)</f>
        <v>1</v>
      </c>
    </row>
    <row r="11184" spans="1:12" x14ac:dyDescent="0.2">
      <c r="A11184" t="s">
        <v>174</v>
      </c>
      <c r="B11184" t="s">
        <v>71</v>
      </c>
      <c r="C11184" t="s">
        <v>72</v>
      </c>
      <c r="D11184">
        <v>9800</v>
      </c>
      <c r="E11184">
        <v>2020</v>
      </c>
      <c r="F11184">
        <v>2</v>
      </c>
      <c r="G11184">
        <v>13259</v>
      </c>
      <c r="H11184" s="1" t="s">
        <v>1838</v>
      </c>
      <c r="I11184">
        <v>0</v>
      </c>
      <c r="J11184">
        <f>IF($H11184=0,1,IF($I11184&lt;=1,2,0))</f>
        <v>2</v>
      </c>
      <c r="K11184">
        <v>5</v>
      </c>
      <c r="L11184">
        <f>IF(AND($J11184=0,$K11184=0),0,1)</f>
        <v>1</v>
      </c>
    </row>
    <row r="11185" spans="1:12" x14ac:dyDescent="0.2">
      <c r="A11185" t="s">
        <v>174</v>
      </c>
      <c r="B11185" t="s">
        <v>71</v>
      </c>
      <c r="C11185" t="s">
        <v>72</v>
      </c>
      <c r="D11185">
        <v>9800</v>
      </c>
      <c r="E11185">
        <v>2020</v>
      </c>
      <c r="F11185">
        <v>3</v>
      </c>
      <c r="G11185">
        <v>13260</v>
      </c>
      <c r="H11185" s="1" t="s">
        <v>1838</v>
      </c>
      <c r="I11185">
        <v>0</v>
      </c>
      <c r="J11185">
        <f>IF($H11185=0,1,IF($I11185&lt;=1,2,0))</f>
        <v>2</v>
      </c>
      <c r="K11185">
        <v>5</v>
      </c>
      <c r="L11185">
        <f>IF(AND($J11185=0,$K11185=0),0,1)</f>
        <v>1</v>
      </c>
    </row>
    <row r="11186" spans="1:12" x14ac:dyDescent="0.2">
      <c r="A11186" t="s">
        <v>174</v>
      </c>
      <c r="B11186" t="s">
        <v>71</v>
      </c>
      <c r="C11186" t="s">
        <v>72</v>
      </c>
      <c r="D11186">
        <v>9800</v>
      </c>
      <c r="E11186">
        <v>2020</v>
      </c>
      <c r="F11186">
        <v>4</v>
      </c>
      <c r="G11186">
        <v>13261</v>
      </c>
      <c r="H11186" s="1" t="s">
        <v>1838</v>
      </c>
      <c r="I11186">
        <v>0</v>
      </c>
      <c r="J11186">
        <f>IF($H11186=0,1,IF($I11186&lt;=1,2,0))</f>
        <v>2</v>
      </c>
      <c r="K11186">
        <v>5</v>
      </c>
      <c r="L11186">
        <f>IF(AND($J11186=0,$K11186=0),0,1)</f>
        <v>1</v>
      </c>
    </row>
    <row r="11187" spans="1:12" x14ac:dyDescent="0.2">
      <c r="A11187" t="s">
        <v>174</v>
      </c>
      <c r="B11187" t="s">
        <v>71</v>
      </c>
      <c r="C11187" t="s">
        <v>72</v>
      </c>
      <c r="D11187">
        <v>9800</v>
      </c>
      <c r="E11187">
        <v>2020</v>
      </c>
      <c r="F11187">
        <v>5</v>
      </c>
      <c r="G11187">
        <v>13262</v>
      </c>
      <c r="H11187" s="1" t="s">
        <v>1838</v>
      </c>
      <c r="I11187">
        <v>0</v>
      </c>
      <c r="J11187">
        <f>IF($H11187=0,1,IF($I11187&lt;=1,2,0))</f>
        <v>2</v>
      </c>
      <c r="K11187">
        <v>5</v>
      </c>
      <c r="L11187">
        <f>IF(AND($J11187=0,$K11187=0),0,1)</f>
        <v>1</v>
      </c>
    </row>
    <row r="11188" spans="1:12" x14ac:dyDescent="0.2">
      <c r="A11188" t="s">
        <v>174</v>
      </c>
      <c r="B11188" t="s">
        <v>71</v>
      </c>
      <c r="C11188" t="s">
        <v>72</v>
      </c>
      <c r="D11188">
        <v>9800</v>
      </c>
      <c r="E11188">
        <v>2020</v>
      </c>
      <c r="F11188">
        <v>6</v>
      </c>
      <c r="G11188">
        <v>13263</v>
      </c>
      <c r="H11188" s="1" t="s">
        <v>1838</v>
      </c>
      <c r="I11188">
        <v>0</v>
      </c>
      <c r="J11188">
        <f>IF($H11188=0,1,IF($I11188&lt;=1,2,0))</f>
        <v>2</v>
      </c>
      <c r="K11188">
        <v>5</v>
      </c>
      <c r="L11188">
        <f>IF(AND($J11188=0,$K11188=0),0,1)</f>
        <v>1</v>
      </c>
    </row>
    <row r="11189" spans="1:12" x14ac:dyDescent="0.2">
      <c r="A11189" t="s">
        <v>174</v>
      </c>
      <c r="B11189" t="s">
        <v>71</v>
      </c>
      <c r="C11189" t="s">
        <v>72</v>
      </c>
      <c r="D11189">
        <v>9800</v>
      </c>
      <c r="E11189">
        <v>2020</v>
      </c>
      <c r="F11189">
        <v>7</v>
      </c>
      <c r="G11189">
        <v>13264</v>
      </c>
      <c r="H11189" s="1" t="s">
        <v>1838</v>
      </c>
      <c r="I11189">
        <v>0</v>
      </c>
      <c r="J11189">
        <f>IF($H11189=0,1,IF($I11189&lt;=1,2,0))</f>
        <v>2</v>
      </c>
      <c r="K11189">
        <v>5</v>
      </c>
      <c r="L11189">
        <f>IF(AND($J11189=0,$K11189=0),0,1)</f>
        <v>1</v>
      </c>
    </row>
    <row r="11190" spans="1:12" x14ac:dyDescent="0.2">
      <c r="A11190" t="s">
        <v>174</v>
      </c>
      <c r="B11190" t="s">
        <v>71</v>
      </c>
      <c r="C11190" t="s">
        <v>72</v>
      </c>
      <c r="D11190">
        <v>9800</v>
      </c>
      <c r="E11190">
        <v>2020</v>
      </c>
      <c r="F11190">
        <v>8</v>
      </c>
      <c r="G11190">
        <v>13265</v>
      </c>
      <c r="H11190" s="1" t="s">
        <v>1838</v>
      </c>
      <c r="I11190">
        <v>0</v>
      </c>
      <c r="J11190">
        <f>IF($H11190=0,1,IF($I11190&lt;=1,2,0))</f>
        <v>2</v>
      </c>
      <c r="K11190">
        <v>5</v>
      </c>
      <c r="L11190">
        <f>IF(AND($J11190=0,$K11190=0),0,1)</f>
        <v>1</v>
      </c>
    </row>
    <row r="11191" spans="1:12" x14ac:dyDescent="0.2">
      <c r="A11191" t="s">
        <v>174</v>
      </c>
      <c r="B11191" t="s">
        <v>71</v>
      </c>
      <c r="C11191" t="s">
        <v>72</v>
      </c>
      <c r="D11191">
        <v>9800</v>
      </c>
      <c r="E11191">
        <v>2020</v>
      </c>
      <c r="F11191">
        <v>9</v>
      </c>
      <c r="G11191">
        <v>13266</v>
      </c>
      <c r="H11191" s="1" t="s">
        <v>1838</v>
      </c>
      <c r="I11191">
        <v>0</v>
      </c>
      <c r="J11191">
        <f>IF($H11191=0,1,IF($I11191&lt;=1,2,0))</f>
        <v>2</v>
      </c>
      <c r="K11191">
        <v>5</v>
      </c>
      <c r="L11191">
        <f>IF(AND($J11191=0,$K11191=0),0,1)</f>
        <v>1</v>
      </c>
    </row>
    <row r="11192" spans="1:12" x14ac:dyDescent="0.2">
      <c r="A11192" t="s">
        <v>174</v>
      </c>
      <c r="B11192" t="s">
        <v>71</v>
      </c>
      <c r="C11192" t="s">
        <v>72</v>
      </c>
      <c r="D11192">
        <v>9800</v>
      </c>
      <c r="E11192">
        <v>2020</v>
      </c>
      <c r="F11192">
        <v>10</v>
      </c>
      <c r="G11192">
        <v>13267</v>
      </c>
      <c r="H11192" s="1" t="s">
        <v>1838</v>
      </c>
      <c r="I11192">
        <v>0</v>
      </c>
      <c r="J11192">
        <f>IF($H11192=0,1,IF($I11192&lt;=1,2,0))</f>
        <v>2</v>
      </c>
      <c r="K11192">
        <v>5</v>
      </c>
      <c r="L11192">
        <f>IF(AND($J11192=0,$K11192=0),0,1)</f>
        <v>1</v>
      </c>
    </row>
    <row r="11193" spans="1:12" x14ac:dyDescent="0.2">
      <c r="A11193" t="s">
        <v>174</v>
      </c>
      <c r="B11193" t="s">
        <v>71</v>
      </c>
      <c r="C11193" t="s">
        <v>72</v>
      </c>
      <c r="D11193">
        <v>9800</v>
      </c>
      <c r="E11193">
        <v>2020</v>
      </c>
      <c r="F11193">
        <v>11</v>
      </c>
      <c r="G11193">
        <v>13268</v>
      </c>
      <c r="H11193" s="1" t="s">
        <v>1838</v>
      </c>
      <c r="I11193">
        <v>0</v>
      </c>
      <c r="J11193">
        <f>IF($H11193=0,1,IF($I11193&lt;=1,2,0))</f>
        <v>2</v>
      </c>
      <c r="K11193">
        <v>5</v>
      </c>
      <c r="L11193">
        <f>IF(AND($J11193=0,$K11193=0),0,1)</f>
        <v>1</v>
      </c>
    </row>
    <row r="11194" spans="1:12" x14ac:dyDescent="0.2">
      <c r="A11194" t="s">
        <v>174</v>
      </c>
      <c r="B11194" t="s">
        <v>71</v>
      </c>
      <c r="C11194" t="s">
        <v>72</v>
      </c>
      <c r="D11194">
        <v>9800</v>
      </c>
      <c r="E11194">
        <v>2020</v>
      </c>
      <c r="F11194">
        <v>13</v>
      </c>
      <c r="G11194">
        <v>13270</v>
      </c>
      <c r="H11194" s="1" t="s">
        <v>1838</v>
      </c>
      <c r="I11194">
        <v>0</v>
      </c>
      <c r="J11194">
        <f>IF($H11194=0,1,IF($I11194&lt;=1,2,0))</f>
        <v>2</v>
      </c>
      <c r="K11194">
        <v>5</v>
      </c>
      <c r="L11194">
        <f>IF(AND($J11194=0,$K11194=0),0,1)</f>
        <v>1</v>
      </c>
    </row>
    <row r="11195" spans="1:12" x14ac:dyDescent="0.2">
      <c r="A11195" t="s">
        <v>174</v>
      </c>
      <c r="B11195" t="s">
        <v>71</v>
      </c>
      <c r="C11195" t="s">
        <v>72</v>
      </c>
      <c r="D11195">
        <v>9800</v>
      </c>
      <c r="E11195">
        <v>2020</v>
      </c>
      <c r="F11195">
        <v>14</v>
      </c>
      <c r="G11195">
        <v>13271</v>
      </c>
      <c r="H11195" s="1" t="s">
        <v>1838</v>
      </c>
      <c r="I11195">
        <v>0</v>
      </c>
      <c r="J11195">
        <f>IF($H11195=0,1,IF($I11195&lt;=1,2,0))</f>
        <v>2</v>
      </c>
      <c r="K11195">
        <v>5</v>
      </c>
      <c r="L11195">
        <f>IF(AND($J11195=0,$K11195=0),0,1)</f>
        <v>1</v>
      </c>
    </row>
    <row r="11196" spans="1:12" x14ac:dyDescent="0.2">
      <c r="A11196" t="s">
        <v>174</v>
      </c>
      <c r="B11196" t="s">
        <v>71</v>
      </c>
      <c r="C11196" t="s">
        <v>72</v>
      </c>
      <c r="D11196">
        <v>9800</v>
      </c>
      <c r="E11196">
        <v>2020</v>
      </c>
      <c r="F11196">
        <v>15</v>
      </c>
      <c r="G11196">
        <v>13272</v>
      </c>
      <c r="H11196" s="1" t="s">
        <v>1838</v>
      </c>
      <c r="I11196">
        <v>0</v>
      </c>
      <c r="J11196">
        <f>IF($H11196=0,1,IF($I11196&lt;=1,2,0))</f>
        <v>2</v>
      </c>
      <c r="K11196">
        <v>5</v>
      </c>
      <c r="L11196">
        <f>IF(AND($J11196=0,$K11196=0),0,1)</f>
        <v>1</v>
      </c>
    </row>
    <row r="11197" spans="1:12" x14ac:dyDescent="0.2">
      <c r="A11197" t="s">
        <v>174</v>
      </c>
      <c r="B11197" t="s">
        <v>71</v>
      </c>
      <c r="C11197" t="s">
        <v>72</v>
      </c>
      <c r="D11197">
        <v>9800</v>
      </c>
      <c r="E11197">
        <v>2020</v>
      </c>
      <c r="F11197">
        <v>16</v>
      </c>
      <c r="G11197">
        <v>13273</v>
      </c>
      <c r="H11197" s="1" t="s">
        <v>1838</v>
      </c>
      <c r="I11197">
        <v>0</v>
      </c>
      <c r="J11197">
        <f>IF($H11197=0,1,IF($I11197&lt;=1,2,0))</f>
        <v>2</v>
      </c>
      <c r="K11197">
        <v>5</v>
      </c>
      <c r="L11197">
        <f>IF(AND($J11197=0,$K11197=0),0,1)</f>
        <v>1</v>
      </c>
    </row>
    <row r="11198" spans="1:12" x14ac:dyDescent="0.2">
      <c r="A11198" t="s">
        <v>174</v>
      </c>
      <c r="B11198" t="s">
        <v>71</v>
      </c>
      <c r="C11198" t="s">
        <v>72</v>
      </c>
      <c r="D11198">
        <v>9800</v>
      </c>
      <c r="E11198">
        <v>2020</v>
      </c>
      <c r="F11198">
        <v>17</v>
      </c>
      <c r="G11198">
        <v>13274</v>
      </c>
      <c r="H11198" s="1" t="s">
        <v>1838</v>
      </c>
      <c r="I11198">
        <v>0</v>
      </c>
      <c r="J11198">
        <f>IF($H11198=0,1,IF($I11198&lt;=1,2,0))</f>
        <v>2</v>
      </c>
      <c r="K11198">
        <v>5</v>
      </c>
      <c r="L11198">
        <f>IF(AND($J11198=0,$K11198=0),0,1)</f>
        <v>1</v>
      </c>
    </row>
    <row r="11199" spans="1:12" x14ac:dyDescent="0.2">
      <c r="A11199" t="s">
        <v>174</v>
      </c>
      <c r="B11199" t="s">
        <v>71</v>
      </c>
      <c r="C11199" t="s">
        <v>72</v>
      </c>
      <c r="D11199">
        <v>9800</v>
      </c>
      <c r="E11199">
        <v>2020</v>
      </c>
      <c r="F11199">
        <v>18</v>
      </c>
      <c r="G11199">
        <v>13275</v>
      </c>
      <c r="H11199" s="1" t="s">
        <v>1838</v>
      </c>
      <c r="I11199">
        <v>0</v>
      </c>
      <c r="J11199">
        <f>IF($H11199=0,1,IF($I11199&lt;=1,2,0))</f>
        <v>2</v>
      </c>
      <c r="K11199">
        <v>5</v>
      </c>
      <c r="L11199">
        <f>IF(AND($J11199=0,$K11199=0),0,1)</f>
        <v>1</v>
      </c>
    </row>
    <row r="11200" spans="1:12" x14ac:dyDescent="0.2">
      <c r="A11200" t="s">
        <v>174</v>
      </c>
      <c r="B11200" t="s">
        <v>71</v>
      </c>
      <c r="C11200" t="s">
        <v>72</v>
      </c>
      <c r="D11200">
        <v>9800</v>
      </c>
      <c r="E11200">
        <v>2020</v>
      </c>
      <c r="F11200">
        <v>19</v>
      </c>
      <c r="G11200">
        <v>13276</v>
      </c>
      <c r="H11200" s="1" t="s">
        <v>1838</v>
      </c>
      <c r="I11200">
        <v>0</v>
      </c>
      <c r="J11200">
        <f>IF($H11200=0,1,IF($I11200&lt;=1,2,0))</f>
        <v>2</v>
      </c>
      <c r="K11200">
        <v>5</v>
      </c>
      <c r="L11200">
        <f>IF(AND($J11200=0,$K11200=0),0,1)</f>
        <v>1</v>
      </c>
    </row>
    <row r="11201" spans="1:12" x14ac:dyDescent="0.2">
      <c r="A11201" t="s">
        <v>174</v>
      </c>
      <c r="B11201" t="s">
        <v>71</v>
      </c>
      <c r="C11201" t="s">
        <v>72</v>
      </c>
      <c r="D11201">
        <v>9800</v>
      </c>
      <c r="E11201">
        <v>2020</v>
      </c>
      <c r="F11201">
        <v>20</v>
      </c>
      <c r="G11201">
        <v>13277</v>
      </c>
      <c r="H11201" s="1" t="s">
        <v>1838</v>
      </c>
      <c r="I11201">
        <v>0</v>
      </c>
      <c r="J11201">
        <f>IF($H11201=0,1,IF($I11201&lt;=1,2,0))</f>
        <v>2</v>
      </c>
      <c r="K11201">
        <v>5</v>
      </c>
      <c r="L11201">
        <f>IF(AND($J11201=0,$K11201=0),0,1)</f>
        <v>1</v>
      </c>
    </row>
    <row r="11202" spans="1:12" x14ac:dyDescent="0.2">
      <c r="A11202" t="s">
        <v>174</v>
      </c>
      <c r="B11202" t="s">
        <v>71</v>
      </c>
      <c r="C11202" t="s">
        <v>72</v>
      </c>
      <c r="D11202">
        <v>9800</v>
      </c>
      <c r="E11202">
        <v>2020</v>
      </c>
      <c r="F11202">
        <v>21</v>
      </c>
      <c r="G11202">
        <v>13278</v>
      </c>
      <c r="H11202" s="1" t="s">
        <v>1838</v>
      </c>
      <c r="I11202">
        <v>0</v>
      </c>
      <c r="J11202">
        <f>IF($H11202=0,1,IF($I11202&lt;=1,2,0))</f>
        <v>2</v>
      </c>
      <c r="K11202">
        <v>5</v>
      </c>
      <c r="L11202">
        <f>IF(AND($J11202=0,$K11202=0),0,1)</f>
        <v>1</v>
      </c>
    </row>
    <row r="11203" spans="1:12" x14ac:dyDescent="0.2">
      <c r="A11203" t="s">
        <v>174</v>
      </c>
      <c r="B11203" t="s">
        <v>71</v>
      </c>
      <c r="C11203" t="s">
        <v>72</v>
      </c>
      <c r="D11203">
        <v>9800</v>
      </c>
      <c r="E11203">
        <v>2020</v>
      </c>
      <c r="F11203">
        <v>22</v>
      </c>
      <c r="G11203">
        <v>13279</v>
      </c>
      <c r="H11203" s="1" t="s">
        <v>1838</v>
      </c>
      <c r="I11203">
        <v>0</v>
      </c>
      <c r="J11203">
        <f>IF($H11203=0,1,IF($I11203&lt;=1,2,0))</f>
        <v>2</v>
      </c>
      <c r="K11203">
        <v>5</v>
      </c>
      <c r="L11203">
        <f>IF(AND($J11203=0,$K11203=0),0,1)</f>
        <v>1</v>
      </c>
    </row>
    <row r="11204" spans="1:12" x14ac:dyDescent="0.2">
      <c r="A11204" t="s">
        <v>174</v>
      </c>
      <c r="B11204" t="s">
        <v>71</v>
      </c>
      <c r="C11204" t="s">
        <v>72</v>
      </c>
      <c r="D11204">
        <v>9800</v>
      </c>
      <c r="E11204">
        <v>2020</v>
      </c>
      <c r="F11204">
        <v>23</v>
      </c>
      <c r="G11204">
        <v>13280</v>
      </c>
      <c r="H11204" s="1" t="s">
        <v>1838</v>
      </c>
      <c r="I11204">
        <v>0</v>
      </c>
      <c r="J11204">
        <f>IF($H11204=0,1,IF($I11204&lt;=1,2,0))</f>
        <v>2</v>
      </c>
      <c r="K11204">
        <v>5</v>
      </c>
      <c r="L11204">
        <f>IF(AND($J11204=0,$K11204=0),0,1)</f>
        <v>1</v>
      </c>
    </row>
    <row r="11205" spans="1:12" x14ac:dyDescent="0.2">
      <c r="A11205" t="s">
        <v>174</v>
      </c>
      <c r="B11205" t="s">
        <v>71</v>
      </c>
      <c r="C11205" t="s">
        <v>72</v>
      </c>
      <c r="D11205">
        <v>9800</v>
      </c>
      <c r="E11205">
        <v>2020</v>
      </c>
      <c r="F11205">
        <v>24</v>
      </c>
      <c r="G11205">
        <v>13281</v>
      </c>
      <c r="H11205" s="1" t="s">
        <v>1838</v>
      </c>
      <c r="I11205">
        <v>0</v>
      </c>
      <c r="J11205">
        <f>IF($H11205=0,1,IF($I11205&lt;=1,2,0))</f>
        <v>2</v>
      </c>
      <c r="K11205">
        <v>5</v>
      </c>
      <c r="L11205">
        <f>IF(AND($J11205=0,$K11205=0),0,1)</f>
        <v>1</v>
      </c>
    </row>
    <row r="11206" spans="1:12" x14ac:dyDescent="0.2">
      <c r="A11206" t="s">
        <v>174</v>
      </c>
      <c r="B11206" t="s">
        <v>71</v>
      </c>
      <c r="C11206" t="s">
        <v>72</v>
      </c>
      <c r="D11206">
        <v>9800</v>
      </c>
      <c r="E11206">
        <v>2020</v>
      </c>
      <c r="F11206">
        <v>25</v>
      </c>
      <c r="G11206">
        <v>13282</v>
      </c>
      <c r="H11206" s="1" t="s">
        <v>1838</v>
      </c>
      <c r="I11206">
        <v>0</v>
      </c>
      <c r="J11206">
        <f>IF($H11206=0,1,IF($I11206&lt;=1,2,0))</f>
        <v>2</v>
      </c>
      <c r="K11206">
        <v>5</v>
      </c>
      <c r="L11206">
        <f>IF(AND($J11206=0,$K11206=0),0,1)</f>
        <v>1</v>
      </c>
    </row>
    <row r="11207" spans="1:12" x14ac:dyDescent="0.2">
      <c r="A11207" t="s">
        <v>174</v>
      </c>
      <c r="B11207" t="s">
        <v>71</v>
      </c>
      <c r="C11207" t="s">
        <v>72</v>
      </c>
      <c r="D11207">
        <v>9800</v>
      </c>
      <c r="E11207">
        <v>2020</v>
      </c>
      <c r="F11207">
        <v>26</v>
      </c>
      <c r="G11207">
        <v>13283</v>
      </c>
      <c r="H11207" s="1" t="s">
        <v>1838</v>
      </c>
      <c r="I11207">
        <v>0</v>
      </c>
      <c r="J11207">
        <f>IF($H11207=0,1,IF($I11207&lt;=1,2,0))</f>
        <v>2</v>
      </c>
      <c r="K11207">
        <v>5</v>
      </c>
      <c r="L11207">
        <f>IF(AND($J11207=0,$K11207=0),0,1)</f>
        <v>1</v>
      </c>
    </row>
    <row r="11208" spans="1:12" x14ac:dyDescent="0.2">
      <c r="A11208" t="s">
        <v>174</v>
      </c>
      <c r="B11208" t="s">
        <v>71</v>
      </c>
      <c r="C11208" t="s">
        <v>72</v>
      </c>
      <c r="D11208">
        <v>9800</v>
      </c>
      <c r="E11208">
        <v>2020</v>
      </c>
      <c r="F11208">
        <v>27</v>
      </c>
      <c r="G11208">
        <v>13284</v>
      </c>
      <c r="H11208" s="1" t="s">
        <v>1838</v>
      </c>
      <c r="I11208">
        <v>0</v>
      </c>
      <c r="J11208">
        <f>IF($H11208=0,1,IF($I11208&lt;=1,2,0))</f>
        <v>2</v>
      </c>
      <c r="K11208">
        <v>5</v>
      </c>
      <c r="L11208">
        <f>IF(AND($J11208=0,$K11208=0),0,1)</f>
        <v>1</v>
      </c>
    </row>
    <row r="11209" spans="1:12" x14ac:dyDescent="0.2">
      <c r="A11209" t="s">
        <v>174</v>
      </c>
      <c r="B11209" t="s">
        <v>71</v>
      </c>
      <c r="C11209" t="s">
        <v>72</v>
      </c>
      <c r="D11209">
        <v>9800</v>
      </c>
      <c r="E11209">
        <v>2020</v>
      </c>
      <c r="F11209">
        <v>28</v>
      </c>
      <c r="G11209">
        <v>13285</v>
      </c>
      <c r="H11209" s="1" t="s">
        <v>1838</v>
      </c>
      <c r="I11209">
        <v>0</v>
      </c>
      <c r="J11209">
        <f>IF($H11209=0,1,IF($I11209&lt;=1,2,0))</f>
        <v>2</v>
      </c>
      <c r="K11209">
        <v>5</v>
      </c>
      <c r="L11209">
        <f>IF(AND($J11209=0,$K11209=0),0,1)</f>
        <v>1</v>
      </c>
    </row>
    <row r="11210" spans="1:12" x14ac:dyDescent="0.2">
      <c r="A11210" t="s">
        <v>174</v>
      </c>
      <c r="B11210" t="s">
        <v>71</v>
      </c>
      <c r="C11210" t="s">
        <v>72</v>
      </c>
      <c r="D11210">
        <v>9800</v>
      </c>
      <c r="E11210">
        <v>2020</v>
      </c>
      <c r="F11210">
        <v>29</v>
      </c>
      <c r="G11210">
        <v>13286</v>
      </c>
      <c r="H11210" s="1" t="s">
        <v>1838</v>
      </c>
      <c r="I11210">
        <v>0</v>
      </c>
      <c r="J11210">
        <f>IF($H11210=0,1,IF($I11210&lt;=1,2,0))</f>
        <v>2</v>
      </c>
      <c r="K11210">
        <v>5</v>
      </c>
      <c r="L11210">
        <f>IF(AND($J11210=0,$K11210=0),0,1)</f>
        <v>1</v>
      </c>
    </row>
    <row r="11211" spans="1:12" x14ac:dyDescent="0.2">
      <c r="A11211" t="s">
        <v>174</v>
      </c>
      <c r="B11211" t="s">
        <v>71</v>
      </c>
      <c r="C11211" t="s">
        <v>72</v>
      </c>
      <c r="D11211">
        <v>9800</v>
      </c>
      <c r="E11211">
        <v>2020</v>
      </c>
      <c r="F11211">
        <v>30</v>
      </c>
      <c r="G11211">
        <v>13287</v>
      </c>
      <c r="H11211" s="1" t="s">
        <v>1838</v>
      </c>
      <c r="I11211">
        <v>0</v>
      </c>
      <c r="J11211">
        <f>IF($H11211=0,1,IF($I11211&lt;=1,2,0))</f>
        <v>2</v>
      </c>
      <c r="K11211">
        <v>5</v>
      </c>
      <c r="L11211">
        <f>IF(AND($J11211=0,$K11211=0),0,1)</f>
        <v>1</v>
      </c>
    </row>
    <row r="11212" spans="1:12" x14ac:dyDescent="0.2">
      <c r="A11212" t="s">
        <v>174</v>
      </c>
      <c r="B11212" t="s">
        <v>71</v>
      </c>
      <c r="C11212" t="s">
        <v>72</v>
      </c>
      <c r="D11212">
        <v>9900</v>
      </c>
      <c r="E11212">
        <v>2020</v>
      </c>
      <c r="F11212">
        <v>1</v>
      </c>
      <c r="G11212">
        <v>13288</v>
      </c>
      <c r="H11212" s="1">
        <v>0</v>
      </c>
      <c r="I11212">
        <v>0</v>
      </c>
      <c r="J11212">
        <f>IF($H11212=0,1,IF($I11212&lt;=1,2,0))</f>
        <v>1</v>
      </c>
      <c r="K11212">
        <v>5</v>
      </c>
      <c r="L11212">
        <f>IF(AND($J11212=0,$K11212=0),0,1)</f>
        <v>1</v>
      </c>
    </row>
    <row r="11213" spans="1:12" x14ac:dyDescent="0.2">
      <c r="A11213" t="s">
        <v>174</v>
      </c>
      <c r="B11213" t="s">
        <v>71</v>
      </c>
      <c r="C11213" t="s">
        <v>72</v>
      </c>
      <c r="D11213">
        <v>9900</v>
      </c>
      <c r="E11213">
        <v>2020</v>
      </c>
      <c r="F11213">
        <v>2</v>
      </c>
      <c r="G11213">
        <v>13289</v>
      </c>
      <c r="H11213" s="1">
        <v>0</v>
      </c>
      <c r="I11213">
        <v>0</v>
      </c>
      <c r="J11213">
        <f>IF($H11213=0,1,IF($I11213&lt;=1,2,0))</f>
        <v>1</v>
      </c>
      <c r="K11213">
        <v>5</v>
      </c>
      <c r="L11213">
        <f>IF(AND($J11213=0,$K11213=0),0,1)</f>
        <v>1</v>
      </c>
    </row>
    <row r="11214" spans="1:12" x14ac:dyDescent="0.2">
      <c r="A11214" t="s">
        <v>174</v>
      </c>
      <c r="B11214" t="s">
        <v>71</v>
      </c>
      <c r="C11214" t="s">
        <v>72</v>
      </c>
      <c r="D11214">
        <v>9900</v>
      </c>
      <c r="E11214">
        <v>2020</v>
      </c>
      <c r="F11214">
        <v>3</v>
      </c>
      <c r="G11214">
        <v>13290</v>
      </c>
      <c r="H11214" s="1">
        <v>0</v>
      </c>
      <c r="I11214">
        <v>0</v>
      </c>
      <c r="J11214">
        <f>IF($H11214=0,1,IF($I11214&lt;=1,2,0))</f>
        <v>1</v>
      </c>
      <c r="K11214">
        <v>5</v>
      </c>
      <c r="L11214">
        <f>IF(AND($J11214=0,$K11214=0),0,1)</f>
        <v>1</v>
      </c>
    </row>
    <row r="11215" spans="1:12" x14ac:dyDescent="0.2">
      <c r="A11215" t="s">
        <v>174</v>
      </c>
      <c r="B11215" t="s">
        <v>71</v>
      </c>
      <c r="C11215" t="s">
        <v>72</v>
      </c>
      <c r="D11215">
        <v>9900</v>
      </c>
      <c r="E11215">
        <v>2020</v>
      </c>
      <c r="F11215">
        <v>4</v>
      </c>
      <c r="G11215">
        <v>13291</v>
      </c>
      <c r="H11215" s="1">
        <v>0</v>
      </c>
      <c r="I11215">
        <v>0</v>
      </c>
      <c r="J11215">
        <f>IF($H11215=0,1,IF($I11215&lt;=1,2,0))</f>
        <v>1</v>
      </c>
      <c r="K11215">
        <v>5</v>
      </c>
      <c r="L11215">
        <f>IF(AND($J11215=0,$K11215=0),0,1)</f>
        <v>1</v>
      </c>
    </row>
    <row r="11216" spans="1:12" x14ac:dyDescent="0.2">
      <c r="A11216" t="s">
        <v>174</v>
      </c>
      <c r="B11216" t="s">
        <v>71</v>
      </c>
      <c r="C11216" t="s">
        <v>72</v>
      </c>
      <c r="D11216">
        <v>9900</v>
      </c>
      <c r="E11216">
        <v>2020</v>
      </c>
      <c r="F11216">
        <v>5</v>
      </c>
      <c r="G11216">
        <v>13292</v>
      </c>
      <c r="H11216" s="1">
        <v>0</v>
      </c>
      <c r="I11216">
        <v>0</v>
      </c>
      <c r="J11216">
        <f>IF($H11216=0,1,IF($I11216&lt;=1,2,0))</f>
        <v>1</v>
      </c>
      <c r="K11216">
        <v>5</v>
      </c>
      <c r="L11216">
        <f>IF(AND($J11216=0,$K11216=0),0,1)</f>
        <v>1</v>
      </c>
    </row>
    <row r="11217" spans="1:12" x14ac:dyDescent="0.2">
      <c r="A11217" t="s">
        <v>174</v>
      </c>
      <c r="B11217" t="s">
        <v>71</v>
      </c>
      <c r="C11217" t="s">
        <v>72</v>
      </c>
      <c r="D11217">
        <v>9900</v>
      </c>
      <c r="E11217">
        <v>2020</v>
      </c>
      <c r="F11217">
        <v>6</v>
      </c>
      <c r="G11217">
        <v>13293</v>
      </c>
      <c r="H11217" s="1">
        <v>0</v>
      </c>
      <c r="I11217">
        <v>0</v>
      </c>
      <c r="J11217">
        <f>IF($H11217=0,1,IF($I11217&lt;=1,2,0))</f>
        <v>1</v>
      </c>
      <c r="K11217">
        <v>5</v>
      </c>
      <c r="L11217">
        <f>IF(AND($J11217=0,$K11217=0),0,1)</f>
        <v>1</v>
      </c>
    </row>
    <row r="11218" spans="1:12" x14ac:dyDescent="0.2">
      <c r="A11218" t="s">
        <v>174</v>
      </c>
      <c r="B11218" t="s">
        <v>71</v>
      </c>
      <c r="C11218" t="s">
        <v>72</v>
      </c>
      <c r="D11218">
        <v>9900</v>
      </c>
      <c r="E11218">
        <v>2020</v>
      </c>
      <c r="F11218">
        <v>7</v>
      </c>
      <c r="G11218">
        <v>13294</v>
      </c>
      <c r="H11218" s="1">
        <v>0</v>
      </c>
      <c r="I11218">
        <v>0</v>
      </c>
      <c r="J11218">
        <f>IF($H11218=0,1,IF($I11218&lt;=1,2,0))</f>
        <v>1</v>
      </c>
      <c r="K11218">
        <v>5</v>
      </c>
      <c r="L11218">
        <f>IF(AND($J11218=0,$K11218=0),0,1)</f>
        <v>1</v>
      </c>
    </row>
    <row r="11219" spans="1:12" x14ac:dyDescent="0.2">
      <c r="A11219" t="s">
        <v>174</v>
      </c>
      <c r="B11219" t="s">
        <v>71</v>
      </c>
      <c r="C11219" t="s">
        <v>72</v>
      </c>
      <c r="D11219">
        <v>9900</v>
      </c>
      <c r="E11219">
        <v>2020</v>
      </c>
      <c r="F11219">
        <v>8</v>
      </c>
      <c r="G11219">
        <v>13295</v>
      </c>
      <c r="H11219" s="1">
        <v>0</v>
      </c>
      <c r="I11219">
        <v>0</v>
      </c>
      <c r="J11219">
        <f>IF($H11219=0,1,IF($I11219&lt;=1,2,0))</f>
        <v>1</v>
      </c>
      <c r="K11219">
        <v>5</v>
      </c>
      <c r="L11219">
        <f>IF(AND($J11219=0,$K11219=0),0,1)</f>
        <v>1</v>
      </c>
    </row>
    <row r="11220" spans="1:12" x14ac:dyDescent="0.2">
      <c r="A11220" t="s">
        <v>174</v>
      </c>
      <c r="B11220" t="s">
        <v>71</v>
      </c>
      <c r="C11220" t="s">
        <v>72</v>
      </c>
      <c r="D11220">
        <v>9900</v>
      </c>
      <c r="E11220">
        <v>2020</v>
      </c>
      <c r="F11220">
        <v>9</v>
      </c>
      <c r="G11220">
        <v>13296</v>
      </c>
      <c r="H11220" s="1">
        <v>0</v>
      </c>
      <c r="I11220">
        <v>0</v>
      </c>
      <c r="J11220">
        <f>IF($H11220=0,1,IF($I11220&lt;=1,2,0))</f>
        <v>1</v>
      </c>
      <c r="K11220">
        <v>5</v>
      </c>
      <c r="L11220">
        <f>IF(AND($J11220=0,$K11220=0),0,1)</f>
        <v>1</v>
      </c>
    </row>
    <row r="11221" spans="1:12" x14ac:dyDescent="0.2">
      <c r="A11221" t="s">
        <v>174</v>
      </c>
      <c r="B11221" t="s">
        <v>71</v>
      </c>
      <c r="C11221" t="s">
        <v>72</v>
      </c>
      <c r="D11221">
        <v>9900</v>
      </c>
      <c r="E11221">
        <v>2020</v>
      </c>
      <c r="F11221">
        <v>10</v>
      </c>
      <c r="G11221">
        <v>13297</v>
      </c>
      <c r="H11221" s="1">
        <v>0</v>
      </c>
      <c r="I11221">
        <v>0</v>
      </c>
      <c r="J11221">
        <f>IF($H11221=0,1,IF($I11221&lt;=1,2,0))</f>
        <v>1</v>
      </c>
      <c r="K11221">
        <v>5</v>
      </c>
      <c r="L11221">
        <f>IF(AND($J11221=0,$K11221=0),0,1)</f>
        <v>1</v>
      </c>
    </row>
    <row r="11222" spans="1:12" x14ac:dyDescent="0.2">
      <c r="A11222" t="s">
        <v>174</v>
      </c>
      <c r="B11222" t="s">
        <v>71</v>
      </c>
      <c r="C11222" t="s">
        <v>72</v>
      </c>
      <c r="D11222">
        <v>9900</v>
      </c>
      <c r="E11222">
        <v>2020</v>
      </c>
      <c r="F11222">
        <v>11</v>
      </c>
      <c r="G11222">
        <v>13298</v>
      </c>
      <c r="H11222" s="1">
        <v>0</v>
      </c>
      <c r="I11222">
        <v>0</v>
      </c>
      <c r="J11222">
        <f>IF($H11222=0,1,IF($I11222&lt;=1,2,0))</f>
        <v>1</v>
      </c>
      <c r="K11222">
        <v>5</v>
      </c>
      <c r="L11222">
        <f>IF(AND($J11222=0,$K11222=0),0,1)</f>
        <v>1</v>
      </c>
    </row>
    <row r="11223" spans="1:12" x14ac:dyDescent="0.2">
      <c r="A11223" t="s">
        <v>174</v>
      </c>
      <c r="B11223" t="s">
        <v>71</v>
      </c>
      <c r="C11223" t="s">
        <v>72</v>
      </c>
      <c r="D11223">
        <v>9900</v>
      </c>
      <c r="E11223">
        <v>2020</v>
      </c>
      <c r="F11223">
        <v>12</v>
      </c>
      <c r="G11223">
        <v>13299</v>
      </c>
      <c r="H11223" s="1">
        <v>0</v>
      </c>
      <c r="I11223">
        <v>0</v>
      </c>
      <c r="J11223">
        <f>IF($H11223=0,1,IF($I11223&lt;=1,2,0))</f>
        <v>1</v>
      </c>
      <c r="K11223">
        <v>5</v>
      </c>
      <c r="L11223">
        <f>IF(AND($J11223=0,$K11223=0),0,1)</f>
        <v>1</v>
      </c>
    </row>
    <row r="11224" spans="1:12" x14ac:dyDescent="0.2">
      <c r="A11224" t="s">
        <v>174</v>
      </c>
      <c r="B11224" t="s">
        <v>71</v>
      </c>
      <c r="C11224" t="s">
        <v>72</v>
      </c>
      <c r="D11224">
        <v>9900</v>
      </c>
      <c r="E11224">
        <v>2020</v>
      </c>
      <c r="F11224">
        <v>13</v>
      </c>
      <c r="G11224">
        <v>13300</v>
      </c>
      <c r="H11224" s="1">
        <v>0</v>
      </c>
      <c r="I11224">
        <v>0</v>
      </c>
      <c r="J11224">
        <f>IF($H11224=0,1,IF($I11224&lt;=1,2,0))</f>
        <v>1</v>
      </c>
      <c r="K11224">
        <v>5</v>
      </c>
      <c r="L11224">
        <f>IF(AND($J11224=0,$K11224=0),0,1)</f>
        <v>1</v>
      </c>
    </row>
    <row r="11225" spans="1:12" x14ac:dyDescent="0.2">
      <c r="A11225" t="s">
        <v>174</v>
      </c>
      <c r="B11225" t="s">
        <v>71</v>
      </c>
      <c r="C11225" t="s">
        <v>72</v>
      </c>
      <c r="D11225">
        <v>9900</v>
      </c>
      <c r="E11225">
        <v>2020</v>
      </c>
      <c r="F11225">
        <v>14</v>
      </c>
      <c r="G11225">
        <v>13301</v>
      </c>
      <c r="H11225" s="1">
        <v>0</v>
      </c>
      <c r="I11225">
        <v>0</v>
      </c>
      <c r="J11225">
        <f>IF($H11225=0,1,IF($I11225&lt;=1,2,0))</f>
        <v>1</v>
      </c>
      <c r="K11225">
        <v>5</v>
      </c>
      <c r="L11225">
        <f>IF(AND($J11225=0,$K11225=0),0,1)</f>
        <v>1</v>
      </c>
    </row>
    <row r="11226" spans="1:12" x14ac:dyDescent="0.2">
      <c r="A11226" t="s">
        <v>174</v>
      </c>
      <c r="B11226" t="s">
        <v>71</v>
      </c>
      <c r="C11226" t="s">
        <v>72</v>
      </c>
      <c r="D11226">
        <v>9900</v>
      </c>
      <c r="E11226">
        <v>2020</v>
      </c>
      <c r="F11226">
        <v>15</v>
      </c>
      <c r="G11226">
        <v>13302</v>
      </c>
      <c r="H11226" s="1">
        <v>0</v>
      </c>
      <c r="I11226">
        <v>0</v>
      </c>
      <c r="J11226">
        <f>IF($H11226=0,1,IF($I11226&lt;=1,2,0))</f>
        <v>1</v>
      </c>
      <c r="K11226">
        <v>5</v>
      </c>
      <c r="L11226">
        <f>IF(AND($J11226=0,$K11226=0),0,1)</f>
        <v>1</v>
      </c>
    </row>
    <row r="11227" spans="1:12" x14ac:dyDescent="0.2">
      <c r="A11227" t="s">
        <v>174</v>
      </c>
      <c r="B11227" t="s">
        <v>71</v>
      </c>
      <c r="C11227" t="s">
        <v>72</v>
      </c>
      <c r="D11227">
        <v>9900</v>
      </c>
      <c r="E11227">
        <v>2020</v>
      </c>
      <c r="F11227">
        <v>16</v>
      </c>
      <c r="G11227">
        <v>13303</v>
      </c>
      <c r="H11227" s="1">
        <v>0</v>
      </c>
      <c r="I11227">
        <v>0</v>
      </c>
      <c r="J11227">
        <f>IF($H11227=0,1,IF($I11227&lt;=1,2,0))</f>
        <v>1</v>
      </c>
      <c r="K11227">
        <v>5</v>
      </c>
      <c r="L11227">
        <f>IF(AND($J11227=0,$K11227=0),0,1)</f>
        <v>1</v>
      </c>
    </row>
    <row r="11228" spans="1:12" x14ac:dyDescent="0.2">
      <c r="A11228" t="s">
        <v>174</v>
      </c>
      <c r="B11228" t="s">
        <v>71</v>
      </c>
      <c r="C11228" t="s">
        <v>72</v>
      </c>
      <c r="D11228">
        <v>9900</v>
      </c>
      <c r="E11228">
        <v>2020</v>
      </c>
      <c r="F11228">
        <v>17</v>
      </c>
      <c r="G11228">
        <v>13304</v>
      </c>
      <c r="H11228" s="1">
        <v>0</v>
      </c>
      <c r="I11228">
        <v>0</v>
      </c>
      <c r="J11228">
        <f>IF($H11228=0,1,IF($I11228&lt;=1,2,0))</f>
        <v>1</v>
      </c>
      <c r="K11228">
        <v>5</v>
      </c>
      <c r="L11228">
        <f>IF(AND($J11228=0,$K11228=0),0,1)</f>
        <v>1</v>
      </c>
    </row>
    <row r="11229" spans="1:12" x14ac:dyDescent="0.2">
      <c r="A11229" t="s">
        <v>174</v>
      </c>
      <c r="B11229" t="s">
        <v>71</v>
      </c>
      <c r="C11229" t="s">
        <v>72</v>
      </c>
      <c r="D11229">
        <v>9900</v>
      </c>
      <c r="E11229">
        <v>2020</v>
      </c>
      <c r="F11229">
        <v>18</v>
      </c>
      <c r="G11229">
        <v>13305</v>
      </c>
      <c r="H11229" s="1">
        <v>0</v>
      </c>
      <c r="I11229">
        <v>0</v>
      </c>
      <c r="J11229">
        <f>IF($H11229=0,1,IF($I11229&lt;=1,2,0))</f>
        <v>1</v>
      </c>
      <c r="K11229">
        <v>5</v>
      </c>
      <c r="L11229">
        <f>IF(AND($J11229=0,$K11229=0),0,1)</f>
        <v>1</v>
      </c>
    </row>
    <row r="11230" spans="1:12" x14ac:dyDescent="0.2">
      <c r="A11230" t="s">
        <v>174</v>
      </c>
      <c r="B11230" t="s">
        <v>71</v>
      </c>
      <c r="C11230" t="s">
        <v>72</v>
      </c>
      <c r="D11230">
        <v>9900</v>
      </c>
      <c r="E11230">
        <v>2020</v>
      </c>
      <c r="F11230">
        <v>19</v>
      </c>
      <c r="G11230">
        <v>13306</v>
      </c>
      <c r="H11230" s="1">
        <v>0</v>
      </c>
      <c r="I11230">
        <v>0</v>
      </c>
      <c r="J11230">
        <f>IF($H11230=0,1,IF($I11230&lt;=1,2,0))</f>
        <v>1</v>
      </c>
      <c r="K11230">
        <v>5</v>
      </c>
      <c r="L11230">
        <f>IF(AND($J11230=0,$K11230=0),0,1)</f>
        <v>1</v>
      </c>
    </row>
    <row r="11231" spans="1:12" x14ac:dyDescent="0.2">
      <c r="A11231" t="s">
        <v>174</v>
      </c>
      <c r="B11231" t="s">
        <v>71</v>
      </c>
      <c r="C11231" t="s">
        <v>72</v>
      </c>
      <c r="D11231">
        <v>9900</v>
      </c>
      <c r="E11231">
        <v>2020</v>
      </c>
      <c r="F11231">
        <v>20</v>
      </c>
      <c r="G11231">
        <v>13307</v>
      </c>
      <c r="H11231" s="1">
        <v>0</v>
      </c>
      <c r="I11231">
        <v>0</v>
      </c>
      <c r="J11231">
        <f>IF($H11231=0,1,IF($I11231&lt;=1,2,0))</f>
        <v>1</v>
      </c>
      <c r="K11231">
        <v>5</v>
      </c>
      <c r="L11231">
        <f>IF(AND($J11231=0,$K11231=0),0,1)</f>
        <v>1</v>
      </c>
    </row>
    <row r="11232" spans="1:12" x14ac:dyDescent="0.2">
      <c r="A11232" t="s">
        <v>174</v>
      </c>
      <c r="B11232" t="s">
        <v>71</v>
      </c>
      <c r="C11232" t="s">
        <v>72</v>
      </c>
      <c r="D11232">
        <v>9900</v>
      </c>
      <c r="E11232">
        <v>2020</v>
      </c>
      <c r="F11232">
        <v>21</v>
      </c>
      <c r="G11232">
        <v>13308</v>
      </c>
      <c r="H11232" s="1">
        <v>0</v>
      </c>
      <c r="I11232">
        <v>0</v>
      </c>
      <c r="J11232">
        <f>IF($H11232=0,1,IF($I11232&lt;=1,2,0))</f>
        <v>1</v>
      </c>
      <c r="K11232">
        <v>5</v>
      </c>
      <c r="L11232">
        <f>IF(AND($J11232=0,$K11232=0),0,1)</f>
        <v>1</v>
      </c>
    </row>
    <row r="11233" spans="1:13" x14ac:dyDescent="0.2">
      <c r="A11233" t="s">
        <v>174</v>
      </c>
      <c r="B11233" t="s">
        <v>71</v>
      </c>
      <c r="C11233" t="s">
        <v>72</v>
      </c>
      <c r="D11233">
        <v>9900</v>
      </c>
      <c r="E11233">
        <v>2020</v>
      </c>
      <c r="F11233">
        <v>22</v>
      </c>
      <c r="G11233">
        <v>13309</v>
      </c>
      <c r="H11233" s="1">
        <v>0</v>
      </c>
      <c r="I11233">
        <v>0</v>
      </c>
      <c r="J11233">
        <f>IF($H11233=0,1,IF($I11233&lt;=1,2,0))</f>
        <v>1</v>
      </c>
      <c r="K11233">
        <v>5</v>
      </c>
      <c r="L11233">
        <f>IF(AND($J11233=0,$K11233=0),0,1)</f>
        <v>1</v>
      </c>
    </row>
    <row r="11234" spans="1:13" x14ac:dyDescent="0.2">
      <c r="A11234" t="s">
        <v>174</v>
      </c>
      <c r="B11234" t="s">
        <v>71</v>
      </c>
      <c r="C11234" t="s">
        <v>72</v>
      </c>
      <c r="D11234">
        <v>9900</v>
      </c>
      <c r="E11234">
        <v>2020</v>
      </c>
      <c r="F11234">
        <v>23</v>
      </c>
      <c r="G11234">
        <v>13310</v>
      </c>
      <c r="H11234" s="1">
        <v>0</v>
      </c>
      <c r="I11234">
        <v>0</v>
      </c>
      <c r="J11234">
        <f>IF($H11234=0,1,IF($I11234&lt;=1,2,0))</f>
        <v>1</v>
      </c>
      <c r="K11234">
        <v>5</v>
      </c>
      <c r="L11234">
        <f>IF(AND($J11234=0,$K11234=0),0,1)</f>
        <v>1</v>
      </c>
    </row>
    <row r="11235" spans="1:13" x14ac:dyDescent="0.2">
      <c r="A11235" t="s">
        <v>174</v>
      </c>
      <c r="B11235" t="s">
        <v>71</v>
      </c>
      <c r="C11235" t="s">
        <v>72</v>
      </c>
      <c r="D11235">
        <v>9900</v>
      </c>
      <c r="E11235">
        <v>2020</v>
      </c>
      <c r="F11235">
        <v>24</v>
      </c>
      <c r="G11235">
        <v>13311</v>
      </c>
      <c r="H11235" s="1">
        <v>0</v>
      </c>
      <c r="I11235">
        <v>0</v>
      </c>
      <c r="J11235">
        <f>IF($H11235=0,1,IF($I11235&lt;=1,2,0))</f>
        <v>1</v>
      </c>
      <c r="K11235">
        <v>5</v>
      </c>
      <c r="L11235">
        <f>IF(AND($J11235=0,$K11235=0),0,1)</f>
        <v>1</v>
      </c>
    </row>
    <row r="11236" spans="1:13" x14ac:dyDescent="0.2">
      <c r="A11236" t="s">
        <v>174</v>
      </c>
      <c r="B11236" t="s">
        <v>71</v>
      </c>
      <c r="C11236" t="s">
        <v>72</v>
      </c>
      <c r="D11236">
        <v>9900</v>
      </c>
      <c r="E11236">
        <v>2020</v>
      </c>
      <c r="F11236">
        <v>25</v>
      </c>
      <c r="G11236">
        <v>13312</v>
      </c>
      <c r="H11236" s="1">
        <v>0</v>
      </c>
      <c r="I11236">
        <v>0</v>
      </c>
      <c r="J11236">
        <f>IF($H11236=0,1,IF($I11236&lt;=1,2,0))</f>
        <v>1</v>
      </c>
      <c r="K11236">
        <v>5</v>
      </c>
      <c r="L11236">
        <f>IF(AND($J11236=0,$K11236=0),0,1)</f>
        <v>1</v>
      </c>
    </row>
    <row r="11237" spans="1:13" x14ac:dyDescent="0.2">
      <c r="A11237" t="s">
        <v>174</v>
      </c>
      <c r="B11237" t="s">
        <v>71</v>
      </c>
      <c r="C11237" t="s">
        <v>72</v>
      </c>
      <c r="D11237">
        <v>9900</v>
      </c>
      <c r="E11237">
        <v>2020</v>
      </c>
      <c r="F11237">
        <v>26</v>
      </c>
      <c r="G11237">
        <v>13313</v>
      </c>
      <c r="H11237" s="1">
        <v>0</v>
      </c>
      <c r="I11237">
        <v>0</v>
      </c>
      <c r="J11237">
        <f>IF($H11237=0,1,IF($I11237&lt;=1,2,0))</f>
        <v>1</v>
      </c>
      <c r="K11237">
        <v>5</v>
      </c>
      <c r="L11237">
        <f>IF(AND($J11237=0,$K11237=0),0,1)</f>
        <v>1</v>
      </c>
    </row>
    <row r="11238" spans="1:13" x14ac:dyDescent="0.2">
      <c r="A11238" t="s">
        <v>174</v>
      </c>
      <c r="B11238" t="s">
        <v>71</v>
      </c>
      <c r="C11238" t="s">
        <v>72</v>
      </c>
      <c r="D11238">
        <v>9900</v>
      </c>
      <c r="E11238">
        <v>2020</v>
      </c>
      <c r="F11238">
        <v>27</v>
      </c>
      <c r="G11238">
        <v>13314</v>
      </c>
      <c r="H11238" s="1">
        <v>0</v>
      </c>
      <c r="I11238">
        <v>0</v>
      </c>
      <c r="J11238">
        <f>IF($H11238=0,1,IF($I11238&lt;=1,2,0))</f>
        <v>1</v>
      </c>
      <c r="K11238">
        <v>5</v>
      </c>
      <c r="L11238">
        <f>IF(AND($J11238=0,$K11238=0),0,1)</f>
        <v>1</v>
      </c>
    </row>
    <row r="11239" spans="1:13" x14ac:dyDescent="0.2">
      <c r="A11239" t="s">
        <v>174</v>
      </c>
      <c r="B11239" t="s">
        <v>71</v>
      </c>
      <c r="C11239" t="s">
        <v>72</v>
      </c>
      <c r="D11239">
        <v>9900</v>
      </c>
      <c r="E11239">
        <v>2020</v>
      </c>
      <c r="F11239">
        <v>28</v>
      </c>
      <c r="G11239">
        <v>13315</v>
      </c>
      <c r="H11239" s="1">
        <v>0</v>
      </c>
      <c r="I11239">
        <v>0</v>
      </c>
      <c r="J11239">
        <f>IF($H11239=0,1,IF($I11239&lt;=1,2,0))</f>
        <v>1</v>
      </c>
      <c r="K11239">
        <v>5</v>
      </c>
      <c r="L11239">
        <f>IF(AND($J11239=0,$K11239=0),0,1)</f>
        <v>1</v>
      </c>
    </row>
    <row r="11240" spans="1:13" x14ac:dyDescent="0.2">
      <c r="A11240" t="s">
        <v>174</v>
      </c>
      <c r="B11240" t="s">
        <v>71</v>
      </c>
      <c r="C11240" t="s">
        <v>72</v>
      </c>
      <c r="D11240">
        <v>9900</v>
      </c>
      <c r="E11240">
        <v>2020</v>
      </c>
      <c r="F11240">
        <v>29</v>
      </c>
      <c r="G11240">
        <v>13316</v>
      </c>
      <c r="H11240" s="1">
        <v>0</v>
      </c>
      <c r="I11240">
        <v>0</v>
      </c>
      <c r="J11240">
        <f>IF($H11240=0,1,IF($I11240&lt;=1,2,0))</f>
        <v>1</v>
      </c>
      <c r="K11240">
        <v>5</v>
      </c>
      <c r="L11240">
        <f>IF(AND($J11240=0,$K11240=0),0,1)</f>
        <v>1</v>
      </c>
    </row>
    <row r="11241" spans="1:13" x14ac:dyDescent="0.2">
      <c r="A11241" t="s">
        <v>174</v>
      </c>
      <c r="B11241" t="s">
        <v>71</v>
      </c>
      <c r="C11241" t="s">
        <v>72</v>
      </c>
      <c r="D11241">
        <v>9900</v>
      </c>
      <c r="E11241">
        <v>2020</v>
      </c>
      <c r="F11241">
        <v>30</v>
      </c>
      <c r="G11241">
        <v>13317</v>
      </c>
      <c r="H11241" s="1">
        <v>0</v>
      </c>
      <c r="I11241">
        <v>0</v>
      </c>
      <c r="J11241">
        <f>IF($H11241=0,1,IF($I11241&lt;=1,2,0))</f>
        <v>1</v>
      </c>
      <c r="K11241">
        <v>5</v>
      </c>
      <c r="L11241">
        <f>IF(AND($J11241=0,$K11241=0),0,1)</f>
        <v>1</v>
      </c>
    </row>
    <row r="11242" spans="1:13" x14ac:dyDescent="0.2">
      <c r="A11242" t="s">
        <v>182</v>
      </c>
      <c r="B11242" t="s">
        <v>6</v>
      </c>
      <c r="C11242" t="s">
        <v>193</v>
      </c>
      <c r="D11242">
        <v>999</v>
      </c>
      <c r="E11242">
        <v>2020</v>
      </c>
      <c r="F11242">
        <v>1</v>
      </c>
      <c r="G11242">
        <v>22238</v>
      </c>
      <c r="H11242" s="1">
        <v>12</v>
      </c>
      <c r="I11242">
        <v>0</v>
      </c>
      <c r="J11242">
        <f>IF($H11242=0,1,IF($I11242&lt;=1,2,0))</f>
        <v>2</v>
      </c>
      <c r="K11242">
        <v>0</v>
      </c>
      <c r="L11242">
        <f>IF(AND($J11242=0,$K11242=0),0,1)</f>
        <v>1</v>
      </c>
    </row>
    <row r="11243" spans="1:13" x14ac:dyDescent="0.2">
      <c r="A11243" t="s">
        <v>182</v>
      </c>
      <c r="B11243" t="s">
        <v>6</v>
      </c>
      <c r="C11243" t="s">
        <v>183</v>
      </c>
      <c r="D11243">
        <v>4007</v>
      </c>
      <c r="E11243">
        <v>2020</v>
      </c>
      <c r="F11243">
        <v>1</v>
      </c>
      <c r="G11243">
        <v>12631</v>
      </c>
      <c r="H11243" s="1">
        <v>3</v>
      </c>
      <c r="I11243">
        <v>11</v>
      </c>
      <c r="J11243">
        <f>IF($H11243=0,1,IF($I11243&lt;=1,2,0))</f>
        <v>0</v>
      </c>
      <c r="K11243">
        <v>6</v>
      </c>
      <c r="L11243">
        <f>IF(AND($J11243=0,$K11243=0),0,1)</f>
        <v>1</v>
      </c>
      <c r="M11243" t="s">
        <v>184</v>
      </c>
    </row>
    <row r="11244" spans="1:13" x14ac:dyDescent="0.2">
      <c r="A11244" t="s">
        <v>182</v>
      </c>
      <c r="B11244" t="s">
        <v>6</v>
      </c>
      <c r="C11244" t="s">
        <v>183</v>
      </c>
      <c r="D11244">
        <v>5001</v>
      </c>
      <c r="E11244">
        <v>2020</v>
      </c>
      <c r="F11244" t="s">
        <v>185</v>
      </c>
      <c r="G11244">
        <v>12636</v>
      </c>
      <c r="H11244" s="1">
        <v>3</v>
      </c>
      <c r="I11244">
        <v>35</v>
      </c>
      <c r="J11244">
        <f>IF($H11244=0,1,IF($I11244&lt;=1,2,0))</f>
        <v>0</v>
      </c>
      <c r="K11244">
        <v>6</v>
      </c>
      <c r="L11244">
        <f>IF(AND($J11244=0,$K11244=0),0,1)</f>
        <v>1</v>
      </c>
      <c r="M11244" t="s">
        <v>187</v>
      </c>
    </row>
    <row r="11245" spans="1:13" x14ac:dyDescent="0.2">
      <c r="A11245" t="s">
        <v>182</v>
      </c>
      <c r="B11245" t="s">
        <v>6</v>
      </c>
      <c r="C11245" t="s">
        <v>183</v>
      </c>
      <c r="D11245">
        <v>5001</v>
      </c>
      <c r="E11245">
        <v>2020</v>
      </c>
      <c r="F11245">
        <v>3</v>
      </c>
      <c r="G11245">
        <v>12635</v>
      </c>
      <c r="H11245" s="1">
        <v>3</v>
      </c>
      <c r="I11245">
        <v>29</v>
      </c>
      <c r="J11245">
        <f>IF($H11245=0,1,IF($I11245&lt;=1,2,0))</f>
        <v>0</v>
      </c>
      <c r="K11245">
        <v>6</v>
      </c>
      <c r="L11245">
        <f>IF(AND($J11245=0,$K11245=0),0,1)</f>
        <v>1</v>
      </c>
      <c r="M11245" t="s">
        <v>186</v>
      </c>
    </row>
    <row r="11246" spans="1:13" x14ac:dyDescent="0.2">
      <c r="A11246" t="s">
        <v>182</v>
      </c>
      <c r="B11246" t="s">
        <v>6</v>
      </c>
      <c r="C11246" t="s">
        <v>183</v>
      </c>
      <c r="D11246">
        <v>5001</v>
      </c>
      <c r="E11246">
        <v>2020</v>
      </c>
      <c r="F11246">
        <v>1</v>
      </c>
      <c r="G11246">
        <v>12634</v>
      </c>
      <c r="H11246" s="1">
        <v>3</v>
      </c>
      <c r="I11246">
        <v>12</v>
      </c>
      <c r="J11246">
        <f>IF($H11246=0,1,IF($I11246&lt;=1,2,0))</f>
        <v>0</v>
      </c>
      <c r="K11246">
        <v>6</v>
      </c>
      <c r="L11246">
        <f>IF(AND($J11246=0,$K11246=0),0,1)</f>
        <v>1</v>
      </c>
      <c r="M11246" t="s">
        <v>913</v>
      </c>
    </row>
    <row r="11247" spans="1:13" x14ac:dyDescent="0.2">
      <c r="A11247" t="s">
        <v>182</v>
      </c>
      <c r="B11247" t="s">
        <v>6</v>
      </c>
      <c r="C11247" t="s">
        <v>183</v>
      </c>
      <c r="D11247">
        <v>5003</v>
      </c>
      <c r="E11247">
        <v>2020</v>
      </c>
      <c r="F11247">
        <v>3</v>
      </c>
      <c r="G11247">
        <v>12638</v>
      </c>
      <c r="H11247" s="1">
        <v>3</v>
      </c>
      <c r="I11247">
        <v>27</v>
      </c>
      <c r="J11247">
        <f>IF($H11247=0,1,IF($I11247&lt;=1,2,0))</f>
        <v>0</v>
      </c>
      <c r="K11247">
        <v>6</v>
      </c>
      <c r="L11247">
        <f>IF(AND($J11247=0,$K11247=0),0,1)</f>
        <v>1</v>
      </c>
    </row>
    <row r="11248" spans="1:13" x14ac:dyDescent="0.2">
      <c r="A11248" t="s">
        <v>182</v>
      </c>
      <c r="B11248" t="s">
        <v>6</v>
      </c>
      <c r="C11248" t="s">
        <v>183</v>
      </c>
      <c r="D11248">
        <v>5003</v>
      </c>
      <c r="E11248">
        <v>2020</v>
      </c>
      <c r="F11248" t="s">
        <v>185</v>
      </c>
      <c r="G11248">
        <v>12639</v>
      </c>
      <c r="H11248" s="1">
        <v>3</v>
      </c>
      <c r="I11248">
        <v>13</v>
      </c>
      <c r="J11248">
        <f>IF($H11248=0,1,IF($I11248&lt;=1,2,0))</f>
        <v>0</v>
      </c>
      <c r="K11248">
        <v>6</v>
      </c>
      <c r="L11248">
        <f>IF(AND($J11248=0,$K11248=0),0,1)</f>
        <v>1</v>
      </c>
      <c r="M11248" t="s">
        <v>184</v>
      </c>
    </row>
    <row r="11249" spans="1:13" x14ac:dyDescent="0.2">
      <c r="A11249" t="s">
        <v>182</v>
      </c>
      <c r="B11249" t="s">
        <v>6</v>
      </c>
      <c r="C11249" t="s">
        <v>183</v>
      </c>
      <c r="D11249">
        <v>5003</v>
      </c>
      <c r="E11249">
        <v>2020</v>
      </c>
      <c r="F11249">
        <v>1</v>
      </c>
      <c r="G11249">
        <v>12637</v>
      </c>
      <c r="H11249" s="1">
        <v>3</v>
      </c>
      <c r="I11249">
        <v>3</v>
      </c>
      <c r="J11249">
        <f>IF($H11249=0,1,IF($I11249&lt;=1,2,0))</f>
        <v>0</v>
      </c>
      <c r="K11249">
        <v>6</v>
      </c>
      <c r="L11249">
        <f>IF(AND($J11249=0,$K11249=0),0,1)</f>
        <v>1</v>
      </c>
      <c r="M11249" t="s">
        <v>184</v>
      </c>
    </row>
    <row r="11250" spans="1:13" x14ac:dyDescent="0.2">
      <c r="A11250" t="s">
        <v>182</v>
      </c>
      <c r="B11250" t="s">
        <v>6</v>
      </c>
      <c r="C11250" t="s">
        <v>183</v>
      </c>
      <c r="D11250">
        <v>5008</v>
      </c>
      <c r="E11250">
        <v>2020</v>
      </c>
      <c r="F11250">
        <v>1</v>
      </c>
      <c r="G11250">
        <v>12641</v>
      </c>
      <c r="H11250" s="1">
        <v>3</v>
      </c>
      <c r="I11250">
        <v>14</v>
      </c>
      <c r="J11250">
        <f>IF($H11250=0,1,IF($I11250&lt;=1,2,0))</f>
        <v>0</v>
      </c>
      <c r="K11250">
        <v>6</v>
      </c>
      <c r="L11250">
        <f>IF(AND($J11250=0,$K11250=0),0,1)</f>
        <v>1</v>
      </c>
      <c r="M11250" t="s">
        <v>184</v>
      </c>
    </row>
    <row r="11251" spans="1:13" x14ac:dyDescent="0.2">
      <c r="A11251" t="s">
        <v>182</v>
      </c>
      <c r="B11251" t="s">
        <v>6</v>
      </c>
      <c r="C11251" t="s">
        <v>183</v>
      </c>
      <c r="D11251">
        <v>5009</v>
      </c>
      <c r="E11251">
        <v>2020</v>
      </c>
      <c r="F11251">
        <v>1</v>
      </c>
      <c r="G11251">
        <v>12642</v>
      </c>
      <c r="H11251" s="1">
        <v>3</v>
      </c>
      <c r="I11251">
        <v>33</v>
      </c>
      <c r="J11251">
        <f>IF($H11251=0,1,IF($I11251&lt;=1,2,0))</f>
        <v>0</v>
      </c>
      <c r="K11251">
        <v>6</v>
      </c>
      <c r="L11251">
        <f>IF(AND($J11251=0,$K11251=0),0,1)</f>
        <v>1</v>
      </c>
    </row>
    <row r="11252" spans="1:13" x14ac:dyDescent="0.2">
      <c r="A11252" t="s">
        <v>182</v>
      </c>
      <c r="B11252" t="s">
        <v>6</v>
      </c>
      <c r="C11252" t="s">
        <v>183</v>
      </c>
      <c r="D11252">
        <v>5009</v>
      </c>
      <c r="E11252">
        <v>2020</v>
      </c>
      <c r="F11252">
        <v>3</v>
      </c>
      <c r="G11252">
        <v>12643</v>
      </c>
      <c r="H11252" s="1">
        <v>3</v>
      </c>
      <c r="I11252">
        <v>23</v>
      </c>
      <c r="J11252">
        <f>IF($H11252=0,1,IF($I11252&lt;=1,2,0))</f>
        <v>0</v>
      </c>
      <c r="K11252">
        <v>6</v>
      </c>
      <c r="L11252">
        <f>IF(AND($J11252=0,$K11252=0),0,1)</f>
        <v>1</v>
      </c>
    </row>
    <row r="11253" spans="1:13" x14ac:dyDescent="0.2">
      <c r="A11253" t="s">
        <v>182</v>
      </c>
      <c r="B11253" t="s">
        <v>6</v>
      </c>
      <c r="C11253" t="s">
        <v>183</v>
      </c>
      <c r="D11253">
        <v>5009</v>
      </c>
      <c r="E11253">
        <v>2020</v>
      </c>
      <c r="F11253" t="s">
        <v>185</v>
      </c>
      <c r="G11253">
        <v>12644</v>
      </c>
      <c r="H11253" s="1">
        <v>3</v>
      </c>
      <c r="I11253">
        <v>15</v>
      </c>
      <c r="J11253">
        <f>IF($H11253=0,1,IF($I11253&lt;=1,2,0))</f>
        <v>0</v>
      </c>
      <c r="K11253">
        <v>6</v>
      </c>
      <c r="L11253">
        <f>IF(AND($J11253=0,$K11253=0),0,1)</f>
        <v>1</v>
      </c>
      <c r="M11253" t="s">
        <v>184</v>
      </c>
    </row>
    <row r="11254" spans="1:13" x14ac:dyDescent="0.2">
      <c r="A11254" t="s">
        <v>182</v>
      </c>
      <c r="B11254" t="s">
        <v>6</v>
      </c>
      <c r="C11254" t="s">
        <v>183</v>
      </c>
      <c r="D11254">
        <v>5010</v>
      </c>
      <c r="E11254">
        <v>2020</v>
      </c>
      <c r="F11254" t="s">
        <v>185</v>
      </c>
      <c r="G11254">
        <v>12649</v>
      </c>
      <c r="H11254" s="1">
        <v>3</v>
      </c>
      <c r="I11254">
        <v>17</v>
      </c>
      <c r="J11254">
        <f>IF($H11254=0,1,IF($I11254&lt;=1,2,0))</f>
        <v>0</v>
      </c>
      <c r="K11254">
        <v>6</v>
      </c>
      <c r="L11254">
        <f>IF(AND($J11254=0,$K11254=0),0,1)</f>
        <v>1</v>
      </c>
      <c r="M11254" t="s">
        <v>914</v>
      </c>
    </row>
    <row r="11255" spans="1:13" x14ac:dyDescent="0.2">
      <c r="A11255" t="s">
        <v>182</v>
      </c>
      <c r="B11255" t="s">
        <v>6</v>
      </c>
      <c r="C11255" t="s">
        <v>183</v>
      </c>
      <c r="D11255">
        <v>5010</v>
      </c>
      <c r="E11255">
        <v>2020</v>
      </c>
      <c r="F11255">
        <v>4</v>
      </c>
      <c r="G11255">
        <v>12647</v>
      </c>
      <c r="H11255" s="1">
        <v>3</v>
      </c>
      <c r="I11255">
        <v>14</v>
      </c>
      <c r="J11255">
        <f>IF($H11255=0,1,IF($I11255&lt;=1,2,0))</f>
        <v>0</v>
      </c>
      <c r="K11255">
        <v>6</v>
      </c>
      <c r="L11255">
        <f>IF(AND($J11255=0,$K11255=0),0,1)</f>
        <v>1</v>
      </c>
      <c r="M11255" t="s">
        <v>186</v>
      </c>
    </row>
    <row r="11256" spans="1:13" x14ac:dyDescent="0.2">
      <c r="A11256" t="s">
        <v>182</v>
      </c>
      <c r="B11256" t="s">
        <v>6</v>
      </c>
      <c r="C11256" t="s">
        <v>183</v>
      </c>
      <c r="D11256">
        <v>5010</v>
      </c>
      <c r="E11256">
        <v>2020</v>
      </c>
      <c r="F11256">
        <v>3</v>
      </c>
      <c r="G11256">
        <v>12646</v>
      </c>
      <c r="H11256" s="1">
        <v>3</v>
      </c>
      <c r="I11256">
        <v>6</v>
      </c>
      <c r="J11256">
        <f>IF($H11256=0,1,IF($I11256&lt;=1,2,0))</f>
        <v>0</v>
      </c>
      <c r="K11256">
        <v>6</v>
      </c>
      <c r="L11256">
        <f>IF(AND($J11256=0,$K11256=0),0,1)</f>
        <v>1</v>
      </c>
      <c r="M11256" t="s">
        <v>186</v>
      </c>
    </row>
    <row r="11257" spans="1:13" x14ac:dyDescent="0.2">
      <c r="A11257" t="s">
        <v>182</v>
      </c>
      <c r="B11257" t="s">
        <v>6</v>
      </c>
      <c r="C11257" t="s">
        <v>183</v>
      </c>
      <c r="D11257">
        <v>5020</v>
      </c>
      <c r="E11257">
        <v>2020</v>
      </c>
      <c r="F11257">
        <v>1</v>
      </c>
      <c r="G11257">
        <v>12780</v>
      </c>
      <c r="H11257" s="1">
        <v>3</v>
      </c>
      <c r="I11257">
        <v>18</v>
      </c>
      <c r="J11257">
        <f>IF($H11257=0,1,IF($I11257&lt;=1,2,0))</f>
        <v>0</v>
      </c>
      <c r="K11257">
        <v>6</v>
      </c>
      <c r="L11257">
        <f>IF(AND($J11257=0,$K11257=0),0,1)</f>
        <v>1</v>
      </c>
    </row>
    <row r="11258" spans="1:13" x14ac:dyDescent="0.2">
      <c r="A11258" t="s">
        <v>182</v>
      </c>
      <c r="B11258" t="s">
        <v>6</v>
      </c>
      <c r="C11258" t="s">
        <v>183</v>
      </c>
      <c r="D11258">
        <v>5020</v>
      </c>
      <c r="E11258">
        <v>2020</v>
      </c>
      <c r="F11258" t="s">
        <v>185</v>
      </c>
      <c r="G11258">
        <v>12781</v>
      </c>
      <c r="H11258" s="1">
        <v>3</v>
      </c>
      <c r="I11258">
        <v>8</v>
      </c>
      <c r="J11258">
        <f>IF($H11258=0,1,IF($I11258&lt;=1,2,0))</f>
        <v>0</v>
      </c>
      <c r="K11258">
        <v>6</v>
      </c>
      <c r="L11258">
        <f>IF(AND($J11258=0,$K11258=0),0,1)</f>
        <v>1</v>
      </c>
      <c r="M11258" t="s">
        <v>184</v>
      </c>
    </row>
    <row r="11259" spans="1:13" x14ac:dyDescent="0.2">
      <c r="A11259" t="s">
        <v>182</v>
      </c>
      <c r="B11259" t="s">
        <v>6</v>
      </c>
      <c r="C11259" t="s">
        <v>183</v>
      </c>
      <c r="D11259">
        <v>5025</v>
      </c>
      <c r="E11259">
        <v>2020</v>
      </c>
      <c r="F11259">
        <v>1</v>
      </c>
      <c r="G11259">
        <v>12782</v>
      </c>
      <c r="H11259" s="1">
        <v>3</v>
      </c>
      <c r="I11259">
        <v>25</v>
      </c>
      <c r="J11259">
        <f>IF($H11259=0,1,IF($I11259&lt;=1,2,0))</f>
        <v>0</v>
      </c>
      <c r="K11259">
        <v>6</v>
      </c>
      <c r="L11259">
        <f>IF(AND($J11259=0,$K11259=0),0,1)</f>
        <v>1</v>
      </c>
      <c r="M11259" t="s">
        <v>915</v>
      </c>
    </row>
    <row r="11260" spans="1:13" x14ac:dyDescent="0.2">
      <c r="A11260" t="s">
        <v>182</v>
      </c>
      <c r="B11260" t="s">
        <v>6</v>
      </c>
      <c r="C11260" t="s">
        <v>183</v>
      </c>
      <c r="D11260">
        <v>5030</v>
      </c>
      <c r="E11260">
        <v>2020</v>
      </c>
      <c r="F11260">
        <v>1</v>
      </c>
      <c r="G11260">
        <v>12784</v>
      </c>
      <c r="H11260" s="1">
        <v>3</v>
      </c>
      <c r="I11260">
        <v>8</v>
      </c>
      <c r="J11260">
        <f>IF($H11260=0,1,IF($I11260&lt;=1,2,0))</f>
        <v>0</v>
      </c>
      <c r="K11260">
        <v>6</v>
      </c>
      <c r="L11260">
        <f>IF(AND($J11260=0,$K11260=0),0,1)</f>
        <v>1</v>
      </c>
    </row>
    <row r="11261" spans="1:13" x14ac:dyDescent="0.2">
      <c r="A11261" t="s">
        <v>182</v>
      </c>
      <c r="B11261" t="s">
        <v>6</v>
      </c>
      <c r="C11261" t="s">
        <v>183</v>
      </c>
      <c r="D11261">
        <v>5040</v>
      </c>
      <c r="E11261">
        <v>2020</v>
      </c>
      <c r="F11261">
        <v>2</v>
      </c>
      <c r="G11261">
        <v>12789</v>
      </c>
      <c r="H11261" s="1">
        <v>3</v>
      </c>
      <c r="I11261">
        <v>29</v>
      </c>
      <c r="J11261">
        <f>IF($H11261=0,1,IF($I11261&lt;=1,2,0))</f>
        <v>0</v>
      </c>
      <c r="K11261">
        <v>6</v>
      </c>
      <c r="L11261">
        <f>IF(AND($J11261=0,$K11261=0),0,1)</f>
        <v>1</v>
      </c>
    </row>
    <row r="11262" spans="1:13" x14ac:dyDescent="0.2">
      <c r="A11262" t="s">
        <v>182</v>
      </c>
      <c r="B11262" t="s">
        <v>6</v>
      </c>
      <c r="C11262" t="s">
        <v>183</v>
      </c>
      <c r="D11262">
        <v>5040</v>
      </c>
      <c r="E11262">
        <v>2020</v>
      </c>
      <c r="F11262">
        <v>1</v>
      </c>
      <c r="G11262">
        <v>12788</v>
      </c>
      <c r="H11262" s="1">
        <v>3</v>
      </c>
      <c r="I11262">
        <v>12</v>
      </c>
      <c r="J11262">
        <f>IF($H11262=0,1,IF($I11262&lt;=1,2,0))</f>
        <v>0</v>
      </c>
      <c r="K11262">
        <v>6</v>
      </c>
      <c r="L11262">
        <f>IF(AND($J11262=0,$K11262=0),0,1)</f>
        <v>1</v>
      </c>
    </row>
    <row r="11263" spans="1:13" x14ac:dyDescent="0.2">
      <c r="A11263" t="s">
        <v>182</v>
      </c>
      <c r="B11263" t="s">
        <v>6</v>
      </c>
      <c r="C11263" t="s">
        <v>183</v>
      </c>
      <c r="D11263">
        <v>5110</v>
      </c>
      <c r="E11263">
        <v>2020</v>
      </c>
      <c r="F11263">
        <v>1</v>
      </c>
      <c r="G11263">
        <v>12792</v>
      </c>
      <c r="H11263" s="1">
        <v>3</v>
      </c>
      <c r="I11263">
        <v>3</v>
      </c>
      <c r="J11263">
        <f>IF($H11263=0,1,IF($I11263&lt;=1,2,0))</f>
        <v>0</v>
      </c>
      <c r="K11263">
        <v>6</v>
      </c>
      <c r="L11263">
        <f>IF(AND($J11263=0,$K11263=0),0,1)</f>
        <v>1</v>
      </c>
      <c r="M11263" t="s">
        <v>915</v>
      </c>
    </row>
    <row r="11264" spans="1:13" x14ac:dyDescent="0.2">
      <c r="A11264" t="s">
        <v>182</v>
      </c>
      <c r="B11264" t="s">
        <v>6</v>
      </c>
      <c r="C11264" t="s">
        <v>183</v>
      </c>
      <c r="D11264">
        <v>5225</v>
      </c>
      <c r="E11264">
        <v>2020</v>
      </c>
      <c r="F11264">
        <v>1</v>
      </c>
      <c r="G11264">
        <v>12794</v>
      </c>
      <c r="H11264" s="1">
        <v>3</v>
      </c>
      <c r="I11264">
        <v>9</v>
      </c>
      <c r="J11264">
        <f>IF($H11264=0,1,IF($I11264&lt;=1,2,0))</f>
        <v>0</v>
      </c>
      <c r="K11264">
        <v>6</v>
      </c>
      <c r="L11264">
        <f>IF(AND($J11264=0,$K11264=0),0,1)</f>
        <v>1</v>
      </c>
      <c r="M11264" t="s">
        <v>190</v>
      </c>
    </row>
    <row r="11265" spans="1:13" x14ac:dyDescent="0.2">
      <c r="A11265" t="s">
        <v>182</v>
      </c>
      <c r="B11265" t="s">
        <v>6</v>
      </c>
      <c r="C11265" t="s">
        <v>193</v>
      </c>
      <c r="D11265">
        <v>5757</v>
      </c>
      <c r="E11265">
        <v>2020</v>
      </c>
      <c r="F11265">
        <v>300</v>
      </c>
      <c r="G11265">
        <v>24598</v>
      </c>
      <c r="H11265" s="1">
        <v>3</v>
      </c>
      <c r="I11265">
        <v>1</v>
      </c>
      <c r="J11265">
        <f>IF($H11265=0,1,IF($I11265&lt;=1,2,0))</f>
        <v>2</v>
      </c>
      <c r="K11265">
        <v>6</v>
      </c>
      <c r="L11265">
        <f>IF(AND($J11265=0,$K11265=0),0,1)</f>
        <v>1</v>
      </c>
    </row>
    <row r="11266" spans="1:13" x14ac:dyDescent="0.2">
      <c r="A11266" t="s">
        <v>182</v>
      </c>
      <c r="B11266" t="s">
        <v>6</v>
      </c>
      <c r="C11266" t="s">
        <v>193</v>
      </c>
      <c r="D11266">
        <v>5765</v>
      </c>
      <c r="E11266">
        <v>2020</v>
      </c>
      <c r="F11266">
        <v>300</v>
      </c>
      <c r="G11266">
        <v>24599</v>
      </c>
      <c r="H11266" s="1">
        <v>3</v>
      </c>
      <c r="I11266">
        <v>1</v>
      </c>
      <c r="J11266">
        <f>IF($H11266=0,1,IF($I11266&lt;=1,2,0))</f>
        <v>2</v>
      </c>
      <c r="K11266">
        <v>6</v>
      </c>
      <c r="L11266">
        <f>IF(AND($J11266=0,$K11266=0),0,1)</f>
        <v>1</v>
      </c>
    </row>
    <row r="11267" spans="1:13" x14ac:dyDescent="0.2">
      <c r="A11267" t="s">
        <v>182</v>
      </c>
      <c r="B11267" t="s">
        <v>6</v>
      </c>
      <c r="C11267" t="s">
        <v>193</v>
      </c>
      <c r="D11267">
        <v>7755</v>
      </c>
      <c r="E11267">
        <v>2020</v>
      </c>
      <c r="F11267">
        <v>100</v>
      </c>
      <c r="G11267">
        <v>21707</v>
      </c>
      <c r="H11267" s="1">
        <v>3</v>
      </c>
      <c r="I11267">
        <v>65</v>
      </c>
      <c r="J11267">
        <f>IF($H11267=0,1,IF($I11267&lt;=1,2,0))</f>
        <v>0</v>
      </c>
      <c r="K11267">
        <v>6</v>
      </c>
      <c r="L11267">
        <f>IF(AND($J11267=0,$K11267=0),0,1)</f>
        <v>1</v>
      </c>
    </row>
    <row r="11268" spans="1:13" x14ac:dyDescent="0.2">
      <c r="A11268" t="s">
        <v>182</v>
      </c>
      <c r="B11268" t="s">
        <v>6</v>
      </c>
      <c r="C11268" t="s">
        <v>193</v>
      </c>
      <c r="D11268">
        <v>7800</v>
      </c>
      <c r="E11268">
        <v>2020</v>
      </c>
      <c r="F11268">
        <v>1</v>
      </c>
      <c r="G11268">
        <v>22895</v>
      </c>
      <c r="H11268" s="1">
        <v>3</v>
      </c>
      <c r="I11268">
        <v>3</v>
      </c>
      <c r="J11268">
        <f>IF($H11268=0,1,IF($I11268&lt;=1,2,0))</f>
        <v>0</v>
      </c>
      <c r="K11268">
        <v>6</v>
      </c>
      <c r="L11268">
        <f>IF(AND($J11268=0,$K11268=0),0,1)</f>
        <v>1</v>
      </c>
    </row>
    <row r="11269" spans="1:13" x14ac:dyDescent="0.2">
      <c r="A11269" t="s">
        <v>182</v>
      </c>
      <c r="B11269" t="s">
        <v>6</v>
      </c>
      <c r="C11269" t="s">
        <v>193</v>
      </c>
      <c r="D11269">
        <v>7800</v>
      </c>
      <c r="E11269">
        <v>2020</v>
      </c>
      <c r="F11269">
        <v>2</v>
      </c>
      <c r="G11269">
        <v>22896</v>
      </c>
      <c r="H11269" s="1">
        <v>3</v>
      </c>
      <c r="I11269">
        <v>1</v>
      </c>
      <c r="J11269">
        <f>IF($H11269=0,1,IF($I11269&lt;=1,2,0))</f>
        <v>2</v>
      </c>
      <c r="K11269">
        <v>6</v>
      </c>
      <c r="L11269">
        <f>IF(AND($J11269=0,$K11269=0),0,1)</f>
        <v>1</v>
      </c>
    </row>
    <row r="11270" spans="1:13" x14ac:dyDescent="0.2">
      <c r="A11270" t="s">
        <v>182</v>
      </c>
      <c r="B11270" t="s">
        <v>6</v>
      </c>
      <c r="C11270" t="s">
        <v>193</v>
      </c>
      <c r="D11270">
        <v>7802</v>
      </c>
      <c r="E11270">
        <v>2020</v>
      </c>
      <c r="F11270">
        <v>1</v>
      </c>
      <c r="G11270">
        <v>22897</v>
      </c>
      <c r="H11270" s="1">
        <v>1.5</v>
      </c>
      <c r="I11270">
        <v>9</v>
      </c>
      <c r="J11270">
        <f>IF($H11270=0,1,IF($I11270&lt;=1,2,0))</f>
        <v>0</v>
      </c>
      <c r="K11270">
        <v>6</v>
      </c>
      <c r="L11270">
        <f>IF(AND($J11270=0,$K11270=0),0,1)</f>
        <v>1</v>
      </c>
    </row>
    <row r="11271" spans="1:13" x14ac:dyDescent="0.2">
      <c r="A11271" t="s">
        <v>182</v>
      </c>
      <c r="B11271" t="s">
        <v>6</v>
      </c>
      <c r="C11271" t="s">
        <v>193</v>
      </c>
      <c r="D11271">
        <v>7802</v>
      </c>
      <c r="E11271">
        <v>2020</v>
      </c>
      <c r="F11271">
        <v>2</v>
      </c>
      <c r="G11271">
        <v>22899</v>
      </c>
      <c r="H11271" s="1">
        <v>1.5</v>
      </c>
      <c r="I11271">
        <v>0</v>
      </c>
      <c r="J11271">
        <f>IF($H11271=0,1,IF($I11271&lt;=1,2,0))</f>
        <v>2</v>
      </c>
      <c r="K11271">
        <v>6</v>
      </c>
      <c r="L11271">
        <f>IF(AND($J11271=0,$K11271=0),0,1)</f>
        <v>1</v>
      </c>
    </row>
    <row r="11272" spans="1:13" x14ac:dyDescent="0.2">
      <c r="A11272" t="s">
        <v>182</v>
      </c>
      <c r="B11272" t="s">
        <v>6</v>
      </c>
      <c r="C11272" t="s">
        <v>193</v>
      </c>
      <c r="D11272">
        <v>7803</v>
      </c>
      <c r="E11272">
        <v>2020</v>
      </c>
      <c r="F11272">
        <v>1</v>
      </c>
      <c r="G11272">
        <v>22900</v>
      </c>
      <c r="H11272" s="1">
        <v>3</v>
      </c>
      <c r="I11272">
        <v>0</v>
      </c>
      <c r="J11272">
        <f>IF($H11272=0,1,IF($I11272&lt;=1,2,0))</f>
        <v>2</v>
      </c>
      <c r="K11272">
        <v>6</v>
      </c>
      <c r="L11272">
        <f>IF(AND($J11272=0,$K11272=0),0,1)</f>
        <v>1</v>
      </c>
    </row>
    <row r="11273" spans="1:13" x14ac:dyDescent="0.2">
      <c r="A11273" t="s">
        <v>182</v>
      </c>
      <c r="B11273" t="s">
        <v>6</v>
      </c>
      <c r="C11273" t="s">
        <v>193</v>
      </c>
      <c r="D11273">
        <v>7803</v>
      </c>
      <c r="E11273">
        <v>2020</v>
      </c>
      <c r="F11273">
        <v>2</v>
      </c>
      <c r="G11273">
        <v>22901</v>
      </c>
      <c r="H11273" s="1">
        <v>3</v>
      </c>
      <c r="I11273">
        <v>0</v>
      </c>
      <c r="J11273">
        <f>IF($H11273=0,1,IF($I11273&lt;=1,2,0))</f>
        <v>2</v>
      </c>
      <c r="K11273">
        <v>6</v>
      </c>
      <c r="L11273">
        <f>IF(AND($J11273=0,$K11273=0),0,1)</f>
        <v>1</v>
      </c>
    </row>
    <row r="11274" spans="1:13" x14ac:dyDescent="0.2">
      <c r="A11274" t="s">
        <v>182</v>
      </c>
      <c r="B11274" t="s">
        <v>6</v>
      </c>
      <c r="C11274" t="s">
        <v>193</v>
      </c>
      <c r="D11274">
        <v>7804</v>
      </c>
      <c r="E11274">
        <v>2020</v>
      </c>
      <c r="F11274">
        <v>1</v>
      </c>
      <c r="G11274">
        <v>22902</v>
      </c>
      <c r="H11274" s="1">
        <v>1.5</v>
      </c>
      <c r="I11274">
        <v>0</v>
      </c>
      <c r="J11274">
        <f>IF($H11274=0,1,IF($I11274&lt;=1,2,0))</f>
        <v>2</v>
      </c>
      <c r="K11274">
        <v>6</v>
      </c>
      <c r="L11274">
        <f>IF(AND($J11274=0,$K11274=0),0,1)</f>
        <v>1</v>
      </c>
    </row>
    <row r="11275" spans="1:13" x14ac:dyDescent="0.2">
      <c r="A11275" t="s">
        <v>182</v>
      </c>
      <c r="B11275" t="s">
        <v>6</v>
      </c>
      <c r="C11275" t="s">
        <v>193</v>
      </c>
      <c r="D11275">
        <v>7804</v>
      </c>
      <c r="E11275">
        <v>2020</v>
      </c>
      <c r="F11275">
        <v>2</v>
      </c>
      <c r="G11275">
        <v>22903</v>
      </c>
      <c r="H11275" s="1">
        <v>1.5</v>
      </c>
      <c r="I11275">
        <v>0</v>
      </c>
      <c r="J11275">
        <f>IF($H11275=0,1,IF($I11275&lt;=1,2,0))</f>
        <v>2</v>
      </c>
      <c r="K11275">
        <v>6</v>
      </c>
      <c r="L11275">
        <f>IF(AND($J11275=0,$K11275=0),0,1)</f>
        <v>1</v>
      </c>
    </row>
    <row r="11276" spans="1:13" x14ac:dyDescent="0.2">
      <c r="A11276" t="s">
        <v>182</v>
      </c>
      <c r="B11276" t="s">
        <v>6</v>
      </c>
      <c r="C11276" t="s">
        <v>193</v>
      </c>
      <c r="D11276">
        <v>8731</v>
      </c>
      <c r="E11276">
        <v>2020</v>
      </c>
      <c r="F11276">
        <v>1</v>
      </c>
      <c r="G11276">
        <v>21818</v>
      </c>
      <c r="H11276" s="1">
        <v>1.5</v>
      </c>
      <c r="I11276">
        <v>42</v>
      </c>
      <c r="J11276">
        <f>IF($H11276=0,1,IF($I11276&lt;=1,2,0))</f>
        <v>0</v>
      </c>
      <c r="K11276">
        <v>6</v>
      </c>
      <c r="L11276">
        <f>IF(AND($J11276=0,$K11276=0),0,1)</f>
        <v>1</v>
      </c>
    </row>
    <row r="11277" spans="1:13" x14ac:dyDescent="0.2">
      <c r="A11277" t="s">
        <v>182</v>
      </c>
      <c r="B11277" t="s">
        <v>6</v>
      </c>
      <c r="C11277" t="s">
        <v>193</v>
      </c>
      <c r="D11277">
        <v>8782</v>
      </c>
      <c r="E11277">
        <v>2020</v>
      </c>
      <c r="F11277">
        <v>1</v>
      </c>
      <c r="G11277">
        <v>21874</v>
      </c>
      <c r="H11277" s="1">
        <v>1.5</v>
      </c>
      <c r="I11277">
        <v>34</v>
      </c>
      <c r="J11277">
        <f>IF($H11277=0,1,IF($I11277&lt;=1,2,0))</f>
        <v>0</v>
      </c>
      <c r="K11277">
        <v>6</v>
      </c>
      <c r="L11277">
        <f>IF(AND($J11277=0,$K11277=0),0,1)</f>
        <v>1</v>
      </c>
    </row>
    <row r="11278" spans="1:13" x14ac:dyDescent="0.2">
      <c r="A11278" t="s">
        <v>182</v>
      </c>
      <c r="B11278" t="s">
        <v>6</v>
      </c>
      <c r="C11278" t="s">
        <v>193</v>
      </c>
      <c r="D11278">
        <v>8813</v>
      </c>
      <c r="E11278">
        <v>2020</v>
      </c>
      <c r="F11278" t="s">
        <v>87</v>
      </c>
      <c r="G11278">
        <v>20814</v>
      </c>
      <c r="H11278" s="1">
        <v>1.5</v>
      </c>
      <c r="I11278">
        <v>32</v>
      </c>
      <c r="J11278">
        <f>IF($H11278=0,1,IF($I11278&lt;=1,2,0))</f>
        <v>0</v>
      </c>
      <c r="K11278">
        <v>6</v>
      </c>
      <c r="L11278">
        <f>IF(AND($J11278=0,$K11278=0),0,1)</f>
        <v>1</v>
      </c>
    </row>
    <row r="11279" spans="1:13" x14ac:dyDescent="0.2">
      <c r="A11279" t="s">
        <v>182</v>
      </c>
      <c r="B11279" t="s">
        <v>6</v>
      </c>
      <c r="C11279" t="s">
        <v>193</v>
      </c>
      <c r="D11279">
        <v>9898</v>
      </c>
      <c r="E11279">
        <v>2020</v>
      </c>
      <c r="F11279">
        <v>1</v>
      </c>
      <c r="G11279">
        <v>22967</v>
      </c>
      <c r="H11279" s="1" t="s">
        <v>916</v>
      </c>
      <c r="I11279">
        <v>31</v>
      </c>
      <c r="J11279">
        <f>IF($H11279=0,1,IF($I11279&lt;=1,2,0))</f>
        <v>0</v>
      </c>
      <c r="K11279">
        <v>5</v>
      </c>
      <c r="L11279">
        <f>IF(AND($J11279=0,$K11279=0),0,1)</f>
        <v>1</v>
      </c>
    </row>
    <row r="11280" spans="1:13" x14ac:dyDescent="0.2">
      <c r="A11280" t="s">
        <v>917</v>
      </c>
      <c r="B11280" t="s">
        <v>17</v>
      </c>
      <c r="C11280" t="s">
        <v>9</v>
      </c>
      <c r="D11280">
        <v>1101</v>
      </c>
      <c r="E11280">
        <v>2020</v>
      </c>
      <c r="F11280">
        <v>2</v>
      </c>
      <c r="G11280">
        <v>11951</v>
      </c>
      <c r="H11280" s="1">
        <v>4</v>
      </c>
      <c r="I11280">
        <v>5</v>
      </c>
      <c r="J11280">
        <f>IF($H11280=0,1,IF($I11280&lt;=1,2,0))</f>
        <v>0</v>
      </c>
      <c r="K11280">
        <v>2</v>
      </c>
      <c r="L11280">
        <f>IF(AND($J11280=0,$K11280=0),0,1)</f>
        <v>1</v>
      </c>
      <c r="M11280" t="s">
        <v>918</v>
      </c>
    </row>
    <row r="11281" spans="1:13" x14ac:dyDescent="0.2">
      <c r="A11281" t="s">
        <v>917</v>
      </c>
      <c r="B11281" t="s">
        <v>17</v>
      </c>
      <c r="C11281" t="s">
        <v>9</v>
      </c>
      <c r="D11281">
        <v>1101</v>
      </c>
      <c r="E11281">
        <v>2020</v>
      </c>
      <c r="F11281">
        <v>1</v>
      </c>
      <c r="G11281">
        <v>11952</v>
      </c>
      <c r="H11281" s="1">
        <v>4</v>
      </c>
      <c r="I11281">
        <v>0</v>
      </c>
      <c r="J11281">
        <f>IF($H11281=0,1,IF($I11281&lt;=1,2,0))</f>
        <v>2</v>
      </c>
      <c r="K11281">
        <v>0</v>
      </c>
      <c r="L11281">
        <f>IF(AND($J11281=0,$K11281=0),0,1)</f>
        <v>1</v>
      </c>
      <c r="M11281" t="s">
        <v>918</v>
      </c>
    </row>
    <row r="11282" spans="1:13" x14ac:dyDescent="0.2">
      <c r="A11282" t="s">
        <v>917</v>
      </c>
      <c r="B11282" t="s">
        <v>17</v>
      </c>
      <c r="C11282" t="s">
        <v>9</v>
      </c>
      <c r="D11282">
        <v>2101</v>
      </c>
      <c r="E11282">
        <v>2020</v>
      </c>
      <c r="F11282">
        <v>1</v>
      </c>
      <c r="G11282">
        <v>11953</v>
      </c>
      <c r="H11282" s="1">
        <v>4</v>
      </c>
      <c r="I11282">
        <v>4</v>
      </c>
      <c r="J11282">
        <f>IF($H11282=0,1,IF($I11282&lt;=1,2,0))</f>
        <v>0</v>
      </c>
      <c r="K11282">
        <v>2</v>
      </c>
      <c r="L11282">
        <f>IF(AND($J11282=0,$K11282=0),0,1)</f>
        <v>1</v>
      </c>
      <c r="M11282" t="s">
        <v>919</v>
      </c>
    </row>
    <row r="11283" spans="1:13" x14ac:dyDescent="0.2">
      <c r="A11283" t="s">
        <v>921</v>
      </c>
      <c r="B11283" t="s">
        <v>1</v>
      </c>
      <c r="C11283" t="s">
        <v>2</v>
      </c>
      <c r="D11283">
        <v>1111</v>
      </c>
      <c r="E11283">
        <v>2020</v>
      </c>
      <c r="F11283">
        <v>1</v>
      </c>
      <c r="G11283">
        <v>539</v>
      </c>
      <c r="H11283" s="1">
        <v>1</v>
      </c>
      <c r="I11283">
        <v>27</v>
      </c>
      <c r="J11283">
        <f>IF($H11283=0,1,IF($I11283&lt;=1,2,0))</f>
        <v>0</v>
      </c>
      <c r="K11283">
        <v>7</v>
      </c>
      <c r="L11283">
        <f>IF(AND($J11283=0,$K11283=0),0,1)</f>
        <v>1</v>
      </c>
      <c r="M11283" t="s">
        <v>922</v>
      </c>
    </row>
    <row r="11284" spans="1:13" x14ac:dyDescent="0.2">
      <c r="A11284" t="s">
        <v>196</v>
      </c>
      <c r="B11284" t="s">
        <v>6</v>
      </c>
      <c r="C11284" t="s">
        <v>11</v>
      </c>
      <c r="D11284">
        <v>6100</v>
      </c>
      <c r="E11284">
        <v>2020</v>
      </c>
      <c r="F11284">
        <v>1</v>
      </c>
      <c r="G11284">
        <v>11213</v>
      </c>
      <c r="H11284" s="1">
        <v>3</v>
      </c>
      <c r="I11284">
        <v>19</v>
      </c>
      <c r="J11284">
        <f>IF($H11284=0,1,IF($I11284&lt;=1,2,0))</f>
        <v>0</v>
      </c>
      <c r="K11284">
        <v>4</v>
      </c>
      <c r="L11284">
        <f>IF(AND($J11284=0,$K11284=0),0,1)</f>
        <v>1</v>
      </c>
      <c r="M11284" t="s">
        <v>197</v>
      </c>
    </row>
    <row r="11285" spans="1:13" x14ac:dyDescent="0.2">
      <c r="A11285" t="s">
        <v>196</v>
      </c>
      <c r="B11285" t="s">
        <v>6</v>
      </c>
      <c r="C11285" t="s">
        <v>11</v>
      </c>
      <c r="D11285">
        <v>6312</v>
      </c>
      <c r="E11285">
        <v>2020</v>
      </c>
      <c r="F11285">
        <v>1</v>
      </c>
      <c r="G11285">
        <v>11238</v>
      </c>
      <c r="H11285" s="1">
        <v>3</v>
      </c>
      <c r="I11285">
        <v>20</v>
      </c>
      <c r="J11285">
        <f>IF($H11285=0,1,IF($I11285&lt;=1,2,0))</f>
        <v>0</v>
      </c>
      <c r="K11285">
        <v>4</v>
      </c>
      <c r="L11285">
        <f>IF(AND($J11285=0,$K11285=0),0,1)</f>
        <v>1</v>
      </c>
      <c r="M11285" t="s">
        <v>198</v>
      </c>
    </row>
    <row r="11286" spans="1:13" x14ac:dyDescent="0.2">
      <c r="A11286" t="s">
        <v>202</v>
      </c>
      <c r="B11286" t="s">
        <v>133</v>
      </c>
      <c r="C11286" t="s">
        <v>9</v>
      </c>
      <c r="D11286">
        <v>1</v>
      </c>
      <c r="E11286">
        <v>2020</v>
      </c>
      <c r="F11286">
        <v>1</v>
      </c>
      <c r="G11286">
        <v>10925</v>
      </c>
      <c r="H11286" s="1">
        <v>0</v>
      </c>
      <c r="I11286">
        <v>9</v>
      </c>
      <c r="J11286">
        <f>IF($H11286=0,1,IF($I11286&lt;=1,2,0))</f>
        <v>1</v>
      </c>
      <c r="K11286">
        <v>0</v>
      </c>
      <c r="L11286">
        <f>IF(AND($J11286=0,$K11286=0),0,1)</f>
        <v>1</v>
      </c>
    </row>
    <row r="11287" spans="1:13" x14ac:dyDescent="0.2">
      <c r="A11287" t="s">
        <v>202</v>
      </c>
      <c r="B11287" t="s">
        <v>133</v>
      </c>
      <c r="C11287" t="s">
        <v>2</v>
      </c>
      <c r="D11287">
        <v>1003</v>
      </c>
      <c r="E11287">
        <v>2020</v>
      </c>
      <c r="F11287">
        <v>2</v>
      </c>
      <c r="G11287">
        <v>305</v>
      </c>
      <c r="H11287" s="1">
        <v>1</v>
      </c>
      <c r="I11287">
        <v>19</v>
      </c>
      <c r="J11287">
        <f>IF($H11287=0,1,IF($I11287&lt;=1,2,0))</f>
        <v>0</v>
      </c>
      <c r="K11287">
        <v>7</v>
      </c>
      <c r="L11287">
        <f>IF(AND($J11287=0,$K11287=0),0,1)</f>
        <v>1</v>
      </c>
      <c r="M11287" t="s">
        <v>1983</v>
      </c>
    </row>
    <row r="11288" spans="1:13" x14ac:dyDescent="0.2">
      <c r="A11288" t="s">
        <v>202</v>
      </c>
      <c r="B11288" t="s">
        <v>133</v>
      </c>
      <c r="C11288" t="s">
        <v>2</v>
      </c>
      <c r="D11288">
        <v>1003</v>
      </c>
      <c r="E11288">
        <v>2020</v>
      </c>
      <c r="F11288">
        <v>1</v>
      </c>
      <c r="G11288">
        <v>304</v>
      </c>
      <c r="H11288" s="1">
        <v>1</v>
      </c>
      <c r="I11288">
        <v>15</v>
      </c>
      <c r="J11288">
        <f>IF($H11288=0,1,IF($I11288&lt;=1,2,0))</f>
        <v>0</v>
      </c>
      <c r="K11288">
        <v>7</v>
      </c>
      <c r="L11288">
        <f>IF(AND($J11288=0,$K11288=0),0,1)</f>
        <v>1</v>
      </c>
      <c r="M11288" t="s">
        <v>1983</v>
      </c>
    </row>
    <row r="11289" spans="1:13" x14ac:dyDescent="0.2">
      <c r="A11289" t="s">
        <v>202</v>
      </c>
      <c r="B11289" t="s">
        <v>133</v>
      </c>
      <c r="C11289" t="s">
        <v>2</v>
      </c>
      <c r="D11289">
        <v>1004</v>
      </c>
      <c r="E11289">
        <v>2020</v>
      </c>
      <c r="F11289">
        <v>1</v>
      </c>
      <c r="G11289">
        <v>745</v>
      </c>
      <c r="H11289" s="1">
        <v>0.5</v>
      </c>
      <c r="I11289">
        <v>12</v>
      </c>
      <c r="J11289">
        <f>IF($H11289=0,1,IF($I11289&lt;=1,2,0))</f>
        <v>0</v>
      </c>
      <c r="K11289">
        <v>7</v>
      </c>
      <c r="L11289">
        <f>IF(AND($J11289=0,$K11289=0),0,1)</f>
        <v>1</v>
      </c>
    </row>
    <row r="11290" spans="1:13" x14ac:dyDescent="0.2">
      <c r="A11290" t="s">
        <v>202</v>
      </c>
      <c r="B11290" t="s">
        <v>133</v>
      </c>
      <c r="C11290" t="s">
        <v>2</v>
      </c>
      <c r="D11290">
        <v>1004</v>
      </c>
      <c r="E11290">
        <v>2020</v>
      </c>
      <c r="F11290">
        <v>9</v>
      </c>
      <c r="G11290">
        <v>787</v>
      </c>
      <c r="H11290" s="1">
        <v>0.5</v>
      </c>
      <c r="I11290">
        <v>10</v>
      </c>
      <c r="J11290">
        <f>IF($H11290=0,1,IF($I11290&lt;=1,2,0))</f>
        <v>0</v>
      </c>
      <c r="K11290">
        <v>7</v>
      </c>
      <c r="L11290">
        <f>IF(AND($J11290=0,$K11290=0),0,1)</f>
        <v>1</v>
      </c>
    </row>
    <row r="11291" spans="1:13" x14ac:dyDescent="0.2">
      <c r="A11291" t="s">
        <v>202</v>
      </c>
      <c r="B11291" t="s">
        <v>133</v>
      </c>
      <c r="C11291" t="s">
        <v>2</v>
      </c>
      <c r="D11291">
        <v>1004</v>
      </c>
      <c r="E11291">
        <v>2020</v>
      </c>
      <c r="F11291">
        <v>3</v>
      </c>
      <c r="G11291">
        <v>747</v>
      </c>
      <c r="H11291" s="1">
        <v>0.5</v>
      </c>
      <c r="I11291">
        <v>9</v>
      </c>
      <c r="J11291">
        <f>IF($H11291=0,1,IF($I11291&lt;=1,2,0))</f>
        <v>0</v>
      </c>
      <c r="K11291">
        <v>7</v>
      </c>
      <c r="L11291">
        <f>IF(AND($J11291=0,$K11291=0),0,1)</f>
        <v>1</v>
      </c>
    </row>
    <row r="11292" spans="1:13" x14ac:dyDescent="0.2">
      <c r="A11292" t="s">
        <v>202</v>
      </c>
      <c r="B11292" t="s">
        <v>133</v>
      </c>
      <c r="C11292" t="s">
        <v>2</v>
      </c>
      <c r="D11292">
        <v>1004</v>
      </c>
      <c r="E11292">
        <v>2020</v>
      </c>
      <c r="F11292">
        <v>2</v>
      </c>
      <c r="G11292">
        <v>746</v>
      </c>
      <c r="H11292" s="1">
        <v>0.5</v>
      </c>
      <c r="I11292">
        <v>5</v>
      </c>
      <c r="J11292">
        <f>IF($H11292=0,1,IF($I11292&lt;=1,2,0))</f>
        <v>0</v>
      </c>
      <c r="K11292">
        <v>7</v>
      </c>
      <c r="L11292">
        <f>IF(AND($J11292=0,$K11292=0),0,1)</f>
        <v>1</v>
      </c>
    </row>
    <row r="11293" spans="1:13" x14ac:dyDescent="0.2">
      <c r="A11293" t="s">
        <v>202</v>
      </c>
      <c r="B11293" t="s">
        <v>133</v>
      </c>
      <c r="C11293" t="s">
        <v>2</v>
      </c>
      <c r="D11293">
        <v>1004</v>
      </c>
      <c r="E11293">
        <v>2020</v>
      </c>
      <c r="F11293">
        <v>5</v>
      </c>
      <c r="G11293">
        <v>765</v>
      </c>
      <c r="H11293" s="1">
        <v>0.5</v>
      </c>
      <c r="I11293">
        <v>5</v>
      </c>
      <c r="J11293">
        <f>IF($H11293=0,1,IF($I11293&lt;=1,2,0))</f>
        <v>0</v>
      </c>
      <c r="K11293">
        <v>7</v>
      </c>
      <c r="L11293">
        <f>IF(AND($J11293=0,$K11293=0),0,1)</f>
        <v>1</v>
      </c>
    </row>
    <row r="11294" spans="1:13" x14ac:dyDescent="0.2">
      <c r="A11294" t="s">
        <v>202</v>
      </c>
      <c r="B11294" t="s">
        <v>133</v>
      </c>
      <c r="C11294" t="s">
        <v>2</v>
      </c>
      <c r="D11294">
        <v>1004</v>
      </c>
      <c r="E11294">
        <v>2020</v>
      </c>
      <c r="F11294">
        <v>4</v>
      </c>
      <c r="G11294">
        <v>754</v>
      </c>
      <c r="H11294" s="1">
        <v>0.5</v>
      </c>
      <c r="I11294">
        <v>3</v>
      </c>
      <c r="J11294">
        <f>IF($H11294=0,1,IF($I11294&lt;=1,2,0))</f>
        <v>0</v>
      </c>
      <c r="K11294">
        <v>7</v>
      </c>
      <c r="L11294">
        <f>IF(AND($J11294=0,$K11294=0),0,1)</f>
        <v>1</v>
      </c>
    </row>
    <row r="11295" spans="1:13" x14ac:dyDescent="0.2">
      <c r="A11295" t="s">
        <v>202</v>
      </c>
      <c r="B11295" t="s">
        <v>133</v>
      </c>
      <c r="C11295" t="s">
        <v>2</v>
      </c>
      <c r="D11295">
        <v>1050</v>
      </c>
      <c r="E11295">
        <v>2020</v>
      </c>
      <c r="F11295">
        <v>1</v>
      </c>
      <c r="G11295">
        <v>670</v>
      </c>
      <c r="H11295" s="1">
        <v>3</v>
      </c>
      <c r="I11295">
        <v>40</v>
      </c>
      <c r="J11295">
        <f>IF($H11295=0,1,IF($I11295&lt;=1,2,0))</f>
        <v>0</v>
      </c>
      <c r="K11295">
        <v>7</v>
      </c>
      <c r="L11295">
        <f>IF(AND($J11295=0,$K11295=0),0,1)</f>
        <v>1</v>
      </c>
      <c r="M11295" t="s">
        <v>924</v>
      </c>
    </row>
    <row r="11296" spans="1:13" x14ac:dyDescent="0.2">
      <c r="A11296" t="s">
        <v>202</v>
      </c>
      <c r="B11296" t="s">
        <v>133</v>
      </c>
      <c r="C11296" t="s">
        <v>9</v>
      </c>
      <c r="D11296">
        <v>1405</v>
      </c>
      <c r="E11296">
        <v>2020</v>
      </c>
      <c r="F11296">
        <v>6</v>
      </c>
      <c r="G11296">
        <v>11791</v>
      </c>
      <c r="H11296" s="1">
        <v>0</v>
      </c>
      <c r="I11296">
        <v>24</v>
      </c>
      <c r="J11296">
        <f>IF($H11296=0,1,IF($I11296&lt;=1,2,0))</f>
        <v>1</v>
      </c>
      <c r="K11296">
        <v>0</v>
      </c>
      <c r="L11296">
        <f>IF(AND($J11296=0,$K11296=0),0,1)</f>
        <v>1</v>
      </c>
    </row>
    <row r="11297" spans="1:12" x14ac:dyDescent="0.2">
      <c r="A11297" t="s">
        <v>202</v>
      </c>
      <c r="B11297" t="s">
        <v>133</v>
      </c>
      <c r="C11297" t="s">
        <v>9</v>
      </c>
      <c r="D11297">
        <v>1405</v>
      </c>
      <c r="E11297">
        <v>2020</v>
      </c>
      <c r="F11297">
        <v>2</v>
      </c>
      <c r="G11297">
        <v>11787</v>
      </c>
      <c r="H11297" s="1">
        <v>0</v>
      </c>
      <c r="I11297">
        <v>23</v>
      </c>
      <c r="J11297">
        <f>IF($H11297=0,1,IF($I11297&lt;=1,2,0))</f>
        <v>1</v>
      </c>
      <c r="K11297">
        <v>0</v>
      </c>
      <c r="L11297">
        <f>IF(AND($J11297=0,$K11297=0),0,1)</f>
        <v>1</v>
      </c>
    </row>
    <row r="11298" spans="1:12" x14ac:dyDescent="0.2">
      <c r="A11298" t="s">
        <v>202</v>
      </c>
      <c r="B11298" t="s">
        <v>133</v>
      </c>
      <c r="C11298" t="s">
        <v>9</v>
      </c>
      <c r="D11298">
        <v>1405</v>
      </c>
      <c r="E11298">
        <v>2020</v>
      </c>
      <c r="F11298">
        <v>7</v>
      </c>
      <c r="G11298">
        <v>11792</v>
      </c>
      <c r="H11298" s="1">
        <v>0</v>
      </c>
      <c r="I11298">
        <v>23</v>
      </c>
      <c r="J11298">
        <f>IF($H11298=0,1,IF($I11298&lt;=1,2,0))</f>
        <v>1</v>
      </c>
      <c r="K11298">
        <v>0</v>
      </c>
      <c r="L11298">
        <f>IF(AND($J11298=0,$K11298=0),0,1)</f>
        <v>1</v>
      </c>
    </row>
    <row r="11299" spans="1:12" x14ac:dyDescent="0.2">
      <c r="A11299" t="s">
        <v>202</v>
      </c>
      <c r="B11299" t="s">
        <v>133</v>
      </c>
      <c r="C11299" t="s">
        <v>9</v>
      </c>
      <c r="D11299">
        <v>1405</v>
      </c>
      <c r="E11299">
        <v>2020</v>
      </c>
      <c r="F11299">
        <v>8</v>
      </c>
      <c r="G11299">
        <v>11793</v>
      </c>
      <c r="H11299" s="1">
        <v>0</v>
      </c>
      <c r="I11299">
        <v>23</v>
      </c>
      <c r="J11299">
        <f>IF($H11299=0,1,IF($I11299&lt;=1,2,0))</f>
        <v>1</v>
      </c>
      <c r="K11299">
        <v>0</v>
      </c>
      <c r="L11299">
        <f>IF(AND($J11299=0,$K11299=0),0,1)</f>
        <v>1</v>
      </c>
    </row>
    <row r="11300" spans="1:12" x14ac:dyDescent="0.2">
      <c r="A11300" t="s">
        <v>202</v>
      </c>
      <c r="B11300" t="s">
        <v>133</v>
      </c>
      <c r="C11300" t="s">
        <v>9</v>
      </c>
      <c r="D11300">
        <v>1405</v>
      </c>
      <c r="E11300">
        <v>2020</v>
      </c>
      <c r="F11300">
        <v>10</v>
      </c>
      <c r="G11300">
        <v>11795</v>
      </c>
      <c r="H11300" s="1">
        <v>0</v>
      </c>
      <c r="I11300">
        <v>23</v>
      </c>
      <c r="J11300">
        <f>IF($H11300=0,1,IF($I11300&lt;=1,2,0))</f>
        <v>1</v>
      </c>
      <c r="K11300">
        <v>0</v>
      </c>
      <c r="L11300">
        <f>IF(AND($J11300=0,$K11300=0),0,1)</f>
        <v>1</v>
      </c>
    </row>
    <row r="11301" spans="1:12" x14ac:dyDescent="0.2">
      <c r="A11301" t="s">
        <v>202</v>
      </c>
      <c r="B11301" t="s">
        <v>133</v>
      </c>
      <c r="C11301" t="s">
        <v>9</v>
      </c>
      <c r="D11301">
        <v>1405</v>
      </c>
      <c r="E11301">
        <v>2020</v>
      </c>
      <c r="F11301">
        <v>11</v>
      </c>
      <c r="G11301">
        <v>11796</v>
      </c>
      <c r="H11301" s="1">
        <v>0</v>
      </c>
      <c r="I11301">
        <v>23</v>
      </c>
      <c r="J11301">
        <f>IF($H11301=0,1,IF($I11301&lt;=1,2,0))</f>
        <v>1</v>
      </c>
      <c r="K11301">
        <v>0</v>
      </c>
      <c r="L11301">
        <f>IF(AND($J11301=0,$K11301=0),0,1)</f>
        <v>1</v>
      </c>
    </row>
    <row r="11302" spans="1:12" x14ac:dyDescent="0.2">
      <c r="A11302" t="s">
        <v>202</v>
      </c>
      <c r="B11302" t="s">
        <v>133</v>
      </c>
      <c r="C11302" t="s">
        <v>9</v>
      </c>
      <c r="D11302">
        <v>1405</v>
      </c>
      <c r="E11302">
        <v>2020</v>
      </c>
      <c r="F11302">
        <v>4</v>
      </c>
      <c r="G11302">
        <v>11789</v>
      </c>
      <c r="H11302" s="1">
        <v>0</v>
      </c>
      <c r="I11302">
        <v>22</v>
      </c>
      <c r="J11302">
        <f>IF($H11302=0,1,IF($I11302&lt;=1,2,0))</f>
        <v>1</v>
      </c>
      <c r="K11302">
        <v>0</v>
      </c>
      <c r="L11302">
        <f>IF(AND($J11302=0,$K11302=0),0,1)</f>
        <v>1</v>
      </c>
    </row>
    <row r="11303" spans="1:12" x14ac:dyDescent="0.2">
      <c r="A11303" t="s">
        <v>202</v>
      </c>
      <c r="B11303" t="s">
        <v>133</v>
      </c>
      <c r="C11303" t="s">
        <v>9</v>
      </c>
      <c r="D11303">
        <v>1405</v>
      </c>
      <c r="E11303">
        <v>2020</v>
      </c>
      <c r="F11303">
        <v>9</v>
      </c>
      <c r="G11303">
        <v>11794</v>
      </c>
      <c r="H11303" s="1">
        <v>0</v>
      </c>
      <c r="I11303">
        <v>22</v>
      </c>
      <c r="J11303">
        <f>IF($H11303=0,1,IF($I11303&lt;=1,2,0))</f>
        <v>1</v>
      </c>
      <c r="K11303">
        <v>0</v>
      </c>
      <c r="L11303">
        <f>IF(AND($J11303=0,$K11303=0),0,1)</f>
        <v>1</v>
      </c>
    </row>
    <row r="11304" spans="1:12" x14ac:dyDescent="0.2">
      <c r="A11304" t="s">
        <v>202</v>
      </c>
      <c r="B11304" t="s">
        <v>133</v>
      </c>
      <c r="C11304" t="s">
        <v>9</v>
      </c>
      <c r="D11304">
        <v>1405</v>
      </c>
      <c r="E11304">
        <v>2020</v>
      </c>
      <c r="F11304">
        <v>1</v>
      </c>
      <c r="G11304">
        <v>11786</v>
      </c>
      <c r="H11304" s="1">
        <v>0</v>
      </c>
      <c r="I11304">
        <v>21</v>
      </c>
      <c r="J11304">
        <f>IF($H11304=0,1,IF($I11304&lt;=1,2,0))</f>
        <v>1</v>
      </c>
      <c r="K11304">
        <v>0</v>
      </c>
      <c r="L11304">
        <f>IF(AND($J11304=0,$K11304=0),0,1)</f>
        <v>1</v>
      </c>
    </row>
    <row r="11305" spans="1:12" x14ac:dyDescent="0.2">
      <c r="A11305" t="s">
        <v>202</v>
      </c>
      <c r="B11305" t="s">
        <v>133</v>
      </c>
      <c r="C11305" t="s">
        <v>9</v>
      </c>
      <c r="D11305">
        <v>1405</v>
      </c>
      <c r="E11305">
        <v>2020</v>
      </c>
      <c r="F11305">
        <v>5</v>
      </c>
      <c r="G11305">
        <v>11790</v>
      </c>
      <c r="H11305" s="1">
        <v>0</v>
      </c>
      <c r="I11305">
        <v>20</v>
      </c>
      <c r="J11305">
        <f>IF($H11305=0,1,IF($I11305&lt;=1,2,0))</f>
        <v>1</v>
      </c>
      <c r="K11305">
        <v>0</v>
      </c>
      <c r="L11305">
        <f>IF(AND($J11305=0,$K11305=0),0,1)</f>
        <v>1</v>
      </c>
    </row>
    <row r="11306" spans="1:12" x14ac:dyDescent="0.2">
      <c r="A11306" t="s">
        <v>202</v>
      </c>
      <c r="B11306" t="s">
        <v>133</v>
      </c>
      <c r="C11306" t="s">
        <v>9</v>
      </c>
      <c r="D11306">
        <v>1405</v>
      </c>
      <c r="E11306">
        <v>2020</v>
      </c>
      <c r="F11306">
        <v>3</v>
      </c>
      <c r="G11306">
        <v>11788</v>
      </c>
      <c r="H11306" s="1">
        <v>0</v>
      </c>
      <c r="I11306">
        <v>19</v>
      </c>
      <c r="J11306">
        <f>IF($H11306=0,1,IF($I11306&lt;=1,2,0))</f>
        <v>1</v>
      </c>
      <c r="K11306">
        <v>0</v>
      </c>
      <c r="L11306">
        <f>IF(AND($J11306=0,$K11306=0),0,1)</f>
        <v>1</v>
      </c>
    </row>
    <row r="11307" spans="1:12" x14ac:dyDescent="0.2">
      <c r="A11307" t="s">
        <v>202</v>
      </c>
      <c r="B11307" t="s">
        <v>133</v>
      </c>
      <c r="C11307" t="s">
        <v>9</v>
      </c>
      <c r="D11307">
        <v>1407</v>
      </c>
      <c r="E11307">
        <v>2020</v>
      </c>
      <c r="F11307">
        <v>6</v>
      </c>
      <c r="G11307">
        <v>11802</v>
      </c>
      <c r="H11307" s="1">
        <v>0</v>
      </c>
      <c r="I11307">
        <v>26</v>
      </c>
      <c r="J11307">
        <f>IF($H11307=0,1,IF($I11307&lt;=1,2,0))</f>
        <v>1</v>
      </c>
      <c r="K11307">
        <v>0</v>
      </c>
      <c r="L11307">
        <f>IF(AND($J11307=0,$K11307=0),0,1)</f>
        <v>1</v>
      </c>
    </row>
    <row r="11308" spans="1:12" x14ac:dyDescent="0.2">
      <c r="A11308" t="s">
        <v>202</v>
      </c>
      <c r="B11308" t="s">
        <v>133</v>
      </c>
      <c r="C11308" t="s">
        <v>9</v>
      </c>
      <c r="D11308">
        <v>1407</v>
      </c>
      <c r="E11308">
        <v>2020</v>
      </c>
      <c r="F11308">
        <v>2</v>
      </c>
      <c r="G11308">
        <v>11798</v>
      </c>
      <c r="H11308" s="1">
        <v>0</v>
      </c>
      <c r="I11308">
        <v>24</v>
      </c>
      <c r="J11308">
        <f>IF($H11308=0,1,IF($I11308&lt;=1,2,0))</f>
        <v>1</v>
      </c>
      <c r="K11308">
        <v>0</v>
      </c>
      <c r="L11308">
        <f>IF(AND($J11308=0,$K11308=0),0,1)</f>
        <v>1</v>
      </c>
    </row>
    <row r="11309" spans="1:12" x14ac:dyDescent="0.2">
      <c r="A11309" t="s">
        <v>202</v>
      </c>
      <c r="B11309" t="s">
        <v>133</v>
      </c>
      <c r="C11309" t="s">
        <v>9</v>
      </c>
      <c r="D11309">
        <v>1407</v>
      </c>
      <c r="E11309">
        <v>2020</v>
      </c>
      <c r="F11309">
        <v>1</v>
      </c>
      <c r="G11309">
        <v>11797</v>
      </c>
      <c r="H11309" s="1">
        <v>0</v>
      </c>
      <c r="I11309">
        <v>22</v>
      </c>
      <c r="J11309">
        <f>IF($H11309=0,1,IF($I11309&lt;=1,2,0))</f>
        <v>1</v>
      </c>
      <c r="K11309">
        <v>0</v>
      </c>
      <c r="L11309">
        <f>IF(AND($J11309=0,$K11309=0),0,1)</f>
        <v>1</v>
      </c>
    </row>
    <row r="11310" spans="1:12" x14ac:dyDescent="0.2">
      <c r="A11310" t="s">
        <v>202</v>
      </c>
      <c r="B11310" t="s">
        <v>133</v>
      </c>
      <c r="C11310" t="s">
        <v>9</v>
      </c>
      <c r="D11310">
        <v>1407</v>
      </c>
      <c r="E11310">
        <v>2020</v>
      </c>
      <c r="F11310">
        <v>4</v>
      </c>
      <c r="G11310">
        <v>11800</v>
      </c>
      <c r="H11310" s="1">
        <v>0</v>
      </c>
      <c r="I11310">
        <v>22</v>
      </c>
      <c r="J11310">
        <f>IF($H11310=0,1,IF($I11310&lt;=1,2,0))</f>
        <v>1</v>
      </c>
      <c r="K11310">
        <v>0</v>
      </c>
      <c r="L11310">
        <f>IF(AND($J11310=0,$K11310=0),0,1)</f>
        <v>1</v>
      </c>
    </row>
    <row r="11311" spans="1:12" x14ac:dyDescent="0.2">
      <c r="A11311" t="s">
        <v>202</v>
      </c>
      <c r="B11311" t="s">
        <v>133</v>
      </c>
      <c r="C11311" t="s">
        <v>9</v>
      </c>
      <c r="D11311">
        <v>1407</v>
      </c>
      <c r="E11311">
        <v>2020</v>
      </c>
      <c r="F11311">
        <v>7</v>
      </c>
      <c r="G11311">
        <v>11803</v>
      </c>
      <c r="H11311" s="1">
        <v>0</v>
      </c>
      <c r="I11311">
        <v>22</v>
      </c>
      <c r="J11311">
        <f>IF($H11311=0,1,IF($I11311&lt;=1,2,0))</f>
        <v>1</v>
      </c>
      <c r="K11311">
        <v>0</v>
      </c>
      <c r="L11311">
        <f>IF(AND($J11311=0,$K11311=0),0,1)</f>
        <v>1</v>
      </c>
    </row>
    <row r="11312" spans="1:12" x14ac:dyDescent="0.2">
      <c r="A11312" t="s">
        <v>202</v>
      </c>
      <c r="B11312" t="s">
        <v>133</v>
      </c>
      <c r="C11312" t="s">
        <v>9</v>
      </c>
      <c r="D11312">
        <v>1407</v>
      </c>
      <c r="E11312">
        <v>2020</v>
      </c>
      <c r="F11312">
        <v>5</v>
      </c>
      <c r="G11312">
        <v>11801</v>
      </c>
      <c r="H11312" s="1">
        <v>0</v>
      </c>
      <c r="I11312">
        <v>20</v>
      </c>
      <c r="J11312">
        <f>IF($H11312=0,1,IF($I11312&lt;=1,2,0))</f>
        <v>1</v>
      </c>
      <c r="K11312">
        <v>0</v>
      </c>
      <c r="L11312">
        <f>IF(AND($J11312=0,$K11312=0),0,1)</f>
        <v>1</v>
      </c>
    </row>
    <row r="11313" spans="1:12" x14ac:dyDescent="0.2">
      <c r="A11313" t="s">
        <v>202</v>
      </c>
      <c r="B11313" t="s">
        <v>133</v>
      </c>
      <c r="C11313" t="s">
        <v>9</v>
      </c>
      <c r="D11313">
        <v>1407</v>
      </c>
      <c r="E11313">
        <v>2020</v>
      </c>
      <c r="F11313">
        <v>8</v>
      </c>
      <c r="G11313">
        <v>11804</v>
      </c>
      <c r="H11313" s="1">
        <v>0</v>
      </c>
      <c r="I11313">
        <v>20</v>
      </c>
      <c r="J11313">
        <f>IF($H11313=0,1,IF($I11313&lt;=1,2,0))</f>
        <v>1</v>
      </c>
      <c r="K11313">
        <v>0</v>
      </c>
      <c r="L11313">
        <f>IF(AND($J11313=0,$K11313=0),0,1)</f>
        <v>1</v>
      </c>
    </row>
    <row r="11314" spans="1:12" x14ac:dyDescent="0.2">
      <c r="A11314" t="s">
        <v>202</v>
      </c>
      <c r="B11314" t="s">
        <v>133</v>
      </c>
      <c r="C11314" t="s">
        <v>9</v>
      </c>
      <c r="D11314">
        <v>1407</v>
      </c>
      <c r="E11314">
        <v>2020</v>
      </c>
      <c r="F11314">
        <v>9</v>
      </c>
      <c r="G11314">
        <v>11805</v>
      </c>
      <c r="H11314" s="1">
        <v>0</v>
      </c>
      <c r="I11314">
        <v>19</v>
      </c>
      <c r="J11314">
        <f>IF($H11314=0,1,IF($I11314&lt;=1,2,0))</f>
        <v>1</v>
      </c>
      <c r="K11314">
        <v>0</v>
      </c>
      <c r="L11314">
        <f>IF(AND($J11314=0,$K11314=0),0,1)</f>
        <v>1</v>
      </c>
    </row>
    <row r="11315" spans="1:12" x14ac:dyDescent="0.2">
      <c r="A11315" t="s">
        <v>202</v>
      </c>
      <c r="B11315" t="s">
        <v>133</v>
      </c>
      <c r="C11315" t="s">
        <v>9</v>
      </c>
      <c r="D11315">
        <v>1407</v>
      </c>
      <c r="E11315">
        <v>2020</v>
      </c>
      <c r="F11315">
        <v>3</v>
      </c>
      <c r="G11315">
        <v>11799</v>
      </c>
      <c r="H11315" s="1">
        <v>0</v>
      </c>
      <c r="I11315">
        <v>18</v>
      </c>
      <c r="J11315">
        <f>IF($H11315=0,1,IF($I11315&lt;=1,2,0))</f>
        <v>1</v>
      </c>
      <c r="K11315">
        <v>0</v>
      </c>
      <c r="L11315">
        <f>IF(AND($J11315=0,$K11315=0),0,1)</f>
        <v>1</v>
      </c>
    </row>
    <row r="11316" spans="1:12" x14ac:dyDescent="0.2">
      <c r="A11316" t="s">
        <v>202</v>
      </c>
      <c r="B11316" t="s">
        <v>133</v>
      </c>
      <c r="C11316" t="s">
        <v>9</v>
      </c>
      <c r="D11316">
        <v>1409</v>
      </c>
      <c r="E11316">
        <v>2020</v>
      </c>
      <c r="F11316">
        <v>3</v>
      </c>
      <c r="G11316">
        <v>11808</v>
      </c>
      <c r="H11316" s="1">
        <v>0</v>
      </c>
      <c r="I11316">
        <v>24</v>
      </c>
      <c r="J11316">
        <f>IF($H11316=0,1,IF($I11316&lt;=1,2,0))</f>
        <v>1</v>
      </c>
      <c r="K11316">
        <v>0</v>
      </c>
      <c r="L11316">
        <f>IF(AND($J11316=0,$K11316=0),0,1)</f>
        <v>1</v>
      </c>
    </row>
    <row r="11317" spans="1:12" x14ac:dyDescent="0.2">
      <c r="A11317" t="s">
        <v>202</v>
      </c>
      <c r="B11317" t="s">
        <v>133</v>
      </c>
      <c r="C11317" t="s">
        <v>9</v>
      </c>
      <c r="D11317">
        <v>1409</v>
      </c>
      <c r="E11317">
        <v>2020</v>
      </c>
      <c r="F11317">
        <v>1</v>
      </c>
      <c r="G11317">
        <v>11806</v>
      </c>
      <c r="H11317" s="1">
        <v>0</v>
      </c>
      <c r="I11317">
        <v>23</v>
      </c>
      <c r="J11317">
        <f>IF($H11317=0,1,IF($I11317&lt;=1,2,0))</f>
        <v>1</v>
      </c>
      <c r="K11317">
        <v>0</v>
      </c>
      <c r="L11317">
        <f>IF(AND($J11317=0,$K11317=0),0,1)</f>
        <v>1</v>
      </c>
    </row>
    <row r="11318" spans="1:12" x14ac:dyDescent="0.2">
      <c r="A11318" t="s">
        <v>202</v>
      </c>
      <c r="B11318" t="s">
        <v>133</v>
      </c>
      <c r="C11318" t="s">
        <v>9</v>
      </c>
      <c r="D11318">
        <v>1409</v>
      </c>
      <c r="E11318">
        <v>2020</v>
      </c>
      <c r="F11318">
        <v>2</v>
      </c>
      <c r="G11318">
        <v>11807</v>
      </c>
      <c r="H11318" s="1">
        <v>0</v>
      </c>
      <c r="I11318">
        <v>23</v>
      </c>
      <c r="J11318">
        <f>IF($H11318=0,1,IF($I11318&lt;=1,2,0))</f>
        <v>1</v>
      </c>
      <c r="K11318">
        <v>0</v>
      </c>
      <c r="L11318">
        <f>IF(AND($J11318=0,$K11318=0),0,1)</f>
        <v>1</v>
      </c>
    </row>
    <row r="11319" spans="1:12" x14ac:dyDescent="0.2">
      <c r="A11319" t="s">
        <v>202</v>
      </c>
      <c r="B11319" t="s">
        <v>133</v>
      </c>
      <c r="C11319" t="s">
        <v>9</v>
      </c>
      <c r="D11319">
        <v>1409</v>
      </c>
      <c r="E11319">
        <v>2020</v>
      </c>
      <c r="F11319">
        <v>6</v>
      </c>
      <c r="G11319">
        <v>11811</v>
      </c>
      <c r="H11319" s="1">
        <v>0</v>
      </c>
      <c r="I11319">
        <v>23</v>
      </c>
      <c r="J11319">
        <f>IF($H11319=0,1,IF($I11319&lt;=1,2,0))</f>
        <v>1</v>
      </c>
      <c r="K11319">
        <v>0</v>
      </c>
      <c r="L11319">
        <f>IF(AND($J11319=0,$K11319=0),0,1)</f>
        <v>1</v>
      </c>
    </row>
    <row r="11320" spans="1:12" x14ac:dyDescent="0.2">
      <c r="A11320" t="s">
        <v>202</v>
      </c>
      <c r="B11320" t="s">
        <v>133</v>
      </c>
      <c r="C11320" t="s">
        <v>9</v>
      </c>
      <c r="D11320">
        <v>1409</v>
      </c>
      <c r="E11320">
        <v>2020</v>
      </c>
      <c r="F11320">
        <v>4</v>
      </c>
      <c r="G11320">
        <v>11809</v>
      </c>
      <c r="H11320" s="1">
        <v>0</v>
      </c>
      <c r="I11320">
        <v>21</v>
      </c>
      <c r="J11320">
        <f>IF($H11320=0,1,IF($I11320&lt;=1,2,0))</f>
        <v>1</v>
      </c>
      <c r="K11320">
        <v>0</v>
      </c>
      <c r="L11320">
        <f>IF(AND($J11320=0,$K11320=0),0,1)</f>
        <v>1</v>
      </c>
    </row>
    <row r="11321" spans="1:12" x14ac:dyDescent="0.2">
      <c r="A11321" t="s">
        <v>202</v>
      </c>
      <c r="B11321" t="s">
        <v>133</v>
      </c>
      <c r="C11321" t="s">
        <v>9</v>
      </c>
      <c r="D11321">
        <v>1409</v>
      </c>
      <c r="E11321">
        <v>2020</v>
      </c>
      <c r="F11321">
        <v>5</v>
      </c>
      <c r="G11321">
        <v>11810</v>
      </c>
      <c r="H11321" s="1">
        <v>0</v>
      </c>
      <c r="I11321">
        <v>21</v>
      </c>
      <c r="J11321">
        <f>IF($H11321=0,1,IF($I11321&lt;=1,2,0))</f>
        <v>1</v>
      </c>
      <c r="K11321">
        <v>0</v>
      </c>
      <c r="L11321">
        <f>IF(AND($J11321=0,$K11321=0),0,1)</f>
        <v>1</v>
      </c>
    </row>
    <row r="11322" spans="1:12" x14ac:dyDescent="0.2">
      <c r="A11322" t="s">
        <v>202</v>
      </c>
      <c r="B11322" t="s">
        <v>133</v>
      </c>
      <c r="C11322" t="s">
        <v>9</v>
      </c>
      <c r="D11322">
        <v>1409</v>
      </c>
      <c r="E11322">
        <v>2020</v>
      </c>
      <c r="F11322">
        <v>8</v>
      </c>
      <c r="G11322">
        <v>11814</v>
      </c>
      <c r="H11322" s="1">
        <v>0</v>
      </c>
      <c r="I11322">
        <v>21</v>
      </c>
      <c r="J11322">
        <f>IF($H11322=0,1,IF($I11322&lt;=1,2,0))</f>
        <v>1</v>
      </c>
      <c r="K11322">
        <v>0</v>
      </c>
      <c r="L11322">
        <f>IF(AND($J11322=0,$K11322=0),0,1)</f>
        <v>1</v>
      </c>
    </row>
    <row r="11323" spans="1:12" x14ac:dyDescent="0.2">
      <c r="A11323" t="s">
        <v>202</v>
      </c>
      <c r="B11323" t="s">
        <v>133</v>
      </c>
      <c r="C11323" t="s">
        <v>9</v>
      </c>
      <c r="D11323">
        <v>1409</v>
      </c>
      <c r="E11323">
        <v>2020</v>
      </c>
      <c r="F11323">
        <v>7</v>
      </c>
      <c r="G11323">
        <v>11813</v>
      </c>
      <c r="H11323" s="1">
        <v>0</v>
      </c>
      <c r="I11323">
        <v>17</v>
      </c>
      <c r="J11323">
        <f>IF($H11323=0,1,IF($I11323&lt;=1,2,0))</f>
        <v>1</v>
      </c>
      <c r="K11323">
        <v>0</v>
      </c>
      <c r="L11323">
        <f>IF(AND($J11323=0,$K11323=0),0,1)</f>
        <v>1</v>
      </c>
    </row>
    <row r="11324" spans="1:12" x14ac:dyDescent="0.2">
      <c r="A11324" t="s">
        <v>202</v>
      </c>
      <c r="B11324" t="s">
        <v>133</v>
      </c>
      <c r="C11324" t="s">
        <v>9</v>
      </c>
      <c r="D11324">
        <v>1409</v>
      </c>
      <c r="E11324">
        <v>2020</v>
      </c>
      <c r="F11324">
        <v>9</v>
      </c>
      <c r="G11324">
        <v>11815</v>
      </c>
      <c r="H11324" s="1">
        <v>0</v>
      </c>
      <c r="I11324">
        <v>16</v>
      </c>
      <c r="J11324">
        <f>IF($H11324=0,1,IF($I11324&lt;=1,2,0))</f>
        <v>1</v>
      </c>
      <c r="K11324">
        <v>0</v>
      </c>
      <c r="L11324">
        <f>IF(AND($J11324=0,$K11324=0),0,1)</f>
        <v>1</v>
      </c>
    </row>
    <row r="11325" spans="1:12" x14ac:dyDescent="0.2">
      <c r="A11325" t="s">
        <v>202</v>
      </c>
      <c r="B11325" t="s">
        <v>133</v>
      </c>
      <c r="C11325" t="s">
        <v>9</v>
      </c>
      <c r="D11325">
        <v>1500</v>
      </c>
      <c r="E11325">
        <v>2020</v>
      </c>
      <c r="F11325">
        <v>3</v>
      </c>
      <c r="G11325">
        <v>10913</v>
      </c>
      <c r="H11325" s="1">
        <v>3</v>
      </c>
      <c r="I11325">
        <v>29</v>
      </c>
      <c r="J11325">
        <f>IF($H11325=0,1,IF($I11325&lt;=1,2,0))</f>
        <v>0</v>
      </c>
      <c r="K11325">
        <v>8</v>
      </c>
      <c r="L11325">
        <f>IF(AND($J11325=0,$K11325=0),0,1)</f>
        <v>1</v>
      </c>
    </row>
    <row r="11326" spans="1:12" x14ac:dyDescent="0.2">
      <c r="A11326" t="s">
        <v>202</v>
      </c>
      <c r="B11326" t="s">
        <v>133</v>
      </c>
      <c r="C11326" t="s">
        <v>9</v>
      </c>
      <c r="D11326">
        <v>1500</v>
      </c>
      <c r="E11326">
        <v>2020</v>
      </c>
      <c r="F11326">
        <v>2</v>
      </c>
      <c r="G11326">
        <v>10912</v>
      </c>
      <c r="H11326" s="1">
        <v>3</v>
      </c>
      <c r="I11326">
        <v>28</v>
      </c>
      <c r="J11326">
        <f>IF($H11326=0,1,IF($I11326&lt;=1,2,0))</f>
        <v>0</v>
      </c>
      <c r="K11326">
        <v>8</v>
      </c>
      <c r="L11326">
        <f>IF(AND($J11326=0,$K11326=0),0,1)</f>
        <v>1</v>
      </c>
    </row>
    <row r="11327" spans="1:12" x14ac:dyDescent="0.2">
      <c r="A11327" t="s">
        <v>202</v>
      </c>
      <c r="B11327" t="s">
        <v>133</v>
      </c>
      <c r="C11327" t="s">
        <v>9</v>
      </c>
      <c r="D11327">
        <v>1500</v>
      </c>
      <c r="E11327">
        <v>2020</v>
      </c>
      <c r="F11327">
        <v>1</v>
      </c>
      <c r="G11327">
        <v>10911</v>
      </c>
      <c r="H11327" s="1">
        <v>3</v>
      </c>
      <c r="I11327">
        <v>18</v>
      </c>
      <c r="J11327">
        <f>IF($H11327=0,1,IF($I11327&lt;=1,2,0))</f>
        <v>0</v>
      </c>
      <c r="K11327">
        <v>8</v>
      </c>
      <c r="L11327">
        <f>IF(AND($J11327=0,$K11327=0),0,1)</f>
        <v>1</v>
      </c>
    </row>
    <row r="11328" spans="1:12" x14ac:dyDescent="0.2">
      <c r="A11328" t="s">
        <v>202</v>
      </c>
      <c r="B11328" t="s">
        <v>133</v>
      </c>
      <c r="C11328" t="s">
        <v>9</v>
      </c>
      <c r="D11328">
        <v>1500</v>
      </c>
      <c r="E11328">
        <v>2020</v>
      </c>
      <c r="F11328">
        <v>4</v>
      </c>
      <c r="G11328">
        <v>10914</v>
      </c>
      <c r="H11328" s="1">
        <v>3</v>
      </c>
      <c r="I11328">
        <v>10</v>
      </c>
      <c r="J11328">
        <f>IF($H11328=0,1,IF($I11328&lt;=1,2,0))</f>
        <v>0</v>
      </c>
      <c r="K11328">
        <v>8</v>
      </c>
      <c r="L11328">
        <f>IF(AND($J11328=0,$K11328=0),0,1)</f>
        <v>1</v>
      </c>
    </row>
    <row r="11329" spans="1:13" x14ac:dyDescent="0.2">
      <c r="A11329" t="s">
        <v>202</v>
      </c>
      <c r="B11329" t="s">
        <v>133</v>
      </c>
      <c r="C11329" t="s">
        <v>9</v>
      </c>
      <c r="D11329">
        <v>1501</v>
      </c>
      <c r="E11329">
        <v>2020</v>
      </c>
      <c r="F11329">
        <v>2</v>
      </c>
      <c r="G11329">
        <v>10916</v>
      </c>
      <c r="H11329" s="1">
        <v>0</v>
      </c>
      <c r="I11329">
        <v>57</v>
      </c>
      <c r="J11329">
        <f>IF($H11329=0,1,IF($I11329&lt;=1,2,0))</f>
        <v>1</v>
      </c>
      <c r="K11329">
        <v>0</v>
      </c>
      <c r="L11329">
        <f>IF(AND($J11329=0,$K11329=0),0,1)</f>
        <v>1</v>
      </c>
      <c r="M11329" t="s">
        <v>203</v>
      </c>
    </row>
    <row r="11330" spans="1:13" x14ac:dyDescent="0.2">
      <c r="A11330" t="s">
        <v>202</v>
      </c>
      <c r="B11330" t="s">
        <v>133</v>
      </c>
      <c r="C11330" t="s">
        <v>9</v>
      </c>
      <c r="D11330">
        <v>1501</v>
      </c>
      <c r="E11330">
        <v>2020</v>
      </c>
      <c r="F11330">
        <v>1</v>
      </c>
      <c r="G11330">
        <v>10915</v>
      </c>
      <c r="H11330" s="1">
        <v>0</v>
      </c>
      <c r="I11330">
        <v>28</v>
      </c>
      <c r="J11330">
        <f>IF($H11330=0,1,IF($I11330&lt;=1,2,0))</f>
        <v>1</v>
      </c>
      <c r="K11330">
        <v>0</v>
      </c>
      <c r="L11330">
        <f>IF(AND($J11330=0,$K11330=0),0,1)</f>
        <v>1</v>
      </c>
      <c r="M11330" t="s">
        <v>203</v>
      </c>
    </row>
    <row r="11331" spans="1:13" x14ac:dyDescent="0.2">
      <c r="A11331" t="s">
        <v>202</v>
      </c>
      <c r="B11331" t="s">
        <v>133</v>
      </c>
      <c r="C11331" t="s">
        <v>9</v>
      </c>
      <c r="D11331">
        <v>1606</v>
      </c>
      <c r="E11331">
        <v>2020</v>
      </c>
      <c r="F11331">
        <v>5</v>
      </c>
      <c r="G11331">
        <v>12211</v>
      </c>
      <c r="H11331" s="1">
        <v>0</v>
      </c>
      <c r="I11331">
        <v>21</v>
      </c>
      <c r="J11331">
        <f>IF($H11331=0,1,IF($I11331&lt;=1,2,0))</f>
        <v>1</v>
      </c>
      <c r="K11331">
        <v>0</v>
      </c>
      <c r="L11331">
        <f>IF(AND($J11331=0,$K11331=0),0,1)</f>
        <v>1</v>
      </c>
    </row>
    <row r="11332" spans="1:13" x14ac:dyDescent="0.2">
      <c r="A11332" t="s">
        <v>202</v>
      </c>
      <c r="B11332" t="s">
        <v>133</v>
      </c>
      <c r="C11332" t="s">
        <v>9</v>
      </c>
      <c r="D11332">
        <v>1606</v>
      </c>
      <c r="E11332">
        <v>2020</v>
      </c>
      <c r="F11332">
        <v>1</v>
      </c>
      <c r="G11332">
        <v>12208</v>
      </c>
      <c r="H11332" s="1">
        <v>0</v>
      </c>
      <c r="I11332">
        <v>20</v>
      </c>
      <c r="J11332">
        <f>IF($H11332=0,1,IF($I11332&lt;=1,2,0))</f>
        <v>1</v>
      </c>
      <c r="K11332">
        <v>0</v>
      </c>
      <c r="L11332">
        <f>IF(AND($J11332=0,$K11332=0),0,1)</f>
        <v>1</v>
      </c>
    </row>
    <row r="11333" spans="1:13" x14ac:dyDescent="0.2">
      <c r="A11333" t="s">
        <v>202</v>
      </c>
      <c r="B11333" t="s">
        <v>133</v>
      </c>
      <c r="C11333" t="s">
        <v>9</v>
      </c>
      <c r="D11333">
        <v>1606</v>
      </c>
      <c r="E11333">
        <v>2020</v>
      </c>
      <c r="F11333">
        <v>4</v>
      </c>
      <c r="G11333">
        <v>12210</v>
      </c>
      <c r="H11333" s="1">
        <v>0</v>
      </c>
      <c r="I11333">
        <v>20</v>
      </c>
      <c r="J11333">
        <f>IF($H11333=0,1,IF($I11333&lt;=1,2,0))</f>
        <v>1</v>
      </c>
      <c r="K11333">
        <v>0</v>
      </c>
      <c r="L11333">
        <f>IF(AND($J11333=0,$K11333=0),0,1)</f>
        <v>1</v>
      </c>
    </row>
    <row r="11334" spans="1:13" x14ac:dyDescent="0.2">
      <c r="A11334" t="s">
        <v>202</v>
      </c>
      <c r="B11334" t="s">
        <v>133</v>
      </c>
      <c r="C11334" t="s">
        <v>9</v>
      </c>
      <c r="D11334">
        <v>1606</v>
      </c>
      <c r="E11334">
        <v>2020</v>
      </c>
      <c r="F11334">
        <v>6</v>
      </c>
      <c r="G11334">
        <v>12212</v>
      </c>
      <c r="H11334" s="1">
        <v>0</v>
      </c>
      <c r="I11334">
        <v>18</v>
      </c>
      <c r="J11334">
        <f>IF($H11334=0,1,IF($I11334&lt;=1,2,0))</f>
        <v>1</v>
      </c>
      <c r="K11334">
        <v>0</v>
      </c>
      <c r="L11334">
        <f>IF(AND($J11334=0,$K11334=0),0,1)</f>
        <v>1</v>
      </c>
    </row>
    <row r="11335" spans="1:13" x14ac:dyDescent="0.2">
      <c r="A11335" t="s">
        <v>202</v>
      </c>
      <c r="B11335" t="s">
        <v>133</v>
      </c>
      <c r="C11335" t="s">
        <v>9</v>
      </c>
      <c r="D11335">
        <v>1606</v>
      </c>
      <c r="E11335">
        <v>2020</v>
      </c>
      <c r="F11335">
        <v>3</v>
      </c>
      <c r="G11335">
        <v>12213</v>
      </c>
      <c r="H11335" s="1">
        <v>0</v>
      </c>
      <c r="I11335">
        <v>12</v>
      </c>
      <c r="J11335">
        <f>IF($H11335=0,1,IF($I11335&lt;=1,2,0))</f>
        <v>1</v>
      </c>
      <c r="K11335">
        <v>0</v>
      </c>
      <c r="L11335">
        <f>IF(AND($J11335=0,$K11335=0),0,1)</f>
        <v>1</v>
      </c>
    </row>
    <row r="11336" spans="1:13" x14ac:dyDescent="0.2">
      <c r="A11336" t="s">
        <v>202</v>
      </c>
      <c r="B11336" t="s">
        <v>133</v>
      </c>
      <c r="C11336" t="s">
        <v>9</v>
      </c>
      <c r="D11336">
        <v>1606</v>
      </c>
      <c r="E11336">
        <v>2020</v>
      </c>
      <c r="F11336">
        <v>2</v>
      </c>
      <c r="G11336">
        <v>12209</v>
      </c>
      <c r="H11336" s="1">
        <v>0</v>
      </c>
      <c r="I11336">
        <v>7</v>
      </c>
      <c r="J11336">
        <f>IF($H11336=0,1,IF($I11336&lt;=1,2,0))</f>
        <v>1</v>
      </c>
      <c r="K11336">
        <v>0</v>
      </c>
      <c r="L11336">
        <f>IF(AND($J11336=0,$K11336=0),0,1)</f>
        <v>1</v>
      </c>
    </row>
    <row r="11337" spans="1:13" x14ac:dyDescent="0.2">
      <c r="A11337" t="s">
        <v>202</v>
      </c>
      <c r="B11337" t="s">
        <v>133</v>
      </c>
      <c r="C11337" t="s">
        <v>2</v>
      </c>
      <c r="D11337">
        <v>2001</v>
      </c>
      <c r="E11337">
        <v>2020</v>
      </c>
      <c r="F11337">
        <v>3</v>
      </c>
      <c r="G11337">
        <v>755</v>
      </c>
      <c r="H11337" s="1">
        <v>5</v>
      </c>
      <c r="I11337">
        <v>50</v>
      </c>
      <c r="J11337">
        <f>IF($H11337=0,1,IF($I11337&lt;=1,2,0))</f>
        <v>0</v>
      </c>
      <c r="K11337">
        <v>7</v>
      </c>
      <c r="L11337">
        <f>IF(AND($J11337=0,$K11337=0),0,1)</f>
        <v>1</v>
      </c>
    </row>
    <row r="11338" spans="1:13" x14ac:dyDescent="0.2">
      <c r="A11338" t="s">
        <v>202</v>
      </c>
      <c r="B11338" t="s">
        <v>133</v>
      </c>
      <c r="C11338" t="s">
        <v>2</v>
      </c>
      <c r="D11338">
        <v>2001</v>
      </c>
      <c r="E11338">
        <v>2020</v>
      </c>
      <c r="F11338">
        <v>2</v>
      </c>
      <c r="G11338">
        <v>308</v>
      </c>
      <c r="H11338" s="1">
        <v>5</v>
      </c>
      <c r="I11338">
        <v>43</v>
      </c>
      <c r="J11338">
        <f>IF($H11338=0,1,IF($I11338&lt;=1,2,0))</f>
        <v>0</v>
      </c>
      <c r="K11338">
        <v>7</v>
      </c>
      <c r="L11338">
        <f>IF(AND($J11338=0,$K11338=0),0,1)</f>
        <v>1</v>
      </c>
    </row>
    <row r="11339" spans="1:13" x14ac:dyDescent="0.2">
      <c r="A11339" t="s">
        <v>202</v>
      </c>
      <c r="B11339" t="s">
        <v>133</v>
      </c>
      <c r="C11339" t="s">
        <v>2</v>
      </c>
      <c r="D11339">
        <v>2001</v>
      </c>
      <c r="E11339">
        <v>2020</v>
      </c>
      <c r="F11339">
        <v>1</v>
      </c>
      <c r="G11339">
        <v>307</v>
      </c>
      <c r="H11339" s="1">
        <v>5</v>
      </c>
      <c r="I11339">
        <v>39</v>
      </c>
      <c r="J11339">
        <f>IF($H11339=0,1,IF($I11339&lt;=1,2,0))</f>
        <v>0</v>
      </c>
      <c r="K11339">
        <v>7</v>
      </c>
      <c r="L11339">
        <f>IF(AND($J11339=0,$K11339=0),0,1)</f>
        <v>1</v>
      </c>
    </row>
    <row r="11340" spans="1:13" x14ac:dyDescent="0.2">
      <c r="A11340" t="s">
        <v>202</v>
      </c>
      <c r="B11340" t="s">
        <v>133</v>
      </c>
      <c r="C11340" t="s">
        <v>2</v>
      </c>
      <c r="D11340">
        <v>2001</v>
      </c>
      <c r="E11340">
        <v>2020</v>
      </c>
      <c r="F11340">
        <v>4</v>
      </c>
      <c r="G11340">
        <v>773</v>
      </c>
      <c r="H11340" s="1">
        <v>5</v>
      </c>
      <c r="I11340">
        <v>32</v>
      </c>
      <c r="J11340">
        <f>IF($H11340=0,1,IF($I11340&lt;=1,2,0))</f>
        <v>0</v>
      </c>
      <c r="K11340">
        <v>7</v>
      </c>
      <c r="L11340">
        <f>IF(AND($J11340=0,$K11340=0),0,1)</f>
        <v>1</v>
      </c>
    </row>
    <row r="11341" spans="1:13" x14ac:dyDescent="0.2">
      <c r="A11341" t="s">
        <v>202</v>
      </c>
      <c r="B11341" t="s">
        <v>133</v>
      </c>
      <c r="C11341" t="s">
        <v>2</v>
      </c>
      <c r="D11341">
        <v>2001</v>
      </c>
      <c r="E11341">
        <v>2020</v>
      </c>
      <c r="F11341">
        <v>5</v>
      </c>
      <c r="G11341">
        <v>841</v>
      </c>
      <c r="H11341" s="1">
        <v>5</v>
      </c>
      <c r="I11341">
        <v>24</v>
      </c>
      <c r="J11341">
        <f>IF($H11341=0,1,IF($I11341&lt;=1,2,0))</f>
        <v>0</v>
      </c>
      <c r="K11341">
        <v>7</v>
      </c>
      <c r="L11341">
        <f>IF(AND($J11341=0,$K11341=0),0,1)</f>
        <v>1</v>
      </c>
    </row>
    <row r="11342" spans="1:13" x14ac:dyDescent="0.2">
      <c r="A11342" t="s">
        <v>202</v>
      </c>
      <c r="B11342" t="s">
        <v>133</v>
      </c>
      <c r="C11342" t="s">
        <v>2</v>
      </c>
      <c r="D11342">
        <v>2012</v>
      </c>
      <c r="E11342">
        <v>2020</v>
      </c>
      <c r="F11342">
        <v>9</v>
      </c>
      <c r="G11342">
        <v>781</v>
      </c>
      <c r="H11342" s="1">
        <v>0</v>
      </c>
      <c r="I11342">
        <v>22</v>
      </c>
      <c r="J11342">
        <f>IF($H11342=0,1,IF($I11342&lt;=1,2,0))</f>
        <v>1</v>
      </c>
      <c r="K11342">
        <v>7</v>
      </c>
      <c r="L11342">
        <f>IF(AND($J11342=0,$K11342=0),0,1)</f>
        <v>1</v>
      </c>
    </row>
    <row r="11343" spans="1:13" x14ac:dyDescent="0.2">
      <c r="A11343" t="s">
        <v>202</v>
      </c>
      <c r="B11343" t="s">
        <v>133</v>
      </c>
      <c r="C11343" t="s">
        <v>2</v>
      </c>
      <c r="D11343">
        <v>2012</v>
      </c>
      <c r="E11343">
        <v>2020</v>
      </c>
      <c r="F11343">
        <v>3</v>
      </c>
      <c r="G11343">
        <v>311</v>
      </c>
      <c r="H11343" s="1">
        <v>0</v>
      </c>
      <c r="I11343">
        <v>21</v>
      </c>
      <c r="J11343">
        <f>IF($H11343=0,1,IF($I11343&lt;=1,2,0))</f>
        <v>1</v>
      </c>
      <c r="K11343">
        <v>7</v>
      </c>
      <c r="L11343">
        <f>IF(AND($J11343=0,$K11343=0),0,1)</f>
        <v>1</v>
      </c>
    </row>
    <row r="11344" spans="1:13" x14ac:dyDescent="0.2">
      <c r="A11344" t="s">
        <v>202</v>
      </c>
      <c r="B11344" t="s">
        <v>133</v>
      </c>
      <c r="C11344" t="s">
        <v>2</v>
      </c>
      <c r="D11344">
        <v>2012</v>
      </c>
      <c r="E11344">
        <v>2020</v>
      </c>
      <c r="F11344">
        <v>5</v>
      </c>
      <c r="G11344">
        <v>313</v>
      </c>
      <c r="H11344" s="1">
        <v>0</v>
      </c>
      <c r="I11344">
        <v>20</v>
      </c>
      <c r="J11344">
        <f>IF($H11344=0,1,IF($I11344&lt;=1,2,0))</f>
        <v>1</v>
      </c>
      <c r="K11344">
        <v>7</v>
      </c>
      <c r="L11344">
        <f>IF(AND($J11344=0,$K11344=0),0,1)</f>
        <v>1</v>
      </c>
    </row>
    <row r="11345" spans="1:12" x14ac:dyDescent="0.2">
      <c r="A11345" t="s">
        <v>202</v>
      </c>
      <c r="B11345" t="s">
        <v>133</v>
      </c>
      <c r="C11345" t="s">
        <v>2</v>
      </c>
      <c r="D11345">
        <v>2012</v>
      </c>
      <c r="E11345">
        <v>2020</v>
      </c>
      <c r="F11345">
        <v>7</v>
      </c>
      <c r="G11345">
        <v>779</v>
      </c>
      <c r="H11345" s="1">
        <v>0</v>
      </c>
      <c r="I11345">
        <v>20</v>
      </c>
      <c r="J11345">
        <f>IF($H11345=0,1,IF($I11345&lt;=1,2,0))</f>
        <v>1</v>
      </c>
      <c r="K11345">
        <v>7</v>
      </c>
      <c r="L11345">
        <f>IF(AND($J11345=0,$K11345=0),0,1)</f>
        <v>1</v>
      </c>
    </row>
    <row r="11346" spans="1:12" x14ac:dyDescent="0.2">
      <c r="A11346" t="s">
        <v>202</v>
      </c>
      <c r="B11346" t="s">
        <v>133</v>
      </c>
      <c r="C11346" t="s">
        <v>2</v>
      </c>
      <c r="D11346">
        <v>2012</v>
      </c>
      <c r="E11346">
        <v>2020</v>
      </c>
      <c r="F11346">
        <v>11</v>
      </c>
      <c r="G11346">
        <v>783</v>
      </c>
      <c r="H11346" s="1">
        <v>0</v>
      </c>
      <c r="I11346">
        <v>18</v>
      </c>
      <c r="J11346">
        <f>IF($H11346=0,1,IF($I11346&lt;=1,2,0))</f>
        <v>1</v>
      </c>
      <c r="K11346">
        <v>7</v>
      </c>
      <c r="L11346">
        <f>IF(AND($J11346=0,$K11346=0),0,1)</f>
        <v>1</v>
      </c>
    </row>
    <row r="11347" spans="1:12" x14ac:dyDescent="0.2">
      <c r="A11347" t="s">
        <v>202</v>
      </c>
      <c r="B11347" t="s">
        <v>133</v>
      </c>
      <c r="C11347" t="s">
        <v>2</v>
      </c>
      <c r="D11347">
        <v>2012</v>
      </c>
      <c r="E11347">
        <v>2020</v>
      </c>
      <c r="F11347">
        <v>12</v>
      </c>
      <c r="G11347">
        <v>819</v>
      </c>
      <c r="H11347" s="1">
        <v>0</v>
      </c>
      <c r="I11347">
        <v>18</v>
      </c>
      <c r="J11347">
        <f>IF($H11347=0,1,IF($I11347&lt;=1,2,0))</f>
        <v>1</v>
      </c>
      <c r="K11347">
        <v>7</v>
      </c>
      <c r="L11347">
        <f>IF(AND($J11347=0,$K11347=0),0,1)</f>
        <v>1</v>
      </c>
    </row>
    <row r="11348" spans="1:12" x14ac:dyDescent="0.2">
      <c r="A11348" t="s">
        <v>202</v>
      </c>
      <c r="B11348" t="s">
        <v>133</v>
      </c>
      <c r="C11348" t="s">
        <v>2</v>
      </c>
      <c r="D11348">
        <v>2012</v>
      </c>
      <c r="E11348">
        <v>2020</v>
      </c>
      <c r="F11348">
        <v>6</v>
      </c>
      <c r="G11348">
        <v>314</v>
      </c>
      <c r="H11348" s="1">
        <v>0</v>
      </c>
      <c r="I11348">
        <v>17</v>
      </c>
      <c r="J11348">
        <f>IF($H11348=0,1,IF($I11348&lt;=1,2,0))</f>
        <v>1</v>
      </c>
      <c r="K11348">
        <v>7</v>
      </c>
      <c r="L11348">
        <f>IF(AND($J11348=0,$K11348=0),0,1)</f>
        <v>1</v>
      </c>
    </row>
    <row r="11349" spans="1:12" x14ac:dyDescent="0.2">
      <c r="A11349" t="s">
        <v>202</v>
      </c>
      <c r="B11349" t="s">
        <v>133</v>
      </c>
      <c r="C11349" t="s">
        <v>2</v>
      </c>
      <c r="D11349">
        <v>2012</v>
      </c>
      <c r="E11349">
        <v>2020</v>
      </c>
      <c r="F11349">
        <v>1</v>
      </c>
      <c r="G11349">
        <v>309</v>
      </c>
      <c r="H11349" s="1">
        <v>0</v>
      </c>
      <c r="I11349">
        <v>16</v>
      </c>
      <c r="J11349">
        <f>IF($H11349=0,1,IF($I11349&lt;=1,2,0))</f>
        <v>1</v>
      </c>
      <c r="K11349">
        <v>7</v>
      </c>
      <c r="L11349">
        <f>IF(AND($J11349=0,$K11349=0),0,1)</f>
        <v>1</v>
      </c>
    </row>
    <row r="11350" spans="1:12" x14ac:dyDescent="0.2">
      <c r="A11350" t="s">
        <v>202</v>
      </c>
      <c r="B11350" t="s">
        <v>133</v>
      </c>
      <c r="C11350" t="s">
        <v>2</v>
      </c>
      <c r="D11350">
        <v>2012</v>
      </c>
      <c r="E11350">
        <v>2020</v>
      </c>
      <c r="F11350">
        <v>4</v>
      </c>
      <c r="G11350">
        <v>312</v>
      </c>
      <c r="H11350" s="1">
        <v>0</v>
      </c>
      <c r="I11350">
        <v>15</v>
      </c>
      <c r="J11350">
        <f>IF($H11350=0,1,IF($I11350&lt;=1,2,0))</f>
        <v>1</v>
      </c>
      <c r="K11350">
        <v>7</v>
      </c>
      <c r="L11350">
        <f>IF(AND($J11350=0,$K11350=0),0,1)</f>
        <v>1</v>
      </c>
    </row>
    <row r="11351" spans="1:12" x14ac:dyDescent="0.2">
      <c r="A11351" t="s">
        <v>202</v>
      </c>
      <c r="B11351" t="s">
        <v>133</v>
      </c>
      <c r="C11351" t="s">
        <v>2</v>
      </c>
      <c r="D11351">
        <v>2012</v>
      </c>
      <c r="E11351">
        <v>2020</v>
      </c>
      <c r="F11351">
        <v>2</v>
      </c>
      <c r="G11351">
        <v>310</v>
      </c>
      <c r="H11351" s="1">
        <v>0</v>
      </c>
      <c r="I11351">
        <v>11</v>
      </c>
      <c r="J11351">
        <f>IF($H11351=0,1,IF($I11351&lt;=1,2,0))</f>
        <v>1</v>
      </c>
      <c r="K11351">
        <v>7</v>
      </c>
      <c r="L11351">
        <f>IF(AND($J11351=0,$K11351=0),0,1)</f>
        <v>1</v>
      </c>
    </row>
    <row r="11352" spans="1:12" x14ac:dyDescent="0.2">
      <c r="A11352" t="s">
        <v>202</v>
      </c>
      <c r="B11352" t="s">
        <v>133</v>
      </c>
      <c r="C11352" t="s">
        <v>2</v>
      </c>
      <c r="D11352">
        <v>2012</v>
      </c>
      <c r="E11352">
        <v>2020</v>
      </c>
      <c r="F11352">
        <v>8</v>
      </c>
      <c r="G11352">
        <v>780</v>
      </c>
      <c r="H11352" s="1">
        <v>0</v>
      </c>
      <c r="I11352">
        <v>10</v>
      </c>
      <c r="J11352">
        <f>IF($H11352=0,1,IF($I11352&lt;=1,2,0))</f>
        <v>1</v>
      </c>
      <c r="K11352">
        <v>7</v>
      </c>
      <c r="L11352">
        <f>IF(AND($J11352=0,$K11352=0),0,1)</f>
        <v>1</v>
      </c>
    </row>
    <row r="11353" spans="1:12" x14ac:dyDescent="0.2">
      <c r="A11353" t="s">
        <v>202</v>
      </c>
      <c r="B11353" t="s">
        <v>133</v>
      </c>
      <c r="C11353" t="s">
        <v>9</v>
      </c>
      <c r="D11353">
        <v>2445</v>
      </c>
      <c r="E11353">
        <v>2020</v>
      </c>
      <c r="F11353">
        <v>3</v>
      </c>
      <c r="G11353">
        <v>11862</v>
      </c>
      <c r="H11353" s="1">
        <v>0</v>
      </c>
      <c r="I11353">
        <v>23</v>
      </c>
      <c r="J11353">
        <f>IF($H11353=0,1,IF($I11353&lt;=1,2,0))</f>
        <v>1</v>
      </c>
      <c r="K11353">
        <v>0</v>
      </c>
      <c r="L11353">
        <f>IF(AND($J11353=0,$K11353=0),0,1)</f>
        <v>1</v>
      </c>
    </row>
    <row r="11354" spans="1:12" x14ac:dyDescent="0.2">
      <c r="A11354" t="s">
        <v>202</v>
      </c>
      <c r="B11354" t="s">
        <v>133</v>
      </c>
      <c r="C11354" t="s">
        <v>9</v>
      </c>
      <c r="D11354">
        <v>2445</v>
      </c>
      <c r="E11354">
        <v>2020</v>
      </c>
      <c r="F11354">
        <v>7</v>
      </c>
      <c r="G11354">
        <v>11866</v>
      </c>
      <c r="H11354" s="1">
        <v>0</v>
      </c>
      <c r="I11354">
        <v>23</v>
      </c>
      <c r="J11354">
        <f>IF($H11354=0,1,IF($I11354&lt;=1,2,0))</f>
        <v>1</v>
      </c>
      <c r="K11354">
        <v>0</v>
      </c>
      <c r="L11354">
        <f>IF(AND($J11354=0,$K11354=0),0,1)</f>
        <v>1</v>
      </c>
    </row>
    <row r="11355" spans="1:12" x14ac:dyDescent="0.2">
      <c r="A11355" t="s">
        <v>202</v>
      </c>
      <c r="B11355" t="s">
        <v>133</v>
      </c>
      <c r="C11355" t="s">
        <v>9</v>
      </c>
      <c r="D11355">
        <v>2445</v>
      </c>
      <c r="E11355">
        <v>2020</v>
      </c>
      <c r="F11355">
        <v>4</v>
      </c>
      <c r="G11355">
        <v>11863</v>
      </c>
      <c r="H11355" s="1">
        <v>0</v>
      </c>
      <c r="I11355">
        <v>22</v>
      </c>
      <c r="J11355">
        <f>IF($H11355=0,1,IF($I11355&lt;=1,2,0))</f>
        <v>1</v>
      </c>
      <c r="K11355">
        <v>0</v>
      </c>
      <c r="L11355">
        <f>IF(AND($J11355=0,$K11355=0),0,1)</f>
        <v>1</v>
      </c>
    </row>
    <row r="11356" spans="1:12" x14ac:dyDescent="0.2">
      <c r="A11356" t="s">
        <v>202</v>
      </c>
      <c r="B11356" t="s">
        <v>133</v>
      </c>
      <c r="C11356" t="s">
        <v>9</v>
      </c>
      <c r="D11356">
        <v>2445</v>
      </c>
      <c r="E11356">
        <v>2020</v>
      </c>
      <c r="F11356">
        <v>5</v>
      </c>
      <c r="G11356">
        <v>11864</v>
      </c>
      <c r="H11356" s="1">
        <v>0</v>
      </c>
      <c r="I11356">
        <v>22</v>
      </c>
      <c r="J11356">
        <f>IF($H11356=0,1,IF($I11356&lt;=1,2,0))</f>
        <v>1</v>
      </c>
      <c r="K11356">
        <v>0</v>
      </c>
      <c r="L11356">
        <f>IF(AND($J11356=0,$K11356=0),0,1)</f>
        <v>1</v>
      </c>
    </row>
    <row r="11357" spans="1:12" x14ac:dyDescent="0.2">
      <c r="A11357" t="s">
        <v>202</v>
      </c>
      <c r="B11357" t="s">
        <v>133</v>
      </c>
      <c r="C11357" t="s">
        <v>9</v>
      </c>
      <c r="D11357">
        <v>2445</v>
      </c>
      <c r="E11357">
        <v>2020</v>
      </c>
      <c r="F11357">
        <v>8</v>
      </c>
      <c r="G11357">
        <v>11867</v>
      </c>
      <c r="H11357" s="1">
        <v>0</v>
      </c>
      <c r="I11357">
        <v>21</v>
      </c>
      <c r="J11357">
        <f>IF($H11357=0,1,IF($I11357&lt;=1,2,0))</f>
        <v>1</v>
      </c>
      <c r="K11357">
        <v>0</v>
      </c>
      <c r="L11357">
        <f>IF(AND($J11357=0,$K11357=0),0,1)</f>
        <v>1</v>
      </c>
    </row>
    <row r="11358" spans="1:12" x14ac:dyDescent="0.2">
      <c r="A11358" t="s">
        <v>202</v>
      </c>
      <c r="B11358" t="s">
        <v>133</v>
      </c>
      <c r="C11358" t="s">
        <v>9</v>
      </c>
      <c r="D11358">
        <v>2445</v>
      </c>
      <c r="E11358">
        <v>2020</v>
      </c>
      <c r="F11358">
        <v>1</v>
      </c>
      <c r="G11358">
        <v>11860</v>
      </c>
      <c r="H11358" s="1">
        <v>0</v>
      </c>
      <c r="I11358">
        <v>20</v>
      </c>
      <c r="J11358">
        <f>IF($H11358=0,1,IF($I11358&lt;=1,2,0))</f>
        <v>1</v>
      </c>
      <c r="K11358">
        <v>0</v>
      </c>
      <c r="L11358">
        <f>IF(AND($J11358=0,$K11358=0),0,1)</f>
        <v>1</v>
      </c>
    </row>
    <row r="11359" spans="1:12" x14ac:dyDescent="0.2">
      <c r="A11359" t="s">
        <v>202</v>
      </c>
      <c r="B11359" t="s">
        <v>133</v>
      </c>
      <c r="C11359" t="s">
        <v>9</v>
      </c>
      <c r="D11359">
        <v>2445</v>
      </c>
      <c r="E11359">
        <v>2020</v>
      </c>
      <c r="F11359">
        <v>2</v>
      </c>
      <c r="G11359">
        <v>11861</v>
      </c>
      <c r="H11359" s="1">
        <v>0</v>
      </c>
      <c r="I11359">
        <v>19</v>
      </c>
      <c r="J11359">
        <f>IF($H11359=0,1,IF($I11359&lt;=1,2,0))</f>
        <v>1</v>
      </c>
      <c r="K11359">
        <v>0</v>
      </c>
      <c r="L11359">
        <f>IF(AND($J11359=0,$K11359=0),0,1)</f>
        <v>1</v>
      </c>
    </row>
    <row r="11360" spans="1:12" x14ac:dyDescent="0.2">
      <c r="A11360" t="s">
        <v>202</v>
      </c>
      <c r="B11360" t="s">
        <v>133</v>
      </c>
      <c r="C11360" t="s">
        <v>9</v>
      </c>
      <c r="D11360">
        <v>2445</v>
      </c>
      <c r="E11360">
        <v>2020</v>
      </c>
      <c r="F11360">
        <v>6</v>
      </c>
      <c r="G11360">
        <v>11865</v>
      </c>
      <c r="H11360" s="1">
        <v>0</v>
      </c>
      <c r="I11360">
        <v>19</v>
      </c>
      <c r="J11360">
        <f>IF($H11360=0,1,IF($I11360&lt;=1,2,0))</f>
        <v>1</v>
      </c>
      <c r="K11360">
        <v>0</v>
      </c>
      <c r="L11360">
        <f>IF(AND($J11360=0,$K11360=0),0,1)</f>
        <v>1</v>
      </c>
    </row>
    <row r="11361" spans="1:13" x14ac:dyDescent="0.2">
      <c r="A11361" t="s">
        <v>202</v>
      </c>
      <c r="B11361" t="s">
        <v>133</v>
      </c>
      <c r="C11361" t="s">
        <v>9</v>
      </c>
      <c r="D11361">
        <v>2445</v>
      </c>
      <c r="E11361">
        <v>2020</v>
      </c>
      <c r="F11361">
        <v>9</v>
      </c>
      <c r="G11361">
        <v>11868</v>
      </c>
      <c r="H11361" s="1">
        <v>0</v>
      </c>
      <c r="I11361">
        <v>13</v>
      </c>
      <c r="J11361">
        <f>IF($H11361=0,1,IF($I11361&lt;=1,2,0))</f>
        <v>1</v>
      </c>
      <c r="K11361">
        <v>0</v>
      </c>
      <c r="L11361">
        <f>IF(AND($J11361=0,$K11361=0),0,1)</f>
        <v>1</v>
      </c>
    </row>
    <row r="11362" spans="1:13" x14ac:dyDescent="0.2">
      <c r="A11362" t="s">
        <v>202</v>
      </c>
      <c r="B11362" t="s">
        <v>133</v>
      </c>
      <c r="C11362" t="s">
        <v>9</v>
      </c>
      <c r="D11362">
        <v>2449</v>
      </c>
      <c r="E11362">
        <v>2020</v>
      </c>
      <c r="F11362">
        <v>5</v>
      </c>
      <c r="G11362">
        <v>11873</v>
      </c>
      <c r="H11362" s="1">
        <v>0</v>
      </c>
      <c r="I11362">
        <v>24</v>
      </c>
      <c r="J11362">
        <f>IF($H11362=0,1,IF($I11362&lt;=1,2,0))</f>
        <v>1</v>
      </c>
      <c r="K11362">
        <v>0</v>
      </c>
      <c r="L11362">
        <f>IF(AND($J11362=0,$K11362=0),0,1)</f>
        <v>1</v>
      </c>
    </row>
    <row r="11363" spans="1:13" x14ac:dyDescent="0.2">
      <c r="A11363" t="s">
        <v>202</v>
      </c>
      <c r="B11363" t="s">
        <v>133</v>
      </c>
      <c r="C11363" t="s">
        <v>9</v>
      </c>
      <c r="D11363">
        <v>2449</v>
      </c>
      <c r="E11363">
        <v>2020</v>
      </c>
      <c r="F11363">
        <v>3</v>
      </c>
      <c r="G11363">
        <v>11871</v>
      </c>
      <c r="H11363" s="1">
        <v>0</v>
      </c>
      <c r="I11363">
        <v>23</v>
      </c>
      <c r="J11363">
        <f>IF($H11363=0,1,IF($I11363&lt;=1,2,0))</f>
        <v>1</v>
      </c>
      <c r="K11363">
        <v>0</v>
      </c>
      <c r="L11363">
        <f>IF(AND($J11363=0,$K11363=0),0,1)</f>
        <v>1</v>
      </c>
    </row>
    <row r="11364" spans="1:13" x14ac:dyDescent="0.2">
      <c r="A11364" t="s">
        <v>202</v>
      </c>
      <c r="B11364" t="s">
        <v>133</v>
      </c>
      <c r="C11364" t="s">
        <v>9</v>
      </c>
      <c r="D11364">
        <v>2449</v>
      </c>
      <c r="E11364">
        <v>2020</v>
      </c>
      <c r="F11364">
        <v>4</v>
      </c>
      <c r="G11364">
        <v>11872</v>
      </c>
      <c r="H11364" s="1">
        <v>0</v>
      </c>
      <c r="I11364">
        <v>21</v>
      </c>
      <c r="J11364">
        <f>IF($H11364=0,1,IF($I11364&lt;=1,2,0))</f>
        <v>1</v>
      </c>
      <c r="K11364">
        <v>0</v>
      </c>
      <c r="L11364">
        <f>IF(AND($J11364=0,$K11364=0),0,1)</f>
        <v>1</v>
      </c>
    </row>
    <row r="11365" spans="1:13" x14ac:dyDescent="0.2">
      <c r="A11365" t="s">
        <v>202</v>
      </c>
      <c r="B11365" t="s">
        <v>133</v>
      </c>
      <c r="C11365" t="s">
        <v>9</v>
      </c>
      <c r="D11365">
        <v>2449</v>
      </c>
      <c r="E11365">
        <v>2020</v>
      </c>
      <c r="F11365">
        <v>6</v>
      </c>
      <c r="G11365">
        <v>11874</v>
      </c>
      <c r="H11365" s="1">
        <v>0</v>
      </c>
      <c r="I11365">
        <v>20</v>
      </c>
      <c r="J11365">
        <f>IF($H11365=0,1,IF($I11365&lt;=1,2,0))</f>
        <v>1</v>
      </c>
      <c r="K11365">
        <v>0</v>
      </c>
      <c r="L11365">
        <f>IF(AND($J11365=0,$K11365=0),0,1)</f>
        <v>1</v>
      </c>
    </row>
    <row r="11366" spans="1:13" x14ac:dyDescent="0.2">
      <c r="A11366" t="s">
        <v>202</v>
      </c>
      <c r="B11366" t="s">
        <v>133</v>
      </c>
      <c r="C11366" t="s">
        <v>9</v>
      </c>
      <c r="D11366">
        <v>2449</v>
      </c>
      <c r="E11366">
        <v>2020</v>
      </c>
      <c r="F11366">
        <v>7</v>
      </c>
      <c r="G11366">
        <v>24586</v>
      </c>
      <c r="H11366" s="1">
        <v>0</v>
      </c>
      <c r="I11366">
        <v>20</v>
      </c>
      <c r="J11366">
        <f>IF($H11366=0,1,IF($I11366&lt;=1,2,0))</f>
        <v>1</v>
      </c>
      <c r="K11366">
        <v>0</v>
      </c>
      <c r="L11366">
        <f>IF(AND($J11366=0,$K11366=0),0,1)</f>
        <v>1</v>
      </c>
    </row>
    <row r="11367" spans="1:13" x14ac:dyDescent="0.2">
      <c r="A11367" t="s">
        <v>202</v>
      </c>
      <c r="B11367" t="s">
        <v>133</v>
      </c>
      <c r="C11367" t="s">
        <v>9</v>
      </c>
      <c r="D11367">
        <v>2449</v>
      </c>
      <c r="E11367">
        <v>2020</v>
      </c>
      <c r="F11367">
        <v>9</v>
      </c>
      <c r="G11367">
        <v>24588</v>
      </c>
      <c r="H11367" s="1">
        <v>0</v>
      </c>
      <c r="I11367">
        <v>19</v>
      </c>
      <c r="J11367">
        <f>IF($H11367=0,1,IF($I11367&lt;=1,2,0))</f>
        <v>1</v>
      </c>
      <c r="K11367">
        <v>0</v>
      </c>
      <c r="L11367">
        <f>IF(AND($J11367=0,$K11367=0),0,1)</f>
        <v>1</v>
      </c>
    </row>
    <row r="11368" spans="1:13" x14ac:dyDescent="0.2">
      <c r="A11368" t="s">
        <v>202</v>
      </c>
      <c r="B11368" t="s">
        <v>133</v>
      </c>
      <c r="C11368" t="s">
        <v>9</v>
      </c>
      <c r="D11368">
        <v>2449</v>
      </c>
      <c r="E11368">
        <v>2020</v>
      </c>
      <c r="F11368">
        <v>8</v>
      </c>
      <c r="G11368">
        <v>24587</v>
      </c>
      <c r="H11368" s="1">
        <v>0</v>
      </c>
      <c r="I11368">
        <v>16</v>
      </c>
      <c r="J11368">
        <f>IF($H11368=0,1,IF($I11368&lt;=1,2,0))</f>
        <v>1</v>
      </c>
      <c r="K11368">
        <v>0</v>
      </c>
      <c r="L11368">
        <f>IF(AND($J11368=0,$K11368=0),0,1)</f>
        <v>1</v>
      </c>
    </row>
    <row r="11369" spans="1:13" x14ac:dyDescent="0.2">
      <c r="A11369" t="s">
        <v>202</v>
      </c>
      <c r="B11369" t="s">
        <v>133</v>
      </c>
      <c r="C11369" t="s">
        <v>9</v>
      </c>
      <c r="D11369">
        <v>2449</v>
      </c>
      <c r="E11369">
        <v>2020</v>
      </c>
      <c r="F11369">
        <v>1</v>
      </c>
      <c r="G11369">
        <v>11870</v>
      </c>
      <c r="H11369" s="1">
        <v>0</v>
      </c>
      <c r="I11369">
        <v>10</v>
      </c>
      <c r="J11369">
        <f>IF($H11369=0,1,IF($I11369&lt;=1,2,0))</f>
        <v>1</v>
      </c>
      <c r="K11369">
        <v>0</v>
      </c>
      <c r="L11369">
        <f>IF(AND($J11369=0,$K11369=0),0,1)</f>
        <v>1</v>
      </c>
    </row>
    <row r="11370" spans="1:13" x14ac:dyDescent="0.2">
      <c r="A11370" t="s">
        <v>202</v>
      </c>
      <c r="B11370" t="s">
        <v>133</v>
      </c>
      <c r="C11370" t="s">
        <v>9</v>
      </c>
      <c r="D11370">
        <v>2449</v>
      </c>
      <c r="E11370">
        <v>2020</v>
      </c>
      <c r="F11370">
        <v>2</v>
      </c>
      <c r="G11370">
        <v>11859</v>
      </c>
      <c r="H11370" s="1">
        <v>0</v>
      </c>
      <c r="I11370">
        <v>4</v>
      </c>
      <c r="J11370">
        <f>IF($H11370=0,1,IF($I11370&lt;=1,2,0))</f>
        <v>1</v>
      </c>
      <c r="K11370">
        <v>0</v>
      </c>
      <c r="L11370">
        <f>IF(AND($J11370=0,$K11370=0),0,1)</f>
        <v>1</v>
      </c>
    </row>
    <row r="11371" spans="1:13" x14ac:dyDescent="0.2">
      <c r="A11371" t="s">
        <v>202</v>
      </c>
      <c r="B11371" t="s">
        <v>133</v>
      </c>
      <c r="C11371" t="s">
        <v>9</v>
      </c>
      <c r="D11371">
        <v>2493</v>
      </c>
      <c r="E11371">
        <v>2020</v>
      </c>
      <c r="F11371">
        <v>6</v>
      </c>
      <c r="G11371">
        <v>12534</v>
      </c>
      <c r="H11371" s="1">
        <v>0</v>
      </c>
      <c r="I11371">
        <v>49</v>
      </c>
      <c r="J11371">
        <f>IF($H11371=0,1,IF($I11371&lt;=1,2,0))</f>
        <v>1</v>
      </c>
      <c r="K11371">
        <v>0</v>
      </c>
      <c r="L11371">
        <f>IF(AND($J11371=0,$K11371=0),0,1)</f>
        <v>1</v>
      </c>
      <c r="M11371" t="s">
        <v>1912</v>
      </c>
    </row>
    <row r="11372" spans="1:13" x14ac:dyDescent="0.2">
      <c r="A11372" t="s">
        <v>202</v>
      </c>
      <c r="B11372" t="s">
        <v>133</v>
      </c>
      <c r="C11372" t="s">
        <v>9</v>
      </c>
      <c r="D11372">
        <v>2493</v>
      </c>
      <c r="E11372">
        <v>2020</v>
      </c>
      <c r="F11372">
        <v>4</v>
      </c>
      <c r="G11372">
        <v>11879</v>
      </c>
      <c r="H11372" s="1">
        <v>0</v>
      </c>
      <c r="I11372">
        <v>46</v>
      </c>
      <c r="J11372">
        <f>IF($H11372=0,1,IF($I11372&lt;=1,2,0))</f>
        <v>1</v>
      </c>
      <c r="K11372">
        <v>0</v>
      </c>
      <c r="L11372">
        <f>IF(AND($J11372=0,$K11372=0),0,1)</f>
        <v>1</v>
      </c>
      <c r="M11372" t="s">
        <v>1910</v>
      </c>
    </row>
    <row r="11373" spans="1:13" x14ac:dyDescent="0.2">
      <c r="A11373" t="s">
        <v>202</v>
      </c>
      <c r="B11373" t="s">
        <v>133</v>
      </c>
      <c r="C11373" t="s">
        <v>9</v>
      </c>
      <c r="D11373">
        <v>2493</v>
      </c>
      <c r="E11373">
        <v>2020</v>
      </c>
      <c r="F11373">
        <v>11</v>
      </c>
      <c r="G11373">
        <v>12535</v>
      </c>
      <c r="H11373" s="1">
        <v>0</v>
      </c>
      <c r="I11373">
        <v>46</v>
      </c>
      <c r="J11373">
        <f>IF($H11373=0,1,IF($I11373&lt;=1,2,0))</f>
        <v>1</v>
      </c>
      <c r="K11373">
        <v>0</v>
      </c>
      <c r="L11373">
        <f>IF(AND($J11373=0,$K11373=0),0,1)</f>
        <v>1</v>
      </c>
      <c r="M11373" t="s">
        <v>1917</v>
      </c>
    </row>
    <row r="11374" spans="1:13" x14ac:dyDescent="0.2">
      <c r="A11374" t="s">
        <v>202</v>
      </c>
      <c r="B11374" t="s">
        <v>133</v>
      </c>
      <c r="C11374" t="s">
        <v>9</v>
      </c>
      <c r="D11374">
        <v>2493</v>
      </c>
      <c r="E11374">
        <v>2020</v>
      </c>
      <c r="F11374">
        <v>10</v>
      </c>
      <c r="G11374">
        <v>11883</v>
      </c>
      <c r="H11374" s="1">
        <v>0</v>
      </c>
      <c r="I11374">
        <v>45</v>
      </c>
      <c r="J11374">
        <f>IF($H11374=0,1,IF($I11374&lt;=1,2,0))</f>
        <v>1</v>
      </c>
      <c r="K11374">
        <v>0</v>
      </c>
      <c r="L11374">
        <f>IF(AND($J11374=0,$K11374=0),0,1)</f>
        <v>1</v>
      </c>
      <c r="M11374" t="s">
        <v>1916</v>
      </c>
    </row>
    <row r="11375" spans="1:13" x14ac:dyDescent="0.2">
      <c r="A11375" t="s">
        <v>202</v>
      </c>
      <c r="B11375" t="s">
        <v>133</v>
      </c>
      <c r="C11375" t="s">
        <v>9</v>
      </c>
      <c r="D11375">
        <v>2493</v>
      </c>
      <c r="E11375">
        <v>2020</v>
      </c>
      <c r="F11375">
        <v>12</v>
      </c>
      <c r="G11375">
        <v>12536</v>
      </c>
      <c r="H11375" s="1">
        <v>0</v>
      </c>
      <c r="I11375">
        <v>43</v>
      </c>
      <c r="J11375">
        <f>IF($H11375=0,1,IF($I11375&lt;=1,2,0))</f>
        <v>1</v>
      </c>
      <c r="K11375">
        <v>0</v>
      </c>
      <c r="L11375">
        <f>IF(AND($J11375=0,$K11375=0),0,1)</f>
        <v>1</v>
      </c>
      <c r="M11375" t="s">
        <v>1918</v>
      </c>
    </row>
    <row r="11376" spans="1:13" x14ac:dyDescent="0.2">
      <c r="A11376" t="s">
        <v>202</v>
      </c>
      <c r="B11376" t="s">
        <v>133</v>
      </c>
      <c r="C11376" t="s">
        <v>9</v>
      </c>
      <c r="D11376">
        <v>2493</v>
      </c>
      <c r="E11376">
        <v>2020</v>
      </c>
      <c r="F11376">
        <v>5</v>
      </c>
      <c r="G11376">
        <v>12533</v>
      </c>
      <c r="H11376" s="1">
        <v>0</v>
      </c>
      <c r="I11376">
        <v>39</v>
      </c>
      <c r="J11376">
        <f>IF($H11376=0,1,IF($I11376&lt;=1,2,0))</f>
        <v>1</v>
      </c>
      <c r="K11376">
        <v>0</v>
      </c>
      <c r="L11376">
        <f>IF(AND($J11376=0,$K11376=0),0,1)</f>
        <v>1</v>
      </c>
      <c r="M11376" t="s">
        <v>1911</v>
      </c>
    </row>
    <row r="11377" spans="1:13" x14ac:dyDescent="0.2">
      <c r="A11377" t="s">
        <v>202</v>
      </c>
      <c r="B11377" t="s">
        <v>133</v>
      </c>
      <c r="C11377" t="s">
        <v>9</v>
      </c>
      <c r="D11377">
        <v>2495</v>
      </c>
      <c r="E11377">
        <v>2020</v>
      </c>
      <c r="F11377">
        <v>2</v>
      </c>
      <c r="G11377">
        <v>11886</v>
      </c>
      <c r="H11377" s="1">
        <v>1.5</v>
      </c>
      <c r="I11377">
        <v>134</v>
      </c>
      <c r="J11377">
        <f>IF($H11377=0,1,IF($I11377&lt;=1,2,0))</f>
        <v>0</v>
      </c>
      <c r="K11377">
        <v>8</v>
      </c>
      <c r="L11377">
        <f>IF(AND($J11377=0,$K11377=0),0,1)</f>
        <v>1</v>
      </c>
      <c r="M11377" t="s">
        <v>207</v>
      </c>
    </row>
    <row r="11378" spans="1:13" x14ac:dyDescent="0.2">
      <c r="A11378" t="s">
        <v>202</v>
      </c>
      <c r="B11378" t="s">
        <v>133</v>
      </c>
      <c r="C11378" t="s">
        <v>9</v>
      </c>
      <c r="D11378">
        <v>2495</v>
      </c>
      <c r="E11378">
        <v>2020</v>
      </c>
      <c r="F11378">
        <v>4</v>
      </c>
      <c r="G11378">
        <v>11888</v>
      </c>
      <c r="H11378" s="1">
        <v>1.5</v>
      </c>
      <c r="I11378">
        <v>134</v>
      </c>
      <c r="J11378">
        <f>IF($H11378=0,1,IF($I11378&lt;=1,2,0))</f>
        <v>0</v>
      </c>
      <c r="K11378">
        <v>8</v>
      </c>
      <c r="L11378">
        <f>IF(AND($J11378=0,$K11378=0),0,1)</f>
        <v>1</v>
      </c>
      <c r="M11378" t="s">
        <v>209</v>
      </c>
    </row>
    <row r="11379" spans="1:13" x14ac:dyDescent="0.2">
      <c r="A11379" t="s">
        <v>202</v>
      </c>
      <c r="B11379" t="s">
        <v>133</v>
      </c>
      <c r="C11379" t="s">
        <v>9</v>
      </c>
      <c r="D11379">
        <v>3098</v>
      </c>
      <c r="E11379">
        <v>2020</v>
      </c>
      <c r="F11379">
        <v>1</v>
      </c>
      <c r="G11379">
        <v>10929</v>
      </c>
      <c r="H11379" s="1">
        <v>4</v>
      </c>
      <c r="I11379">
        <v>5</v>
      </c>
      <c r="J11379">
        <f>IF($H11379=0,1,IF($I11379&lt;=1,2,0))</f>
        <v>0</v>
      </c>
      <c r="K11379">
        <v>8</v>
      </c>
      <c r="L11379">
        <f>IF(AND($J11379=0,$K11379=0),0,1)</f>
        <v>1</v>
      </c>
    </row>
    <row r="11380" spans="1:13" x14ac:dyDescent="0.2">
      <c r="A11380" t="s">
        <v>202</v>
      </c>
      <c r="B11380" t="s">
        <v>133</v>
      </c>
      <c r="C11380" t="s">
        <v>2</v>
      </c>
      <c r="D11380">
        <v>3231</v>
      </c>
      <c r="E11380">
        <v>2020</v>
      </c>
      <c r="F11380">
        <v>1</v>
      </c>
      <c r="G11380">
        <v>315</v>
      </c>
      <c r="H11380" s="1">
        <v>3</v>
      </c>
      <c r="I11380">
        <v>111</v>
      </c>
      <c r="J11380">
        <f>IF($H11380=0,1,IF($I11380&lt;=1,2,0))</f>
        <v>0</v>
      </c>
      <c r="K11380">
        <v>7</v>
      </c>
      <c r="L11380">
        <f>IF(AND($J11380=0,$K11380=0),0,1)</f>
        <v>1</v>
      </c>
    </row>
    <row r="11381" spans="1:13" x14ac:dyDescent="0.2">
      <c r="A11381" t="s">
        <v>202</v>
      </c>
      <c r="B11381" t="s">
        <v>133</v>
      </c>
      <c r="C11381" t="s">
        <v>2</v>
      </c>
      <c r="D11381">
        <v>3253</v>
      </c>
      <c r="E11381">
        <v>2020</v>
      </c>
      <c r="F11381">
        <v>1</v>
      </c>
      <c r="G11381">
        <v>316</v>
      </c>
      <c r="H11381" s="1">
        <v>3</v>
      </c>
      <c r="I11381">
        <v>31</v>
      </c>
      <c r="J11381">
        <f>IF($H11381=0,1,IF($I11381&lt;=1,2,0))</f>
        <v>0</v>
      </c>
      <c r="K11381">
        <v>7</v>
      </c>
      <c r="L11381">
        <f>IF(AND($J11381=0,$K11381=0),0,1)</f>
        <v>1</v>
      </c>
    </row>
    <row r="11382" spans="1:13" x14ac:dyDescent="0.2">
      <c r="A11382" t="s">
        <v>202</v>
      </c>
      <c r="B11382" t="s">
        <v>133</v>
      </c>
      <c r="C11382" t="s">
        <v>2</v>
      </c>
      <c r="D11382">
        <v>3272</v>
      </c>
      <c r="E11382">
        <v>2020</v>
      </c>
      <c r="F11382">
        <v>1</v>
      </c>
      <c r="G11382">
        <v>317</v>
      </c>
      <c r="H11382" s="1">
        <v>3</v>
      </c>
      <c r="I11382">
        <v>6</v>
      </c>
      <c r="J11382">
        <f>IF($H11382=0,1,IF($I11382&lt;=1,2,0))</f>
        <v>0</v>
      </c>
      <c r="K11382">
        <v>7</v>
      </c>
      <c r="L11382">
        <f>IF(AND($J11382=0,$K11382=0),0,1)</f>
        <v>1</v>
      </c>
    </row>
    <row r="11383" spans="1:13" x14ac:dyDescent="0.2">
      <c r="A11383" t="s">
        <v>202</v>
      </c>
      <c r="B11383" t="s">
        <v>133</v>
      </c>
      <c r="C11383" t="s">
        <v>2</v>
      </c>
      <c r="D11383">
        <v>3282</v>
      </c>
      <c r="E11383">
        <v>2020</v>
      </c>
      <c r="F11383">
        <v>1</v>
      </c>
      <c r="G11383">
        <v>318</v>
      </c>
      <c r="H11383" s="1">
        <v>3</v>
      </c>
      <c r="I11383">
        <v>34</v>
      </c>
      <c r="J11383">
        <f>IF($H11383=0,1,IF($I11383&lt;=1,2,0))</f>
        <v>0</v>
      </c>
      <c r="K11383">
        <v>7</v>
      </c>
      <c r="L11383">
        <f>IF(AND($J11383=0,$K11383=0),0,1)</f>
        <v>1</v>
      </c>
    </row>
    <row r="11384" spans="1:13" x14ac:dyDescent="0.2">
      <c r="A11384" t="s">
        <v>202</v>
      </c>
      <c r="B11384" t="s">
        <v>133</v>
      </c>
      <c r="C11384" t="s">
        <v>2</v>
      </c>
      <c r="D11384">
        <v>3333</v>
      </c>
      <c r="E11384">
        <v>2020</v>
      </c>
      <c r="F11384">
        <v>1</v>
      </c>
      <c r="G11384">
        <v>319</v>
      </c>
      <c r="H11384" s="1">
        <v>3</v>
      </c>
      <c r="I11384">
        <v>17</v>
      </c>
      <c r="J11384">
        <f>IF($H11384=0,1,IF($I11384&lt;=1,2,0))</f>
        <v>0</v>
      </c>
      <c r="K11384">
        <v>7</v>
      </c>
      <c r="L11384">
        <f>IF(AND($J11384=0,$K11384=0),0,1)</f>
        <v>1</v>
      </c>
    </row>
    <row r="11385" spans="1:13" x14ac:dyDescent="0.2">
      <c r="A11385" t="s">
        <v>202</v>
      </c>
      <c r="B11385" t="s">
        <v>133</v>
      </c>
      <c r="C11385" t="s">
        <v>2</v>
      </c>
      <c r="D11385">
        <v>3333</v>
      </c>
      <c r="E11385">
        <v>2020</v>
      </c>
      <c r="F11385">
        <v>2</v>
      </c>
      <c r="G11385">
        <v>320</v>
      </c>
      <c r="H11385" s="1">
        <v>3</v>
      </c>
      <c r="I11385">
        <v>17</v>
      </c>
      <c r="J11385">
        <f>IF($H11385=0,1,IF($I11385&lt;=1,2,0))</f>
        <v>0</v>
      </c>
      <c r="K11385">
        <v>7</v>
      </c>
      <c r="L11385">
        <f>IF(AND($J11385=0,$K11385=0),0,1)</f>
        <v>1</v>
      </c>
    </row>
    <row r="11386" spans="1:13" x14ac:dyDescent="0.2">
      <c r="A11386" t="s">
        <v>202</v>
      </c>
      <c r="B11386" t="s">
        <v>133</v>
      </c>
      <c r="C11386" t="s">
        <v>2</v>
      </c>
      <c r="D11386">
        <v>3358</v>
      </c>
      <c r="E11386">
        <v>2020</v>
      </c>
      <c r="F11386">
        <v>1</v>
      </c>
      <c r="G11386">
        <v>321</v>
      </c>
      <c r="H11386" s="1">
        <v>5</v>
      </c>
      <c r="I11386">
        <v>10</v>
      </c>
      <c r="J11386">
        <f>IF($H11386=0,1,IF($I11386&lt;=1,2,0))</f>
        <v>0</v>
      </c>
      <c r="K11386">
        <v>7</v>
      </c>
      <c r="L11386">
        <f>IF(AND($J11386=0,$K11386=0),0,1)</f>
        <v>1</v>
      </c>
      <c r="M11386" t="s">
        <v>1984</v>
      </c>
    </row>
    <row r="11387" spans="1:13" x14ac:dyDescent="0.2">
      <c r="A11387" t="s">
        <v>202</v>
      </c>
      <c r="B11387" t="s">
        <v>133</v>
      </c>
      <c r="C11387" t="s">
        <v>2</v>
      </c>
      <c r="D11387">
        <v>3596</v>
      </c>
      <c r="E11387">
        <v>2020</v>
      </c>
      <c r="F11387">
        <v>2</v>
      </c>
      <c r="G11387">
        <v>972</v>
      </c>
      <c r="H11387" s="1" t="s">
        <v>1823</v>
      </c>
      <c r="I11387">
        <v>1</v>
      </c>
      <c r="J11387">
        <f>IF($H11387=0,1,IF($I11387&lt;=1,2,0))</f>
        <v>2</v>
      </c>
      <c r="K11387">
        <v>7</v>
      </c>
      <c r="L11387">
        <f>IF(AND($J11387=0,$K11387=0),0,1)</f>
        <v>1</v>
      </c>
    </row>
    <row r="11388" spans="1:13" x14ac:dyDescent="0.2">
      <c r="A11388" t="s">
        <v>202</v>
      </c>
      <c r="B11388" t="s">
        <v>133</v>
      </c>
      <c r="C11388" t="s">
        <v>2</v>
      </c>
      <c r="D11388">
        <v>3596</v>
      </c>
      <c r="E11388">
        <v>2020</v>
      </c>
      <c r="F11388">
        <v>3</v>
      </c>
      <c r="G11388">
        <v>973</v>
      </c>
      <c r="H11388" s="1" t="s">
        <v>1823</v>
      </c>
      <c r="I11388">
        <v>1</v>
      </c>
      <c r="J11388">
        <f>IF($H11388=0,1,IF($I11388&lt;=1,2,0))</f>
        <v>2</v>
      </c>
      <c r="K11388">
        <v>7</v>
      </c>
      <c r="L11388">
        <f>IF(AND($J11388=0,$K11388=0),0,1)</f>
        <v>1</v>
      </c>
    </row>
    <row r="11389" spans="1:13" x14ac:dyDescent="0.2">
      <c r="A11389" t="s">
        <v>202</v>
      </c>
      <c r="B11389" t="s">
        <v>133</v>
      </c>
      <c r="C11389" t="s">
        <v>2</v>
      </c>
      <c r="D11389">
        <v>3596</v>
      </c>
      <c r="E11389">
        <v>2020</v>
      </c>
      <c r="F11389">
        <v>1</v>
      </c>
      <c r="G11389">
        <v>322</v>
      </c>
      <c r="H11389" s="1" t="s">
        <v>1823</v>
      </c>
      <c r="I11389">
        <v>0</v>
      </c>
      <c r="J11389">
        <f>IF($H11389=0,1,IF($I11389&lt;=1,2,0))</f>
        <v>2</v>
      </c>
      <c r="K11389">
        <v>7</v>
      </c>
      <c r="L11389">
        <f>IF(AND($J11389=0,$K11389=0),0,1)</f>
        <v>1</v>
      </c>
      <c r="M11389" t="s">
        <v>928</v>
      </c>
    </row>
    <row r="11390" spans="1:13" x14ac:dyDescent="0.2">
      <c r="A11390" t="s">
        <v>202</v>
      </c>
      <c r="B11390" t="s">
        <v>133</v>
      </c>
      <c r="C11390" t="s">
        <v>2</v>
      </c>
      <c r="D11390">
        <v>3597</v>
      </c>
      <c r="E11390">
        <v>2020</v>
      </c>
      <c r="F11390">
        <v>1</v>
      </c>
      <c r="G11390">
        <v>323</v>
      </c>
      <c r="H11390" s="1">
        <v>2</v>
      </c>
      <c r="I11390">
        <v>2</v>
      </c>
      <c r="J11390">
        <f>IF($H11390=0,1,IF($I11390&lt;=1,2,0))</f>
        <v>0</v>
      </c>
      <c r="K11390">
        <v>7</v>
      </c>
      <c r="L11390">
        <f>IF(AND($J11390=0,$K11390=0),0,1)</f>
        <v>1</v>
      </c>
    </row>
    <row r="11391" spans="1:13" x14ac:dyDescent="0.2">
      <c r="A11391" t="s">
        <v>202</v>
      </c>
      <c r="B11391" t="s">
        <v>133</v>
      </c>
      <c r="C11391" t="s">
        <v>2</v>
      </c>
      <c r="D11391">
        <v>3597</v>
      </c>
      <c r="E11391">
        <v>2020</v>
      </c>
      <c r="F11391">
        <v>6</v>
      </c>
      <c r="G11391">
        <v>328</v>
      </c>
      <c r="H11391" s="1">
        <v>2</v>
      </c>
      <c r="I11391">
        <v>1</v>
      </c>
      <c r="J11391">
        <f>IF($H11391=0,1,IF($I11391&lt;=1,2,0))</f>
        <v>2</v>
      </c>
      <c r="K11391">
        <v>7</v>
      </c>
      <c r="L11391">
        <f>IF(AND($J11391=0,$K11391=0),0,1)</f>
        <v>1</v>
      </c>
    </row>
    <row r="11392" spans="1:13" x14ac:dyDescent="0.2">
      <c r="A11392" t="s">
        <v>202</v>
      </c>
      <c r="B11392" t="s">
        <v>133</v>
      </c>
      <c r="C11392" t="s">
        <v>2</v>
      </c>
      <c r="D11392">
        <v>3597</v>
      </c>
      <c r="E11392">
        <v>2020</v>
      </c>
      <c r="F11392">
        <v>8</v>
      </c>
      <c r="G11392">
        <v>330</v>
      </c>
      <c r="H11392" s="1">
        <v>2</v>
      </c>
      <c r="I11392">
        <v>1</v>
      </c>
      <c r="J11392">
        <f>IF($H11392=0,1,IF($I11392&lt;=1,2,0))</f>
        <v>2</v>
      </c>
      <c r="K11392">
        <v>7</v>
      </c>
      <c r="L11392">
        <f>IF(AND($J11392=0,$K11392=0),0,1)</f>
        <v>1</v>
      </c>
    </row>
    <row r="11393" spans="1:12" x14ac:dyDescent="0.2">
      <c r="A11393" t="s">
        <v>202</v>
      </c>
      <c r="B11393" t="s">
        <v>133</v>
      </c>
      <c r="C11393" t="s">
        <v>2</v>
      </c>
      <c r="D11393">
        <v>3597</v>
      </c>
      <c r="E11393">
        <v>2020</v>
      </c>
      <c r="F11393">
        <v>9</v>
      </c>
      <c r="G11393">
        <v>331</v>
      </c>
      <c r="H11393" s="1">
        <v>2</v>
      </c>
      <c r="I11393">
        <v>1</v>
      </c>
      <c r="J11393">
        <f>IF($H11393=0,1,IF($I11393&lt;=1,2,0))</f>
        <v>2</v>
      </c>
      <c r="K11393">
        <v>7</v>
      </c>
      <c r="L11393">
        <f>IF(AND($J11393=0,$K11393=0),0,1)</f>
        <v>1</v>
      </c>
    </row>
    <row r="11394" spans="1:12" x14ac:dyDescent="0.2">
      <c r="A11394" t="s">
        <v>202</v>
      </c>
      <c r="B11394" t="s">
        <v>133</v>
      </c>
      <c r="C11394" t="s">
        <v>2</v>
      </c>
      <c r="D11394">
        <v>3597</v>
      </c>
      <c r="E11394">
        <v>2020</v>
      </c>
      <c r="F11394">
        <v>2</v>
      </c>
      <c r="G11394">
        <v>324</v>
      </c>
      <c r="H11394" s="1">
        <v>2</v>
      </c>
      <c r="I11394">
        <v>0</v>
      </c>
      <c r="J11394">
        <f>IF($H11394=0,1,IF($I11394&lt;=1,2,0))</f>
        <v>2</v>
      </c>
      <c r="K11394">
        <v>7</v>
      </c>
      <c r="L11394">
        <f>IF(AND($J11394=0,$K11394=0),0,1)</f>
        <v>1</v>
      </c>
    </row>
    <row r="11395" spans="1:12" x14ac:dyDescent="0.2">
      <c r="A11395" t="s">
        <v>202</v>
      </c>
      <c r="B11395" t="s">
        <v>133</v>
      </c>
      <c r="C11395" t="s">
        <v>2</v>
      </c>
      <c r="D11395">
        <v>3597</v>
      </c>
      <c r="E11395">
        <v>2020</v>
      </c>
      <c r="F11395">
        <v>3</v>
      </c>
      <c r="G11395">
        <v>325</v>
      </c>
      <c r="H11395" s="1">
        <v>2</v>
      </c>
      <c r="I11395">
        <v>0</v>
      </c>
      <c r="J11395">
        <f>IF($H11395=0,1,IF($I11395&lt;=1,2,0))</f>
        <v>2</v>
      </c>
      <c r="K11395">
        <v>7</v>
      </c>
      <c r="L11395">
        <f>IF(AND($J11395=0,$K11395=0),0,1)</f>
        <v>1</v>
      </c>
    </row>
    <row r="11396" spans="1:12" x14ac:dyDescent="0.2">
      <c r="A11396" t="s">
        <v>202</v>
      </c>
      <c r="B11396" t="s">
        <v>133</v>
      </c>
      <c r="C11396" t="s">
        <v>2</v>
      </c>
      <c r="D11396">
        <v>3597</v>
      </c>
      <c r="E11396">
        <v>2020</v>
      </c>
      <c r="F11396">
        <v>4</v>
      </c>
      <c r="G11396">
        <v>326</v>
      </c>
      <c r="H11396" s="1">
        <v>2</v>
      </c>
      <c r="I11396">
        <v>0</v>
      </c>
      <c r="J11396">
        <f>IF($H11396=0,1,IF($I11396&lt;=1,2,0))</f>
        <v>2</v>
      </c>
      <c r="K11396">
        <v>7</v>
      </c>
      <c r="L11396">
        <f>IF(AND($J11396=0,$K11396=0),0,1)</f>
        <v>1</v>
      </c>
    </row>
    <row r="11397" spans="1:12" x14ac:dyDescent="0.2">
      <c r="A11397" t="s">
        <v>202</v>
      </c>
      <c r="B11397" t="s">
        <v>133</v>
      </c>
      <c r="C11397" t="s">
        <v>2</v>
      </c>
      <c r="D11397">
        <v>3597</v>
      </c>
      <c r="E11397">
        <v>2020</v>
      </c>
      <c r="F11397">
        <v>5</v>
      </c>
      <c r="G11397">
        <v>327</v>
      </c>
      <c r="H11397" s="1">
        <v>2</v>
      </c>
      <c r="I11397">
        <v>0</v>
      </c>
      <c r="J11397">
        <f>IF($H11397=0,1,IF($I11397&lt;=1,2,0))</f>
        <v>2</v>
      </c>
      <c r="K11397">
        <v>7</v>
      </c>
      <c r="L11397">
        <f>IF(AND($J11397=0,$K11397=0),0,1)</f>
        <v>1</v>
      </c>
    </row>
    <row r="11398" spans="1:12" x14ac:dyDescent="0.2">
      <c r="A11398" t="s">
        <v>202</v>
      </c>
      <c r="B11398" t="s">
        <v>133</v>
      </c>
      <c r="C11398" t="s">
        <v>2</v>
      </c>
      <c r="D11398">
        <v>3597</v>
      </c>
      <c r="E11398">
        <v>2020</v>
      </c>
      <c r="F11398">
        <v>7</v>
      </c>
      <c r="G11398">
        <v>329</v>
      </c>
      <c r="H11398" s="1">
        <v>2</v>
      </c>
      <c r="I11398">
        <v>0</v>
      </c>
      <c r="J11398">
        <f>IF($H11398=0,1,IF($I11398&lt;=1,2,0))</f>
        <v>2</v>
      </c>
      <c r="K11398">
        <v>7</v>
      </c>
      <c r="L11398">
        <f>IF(AND($J11398=0,$K11398=0),0,1)</f>
        <v>1</v>
      </c>
    </row>
    <row r="11399" spans="1:12" x14ac:dyDescent="0.2">
      <c r="A11399" t="s">
        <v>202</v>
      </c>
      <c r="B11399" t="s">
        <v>133</v>
      </c>
      <c r="C11399" t="s">
        <v>2</v>
      </c>
      <c r="D11399">
        <v>3597</v>
      </c>
      <c r="E11399">
        <v>2020</v>
      </c>
      <c r="F11399">
        <v>10</v>
      </c>
      <c r="G11399">
        <v>359</v>
      </c>
      <c r="H11399" s="1">
        <v>2</v>
      </c>
      <c r="I11399">
        <v>0</v>
      </c>
      <c r="J11399">
        <f>IF($H11399=0,1,IF($I11399&lt;=1,2,0))</f>
        <v>2</v>
      </c>
      <c r="K11399">
        <v>7</v>
      </c>
      <c r="L11399">
        <f>IF(AND($J11399=0,$K11399=0),0,1)</f>
        <v>1</v>
      </c>
    </row>
    <row r="11400" spans="1:12" x14ac:dyDescent="0.2">
      <c r="A11400" t="s">
        <v>202</v>
      </c>
      <c r="B11400" t="s">
        <v>133</v>
      </c>
      <c r="C11400" t="s">
        <v>2</v>
      </c>
      <c r="D11400">
        <v>3599</v>
      </c>
      <c r="E11400">
        <v>2020</v>
      </c>
      <c r="F11400">
        <v>10</v>
      </c>
      <c r="G11400">
        <v>775</v>
      </c>
      <c r="H11400" s="1">
        <v>4</v>
      </c>
      <c r="I11400">
        <v>8</v>
      </c>
      <c r="J11400">
        <f>IF($H11400=0,1,IF($I11400&lt;=1,2,0))</f>
        <v>0</v>
      </c>
      <c r="K11400">
        <v>7</v>
      </c>
      <c r="L11400">
        <f>IF(AND($J11400=0,$K11400=0),0,1)</f>
        <v>1</v>
      </c>
    </row>
    <row r="11401" spans="1:12" x14ac:dyDescent="0.2">
      <c r="A11401" t="s">
        <v>202</v>
      </c>
      <c r="B11401" t="s">
        <v>133</v>
      </c>
      <c r="C11401" t="s">
        <v>2</v>
      </c>
      <c r="D11401">
        <v>3599</v>
      </c>
      <c r="E11401">
        <v>2020</v>
      </c>
      <c r="F11401">
        <v>9</v>
      </c>
      <c r="G11401">
        <v>338</v>
      </c>
      <c r="H11401" s="1">
        <v>4</v>
      </c>
      <c r="I11401">
        <v>1</v>
      </c>
      <c r="J11401">
        <f>IF($H11401=0,1,IF($I11401&lt;=1,2,0))</f>
        <v>2</v>
      </c>
      <c r="K11401">
        <v>7</v>
      </c>
      <c r="L11401">
        <f>IF(AND($J11401=0,$K11401=0),0,1)</f>
        <v>1</v>
      </c>
    </row>
    <row r="11402" spans="1:12" x14ac:dyDescent="0.2">
      <c r="A11402" t="s">
        <v>202</v>
      </c>
      <c r="B11402" t="s">
        <v>133</v>
      </c>
      <c r="C11402" t="s">
        <v>2</v>
      </c>
      <c r="D11402">
        <v>3599</v>
      </c>
      <c r="E11402">
        <v>2020</v>
      </c>
      <c r="F11402">
        <v>11</v>
      </c>
      <c r="G11402">
        <v>963</v>
      </c>
      <c r="H11402" s="1">
        <v>4</v>
      </c>
      <c r="I11402">
        <v>1</v>
      </c>
      <c r="J11402">
        <f>IF($H11402=0,1,IF($I11402&lt;=1,2,0))</f>
        <v>2</v>
      </c>
      <c r="K11402">
        <v>7</v>
      </c>
      <c r="L11402">
        <f>IF(AND($J11402=0,$K11402=0),0,1)</f>
        <v>1</v>
      </c>
    </row>
    <row r="11403" spans="1:12" x14ac:dyDescent="0.2">
      <c r="A11403" t="s">
        <v>202</v>
      </c>
      <c r="B11403" t="s">
        <v>133</v>
      </c>
      <c r="C11403" t="s">
        <v>2</v>
      </c>
      <c r="D11403">
        <v>3599</v>
      </c>
      <c r="E11403">
        <v>2020</v>
      </c>
      <c r="F11403">
        <v>1</v>
      </c>
      <c r="G11403">
        <v>333</v>
      </c>
      <c r="H11403" s="1">
        <v>4</v>
      </c>
      <c r="I11403">
        <v>0</v>
      </c>
      <c r="J11403">
        <f>IF($H11403=0,1,IF($I11403&lt;=1,2,0))</f>
        <v>2</v>
      </c>
      <c r="K11403">
        <v>7</v>
      </c>
      <c r="L11403">
        <f>IF(AND($J11403=0,$K11403=0),0,1)</f>
        <v>1</v>
      </c>
    </row>
    <row r="11404" spans="1:12" x14ac:dyDescent="0.2">
      <c r="A11404" t="s">
        <v>202</v>
      </c>
      <c r="B11404" t="s">
        <v>133</v>
      </c>
      <c r="C11404" t="s">
        <v>2</v>
      </c>
      <c r="D11404">
        <v>3599</v>
      </c>
      <c r="E11404">
        <v>2020</v>
      </c>
      <c r="F11404">
        <v>2</v>
      </c>
      <c r="G11404">
        <v>334</v>
      </c>
      <c r="H11404" s="1">
        <v>4</v>
      </c>
      <c r="I11404">
        <v>0</v>
      </c>
      <c r="J11404">
        <f>IF($H11404=0,1,IF($I11404&lt;=1,2,0))</f>
        <v>2</v>
      </c>
      <c r="K11404">
        <v>7</v>
      </c>
      <c r="L11404">
        <f>IF(AND($J11404=0,$K11404=0),0,1)</f>
        <v>1</v>
      </c>
    </row>
    <row r="11405" spans="1:12" x14ac:dyDescent="0.2">
      <c r="A11405" t="s">
        <v>202</v>
      </c>
      <c r="B11405" t="s">
        <v>133</v>
      </c>
      <c r="C11405" t="s">
        <v>2</v>
      </c>
      <c r="D11405">
        <v>3599</v>
      </c>
      <c r="E11405">
        <v>2020</v>
      </c>
      <c r="F11405">
        <v>3</v>
      </c>
      <c r="G11405">
        <v>335</v>
      </c>
      <c r="H11405" s="1">
        <v>4</v>
      </c>
      <c r="I11405">
        <v>0</v>
      </c>
      <c r="J11405">
        <f>IF($H11405=0,1,IF($I11405&lt;=1,2,0))</f>
        <v>2</v>
      </c>
      <c r="K11405">
        <v>7</v>
      </c>
      <c r="L11405">
        <f>IF(AND($J11405=0,$K11405=0),0,1)</f>
        <v>1</v>
      </c>
    </row>
    <row r="11406" spans="1:12" x14ac:dyDescent="0.2">
      <c r="A11406" t="s">
        <v>202</v>
      </c>
      <c r="B11406" t="s">
        <v>133</v>
      </c>
      <c r="C11406" t="s">
        <v>2</v>
      </c>
      <c r="D11406">
        <v>3599</v>
      </c>
      <c r="E11406">
        <v>2020</v>
      </c>
      <c r="F11406">
        <v>4</v>
      </c>
      <c r="G11406">
        <v>336</v>
      </c>
      <c r="H11406" s="1">
        <v>4</v>
      </c>
      <c r="I11406">
        <v>0</v>
      </c>
      <c r="J11406">
        <f>IF($H11406=0,1,IF($I11406&lt;=1,2,0))</f>
        <v>2</v>
      </c>
      <c r="K11406">
        <v>7</v>
      </c>
      <c r="L11406">
        <f>IF(AND($J11406=0,$K11406=0),0,1)</f>
        <v>1</v>
      </c>
    </row>
    <row r="11407" spans="1:12" x14ac:dyDescent="0.2">
      <c r="A11407" t="s">
        <v>202</v>
      </c>
      <c r="B11407" t="s">
        <v>133</v>
      </c>
      <c r="C11407" t="s">
        <v>2</v>
      </c>
      <c r="D11407">
        <v>3599</v>
      </c>
      <c r="E11407">
        <v>2020</v>
      </c>
      <c r="F11407">
        <v>5</v>
      </c>
      <c r="G11407">
        <v>337</v>
      </c>
      <c r="H11407" s="1">
        <v>4</v>
      </c>
      <c r="I11407">
        <v>0</v>
      </c>
      <c r="J11407">
        <f>IF($H11407=0,1,IF($I11407&lt;=1,2,0))</f>
        <v>2</v>
      </c>
      <c r="K11407">
        <v>7</v>
      </c>
      <c r="L11407">
        <f>IF(AND($J11407=0,$K11407=0),0,1)</f>
        <v>1</v>
      </c>
    </row>
    <row r="11408" spans="1:12" x14ac:dyDescent="0.2">
      <c r="A11408" t="s">
        <v>202</v>
      </c>
      <c r="B11408" t="s">
        <v>133</v>
      </c>
      <c r="C11408" t="s">
        <v>2</v>
      </c>
      <c r="D11408">
        <v>3599</v>
      </c>
      <c r="E11408">
        <v>2020</v>
      </c>
      <c r="F11408">
        <v>6</v>
      </c>
      <c r="G11408">
        <v>358</v>
      </c>
      <c r="H11408" s="1">
        <v>4</v>
      </c>
      <c r="I11408">
        <v>0</v>
      </c>
      <c r="J11408">
        <f>IF($H11408=0,1,IF($I11408&lt;=1,2,0))</f>
        <v>2</v>
      </c>
      <c r="K11408">
        <v>7</v>
      </c>
      <c r="L11408">
        <f>IF(AND($J11408=0,$K11408=0),0,1)</f>
        <v>1</v>
      </c>
    </row>
    <row r="11409" spans="1:12" x14ac:dyDescent="0.2">
      <c r="A11409" t="s">
        <v>202</v>
      </c>
      <c r="B11409" t="s">
        <v>133</v>
      </c>
      <c r="C11409" t="s">
        <v>2</v>
      </c>
      <c r="D11409">
        <v>3599</v>
      </c>
      <c r="E11409">
        <v>2020</v>
      </c>
      <c r="F11409">
        <v>7</v>
      </c>
      <c r="G11409">
        <v>340</v>
      </c>
      <c r="H11409" s="1">
        <v>4</v>
      </c>
      <c r="I11409">
        <v>0</v>
      </c>
      <c r="J11409">
        <f>IF($H11409=0,1,IF($I11409&lt;=1,2,0))</f>
        <v>2</v>
      </c>
      <c r="K11409">
        <v>7</v>
      </c>
      <c r="L11409">
        <f>IF(AND($J11409=0,$K11409=0),0,1)</f>
        <v>1</v>
      </c>
    </row>
    <row r="11410" spans="1:12" x14ac:dyDescent="0.2">
      <c r="A11410" t="s">
        <v>202</v>
      </c>
      <c r="B11410" t="s">
        <v>133</v>
      </c>
      <c r="C11410" t="s">
        <v>2</v>
      </c>
      <c r="D11410">
        <v>3599</v>
      </c>
      <c r="E11410">
        <v>2020</v>
      </c>
      <c r="F11410">
        <v>8</v>
      </c>
      <c r="G11410">
        <v>339</v>
      </c>
      <c r="H11410" s="1">
        <v>4</v>
      </c>
      <c r="I11410">
        <v>0</v>
      </c>
      <c r="J11410">
        <f>IF($H11410=0,1,IF($I11410&lt;=1,2,0))</f>
        <v>2</v>
      </c>
      <c r="K11410">
        <v>7</v>
      </c>
      <c r="L11410">
        <f>IF(AND($J11410=0,$K11410=0),0,1)</f>
        <v>1</v>
      </c>
    </row>
    <row r="11411" spans="1:12" x14ac:dyDescent="0.2">
      <c r="A11411" t="s">
        <v>202</v>
      </c>
      <c r="B11411" t="s">
        <v>133</v>
      </c>
      <c r="C11411" t="s">
        <v>2</v>
      </c>
      <c r="D11411">
        <v>3901</v>
      </c>
      <c r="E11411">
        <v>2020</v>
      </c>
      <c r="F11411">
        <v>1</v>
      </c>
      <c r="G11411">
        <v>341</v>
      </c>
      <c r="H11411" s="1">
        <v>4</v>
      </c>
      <c r="I11411">
        <v>12</v>
      </c>
      <c r="J11411">
        <f>IF($H11411=0,1,IF($I11411&lt;=1,2,0))</f>
        <v>0</v>
      </c>
      <c r="K11411">
        <v>7</v>
      </c>
      <c r="L11411">
        <f>IF(AND($J11411=0,$K11411=0),0,1)</f>
        <v>1</v>
      </c>
    </row>
    <row r="11412" spans="1:12" x14ac:dyDescent="0.2">
      <c r="A11412" t="s">
        <v>202</v>
      </c>
      <c r="B11412" t="s">
        <v>133</v>
      </c>
      <c r="C11412" t="s">
        <v>2</v>
      </c>
      <c r="D11412">
        <v>3903</v>
      </c>
      <c r="E11412">
        <v>2020</v>
      </c>
      <c r="F11412">
        <v>5</v>
      </c>
      <c r="G11412">
        <v>346</v>
      </c>
      <c r="H11412" s="1">
        <v>0</v>
      </c>
      <c r="I11412">
        <v>3</v>
      </c>
      <c r="J11412">
        <f>IF($H11412=0,1,IF($I11412&lt;=1,2,0))</f>
        <v>1</v>
      </c>
      <c r="K11412">
        <v>7</v>
      </c>
      <c r="L11412">
        <f>IF(AND($J11412=0,$K11412=0),0,1)</f>
        <v>1</v>
      </c>
    </row>
    <row r="11413" spans="1:12" x14ac:dyDescent="0.2">
      <c r="A11413" t="s">
        <v>202</v>
      </c>
      <c r="B11413" t="s">
        <v>133</v>
      </c>
      <c r="C11413" t="s">
        <v>2</v>
      </c>
      <c r="D11413">
        <v>3903</v>
      </c>
      <c r="E11413">
        <v>2020</v>
      </c>
      <c r="F11413">
        <v>7</v>
      </c>
      <c r="G11413">
        <v>347</v>
      </c>
      <c r="H11413" s="1">
        <v>0</v>
      </c>
      <c r="I11413">
        <v>2</v>
      </c>
      <c r="J11413">
        <f>IF($H11413=0,1,IF($I11413&lt;=1,2,0))</f>
        <v>1</v>
      </c>
      <c r="K11413">
        <v>7</v>
      </c>
      <c r="L11413">
        <f>IF(AND($J11413=0,$K11413=0),0,1)</f>
        <v>1</v>
      </c>
    </row>
    <row r="11414" spans="1:12" x14ac:dyDescent="0.2">
      <c r="A11414" t="s">
        <v>202</v>
      </c>
      <c r="B11414" t="s">
        <v>133</v>
      </c>
      <c r="C11414" t="s">
        <v>2</v>
      </c>
      <c r="D11414">
        <v>3903</v>
      </c>
      <c r="E11414">
        <v>2020</v>
      </c>
      <c r="F11414">
        <v>9</v>
      </c>
      <c r="G11414">
        <v>349</v>
      </c>
      <c r="H11414" s="1">
        <v>0</v>
      </c>
      <c r="I11414">
        <v>2</v>
      </c>
      <c r="J11414">
        <f>IF($H11414=0,1,IF($I11414&lt;=1,2,0))</f>
        <v>1</v>
      </c>
      <c r="K11414">
        <v>7</v>
      </c>
      <c r="L11414">
        <f>IF(AND($J11414=0,$K11414=0),0,1)</f>
        <v>1</v>
      </c>
    </row>
    <row r="11415" spans="1:12" x14ac:dyDescent="0.2">
      <c r="A11415" t="s">
        <v>202</v>
      </c>
      <c r="B11415" t="s">
        <v>133</v>
      </c>
      <c r="C11415" t="s">
        <v>2</v>
      </c>
      <c r="D11415">
        <v>3903</v>
      </c>
      <c r="E11415">
        <v>2020</v>
      </c>
      <c r="F11415">
        <v>3</v>
      </c>
      <c r="G11415">
        <v>344</v>
      </c>
      <c r="H11415" s="1">
        <v>0</v>
      </c>
      <c r="I11415">
        <v>1</v>
      </c>
      <c r="J11415">
        <f>IF($H11415=0,1,IF($I11415&lt;=1,2,0))</f>
        <v>1</v>
      </c>
      <c r="K11415">
        <v>7</v>
      </c>
      <c r="L11415">
        <f>IF(AND($J11415=0,$K11415=0),0,1)</f>
        <v>1</v>
      </c>
    </row>
    <row r="11416" spans="1:12" x14ac:dyDescent="0.2">
      <c r="A11416" t="s">
        <v>202</v>
      </c>
      <c r="B11416" t="s">
        <v>133</v>
      </c>
      <c r="C11416" t="s">
        <v>2</v>
      </c>
      <c r="D11416">
        <v>3903</v>
      </c>
      <c r="E11416">
        <v>2020</v>
      </c>
      <c r="F11416">
        <v>4</v>
      </c>
      <c r="G11416">
        <v>345</v>
      </c>
      <c r="H11416" s="1">
        <v>0</v>
      </c>
      <c r="I11416">
        <v>1</v>
      </c>
      <c r="J11416">
        <f>IF($H11416=0,1,IF($I11416&lt;=1,2,0))</f>
        <v>1</v>
      </c>
      <c r="K11416">
        <v>7</v>
      </c>
      <c r="L11416">
        <f>IF(AND($J11416=0,$K11416=0),0,1)</f>
        <v>1</v>
      </c>
    </row>
    <row r="11417" spans="1:12" x14ac:dyDescent="0.2">
      <c r="A11417" t="s">
        <v>202</v>
      </c>
      <c r="B11417" t="s">
        <v>133</v>
      </c>
      <c r="C11417" t="s">
        <v>2</v>
      </c>
      <c r="D11417">
        <v>3903</v>
      </c>
      <c r="E11417">
        <v>2020</v>
      </c>
      <c r="F11417">
        <v>1</v>
      </c>
      <c r="G11417">
        <v>342</v>
      </c>
      <c r="H11417" s="1">
        <v>0</v>
      </c>
      <c r="I11417">
        <v>0</v>
      </c>
      <c r="J11417">
        <f>IF($H11417=0,1,IF($I11417&lt;=1,2,0))</f>
        <v>1</v>
      </c>
      <c r="K11417">
        <v>7</v>
      </c>
      <c r="L11417">
        <f>IF(AND($J11417=0,$K11417=0),0,1)</f>
        <v>1</v>
      </c>
    </row>
    <row r="11418" spans="1:12" x14ac:dyDescent="0.2">
      <c r="A11418" t="s">
        <v>202</v>
      </c>
      <c r="B11418" t="s">
        <v>133</v>
      </c>
      <c r="C11418" t="s">
        <v>2</v>
      </c>
      <c r="D11418">
        <v>3903</v>
      </c>
      <c r="E11418">
        <v>2020</v>
      </c>
      <c r="F11418">
        <v>2</v>
      </c>
      <c r="G11418">
        <v>343</v>
      </c>
      <c r="H11418" s="1">
        <v>0</v>
      </c>
      <c r="I11418">
        <v>0</v>
      </c>
      <c r="J11418">
        <f>IF($H11418=0,1,IF($I11418&lt;=1,2,0))</f>
        <v>1</v>
      </c>
      <c r="K11418">
        <v>7</v>
      </c>
      <c r="L11418">
        <f>IF(AND($J11418=0,$K11418=0),0,1)</f>
        <v>1</v>
      </c>
    </row>
    <row r="11419" spans="1:12" x14ac:dyDescent="0.2">
      <c r="A11419" t="s">
        <v>202</v>
      </c>
      <c r="B11419" t="s">
        <v>133</v>
      </c>
      <c r="C11419" t="s">
        <v>2</v>
      </c>
      <c r="D11419">
        <v>3903</v>
      </c>
      <c r="E11419">
        <v>2020</v>
      </c>
      <c r="F11419">
        <v>8</v>
      </c>
      <c r="G11419">
        <v>348</v>
      </c>
      <c r="H11419" s="1">
        <v>0</v>
      </c>
      <c r="I11419">
        <v>0</v>
      </c>
      <c r="J11419">
        <f>IF($H11419=0,1,IF($I11419&lt;=1,2,0))</f>
        <v>1</v>
      </c>
      <c r="K11419">
        <v>7</v>
      </c>
      <c r="L11419">
        <f>IF(AND($J11419=0,$K11419=0),0,1)</f>
        <v>1</v>
      </c>
    </row>
    <row r="11420" spans="1:12" x14ac:dyDescent="0.2">
      <c r="A11420" t="s">
        <v>202</v>
      </c>
      <c r="B11420" t="s">
        <v>133</v>
      </c>
      <c r="C11420" t="s">
        <v>11</v>
      </c>
      <c r="D11420">
        <v>9307</v>
      </c>
      <c r="E11420">
        <v>2020</v>
      </c>
      <c r="F11420">
        <v>1</v>
      </c>
      <c r="G11420">
        <v>11195</v>
      </c>
      <c r="H11420" s="1" t="s">
        <v>1834</v>
      </c>
      <c r="I11420">
        <v>123</v>
      </c>
      <c r="J11420">
        <f>IF($H11420=0,1,IF($I11420&lt;=1,2,0))</f>
        <v>0</v>
      </c>
      <c r="K11420">
        <v>5</v>
      </c>
      <c r="L11420">
        <f>IF(AND($J11420=0,$K11420=0),0,1)</f>
        <v>1</v>
      </c>
    </row>
    <row r="11421" spans="1:12" x14ac:dyDescent="0.2">
      <c r="A11421" t="s">
        <v>210</v>
      </c>
      <c r="B11421" t="s">
        <v>71</v>
      </c>
      <c r="C11421" t="s">
        <v>72</v>
      </c>
      <c r="D11421">
        <v>3900</v>
      </c>
      <c r="E11421">
        <v>2020</v>
      </c>
      <c r="F11421">
        <v>16</v>
      </c>
      <c r="G11421">
        <v>10166</v>
      </c>
      <c r="H11421" s="1" t="s">
        <v>1836</v>
      </c>
      <c r="I11421">
        <v>2</v>
      </c>
      <c r="J11421">
        <f>IF($H11421=0,1,IF($I11421&lt;=1,2,0))</f>
        <v>0</v>
      </c>
      <c r="K11421">
        <v>9</v>
      </c>
      <c r="L11421">
        <f>IF(AND($J11421=0,$K11421=0),0,1)</f>
        <v>1</v>
      </c>
    </row>
    <row r="11422" spans="1:12" x14ac:dyDescent="0.2">
      <c r="A11422" t="s">
        <v>210</v>
      </c>
      <c r="B11422" t="s">
        <v>71</v>
      </c>
      <c r="C11422" t="s">
        <v>72</v>
      </c>
      <c r="D11422">
        <v>3900</v>
      </c>
      <c r="E11422">
        <v>2020</v>
      </c>
      <c r="F11422">
        <v>18</v>
      </c>
      <c r="G11422">
        <v>10168</v>
      </c>
      <c r="H11422" s="1" t="s">
        <v>1836</v>
      </c>
      <c r="I11422">
        <v>2</v>
      </c>
      <c r="J11422">
        <f>IF($H11422=0,1,IF($I11422&lt;=1,2,0))</f>
        <v>0</v>
      </c>
      <c r="K11422">
        <v>9</v>
      </c>
      <c r="L11422">
        <f>IF(AND($J11422=0,$K11422=0),0,1)</f>
        <v>1</v>
      </c>
    </row>
    <row r="11423" spans="1:12" x14ac:dyDescent="0.2">
      <c r="A11423" t="s">
        <v>210</v>
      </c>
      <c r="B11423" t="s">
        <v>71</v>
      </c>
      <c r="C11423" t="s">
        <v>72</v>
      </c>
      <c r="D11423">
        <v>3900</v>
      </c>
      <c r="E11423">
        <v>2020</v>
      </c>
      <c r="F11423">
        <v>1</v>
      </c>
      <c r="G11423">
        <v>10170</v>
      </c>
      <c r="H11423" s="1" t="s">
        <v>1836</v>
      </c>
      <c r="I11423">
        <v>1</v>
      </c>
      <c r="J11423">
        <f>IF($H11423=0,1,IF($I11423&lt;=1,2,0))</f>
        <v>2</v>
      </c>
      <c r="K11423">
        <v>9</v>
      </c>
      <c r="L11423">
        <f>IF(AND($J11423=0,$K11423=0),0,1)</f>
        <v>1</v>
      </c>
    </row>
    <row r="11424" spans="1:12" x14ac:dyDescent="0.2">
      <c r="A11424" t="s">
        <v>210</v>
      </c>
      <c r="B11424" t="s">
        <v>71</v>
      </c>
      <c r="C11424" t="s">
        <v>72</v>
      </c>
      <c r="D11424">
        <v>3900</v>
      </c>
      <c r="E11424">
        <v>2020</v>
      </c>
      <c r="F11424">
        <v>3</v>
      </c>
      <c r="G11424">
        <v>10172</v>
      </c>
      <c r="H11424" s="1" t="s">
        <v>1836</v>
      </c>
      <c r="I11424">
        <v>1</v>
      </c>
      <c r="J11424">
        <f>IF($H11424=0,1,IF($I11424&lt;=1,2,0))</f>
        <v>2</v>
      </c>
      <c r="K11424">
        <v>9</v>
      </c>
      <c r="L11424">
        <f>IF(AND($J11424=0,$K11424=0),0,1)</f>
        <v>1</v>
      </c>
    </row>
    <row r="11425" spans="1:13" x14ac:dyDescent="0.2">
      <c r="A11425" t="s">
        <v>210</v>
      </c>
      <c r="B11425" t="s">
        <v>71</v>
      </c>
      <c r="C11425" t="s">
        <v>72</v>
      </c>
      <c r="D11425">
        <v>3900</v>
      </c>
      <c r="E11425">
        <v>2020</v>
      </c>
      <c r="F11425">
        <v>6</v>
      </c>
      <c r="G11425">
        <v>10175</v>
      </c>
      <c r="H11425" s="1" t="s">
        <v>1836</v>
      </c>
      <c r="I11425">
        <v>1</v>
      </c>
      <c r="J11425">
        <f>IF($H11425=0,1,IF($I11425&lt;=1,2,0))</f>
        <v>2</v>
      </c>
      <c r="K11425">
        <v>9</v>
      </c>
      <c r="L11425">
        <f>IF(AND($J11425=0,$K11425=0),0,1)</f>
        <v>1</v>
      </c>
    </row>
    <row r="11426" spans="1:13" x14ac:dyDescent="0.2">
      <c r="A11426" t="s">
        <v>210</v>
      </c>
      <c r="B11426" t="s">
        <v>71</v>
      </c>
      <c r="C11426" t="s">
        <v>72</v>
      </c>
      <c r="D11426">
        <v>3900</v>
      </c>
      <c r="E11426">
        <v>2020</v>
      </c>
      <c r="F11426">
        <v>11</v>
      </c>
      <c r="G11426">
        <v>10154</v>
      </c>
      <c r="H11426" s="1" t="s">
        <v>1836</v>
      </c>
      <c r="I11426">
        <v>1</v>
      </c>
      <c r="J11426">
        <f>IF($H11426=0,1,IF($I11426&lt;=1,2,0))</f>
        <v>2</v>
      </c>
      <c r="K11426">
        <v>9</v>
      </c>
      <c r="L11426">
        <f>IF(AND($J11426=0,$K11426=0),0,1)</f>
        <v>1</v>
      </c>
    </row>
    <row r="11427" spans="1:13" x14ac:dyDescent="0.2">
      <c r="A11427" t="s">
        <v>210</v>
      </c>
      <c r="B11427" t="s">
        <v>71</v>
      </c>
      <c r="C11427" t="s">
        <v>72</v>
      </c>
      <c r="D11427">
        <v>3900</v>
      </c>
      <c r="E11427">
        <v>2020</v>
      </c>
      <c r="F11427">
        <v>15</v>
      </c>
      <c r="G11427">
        <v>10165</v>
      </c>
      <c r="H11427" s="1" t="s">
        <v>1836</v>
      </c>
      <c r="I11427">
        <v>1</v>
      </c>
      <c r="J11427">
        <f>IF($H11427=0,1,IF($I11427&lt;=1,2,0))</f>
        <v>2</v>
      </c>
      <c r="K11427">
        <v>9</v>
      </c>
      <c r="L11427">
        <f>IF(AND($J11427=0,$K11427=0),0,1)</f>
        <v>1</v>
      </c>
    </row>
    <row r="11428" spans="1:13" x14ac:dyDescent="0.2">
      <c r="A11428" t="s">
        <v>210</v>
      </c>
      <c r="B11428" t="s">
        <v>71</v>
      </c>
      <c r="C11428" t="s">
        <v>72</v>
      </c>
      <c r="D11428">
        <v>3900</v>
      </c>
      <c r="E11428">
        <v>2020</v>
      </c>
      <c r="F11428">
        <v>2</v>
      </c>
      <c r="G11428">
        <v>10171</v>
      </c>
      <c r="H11428" s="1" t="s">
        <v>1836</v>
      </c>
      <c r="I11428">
        <v>0</v>
      </c>
      <c r="J11428">
        <f>IF($H11428=0,1,IF($I11428&lt;=1,2,0))</f>
        <v>2</v>
      </c>
      <c r="K11428">
        <v>9</v>
      </c>
      <c r="L11428">
        <f>IF(AND($J11428=0,$K11428=0),0,1)</f>
        <v>1</v>
      </c>
    </row>
    <row r="11429" spans="1:13" x14ac:dyDescent="0.2">
      <c r="A11429" t="s">
        <v>210</v>
      </c>
      <c r="B11429" t="s">
        <v>71</v>
      </c>
      <c r="C11429" t="s">
        <v>72</v>
      </c>
      <c r="D11429">
        <v>3900</v>
      </c>
      <c r="E11429">
        <v>2020</v>
      </c>
      <c r="F11429">
        <v>4</v>
      </c>
      <c r="G11429">
        <v>10173</v>
      </c>
      <c r="H11429" s="1" t="s">
        <v>1836</v>
      </c>
      <c r="I11429">
        <v>0</v>
      </c>
      <c r="J11429">
        <f>IF($H11429=0,1,IF($I11429&lt;=1,2,0))</f>
        <v>2</v>
      </c>
      <c r="K11429">
        <v>9</v>
      </c>
      <c r="L11429">
        <f>IF(AND($J11429=0,$K11429=0),0,1)</f>
        <v>1</v>
      </c>
    </row>
    <row r="11430" spans="1:13" x14ac:dyDescent="0.2">
      <c r="A11430" t="s">
        <v>210</v>
      </c>
      <c r="B11430" t="s">
        <v>71</v>
      </c>
      <c r="C11430" t="s">
        <v>72</v>
      </c>
      <c r="D11430">
        <v>3900</v>
      </c>
      <c r="E11430">
        <v>2020</v>
      </c>
      <c r="F11430">
        <v>5</v>
      </c>
      <c r="G11430">
        <v>10174</v>
      </c>
      <c r="H11430" s="1" t="s">
        <v>1836</v>
      </c>
      <c r="I11430">
        <v>0</v>
      </c>
      <c r="J11430">
        <f>IF($H11430=0,1,IF($I11430&lt;=1,2,0))</f>
        <v>2</v>
      </c>
      <c r="K11430">
        <v>9</v>
      </c>
      <c r="L11430">
        <f>IF(AND($J11430=0,$K11430=0),0,1)</f>
        <v>1</v>
      </c>
    </row>
    <row r="11431" spans="1:13" x14ac:dyDescent="0.2">
      <c r="A11431" t="s">
        <v>210</v>
      </c>
      <c r="B11431" t="s">
        <v>71</v>
      </c>
      <c r="C11431" t="s">
        <v>72</v>
      </c>
      <c r="D11431">
        <v>3900</v>
      </c>
      <c r="E11431">
        <v>2020</v>
      </c>
      <c r="F11431">
        <v>7</v>
      </c>
      <c r="G11431">
        <v>10176</v>
      </c>
      <c r="H11431" s="1" t="s">
        <v>1836</v>
      </c>
      <c r="I11431">
        <v>0</v>
      </c>
      <c r="J11431">
        <f>IF($H11431=0,1,IF($I11431&lt;=1,2,0))</f>
        <v>2</v>
      </c>
      <c r="K11431">
        <v>9</v>
      </c>
      <c r="L11431">
        <f>IF(AND($J11431=0,$K11431=0),0,1)</f>
        <v>1</v>
      </c>
    </row>
    <row r="11432" spans="1:13" x14ac:dyDescent="0.2">
      <c r="A11432" t="s">
        <v>210</v>
      </c>
      <c r="B11432" t="s">
        <v>71</v>
      </c>
      <c r="C11432" t="s">
        <v>72</v>
      </c>
      <c r="D11432">
        <v>3900</v>
      </c>
      <c r="E11432">
        <v>2020</v>
      </c>
      <c r="F11432">
        <v>8</v>
      </c>
      <c r="G11432">
        <v>10177</v>
      </c>
      <c r="H11432" s="1" t="s">
        <v>1836</v>
      </c>
      <c r="I11432">
        <v>0</v>
      </c>
      <c r="J11432">
        <f>IF($H11432=0,1,IF($I11432&lt;=1,2,0))</f>
        <v>2</v>
      </c>
      <c r="K11432">
        <v>9</v>
      </c>
      <c r="L11432">
        <f>IF(AND($J11432=0,$K11432=0),0,1)</f>
        <v>1</v>
      </c>
    </row>
    <row r="11433" spans="1:13" x14ac:dyDescent="0.2">
      <c r="A11433" t="s">
        <v>210</v>
      </c>
      <c r="B11433" t="s">
        <v>71</v>
      </c>
      <c r="C11433" t="s">
        <v>72</v>
      </c>
      <c r="D11433">
        <v>3900</v>
      </c>
      <c r="E11433">
        <v>2020</v>
      </c>
      <c r="F11433">
        <v>9</v>
      </c>
      <c r="G11433">
        <v>10178</v>
      </c>
      <c r="H11433" s="1" t="s">
        <v>1836</v>
      </c>
      <c r="I11433">
        <v>0</v>
      </c>
      <c r="J11433">
        <f>IF($H11433=0,1,IF($I11433&lt;=1,2,0))</f>
        <v>2</v>
      </c>
      <c r="K11433">
        <v>9</v>
      </c>
      <c r="L11433">
        <f>IF(AND($J11433=0,$K11433=0),0,1)</f>
        <v>1</v>
      </c>
    </row>
    <row r="11434" spans="1:13" x14ac:dyDescent="0.2">
      <c r="A11434" t="s">
        <v>210</v>
      </c>
      <c r="B11434" t="s">
        <v>71</v>
      </c>
      <c r="C11434" t="s">
        <v>72</v>
      </c>
      <c r="D11434">
        <v>3900</v>
      </c>
      <c r="E11434">
        <v>2020</v>
      </c>
      <c r="F11434">
        <v>10</v>
      </c>
      <c r="G11434">
        <v>10153</v>
      </c>
      <c r="H11434" s="1" t="s">
        <v>1836</v>
      </c>
      <c r="I11434">
        <v>0</v>
      </c>
      <c r="J11434">
        <f>IF($H11434=0,1,IF($I11434&lt;=1,2,0))</f>
        <v>2</v>
      </c>
      <c r="K11434">
        <v>9</v>
      </c>
      <c r="L11434">
        <f>IF(AND($J11434=0,$K11434=0),0,1)</f>
        <v>1</v>
      </c>
    </row>
    <row r="11435" spans="1:13" x14ac:dyDescent="0.2">
      <c r="A11435" t="s">
        <v>210</v>
      </c>
      <c r="B11435" t="s">
        <v>71</v>
      </c>
      <c r="C11435" t="s">
        <v>72</v>
      </c>
      <c r="D11435">
        <v>3900</v>
      </c>
      <c r="E11435">
        <v>2020</v>
      </c>
      <c r="F11435">
        <v>12</v>
      </c>
      <c r="G11435">
        <v>10155</v>
      </c>
      <c r="H11435" s="1" t="s">
        <v>1836</v>
      </c>
      <c r="I11435">
        <v>0</v>
      </c>
      <c r="J11435">
        <f>IF($H11435=0,1,IF($I11435&lt;=1,2,0))</f>
        <v>2</v>
      </c>
      <c r="K11435">
        <v>9</v>
      </c>
      <c r="L11435">
        <f>IF(AND($J11435=0,$K11435=0),0,1)</f>
        <v>1</v>
      </c>
    </row>
    <row r="11436" spans="1:13" x14ac:dyDescent="0.2">
      <c r="A11436" t="s">
        <v>210</v>
      </c>
      <c r="B11436" t="s">
        <v>71</v>
      </c>
      <c r="C11436" t="s">
        <v>72</v>
      </c>
      <c r="D11436">
        <v>3900</v>
      </c>
      <c r="E11436">
        <v>2020</v>
      </c>
      <c r="F11436">
        <v>13</v>
      </c>
      <c r="G11436">
        <v>10156</v>
      </c>
      <c r="H11436" s="1" t="s">
        <v>1836</v>
      </c>
      <c r="I11436">
        <v>0</v>
      </c>
      <c r="J11436">
        <f>IF($H11436=0,1,IF($I11436&lt;=1,2,0))</f>
        <v>2</v>
      </c>
      <c r="K11436">
        <v>9</v>
      </c>
      <c r="L11436">
        <f>IF(AND($J11436=0,$K11436=0),0,1)</f>
        <v>1</v>
      </c>
    </row>
    <row r="11437" spans="1:13" x14ac:dyDescent="0.2">
      <c r="A11437" t="s">
        <v>210</v>
      </c>
      <c r="B11437" t="s">
        <v>71</v>
      </c>
      <c r="C11437" t="s">
        <v>72</v>
      </c>
      <c r="D11437">
        <v>3900</v>
      </c>
      <c r="E11437">
        <v>2020</v>
      </c>
      <c r="F11437">
        <v>14</v>
      </c>
      <c r="G11437">
        <v>10164</v>
      </c>
      <c r="H11437" s="1" t="s">
        <v>1836</v>
      </c>
      <c r="I11437">
        <v>0</v>
      </c>
      <c r="J11437">
        <f>IF($H11437=0,1,IF($I11437&lt;=1,2,0))</f>
        <v>2</v>
      </c>
      <c r="K11437">
        <v>9</v>
      </c>
      <c r="L11437">
        <f>IF(AND($J11437=0,$K11437=0),0,1)</f>
        <v>1</v>
      </c>
    </row>
    <row r="11438" spans="1:13" x14ac:dyDescent="0.2">
      <c r="A11438" t="s">
        <v>210</v>
      </c>
      <c r="B11438" t="s">
        <v>71</v>
      </c>
      <c r="C11438" t="s">
        <v>72</v>
      </c>
      <c r="D11438">
        <v>3900</v>
      </c>
      <c r="E11438">
        <v>2020</v>
      </c>
      <c r="F11438">
        <v>17</v>
      </c>
      <c r="G11438">
        <v>10167</v>
      </c>
      <c r="H11438" s="1" t="s">
        <v>1836</v>
      </c>
      <c r="I11438">
        <v>0</v>
      </c>
      <c r="J11438">
        <f>IF($H11438=0,1,IF($I11438&lt;=1,2,0))</f>
        <v>2</v>
      </c>
      <c r="K11438">
        <v>9</v>
      </c>
      <c r="L11438">
        <f>IF(AND($J11438=0,$K11438=0),0,1)</f>
        <v>1</v>
      </c>
      <c r="M11438" t="s">
        <v>211</v>
      </c>
    </row>
    <row r="11439" spans="1:13" x14ac:dyDescent="0.2">
      <c r="A11439" t="s">
        <v>210</v>
      </c>
      <c r="B11439" t="s">
        <v>71</v>
      </c>
      <c r="C11439" t="s">
        <v>72</v>
      </c>
      <c r="D11439">
        <v>3900</v>
      </c>
      <c r="E11439">
        <v>2020</v>
      </c>
      <c r="F11439">
        <v>19</v>
      </c>
      <c r="G11439">
        <v>10169</v>
      </c>
      <c r="H11439" s="1" t="s">
        <v>1836</v>
      </c>
      <c r="I11439">
        <v>0</v>
      </c>
      <c r="J11439">
        <f>IF($H11439=0,1,IF($I11439&lt;=1,2,0))</f>
        <v>2</v>
      </c>
      <c r="K11439">
        <v>9</v>
      </c>
      <c r="L11439">
        <f>IF(AND($J11439=0,$K11439=0),0,1)</f>
        <v>1</v>
      </c>
    </row>
    <row r="11440" spans="1:13" x14ac:dyDescent="0.2">
      <c r="A11440" t="s">
        <v>210</v>
      </c>
      <c r="B11440" t="s">
        <v>71</v>
      </c>
      <c r="C11440" t="s">
        <v>72</v>
      </c>
      <c r="D11440">
        <v>3999</v>
      </c>
      <c r="E11440">
        <v>2020</v>
      </c>
      <c r="F11440">
        <v>1</v>
      </c>
      <c r="G11440">
        <v>10128</v>
      </c>
      <c r="H11440" s="1" t="s">
        <v>1837</v>
      </c>
      <c r="I11440">
        <v>0</v>
      </c>
      <c r="J11440">
        <f>IF($H11440=0,1,IF($I11440&lt;=1,2,0))</f>
        <v>2</v>
      </c>
      <c r="K11440">
        <v>9</v>
      </c>
      <c r="L11440">
        <f>IF(AND($J11440=0,$K11440=0),0,1)</f>
        <v>1</v>
      </c>
    </row>
    <row r="11441" spans="1:13" x14ac:dyDescent="0.2">
      <c r="A11441" t="s">
        <v>210</v>
      </c>
      <c r="B11441" t="s">
        <v>71</v>
      </c>
      <c r="C11441" t="s">
        <v>72</v>
      </c>
      <c r="D11441">
        <v>4001</v>
      </c>
      <c r="E11441">
        <v>2020</v>
      </c>
      <c r="F11441">
        <v>1</v>
      </c>
      <c r="G11441">
        <v>10129</v>
      </c>
      <c r="H11441" s="1">
        <v>3</v>
      </c>
      <c r="I11441">
        <v>23</v>
      </c>
      <c r="J11441">
        <f>IF($H11441=0,1,IF($I11441&lt;=1,2,0))</f>
        <v>0</v>
      </c>
      <c r="K11441">
        <v>4</v>
      </c>
      <c r="L11441">
        <f>IF(AND($J11441=0,$K11441=0),0,1)</f>
        <v>1</v>
      </c>
      <c r="M11441" t="s">
        <v>929</v>
      </c>
    </row>
    <row r="11442" spans="1:13" x14ac:dyDescent="0.2">
      <c r="A11442" t="s">
        <v>210</v>
      </c>
      <c r="B11442" t="s">
        <v>71</v>
      </c>
      <c r="C11442" t="s">
        <v>72</v>
      </c>
      <c r="D11442">
        <v>4002</v>
      </c>
      <c r="E11442">
        <v>2020</v>
      </c>
      <c r="F11442">
        <v>1</v>
      </c>
      <c r="G11442">
        <v>10131</v>
      </c>
      <c r="H11442" s="1">
        <v>3</v>
      </c>
      <c r="I11442">
        <v>23</v>
      </c>
      <c r="J11442">
        <f>IF($H11442=0,1,IF($I11442&lt;=1,2,0))</f>
        <v>0</v>
      </c>
      <c r="K11442">
        <v>4</v>
      </c>
      <c r="L11442">
        <f>IF(AND($J11442=0,$K11442=0),0,1)</f>
        <v>1</v>
      </c>
      <c r="M11442" t="s">
        <v>929</v>
      </c>
    </row>
    <row r="11443" spans="1:13" x14ac:dyDescent="0.2">
      <c r="A11443" t="s">
        <v>210</v>
      </c>
      <c r="B11443" t="s">
        <v>71</v>
      </c>
      <c r="C11443" t="s">
        <v>72</v>
      </c>
      <c r="D11443">
        <v>4002</v>
      </c>
      <c r="E11443">
        <v>2020</v>
      </c>
      <c r="F11443" t="s">
        <v>59</v>
      </c>
      <c r="G11443">
        <v>10132</v>
      </c>
      <c r="H11443" s="1">
        <v>3</v>
      </c>
      <c r="I11443">
        <v>0</v>
      </c>
      <c r="J11443">
        <f>IF($H11443=0,1,IF($I11443&lt;=1,2,0))</f>
        <v>2</v>
      </c>
      <c r="K11443">
        <v>0</v>
      </c>
      <c r="L11443">
        <f>IF(AND($J11443=0,$K11443=0),0,1)</f>
        <v>1</v>
      </c>
      <c r="M11443" t="s">
        <v>212</v>
      </c>
    </row>
    <row r="11444" spans="1:13" x14ac:dyDescent="0.2">
      <c r="A11444" t="s">
        <v>210</v>
      </c>
      <c r="B11444" t="s">
        <v>71</v>
      </c>
      <c r="C11444" t="s">
        <v>72</v>
      </c>
      <c r="D11444">
        <v>4110</v>
      </c>
      <c r="E11444">
        <v>2020</v>
      </c>
      <c r="F11444" t="s">
        <v>84</v>
      </c>
      <c r="G11444">
        <v>21534</v>
      </c>
      <c r="H11444" s="1">
        <v>3</v>
      </c>
      <c r="I11444">
        <v>1</v>
      </c>
      <c r="J11444">
        <f>IF($H11444=0,1,IF($I11444&lt;=1,2,0))</f>
        <v>2</v>
      </c>
      <c r="K11444">
        <v>0</v>
      </c>
      <c r="L11444">
        <f>IF(AND($J11444=0,$K11444=0),0,1)</f>
        <v>1</v>
      </c>
      <c r="M11444" t="s">
        <v>85</v>
      </c>
    </row>
    <row r="11445" spans="1:13" x14ac:dyDescent="0.2">
      <c r="A11445" t="s">
        <v>210</v>
      </c>
      <c r="B11445" t="s">
        <v>71</v>
      </c>
      <c r="C11445" t="s">
        <v>72</v>
      </c>
      <c r="D11445">
        <v>4500</v>
      </c>
      <c r="E11445">
        <v>2020</v>
      </c>
      <c r="F11445" t="s">
        <v>214</v>
      </c>
      <c r="G11445">
        <v>10143</v>
      </c>
      <c r="H11445" s="1">
        <v>0</v>
      </c>
      <c r="I11445">
        <v>0</v>
      </c>
      <c r="J11445">
        <f>IF($H11445=0,1,IF($I11445&lt;=1,2,0))</f>
        <v>1</v>
      </c>
      <c r="K11445">
        <v>0</v>
      </c>
      <c r="L11445">
        <f>IF(AND($J11445=0,$K11445=0),0,1)</f>
        <v>1</v>
      </c>
      <c r="M11445" t="s">
        <v>1985</v>
      </c>
    </row>
    <row r="11446" spans="1:13" x14ac:dyDescent="0.2">
      <c r="A11446" t="s">
        <v>210</v>
      </c>
      <c r="B11446" t="s">
        <v>71</v>
      </c>
      <c r="C11446" t="s">
        <v>72</v>
      </c>
      <c r="D11446">
        <v>4900</v>
      </c>
      <c r="E11446">
        <v>2020</v>
      </c>
      <c r="F11446">
        <v>1</v>
      </c>
      <c r="G11446">
        <v>15284</v>
      </c>
      <c r="H11446" s="1">
        <v>3</v>
      </c>
      <c r="I11446">
        <v>3</v>
      </c>
      <c r="J11446">
        <f>IF($H11446=0,1,IF($I11446&lt;=1,2,0))</f>
        <v>0</v>
      </c>
      <c r="K11446">
        <v>4</v>
      </c>
      <c r="L11446">
        <f>IF(AND($J11446=0,$K11446=0),0,1)</f>
        <v>1</v>
      </c>
      <c r="M11446" t="s">
        <v>930</v>
      </c>
    </row>
    <row r="11447" spans="1:13" x14ac:dyDescent="0.2">
      <c r="A11447" t="s">
        <v>210</v>
      </c>
      <c r="B11447" t="s">
        <v>71</v>
      </c>
      <c r="C11447" t="s">
        <v>72</v>
      </c>
      <c r="D11447">
        <v>4999</v>
      </c>
      <c r="E11447">
        <v>2020</v>
      </c>
      <c r="F11447">
        <v>1</v>
      </c>
      <c r="G11447">
        <v>10148</v>
      </c>
      <c r="H11447" s="1" t="s">
        <v>1827</v>
      </c>
      <c r="I11447">
        <v>1</v>
      </c>
      <c r="J11447">
        <f>IF($H11447=0,1,IF($I11447&lt;=1,2,0))</f>
        <v>2</v>
      </c>
      <c r="K11447">
        <v>9</v>
      </c>
      <c r="L11447">
        <f>IF(AND($J11447=0,$K11447=0),0,1)</f>
        <v>1</v>
      </c>
    </row>
    <row r="11448" spans="1:13" x14ac:dyDescent="0.2">
      <c r="A11448" t="s">
        <v>210</v>
      </c>
      <c r="B11448" t="s">
        <v>71</v>
      </c>
      <c r="C11448" t="s">
        <v>72</v>
      </c>
      <c r="D11448">
        <v>6543</v>
      </c>
      <c r="E11448">
        <v>2020</v>
      </c>
      <c r="F11448">
        <v>1</v>
      </c>
      <c r="G11448">
        <v>10149</v>
      </c>
      <c r="H11448" s="1">
        <v>1</v>
      </c>
      <c r="I11448">
        <v>0</v>
      </c>
      <c r="J11448">
        <f>IF($H11448=0,1,IF($I11448&lt;=1,2,0))</f>
        <v>2</v>
      </c>
      <c r="K11448">
        <v>0</v>
      </c>
      <c r="L11448">
        <f>IF(AND($J11448=0,$K11448=0),0,1)</f>
        <v>1</v>
      </c>
    </row>
    <row r="11449" spans="1:13" x14ac:dyDescent="0.2">
      <c r="A11449" t="s">
        <v>210</v>
      </c>
      <c r="B11449" t="s">
        <v>71</v>
      </c>
      <c r="C11449" t="s">
        <v>72</v>
      </c>
      <c r="D11449">
        <v>9000</v>
      </c>
      <c r="E11449">
        <v>2020</v>
      </c>
      <c r="F11449">
        <v>1</v>
      </c>
      <c r="G11449">
        <v>10150</v>
      </c>
      <c r="H11449" s="1">
        <v>0</v>
      </c>
      <c r="I11449">
        <v>78</v>
      </c>
      <c r="J11449">
        <f>IF($H11449=0,1,IF($I11449&lt;=1,2,0))</f>
        <v>1</v>
      </c>
      <c r="K11449">
        <v>5</v>
      </c>
      <c r="L11449">
        <f>IF(AND($J11449=0,$K11449=0),0,1)</f>
        <v>1</v>
      </c>
    </row>
    <row r="11450" spans="1:13" x14ac:dyDescent="0.2">
      <c r="A11450" t="s">
        <v>210</v>
      </c>
      <c r="B11450" t="s">
        <v>71</v>
      </c>
      <c r="C11450" t="s">
        <v>72</v>
      </c>
      <c r="D11450">
        <v>9001</v>
      </c>
      <c r="E11450">
        <v>2020</v>
      </c>
      <c r="F11450">
        <v>1</v>
      </c>
      <c r="G11450">
        <v>10151</v>
      </c>
      <c r="H11450" s="1">
        <v>0</v>
      </c>
      <c r="I11450">
        <v>58</v>
      </c>
      <c r="J11450">
        <f>IF($H11450=0,1,IF($I11450&lt;=1,2,0))</f>
        <v>1</v>
      </c>
      <c r="K11450">
        <v>5</v>
      </c>
      <c r="L11450">
        <f>IF(AND($J11450=0,$K11450=0),0,1)</f>
        <v>1</v>
      </c>
      <c r="M11450" t="s">
        <v>931</v>
      </c>
    </row>
    <row r="11451" spans="1:13" x14ac:dyDescent="0.2">
      <c r="A11451" t="s">
        <v>210</v>
      </c>
      <c r="B11451" t="s">
        <v>71</v>
      </c>
      <c r="C11451" t="s">
        <v>72</v>
      </c>
      <c r="D11451">
        <v>9400</v>
      </c>
      <c r="E11451">
        <v>2020</v>
      </c>
      <c r="F11451">
        <v>7</v>
      </c>
      <c r="G11451">
        <v>10185</v>
      </c>
      <c r="H11451" s="1" t="s">
        <v>1828</v>
      </c>
      <c r="I11451">
        <v>4</v>
      </c>
      <c r="J11451">
        <f>IF($H11451=0,1,IF($I11451&lt;=1,2,0))</f>
        <v>0</v>
      </c>
      <c r="K11451">
        <v>5</v>
      </c>
      <c r="L11451">
        <f>IF(AND($J11451=0,$K11451=0),0,1)</f>
        <v>1</v>
      </c>
    </row>
    <row r="11452" spans="1:13" x14ac:dyDescent="0.2">
      <c r="A11452" t="s">
        <v>210</v>
      </c>
      <c r="B11452" t="s">
        <v>71</v>
      </c>
      <c r="C11452" t="s">
        <v>72</v>
      </c>
      <c r="D11452">
        <v>9400</v>
      </c>
      <c r="E11452">
        <v>2020</v>
      </c>
      <c r="F11452">
        <v>5</v>
      </c>
      <c r="G11452">
        <v>10183</v>
      </c>
      <c r="H11452" s="1" t="s">
        <v>1828</v>
      </c>
      <c r="I11452">
        <v>2</v>
      </c>
      <c r="J11452">
        <f>IF($H11452=0,1,IF($I11452&lt;=1,2,0))</f>
        <v>0</v>
      </c>
      <c r="K11452">
        <v>5</v>
      </c>
      <c r="L11452">
        <f>IF(AND($J11452=0,$K11452=0),0,1)</f>
        <v>1</v>
      </c>
    </row>
    <row r="11453" spans="1:13" x14ac:dyDescent="0.2">
      <c r="A11453" t="s">
        <v>210</v>
      </c>
      <c r="B11453" t="s">
        <v>71</v>
      </c>
      <c r="C11453" t="s">
        <v>72</v>
      </c>
      <c r="D11453">
        <v>9400</v>
      </c>
      <c r="E11453">
        <v>2020</v>
      </c>
      <c r="F11453">
        <v>10</v>
      </c>
      <c r="G11453">
        <v>10188</v>
      </c>
      <c r="H11453" s="1" t="s">
        <v>1828</v>
      </c>
      <c r="I11453">
        <v>2</v>
      </c>
      <c r="J11453">
        <f>IF($H11453=0,1,IF($I11453&lt;=1,2,0))</f>
        <v>0</v>
      </c>
      <c r="K11453">
        <v>5</v>
      </c>
      <c r="L11453">
        <f>IF(AND($J11453=0,$K11453=0),0,1)</f>
        <v>1</v>
      </c>
    </row>
    <row r="11454" spans="1:13" x14ac:dyDescent="0.2">
      <c r="A11454" t="s">
        <v>210</v>
      </c>
      <c r="B11454" t="s">
        <v>71</v>
      </c>
      <c r="C11454" t="s">
        <v>72</v>
      </c>
      <c r="D11454">
        <v>9400</v>
      </c>
      <c r="E11454">
        <v>2020</v>
      </c>
      <c r="F11454">
        <v>1</v>
      </c>
      <c r="G11454">
        <v>10179</v>
      </c>
      <c r="H11454" s="1" t="s">
        <v>1828</v>
      </c>
      <c r="I11454">
        <v>1</v>
      </c>
      <c r="J11454">
        <f>IF($H11454=0,1,IF($I11454&lt;=1,2,0))</f>
        <v>2</v>
      </c>
      <c r="K11454">
        <v>5</v>
      </c>
      <c r="L11454">
        <f>IF(AND($J11454=0,$K11454=0),0,1)</f>
        <v>1</v>
      </c>
    </row>
    <row r="11455" spans="1:13" x14ac:dyDescent="0.2">
      <c r="A11455" t="s">
        <v>210</v>
      </c>
      <c r="B11455" t="s">
        <v>71</v>
      </c>
      <c r="C11455" t="s">
        <v>72</v>
      </c>
      <c r="D11455">
        <v>9400</v>
      </c>
      <c r="E11455">
        <v>2020</v>
      </c>
      <c r="F11455">
        <v>2</v>
      </c>
      <c r="G11455">
        <v>10180</v>
      </c>
      <c r="H11455" s="1" t="s">
        <v>1828</v>
      </c>
      <c r="I11455">
        <v>1</v>
      </c>
      <c r="J11455">
        <f>IF($H11455=0,1,IF($I11455&lt;=1,2,0))</f>
        <v>2</v>
      </c>
      <c r="K11455">
        <v>5</v>
      </c>
      <c r="L11455">
        <f>IF(AND($J11455=0,$K11455=0),0,1)</f>
        <v>1</v>
      </c>
    </row>
    <row r="11456" spans="1:13" x14ac:dyDescent="0.2">
      <c r="A11456" t="s">
        <v>210</v>
      </c>
      <c r="B11456" t="s">
        <v>71</v>
      </c>
      <c r="C11456" t="s">
        <v>72</v>
      </c>
      <c r="D11456">
        <v>9400</v>
      </c>
      <c r="E11456">
        <v>2020</v>
      </c>
      <c r="F11456">
        <v>11</v>
      </c>
      <c r="G11456">
        <v>10157</v>
      </c>
      <c r="H11456" s="1" t="s">
        <v>1828</v>
      </c>
      <c r="I11456">
        <v>1</v>
      </c>
      <c r="J11456">
        <f>IF($H11456=0,1,IF($I11456&lt;=1,2,0))</f>
        <v>2</v>
      </c>
      <c r="K11456">
        <v>5</v>
      </c>
      <c r="L11456">
        <f>IF(AND($J11456=0,$K11456=0),0,1)</f>
        <v>1</v>
      </c>
    </row>
    <row r="11457" spans="1:12" x14ac:dyDescent="0.2">
      <c r="A11457" t="s">
        <v>210</v>
      </c>
      <c r="B11457" t="s">
        <v>71</v>
      </c>
      <c r="C11457" t="s">
        <v>72</v>
      </c>
      <c r="D11457">
        <v>9400</v>
      </c>
      <c r="E11457">
        <v>2020</v>
      </c>
      <c r="F11457">
        <v>17</v>
      </c>
      <c r="G11457">
        <v>10163</v>
      </c>
      <c r="H11457" s="1" t="s">
        <v>1828</v>
      </c>
      <c r="I11457">
        <v>1</v>
      </c>
      <c r="J11457">
        <f>IF($H11457=0,1,IF($I11457&lt;=1,2,0))</f>
        <v>2</v>
      </c>
      <c r="K11457">
        <v>5</v>
      </c>
      <c r="L11457">
        <f>IF(AND($J11457=0,$K11457=0),0,1)</f>
        <v>1</v>
      </c>
    </row>
    <row r="11458" spans="1:12" x14ac:dyDescent="0.2">
      <c r="A11458" t="s">
        <v>210</v>
      </c>
      <c r="B11458" t="s">
        <v>71</v>
      </c>
      <c r="C11458" t="s">
        <v>72</v>
      </c>
      <c r="D11458">
        <v>9400</v>
      </c>
      <c r="E11458">
        <v>2020</v>
      </c>
      <c r="F11458">
        <v>20</v>
      </c>
      <c r="G11458">
        <v>10191</v>
      </c>
      <c r="H11458" s="1" t="s">
        <v>1828</v>
      </c>
      <c r="I11458">
        <v>1</v>
      </c>
      <c r="J11458">
        <f>IF($H11458=0,1,IF($I11458&lt;=1,2,0))</f>
        <v>2</v>
      </c>
      <c r="K11458">
        <v>5</v>
      </c>
      <c r="L11458">
        <f>IF(AND($J11458=0,$K11458=0),0,1)</f>
        <v>1</v>
      </c>
    </row>
    <row r="11459" spans="1:12" x14ac:dyDescent="0.2">
      <c r="A11459" t="s">
        <v>210</v>
      </c>
      <c r="B11459" t="s">
        <v>71</v>
      </c>
      <c r="C11459" t="s">
        <v>72</v>
      </c>
      <c r="D11459">
        <v>9400</v>
      </c>
      <c r="E11459">
        <v>2020</v>
      </c>
      <c r="F11459">
        <v>21</v>
      </c>
      <c r="G11459">
        <v>10192</v>
      </c>
      <c r="H11459" s="1" t="s">
        <v>1828</v>
      </c>
      <c r="I11459">
        <v>1</v>
      </c>
      <c r="J11459">
        <f>IF($H11459=0,1,IF($I11459&lt;=1,2,0))</f>
        <v>2</v>
      </c>
      <c r="K11459">
        <v>5</v>
      </c>
      <c r="L11459">
        <f>IF(AND($J11459=0,$K11459=0),0,1)</f>
        <v>1</v>
      </c>
    </row>
    <row r="11460" spans="1:12" x14ac:dyDescent="0.2">
      <c r="A11460" t="s">
        <v>210</v>
      </c>
      <c r="B11460" t="s">
        <v>71</v>
      </c>
      <c r="C11460" t="s">
        <v>72</v>
      </c>
      <c r="D11460">
        <v>9400</v>
      </c>
      <c r="E11460">
        <v>2020</v>
      </c>
      <c r="F11460">
        <v>3</v>
      </c>
      <c r="G11460">
        <v>10181</v>
      </c>
      <c r="H11460" s="1" t="s">
        <v>1828</v>
      </c>
      <c r="I11460">
        <v>0</v>
      </c>
      <c r="J11460">
        <f>IF($H11460=0,1,IF($I11460&lt;=1,2,0))</f>
        <v>2</v>
      </c>
      <c r="K11460">
        <v>5</v>
      </c>
      <c r="L11460">
        <f>IF(AND($J11460=0,$K11460=0),0,1)</f>
        <v>1</v>
      </c>
    </row>
    <row r="11461" spans="1:12" x14ac:dyDescent="0.2">
      <c r="A11461" t="s">
        <v>210</v>
      </c>
      <c r="B11461" t="s">
        <v>71</v>
      </c>
      <c r="C11461" t="s">
        <v>72</v>
      </c>
      <c r="D11461">
        <v>9400</v>
      </c>
      <c r="E11461">
        <v>2020</v>
      </c>
      <c r="F11461">
        <v>4</v>
      </c>
      <c r="G11461">
        <v>10182</v>
      </c>
      <c r="H11461" s="1" t="s">
        <v>1828</v>
      </c>
      <c r="I11461">
        <v>0</v>
      </c>
      <c r="J11461">
        <f>IF($H11461=0,1,IF($I11461&lt;=1,2,0))</f>
        <v>2</v>
      </c>
      <c r="K11461">
        <v>5</v>
      </c>
      <c r="L11461">
        <f>IF(AND($J11461=0,$K11461=0),0,1)</f>
        <v>1</v>
      </c>
    </row>
    <row r="11462" spans="1:12" x14ac:dyDescent="0.2">
      <c r="A11462" t="s">
        <v>210</v>
      </c>
      <c r="B11462" t="s">
        <v>71</v>
      </c>
      <c r="C11462" t="s">
        <v>72</v>
      </c>
      <c r="D11462">
        <v>9400</v>
      </c>
      <c r="E11462">
        <v>2020</v>
      </c>
      <c r="F11462">
        <v>6</v>
      </c>
      <c r="G11462">
        <v>10184</v>
      </c>
      <c r="H11462" s="1" t="s">
        <v>1828</v>
      </c>
      <c r="I11462">
        <v>0</v>
      </c>
      <c r="J11462">
        <f>IF($H11462=0,1,IF($I11462&lt;=1,2,0))</f>
        <v>2</v>
      </c>
      <c r="K11462">
        <v>5</v>
      </c>
      <c r="L11462">
        <f>IF(AND($J11462=0,$K11462=0),0,1)</f>
        <v>1</v>
      </c>
    </row>
    <row r="11463" spans="1:12" x14ac:dyDescent="0.2">
      <c r="A11463" t="s">
        <v>210</v>
      </c>
      <c r="B11463" t="s">
        <v>71</v>
      </c>
      <c r="C11463" t="s">
        <v>72</v>
      </c>
      <c r="D11463">
        <v>9400</v>
      </c>
      <c r="E11463">
        <v>2020</v>
      </c>
      <c r="F11463">
        <v>8</v>
      </c>
      <c r="G11463">
        <v>10186</v>
      </c>
      <c r="H11463" s="1" t="s">
        <v>1828</v>
      </c>
      <c r="I11463">
        <v>0</v>
      </c>
      <c r="J11463">
        <f>IF($H11463=0,1,IF($I11463&lt;=1,2,0))</f>
        <v>2</v>
      </c>
      <c r="K11463">
        <v>5</v>
      </c>
      <c r="L11463">
        <f>IF(AND($J11463=0,$K11463=0),0,1)</f>
        <v>1</v>
      </c>
    </row>
    <row r="11464" spans="1:12" x14ac:dyDescent="0.2">
      <c r="A11464" t="s">
        <v>210</v>
      </c>
      <c r="B11464" t="s">
        <v>71</v>
      </c>
      <c r="C11464" t="s">
        <v>72</v>
      </c>
      <c r="D11464">
        <v>9400</v>
      </c>
      <c r="E11464">
        <v>2020</v>
      </c>
      <c r="F11464">
        <v>9</v>
      </c>
      <c r="G11464">
        <v>10187</v>
      </c>
      <c r="H11464" s="1" t="s">
        <v>1828</v>
      </c>
      <c r="I11464">
        <v>0</v>
      </c>
      <c r="J11464">
        <f>IF($H11464=0,1,IF($I11464&lt;=1,2,0))</f>
        <v>2</v>
      </c>
      <c r="K11464">
        <v>5</v>
      </c>
      <c r="L11464">
        <f>IF(AND($J11464=0,$K11464=0),0,1)</f>
        <v>1</v>
      </c>
    </row>
    <row r="11465" spans="1:12" x14ac:dyDescent="0.2">
      <c r="A11465" t="s">
        <v>210</v>
      </c>
      <c r="B11465" t="s">
        <v>71</v>
      </c>
      <c r="C11465" t="s">
        <v>72</v>
      </c>
      <c r="D11465">
        <v>9400</v>
      </c>
      <c r="E11465">
        <v>2020</v>
      </c>
      <c r="F11465">
        <v>12</v>
      </c>
      <c r="G11465">
        <v>10158</v>
      </c>
      <c r="H11465" s="1" t="s">
        <v>1828</v>
      </c>
      <c r="I11465">
        <v>0</v>
      </c>
      <c r="J11465">
        <f>IF($H11465=0,1,IF($I11465&lt;=1,2,0))</f>
        <v>2</v>
      </c>
      <c r="K11465">
        <v>5</v>
      </c>
      <c r="L11465">
        <f>IF(AND($J11465=0,$K11465=0),0,1)</f>
        <v>1</v>
      </c>
    </row>
    <row r="11466" spans="1:12" x14ac:dyDescent="0.2">
      <c r="A11466" t="s">
        <v>210</v>
      </c>
      <c r="B11466" t="s">
        <v>71</v>
      </c>
      <c r="C11466" t="s">
        <v>72</v>
      </c>
      <c r="D11466">
        <v>9400</v>
      </c>
      <c r="E11466">
        <v>2020</v>
      </c>
      <c r="F11466">
        <v>13</v>
      </c>
      <c r="G11466">
        <v>10159</v>
      </c>
      <c r="H11466" s="1" t="s">
        <v>1828</v>
      </c>
      <c r="I11466">
        <v>0</v>
      </c>
      <c r="J11466">
        <f>IF($H11466=0,1,IF($I11466&lt;=1,2,0))</f>
        <v>2</v>
      </c>
      <c r="K11466">
        <v>5</v>
      </c>
      <c r="L11466">
        <f>IF(AND($J11466=0,$K11466=0),0,1)</f>
        <v>1</v>
      </c>
    </row>
    <row r="11467" spans="1:12" x14ac:dyDescent="0.2">
      <c r="A11467" t="s">
        <v>210</v>
      </c>
      <c r="B11467" t="s">
        <v>71</v>
      </c>
      <c r="C11467" t="s">
        <v>72</v>
      </c>
      <c r="D11467">
        <v>9400</v>
      </c>
      <c r="E11467">
        <v>2020</v>
      </c>
      <c r="F11467">
        <v>14</v>
      </c>
      <c r="G11467">
        <v>10160</v>
      </c>
      <c r="H11467" s="1" t="s">
        <v>1828</v>
      </c>
      <c r="I11467">
        <v>0</v>
      </c>
      <c r="J11467">
        <f>IF($H11467=0,1,IF($I11467&lt;=1,2,0))</f>
        <v>2</v>
      </c>
      <c r="K11467">
        <v>5</v>
      </c>
      <c r="L11467">
        <f>IF(AND($J11467=0,$K11467=0),0,1)</f>
        <v>1</v>
      </c>
    </row>
    <row r="11468" spans="1:12" x14ac:dyDescent="0.2">
      <c r="A11468" t="s">
        <v>210</v>
      </c>
      <c r="B11468" t="s">
        <v>71</v>
      </c>
      <c r="C11468" t="s">
        <v>72</v>
      </c>
      <c r="D11468">
        <v>9400</v>
      </c>
      <c r="E11468">
        <v>2020</v>
      </c>
      <c r="F11468">
        <v>15</v>
      </c>
      <c r="G11468">
        <v>10161</v>
      </c>
      <c r="H11468" s="1" t="s">
        <v>1828</v>
      </c>
      <c r="I11468">
        <v>0</v>
      </c>
      <c r="J11468">
        <f>IF($H11468=0,1,IF($I11468&lt;=1,2,0))</f>
        <v>2</v>
      </c>
      <c r="K11468">
        <v>5</v>
      </c>
      <c r="L11468">
        <f>IF(AND($J11468=0,$K11468=0),0,1)</f>
        <v>1</v>
      </c>
    </row>
    <row r="11469" spans="1:12" x14ac:dyDescent="0.2">
      <c r="A11469" t="s">
        <v>210</v>
      </c>
      <c r="B11469" t="s">
        <v>71</v>
      </c>
      <c r="C11469" t="s">
        <v>72</v>
      </c>
      <c r="D11469">
        <v>9400</v>
      </c>
      <c r="E11469">
        <v>2020</v>
      </c>
      <c r="F11469">
        <v>16</v>
      </c>
      <c r="G11469">
        <v>10162</v>
      </c>
      <c r="H11469" s="1" t="s">
        <v>1828</v>
      </c>
      <c r="I11469">
        <v>0</v>
      </c>
      <c r="J11469">
        <f>IF($H11469=0,1,IF($I11469&lt;=1,2,0))</f>
        <v>2</v>
      </c>
      <c r="K11469">
        <v>5</v>
      </c>
      <c r="L11469">
        <f>IF(AND($J11469=0,$K11469=0),0,1)</f>
        <v>1</v>
      </c>
    </row>
    <row r="11470" spans="1:12" x14ac:dyDescent="0.2">
      <c r="A11470" t="s">
        <v>210</v>
      </c>
      <c r="B11470" t="s">
        <v>71</v>
      </c>
      <c r="C11470" t="s">
        <v>72</v>
      </c>
      <c r="D11470">
        <v>9400</v>
      </c>
      <c r="E11470">
        <v>2020</v>
      </c>
      <c r="F11470">
        <v>18</v>
      </c>
      <c r="G11470">
        <v>10189</v>
      </c>
      <c r="H11470" s="1" t="s">
        <v>1828</v>
      </c>
      <c r="I11470">
        <v>0</v>
      </c>
      <c r="J11470">
        <f>IF($H11470=0,1,IF($I11470&lt;=1,2,0))</f>
        <v>2</v>
      </c>
      <c r="K11470">
        <v>5</v>
      </c>
      <c r="L11470">
        <f>IF(AND($J11470=0,$K11470=0),0,1)</f>
        <v>1</v>
      </c>
    </row>
    <row r="11471" spans="1:12" x14ac:dyDescent="0.2">
      <c r="A11471" t="s">
        <v>210</v>
      </c>
      <c r="B11471" t="s">
        <v>71</v>
      </c>
      <c r="C11471" t="s">
        <v>72</v>
      </c>
      <c r="D11471">
        <v>9400</v>
      </c>
      <c r="E11471">
        <v>2020</v>
      </c>
      <c r="F11471">
        <v>19</v>
      </c>
      <c r="G11471">
        <v>10190</v>
      </c>
      <c r="H11471" s="1" t="s">
        <v>1828</v>
      </c>
      <c r="I11471">
        <v>0</v>
      </c>
      <c r="J11471">
        <f>IF($H11471=0,1,IF($I11471&lt;=1,2,0))</f>
        <v>2</v>
      </c>
      <c r="K11471">
        <v>5</v>
      </c>
      <c r="L11471">
        <f>IF(AND($J11471=0,$K11471=0),0,1)</f>
        <v>1</v>
      </c>
    </row>
    <row r="11472" spans="1:12" x14ac:dyDescent="0.2">
      <c r="A11472" t="s">
        <v>210</v>
      </c>
      <c r="B11472" t="s">
        <v>71</v>
      </c>
      <c r="C11472" t="s">
        <v>72</v>
      </c>
      <c r="D11472">
        <v>9500</v>
      </c>
      <c r="E11472">
        <v>2020</v>
      </c>
      <c r="F11472">
        <v>9</v>
      </c>
      <c r="G11472">
        <v>10203</v>
      </c>
      <c r="H11472" s="1" t="s">
        <v>1839</v>
      </c>
      <c r="I11472">
        <v>4</v>
      </c>
      <c r="J11472">
        <f>IF($H11472=0,1,IF($I11472&lt;=1,2,0))</f>
        <v>0</v>
      </c>
      <c r="K11472">
        <v>5</v>
      </c>
      <c r="L11472">
        <f>IF(AND($J11472=0,$K11472=0),0,1)</f>
        <v>1</v>
      </c>
    </row>
    <row r="11473" spans="1:12" x14ac:dyDescent="0.2">
      <c r="A11473" t="s">
        <v>210</v>
      </c>
      <c r="B11473" t="s">
        <v>71</v>
      </c>
      <c r="C11473" t="s">
        <v>72</v>
      </c>
      <c r="D11473">
        <v>9500</v>
      </c>
      <c r="E11473">
        <v>2020</v>
      </c>
      <c r="F11473">
        <v>12</v>
      </c>
      <c r="G11473">
        <v>10195</v>
      </c>
      <c r="H11473" s="1" t="s">
        <v>1839</v>
      </c>
      <c r="I11473">
        <v>4</v>
      </c>
      <c r="J11473">
        <f>IF($H11473=0,1,IF($I11473&lt;=1,2,0))</f>
        <v>0</v>
      </c>
      <c r="K11473">
        <v>5</v>
      </c>
      <c r="L11473">
        <f>IF(AND($J11473=0,$K11473=0),0,1)</f>
        <v>1</v>
      </c>
    </row>
    <row r="11474" spans="1:12" x14ac:dyDescent="0.2">
      <c r="A11474" t="s">
        <v>210</v>
      </c>
      <c r="B11474" t="s">
        <v>71</v>
      </c>
      <c r="C11474" t="s">
        <v>72</v>
      </c>
      <c r="D11474">
        <v>9500</v>
      </c>
      <c r="E11474">
        <v>2020</v>
      </c>
      <c r="F11474">
        <v>13</v>
      </c>
      <c r="G11474">
        <v>10196</v>
      </c>
      <c r="H11474" s="1" t="s">
        <v>1839</v>
      </c>
      <c r="I11474">
        <v>4</v>
      </c>
      <c r="J11474">
        <f>IF($H11474=0,1,IF($I11474&lt;=1,2,0))</f>
        <v>0</v>
      </c>
      <c r="K11474">
        <v>5</v>
      </c>
      <c r="L11474">
        <f>IF(AND($J11474=0,$K11474=0),0,1)</f>
        <v>1</v>
      </c>
    </row>
    <row r="11475" spans="1:12" x14ac:dyDescent="0.2">
      <c r="A11475" t="s">
        <v>210</v>
      </c>
      <c r="B11475" t="s">
        <v>71</v>
      </c>
      <c r="C11475" t="s">
        <v>72</v>
      </c>
      <c r="D11475">
        <v>9500</v>
      </c>
      <c r="E11475">
        <v>2020</v>
      </c>
      <c r="F11475">
        <v>2</v>
      </c>
      <c r="G11475">
        <v>10210</v>
      </c>
      <c r="H11475" s="1" t="s">
        <v>1839</v>
      </c>
      <c r="I11475">
        <v>3</v>
      </c>
      <c r="J11475">
        <f>IF($H11475=0,1,IF($I11475&lt;=1,2,0))</f>
        <v>0</v>
      </c>
      <c r="K11475">
        <v>5</v>
      </c>
      <c r="L11475">
        <f>IF(AND($J11475=0,$K11475=0),0,1)</f>
        <v>1</v>
      </c>
    </row>
    <row r="11476" spans="1:12" x14ac:dyDescent="0.2">
      <c r="A11476" t="s">
        <v>210</v>
      </c>
      <c r="B11476" t="s">
        <v>71</v>
      </c>
      <c r="C11476" t="s">
        <v>72</v>
      </c>
      <c r="D11476">
        <v>9500</v>
      </c>
      <c r="E11476">
        <v>2020</v>
      </c>
      <c r="F11476">
        <v>3</v>
      </c>
      <c r="G11476">
        <v>10211</v>
      </c>
      <c r="H11476" s="1" t="s">
        <v>1839</v>
      </c>
      <c r="I11476">
        <v>3</v>
      </c>
      <c r="J11476">
        <f>IF($H11476=0,1,IF($I11476&lt;=1,2,0))</f>
        <v>0</v>
      </c>
      <c r="K11476">
        <v>5</v>
      </c>
      <c r="L11476">
        <f>IF(AND($J11476=0,$K11476=0),0,1)</f>
        <v>1</v>
      </c>
    </row>
    <row r="11477" spans="1:12" x14ac:dyDescent="0.2">
      <c r="A11477" t="s">
        <v>210</v>
      </c>
      <c r="B11477" t="s">
        <v>71</v>
      </c>
      <c r="C11477" t="s">
        <v>72</v>
      </c>
      <c r="D11477">
        <v>9500</v>
      </c>
      <c r="E11477">
        <v>2020</v>
      </c>
      <c r="F11477">
        <v>4</v>
      </c>
      <c r="G11477">
        <v>10208</v>
      </c>
      <c r="H11477" s="1" t="s">
        <v>1839</v>
      </c>
      <c r="I11477">
        <v>3</v>
      </c>
      <c r="J11477">
        <f>IF($H11477=0,1,IF($I11477&lt;=1,2,0))</f>
        <v>0</v>
      </c>
      <c r="K11477">
        <v>5</v>
      </c>
      <c r="L11477">
        <f>IF(AND($J11477=0,$K11477=0),0,1)</f>
        <v>1</v>
      </c>
    </row>
    <row r="11478" spans="1:12" x14ac:dyDescent="0.2">
      <c r="A11478" t="s">
        <v>210</v>
      </c>
      <c r="B11478" t="s">
        <v>71</v>
      </c>
      <c r="C11478" t="s">
        <v>72</v>
      </c>
      <c r="D11478">
        <v>9500</v>
      </c>
      <c r="E11478">
        <v>2020</v>
      </c>
      <c r="F11478">
        <v>6</v>
      </c>
      <c r="G11478">
        <v>10206</v>
      </c>
      <c r="H11478" s="1" t="s">
        <v>1839</v>
      </c>
      <c r="I11478">
        <v>3</v>
      </c>
      <c r="J11478">
        <f>IF($H11478=0,1,IF($I11478&lt;=1,2,0))</f>
        <v>0</v>
      </c>
      <c r="K11478">
        <v>5</v>
      </c>
      <c r="L11478">
        <f>IF(AND($J11478=0,$K11478=0),0,1)</f>
        <v>1</v>
      </c>
    </row>
    <row r="11479" spans="1:12" x14ac:dyDescent="0.2">
      <c r="A11479" t="s">
        <v>210</v>
      </c>
      <c r="B11479" t="s">
        <v>71</v>
      </c>
      <c r="C11479" t="s">
        <v>72</v>
      </c>
      <c r="D11479">
        <v>9500</v>
      </c>
      <c r="E11479">
        <v>2020</v>
      </c>
      <c r="F11479">
        <v>1</v>
      </c>
      <c r="G11479">
        <v>10209</v>
      </c>
      <c r="H11479" s="1" t="s">
        <v>1839</v>
      </c>
      <c r="I11479">
        <v>2</v>
      </c>
      <c r="J11479">
        <f>IF($H11479=0,1,IF($I11479&lt;=1,2,0))</f>
        <v>0</v>
      </c>
      <c r="K11479">
        <v>5</v>
      </c>
      <c r="L11479">
        <f>IF(AND($J11479=0,$K11479=0),0,1)</f>
        <v>1</v>
      </c>
    </row>
    <row r="11480" spans="1:12" x14ac:dyDescent="0.2">
      <c r="A11480" t="s">
        <v>210</v>
      </c>
      <c r="B11480" t="s">
        <v>71</v>
      </c>
      <c r="C11480" t="s">
        <v>72</v>
      </c>
      <c r="D11480">
        <v>9500</v>
      </c>
      <c r="E11480">
        <v>2020</v>
      </c>
      <c r="F11480">
        <v>7</v>
      </c>
      <c r="G11480">
        <v>10205</v>
      </c>
      <c r="H11480" s="1" t="s">
        <v>1839</v>
      </c>
      <c r="I11480">
        <v>2</v>
      </c>
      <c r="J11480">
        <f>IF($H11480=0,1,IF($I11480&lt;=1,2,0))</f>
        <v>0</v>
      </c>
      <c r="K11480">
        <v>5</v>
      </c>
      <c r="L11480">
        <f>IF(AND($J11480=0,$K11480=0),0,1)</f>
        <v>1</v>
      </c>
    </row>
    <row r="11481" spans="1:12" x14ac:dyDescent="0.2">
      <c r="A11481" t="s">
        <v>210</v>
      </c>
      <c r="B11481" t="s">
        <v>71</v>
      </c>
      <c r="C11481" t="s">
        <v>72</v>
      </c>
      <c r="D11481">
        <v>9500</v>
      </c>
      <c r="E11481">
        <v>2020</v>
      </c>
      <c r="F11481">
        <v>17</v>
      </c>
      <c r="G11481">
        <v>10200</v>
      </c>
      <c r="H11481" s="1" t="s">
        <v>1839</v>
      </c>
      <c r="I11481">
        <v>2</v>
      </c>
      <c r="J11481">
        <f>IF($H11481=0,1,IF($I11481&lt;=1,2,0))</f>
        <v>0</v>
      </c>
      <c r="K11481">
        <v>5</v>
      </c>
      <c r="L11481">
        <f>IF(AND($J11481=0,$K11481=0),0,1)</f>
        <v>1</v>
      </c>
    </row>
    <row r="11482" spans="1:12" x14ac:dyDescent="0.2">
      <c r="A11482" t="s">
        <v>210</v>
      </c>
      <c r="B11482" t="s">
        <v>71</v>
      </c>
      <c r="C11482" t="s">
        <v>72</v>
      </c>
      <c r="D11482">
        <v>9500</v>
      </c>
      <c r="E11482">
        <v>2020</v>
      </c>
      <c r="F11482">
        <v>10</v>
      </c>
      <c r="G11482">
        <v>10193</v>
      </c>
      <c r="H11482" s="1" t="s">
        <v>1839</v>
      </c>
      <c r="I11482">
        <v>1</v>
      </c>
      <c r="J11482">
        <f>IF($H11482=0,1,IF($I11482&lt;=1,2,0))</f>
        <v>2</v>
      </c>
      <c r="K11482">
        <v>5</v>
      </c>
      <c r="L11482">
        <f>IF(AND($J11482=0,$K11482=0),0,1)</f>
        <v>1</v>
      </c>
    </row>
    <row r="11483" spans="1:12" x14ac:dyDescent="0.2">
      <c r="A11483" t="s">
        <v>210</v>
      </c>
      <c r="B11483" t="s">
        <v>71</v>
      </c>
      <c r="C11483" t="s">
        <v>72</v>
      </c>
      <c r="D11483">
        <v>9500</v>
      </c>
      <c r="E11483">
        <v>2020</v>
      </c>
      <c r="F11483">
        <v>11</v>
      </c>
      <c r="G11483">
        <v>10194</v>
      </c>
      <c r="H11483" s="1" t="s">
        <v>1839</v>
      </c>
      <c r="I11483">
        <v>1</v>
      </c>
      <c r="J11483">
        <f>IF($H11483=0,1,IF($I11483&lt;=1,2,0))</f>
        <v>2</v>
      </c>
      <c r="K11483">
        <v>5</v>
      </c>
      <c r="L11483">
        <f>IF(AND($J11483=0,$K11483=0),0,1)</f>
        <v>1</v>
      </c>
    </row>
    <row r="11484" spans="1:12" x14ac:dyDescent="0.2">
      <c r="A11484" t="s">
        <v>210</v>
      </c>
      <c r="B11484" t="s">
        <v>71</v>
      </c>
      <c r="C11484" t="s">
        <v>72</v>
      </c>
      <c r="D11484">
        <v>9500</v>
      </c>
      <c r="E11484">
        <v>2020</v>
      </c>
      <c r="F11484">
        <v>14</v>
      </c>
      <c r="G11484">
        <v>10197</v>
      </c>
      <c r="H11484" s="1" t="s">
        <v>1839</v>
      </c>
      <c r="I11484">
        <v>1</v>
      </c>
      <c r="J11484">
        <f>IF($H11484=0,1,IF($I11484&lt;=1,2,0))</f>
        <v>2</v>
      </c>
      <c r="K11484">
        <v>5</v>
      </c>
      <c r="L11484">
        <f>IF(AND($J11484=0,$K11484=0),0,1)</f>
        <v>1</v>
      </c>
    </row>
    <row r="11485" spans="1:12" x14ac:dyDescent="0.2">
      <c r="A11485" t="s">
        <v>210</v>
      </c>
      <c r="B11485" t="s">
        <v>71</v>
      </c>
      <c r="C11485" t="s">
        <v>72</v>
      </c>
      <c r="D11485">
        <v>9500</v>
      </c>
      <c r="E11485">
        <v>2020</v>
      </c>
      <c r="F11485">
        <v>19</v>
      </c>
      <c r="G11485">
        <v>10202</v>
      </c>
      <c r="H11485" s="1" t="s">
        <v>1839</v>
      </c>
      <c r="I11485">
        <v>1</v>
      </c>
      <c r="J11485">
        <f>IF($H11485=0,1,IF($I11485&lt;=1,2,0))</f>
        <v>2</v>
      </c>
      <c r="K11485">
        <v>5</v>
      </c>
      <c r="L11485">
        <f>IF(AND($J11485=0,$K11485=0),0,1)</f>
        <v>1</v>
      </c>
    </row>
    <row r="11486" spans="1:12" x14ac:dyDescent="0.2">
      <c r="A11486" t="s">
        <v>210</v>
      </c>
      <c r="B11486" t="s">
        <v>71</v>
      </c>
      <c r="C11486" t="s">
        <v>72</v>
      </c>
      <c r="D11486">
        <v>9500</v>
      </c>
      <c r="E11486">
        <v>2020</v>
      </c>
      <c r="F11486">
        <v>5</v>
      </c>
      <c r="G11486">
        <v>10207</v>
      </c>
      <c r="H11486" s="1" t="s">
        <v>1839</v>
      </c>
      <c r="I11486">
        <v>0</v>
      </c>
      <c r="J11486">
        <f>IF($H11486=0,1,IF($I11486&lt;=1,2,0))</f>
        <v>2</v>
      </c>
      <c r="K11486">
        <v>5</v>
      </c>
      <c r="L11486">
        <f>IF(AND($J11486=0,$K11486=0),0,1)</f>
        <v>1</v>
      </c>
    </row>
    <row r="11487" spans="1:12" x14ac:dyDescent="0.2">
      <c r="A11487" t="s">
        <v>210</v>
      </c>
      <c r="B11487" t="s">
        <v>71</v>
      </c>
      <c r="C11487" t="s">
        <v>72</v>
      </c>
      <c r="D11487">
        <v>9500</v>
      </c>
      <c r="E11487">
        <v>2020</v>
      </c>
      <c r="F11487">
        <v>8</v>
      </c>
      <c r="G11487">
        <v>10204</v>
      </c>
      <c r="H11487" s="1" t="s">
        <v>1839</v>
      </c>
      <c r="I11487">
        <v>0</v>
      </c>
      <c r="J11487">
        <f>IF($H11487=0,1,IF($I11487&lt;=1,2,0))</f>
        <v>2</v>
      </c>
      <c r="K11487">
        <v>5</v>
      </c>
      <c r="L11487">
        <f>IF(AND($J11487=0,$K11487=0),0,1)</f>
        <v>1</v>
      </c>
    </row>
    <row r="11488" spans="1:12" x14ac:dyDescent="0.2">
      <c r="A11488" t="s">
        <v>210</v>
      </c>
      <c r="B11488" t="s">
        <v>71</v>
      </c>
      <c r="C11488" t="s">
        <v>72</v>
      </c>
      <c r="D11488">
        <v>9500</v>
      </c>
      <c r="E11488">
        <v>2020</v>
      </c>
      <c r="F11488">
        <v>15</v>
      </c>
      <c r="G11488">
        <v>10198</v>
      </c>
      <c r="H11488" s="1" t="s">
        <v>1839</v>
      </c>
      <c r="I11488">
        <v>0</v>
      </c>
      <c r="J11488">
        <f>IF($H11488=0,1,IF($I11488&lt;=1,2,0))</f>
        <v>2</v>
      </c>
      <c r="K11488">
        <v>5</v>
      </c>
      <c r="L11488">
        <f>IF(AND($J11488=0,$K11488=0),0,1)</f>
        <v>1</v>
      </c>
    </row>
    <row r="11489" spans="1:12" x14ac:dyDescent="0.2">
      <c r="A11489" t="s">
        <v>210</v>
      </c>
      <c r="B11489" t="s">
        <v>71</v>
      </c>
      <c r="C11489" t="s">
        <v>72</v>
      </c>
      <c r="D11489">
        <v>9500</v>
      </c>
      <c r="E11489">
        <v>2020</v>
      </c>
      <c r="F11489">
        <v>16</v>
      </c>
      <c r="G11489">
        <v>10199</v>
      </c>
      <c r="H11489" s="1" t="s">
        <v>1839</v>
      </c>
      <c r="I11489">
        <v>0</v>
      </c>
      <c r="J11489">
        <f>IF($H11489=0,1,IF($I11489&lt;=1,2,0))</f>
        <v>2</v>
      </c>
      <c r="K11489">
        <v>5</v>
      </c>
      <c r="L11489">
        <f>IF(AND($J11489=0,$K11489=0),0,1)</f>
        <v>1</v>
      </c>
    </row>
    <row r="11490" spans="1:12" x14ac:dyDescent="0.2">
      <c r="A11490" t="s">
        <v>210</v>
      </c>
      <c r="B11490" t="s">
        <v>71</v>
      </c>
      <c r="C11490" t="s">
        <v>72</v>
      </c>
      <c r="D11490">
        <v>9500</v>
      </c>
      <c r="E11490">
        <v>2020</v>
      </c>
      <c r="F11490">
        <v>18</v>
      </c>
      <c r="G11490">
        <v>10201</v>
      </c>
      <c r="H11490" s="1" t="s">
        <v>1839</v>
      </c>
      <c r="I11490">
        <v>0</v>
      </c>
      <c r="J11490">
        <f>IF($H11490=0,1,IF($I11490&lt;=1,2,0))</f>
        <v>2</v>
      </c>
      <c r="K11490">
        <v>5</v>
      </c>
      <c r="L11490">
        <f>IF(AND($J11490=0,$K11490=0),0,1)</f>
        <v>1</v>
      </c>
    </row>
    <row r="11491" spans="1:12" x14ac:dyDescent="0.2">
      <c r="A11491" t="s">
        <v>218</v>
      </c>
      <c r="B11491" t="s">
        <v>71</v>
      </c>
      <c r="C11491" t="s">
        <v>72</v>
      </c>
      <c r="D11491">
        <v>1</v>
      </c>
      <c r="E11491">
        <v>2020</v>
      </c>
      <c r="F11491">
        <v>1</v>
      </c>
      <c r="G11491">
        <v>22005</v>
      </c>
      <c r="H11491" s="1">
        <v>0</v>
      </c>
      <c r="I11491">
        <v>12</v>
      </c>
      <c r="J11491">
        <f>IF($H11491=0,1,IF($I11491&lt;=1,2,0))</f>
        <v>1</v>
      </c>
      <c r="K11491">
        <v>0</v>
      </c>
      <c r="L11491">
        <f>IF(AND($J11491=0,$K11491=0),0,1)</f>
        <v>1</v>
      </c>
    </row>
    <row r="11492" spans="1:12" x14ac:dyDescent="0.2">
      <c r="A11492" t="s">
        <v>218</v>
      </c>
      <c r="B11492" t="s">
        <v>71</v>
      </c>
      <c r="C11492" t="s">
        <v>72</v>
      </c>
      <c r="D11492">
        <v>2</v>
      </c>
      <c r="E11492">
        <v>2020</v>
      </c>
      <c r="F11492">
        <v>1</v>
      </c>
      <c r="G11492">
        <v>22006</v>
      </c>
      <c r="H11492" s="1">
        <v>0</v>
      </c>
      <c r="I11492">
        <v>7</v>
      </c>
      <c r="J11492">
        <f>IF($H11492=0,1,IF($I11492&lt;=1,2,0))</f>
        <v>1</v>
      </c>
      <c r="K11492">
        <v>0</v>
      </c>
      <c r="L11492">
        <f>IF(AND($J11492=0,$K11492=0),0,1)</f>
        <v>1</v>
      </c>
    </row>
    <row r="11493" spans="1:12" x14ac:dyDescent="0.2">
      <c r="A11493" t="s">
        <v>218</v>
      </c>
      <c r="B11493" t="s">
        <v>71</v>
      </c>
      <c r="C11493" t="s">
        <v>72</v>
      </c>
      <c r="D11493">
        <v>3</v>
      </c>
      <c r="E11493">
        <v>2020</v>
      </c>
      <c r="F11493">
        <v>1</v>
      </c>
      <c r="G11493">
        <v>22007</v>
      </c>
      <c r="H11493" s="1">
        <v>0</v>
      </c>
      <c r="I11493">
        <v>1</v>
      </c>
      <c r="J11493">
        <f>IF($H11493=0,1,IF($I11493&lt;=1,2,0))</f>
        <v>1</v>
      </c>
      <c r="K11493">
        <v>0</v>
      </c>
      <c r="L11493">
        <f>IF(AND($J11493=0,$K11493=0),0,1)</f>
        <v>1</v>
      </c>
    </row>
    <row r="11494" spans="1:12" x14ac:dyDescent="0.2">
      <c r="A11494" t="s">
        <v>218</v>
      </c>
      <c r="B11494" t="s">
        <v>71</v>
      </c>
      <c r="C11494" t="s">
        <v>72</v>
      </c>
      <c r="D11494">
        <v>3303</v>
      </c>
      <c r="E11494">
        <v>2020</v>
      </c>
      <c r="F11494">
        <v>4</v>
      </c>
      <c r="G11494">
        <v>22060</v>
      </c>
      <c r="H11494" s="1" t="s">
        <v>1827</v>
      </c>
      <c r="I11494">
        <v>1</v>
      </c>
      <c r="J11494">
        <f>IF($H11494=0,1,IF($I11494&lt;=1,2,0))</f>
        <v>2</v>
      </c>
      <c r="K11494">
        <v>0</v>
      </c>
      <c r="L11494">
        <f>IF(AND($J11494=0,$K11494=0),0,1)</f>
        <v>1</v>
      </c>
    </row>
    <row r="11495" spans="1:12" x14ac:dyDescent="0.2">
      <c r="A11495" t="s">
        <v>218</v>
      </c>
      <c r="B11495" t="s">
        <v>71</v>
      </c>
      <c r="C11495" t="s">
        <v>72</v>
      </c>
      <c r="D11495">
        <v>3303</v>
      </c>
      <c r="E11495">
        <v>2020</v>
      </c>
      <c r="F11495">
        <v>8</v>
      </c>
      <c r="G11495">
        <v>22096</v>
      </c>
      <c r="H11495" s="1" t="s">
        <v>1827</v>
      </c>
      <c r="I11495">
        <v>1</v>
      </c>
      <c r="J11495">
        <f>IF($H11495=0,1,IF($I11495&lt;=1,2,0))</f>
        <v>2</v>
      </c>
      <c r="K11495">
        <v>0</v>
      </c>
      <c r="L11495">
        <f>IF(AND($J11495=0,$K11495=0),0,1)</f>
        <v>1</v>
      </c>
    </row>
    <row r="11496" spans="1:12" x14ac:dyDescent="0.2">
      <c r="A11496" t="s">
        <v>218</v>
      </c>
      <c r="B11496" t="s">
        <v>71</v>
      </c>
      <c r="C11496" t="s">
        <v>72</v>
      </c>
      <c r="D11496">
        <v>3303</v>
      </c>
      <c r="E11496">
        <v>2020</v>
      </c>
      <c r="F11496">
        <v>1</v>
      </c>
      <c r="G11496">
        <v>22028</v>
      </c>
      <c r="H11496" s="1" t="s">
        <v>1827</v>
      </c>
      <c r="I11496">
        <v>0</v>
      </c>
      <c r="J11496">
        <f>IF($H11496=0,1,IF($I11496&lt;=1,2,0))</f>
        <v>2</v>
      </c>
      <c r="K11496">
        <v>0</v>
      </c>
      <c r="L11496">
        <f>IF(AND($J11496=0,$K11496=0),0,1)</f>
        <v>1</v>
      </c>
    </row>
    <row r="11497" spans="1:12" x14ac:dyDescent="0.2">
      <c r="A11497" t="s">
        <v>218</v>
      </c>
      <c r="B11497" t="s">
        <v>71</v>
      </c>
      <c r="C11497" t="s">
        <v>72</v>
      </c>
      <c r="D11497">
        <v>3303</v>
      </c>
      <c r="E11497">
        <v>2020</v>
      </c>
      <c r="F11497">
        <v>2</v>
      </c>
      <c r="G11497">
        <v>22029</v>
      </c>
      <c r="H11497" s="1" t="s">
        <v>1827</v>
      </c>
      <c r="I11497">
        <v>0</v>
      </c>
      <c r="J11497">
        <f>IF($H11497=0,1,IF($I11497&lt;=1,2,0))</f>
        <v>2</v>
      </c>
      <c r="K11497">
        <v>0</v>
      </c>
      <c r="L11497">
        <f>IF(AND($J11497=0,$K11497=0),0,1)</f>
        <v>1</v>
      </c>
    </row>
    <row r="11498" spans="1:12" x14ac:dyDescent="0.2">
      <c r="A11498" t="s">
        <v>218</v>
      </c>
      <c r="B11498" t="s">
        <v>71</v>
      </c>
      <c r="C11498" t="s">
        <v>72</v>
      </c>
      <c r="D11498">
        <v>3303</v>
      </c>
      <c r="E11498">
        <v>2020</v>
      </c>
      <c r="F11498">
        <v>3</v>
      </c>
      <c r="G11498">
        <v>22030</v>
      </c>
      <c r="H11498" s="1" t="s">
        <v>1827</v>
      </c>
      <c r="I11498">
        <v>0</v>
      </c>
      <c r="J11498">
        <f>IF($H11498=0,1,IF($I11498&lt;=1,2,0))</f>
        <v>2</v>
      </c>
      <c r="K11498">
        <v>0</v>
      </c>
      <c r="L11498">
        <f>IF(AND($J11498=0,$K11498=0),0,1)</f>
        <v>1</v>
      </c>
    </row>
    <row r="11499" spans="1:12" x14ac:dyDescent="0.2">
      <c r="A11499" t="s">
        <v>218</v>
      </c>
      <c r="B11499" t="s">
        <v>71</v>
      </c>
      <c r="C11499" t="s">
        <v>72</v>
      </c>
      <c r="D11499">
        <v>3303</v>
      </c>
      <c r="E11499">
        <v>2020</v>
      </c>
      <c r="F11499">
        <v>5</v>
      </c>
      <c r="G11499">
        <v>22093</v>
      </c>
      <c r="H11499" s="1" t="s">
        <v>1827</v>
      </c>
      <c r="I11499">
        <v>0</v>
      </c>
      <c r="J11499">
        <f>IF($H11499=0,1,IF($I11499&lt;=1,2,0))</f>
        <v>2</v>
      </c>
      <c r="K11499">
        <v>0</v>
      </c>
      <c r="L11499">
        <f>IF(AND($J11499=0,$K11499=0),0,1)</f>
        <v>1</v>
      </c>
    </row>
    <row r="11500" spans="1:12" x14ac:dyDescent="0.2">
      <c r="A11500" t="s">
        <v>218</v>
      </c>
      <c r="B11500" t="s">
        <v>71</v>
      </c>
      <c r="C11500" t="s">
        <v>72</v>
      </c>
      <c r="D11500">
        <v>3303</v>
      </c>
      <c r="E11500">
        <v>2020</v>
      </c>
      <c r="F11500">
        <v>6</v>
      </c>
      <c r="G11500">
        <v>22094</v>
      </c>
      <c r="H11500" s="1" t="s">
        <v>1827</v>
      </c>
      <c r="I11500">
        <v>0</v>
      </c>
      <c r="J11500">
        <f>IF($H11500=0,1,IF($I11500&lt;=1,2,0))</f>
        <v>2</v>
      </c>
      <c r="K11500">
        <v>0</v>
      </c>
      <c r="L11500">
        <f>IF(AND($J11500=0,$K11500=0),0,1)</f>
        <v>1</v>
      </c>
    </row>
    <row r="11501" spans="1:12" x14ac:dyDescent="0.2">
      <c r="A11501" t="s">
        <v>218</v>
      </c>
      <c r="B11501" t="s">
        <v>71</v>
      </c>
      <c r="C11501" t="s">
        <v>72</v>
      </c>
      <c r="D11501">
        <v>3303</v>
      </c>
      <c r="E11501">
        <v>2020</v>
      </c>
      <c r="F11501">
        <v>7</v>
      </c>
      <c r="G11501">
        <v>22095</v>
      </c>
      <c r="H11501" s="1" t="s">
        <v>1827</v>
      </c>
      <c r="I11501">
        <v>0</v>
      </c>
      <c r="J11501">
        <f>IF($H11501=0,1,IF($I11501&lt;=1,2,0))</f>
        <v>2</v>
      </c>
      <c r="K11501">
        <v>0</v>
      </c>
      <c r="L11501">
        <f>IF(AND($J11501=0,$K11501=0),0,1)</f>
        <v>1</v>
      </c>
    </row>
    <row r="11502" spans="1:12" x14ac:dyDescent="0.2">
      <c r="A11502" t="s">
        <v>218</v>
      </c>
      <c r="B11502" t="s">
        <v>71</v>
      </c>
      <c r="C11502" t="s">
        <v>72</v>
      </c>
      <c r="D11502">
        <v>3303</v>
      </c>
      <c r="E11502">
        <v>2020</v>
      </c>
      <c r="F11502">
        <v>9</v>
      </c>
      <c r="G11502">
        <v>22097</v>
      </c>
      <c r="H11502" s="1" t="s">
        <v>1827</v>
      </c>
      <c r="I11502">
        <v>0</v>
      </c>
      <c r="J11502">
        <f>IF($H11502=0,1,IF($I11502&lt;=1,2,0))</f>
        <v>2</v>
      </c>
      <c r="K11502">
        <v>0</v>
      </c>
      <c r="L11502">
        <f>IF(AND($J11502=0,$K11502=0),0,1)</f>
        <v>1</v>
      </c>
    </row>
    <row r="11503" spans="1:12" x14ac:dyDescent="0.2">
      <c r="A11503" t="s">
        <v>218</v>
      </c>
      <c r="B11503" t="s">
        <v>71</v>
      </c>
      <c r="C11503" t="s">
        <v>72</v>
      </c>
      <c r="D11503">
        <v>3303</v>
      </c>
      <c r="E11503">
        <v>2020</v>
      </c>
      <c r="F11503">
        <v>10</v>
      </c>
      <c r="G11503">
        <v>22098</v>
      </c>
      <c r="H11503" s="1" t="s">
        <v>1827</v>
      </c>
      <c r="I11503">
        <v>0</v>
      </c>
      <c r="J11503">
        <f>IF($H11503=0,1,IF($I11503&lt;=1,2,0))</f>
        <v>2</v>
      </c>
      <c r="K11503">
        <v>0</v>
      </c>
      <c r="L11503">
        <f>IF(AND($J11503=0,$K11503=0),0,1)</f>
        <v>1</v>
      </c>
    </row>
    <row r="11504" spans="1:12" x14ac:dyDescent="0.2">
      <c r="A11504" t="s">
        <v>218</v>
      </c>
      <c r="B11504" t="s">
        <v>71</v>
      </c>
      <c r="C11504" t="s">
        <v>72</v>
      </c>
      <c r="D11504">
        <v>3303</v>
      </c>
      <c r="E11504">
        <v>2020</v>
      </c>
      <c r="F11504">
        <v>11</v>
      </c>
      <c r="G11504">
        <v>22099</v>
      </c>
      <c r="H11504" s="1" t="s">
        <v>1827</v>
      </c>
      <c r="I11504">
        <v>0</v>
      </c>
      <c r="J11504">
        <f>IF($H11504=0,1,IF($I11504&lt;=1,2,0))</f>
        <v>2</v>
      </c>
      <c r="K11504">
        <v>0</v>
      </c>
      <c r="L11504">
        <f>IF(AND($J11504=0,$K11504=0),0,1)</f>
        <v>1</v>
      </c>
    </row>
    <row r="11505" spans="1:12" x14ac:dyDescent="0.2">
      <c r="A11505" t="s">
        <v>218</v>
      </c>
      <c r="B11505" t="s">
        <v>71</v>
      </c>
      <c r="C11505" t="s">
        <v>72</v>
      </c>
      <c r="D11505">
        <v>3303</v>
      </c>
      <c r="E11505">
        <v>2020</v>
      </c>
      <c r="F11505">
        <v>12</v>
      </c>
      <c r="G11505">
        <v>22100</v>
      </c>
      <c r="H11505" s="1" t="s">
        <v>1827</v>
      </c>
      <c r="I11505">
        <v>0</v>
      </c>
      <c r="J11505">
        <f>IF($H11505=0,1,IF($I11505&lt;=1,2,0))</f>
        <v>2</v>
      </c>
      <c r="K11505">
        <v>0</v>
      </c>
      <c r="L11505">
        <f>IF(AND($J11505=0,$K11505=0),0,1)</f>
        <v>1</v>
      </c>
    </row>
    <row r="11506" spans="1:12" x14ac:dyDescent="0.2">
      <c r="A11506" t="s">
        <v>218</v>
      </c>
      <c r="B11506" t="s">
        <v>71</v>
      </c>
      <c r="C11506" t="s">
        <v>72</v>
      </c>
      <c r="D11506">
        <v>3303</v>
      </c>
      <c r="E11506">
        <v>2020</v>
      </c>
      <c r="F11506">
        <v>13</v>
      </c>
      <c r="G11506">
        <v>22101</v>
      </c>
      <c r="H11506" s="1" t="s">
        <v>1827</v>
      </c>
      <c r="I11506">
        <v>0</v>
      </c>
      <c r="J11506">
        <f>IF($H11506=0,1,IF($I11506&lt;=1,2,0))</f>
        <v>2</v>
      </c>
      <c r="K11506">
        <v>0</v>
      </c>
      <c r="L11506">
        <f>IF(AND($J11506=0,$K11506=0),0,1)</f>
        <v>1</v>
      </c>
    </row>
    <row r="11507" spans="1:12" x14ac:dyDescent="0.2">
      <c r="A11507" t="s">
        <v>218</v>
      </c>
      <c r="B11507" t="s">
        <v>71</v>
      </c>
      <c r="C11507" t="s">
        <v>72</v>
      </c>
      <c r="D11507">
        <v>3303</v>
      </c>
      <c r="E11507">
        <v>2020</v>
      </c>
      <c r="F11507">
        <v>14</v>
      </c>
      <c r="G11507">
        <v>22102</v>
      </c>
      <c r="H11507" s="1" t="s">
        <v>1827</v>
      </c>
      <c r="I11507">
        <v>0</v>
      </c>
      <c r="J11507">
        <f>IF($H11507=0,1,IF($I11507&lt;=1,2,0))</f>
        <v>2</v>
      </c>
      <c r="K11507">
        <v>0</v>
      </c>
      <c r="L11507">
        <f>IF(AND($J11507=0,$K11507=0),0,1)</f>
        <v>1</v>
      </c>
    </row>
    <row r="11508" spans="1:12" x14ac:dyDescent="0.2">
      <c r="A11508" t="s">
        <v>218</v>
      </c>
      <c r="B11508" t="s">
        <v>71</v>
      </c>
      <c r="C11508" t="s">
        <v>72</v>
      </c>
      <c r="D11508">
        <v>3303</v>
      </c>
      <c r="E11508">
        <v>2020</v>
      </c>
      <c r="F11508">
        <v>15</v>
      </c>
      <c r="G11508">
        <v>22103</v>
      </c>
      <c r="H11508" s="1" t="s">
        <v>1827</v>
      </c>
      <c r="I11508">
        <v>0</v>
      </c>
      <c r="J11508">
        <f>IF($H11508=0,1,IF($I11508&lt;=1,2,0))</f>
        <v>2</v>
      </c>
      <c r="K11508">
        <v>0</v>
      </c>
      <c r="L11508">
        <f>IF(AND($J11508=0,$K11508=0),0,1)</f>
        <v>1</v>
      </c>
    </row>
    <row r="11509" spans="1:12" x14ac:dyDescent="0.2">
      <c r="A11509" t="s">
        <v>218</v>
      </c>
      <c r="B11509" t="s">
        <v>71</v>
      </c>
      <c r="C11509" t="s">
        <v>72</v>
      </c>
      <c r="D11509">
        <v>3304</v>
      </c>
      <c r="E11509">
        <v>2020</v>
      </c>
      <c r="F11509">
        <v>8</v>
      </c>
      <c r="G11509">
        <v>22111</v>
      </c>
      <c r="H11509" s="1" t="s">
        <v>1827</v>
      </c>
      <c r="I11509">
        <v>1</v>
      </c>
      <c r="J11509">
        <f>IF($H11509=0,1,IF($I11509&lt;=1,2,0))</f>
        <v>2</v>
      </c>
      <c r="K11509">
        <v>0</v>
      </c>
      <c r="L11509">
        <f>IF(AND($J11509=0,$K11509=0),0,1)</f>
        <v>1</v>
      </c>
    </row>
    <row r="11510" spans="1:12" x14ac:dyDescent="0.2">
      <c r="A11510" t="s">
        <v>218</v>
      </c>
      <c r="B11510" t="s">
        <v>71</v>
      </c>
      <c r="C11510" t="s">
        <v>72</v>
      </c>
      <c r="D11510">
        <v>3304</v>
      </c>
      <c r="E11510">
        <v>2020</v>
      </c>
      <c r="F11510">
        <v>1</v>
      </c>
      <c r="G11510">
        <v>22104</v>
      </c>
      <c r="H11510" s="1" t="s">
        <v>1827</v>
      </c>
      <c r="I11510">
        <v>0</v>
      </c>
      <c r="J11510">
        <f>IF($H11510=0,1,IF($I11510&lt;=1,2,0))</f>
        <v>2</v>
      </c>
      <c r="K11510">
        <v>0</v>
      </c>
      <c r="L11510">
        <f>IF(AND($J11510=0,$K11510=0),0,1)</f>
        <v>1</v>
      </c>
    </row>
    <row r="11511" spans="1:12" x14ac:dyDescent="0.2">
      <c r="A11511" t="s">
        <v>218</v>
      </c>
      <c r="B11511" t="s">
        <v>71</v>
      </c>
      <c r="C11511" t="s">
        <v>72</v>
      </c>
      <c r="D11511">
        <v>3304</v>
      </c>
      <c r="E11511">
        <v>2020</v>
      </c>
      <c r="F11511">
        <v>2</v>
      </c>
      <c r="G11511">
        <v>22105</v>
      </c>
      <c r="H11511" s="1" t="s">
        <v>1827</v>
      </c>
      <c r="I11511">
        <v>0</v>
      </c>
      <c r="J11511">
        <f>IF($H11511=0,1,IF($I11511&lt;=1,2,0))</f>
        <v>2</v>
      </c>
      <c r="K11511">
        <v>0</v>
      </c>
      <c r="L11511">
        <f>IF(AND($J11511=0,$K11511=0),0,1)</f>
        <v>1</v>
      </c>
    </row>
    <row r="11512" spans="1:12" x14ac:dyDescent="0.2">
      <c r="A11512" t="s">
        <v>218</v>
      </c>
      <c r="B11512" t="s">
        <v>71</v>
      </c>
      <c r="C11512" t="s">
        <v>72</v>
      </c>
      <c r="D11512">
        <v>3304</v>
      </c>
      <c r="E11512">
        <v>2020</v>
      </c>
      <c r="F11512">
        <v>3</v>
      </c>
      <c r="G11512">
        <v>22106</v>
      </c>
      <c r="H11512" s="1" t="s">
        <v>1827</v>
      </c>
      <c r="I11512">
        <v>0</v>
      </c>
      <c r="J11512">
        <f>IF($H11512=0,1,IF($I11512&lt;=1,2,0))</f>
        <v>2</v>
      </c>
      <c r="K11512">
        <v>0</v>
      </c>
      <c r="L11512">
        <f>IF(AND($J11512=0,$K11512=0),0,1)</f>
        <v>1</v>
      </c>
    </row>
    <row r="11513" spans="1:12" x14ac:dyDescent="0.2">
      <c r="A11513" t="s">
        <v>218</v>
      </c>
      <c r="B11513" t="s">
        <v>71</v>
      </c>
      <c r="C11513" t="s">
        <v>72</v>
      </c>
      <c r="D11513">
        <v>3304</v>
      </c>
      <c r="E11513">
        <v>2020</v>
      </c>
      <c r="F11513">
        <v>5</v>
      </c>
      <c r="G11513">
        <v>22108</v>
      </c>
      <c r="H11513" s="1" t="s">
        <v>1827</v>
      </c>
      <c r="I11513">
        <v>0</v>
      </c>
      <c r="J11513">
        <f>IF($H11513=0,1,IF($I11513&lt;=1,2,0))</f>
        <v>2</v>
      </c>
      <c r="K11513">
        <v>0</v>
      </c>
      <c r="L11513">
        <f>IF(AND($J11513=0,$K11513=0),0,1)</f>
        <v>1</v>
      </c>
    </row>
    <row r="11514" spans="1:12" x14ac:dyDescent="0.2">
      <c r="A11514" t="s">
        <v>218</v>
      </c>
      <c r="B11514" t="s">
        <v>71</v>
      </c>
      <c r="C11514" t="s">
        <v>72</v>
      </c>
      <c r="D11514">
        <v>3304</v>
      </c>
      <c r="E11514">
        <v>2020</v>
      </c>
      <c r="F11514">
        <v>6</v>
      </c>
      <c r="G11514">
        <v>22109</v>
      </c>
      <c r="H11514" s="1" t="s">
        <v>1827</v>
      </c>
      <c r="I11514">
        <v>0</v>
      </c>
      <c r="J11514">
        <f>IF($H11514=0,1,IF($I11514&lt;=1,2,0))</f>
        <v>2</v>
      </c>
      <c r="K11514">
        <v>0</v>
      </c>
      <c r="L11514">
        <f>IF(AND($J11514=0,$K11514=0),0,1)</f>
        <v>1</v>
      </c>
    </row>
    <row r="11515" spans="1:12" x14ac:dyDescent="0.2">
      <c r="A11515" t="s">
        <v>218</v>
      </c>
      <c r="B11515" t="s">
        <v>71</v>
      </c>
      <c r="C11515" t="s">
        <v>72</v>
      </c>
      <c r="D11515">
        <v>3304</v>
      </c>
      <c r="E11515">
        <v>2020</v>
      </c>
      <c r="F11515">
        <v>7</v>
      </c>
      <c r="G11515">
        <v>22110</v>
      </c>
      <c r="H11515" s="1" t="s">
        <v>1827</v>
      </c>
      <c r="I11515">
        <v>0</v>
      </c>
      <c r="J11515">
        <f>IF($H11515=0,1,IF($I11515&lt;=1,2,0))</f>
        <v>2</v>
      </c>
      <c r="K11515">
        <v>0</v>
      </c>
      <c r="L11515">
        <f>IF(AND($J11515=0,$K11515=0),0,1)</f>
        <v>1</v>
      </c>
    </row>
    <row r="11516" spans="1:12" x14ac:dyDescent="0.2">
      <c r="A11516" t="s">
        <v>218</v>
      </c>
      <c r="B11516" t="s">
        <v>71</v>
      </c>
      <c r="C11516" t="s">
        <v>72</v>
      </c>
      <c r="D11516">
        <v>3304</v>
      </c>
      <c r="E11516">
        <v>2020</v>
      </c>
      <c r="F11516">
        <v>10</v>
      </c>
      <c r="G11516">
        <v>22113</v>
      </c>
      <c r="H11516" s="1" t="s">
        <v>1827</v>
      </c>
      <c r="I11516">
        <v>0</v>
      </c>
      <c r="J11516">
        <f>IF($H11516=0,1,IF($I11516&lt;=1,2,0))</f>
        <v>2</v>
      </c>
      <c r="K11516">
        <v>0</v>
      </c>
      <c r="L11516">
        <f>IF(AND($J11516=0,$K11516=0),0,1)</f>
        <v>1</v>
      </c>
    </row>
    <row r="11517" spans="1:12" x14ac:dyDescent="0.2">
      <c r="A11517" t="s">
        <v>218</v>
      </c>
      <c r="B11517" t="s">
        <v>71</v>
      </c>
      <c r="C11517" t="s">
        <v>72</v>
      </c>
      <c r="D11517">
        <v>3304</v>
      </c>
      <c r="E11517">
        <v>2020</v>
      </c>
      <c r="F11517">
        <v>11</v>
      </c>
      <c r="G11517">
        <v>22114</v>
      </c>
      <c r="H11517" s="1" t="s">
        <v>1827</v>
      </c>
      <c r="I11517">
        <v>0</v>
      </c>
      <c r="J11517">
        <f>IF($H11517=0,1,IF($I11517&lt;=1,2,0))</f>
        <v>2</v>
      </c>
      <c r="K11517">
        <v>0</v>
      </c>
      <c r="L11517">
        <f>IF(AND($J11517=0,$K11517=0),0,1)</f>
        <v>1</v>
      </c>
    </row>
    <row r="11518" spans="1:12" x14ac:dyDescent="0.2">
      <c r="A11518" t="s">
        <v>218</v>
      </c>
      <c r="B11518" t="s">
        <v>71</v>
      </c>
      <c r="C11518" t="s">
        <v>72</v>
      </c>
      <c r="D11518">
        <v>3304</v>
      </c>
      <c r="E11518">
        <v>2020</v>
      </c>
      <c r="F11518">
        <v>12</v>
      </c>
      <c r="G11518">
        <v>22115</v>
      </c>
      <c r="H11518" s="1" t="s">
        <v>1827</v>
      </c>
      <c r="I11518">
        <v>0</v>
      </c>
      <c r="J11518">
        <f>IF($H11518=0,1,IF($I11518&lt;=1,2,0))</f>
        <v>2</v>
      </c>
      <c r="K11518">
        <v>0</v>
      </c>
      <c r="L11518">
        <f>IF(AND($J11518=0,$K11518=0),0,1)</f>
        <v>1</v>
      </c>
    </row>
    <row r="11519" spans="1:12" x14ac:dyDescent="0.2">
      <c r="A11519" t="s">
        <v>218</v>
      </c>
      <c r="B11519" t="s">
        <v>71</v>
      </c>
      <c r="C11519" t="s">
        <v>72</v>
      </c>
      <c r="D11519">
        <v>3304</v>
      </c>
      <c r="E11519">
        <v>2020</v>
      </c>
      <c r="F11519">
        <v>14</v>
      </c>
      <c r="G11519">
        <v>22118</v>
      </c>
      <c r="H11519" s="1" t="s">
        <v>1827</v>
      </c>
      <c r="I11519">
        <v>0</v>
      </c>
      <c r="J11519">
        <f>IF($H11519=0,1,IF($I11519&lt;=1,2,0))</f>
        <v>2</v>
      </c>
      <c r="K11519">
        <v>0</v>
      </c>
      <c r="L11519">
        <f>IF(AND($J11519=0,$K11519=0),0,1)</f>
        <v>1</v>
      </c>
    </row>
    <row r="11520" spans="1:12" x14ac:dyDescent="0.2">
      <c r="A11520" t="s">
        <v>218</v>
      </c>
      <c r="B11520" t="s">
        <v>71</v>
      </c>
      <c r="C11520" t="s">
        <v>72</v>
      </c>
      <c r="D11520">
        <v>3304</v>
      </c>
      <c r="E11520">
        <v>2020</v>
      </c>
      <c r="F11520">
        <v>15</v>
      </c>
      <c r="G11520">
        <v>22119</v>
      </c>
      <c r="H11520" s="1" t="s">
        <v>1827</v>
      </c>
      <c r="I11520">
        <v>0</v>
      </c>
      <c r="J11520">
        <f>IF($H11520=0,1,IF($I11520&lt;=1,2,0))</f>
        <v>2</v>
      </c>
      <c r="K11520">
        <v>0</v>
      </c>
      <c r="L11520">
        <f>IF(AND($J11520=0,$K11520=0),0,1)</f>
        <v>1</v>
      </c>
    </row>
    <row r="11521" spans="1:12" x14ac:dyDescent="0.2">
      <c r="A11521" t="s">
        <v>218</v>
      </c>
      <c r="B11521" t="s">
        <v>71</v>
      </c>
      <c r="C11521" t="s">
        <v>72</v>
      </c>
      <c r="D11521">
        <v>4111</v>
      </c>
      <c r="E11521">
        <v>2020</v>
      </c>
      <c r="F11521">
        <v>1</v>
      </c>
      <c r="G11521">
        <v>11703</v>
      </c>
      <c r="H11521" s="1">
        <v>3</v>
      </c>
      <c r="I11521">
        <v>23</v>
      </c>
      <c r="J11521">
        <f>IF($H11521=0,1,IF($I11521&lt;=1,2,0))</f>
        <v>0</v>
      </c>
      <c r="K11521">
        <v>1</v>
      </c>
      <c r="L11521">
        <f>IF(AND($J11521=0,$K11521=0),0,1)</f>
        <v>1</v>
      </c>
    </row>
    <row r="11522" spans="1:12" x14ac:dyDescent="0.2">
      <c r="A11522" t="s">
        <v>218</v>
      </c>
      <c r="B11522" t="s">
        <v>71</v>
      </c>
      <c r="C11522" t="s">
        <v>72</v>
      </c>
      <c r="D11522">
        <v>4140</v>
      </c>
      <c r="E11522">
        <v>2020</v>
      </c>
      <c r="F11522">
        <v>1</v>
      </c>
      <c r="G11522">
        <v>11709</v>
      </c>
      <c r="H11522" s="1">
        <v>3</v>
      </c>
      <c r="I11522">
        <v>16</v>
      </c>
      <c r="J11522">
        <f>IF($H11522=0,1,IF($I11522&lt;=1,2,0))</f>
        <v>0</v>
      </c>
      <c r="K11522">
        <v>1</v>
      </c>
      <c r="L11522">
        <f>IF(AND($J11522=0,$K11522=0),0,1)</f>
        <v>1</v>
      </c>
    </row>
    <row r="11523" spans="1:12" x14ac:dyDescent="0.2">
      <c r="A11523" t="s">
        <v>218</v>
      </c>
      <c r="B11523" t="s">
        <v>71</v>
      </c>
      <c r="C11523" t="s">
        <v>72</v>
      </c>
      <c r="D11523">
        <v>4999</v>
      </c>
      <c r="E11523">
        <v>2020</v>
      </c>
      <c r="F11523">
        <v>1</v>
      </c>
      <c r="G11523">
        <v>15408</v>
      </c>
      <c r="H11523" s="1" t="s">
        <v>221</v>
      </c>
      <c r="I11523">
        <v>12</v>
      </c>
      <c r="J11523">
        <f>IF($H11523=0,1,IF($I11523&lt;=1,2,0))</f>
        <v>0</v>
      </c>
      <c r="K11523">
        <v>9</v>
      </c>
      <c r="L11523">
        <f>IF(AND($J11523=0,$K11523=0),0,1)</f>
        <v>1</v>
      </c>
    </row>
    <row r="11524" spans="1:12" x14ac:dyDescent="0.2">
      <c r="A11524" t="s">
        <v>218</v>
      </c>
      <c r="B11524" t="s">
        <v>71</v>
      </c>
      <c r="C11524" t="s">
        <v>72</v>
      </c>
      <c r="D11524">
        <v>9101</v>
      </c>
      <c r="E11524">
        <v>2020</v>
      </c>
      <c r="F11524">
        <v>13</v>
      </c>
      <c r="G11524">
        <v>22231</v>
      </c>
      <c r="H11524" s="1" t="s">
        <v>1828</v>
      </c>
      <c r="I11524">
        <v>11</v>
      </c>
      <c r="J11524">
        <f>IF($H11524=0,1,IF($I11524&lt;=1,2,0))</f>
        <v>0</v>
      </c>
      <c r="K11524">
        <v>5</v>
      </c>
      <c r="L11524">
        <f>IF(AND($J11524=0,$K11524=0),0,1)</f>
        <v>1</v>
      </c>
    </row>
    <row r="11525" spans="1:12" x14ac:dyDescent="0.2">
      <c r="A11525" t="s">
        <v>218</v>
      </c>
      <c r="B11525" t="s">
        <v>71</v>
      </c>
      <c r="C11525" t="s">
        <v>72</v>
      </c>
      <c r="D11525">
        <v>9101</v>
      </c>
      <c r="E11525">
        <v>2020</v>
      </c>
      <c r="F11525">
        <v>12</v>
      </c>
      <c r="G11525">
        <v>22230</v>
      </c>
      <c r="H11525" s="1" t="s">
        <v>1828</v>
      </c>
      <c r="I11525">
        <v>9</v>
      </c>
      <c r="J11525">
        <f>IF($H11525=0,1,IF($I11525&lt;=1,2,0))</f>
        <v>0</v>
      </c>
      <c r="K11525">
        <v>5</v>
      </c>
      <c r="L11525">
        <f>IF(AND($J11525=0,$K11525=0),0,1)</f>
        <v>1</v>
      </c>
    </row>
    <row r="11526" spans="1:12" x14ac:dyDescent="0.2">
      <c r="A11526" t="s">
        <v>218</v>
      </c>
      <c r="B11526" t="s">
        <v>71</v>
      </c>
      <c r="C11526" t="s">
        <v>72</v>
      </c>
      <c r="D11526">
        <v>9101</v>
      </c>
      <c r="E11526">
        <v>2020</v>
      </c>
      <c r="F11526">
        <v>5</v>
      </c>
      <c r="G11526">
        <v>22124</v>
      </c>
      <c r="H11526" s="1" t="s">
        <v>1828</v>
      </c>
      <c r="I11526">
        <v>6</v>
      </c>
      <c r="J11526">
        <f>IF($H11526=0,1,IF($I11526&lt;=1,2,0))</f>
        <v>0</v>
      </c>
      <c r="K11526">
        <v>5</v>
      </c>
      <c r="L11526">
        <f>IF(AND($J11526=0,$K11526=0),0,1)</f>
        <v>1</v>
      </c>
    </row>
    <row r="11527" spans="1:12" x14ac:dyDescent="0.2">
      <c r="A11527" t="s">
        <v>218</v>
      </c>
      <c r="B11527" t="s">
        <v>71</v>
      </c>
      <c r="C11527" t="s">
        <v>72</v>
      </c>
      <c r="D11527">
        <v>9101</v>
      </c>
      <c r="E11527">
        <v>2020</v>
      </c>
      <c r="F11527">
        <v>4</v>
      </c>
      <c r="G11527">
        <v>22123</v>
      </c>
      <c r="H11527" s="1" t="s">
        <v>1828</v>
      </c>
      <c r="I11527">
        <v>4</v>
      </c>
      <c r="J11527">
        <f>IF($H11527=0,1,IF($I11527&lt;=1,2,0))</f>
        <v>0</v>
      </c>
      <c r="K11527">
        <v>5</v>
      </c>
      <c r="L11527">
        <f>IF(AND($J11527=0,$K11527=0),0,1)</f>
        <v>1</v>
      </c>
    </row>
    <row r="11528" spans="1:12" x14ac:dyDescent="0.2">
      <c r="A11528" t="s">
        <v>218</v>
      </c>
      <c r="B11528" t="s">
        <v>71</v>
      </c>
      <c r="C11528" t="s">
        <v>72</v>
      </c>
      <c r="D11528">
        <v>9101</v>
      </c>
      <c r="E11528">
        <v>2020</v>
      </c>
      <c r="F11528">
        <v>15</v>
      </c>
      <c r="G11528">
        <v>22233</v>
      </c>
      <c r="H11528" s="1" t="s">
        <v>1828</v>
      </c>
      <c r="I11528">
        <v>4</v>
      </c>
      <c r="J11528">
        <f>IF($H11528=0,1,IF($I11528&lt;=1,2,0))</f>
        <v>0</v>
      </c>
      <c r="K11528">
        <v>5</v>
      </c>
      <c r="L11528">
        <f>IF(AND($J11528=0,$K11528=0),0,1)</f>
        <v>1</v>
      </c>
    </row>
    <row r="11529" spans="1:12" x14ac:dyDescent="0.2">
      <c r="A11529" t="s">
        <v>218</v>
      </c>
      <c r="B11529" t="s">
        <v>71</v>
      </c>
      <c r="C11529" t="s">
        <v>72</v>
      </c>
      <c r="D11529">
        <v>9101</v>
      </c>
      <c r="E11529">
        <v>2020</v>
      </c>
      <c r="F11529">
        <v>8</v>
      </c>
      <c r="G11529">
        <v>22226</v>
      </c>
      <c r="H11529" s="1" t="s">
        <v>1828</v>
      </c>
      <c r="I11529">
        <v>3</v>
      </c>
      <c r="J11529">
        <f>IF($H11529=0,1,IF($I11529&lt;=1,2,0))</f>
        <v>0</v>
      </c>
      <c r="K11529">
        <v>5</v>
      </c>
      <c r="L11529">
        <f>IF(AND($J11529=0,$K11529=0),0,1)</f>
        <v>1</v>
      </c>
    </row>
    <row r="11530" spans="1:12" x14ac:dyDescent="0.2">
      <c r="A11530" t="s">
        <v>218</v>
      </c>
      <c r="B11530" t="s">
        <v>71</v>
      </c>
      <c r="C11530" t="s">
        <v>72</v>
      </c>
      <c r="D11530">
        <v>9101</v>
      </c>
      <c r="E11530">
        <v>2020</v>
      </c>
      <c r="F11530">
        <v>2</v>
      </c>
      <c r="G11530">
        <v>22121</v>
      </c>
      <c r="H11530" s="1" t="s">
        <v>1828</v>
      </c>
      <c r="I11530">
        <v>2</v>
      </c>
      <c r="J11530">
        <f>IF($H11530=0,1,IF($I11530&lt;=1,2,0))</f>
        <v>0</v>
      </c>
      <c r="K11530">
        <v>5</v>
      </c>
      <c r="L11530">
        <f>IF(AND($J11530=0,$K11530=0),0,1)</f>
        <v>1</v>
      </c>
    </row>
    <row r="11531" spans="1:12" x14ac:dyDescent="0.2">
      <c r="A11531" t="s">
        <v>218</v>
      </c>
      <c r="B11531" t="s">
        <v>71</v>
      </c>
      <c r="C11531" t="s">
        <v>72</v>
      </c>
      <c r="D11531">
        <v>9101</v>
      </c>
      <c r="E11531">
        <v>2020</v>
      </c>
      <c r="F11531">
        <v>9</v>
      </c>
      <c r="G11531">
        <v>22227</v>
      </c>
      <c r="H11531" s="1" t="s">
        <v>1828</v>
      </c>
      <c r="I11531">
        <v>2</v>
      </c>
      <c r="J11531">
        <f>IF($H11531=0,1,IF($I11531&lt;=1,2,0))</f>
        <v>0</v>
      </c>
      <c r="K11531">
        <v>5</v>
      </c>
      <c r="L11531">
        <f>IF(AND($J11531=0,$K11531=0),0,1)</f>
        <v>1</v>
      </c>
    </row>
    <row r="11532" spans="1:12" x14ac:dyDescent="0.2">
      <c r="A11532" t="s">
        <v>218</v>
      </c>
      <c r="B11532" t="s">
        <v>71</v>
      </c>
      <c r="C11532" t="s">
        <v>72</v>
      </c>
      <c r="D11532">
        <v>9101</v>
      </c>
      <c r="E11532">
        <v>2020</v>
      </c>
      <c r="F11532">
        <v>16</v>
      </c>
      <c r="G11532">
        <v>22234</v>
      </c>
      <c r="H11532" s="1" t="s">
        <v>1828</v>
      </c>
      <c r="I11532">
        <v>2</v>
      </c>
      <c r="J11532">
        <f>IF($H11532=0,1,IF($I11532&lt;=1,2,0))</f>
        <v>0</v>
      </c>
      <c r="K11532">
        <v>5</v>
      </c>
      <c r="L11532">
        <f>IF(AND($J11532=0,$K11532=0),0,1)</f>
        <v>1</v>
      </c>
    </row>
    <row r="11533" spans="1:12" x14ac:dyDescent="0.2">
      <c r="A11533" t="s">
        <v>218</v>
      </c>
      <c r="B11533" t="s">
        <v>71</v>
      </c>
      <c r="C11533" t="s">
        <v>72</v>
      </c>
      <c r="D11533">
        <v>9101</v>
      </c>
      <c r="E11533">
        <v>2020</v>
      </c>
      <c r="F11533">
        <v>18</v>
      </c>
      <c r="G11533">
        <v>24703</v>
      </c>
      <c r="H11533" s="1" t="s">
        <v>1828</v>
      </c>
      <c r="I11533">
        <v>2</v>
      </c>
      <c r="J11533">
        <f>IF($H11533=0,1,IF($I11533&lt;=1,2,0))</f>
        <v>0</v>
      </c>
      <c r="K11533">
        <v>5</v>
      </c>
      <c r="L11533">
        <f>IF(AND($J11533=0,$K11533=0),0,1)</f>
        <v>1</v>
      </c>
    </row>
    <row r="11534" spans="1:12" x14ac:dyDescent="0.2">
      <c r="A11534" t="s">
        <v>218</v>
      </c>
      <c r="B11534" t="s">
        <v>71</v>
      </c>
      <c r="C11534" t="s">
        <v>72</v>
      </c>
      <c r="D11534">
        <v>9101</v>
      </c>
      <c r="E11534">
        <v>2020</v>
      </c>
      <c r="F11534">
        <v>1</v>
      </c>
      <c r="G11534">
        <v>22120</v>
      </c>
      <c r="H11534" s="1" t="s">
        <v>1828</v>
      </c>
      <c r="I11534">
        <v>1</v>
      </c>
      <c r="J11534">
        <f>IF($H11534=0,1,IF($I11534&lt;=1,2,0))</f>
        <v>2</v>
      </c>
      <c r="K11534">
        <v>5</v>
      </c>
      <c r="L11534">
        <f>IF(AND($J11534=0,$K11534=0),0,1)</f>
        <v>1</v>
      </c>
    </row>
    <row r="11535" spans="1:12" x14ac:dyDescent="0.2">
      <c r="A11535" t="s">
        <v>218</v>
      </c>
      <c r="B11535" t="s">
        <v>71</v>
      </c>
      <c r="C11535" t="s">
        <v>72</v>
      </c>
      <c r="D11535">
        <v>9101</v>
      </c>
      <c r="E11535">
        <v>2020</v>
      </c>
      <c r="F11535">
        <v>3</v>
      </c>
      <c r="G11535">
        <v>22122</v>
      </c>
      <c r="H11535" s="1" t="s">
        <v>1828</v>
      </c>
      <c r="I11535">
        <v>1</v>
      </c>
      <c r="J11535">
        <f>IF($H11535=0,1,IF($I11535&lt;=1,2,0))</f>
        <v>2</v>
      </c>
      <c r="K11535">
        <v>5</v>
      </c>
      <c r="L11535">
        <f>IF(AND($J11535=0,$K11535=0),0,1)</f>
        <v>1</v>
      </c>
    </row>
    <row r="11536" spans="1:12" x14ac:dyDescent="0.2">
      <c r="A11536" t="s">
        <v>218</v>
      </c>
      <c r="B11536" t="s">
        <v>71</v>
      </c>
      <c r="C11536" t="s">
        <v>72</v>
      </c>
      <c r="D11536">
        <v>9101</v>
      </c>
      <c r="E11536">
        <v>2020</v>
      </c>
      <c r="F11536">
        <v>6</v>
      </c>
      <c r="G11536">
        <v>22125</v>
      </c>
      <c r="H11536" s="1" t="s">
        <v>1828</v>
      </c>
      <c r="I11536">
        <v>1</v>
      </c>
      <c r="J11536">
        <f>IF($H11536=0,1,IF($I11536&lt;=1,2,0))</f>
        <v>2</v>
      </c>
      <c r="K11536">
        <v>5</v>
      </c>
      <c r="L11536">
        <f>IF(AND($J11536=0,$K11536=0),0,1)</f>
        <v>1</v>
      </c>
    </row>
    <row r="11537" spans="1:12" x14ac:dyDescent="0.2">
      <c r="A11537" t="s">
        <v>218</v>
      </c>
      <c r="B11537" t="s">
        <v>71</v>
      </c>
      <c r="C11537" t="s">
        <v>72</v>
      </c>
      <c r="D11537">
        <v>9101</v>
      </c>
      <c r="E11537">
        <v>2020</v>
      </c>
      <c r="F11537">
        <v>7</v>
      </c>
      <c r="G11537">
        <v>22225</v>
      </c>
      <c r="H11537" s="1" t="s">
        <v>1828</v>
      </c>
      <c r="I11537">
        <v>1</v>
      </c>
      <c r="J11537">
        <f>IF($H11537=0,1,IF($I11537&lt;=1,2,0))</f>
        <v>2</v>
      </c>
      <c r="K11537">
        <v>5</v>
      </c>
      <c r="L11537">
        <f>IF(AND($J11537=0,$K11537=0),0,1)</f>
        <v>1</v>
      </c>
    </row>
    <row r="11538" spans="1:12" x14ac:dyDescent="0.2">
      <c r="A11538" t="s">
        <v>218</v>
      </c>
      <c r="B11538" t="s">
        <v>71</v>
      </c>
      <c r="C11538" t="s">
        <v>72</v>
      </c>
      <c r="D11538">
        <v>9101</v>
      </c>
      <c r="E11538">
        <v>2020</v>
      </c>
      <c r="F11538">
        <v>14</v>
      </c>
      <c r="G11538">
        <v>22232</v>
      </c>
      <c r="H11538" s="1" t="s">
        <v>1828</v>
      </c>
      <c r="I11538">
        <v>1</v>
      </c>
      <c r="J11538">
        <f>IF($H11538=0,1,IF($I11538&lt;=1,2,0))</f>
        <v>2</v>
      </c>
      <c r="K11538">
        <v>5</v>
      </c>
      <c r="L11538">
        <f>IF(AND($J11538=0,$K11538=0),0,1)</f>
        <v>1</v>
      </c>
    </row>
    <row r="11539" spans="1:12" x14ac:dyDescent="0.2">
      <c r="A11539" t="s">
        <v>218</v>
      </c>
      <c r="B11539" t="s">
        <v>71</v>
      </c>
      <c r="C11539" t="s">
        <v>72</v>
      </c>
      <c r="D11539">
        <v>9101</v>
      </c>
      <c r="E11539">
        <v>2020</v>
      </c>
      <c r="F11539">
        <v>17</v>
      </c>
      <c r="G11539">
        <v>22235</v>
      </c>
      <c r="H11539" s="1" t="s">
        <v>1828</v>
      </c>
      <c r="I11539">
        <v>1</v>
      </c>
      <c r="J11539">
        <f>IF($H11539=0,1,IF($I11539&lt;=1,2,0))</f>
        <v>2</v>
      </c>
      <c r="K11539">
        <v>5</v>
      </c>
      <c r="L11539">
        <f>IF(AND($J11539=0,$K11539=0),0,1)</f>
        <v>1</v>
      </c>
    </row>
    <row r="11540" spans="1:12" x14ac:dyDescent="0.2">
      <c r="A11540" t="s">
        <v>218</v>
      </c>
      <c r="B11540" t="s">
        <v>71</v>
      </c>
      <c r="C11540" t="s">
        <v>72</v>
      </c>
      <c r="D11540">
        <v>9101</v>
      </c>
      <c r="E11540">
        <v>2020</v>
      </c>
      <c r="F11540">
        <v>10</v>
      </c>
      <c r="G11540">
        <v>22228</v>
      </c>
      <c r="H11540" s="1" t="s">
        <v>1828</v>
      </c>
      <c r="I11540">
        <v>0</v>
      </c>
      <c r="J11540">
        <f>IF($H11540=0,1,IF($I11540&lt;=1,2,0))</f>
        <v>2</v>
      </c>
      <c r="K11540">
        <v>5</v>
      </c>
      <c r="L11540">
        <f>IF(AND($J11540=0,$K11540=0),0,1)</f>
        <v>1</v>
      </c>
    </row>
    <row r="11541" spans="1:12" x14ac:dyDescent="0.2">
      <c r="A11541" t="s">
        <v>218</v>
      </c>
      <c r="B11541" t="s">
        <v>71</v>
      </c>
      <c r="C11541" t="s">
        <v>72</v>
      </c>
      <c r="D11541">
        <v>9101</v>
      </c>
      <c r="E11541">
        <v>2020</v>
      </c>
      <c r="F11541">
        <v>11</v>
      </c>
      <c r="G11541">
        <v>22229</v>
      </c>
      <c r="H11541" s="1" t="s">
        <v>1828</v>
      </c>
      <c r="I11541">
        <v>0</v>
      </c>
      <c r="J11541">
        <f>IF($H11541=0,1,IF($I11541&lt;=1,2,0))</f>
        <v>2</v>
      </c>
      <c r="K11541">
        <v>5</v>
      </c>
      <c r="L11541">
        <f>IF(AND($J11541=0,$K11541=0),0,1)</f>
        <v>1</v>
      </c>
    </row>
    <row r="11542" spans="1:12" x14ac:dyDescent="0.2">
      <c r="A11542" t="s">
        <v>218</v>
      </c>
      <c r="B11542" t="s">
        <v>71</v>
      </c>
      <c r="C11542" t="s">
        <v>72</v>
      </c>
      <c r="D11542">
        <v>9500</v>
      </c>
      <c r="E11542">
        <v>2020</v>
      </c>
      <c r="F11542">
        <v>1</v>
      </c>
      <c r="G11542">
        <v>13577</v>
      </c>
      <c r="H11542" s="1">
        <v>0</v>
      </c>
      <c r="I11542">
        <v>3</v>
      </c>
      <c r="J11542">
        <f>IF($H11542=0,1,IF($I11542&lt;=1,2,0))</f>
        <v>1</v>
      </c>
      <c r="K11542">
        <v>5</v>
      </c>
      <c r="L11542">
        <f>IF(AND($J11542=0,$K11542=0),0,1)</f>
        <v>1</v>
      </c>
    </row>
    <row r="11543" spans="1:12" x14ac:dyDescent="0.2">
      <c r="A11543" t="s">
        <v>218</v>
      </c>
      <c r="B11543" t="s">
        <v>71</v>
      </c>
      <c r="C11543" t="s">
        <v>72</v>
      </c>
      <c r="D11543">
        <v>9800</v>
      </c>
      <c r="E11543">
        <v>2020</v>
      </c>
      <c r="F11543">
        <v>5</v>
      </c>
      <c r="G11543">
        <v>24533</v>
      </c>
      <c r="H11543" s="1" t="s">
        <v>1838</v>
      </c>
      <c r="I11543">
        <v>1</v>
      </c>
      <c r="J11543">
        <f>IF($H11543=0,1,IF($I11543&lt;=1,2,0))</f>
        <v>2</v>
      </c>
      <c r="K11543">
        <v>5</v>
      </c>
      <c r="L11543">
        <f>IF(AND($J11543=0,$K11543=0),0,1)</f>
        <v>1</v>
      </c>
    </row>
    <row r="11544" spans="1:12" x14ac:dyDescent="0.2">
      <c r="A11544" t="s">
        <v>218</v>
      </c>
      <c r="B11544" t="s">
        <v>71</v>
      </c>
      <c r="C11544" t="s">
        <v>72</v>
      </c>
      <c r="D11544">
        <v>9800</v>
      </c>
      <c r="E11544">
        <v>2020</v>
      </c>
      <c r="F11544">
        <v>1</v>
      </c>
      <c r="G11544">
        <v>24529</v>
      </c>
      <c r="H11544" s="1" t="s">
        <v>1838</v>
      </c>
      <c r="I11544">
        <v>0</v>
      </c>
      <c r="J11544">
        <f>IF($H11544=0,1,IF($I11544&lt;=1,2,0))</f>
        <v>2</v>
      </c>
      <c r="K11544">
        <v>5</v>
      </c>
      <c r="L11544">
        <f>IF(AND($J11544=0,$K11544=0),0,1)</f>
        <v>1</v>
      </c>
    </row>
    <row r="11545" spans="1:12" x14ac:dyDescent="0.2">
      <c r="A11545" t="s">
        <v>218</v>
      </c>
      <c r="B11545" t="s">
        <v>71</v>
      </c>
      <c r="C11545" t="s">
        <v>72</v>
      </c>
      <c r="D11545">
        <v>9800</v>
      </c>
      <c r="E11545">
        <v>2020</v>
      </c>
      <c r="F11545">
        <v>2</v>
      </c>
      <c r="G11545">
        <v>24530</v>
      </c>
      <c r="H11545" s="1" t="s">
        <v>1838</v>
      </c>
      <c r="I11545">
        <v>0</v>
      </c>
      <c r="J11545">
        <f>IF($H11545=0,1,IF($I11545&lt;=1,2,0))</f>
        <v>2</v>
      </c>
      <c r="K11545">
        <v>5</v>
      </c>
      <c r="L11545">
        <f>IF(AND($J11545=0,$K11545=0),0,1)</f>
        <v>1</v>
      </c>
    </row>
    <row r="11546" spans="1:12" x14ac:dyDescent="0.2">
      <c r="A11546" t="s">
        <v>218</v>
      </c>
      <c r="B11546" t="s">
        <v>71</v>
      </c>
      <c r="C11546" t="s">
        <v>72</v>
      </c>
      <c r="D11546">
        <v>9800</v>
      </c>
      <c r="E11546">
        <v>2020</v>
      </c>
      <c r="F11546">
        <v>3</v>
      </c>
      <c r="G11546">
        <v>24531</v>
      </c>
      <c r="H11546" s="1" t="s">
        <v>1838</v>
      </c>
      <c r="I11546">
        <v>0</v>
      </c>
      <c r="J11546">
        <f>IF($H11546=0,1,IF($I11546&lt;=1,2,0))</f>
        <v>2</v>
      </c>
      <c r="K11546">
        <v>5</v>
      </c>
      <c r="L11546">
        <f>IF(AND($J11546=0,$K11546=0),0,1)</f>
        <v>1</v>
      </c>
    </row>
    <row r="11547" spans="1:12" x14ac:dyDescent="0.2">
      <c r="A11547" t="s">
        <v>218</v>
      </c>
      <c r="B11547" t="s">
        <v>71</v>
      </c>
      <c r="C11547" t="s">
        <v>72</v>
      </c>
      <c r="D11547">
        <v>9800</v>
      </c>
      <c r="E11547">
        <v>2020</v>
      </c>
      <c r="F11547">
        <v>4</v>
      </c>
      <c r="G11547">
        <v>24532</v>
      </c>
      <c r="H11547" s="1" t="s">
        <v>1838</v>
      </c>
      <c r="I11547">
        <v>0</v>
      </c>
      <c r="J11547">
        <f>IF($H11547=0,1,IF($I11547&lt;=1,2,0))</f>
        <v>2</v>
      </c>
      <c r="K11547">
        <v>5</v>
      </c>
      <c r="L11547">
        <f>IF(AND($J11547=0,$K11547=0),0,1)</f>
        <v>1</v>
      </c>
    </row>
    <row r="11548" spans="1:12" x14ac:dyDescent="0.2">
      <c r="A11548" t="s">
        <v>218</v>
      </c>
      <c r="B11548" t="s">
        <v>71</v>
      </c>
      <c r="C11548" t="s">
        <v>72</v>
      </c>
      <c r="D11548">
        <v>9800</v>
      </c>
      <c r="E11548">
        <v>2020</v>
      </c>
      <c r="F11548">
        <v>6</v>
      </c>
      <c r="G11548">
        <v>25107</v>
      </c>
      <c r="H11548" s="1" t="s">
        <v>1838</v>
      </c>
      <c r="I11548">
        <v>0</v>
      </c>
      <c r="J11548">
        <f>IF($H11548=0,1,IF($I11548&lt;=1,2,0))</f>
        <v>2</v>
      </c>
      <c r="K11548">
        <v>5</v>
      </c>
      <c r="L11548">
        <f>IF(AND($J11548=0,$K11548=0),0,1)</f>
        <v>1</v>
      </c>
    </row>
    <row r="11549" spans="1:12" x14ac:dyDescent="0.2">
      <c r="A11549" t="s">
        <v>218</v>
      </c>
      <c r="B11549" t="s">
        <v>71</v>
      </c>
      <c r="C11549" t="s">
        <v>72</v>
      </c>
      <c r="D11549">
        <v>9800</v>
      </c>
      <c r="E11549">
        <v>2020</v>
      </c>
      <c r="F11549">
        <v>7</v>
      </c>
      <c r="G11549">
        <v>25108</v>
      </c>
      <c r="H11549" s="1" t="s">
        <v>1838</v>
      </c>
      <c r="I11549">
        <v>0</v>
      </c>
      <c r="J11549">
        <f>IF($H11549=0,1,IF($I11549&lt;=1,2,0))</f>
        <v>2</v>
      </c>
      <c r="K11549">
        <v>5</v>
      </c>
      <c r="L11549">
        <f>IF(AND($J11549=0,$K11549=0),0,1)</f>
        <v>1</v>
      </c>
    </row>
    <row r="11550" spans="1:12" x14ac:dyDescent="0.2">
      <c r="A11550" t="s">
        <v>218</v>
      </c>
      <c r="B11550" t="s">
        <v>71</v>
      </c>
      <c r="C11550" t="s">
        <v>72</v>
      </c>
      <c r="D11550">
        <v>9800</v>
      </c>
      <c r="E11550">
        <v>2020</v>
      </c>
      <c r="F11550">
        <v>8</v>
      </c>
      <c r="G11550">
        <v>25109</v>
      </c>
      <c r="H11550" s="1" t="s">
        <v>1838</v>
      </c>
      <c r="I11550">
        <v>0</v>
      </c>
      <c r="J11550">
        <f>IF($H11550=0,1,IF($I11550&lt;=1,2,0))</f>
        <v>2</v>
      </c>
      <c r="K11550">
        <v>5</v>
      </c>
      <c r="L11550">
        <f>IF(AND($J11550=0,$K11550=0),0,1)</f>
        <v>1</v>
      </c>
    </row>
    <row r="11551" spans="1:12" x14ac:dyDescent="0.2">
      <c r="A11551" t="s">
        <v>218</v>
      </c>
      <c r="B11551" t="s">
        <v>71</v>
      </c>
      <c r="C11551" t="s">
        <v>72</v>
      </c>
      <c r="D11551">
        <v>9800</v>
      </c>
      <c r="E11551">
        <v>2020</v>
      </c>
      <c r="F11551">
        <v>9</v>
      </c>
      <c r="G11551">
        <v>25110</v>
      </c>
      <c r="H11551" s="1" t="s">
        <v>1838</v>
      </c>
      <c r="I11551">
        <v>0</v>
      </c>
      <c r="J11551">
        <f>IF($H11551=0,1,IF($I11551&lt;=1,2,0))</f>
        <v>2</v>
      </c>
      <c r="K11551">
        <v>5</v>
      </c>
      <c r="L11551">
        <f>IF(AND($J11551=0,$K11551=0),0,1)</f>
        <v>1</v>
      </c>
    </row>
    <row r="11552" spans="1:12" x14ac:dyDescent="0.2">
      <c r="A11552" t="s">
        <v>218</v>
      </c>
      <c r="B11552" t="s">
        <v>71</v>
      </c>
      <c r="C11552" t="s">
        <v>72</v>
      </c>
      <c r="D11552">
        <v>9800</v>
      </c>
      <c r="E11552">
        <v>2020</v>
      </c>
      <c r="F11552">
        <v>10</v>
      </c>
      <c r="G11552">
        <v>25111</v>
      </c>
      <c r="H11552" s="1" t="s">
        <v>1838</v>
      </c>
      <c r="I11552">
        <v>0</v>
      </c>
      <c r="J11552">
        <f>IF($H11552=0,1,IF($I11552&lt;=1,2,0))</f>
        <v>2</v>
      </c>
      <c r="K11552">
        <v>5</v>
      </c>
      <c r="L11552">
        <f>IF(AND($J11552=0,$K11552=0),0,1)</f>
        <v>1</v>
      </c>
    </row>
    <row r="11553" spans="1:12" x14ac:dyDescent="0.2">
      <c r="A11553" t="s">
        <v>218</v>
      </c>
      <c r="B11553" t="s">
        <v>71</v>
      </c>
      <c r="C11553" t="s">
        <v>72</v>
      </c>
      <c r="D11553">
        <v>9800</v>
      </c>
      <c r="E11553">
        <v>2020</v>
      </c>
      <c r="F11553">
        <v>11</v>
      </c>
      <c r="G11553">
        <v>25112</v>
      </c>
      <c r="H11553" s="1" t="s">
        <v>1838</v>
      </c>
      <c r="I11553">
        <v>0</v>
      </c>
      <c r="J11553">
        <f>IF($H11553=0,1,IF($I11553&lt;=1,2,0))</f>
        <v>2</v>
      </c>
      <c r="K11553">
        <v>5</v>
      </c>
      <c r="L11553">
        <f>IF(AND($J11553=0,$K11553=0),0,1)</f>
        <v>1</v>
      </c>
    </row>
    <row r="11554" spans="1:12" x14ac:dyDescent="0.2">
      <c r="A11554" t="s">
        <v>218</v>
      </c>
      <c r="B11554" t="s">
        <v>71</v>
      </c>
      <c r="C11554" t="s">
        <v>72</v>
      </c>
      <c r="D11554">
        <v>9800</v>
      </c>
      <c r="E11554">
        <v>2020</v>
      </c>
      <c r="F11554">
        <v>12</v>
      </c>
      <c r="G11554">
        <v>25113</v>
      </c>
      <c r="H11554" s="1" t="s">
        <v>1838</v>
      </c>
      <c r="I11554">
        <v>0</v>
      </c>
      <c r="J11554">
        <f>IF($H11554=0,1,IF($I11554&lt;=1,2,0))</f>
        <v>2</v>
      </c>
      <c r="K11554">
        <v>5</v>
      </c>
      <c r="L11554">
        <f>IF(AND($J11554=0,$K11554=0),0,1)</f>
        <v>1</v>
      </c>
    </row>
    <row r="11555" spans="1:12" x14ac:dyDescent="0.2">
      <c r="A11555" t="s">
        <v>218</v>
      </c>
      <c r="B11555" t="s">
        <v>71</v>
      </c>
      <c r="C11555" t="s">
        <v>72</v>
      </c>
      <c r="D11555">
        <v>9800</v>
      </c>
      <c r="E11555">
        <v>2020</v>
      </c>
      <c r="F11555">
        <v>13</v>
      </c>
      <c r="G11555">
        <v>25114</v>
      </c>
      <c r="H11555" s="1" t="s">
        <v>1838</v>
      </c>
      <c r="I11555">
        <v>0</v>
      </c>
      <c r="J11555">
        <f>IF($H11555=0,1,IF($I11555&lt;=1,2,0))</f>
        <v>2</v>
      </c>
      <c r="K11555">
        <v>5</v>
      </c>
      <c r="L11555">
        <f>IF(AND($J11555=0,$K11555=0),0,1)</f>
        <v>1</v>
      </c>
    </row>
    <row r="11556" spans="1:12" x14ac:dyDescent="0.2">
      <c r="A11556" t="s">
        <v>218</v>
      </c>
      <c r="B11556" t="s">
        <v>71</v>
      </c>
      <c r="C11556" t="s">
        <v>72</v>
      </c>
      <c r="D11556">
        <v>9800</v>
      </c>
      <c r="E11556">
        <v>2020</v>
      </c>
      <c r="F11556">
        <v>14</v>
      </c>
      <c r="G11556">
        <v>25115</v>
      </c>
      <c r="H11556" s="1" t="s">
        <v>1838</v>
      </c>
      <c r="I11556">
        <v>0</v>
      </c>
      <c r="J11556">
        <f>IF($H11556=0,1,IF($I11556&lt;=1,2,0))</f>
        <v>2</v>
      </c>
      <c r="K11556">
        <v>5</v>
      </c>
      <c r="L11556">
        <f>IF(AND($J11556=0,$K11556=0),0,1)</f>
        <v>1</v>
      </c>
    </row>
    <row r="11557" spans="1:12" x14ac:dyDescent="0.2">
      <c r="A11557" t="s">
        <v>218</v>
      </c>
      <c r="B11557" t="s">
        <v>71</v>
      </c>
      <c r="C11557" t="s">
        <v>72</v>
      </c>
      <c r="D11557">
        <v>9800</v>
      </c>
      <c r="E11557">
        <v>2020</v>
      </c>
      <c r="F11557">
        <v>15</v>
      </c>
      <c r="G11557">
        <v>25116</v>
      </c>
      <c r="H11557" s="1" t="s">
        <v>1838</v>
      </c>
      <c r="I11557">
        <v>0</v>
      </c>
      <c r="J11557">
        <f>IF($H11557=0,1,IF($I11557&lt;=1,2,0))</f>
        <v>2</v>
      </c>
      <c r="K11557">
        <v>5</v>
      </c>
      <c r="L11557">
        <f>IF(AND($J11557=0,$K11557=0),0,1)</f>
        <v>1</v>
      </c>
    </row>
    <row r="11558" spans="1:12" x14ac:dyDescent="0.2">
      <c r="A11558" t="s">
        <v>218</v>
      </c>
      <c r="B11558" t="s">
        <v>71</v>
      </c>
      <c r="C11558" t="s">
        <v>72</v>
      </c>
      <c r="D11558">
        <v>9800</v>
      </c>
      <c r="E11558">
        <v>2020</v>
      </c>
      <c r="F11558">
        <v>16</v>
      </c>
      <c r="G11558">
        <v>25117</v>
      </c>
      <c r="H11558" s="1" t="s">
        <v>1838</v>
      </c>
      <c r="I11558">
        <v>0</v>
      </c>
      <c r="J11558">
        <f>IF($H11558=0,1,IF($I11558&lt;=1,2,0))</f>
        <v>2</v>
      </c>
      <c r="K11558">
        <v>5</v>
      </c>
      <c r="L11558">
        <f>IF(AND($J11558=0,$K11558=0),0,1)</f>
        <v>1</v>
      </c>
    </row>
    <row r="11559" spans="1:12" x14ac:dyDescent="0.2">
      <c r="A11559" t="s">
        <v>218</v>
      </c>
      <c r="B11559" t="s">
        <v>71</v>
      </c>
      <c r="C11559" t="s">
        <v>72</v>
      </c>
      <c r="D11559">
        <v>9900</v>
      </c>
      <c r="E11559">
        <v>2020</v>
      </c>
      <c r="F11559">
        <v>11</v>
      </c>
      <c r="G11559">
        <v>25101</v>
      </c>
      <c r="H11559" s="1">
        <v>0</v>
      </c>
      <c r="I11559">
        <v>1</v>
      </c>
      <c r="J11559">
        <f>IF($H11559=0,1,IF($I11559&lt;=1,2,0))</f>
        <v>1</v>
      </c>
      <c r="K11559">
        <v>5</v>
      </c>
      <c r="L11559">
        <f>IF(AND($J11559=0,$K11559=0),0,1)</f>
        <v>1</v>
      </c>
    </row>
    <row r="11560" spans="1:12" x14ac:dyDescent="0.2">
      <c r="A11560" t="s">
        <v>218</v>
      </c>
      <c r="B11560" t="s">
        <v>71</v>
      </c>
      <c r="C11560" t="s">
        <v>72</v>
      </c>
      <c r="D11560">
        <v>9900</v>
      </c>
      <c r="E11560">
        <v>2020</v>
      </c>
      <c r="F11560">
        <v>1</v>
      </c>
      <c r="G11560">
        <v>25091</v>
      </c>
      <c r="H11560" s="1">
        <v>0</v>
      </c>
      <c r="I11560">
        <v>0</v>
      </c>
      <c r="J11560">
        <f>IF($H11560=0,1,IF($I11560&lt;=1,2,0))</f>
        <v>1</v>
      </c>
      <c r="K11560">
        <v>5</v>
      </c>
      <c r="L11560">
        <f>IF(AND($J11560=0,$K11560=0),0,1)</f>
        <v>1</v>
      </c>
    </row>
    <row r="11561" spans="1:12" x14ac:dyDescent="0.2">
      <c r="A11561" t="s">
        <v>218</v>
      </c>
      <c r="B11561" t="s">
        <v>71</v>
      </c>
      <c r="C11561" t="s">
        <v>72</v>
      </c>
      <c r="D11561">
        <v>9900</v>
      </c>
      <c r="E11561">
        <v>2020</v>
      </c>
      <c r="F11561">
        <v>2</v>
      </c>
      <c r="G11561">
        <v>25092</v>
      </c>
      <c r="H11561" s="1">
        <v>0</v>
      </c>
      <c r="I11561">
        <v>0</v>
      </c>
      <c r="J11561">
        <f>IF($H11561=0,1,IF($I11561&lt;=1,2,0))</f>
        <v>1</v>
      </c>
      <c r="K11561">
        <v>5</v>
      </c>
      <c r="L11561">
        <f>IF(AND($J11561=0,$K11561=0),0,1)</f>
        <v>1</v>
      </c>
    </row>
    <row r="11562" spans="1:12" x14ac:dyDescent="0.2">
      <c r="A11562" t="s">
        <v>218</v>
      </c>
      <c r="B11562" t="s">
        <v>71</v>
      </c>
      <c r="C11562" t="s">
        <v>72</v>
      </c>
      <c r="D11562">
        <v>9900</v>
      </c>
      <c r="E11562">
        <v>2020</v>
      </c>
      <c r="F11562">
        <v>3</v>
      </c>
      <c r="G11562">
        <v>25093</v>
      </c>
      <c r="H11562" s="1">
        <v>0</v>
      </c>
      <c r="I11562">
        <v>0</v>
      </c>
      <c r="J11562">
        <f>IF($H11562=0,1,IF($I11562&lt;=1,2,0))</f>
        <v>1</v>
      </c>
      <c r="K11562">
        <v>5</v>
      </c>
      <c r="L11562">
        <f>IF(AND($J11562=0,$K11562=0),0,1)</f>
        <v>1</v>
      </c>
    </row>
    <row r="11563" spans="1:12" x14ac:dyDescent="0.2">
      <c r="A11563" t="s">
        <v>218</v>
      </c>
      <c r="B11563" t="s">
        <v>71</v>
      </c>
      <c r="C11563" t="s">
        <v>72</v>
      </c>
      <c r="D11563">
        <v>9900</v>
      </c>
      <c r="E11563">
        <v>2020</v>
      </c>
      <c r="F11563">
        <v>4</v>
      </c>
      <c r="G11563">
        <v>25094</v>
      </c>
      <c r="H11563" s="1">
        <v>0</v>
      </c>
      <c r="I11563">
        <v>0</v>
      </c>
      <c r="J11563">
        <f>IF($H11563=0,1,IF($I11563&lt;=1,2,0))</f>
        <v>1</v>
      </c>
      <c r="K11563">
        <v>5</v>
      </c>
      <c r="L11563">
        <f>IF(AND($J11563=0,$K11563=0),0,1)</f>
        <v>1</v>
      </c>
    </row>
    <row r="11564" spans="1:12" x14ac:dyDescent="0.2">
      <c r="A11564" t="s">
        <v>218</v>
      </c>
      <c r="B11564" t="s">
        <v>71</v>
      </c>
      <c r="C11564" t="s">
        <v>72</v>
      </c>
      <c r="D11564">
        <v>9900</v>
      </c>
      <c r="E11564">
        <v>2020</v>
      </c>
      <c r="F11564">
        <v>5</v>
      </c>
      <c r="G11564">
        <v>25095</v>
      </c>
      <c r="H11564" s="1">
        <v>0</v>
      </c>
      <c r="I11564">
        <v>0</v>
      </c>
      <c r="J11564">
        <f>IF($H11564=0,1,IF($I11564&lt;=1,2,0))</f>
        <v>1</v>
      </c>
      <c r="K11564">
        <v>5</v>
      </c>
      <c r="L11564">
        <f>IF(AND($J11564=0,$K11564=0),0,1)</f>
        <v>1</v>
      </c>
    </row>
    <row r="11565" spans="1:12" x14ac:dyDescent="0.2">
      <c r="A11565" t="s">
        <v>218</v>
      </c>
      <c r="B11565" t="s">
        <v>71</v>
      </c>
      <c r="C11565" t="s">
        <v>72</v>
      </c>
      <c r="D11565">
        <v>9900</v>
      </c>
      <c r="E11565">
        <v>2020</v>
      </c>
      <c r="F11565">
        <v>6</v>
      </c>
      <c r="G11565">
        <v>25096</v>
      </c>
      <c r="H11565" s="1">
        <v>0</v>
      </c>
      <c r="I11565">
        <v>0</v>
      </c>
      <c r="J11565">
        <f>IF($H11565=0,1,IF($I11565&lt;=1,2,0))</f>
        <v>1</v>
      </c>
      <c r="K11565">
        <v>5</v>
      </c>
      <c r="L11565">
        <f>IF(AND($J11565=0,$K11565=0),0,1)</f>
        <v>1</v>
      </c>
    </row>
    <row r="11566" spans="1:12" x14ac:dyDescent="0.2">
      <c r="A11566" t="s">
        <v>218</v>
      </c>
      <c r="B11566" t="s">
        <v>71</v>
      </c>
      <c r="C11566" t="s">
        <v>72</v>
      </c>
      <c r="D11566">
        <v>9900</v>
      </c>
      <c r="E11566">
        <v>2020</v>
      </c>
      <c r="F11566">
        <v>7</v>
      </c>
      <c r="G11566">
        <v>25097</v>
      </c>
      <c r="H11566" s="1">
        <v>0</v>
      </c>
      <c r="I11566">
        <v>0</v>
      </c>
      <c r="J11566">
        <f>IF($H11566=0,1,IF($I11566&lt;=1,2,0))</f>
        <v>1</v>
      </c>
      <c r="K11566">
        <v>5</v>
      </c>
      <c r="L11566">
        <f>IF(AND($J11566=0,$K11566=0),0,1)</f>
        <v>1</v>
      </c>
    </row>
    <row r="11567" spans="1:12" x14ac:dyDescent="0.2">
      <c r="A11567" t="s">
        <v>218</v>
      </c>
      <c r="B11567" t="s">
        <v>71</v>
      </c>
      <c r="C11567" t="s">
        <v>72</v>
      </c>
      <c r="D11567">
        <v>9900</v>
      </c>
      <c r="E11567">
        <v>2020</v>
      </c>
      <c r="F11567">
        <v>8</v>
      </c>
      <c r="G11567">
        <v>25098</v>
      </c>
      <c r="H11567" s="1">
        <v>0</v>
      </c>
      <c r="I11567">
        <v>0</v>
      </c>
      <c r="J11567">
        <f>IF($H11567=0,1,IF($I11567&lt;=1,2,0))</f>
        <v>1</v>
      </c>
      <c r="K11567">
        <v>5</v>
      </c>
      <c r="L11567">
        <f>IF(AND($J11567=0,$K11567=0),0,1)</f>
        <v>1</v>
      </c>
    </row>
    <row r="11568" spans="1:12" x14ac:dyDescent="0.2">
      <c r="A11568" t="s">
        <v>218</v>
      </c>
      <c r="B11568" t="s">
        <v>71</v>
      </c>
      <c r="C11568" t="s">
        <v>72</v>
      </c>
      <c r="D11568">
        <v>9900</v>
      </c>
      <c r="E11568">
        <v>2020</v>
      </c>
      <c r="F11568">
        <v>9</v>
      </c>
      <c r="G11568">
        <v>25099</v>
      </c>
      <c r="H11568" s="1">
        <v>0</v>
      </c>
      <c r="I11568">
        <v>0</v>
      </c>
      <c r="J11568">
        <f>IF($H11568=0,1,IF($I11568&lt;=1,2,0))</f>
        <v>1</v>
      </c>
      <c r="K11568">
        <v>5</v>
      </c>
      <c r="L11568">
        <f>IF(AND($J11568=0,$K11568=0),0,1)</f>
        <v>1</v>
      </c>
    </row>
    <row r="11569" spans="1:12" x14ac:dyDescent="0.2">
      <c r="A11569" t="s">
        <v>218</v>
      </c>
      <c r="B11569" t="s">
        <v>71</v>
      </c>
      <c r="C11569" t="s">
        <v>72</v>
      </c>
      <c r="D11569">
        <v>9900</v>
      </c>
      <c r="E11569">
        <v>2020</v>
      </c>
      <c r="F11569">
        <v>10</v>
      </c>
      <c r="G11569">
        <v>25100</v>
      </c>
      <c r="H11569" s="1">
        <v>0</v>
      </c>
      <c r="I11569">
        <v>0</v>
      </c>
      <c r="J11569">
        <f>IF($H11569=0,1,IF($I11569&lt;=1,2,0))</f>
        <v>1</v>
      </c>
      <c r="K11569">
        <v>5</v>
      </c>
      <c r="L11569">
        <f>IF(AND($J11569=0,$K11569=0),0,1)</f>
        <v>1</v>
      </c>
    </row>
    <row r="11570" spans="1:12" x14ac:dyDescent="0.2">
      <c r="A11570" t="s">
        <v>218</v>
      </c>
      <c r="B11570" t="s">
        <v>71</v>
      </c>
      <c r="C11570" t="s">
        <v>72</v>
      </c>
      <c r="D11570">
        <v>9900</v>
      </c>
      <c r="E11570">
        <v>2020</v>
      </c>
      <c r="F11570">
        <v>12</v>
      </c>
      <c r="G11570">
        <v>25102</v>
      </c>
      <c r="H11570" s="1">
        <v>0</v>
      </c>
      <c r="I11570">
        <v>0</v>
      </c>
      <c r="J11570">
        <f>IF($H11570=0,1,IF($I11570&lt;=1,2,0))</f>
        <v>1</v>
      </c>
      <c r="K11570">
        <v>5</v>
      </c>
      <c r="L11570">
        <f>IF(AND($J11570=0,$K11570=0),0,1)</f>
        <v>1</v>
      </c>
    </row>
    <row r="11571" spans="1:12" x14ac:dyDescent="0.2">
      <c r="A11571" t="s">
        <v>218</v>
      </c>
      <c r="B11571" t="s">
        <v>71</v>
      </c>
      <c r="C11571" t="s">
        <v>72</v>
      </c>
      <c r="D11571">
        <v>9900</v>
      </c>
      <c r="E11571">
        <v>2020</v>
      </c>
      <c r="F11571">
        <v>13</v>
      </c>
      <c r="G11571">
        <v>25103</v>
      </c>
      <c r="H11571" s="1">
        <v>0</v>
      </c>
      <c r="I11571">
        <v>0</v>
      </c>
      <c r="J11571">
        <f>IF($H11571=0,1,IF($I11571&lt;=1,2,0))</f>
        <v>1</v>
      </c>
      <c r="K11571">
        <v>5</v>
      </c>
      <c r="L11571">
        <f>IF(AND($J11571=0,$K11571=0),0,1)</f>
        <v>1</v>
      </c>
    </row>
    <row r="11572" spans="1:12" x14ac:dyDescent="0.2">
      <c r="A11572" t="s">
        <v>218</v>
      </c>
      <c r="B11572" t="s">
        <v>71</v>
      </c>
      <c r="C11572" t="s">
        <v>72</v>
      </c>
      <c r="D11572">
        <v>9900</v>
      </c>
      <c r="E11572">
        <v>2020</v>
      </c>
      <c r="F11572">
        <v>14</v>
      </c>
      <c r="G11572">
        <v>25104</v>
      </c>
      <c r="H11572" s="1">
        <v>0</v>
      </c>
      <c r="I11572">
        <v>0</v>
      </c>
      <c r="J11572">
        <f>IF($H11572=0,1,IF($I11572&lt;=1,2,0))</f>
        <v>1</v>
      </c>
      <c r="K11572">
        <v>5</v>
      </c>
      <c r="L11572">
        <f>IF(AND($J11572=0,$K11572=0),0,1)</f>
        <v>1</v>
      </c>
    </row>
    <row r="11573" spans="1:12" x14ac:dyDescent="0.2">
      <c r="A11573" t="s">
        <v>218</v>
      </c>
      <c r="B11573" t="s">
        <v>71</v>
      </c>
      <c r="C11573" t="s">
        <v>72</v>
      </c>
      <c r="D11573">
        <v>9900</v>
      </c>
      <c r="E11573">
        <v>2020</v>
      </c>
      <c r="F11573">
        <v>15</v>
      </c>
      <c r="G11573">
        <v>25105</v>
      </c>
      <c r="H11573" s="1">
        <v>0</v>
      </c>
      <c r="I11573">
        <v>0</v>
      </c>
      <c r="J11573">
        <f>IF($H11573=0,1,IF($I11573&lt;=1,2,0))</f>
        <v>1</v>
      </c>
      <c r="K11573">
        <v>5</v>
      </c>
      <c r="L11573">
        <f>IF(AND($J11573=0,$K11573=0),0,1)</f>
        <v>1</v>
      </c>
    </row>
    <row r="11574" spans="1:12" x14ac:dyDescent="0.2">
      <c r="A11574" t="s">
        <v>218</v>
      </c>
      <c r="B11574" t="s">
        <v>71</v>
      </c>
      <c r="C11574" t="s">
        <v>72</v>
      </c>
      <c r="D11574">
        <v>9900</v>
      </c>
      <c r="E11574">
        <v>2020</v>
      </c>
      <c r="F11574">
        <v>16</v>
      </c>
      <c r="G11574">
        <v>25106</v>
      </c>
      <c r="H11574" s="1">
        <v>0</v>
      </c>
      <c r="I11574">
        <v>0</v>
      </c>
      <c r="J11574">
        <f>IF($H11574=0,1,IF($I11574&lt;=1,2,0))</f>
        <v>1</v>
      </c>
      <c r="K11574">
        <v>5</v>
      </c>
      <c r="L11574">
        <f>IF(AND($J11574=0,$K11574=0),0,1)</f>
        <v>1</v>
      </c>
    </row>
    <row r="11575" spans="1:12" x14ac:dyDescent="0.2">
      <c r="A11575" t="s">
        <v>223</v>
      </c>
      <c r="B11575" t="s">
        <v>6</v>
      </c>
      <c r="C11575" t="s">
        <v>2</v>
      </c>
      <c r="D11575">
        <v>3333</v>
      </c>
      <c r="E11575">
        <v>2020</v>
      </c>
      <c r="F11575">
        <v>1</v>
      </c>
      <c r="G11575">
        <v>761</v>
      </c>
      <c r="H11575" s="1">
        <v>4</v>
      </c>
      <c r="I11575">
        <v>16</v>
      </c>
      <c r="J11575">
        <f>IF($H11575=0,1,IF($I11575&lt;=1,2,0))</f>
        <v>0</v>
      </c>
      <c r="K11575">
        <v>7</v>
      </c>
      <c r="L11575">
        <f>IF(AND($J11575=0,$K11575=0),0,1)</f>
        <v>1</v>
      </c>
    </row>
    <row r="11576" spans="1:12" x14ac:dyDescent="0.2">
      <c r="A11576" t="s">
        <v>234</v>
      </c>
      <c r="B11576" t="s">
        <v>17</v>
      </c>
      <c r="C11576" t="s">
        <v>11</v>
      </c>
      <c r="D11576">
        <v>4901</v>
      </c>
      <c r="E11576">
        <v>2020</v>
      </c>
      <c r="F11576">
        <v>1</v>
      </c>
      <c r="G11576">
        <v>13579</v>
      </c>
      <c r="H11576" s="1">
        <v>3</v>
      </c>
      <c r="I11576">
        <v>0</v>
      </c>
      <c r="J11576">
        <f>IF($H11576=0,1,IF($I11576&lt;=1,2,0))</f>
        <v>2</v>
      </c>
      <c r="K11576">
        <v>0</v>
      </c>
      <c r="L11576">
        <f>IF(AND($J11576=0,$K11576=0),0,1)</f>
        <v>1</v>
      </c>
    </row>
    <row r="11577" spans="1:12" x14ac:dyDescent="0.2">
      <c r="A11577" t="s">
        <v>234</v>
      </c>
      <c r="B11577" t="s">
        <v>17</v>
      </c>
      <c r="C11577" t="s">
        <v>11</v>
      </c>
      <c r="D11577">
        <v>4901</v>
      </c>
      <c r="E11577">
        <v>2020</v>
      </c>
      <c r="F11577">
        <v>2</v>
      </c>
      <c r="G11577">
        <v>13580</v>
      </c>
      <c r="H11577" s="1">
        <v>3</v>
      </c>
      <c r="I11577">
        <v>0</v>
      </c>
      <c r="J11577">
        <f>IF($H11577=0,1,IF($I11577&lt;=1,2,0))</f>
        <v>2</v>
      </c>
      <c r="K11577">
        <v>0</v>
      </c>
      <c r="L11577">
        <f>IF(AND($J11577=0,$K11577=0),0,1)</f>
        <v>1</v>
      </c>
    </row>
    <row r="11578" spans="1:12" x14ac:dyDescent="0.2">
      <c r="A11578" t="s">
        <v>234</v>
      </c>
      <c r="B11578" t="s">
        <v>17</v>
      </c>
      <c r="C11578" t="s">
        <v>11</v>
      </c>
      <c r="D11578">
        <v>4901</v>
      </c>
      <c r="E11578">
        <v>2020</v>
      </c>
      <c r="F11578">
        <v>3</v>
      </c>
      <c r="G11578">
        <v>13581</v>
      </c>
      <c r="H11578" s="1">
        <v>3</v>
      </c>
      <c r="I11578">
        <v>0</v>
      </c>
      <c r="J11578">
        <f>IF($H11578=0,1,IF($I11578&lt;=1,2,0))</f>
        <v>2</v>
      </c>
      <c r="K11578">
        <v>0</v>
      </c>
      <c r="L11578">
        <f>IF(AND($J11578=0,$K11578=0),0,1)</f>
        <v>1</v>
      </c>
    </row>
    <row r="11579" spans="1:12" x14ac:dyDescent="0.2">
      <c r="A11579" t="s">
        <v>234</v>
      </c>
      <c r="B11579" t="s">
        <v>17</v>
      </c>
      <c r="C11579" t="s">
        <v>11</v>
      </c>
      <c r="D11579">
        <v>4901</v>
      </c>
      <c r="E11579">
        <v>2020</v>
      </c>
      <c r="F11579">
        <v>4</v>
      </c>
      <c r="G11579">
        <v>13582</v>
      </c>
      <c r="H11579" s="1">
        <v>3</v>
      </c>
      <c r="I11579">
        <v>0</v>
      </c>
      <c r="J11579">
        <f>IF($H11579=0,1,IF($I11579&lt;=1,2,0))</f>
        <v>2</v>
      </c>
      <c r="K11579">
        <v>0</v>
      </c>
      <c r="L11579">
        <f>IF(AND($J11579=0,$K11579=0),0,1)</f>
        <v>1</v>
      </c>
    </row>
    <row r="11580" spans="1:12" x14ac:dyDescent="0.2">
      <c r="A11580" t="s">
        <v>234</v>
      </c>
      <c r="B11580" t="s">
        <v>17</v>
      </c>
      <c r="C11580" t="s">
        <v>11</v>
      </c>
      <c r="D11580">
        <v>4901</v>
      </c>
      <c r="E11580">
        <v>2020</v>
      </c>
      <c r="F11580">
        <v>5</v>
      </c>
      <c r="G11580">
        <v>13583</v>
      </c>
      <c r="H11580" s="1">
        <v>3</v>
      </c>
      <c r="I11580">
        <v>0</v>
      </c>
      <c r="J11580">
        <f>IF($H11580=0,1,IF($I11580&lt;=1,2,0))</f>
        <v>2</v>
      </c>
      <c r="K11580">
        <v>0</v>
      </c>
      <c r="L11580">
        <f>IF(AND($J11580=0,$K11580=0),0,1)</f>
        <v>1</v>
      </c>
    </row>
    <row r="11581" spans="1:12" x14ac:dyDescent="0.2">
      <c r="A11581" t="s">
        <v>234</v>
      </c>
      <c r="B11581" t="s">
        <v>17</v>
      </c>
      <c r="C11581" t="s">
        <v>11</v>
      </c>
      <c r="D11581">
        <v>4901</v>
      </c>
      <c r="E11581">
        <v>2020</v>
      </c>
      <c r="F11581">
        <v>7</v>
      </c>
      <c r="G11581">
        <v>13584</v>
      </c>
      <c r="H11581" s="1">
        <v>3</v>
      </c>
      <c r="I11581">
        <v>0</v>
      </c>
      <c r="J11581">
        <f>IF($H11581=0,1,IF($I11581&lt;=1,2,0))</f>
        <v>2</v>
      </c>
      <c r="K11581">
        <v>0</v>
      </c>
      <c r="L11581">
        <f>IF(AND($J11581=0,$K11581=0),0,1)</f>
        <v>1</v>
      </c>
    </row>
    <row r="11582" spans="1:12" x14ac:dyDescent="0.2">
      <c r="A11582" t="s">
        <v>234</v>
      </c>
      <c r="B11582" t="s">
        <v>17</v>
      </c>
      <c r="C11582" t="s">
        <v>11</v>
      </c>
      <c r="D11582">
        <v>4901</v>
      </c>
      <c r="E11582">
        <v>2020</v>
      </c>
      <c r="F11582">
        <v>10</v>
      </c>
      <c r="G11582">
        <v>13587</v>
      </c>
      <c r="H11582" s="1">
        <v>3</v>
      </c>
      <c r="I11582">
        <v>0</v>
      </c>
      <c r="J11582">
        <f>IF($H11582=0,1,IF($I11582&lt;=1,2,0))</f>
        <v>2</v>
      </c>
      <c r="K11582">
        <v>0</v>
      </c>
      <c r="L11582">
        <f>IF(AND($J11582=0,$K11582=0),0,1)</f>
        <v>1</v>
      </c>
    </row>
    <row r="11583" spans="1:12" x14ac:dyDescent="0.2">
      <c r="A11583" t="s">
        <v>234</v>
      </c>
      <c r="B11583" t="s">
        <v>17</v>
      </c>
      <c r="C11583" t="s">
        <v>11</v>
      </c>
      <c r="D11583">
        <v>4901</v>
      </c>
      <c r="E11583">
        <v>2020</v>
      </c>
      <c r="F11583">
        <v>11</v>
      </c>
      <c r="G11583">
        <v>13588</v>
      </c>
      <c r="H11583" s="1">
        <v>3</v>
      </c>
      <c r="I11583">
        <v>0</v>
      </c>
      <c r="J11583">
        <f>IF($H11583=0,1,IF($I11583&lt;=1,2,0))</f>
        <v>2</v>
      </c>
      <c r="K11583">
        <v>0</v>
      </c>
      <c r="L11583">
        <f>IF(AND($J11583=0,$K11583=0),0,1)</f>
        <v>1</v>
      </c>
    </row>
    <row r="11584" spans="1:12" x14ac:dyDescent="0.2">
      <c r="A11584" t="s">
        <v>234</v>
      </c>
      <c r="B11584" t="s">
        <v>17</v>
      </c>
      <c r="C11584" t="s">
        <v>11</v>
      </c>
      <c r="D11584">
        <v>5000</v>
      </c>
      <c r="E11584">
        <v>2020</v>
      </c>
      <c r="F11584">
        <v>1</v>
      </c>
      <c r="G11584">
        <v>13324</v>
      </c>
      <c r="H11584" s="1">
        <v>4</v>
      </c>
      <c r="I11584">
        <v>1</v>
      </c>
      <c r="J11584">
        <f>IF($H11584=0,1,IF($I11584&lt;=1,2,0))</f>
        <v>2</v>
      </c>
      <c r="K11584">
        <v>0</v>
      </c>
      <c r="L11584">
        <f>IF(AND($J11584=0,$K11584=0),0,1)</f>
        <v>1</v>
      </c>
    </row>
    <row r="11585" spans="1:13" x14ac:dyDescent="0.2">
      <c r="A11585" t="s">
        <v>234</v>
      </c>
      <c r="B11585" t="s">
        <v>17</v>
      </c>
      <c r="C11585" t="s">
        <v>11</v>
      </c>
      <c r="D11585">
        <v>5000</v>
      </c>
      <c r="E11585">
        <v>2020</v>
      </c>
      <c r="F11585">
        <v>2</v>
      </c>
      <c r="G11585">
        <v>25160</v>
      </c>
      <c r="H11585" s="1">
        <v>4</v>
      </c>
      <c r="I11585">
        <v>0</v>
      </c>
      <c r="J11585">
        <f>IF($H11585=0,1,IF($I11585&lt;=1,2,0))</f>
        <v>2</v>
      </c>
      <c r="K11585">
        <v>0</v>
      </c>
      <c r="L11585">
        <f>IF(AND($J11585=0,$K11585=0),0,1)</f>
        <v>1</v>
      </c>
    </row>
    <row r="11586" spans="1:13" x14ac:dyDescent="0.2">
      <c r="A11586" t="s">
        <v>935</v>
      </c>
      <c r="B11586" t="s">
        <v>17</v>
      </c>
      <c r="C11586" t="s">
        <v>11</v>
      </c>
      <c r="D11586">
        <v>8999</v>
      </c>
      <c r="E11586">
        <v>2020</v>
      </c>
      <c r="F11586">
        <v>1</v>
      </c>
      <c r="G11586">
        <v>10223</v>
      </c>
      <c r="H11586" s="1">
        <v>4</v>
      </c>
      <c r="I11586">
        <v>1</v>
      </c>
      <c r="J11586">
        <f>IF($H11586=0,1,IF($I11586&lt;=1,2,0))</f>
        <v>2</v>
      </c>
      <c r="K11586">
        <v>0</v>
      </c>
      <c r="L11586">
        <f>IF(AND($J11586=0,$K11586=0),0,1)</f>
        <v>1</v>
      </c>
    </row>
    <row r="11587" spans="1:13" x14ac:dyDescent="0.2">
      <c r="A11587" t="s">
        <v>935</v>
      </c>
      <c r="B11587" t="s">
        <v>17</v>
      </c>
      <c r="C11587" t="s">
        <v>11</v>
      </c>
      <c r="D11587">
        <v>8999</v>
      </c>
      <c r="E11587">
        <v>2020</v>
      </c>
      <c r="F11587">
        <v>5</v>
      </c>
      <c r="G11587">
        <v>22298</v>
      </c>
      <c r="H11587" s="1">
        <v>4</v>
      </c>
      <c r="I11587">
        <v>1</v>
      </c>
      <c r="J11587">
        <f>IF($H11587=0,1,IF($I11587&lt;=1,2,0))</f>
        <v>2</v>
      </c>
      <c r="K11587">
        <v>0</v>
      </c>
      <c r="L11587">
        <f>IF(AND($J11587=0,$K11587=0),0,1)</f>
        <v>1</v>
      </c>
    </row>
    <row r="11588" spans="1:13" x14ac:dyDescent="0.2">
      <c r="A11588" t="s">
        <v>935</v>
      </c>
      <c r="B11588" t="s">
        <v>17</v>
      </c>
      <c r="C11588" t="s">
        <v>11</v>
      </c>
      <c r="D11588">
        <v>8999</v>
      </c>
      <c r="E11588">
        <v>2020</v>
      </c>
      <c r="F11588">
        <v>3</v>
      </c>
      <c r="G11588">
        <v>15327</v>
      </c>
      <c r="H11588" s="1">
        <v>4</v>
      </c>
      <c r="I11588">
        <v>0</v>
      </c>
      <c r="J11588">
        <f>IF($H11588=0,1,IF($I11588&lt;=1,2,0))</f>
        <v>2</v>
      </c>
      <c r="K11588">
        <v>0</v>
      </c>
      <c r="L11588">
        <f>IF(AND($J11588=0,$K11588=0),0,1)</f>
        <v>1</v>
      </c>
    </row>
    <row r="11589" spans="1:13" x14ac:dyDescent="0.2">
      <c r="A11589" t="s">
        <v>935</v>
      </c>
      <c r="B11589" t="s">
        <v>17</v>
      </c>
      <c r="C11589" t="s">
        <v>11</v>
      </c>
      <c r="D11589">
        <v>8999</v>
      </c>
      <c r="E11589">
        <v>2020</v>
      </c>
      <c r="F11589">
        <v>4</v>
      </c>
      <c r="G11589">
        <v>22299</v>
      </c>
      <c r="H11589" s="1">
        <v>4</v>
      </c>
      <c r="I11589">
        <v>0</v>
      </c>
      <c r="J11589">
        <f>IF($H11589=0,1,IF($I11589&lt;=1,2,0))</f>
        <v>2</v>
      </c>
      <c r="K11589">
        <v>0</v>
      </c>
      <c r="L11589">
        <f>IF(AND($J11589=0,$K11589=0),0,1)</f>
        <v>1</v>
      </c>
    </row>
    <row r="11590" spans="1:13" x14ac:dyDescent="0.2">
      <c r="A11590" t="s">
        <v>242</v>
      </c>
      <c r="B11590" t="s">
        <v>71</v>
      </c>
      <c r="C11590" t="s">
        <v>9</v>
      </c>
      <c r="D11590">
        <v>1012</v>
      </c>
      <c r="E11590">
        <v>2020</v>
      </c>
      <c r="F11590">
        <v>6</v>
      </c>
      <c r="G11590">
        <v>11688</v>
      </c>
      <c r="H11590" s="1">
        <v>0</v>
      </c>
      <c r="I11590">
        <v>34</v>
      </c>
      <c r="J11590">
        <f>IF($H11590=0,1,IF($I11590&lt;=1,2,0))</f>
        <v>1</v>
      </c>
      <c r="K11590">
        <v>0</v>
      </c>
      <c r="L11590">
        <f>IF(AND($J11590=0,$K11590=0),0,1)</f>
        <v>1</v>
      </c>
    </row>
    <row r="11591" spans="1:13" x14ac:dyDescent="0.2">
      <c r="A11591" t="s">
        <v>242</v>
      </c>
      <c r="B11591" t="s">
        <v>71</v>
      </c>
      <c r="C11591" t="s">
        <v>9</v>
      </c>
      <c r="D11591">
        <v>1012</v>
      </c>
      <c r="E11591">
        <v>2020</v>
      </c>
      <c r="F11591">
        <v>9</v>
      </c>
      <c r="G11591">
        <v>11691</v>
      </c>
      <c r="H11591" s="1">
        <v>0</v>
      </c>
      <c r="I11591">
        <v>33</v>
      </c>
      <c r="J11591">
        <f>IF($H11591=0,1,IF($I11591&lt;=1,2,0))</f>
        <v>1</v>
      </c>
      <c r="K11591">
        <v>0</v>
      </c>
      <c r="L11591">
        <f>IF(AND($J11591=0,$K11591=0),0,1)</f>
        <v>1</v>
      </c>
    </row>
    <row r="11592" spans="1:13" x14ac:dyDescent="0.2">
      <c r="A11592" t="s">
        <v>242</v>
      </c>
      <c r="B11592" t="s">
        <v>71</v>
      </c>
      <c r="C11592" t="s">
        <v>9</v>
      </c>
      <c r="D11592">
        <v>1012</v>
      </c>
      <c r="E11592">
        <v>2020</v>
      </c>
      <c r="F11592">
        <v>4</v>
      </c>
      <c r="G11592">
        <v>11686</v>
      </c>
      <c r="H11592" s="1">
        <v>0</v>
      </c>
      <c r="I11592">
        <v>30</v>
      </c>
      <c r="J11592">
        <f>IF($H11592=0,1,IF($I11592&lt;=1,2,0))</f>
        <v>1</v>
      </c>
      <c r="K11592">
        <v>0</v>
      </c>
      <c r="L11592">
        <f>IF(AND($J11592=0,$K11592=0),0,1)</f>
        <v>1</v>
      </c>
    </row>
    <row r="11593" spans="1:13" x14ac:dyDescent="0.2">
      <c r="A11593" t="s">
        <v>242</v>
      </c>
      <c r="B11593" t="s">
        <v>71</v>
      </c>
      <c r="C11593" t="s">
        <v>9</v>
      </c>
      <c r="D11593">
        <v>1012</v>
      </c>
      <c r="E11593">
        <v>2020</v>
      </c>
      <c r="F11593">
        <v>8</v>
      </c>
      <c r="G11593">
        <v>11690</v>
      </c>
      <c r="H11593" s="1">
        <v>0</v>
      </c>
      <c r="I11593">
        <v>25</v>
      </c>
      <c r="J11593">
        <f>IF($H11593=0,1,IF($I11593&lt;=1,2,0))</f>
        <v>1</v>
      </c>
      <c r="K11593">
        <v>0</v>
      </c>
      <c r="L11593">
        <f>IF(AND($J11593=0,$K11593=0),0,1)</f>
        <v>1</v>
      </c>
      <c r="M11593" t="s">
        <v>937</v>
      </c>
    </row>
    <row r="11594" spans="1:13" x14ac:dyDescent="0.2">
      <c r="A11594" t="s">
        <v>242</v>
      </c>
      <c r="B11594" t="s">
        <v>71</v>
      </c>
      <c r="C11594" t="s">
        <v>9</v>
      </c>
      <c r="D11594">
        <v>1012</v>
      </c>
      <c r="E11594">
        <v>2020</v>
      </c>
      <c r="F11594">
        <v>5</v>
      </c>
      <c r="G11594">
        <v>11687</v>
      </c>
      <c r="H11594" s="1">
        <v>0</v>
      </c>
      <c r="I11594">
        <v>20</v>
      </c>
      <c r="J11594">
        <f>IF($H11594=0,1,IF($I11594&lt;=1,2,0))</f>
        <v>1</v>
      </c>
      <c r="K11594">
        <v>0</v>
      </c>
      <c r="L11594">
        <f>IF(AND($J11594=0,$K11594=0),0,1)</f>
        <v>1</v>
      </c>
      <c r="M11594" t="s">
        <v>937</v>
      </c>
    </row>
    <row r="11595" spans="1:13" x14ac:dyDescent="0.2">
      <c r="A11595" t="s">
        <v>242</v>
      </c>
      <c r="B11595" t="s">
        <v>71</v>
      </c>
      <c r="C11595" t="s">
        <v>9</v>
      </c>
      <c r="D11595">
        <v>1012</v>
      </c>
      <c r="E11595">
        <v>2020</v>
      </c>
      <c r="F11595">
        <v>2</v>
      </c>
      <c r="G11595">
        <v>11684</v>
      </c>
      <c r="H11595" s="1">
        <v>0</v>
      </c>
      <c r="I11595">
        <v>19</v>
      </c>
      <c r="J11595">
        <f>IF($H11595=0,1,IF($I11595&lt;=1,2,0))</f>
        <v>1</v>
      </c>
      <c r="K11595">
        <v>0</v>
      </c>
      <c r="L11595">
        <f>IF(AND($J11595=0,$K11595=0),0,1)</f>
        <v>1</v>
      </c>
      <c r="M11595" t="s">
        <v>937</v>
      </c>
    </row>
    <row r="11596" spans="1:13" x14ac:dyDescent="0.2">
      <c r="A11596" t="s">
        <v>242</v>
      </c>
      <c r="B11596" t="s">
        <v>71</v>
      </c>
      <c r="C11596" t="s">
        <v>9</v>
      </c>
      <c r="D11596">
        <v>1012</v>
      </c>
      <c r="E11596">
        <v>2020</v>
      </c>
      <c r="F11596">
        <v>1</v>
      </c>
      <c r="G11596">
        <v>11683</v>
      </c>
      <c r="H11596" s="1">
        <v>0</v>
      </c>
      <c r="I11596">
        <v>18</v>
      </c>
      <c r="J11596">
        <f>IF($H11596=0,1,IF($I11596&lt;=1,2,0))</f>
        <v>1</v>
      </c>
      <c r="K11596">
        <v>0</v>
      </c>
      <c r="L11596">
        <f>IF(AND($J11596=0,$K11596=0),0,1)</f>
        <v>1</v>
      </c>
      <c r="M11596" t="s">
        <v>937</v>
      </c>
    </row>
    <row r="11597" spans="1:13" x14ac:dyDescent="0.2">
      <c r="A11597" t="s">
        <v>242</v>
      </c>
      <c r="B11597" t="s">
        <v>71</v>
      </c>
      <c r="C11597" t="s">
        <v>9</v>
      </c>
      <c r="D11597">
        <v>1012</v>
      </c>
      <c r="E11597">
        <v>2020</v>
      </c>
      <c r="F11597">
        <v>3</v>
      </c>
      <c r="G11597">
        <v>11685</v>
      </c>
      <c r="H11597" s="1">
        <v>0</v>
      </c>
      <c r="I11597">
        <v>15</v>
      </c>
      <c r="J11597">
        <f>IF($H11597=0,1,IF($I11597&lt;=1,2,0))</f>
        <v>1</v>
      </c>
      <c r="K11597">
        <v>0</v>
      </c>
      <c r="L11597">
        <f>IF(AND($J11597=0,$K11597=0),0,1)</f>
        <v>1</v>
      </c>
      <c r="M11597" t="s">
        <v>937</v>
      </c>
    </row>
    <row r="11598" spans="1:13" x14ac:dyDescent="0.2">
      <c r="A11598" t="s">
        <v>242</v>
      </c>
      <c r="B11598" t="s">
        <v>71</v>
      </c>
      <c r="C11598" t="s">
        <v>9</v>
      </c>
      <c r="D11598">
        <v>1012</v>
      </c>
      <c r="E11598">
        <v>2020</v>
      </c>
      <c r="F11598">
        <v>10</v>
      </c>
      <c r="G11598">
        <v>21446</v>
      </c>
      <c r="H11598" s="1">
        <v>0</v>
      </c>
      <c r="I11598">
        <v>12</v>
      </c>
      <c r="J11598">
        <f>IF($H11598=0,1,IF($I11598&lt;=1,2,0))</f>
        <v>1</v>
      </c>
      <c r="K11598">
        <v>0</v>
      </c>
      <c r="L11598">
        <f>IF(AND($J11598=0,$K11598=0),0,1)</f>
        <v>1</v>
      </c>
    </row>
    <row r="11599" spans="1:13" x14ac:dyDescent="0.2">
      <c r="A11599" t="s">
        <v>242</v>
      </c>
      <c r="B11599" t="s">
        <v>71</v>
      </c>
      <c r="C11599" t="s">
        <v>9</v>
      </c>
      <c r="D11599">
        <v>1012</v>
      </c>
      <c r="E11599">
        <v>2020</v>
      </c>
      <c r="F11599">
        <v>11</v>
      </c>
      <c r="G11599">
        <v>21447</v>
      </c>
      <c r="H11599" s="1">
        <v>0</v>
      </c>
      <c r="I11599">
        <v>12</v>
      </c>
      <c r="J11599">
        <f>IF($H11599=0,1,IF($I11599&lt;=1,2,0))</f>
        <v>1</v>
      </c>
      <c r="K11599">
        <v>0</v>
      </c>
      <c r="L11599">
        <f>IF(AND($J11599=0,$K11599=0),0,1)</f>
        <v>1</v>
      </c>
    </row>
    <row r="11600" spans="1:13" x14ac:dyDescent="0.2">
      <c r="A11600" t="s">
        <v>242</v>
      </c>
      <c r="B11600" t="s">
        <v>71</v>
      </c>
      <c r="C11600" t="s">
        <v>9</v>
      </c>
      <c r="D11600">
        <v>1012</v>
      </c>
      <c r="E11600">
        <v>2020</v>
      </c>
      <c r="F11600">
        <v>13</v>
      </c>
      <c r="G11600">
        <v>21449</v>
      </c>
      <c r="H11600" s="1">
        <v>0</v>
      </c>
      <c r="I11600">
        <v>11</v>
      </c>
      <c r="J11600">
        <f>IF($H11600=0,1,IF($I11600&lt;=1,2,0))</f>
        <v>1</v>
      </c>
      <c r="K11600">
        <v>0</v>
      </c>
      <c r="L11600">
        <f>IF(AND($J11600=0,$K11600=0),0,1)</f>
        <v>1</v>
      </c>
    </row>
    <row r="11601" spans="1:13" x14ac:dyDescent="0.2">
      <c r="A11601" t="s">
        <v>242</v>
      </c>
      <c r="B11601" t="s">
        <v>71</v>
      </c>
      <c r="C11601" t="s">
        <v>9</v>
      </c>
      <c r="D11601">
        <v>1012</v>
      </c>
      <c r="E11601">
        <v>2020</v>
      </c>
      <c r="F11601">
        <v>7</v>
      </c>
      <c r="G11601">
        <v>11689</v>
      </c>
      <c r="H11601" s="1">
        <v>0</v>
      </c>
      <c r="I11601">
        <v>8</v>
      </c>
      <c r="J11601">
        <f>IF($H11601=0,1,IF($I11601&lt;=1,2,0))</f>
        <v>1</v>
      </c>
      <c r="K11601">
        <v>0</v>
      </c>
      <c r="L11601">
        <f>IF(AND($J11601=0,$K11601=0),0,1)</f>
        <v>1</v>
      </c>
    </row>
    <row r="11602" spans="1:13" x14ac:dyDescent="0.2">
      <c r="A11602" t="s">
        <v>242</v>
      </c>
      <c r="B11602" t="s">
        <v>71</v>
      </c>
      <c r="C11602" t="s">
        <v>9</v>
      </c>
      <c r="D11602">
        <v>1012</v>
      </c>
      <c r="E11602">
        <v>2020</v>
      </c>
      <c r="F11602">
        <v>12</v>
      </c>
      <c r="G11602">
        <v>21448</v>
      </c>
      <c r="H11602" s="1">
        <v>0</v>
      </c>
      <c r="I11602">
        <v>8</v>
      </c>
      <c r="J11602">
        <f>IF($H11602=0,1,IF($I11602&lt;=1,2,0))</f>
        <v>1</v>
      </c>
      <c r="K11602">
        <v>0</v>
      </c>
      <c r="L11602">
        <f>IF(AND($J11602=0,$K11602=0),0,1)</f>
        <v>1</v>
      </c>
    </row>
    <row r="11603" spans="1:13" x14ac:dyDescent="0.2">
      <c r="A11603" t="s">
        <v>242</v>
      </c>
      <c r="B11603" t="s">
        <v>71</v>
      </c>
      <c r="C11603" t="s">
        <v>2</v>
      </c>
      <c r="D11603">
        <v>1016</v>
      </c>
      <c r="E11603">
        <v>2020</v>
      </c>
      <c r="F11603">
        <v>1</v>
      </c>
      <c r="G11603">
        <v>748</v>
      </c>
      <c r="H11603" s="1">
        <v>3</v>
      </c>
      <c r="I11603">
        <v>37</v>
      </c>
      <c r="J11603">
        <f>IF($H11603=0,1,IF($I11603&lt;=1,2,0))</f>
        <v>0</v>
      </c>
      <c r="K11603">
        <v>7</v>
      </c>
      <c r="L11603">
        <f>IF(AND($J11603=0,$K11603=0),0,1)</f>
        <v>1</v>
      </c>
      <c r="M11603" t="s">
        <v>938</v>
      </c>
    </row>
    <row r="11604" spans="1:13" x14ac:dyDescent="0.2">
      <c r="A11604" t="s">
        <v>242</v>
      </c>
      <c r="B11604" t="s">
        <v>71</v>
      </c>
      <c r="C11604" t="s">
        <v>2</v>
      </c>
      <c r="D11604">
        <v>1017</v>
      </c>
      <c r="E11604">
        <v>2020</v>
      </c>
      <c r="F11604">
        <v>1</v>
      </c>
      <c r="G11604">
        <v>751</v>
      </c>
      <c r="H11604" s="1">
        <v>1</v>
      </c>
      <c r="I11604">
        <v>23</v>
      </c>
      <c r="J11604">
        <f>IF($H11604=0,1,IF($I11604&lt;=1,2,0))</f>
        <v>0</v>
      </c>
      <c r="K11604">
        <v>7</v>
      </c>
      <c r="L11604">
        <f>IF(AND($J11604=0,$K11604=0),0,1)</f>
        <v>1</v>
      </c>
      <c r="M11604" t="s">
        <v>939</v>
      </c>
    </row>
    <row r="11605" spans="1:13" x14ac:dyDescent="0.2">
      <c r="A11605" t="s">
        <v>242</v>
      </c>
      <c r="B11605" t="s">
        <v>71</v>
      </c>
      <c r="C11605" t="s">
        <v>2</v>
      </c>
      <c r="D11605">
        <v>1017</v>
      </c>
      <c r="E11605">
        <v>2020</v>
      </c>
      <c r="F11605">
        <v>2</v>
      </c>
      <c r="G11605">
        <v>752</v>
      </c>
      <c r="H11605" s="1">
        <v>1</v>
      </c>
      <c r="I11605">
        <v>12</v>
      </c>
      <c r="J11605">
        <f>IF($H11605=0,1,IF($I11605&lt;=1,2,0))</f>
        <v>0</v>
      </c>
      <c r="K11605">
        <v>7</v>
      </c>
      <c r="L11605">
        <f>IF(AND($J11605=0,$K11605=0),0,1)</f>
        <v>1</v>
      </c>
      <c r="M11605" t="s">
        <v>939</v>
      </c>
    </row>
    <row r="11606" spans="1:13" x14ac:dyDescent="0.2">
      <c r="A11606" t="s">
        <v>242</v>
      </c>
      <c r="B11606" t="s">
        <v>71</v>
      </c>
      <c r="C11606" t="s">
        <v>9</v>
      </c>
      <c r="D11606">
        <v>3261</v>
      </c>
      <c r="E11606">
        <v>2020</v>
      </c>
      <c r="F11606" t="s">
        <v>59</v>
      </c>
      <c r="G11606">
        <v>22802</v>
      </c>
      <c r="H11606" s="1">
        <v>0</v>
      </c>
      <c r="I11606">
        <v>0</v>
      </c>
      <c r="J11606">
        <f>IF($H11606=0,1,IF($I11606&lt;=1,2,0))</f>
        <v>1</v>
      </c>
      <c r="K11606">
        <v>0</v>
      </c>
      <c r="L11606">
        <f>IF(AND($J11606=0,$K11606=0),0,1)</f>
        <v>1</v>
      </c>
      <c r="M11606" t="s">
        <v>940</v>
      </c>
    </row>
    <row r="11607" spans="1:13" x14ac:dyDescent="0.2">
      <c r="A11607" t="s">
        <v>242</v>
      </c>
      <c r="B11607" t="s">
        <v>71</v>
      </c>
      <c r="C11607" t="s">
        <v>9</v>
      </c>
      <c r="D11607">
        <v>3261</v>
      </c>
      <c r="E11607">
        <v>2020</v>
      </c>
      <c r="F11607" t="s">
        <v>60</v>
      </c>
      <c r="G11607">
        <v>22803</v>
      </c>
      <c r="H11607" s="1">
        <v>0</v>
      </c>
      <c r="I11607">
        <v>0</v>
      </c>
      <c r="J11607">
        <f>IF($H11607=0,1,IF($I11607&lt;=1,2,0))</f>
        <v>1</v>
      </c>
      <c r="K11607">
        <v>0</v>
      </c>
      <c r="L11607">
        <f>IF(AND($J11607=0,$K11607=0),0,1)</f>
        <v>1</v>
      </c>
      <c r="M11607" t="s">
        <v>941</v>
      </c>
    </row>
    <row r="11608" spans="1:13" x14ac:dyDescent="0.2">
      <c r="A11608" t="s">
        <v>242</v>
      </c>
      <c r="B11608" t="s">
        <v>71</v>
      </c>
      <c r="C11608" t="s">
        <v>2</v>
      </c>
      <c r="D11608">
        <v>3364</v>
      </c>
      <c r="E11608">
        <v>2020</v>
      </c>
      <c r="F11608">
        <v>1</v>
      </c>
      <c r="G11608">
        <v>306</v>
      </c>
      <c r="H11608" s="1">
        <v>3</v>
      </c>
      <c r="I11608">
        <v>31</v>
      </c>
      <c r="J11608">
        <f>IF($H11608=0,1,IF($I11608&lt;=1,2,0))</f>
        <v>0</v>
      </c>
      <c r="K11608">
        <v>7</v>
      </c>
      <c r="L11608">
        <f>IF(AND($J11608=0,$K11608=0),0,1)</f>
        <v>1</v>
      </c>
    </row>
    <row r="11609" spans="1:13" x14ac:dyDescent="0.2">
      <c r="A11609" t="s">
        <v>242</v>
      </c>
      <c r="B11609" t="s">
        <v>71</v>
      </c>
      <c r="C11609" t="s">
        <v>2</v>
      </c>
      <c r="D11609">
        <v>3430</v>
      </c>
      <c r="E11609">
        <v>2020</v>
      </c>
      <c r="F11609">
        <v>1</v>
      </c>
      <c r="G11609">
        <v>655</v>
      </c>
      <c r="H11609" s="1">
        <v>3</v>
      </c>
      <c r="I11609">
        <v>19</v>
      </c>
      <c r="J11609">
        <f>IF($H11609=0,1,IF($I11609&lt;=1,2,0))</f>
        <v>0</v>
      </c>
      <c r="K11609">
        <v>7</v>
      </c>
      <c r="L11609">
        <f>IF(AND($J11609=0,$K11609=0),0,1)</f>
        <v>1</v>
      </c>
      <c r="M11609" t="s">
        <v>942</v>
      </c>
    </row>
    <row r="11610" spans="1:13" x14ac:dyDescent="0.2">
      <c r="A11610" t="s">
        <v>242</v>
      </c>
      <c r="B11610" t="s">
        <v>71</v>
      </c>
      <c r="C11610" t="s">
        <v>2</v>
      </c>
      <c r="D11610">
        <v>3997</v>
      </c>
      <c r="E11610">
        <v>2020</v>
      </c>
      <c r="F11610">
        <v>1</v>
      </c>
      <c r="G11610">
        <v>753</v>
      </c>
      <c r="H11610" s="1">
        <v>3</v>
      </c>
      <c r="I11610">
        <v>4</v>
      </c>
      <c r="J11610">
        <f>IF($H11610=0,1,IF($I11610&lt;=1,2,0))</f>
        <v>0</v>
      </c>
      <c r="K11610">
        <v>7</v>
      </c>
      <c r="L11610">
        <f>IF(AND($J11610=0,$K11610=0),0,1)</f>
        <v>1</v>
      </c>
      <c r="M11610" t="s">
        <v>943</v>
      </c>
    </row>
    <row r="11611" spans="1:13" x14ac:dyDescent="0.2">
      <c r="A11611" t="s">
        <v>242</v>
      </c>
      <c r="B11611" t="s">
        <v>71</v>
      </c>
      <c r="C11611" t="s">
        <v>9</v>
      </c>
      <c r="D11611">
        <v>4111</v>
      </c>
      <c r="E11611">
        <v>2020</v>
      </c>
      <c r="F11611" t="s">
        <v>60</v>
      </c>
      <c r="G11611">
        <v>22805</v>
      </c>
      <c r="H11611" s="1">
        <v>0</v>
      </c>
      <c r="I11611">
        <v>4</v>
      </c>
      <c r="J11611">
        <f>IF($H11611=0,1,IF($I11611&lt;=1,2,0))</f>
        <v>1</v>
      </c>
      <c r="K11611">
        <v>0</v>
      </c>
      <c r="L11611">
        <f>IF(AND($J11611=0,$K11611=0),0,1)</f>
        <v>1</v>
      </c>
      <c r="M11611" t="s">
        <v>944</v>
      </c>
    </row>
    <row r="11612" spans="1:13" x14ac:dyDescent="0.2">
      <c r="A11612" t="s">
        <v>242</v>
      </c>
      <c r="B11612" t="s">
        <v>71</v>
      </c>
      <c r="C11612" t="s">
        <v>9</v>
      </c>
      <c r="D11612">
        <v>4118</v>
      </c>
      <c r="E11612">
        <v>2020</v>
      </c>
      <c r="F11612" t="s">
        <v>59</v>
      </c>
      <c r="G11612">
        <v>22806</v>
      </c>
      <c r="H11612" s="1">
        <v>0</v>
      </c>
      <c r="I11612">
        <v>0</v>
      </c>
      <c r="J11612">
        <f>IF($H11612=0,1,IF($I11612&lt;=1,2,0))</f>
        <v>1</v>
      </c>
      <c r="K11612">
        <v>0</v>
      </c>
      <c r="L11612">
        <f>IF(AND($J11612=0,$K11612=0),0,1)</f>
        <v>1</v>
      </c>
      <c r="M11612" t="s">
        <v>946</v>
      </c>
    </row>
    <row r="11613" spans="1:13" x14ac:dyDescent="0.2">
      <c r="A11613" t="s">
        <v>242</v>
      </c>
      <c r="B11613" t="s">
        <v>71</v>
      </c>
      <c r="C11613" t="s">
        <v>9</v>
      </c>
      <c r="D11613">
        <v>4701</v>
      </c>
      <c r="E11613">
        <v>2020</v>
      </c>
      <c r="F11613" t="s">
        <v>250</v>
      </c>
      <c r="G11613">
        <v>24504</v>
      </c>
      <c r="H11613" s="1">
        <v>3</v>
      </c>
      <c r="I11613">
        <v>1</v>
      </c>
      <c r="J11613">
        <f>IF($H11613=0,1,IF($I11613&lt;=1,2,0))</f>
        <v>2</v>
      </c>
      <c r="K11613">
        <v>0</v>
      </c>
      <c r="L11613">
        <f>IF(AND($J11613=0,$K11613=0),0,1)</f>
        <v>1</v>
      </c>
      <c r="M11613" t="s">
        <v>85</v>
      </c>
    </row>
    <row r="11614" spans="1:13" x14ac:dyDescent="0.2">
      <c r="A11614" t="s">
        <v>242</v>
      </c>
      <c r="B11614" t="s">
        <v>71</v>
      </c>
      <c r="C11614" t="s">
        <v>9</v>
      </c>
      <c r="D11614">
        <v>4771</v>
      </c>
      <c r="E11614">
        <v>2020</v>
      </c>
      <c r="F11614" t="s">
        <v>60</v>
      </c>
      <c r="G11614">
        <v>22807</v>
      </c>
      <c r="H11614" s="1">
        <v>0</v>
      </c>
      <c r="I11614">
        <v>3</v>
      </c>
      <c r="J11614">
        <f>IF($H11614=0,1,IF($I11614&lt;=1,2,0))</f>
        <v>1</v>
      </c>
      <c r="K11614">
        <v>0</v>
      </c>
      <c r="L11614">
        <f>IF(AND($J11614=0,$K11614=0),0,1)</f>
        <v>1</v>
      </c>
      <c r="M11614" t="s">
        <v>947</v>
      </c>
    </row>
    <row r="11615" spans="1:13" x14ac:dyDescent="0.2">
      <c r="A11615" t="s">
        <v>242</v>
      </c>
      <c r="B11615" t="s">
        <v>71</v>
      </c>
      <c r="C11615" t="s">
        <v>9</v>
      </c>
      <c r="D11615">
        <v>4901</v>
      </c>
      <c r="E11615">
        <v>2020</v>
      </c>
      <c r="F11615">
        <v>78</v>
      </c>
      <c r="G11615">
        <v>25090</v>
      </c>
      <c r="H11615" s="1" t="s">
        <v>1827</v>
      </c>
      <c r="I11615">
        <v>1</v>
      </c>
      <c r="J11615">
        <f>IF($H11615=0,1,IF($I11615&lt;=1,2,0))</f>
        <v>2</v>
      </c>
      <c r="K11615">
        <v>0</v>
      </c>
      <c r="L11615">
        <f>IF(AND($J11615=0,$K11615=0),0,1)</f>
        <v>1</v>
      </c>
    </row>
    <row r="11616" spans="1:13" x14ac:dyDescent="0.2">
      <c r="A11616" t="s">
        <v>242</v>
      </c>
      <c r="B11616" t="s">
        <v>71</v>
      </c>
      <c r="C11616" t="s">
        <v>9</v>
      </c>
      <c r="D11616">
        <v>4995</v>
      </c>
      <c r="E11616">
        <v>2020</v>
      </c>
      <c r="F11616" t="s">
        <v>945</v>
      </c>
      <c r="G11616">
        <v>21556</v>
      </c>
      <c r="H11616" s="1">
        <v>3</v>
      </c>
      <c r="I11616">
        <v>1</v>
      </c>
      <c r="J11616">
        <f>IF($H11616=0,1,IF($I11616&lt;=1,2,0))</f>
        <v>2</v>
      </c>
      <c r="K11616">
        <v>0</v>
      </c>
      <c r="L11616">
        <f>IF(AND($J11616=0,$K11616=0),0,1)</f>
        <v>1</v>
      </c>
      <c r="M11616" t="s">
        <v>85</v>
      </c>
    </row>
    <row r="11617" spans="1:13" x14ac:dyDescent="0.2">
      <c r="A11617" t="s">
        <v>242</v>
      </c>
      <c r="B11617" t="s">
        <v>71</v>
      </c>
      <c r="C11617" t="s">
        <v>72</v>
      </c>
      <c r="D11617">
        <v>6113</v>
      </c>
      <c r="E11617">
        <v>2020</v>
      </c>
      <c r="F11617" t="s">
        <v>59</v>
      </c>
      <c r="G11617">
        <v>22808</v>
      </c>
      <c r="H11617" s="1">
        <v>0</v>
      </c>
      <c r="I11617">
        <v>1</v>
      </c>
      <c r="J11617">
        <f>IF($H11617=0,1,IF($I11617&lt;=1,2,0))</f>
        <v>1</v>
      </c>
      <c r="K11617">
        <v>0</v>
      </c>
      <c r="L11617">
        <f>IF(AND($J11617=0,$K11617=0),0,1)</f>
        <v>1</v>
      </c>
      <c r="M11617" t="s">
        <v>949</v>
      </c>
    </row>
    <row r="11618" spans="1:13" x14ac:dyDescent="0.2">
      <c r="A11618" t="s">
        <v>242</v>
      </c>
      <c r="B11618" t="s">
        <v>71</v>
      </c>
      <c r="C11618" t="s">
        <v>72</v>
      </c>
      <c r="D11618">
        <v>6998</v>
      </c>
      <c r="E11618">
        <v>2020</v>
      </c>
      <c r="F11618" t="s">
        <v>951</v>
      </c>
      <c r="G11618">
        <v>21569</v>
      </c>
      <c r="H11618" s="1">
        <v>3</v>
      </c>
      <c r="I11618">
        <v>1</v>
      </c>
      <c r="J11618">
        <f>IF($H11618=0,1,IF($I11618&lt;=1,2,0))</f>
        <v>2</v>
      </c>
      <c r="K11618">
        <v>0</v>
      </c>
      <c r="L11618">
        <f>IF(AND($J11618=0,$K11618=0),0,1)</f>
        <v>1</v>
      </c>
      <c r="M11618" t="s">
        <v>85</v>
      </c>
    </row>
    <row r="11619" spans="1:13" x14ac:dyDescent="0.2">
      <c r="A11619" t="s">
        <v>242</v>
      </c>
      <c r="B11619" t="s">
        <v>71</v>
      </c>
      <c r="C11619" t="s">
        <v>72</v>
      </c>
      <c r="D11619">
        <v>6998</v>
      </c>
      <c r="E11619">
        <v>2020</v>
      </c>
      <c r="F11619" t="s">
        <v>83</v>
      </c>
      <c r="G11619">
        <v>22809</v>
      </c>
      <c r="H11619" s="1">
        <v>0</v>
      </c>
      <c r="I11619">
        <v>0</v>
      </c>
      <c r="J11619">
        <f>IF($H11619=0,1,IF($I11619&lt;=1,2,0))</f>
        <v>1</v>
      </c>
      <c r="K11619">
        <v>0</v>
      </c>
      <c r="L11619">
        <f>IF(AND($J11619=0,$K11619=0),0,1)</f>
        <v>1</v>
      </c>
      <c r="M11619" t="s">
        <v>950</v>
      </c>
    </row>
    <row r="11620" spans="1:13" x14ac:dyDescent="0.2">
      <c r="A11620" t="s">
        <v>255</v>
      </c>
      <c r="B11620" t="s">
        <v>17</v>
      </c>
      <c r="C11620" t="s">
        <v>21</v>
      </c>
      <c r="D11620">
        <v>3995</v>
      </c>
      <c r="E11620">
        <v>2020</v>
      </c>
      <c r="F11620">
        <v>1</v>
      </c>
      <c r="G11620">
        <v>21514</v>
      </c>
      <c r="H11620" s="1">
        <v>3</v>
      </c>
      <c r="I11620">
        <v>0</v>
      </c>
      <c r="J11620">
        <f>IF($H11620=0,1,IF($I11620&lt;=1,2,0))</f>
        <v>2</v>
      </c>
      <c r="K11620">
        <v>0</v>
      </c>
      <c r="L11620">
        <f>IF(AND($J11620=0,$K11620=0),0,1)</f>
        <v>1</v>
      </c>
      <c r="M11620" t="s">
        <v>956</v>
      </c>
    </row>
    <row r="11621" spans="1:13" x14ac:dyDescent="0.2">
      <c r="A11621" t="s">
        <v>255</v>
      </c>
      <c r="B11621" t="s">
        <v>17</v>
      </c>
      <c r="C11621" t="s">
        <v>9</v>
      </c>
      <c r="D11621">
        <v>4998</v>
      </c>
      <c r="E11621">
        <v>2020</v>
      </c>
      <c r="F11621">
        <v>1</v>
      </c>
      <c r="G11621">
        <v>21565</v>
      </c>
      <c r="H11621" s="1" t="s">
        <v>1827</v>
      </c>
      <c r="I11621">
        <v>2</v>
      </c>
      <c r="J11621">
        <f>IF($H11621=0,1,IF($I11621&lt;=1,2,0))</f>
        <v>0</v>
      </c>
      <c r="K11621">
        <v>9</v>
      </c>
      <c r="L11621">
        <f>IF(AND($J11621=0,$K11621=0),0,1)</f>
        <v>1</v>
      </c>
    </row>
    <row r="11622" spans="1:13" x14ac:dyDescent="0.2">
      <c r="A11622" t="s">
        <v>255</v>
      </c>
      <c r="B11622" t="s">
        <v>17</v>
      </c>
      <c r="C11622" t="s">
        <v>9</v>
      </c>
      <c r="D11622">
        <v>4998</v>
      </c>
      <c r="E11622">
        <v>2020</v>
      </c>
      <c r="F11622">
        <v>2</v>
      </c>
      <c r="G11622">
        <v>22264</v>
      </c>
      <c r="H11622" s="1" t="s">
        <v>1827</v>
      </c>
      <c r="I11622">
        <v>1</v>
      </c>
      <c r="J11622">
        <f>IF($H11622=0,1,IF($I11622&lt;=1,2,0))</f>
        <v>2</v>
      </c>
      <c r="K11622">
        <v>9</v>
      </c>
      <c r="L11622">
        <f>IF(AND($J11622=0,$K11622=0),0,1)</f>
        <v>1</v>
      </c>
      <c r="M11622" t="s">
        <v>957</v>
      </c>
    </row>
    <row r="11623" spans="1:13" x14ac:dyDescent="0.2">
      <c r="A11623" t="s">
        <v>255</v>
      </c>
      <c r="B11623" t="s">
        <v>17</v>
      </c>
      <c r="C11623" t="s">
        <v>34</v>
      </c>
      <c r="D11623">
        <v>6100</v>
      </c>
      <c r="E11623">
        <v>2020</v>
      </c>
      <c r="F11623">
        <v>1</v>
      </c>
      <c r="G11623">
        <v>10230</v>
      </c>
      <c r="H11623" s="1">
        <v>4</v>
      </c>
      <c r="I11623">
        <v>15</v>
      </c>
      <c r="J11623">
        <f>IF($H11623=0,1,IF($I11623&lt;=1,2,0))</f>
        <v>0</v>
      </c>
      <c r="K11623">
        <v>4</v>
      </c>
      <c r="L11623">
        <f>IF(AND($J11623=0,$K11623=0),0,1)</f>
        <v>1</v>
      </c>
      <c r="M11623" t="s">
        <v>1988</v>
      </c>
    </row>
    <row r="11624" spans="1:13" x14ac:dyDescent="0.2">
      <c r="A11624" t="s">
        <v>258</v>
      </c>
      <c r="B11624" t="s">
        <v>17</v>
      </c>
      <c r="C11624" t="s">
        <v>2</v>
      </c>
      <c r="D11624">
        <v>3000</v>
      </c>
      <c r="E11624">
        <v>2020</v>
      </c>
      <c r="F11624">
        <v>1</v>
      </c>
      <c r="G11624">
        <v>162</v>
      </c>
      <c r="H11624" s="1">
        <v>4</v>
      </c>
      <c r="I11624">
        <v>13</v>
      </c>
      <c r="J11624">
        <f>IF($H11624=0,1,IF($I11624&lt;=1,2,0))</f>
        <v>0</v>
      </c>
      <c r="K11624">
        <v>7</v>
      </c>
      <c r="L11624">
        <f>IF(AND($J11624=0,$K11624=0),0,1)</f>
        <v>1</v>
      </c>
      <c r="M11624" t="s">
        <v>960</v>
      </c>
    </row>
    <row r="11625" spans="1:13" x14ac:dyDescent="0.2">
      <c r="A11625" t="s">
        <v>258</v>
      </c>
      <c r="B11625" t="s">
        <v>17</v>
      </c>
      <c r="C11625" t="s">
        <v>2</v>
      </c>
      <c r="D11625">
        <v>3001</v>
      </c>
      <c r="E11625">
        <v>2020</v>
      </c>
      <c r="F11625">
        <v>1</v>
      </c>
      <c r="G11625">
        <v>163</v>
      </c>
      <c r="H11625" s="1">
        <v>3</v>
      </c>
      <c r="I11625">
        <v>25</v>
      </c>
      <c r="J11625">
        <f>IF($H11625=0,1,IF($I11625&lt;=1,2,0))</f>
        <v>0</v>
      </c>
      <c r="K11625">
        <v>7</v>
      </c>
      <c r="L11625">
        <f>IF(AND($J11625=0,$K11625=0),0,1)</f>
        <v>1</v>
      </c>
      <c r="M11625" t="s">
        <v>961</v>
      </c>
    </row>
    <row r="11626" spans="1:13" x14ac:dyDescent="0.2">
      <c r="A11626" t="s">
        <v>258</v>
      </c>
      <c r="B11626" t="s">
        <v>17</v>
      </c>
      <c r="C11626" t="s">
        <v>2</v>
      </c>
      <c r="D11626">
        <v>3110</v>
      </c>
      <c r="E11626">
        <v>2020</v>
      </c>
      <c r="F11626">
        <v>1</v>
      </c>
      <c r="G11626">
        <v>161</v>
      </c>
      <c r="H11626" s="1">
        <v>3</v>
      </c>
      <c r="I11626">
        <v>59</v>
      </c>
      <c r="J11626">
        <f>IF($H11626=0,1,IF($I11626&lt;=1,2,0))</f>
        <v>0</v>
      </c>
      <c r="K11626">
        <v>7</v>
      </c>
      <c r="L11626">
        <f>IF(AND($J11626=0,$K11626=0),0,1)</f>
        <v>1</v>
      </c>
    </row>
    <row r="11627" spans="1:13" x14ac:dyDescent="0.2">
      <c r="A11627" t="s">
        <v>258</v>
      </c>
      <c r="B11627" t="s">
        <v>17</v>
      </c>
      <c r="C11627" t="s">
        <v>2</v>
      </c>
      <c r="D11627">
        <v>3144</v>
      </c>
      <c r="E11627">
        <v>2020</v>
      </c>
      <c r="F11627">
        <v>1</v>
      </c>
      <c r="G11627">
        <v>164</v>
      </c>
      <c r="H11627" s="1">
        <v>3</v>
      </c>
      <c r="I11627">
        <v>12</v>
      </c>
      <c r="J11627">
        <f>IF($H11627=0,1,IF($I11627&lt;=1,2,0))</f>
        <v>0</v>
      </c>
      <c r="K11627">
        <v>7</v>
      </c>
      <c r="L11627">
        <f>IF(AND($J11627=0,$K11627=0),0,1)</f>
        <v>1</v>
      </c>
    </row>
    <row r="11628" spans="1:13" x14ac:dyDescent="0.2">
      <c r="A11628" t="s">
        <v>258</v>
      </c>
      <c r="B11628" t="s">
        <v>17</v>
      </c>
      <c r="C11628" t="s">
        <v>2</v>
      </c>
      <c r="D11628">
        <v>3200</v>
      </c>
      <c r="E11628">
        <v>2020</v>
      </c>
      <c r="F11628">
        <v>1</v>
      </c>
      <c r="G11628">
        <v>165</v>
      </c>
      <c r="H11628" s="1">
        <v>3</v>
      </c>
      <c r="I11628">
        <v>4</v>
      </c>
      <c r="J11628">
        <f>IF($H11628=0,1,IF($I11628&lt;=1,2,0))</f>
        <v>0</v>
      </c>
      <c r="K11628">
        <v>7</v>
      </c>
      <c r="L11628">
        <f>IF(AND($J11628=0,$K11628=0),0,1)</f>
        <v>1</v>
      </c>
    </row>
    <row r="11629" spans="1:13" x14ac:dyDescent="0.2">
      <c r="A11629" t="s">
        <v>258</v>
      </c>
      <c r="B11629" t="s">
        <v>17</v>
      </c>
      <c r="C11629" t="s">
        <v>2</v>
      </c>
      <c r="D11629">
        <v>3551</v>
      </c>
      <c r="E11629">
        <v>2020</v>
      </c>
      <c r="F11629">
        <v>1</v>
      </c>
      <c r="G11629">
        <v>166</v>
      </c>
      <c r="H11629" s="1">
        <v>4</v>
      </c>
      <c r="I11629">
        <v>7</v>
      </c>
      <c r="J11629">
        <f>IF($H11629=0,1,IF($I11629&lt;=1,2,0))</f>
        <v>0</v>
      </c>
      <c r="K11629">
        <v>7</v>
      </c>
      <c r="L11629">
        <f>IF(AND($J11629=0,$K11629=0),0,1)</f>
        <v>1</v>
      </c>
    </row>
    <row r="11630" spans="1:13" x14ac:dyDescent="0.2">
      <c r="A11630" t="s">
        <v>258</v>
      </c>
      <c r="B11630" t="s">
        <v>17</v>
      </c>
      <c r="C11630" t="s">
        <v>2</v>
      </c>
      <c r="D11630">
        <v>3675</v>
      </c>
      <c r="E11630">
        <v>2020</v>
      </c>
      <c r="F11630">
        <v>1</v>
      </c>
      <c r="G11630">
        <v>378</v>
      </c>
      <c r="H11630" s="1">
        <v>3</v>
      </c>
      <c r="I11630">
        <v>24</v>
      </c>
      <c r="J11630">
        <f>IF($H11630=0,1,IF($I11630&lt;=1,2,0))</f>
        <v>0</v>
      </c>
      <c r="K11630">
        <v>7</v>
      </c>
      <c r="L11630">
        <f>IF(AND($J11630=0,$K11630=0),0,1)</f>
        <v>1</v>
      </c>
    </row>
    <row r="11631" spans="1:13" x14ac:dyDescent="0.2">
      <c r="A11631" t="s">
        <v>262</v>
      </c>
      <c r="B11631" t="s">
        <v>6</v>
      </c>
      <c r="C11631" t="s">
        <v>9</v>
      </c>
      <c r="D11631">
        <v>1111</v>
      </c>
      <c r="E11631">
        <v>2020</v>
      </c>
      <c r="F11631">
        <v>2</v>
      </c>
      <c r="G11631">
        <v>24920</v>
      </c>
      <c r="H11631" s="1">
        <v>0</v>
      </c>
      <c r="I11631">
        <v>22</v>
      </c>
      <c r="J11631">
        <f>IF($H11631=0,1,IF($I11631&lt;=1,2,0))</f>
        <v>1</v>
      </c>
      <c r="K11631">
        <v>0</v>
      </c>
      <c r="L11631">
        <f>IF(AND($J11631=0,$K11631=0),0,1)</f>
        <v>1</v>
      </c>
    </row>
    <row r="11632" spans="1:13" x14ac:dyDescent="0.2">
      <c r="A11632" t="s">
        <v>262</v>
      </c>
      <c r="B11632" t="s">
        <v>6</v>
      </c>
      <c r="C11632" t="s">
        <v>9</v>
      </c>
      <c r="D11632">
        <v>1111</v>
      </c>
      <c r="E11632">
        <v>2020</v>
      </c>
      <c r="F11632">
        <v>3</v>
      </c>
      <c r="G11632">
        <v>24921</v>
      </c>
      <c r="H11632" s="1">
        <v>0</v>
      </c>
      <c r="I11632">
        <v>20</v>
      </c>
      <c r="J11632">
        <f>IF($H11632=0,1,IF($I11632&lt;=1,2,0))</f>
        <v>1</v>
      </c>
      <c r="K11632">
        <v>0</v>
      </c>
      <c r="L11632">
        <f>IF(AND($J11632=0,$K11632=0),0,1)</f>
        <v>1</v>
      </c>
    </row>
    <row r="11633" spans="1:13" x14ac:dyDescent="0.2">
      <c r="A11633" t="s">
        <v>262</v>
      </c>
      <c r="B11633" t="s">
        <v>6</v>
      </c>
      <c r="C11633" t="s">
        <v>9</v>
      </c>
      <c r="D11633">
        <v>1111</v>
      </c>
      <c r="E11633">
        <v>2020</v>
      </c>
      <c r="F11633">
        <v>1</v>
      </c>
      <c r="G11633">
        <v>24919</v>
      </c>
      <c r="H11633" s="1">
        <v>0</v>
      </c>
      <c r="I11633">
        <v>12</v>
      </c>
      <c r="J11633">
        <f>IF($H11633=0,1,IF($I11633&lt;=1,2,0))</f>
        <v>1</v>
      </c>
      <c r="K11633">
        <v>0</v>
      </c>
      <c r="L11633">
        <f>IF(AND($J11633=0,$K11633=0),0,1)</f>
        <v>1</v>
      </c>
    </row>
    <row r="11634" spans="1:13" x14ac:dyDescent="0.2">
      <c r="A11634" t="s">
        <v>267</v>
      </c>
      <c r="B11634" t="s">
        <v>17</v>
      </c>
      <c r="C11634" t="s">
        <v>9</v>
      </c>
      <c r="D11634">
        <v>2101</v>
      </c>
      <c r="E11634">
        <v>2020</v>
      </c>
      <c r="F11634">
        <v>1</v>
      </c>
      <c r="G11634">
        <v>10594</v>
      </c>
      <c r="H11634" s="1">
        <v>4</v>
      </c>
      <c r="I11634">
        <v>0</v>
      </c>
      <c r="J11634">
        <f>IF($H11634=0,1,IF($I11634&lt;=1,2,0))</f>
        <v>2</v>
      </c>
      <c r="K11634">
        <v>0</v>
      </c>
      <c r="L11634">
        <f>IF(AND($J11634=0,$K11634=0),0,1)</f>
        <v>1</v>
      </c>
    </row>
    <row r="11635" spans="1:13" x14ac:dyDescent="0.2">
      <c r="A11635" t="s">
        <v>267</v>
      </c>
      <c r="B11635" t="s">
        <v>17</v>
      </c>
      <c r="C11635" t="s">
        <v>9</v>
      </c>
      <c r="D11635">
        <v>4333</v>
      </c>
      <c r="E11635">
        <v>2020</v>
      </c>
      <c r="F11635">
        <v>1</v>
      </c>
      <c r="G11635">
        <v>10421</v>
      </c>
      <c r="H11635" s="1">
        <v>3</v>
      </c>
      <c r="I11635">
        <v>0</v>
      </c>
      <c r="J11635">
        <f>IF($H11635=0,1,IF($I11635&lt;=1,2,0))</f>
        <v>2</v>
      </c>
      <c r="K11635">
        <v>0</v>
      </c>
      <c r="L11635">
        <f>IF(AND($J11635=0,$K11635=0),0,1)</f>
        <v>1</v>
      </c>
    </row>
    <row r="11636" spans="1:13" x14ac:dyDescent="0.2">
      <c r="A11636" t="s">
        <v>268</v>
      </c>
      <c r="B11636" t="s">
        <v>1</v>
      </c>
      <c r="C11636" t="s">
        <v>2</v>
      </c>
      <c r="D11636">
        <v>1135</v>
      </c>
      <c r="E11636">
        <v>2020</v>
      </c>
      <c r="F11636">
        <v>2</v>
      </c>
      <c r="G11636">
        <v>443</v>
      </c>
      <c r="H11636" s="1" t="s">
        <v>1831</v>
      </c>
      <c r="I11636">
        <v>17</v>
      </c>
      <c r="J11636">
        <f>IF($H11636=0,1,IF($I11636&lt;=1,2,0))</f>
        <v>0</v>
      </c>
      <c r="K11636">
        <v>7</v>
      </c>
      <c r="L11636">
        <f>IF(AND($J11636=0,$K11636=0),0,1)</f>
        <v>1</v>
      </c>
    </row>
    <row r="11637" spans="1:13" x14ac:dyDescent="0.2">
      <c r="A11637" t="s">
        <v>268</v>
      </c>
      <c r="B11637" t="s">
        <v>1</v>
      </c>
      <c r="C11637" t="s">
        <v>2</v>
      </c>
      <c r="D11637">
        <v>1135</v>
      </c>
      <c r="E11637">
        <v>2020</v>
      </c>
      <c r="F11637">
        <v>1</v>
      </c>
      <c r="G11637">
        <v>442</v>
      </c>
      <c r="H11637" s="1" t="s">
        <v>1831</v>
      </c>
      <c r="I11637">
        <v>14</v>
      </c>
      <c r="J11637">
        <f>IF($H11637=0,1,IF($I11637&lt;=1,2,0))</f>
        <v>0</v>
      </c>
      <c r="K11637">
        <v>7</v>
      </c>
      <c r="L11637">
        <f>IF(AND($J11637=0,$K11637=0),0,1)</f>
        <v>1</v>
      </c>
    </row>
    <row r="11638" spans="1:13" x14ac:dyDescent="0.2">
      <c r="A11638" t="s">
        <v>268</v>
      </c>
      <c r="B11638" t="s">
        <v>1</v>
      </c>
      <c r="C11638" t="s">
        <v>2</v>
      </c>
      <c r="D11638">
        <v>1137</v>
      </c>
      <c r="E11638">
        <v>2020</v>
      </c>
      <c r="F11638">
        <v>1</v>
      </c>
      <c r="G11638">
        <v>444</v>
      </c>
      <c r="H11638" s="1" t="s">
        <v>1831</v>
      </c>
      <c r="I11638">
        <v>12</v>
      </c>
      <c r="J11638">
        <f>IF($H11638=0,1,IF($I11638&lt;=1,2,0))</f>
        <v>0</v>
      </c>
      <c r="K11638">
        <v>7</v>
      </c>
      <c r="L11638">
        <f>IF(AND($J11638=0,$K11638=0),0,1)</f>
        <v>1</v>
      </c>
    </row>
    <row r="11639" spans="1:13" x14ac:dyDescent="0.2">
      <c r="A11639" t="s">
        <v>268</v>
      </c>
      <c r="B11639" t="s">
        <v>1</v>
      </c>
      <c r="C11639" t="s">
        <v>2</v>
      </c>
      <c r="D11639">
        <v>1247</v>
      </c>
      <c r="E11639">
        <v>2020</v>
      </c>
      <c r="F11639">
        <v>1</v>
      </c>
      <c r="G11639">
        <v>721</v>
      </c>
      <c r="H11639" s="1" t="s">
        <v>1831</v>
      </c>
      <c r="I11639">
        <v>7</v>
      </c>
      <c r="J11639">
        <f>IF($H11639=0,1,IF($I11639&lt;=1,2,0))</f>
        <v>0</v>
      </c>
      <c r="K11639">
        <v>7</v>
      </c>
      <c r="L11639">
        <f>IF(AND($J11639=0,$K11639=0),0,1)</f>
        <v>1</v>
      </c>
    </row>
    <row r="11640" spans="1:13" x14ac:dyDescent="0.2">
      <c r="A11640" t="s">
        <v>268</v>
      </c>
      <c r="B11640" t="s">
        <v>1</v>
      </c>
      <c r="C11640" t="s">
        <v>2</v>
      </c>
      <c r="D11640">
        <v>1250</v>
      </c>
      <c r="E11640">
        <v>2020</v>
      </c>
      <c r="F11640">
        <v>1</v>
      </c>
      <c r="G11640">
        <v>445</v>
      </c>
      <c r="H11640" s="1" t="s">
        <v>1831</v>
      </c>
      <c r="I11640">
        <v>18</v>
      </c>
      <c r="J11640">
        <f>IF($H11640=0,1,IF($I11640&lt;=1,2,0))</f>
        <v>0</v>
      </c>
      <c r="K11640">
        <v>7</v>
      </c>
      <c r="L11640">
        <f>IF(AND($J11640=0,$K11640=0),0,1)</f>
        <v>1</v>
      </c>
      <c r="M11640" t="s">
        <v>968</v>
      </c>
    </row>
    <row r="11641" spans="1:13" x14ac:dyDescent="0.2">
      <c r="A11641" t="s">
        <v>268</v>
      </c>
      <c r="B11641" t="s">
        <v>1</v>
      </c>
      <c r="C11641" t="s">
        <v>2</v>
      </c>
      <c r="D11641">
        <v>1330</v>
      </c>
      <c r="E11641">
        <v>2020</v>
      </c>
      <c r="F11641">
        <v>2</v>
      </c>
      <c r="G11641">
        <v>714</v>
      </c>
      <c r="H11641" s="1" t="s">
        <v>1831</v>
      </c>
      <c r="I11641">
        <v>30</v>
      </c>
      <c r="J11641">
        <f>IF($H11641=0,1,IF($I11641&lt;=1,2,0))</f>
        <v>0</v>
      </c>
      <c r="K11641">
        <v>7</v>
      </c>
      <c r="L11641">
        <f>IF(AND($J11641=0,$K11641=0),0,1)</f>
        <v>1</v>
      </c>
    </row>
    <row r="11642" spans="1:13" x14ac:dyDescent="0.2">
      <c r="A11642" t="s">
        <v>268</v>
      </c>
      <c r="B11642" t="s">
        <v>1</v>
      </c>
      <c r="C11642" t="s">
        <v>2</v>
      </c>
      <c r="D11642">
        <v>1330</v>
      </c>
      <c r="E11642">
        <v>2020</v>
      </c>
      <c r="F11642">
        <v>1</v>
      </c>
      <c r="G11642">
        <v>446</v>
      </c>
      <c r="H11642" s="1" t="s">
        <v>1831</v>
      </c>
      <c r="I11642">
        <v>20</v>
      </c>
      <c r="J11642">
        <f>IF($H11642=0,1,IF($I11642&lt;=1,2,0))</f>
        <v>0</v>
      </c>
      <c r="K11642">
        <v>7</v>
      </c>
      <c r="L11642">
        <f>IF(AND($J11642=0,$K11642=0),0,1)</f>
        <v>1</v>
      </c>
    </row>
    <row r="11643" spans="1:13" x14ac:dyDescent="0.2">
      <c r="A11643" t="s">
        <v>268</v>
      </c>
      <c r="B11643" t="s">
        <v>1</v>
      </c>
      <c r="C11643" t="s">
        <v>2</v>
      </c>
      <c r="D11643">
        <v>1332</v>
      </c>
      <c r="E11643">
        <v>2020</v>
      </c>
      <c r="F11643">
        <v>1</v>
      </c>
      <c r="G11643">
        <v>447</v>
      </c>
      <c r="H11643" s="1" t="s">
        <v>1831</v>
      </c>
      <c r="I11643">
        <v>8</v>
      </c>
      <c r="J11643">
        <f>IF($H11643=0,1,IF($I11643&lt;=1,2,0))</f>
        <v>0</v>
      </c>
      <c r="K11643">
        <v>7</v>
      </c>
      <c r="L11643">
        <f>IF(AND($J11643=0,$K11643=0),0,1)</f>
        <v>1</v>
      </c>
    </row>
    <row r="11644" spans="1:13" x14ac:dyDescent="0.2">
      <c r="A11644" t="s">
        <v>268</v>
      </c>
      <c r="B11644" t="s">
        <v>1</v>
      </c>
      <c r="C11644" t="s">
        <v>2</v>
      </c>
      <c r="D11644">
        <v>2137</v>
      </c>
      <c r="E11644">
        <v>2020</v>
      </c>
      <c r="F11644">
        <v>1</v>
      </c>
      <c r="G11644">
        <v>448</v>
      </c>
      <c r="H11644" s="1" t="s">
        <v>1831</v>
      </c>
      <c r="I11644">
        <v>7</v>
      </c>
      <c r="J11644">
        <f>IF($H11644=0,1,IF($I11644&lt;=1,2,0))</f>
        <v>0</v>
      </c>
      <c r="K11644">
        <v>7</v>
      </c>
      <c r="L11644">
        <f>IF(AND($J11644=0,$K11644=0),0,1)</f>
        <v>1</v>
      </c>
    </row>
    <row r="11645" spans="1:13" x14ac:dyDescent="0.2">
      <c r="A11645" t="s">
        <v>268</v>
      </c>
      <c r="B11645" t="s">
        <v>1</v>
      </c>
      <c r="C11645" t="s">
        <v>2</v>
      </c>
      <c r="D11645">
        <v>2139</v>
      </c>
      <c r="E11645">
        <v>2020</v>
      </c>
      <c r="F11645">
        <v>1</v>
      </c>
      <c r="G11645">
        <v>450</v>
      </c>
      <c r="H11645" s="1" t="s">
        <v>1831</v>
      </c>
      <c r="I11645">
        <v>8</v>
      </c>
      <c r="J11645">
        <f>IF($H11645=0,1,IF($I11645&lt;=1,2,0))</f>
        <v>0</v>
      </c>
      <c r="K11645">
        <v>7</v>
      </c>
      <c r="L11645">
        <f>IF(AND($J11645=0,$K11645=0),0,1)</f>
        <v>1</v>
      </c>
    </row>
    <row r="11646" spans="1:13" x14ac:dyDescent="0.2">
      <c r="A11646" t="s">
        <v>268</v>
      </c>
      <c r="B11646" t="s">
        <v>1</v>
      </c>
      <c r="C11646" t="s">
        <v>2</v>
      </c>
      <c r="D11646">
        <v>2250</v>
      </c>
      <c r="E11646">
        <v>2020</v>
      </c>
      <c r="F11646">
        <v>1</v>
      </c>
      <c r="G11646">
        <v>451</v>
      </c>
      <c r="H11646" s="1" t="s">
        <v>1831</v>
      </c>
      <c r="I11646">
        <v>10</v>
      </c>
      <c r="J11646">
        <f>IF($H11646=0,1,IF($I11646&lt;=1,2,0))</f>
        <v>0</v>
      </c>
      <c r="K11646">
        <v>7</v>
      </c>
      <c r="L11646">
        <f>IF(AND($J11646=0,$K11646=0),0,1)</f>
        <v>1</v>
      </c>
      <c r="M11646" t="s">
        <v>969</v>
      </c>
    </row>
    <row r="11647" spans="1:13" x14ac:dyDescent="0.2">
      <c r="A11647" t="s">
        <v>268</v>
      </c>
      <c r="B11647" t="s">
        <v>1</v>
      </c>
      <c r="C11647" t="s">
        <v>2</v>
      </c>
      <c r="D11647">
        <v>2252</v>
      </c>
      <c r="E11647">
        <v>2020</v>
      </c>
      <c r="F11647">
        <v>1</v>
      </c>
      <c r="G11647">
        <v>452</v>
      </c>
      <c r="H11647" s="1" t="s">
        <v>1831</v>
      </c>
      <c r="I11647">
        <v>13</v>
      </c>
      <c r="J11647">
        <f>IF($H11647=0,1,IF($I11647&lt;=1,2,0))</f>
        <v>0</v>
      </c>
      <c r="K11647">
        <v>7</v>
      </c>
      <c r="L11647">
        <f>IF(AND($J11647=0,$K11647=0),0,1)</f>
        <v>1</v>
      </c>
    </row>
    <row r="11648" spans="1:13" x14ac:dyDescent="0.2">
      <c r="A11648" t="s">
        <v>268</v>
      </c>
      <c r="B11648" t="s">
        <v>1</v>
      </c>
      <c r="C11648" t="s">
        <v>2</v>
      </c>
      <c r="D11648">
        <v>2253</v>
      </c>
      <c r="E11648">
        <v>2020</v>
      </c>
      <c r="F11648">
        <v>1</v>
      </c>
      <c r="G11648">
        <v>453</v>
      </c>
      <c r="H11648" s="1" t="s">
        <v>1831</v>
      </c>
      <c r="I11648">
        <v>5</v>
      </c>
      <c r="J11648">
        <f>IF($H11648=0,1,IF($I11648&lt;=1,2,0))</f>
        <v>0</v>
      </c>
      <c r="K11648">
        <v>7</v>
      </c>
      <c r="L11648">
        <f>IF(AND($J11648=0,$K11648=0),0,1)</f>
        <v>1</v>
      </c>
    </row>
    <row r="11649" spans="1:12" x14ac:dyDescent="0.2">
      <c r="A11649" t="s">
        <v>268</v>
      </c>
      <c r="B11649" t="s">
        <v>1</v>
      </c>
      <c r="C11649" t="s">
        <v>2</v>
      </c>
      <c r="D11649">
        <v>2255</v>
      </c>
      <c r="E11649">
        <v>2020</v>
      </c>
      <c r="F11649">
        <v>1</v>
      </c>
      <c r="G11649">
        <v>455</v>
      </c>
      <c r="H11649" s="1" t="s">
        <v>1831</v>
      </c>
      <c r="I11649">
        <v>19</v>
      </c>
      <c r="J11649">
        <f>IF($H11649=0,1,IF($I11649&lt;=1,2,0))</f>
        <v>0</v>
      </c>
      <c r="K11649">
        <v>7</v>
      </c>
      <c r="L11649">
        <f>IF(AND($J11649=0,$K11649=0),0,1)</f>
        <v>1</v>
      </c>
    </row>
    <row r="11650" spans="1:12" x14ac:dyDescent="0.2">
      <c r="A11650" t="s">
        <v>268</v>
      </c>
      <c r="B11650" t="s">
        <v>1</v>
      </c>
      <c r="C11650" t="s">
        <v>2</v>
      </c>
      <c r="D11650">
        <v>2332</v>
      </c>
      <c r="E11650">
        <v>2020</v>
      </c>
      <c r="F11650">
        <v>2</v>
      </c>
      <c r="G11650">
        <v>457</v>
      </c>
      <c r="H11650" s="1" t="s">
        <v>1831</v>
      </c>
      <c r="I11650">
        <v>8</v>
      </c>
      <c r="J11650">
        <f>IF($H11650=0,1,IF($I11650&lt;=1,2,0))</f>
        <v>0</v>
      </c>
      <c r="K11650">
        <v>7</v>
      </c>
      <c r="L11650">
        <f>IF(AND($J11650=0,$K11650=0),0,1)</f>
        <v>1</v>
      </c>
    </row>
    <row r="11651" spans="1:12" x14ac:dyDescent="0.2">
      <c r="A11651" t="s">
        <v>268</v>
      </c>
      <c r="B11651" t="s">
        <v>1</v>
      </c>
      <c r="C11651" t="s">
        <v>2</v>
      </c>
      <c r="D11651">
        <v>2334</v>
      </c>
      <c r="E11651">
        <v>2020</v>
      </c>
      <c r="F11651">
        <v>1</v>
      </c>
      <c r="G11651">
        <v>458</v>
      </c>
      <c r="H11651" s="1" t="s">
        <v>1831</v>
      </c>
      <c r="I11651">
        <v>15</v>
      </c>
      <c r="J11651">
        <f>IF($H11651=0,1,IF($I11651&lt;=1,2,0))</f>
        <v>0</v>
      </c>
      <c r="K11651">
        <v>7</v>
      </c>
      <c r="L11651">
        <f>IF(AND($J11651=0,$K11651=0),0,1)</f>
        <v>1</v>
      </c>
    </row>
    <row r="11652" spans="1:12" x14ac:dyDescent="0.2">
      <c r="A11652" t="s">
        <v>268</v>
      </c>
      <c r="B11652" t="s">
        <v>1</v>
      </c>
      <c r="C11652" t="s">
        <v>2</v>
      </c>
      <c r="D11652">
        <v>2452</v>
      </c>
      <c r="E11652">
        <v>2020</v>
      </c>
      <c r="F11652">
        <v>1</v>
      </c>
      <c r="G11652">
        <v>459</v>
      </c>
      <c r="H11652" s="1" t="s">
        <v>1831</v>
      </c>
      <c r="I11652">
        <v>22</v>
      </c>
      <c r="J11652">
        <f>IF($H11652=0,1,IF($I11652&lt;=1,2,0))</f>
        <v>0</v>
      </c>
      <c r="K11652">
        <v>7</v>
      </c>
      <c r="L11652">
        <f>IF(AND($J11652=0,$K11652=0),0,1)</f>
        <v>1</v>
      </c>
    </row>
    <row r="11653" spans="1:12" x14ac:dyDescent="0.2">
      <c r="A11653" t="s">
        <v>268</v>
      </c>
      <c r="B11653" t="s">
        <v>1</v>
      </c>
      <c r="C11653" t="s">
        <v>2</v>
      </c>
      <c r="D11653">
        <v>2564</v>
      </c>
      <c r="E11653">
        <v>2020</v>
      </c>
      <c r="F11653">
        <v>1</v>
      </c>
      <c r="G11653">
        <v>460</v>
      </c>
      <c r="H11653" s="1">
        <v>3</v>
      </c>
      <c r="I11653">
        <v>13</v>
      </c>
      <c r="J11653">
        <f>IF($H11653=0,1,IF($I11653&lt;=1,2,0))</f>
        <v>0</v>
      </c>
      <c r="K11653">
        <v>7</v>
      </c>
      <c r="L11653">
        <f>IF(AND($J11653=0,$K11653=0),0,1)</f>
        <v>1</v>
      </c>
    </row>
    <row r="11654" spans="1:12" x14ac:dyDescent="0.2">
      <c r="A11654" t="s">
        <v>268</v>
      </c>
      <c r="B11654" t="s">
        <v>1</v>
      </c>
      <c r="C11654" t="s">
        <v>2</v>
      </c>
      <c r="D11654">
        <v>3001</v>
      </c>
      <c r="E11654">
        <v>2020</v>
      </c>
      <c r="F11654">
        <v>1</v>
      </c>
      <c r="G11654">
        <v>461</v>
      </c>
      <c r="H11654" s="1">
        <v>3</v>
      </c>
      <c r="I11654">
        <v>25</v>
      </c>
      <c r="J11654">
        <f>IF($H11654=0,1,IF($I11654&lt;=1,2,0))</f>
        <v>0</v>
      </c>
      <c r="K11654">
        <v>7</v>
      </c>
      <c r="L11654">
        <f>IF(AND($J11654=0,$K11654=0),0,1)</f>
        <v>1</v>
      </c>
    </row>
    <row r="11655" spans="1:12" x14ac:dyDescent="0.2">
      <c r="A11655" t="s">
        <v>268</v>
      </c>
      <c r="B11655" t="s">
        <v>1</v>
      </c>
      <c r="C11655" t="s">
        <v>2</v>
      </c>
      <c r="D11655">
        <v>3099</v>
      </c>
      <c r="E11655">
        <v>2020</v>
      </c>
      <c r="F11655">
        <v>1</v>
      </c>
      <c r="G11655">
        <v>977</v>
      </c>
      <c r="H11655" s="1" t="s">
        <v>1823</v>
      </c>
      <c r="I11655">
        <v>1</v>
      </c>
      <c r="J11655">
        <f>IF($H11655=0,1,IF($I11655&lt;=1,2,0))</f>
        <v>2</v>
      </c>
      <c r="K11655">
        <v>7</v>
      </c>
      <c r="L11655">
        <f>IF(AND($J11655=0,$K11655=0),0,1)</f>
        <v>1</v>
      </c>
    </row>
    <row r="11656" spans="1:12" x14ac:dyDescent="0.2">
      <c r="A11656" t="s">
        <v>268</v>
      </c>
      <c r="B11656" t="s">
        <v>1</v>
      </c>
      <c r="C11656" t="s">
        <v>2</v>
      </c>
      <c r="D11656">
        <v>3138</v>
      </c>
      <c r="E11656">
        <v>2020</v>
      </c>
      <c r="F11656">
        <v>2</v>
      </c>
      <c r="G11656">
        <v>463</v>
      </c>
      <c r="H11656" s="1" t="s">
        <v>1831</v>
      </c>
      <c r="I11656">
        <v>27</v>
      </c>
      <c r="J11656">
        <f>IF($H11656=0,1,IF($I11656&lt;=1,2,0))</f>
        <v>0</v>
      </c>
      <c r="K11656">
        <v>7</v>
      </c>
      <c r="L11656">
        <f>IF(AND($J11656=0,$K11656=0),0,1)</f>
        <v>1</v>
      </c>
    </row>
    <row r="11657" spans="1:12" x14ac:dyDescent="0.2">
      <c r="A11657" t="s">
        <v>268</v>
      </c>
      <c r="B11657" t="s">
        <v>1</v>
      </c>
      <c r="C11657" t="s">
        <v>2</v>
      </c>
      <c r="D11657">
        <v>3138</v>
      </c>
      <c r="E11657">
        <v>2020</v>
      </c>
      <c r="F11657">
        <v>1</v>
      </c>
      <c r="G11657">
        <v>462</v>
      </c>
      <c r="H11657" s="1" t="s">
        <v>1831</v>
      </c>
      <c r="I11657">
        <v>16</v>
      </c>
      <c r="J11657">
        <f>IF($H11657=0,1,IF($I11657&lt;=1,2,0))</f>
        <v>0</v>
      </c>
      <c r="K11657">
        <v>7</v>
      </c>
      <c r="L11657">
        <f>IF(AND($J11657=0,$K11657=0),0,1)</f>
        <v>1</v>
      </c>
    </row>
    <row r="11658" spans="1:12" x14ac:dyDescent="0.2">
      <c r="A11658" t="s">
        <v>268</v>
      </c>
      <c r="B11658" t="s">
        <v>1</v>
      </c>
      <c r="C11658" t="s">
        <v>2</v>
      </c>
      <c r="D11658">
        <v>3140</v>
      </c>
      <c r="E11658">
        <v>2020</v>
      </c>
      <c r="F11658">
        <v>1</v>
      </c>
      <c r="G11658">
        <v>464</v>
      </c>
      <c r="H11658" s="1" t="s">
        <v>1831</v>
      </c>
      <c r="I11658">
        <v>25</v>
      </c>
      <c r="J11658">
        <f>IF($H11658=0,1,IF($I11658&lt;=1,2,0))</f>
        <v>0</v>
      </c>
      <c r="K11658">
        <v>7</v>
      </c>
      <c r="L11658">
        <f>IF(AND($J11658=0,$K11658=0),0,1)</f>
        <v>1</v>
      </c>
    </row>
    <row r="11659" spans="1:12" x14ac:dyDescent="0.2">
      <c r="A11659" t="s">
        <v>268</v>
      </c>
      <c r="B11659" t="s">
        <v>1</v>
      </c>
      <c r="C11659" t="s">
        <v>2</v>
      </c>
      <c r="D11659">
        <v>3200</v>
      </c>
      <c r="E11659">
        <v>2020</v>
      </c>
      <c r="F11659">
        <v>1</v>
      </c>
      <c r="G11659">
        <v>744</v>
      </c>
      <c r="H11659" s="1">
        <v>3</v>
      </c>
      <c r="I11659">
        <v>13</v>
      </c>
      <c r="J11659">
        <f>IF($H11659=0,1,IF($I11659&lt;=1,2,0))</f>
        <v>0</v>
      </c>
      <c r="K11659">
        <v>7</v>
      </c>
      <c r="L11659">
        <f>IF(AND($J11659=0,$K11659=0),0,1)</f>
        <v>1</v>
      </c>
    </row>
    <row r="11660" spans="1:12" x14ac:dyDescent="0.2">
      <c r="A11660" t="s">
        <v>268</v>
      </c>
      <c r="B11660" t="s">
        <v>1</v>
      </c>
      <c r="C11660" t="s">
        <v>2</v>
      </c>
      <c r="D11660">
        <v>3240</v>
      </c>
      <c r="E11660">
        <v>2020</v>
      </c>
      <c r="F11660">
        <v>1</v>
      </c>
      <c r="G11660">
        <v>465</v>
      </c>
      <c r="H11660" s="1">
        <v>3</v>
      </c>
      <c r="I11660">
        <v>19</v>
      </c>
      <c r="J11660">
        <f>IF($H11660=0,1,IF($I11660&lt;=1,2,0))</f>
        <v>0</v>
      </c>
      <c r="K11660">
        <v>7</v>
      </c>
      <c r="L11660">
        <f>IF(AND($J11660=0,$K11660=0),0,1)</f>
        <v>1</v>
      </c>
    </row>
    <row r="11661" spans="1:12" x14ac:dyDescent="0.2">
      <c r="A11661" t="s">
        <v>268</v>
      </c>
      <c r="B11661" t="s">
        <v>1</v>
      </c>
      <c r="C11661" t="s">
        <v>2</v>
      </c>
      <c r="D11661">
        <v>3249</v>
      </c>
      <c r="E11661">
        <v>2020</v>
      </c>
      <c r="F11661">
        <v>1</v>
      </c>
      <c r="G11661">
        <v>466</v>
      </c>
      <c r="H11661" s="1" t="s">
        <v>1831</v>
      </c>
      <c r="I11661">
        <v>9</v>
      </c>
      <c r="J11661">
        <f>IF($H11661=0,1,IF($I11661&lt;=1,2,0))</f>
        <v>0</v>
      </c>
      <c r="K11661">
        <v>7</v>
      </c>
      <c r="L11661">
        <f>IF(AND($J11661=0,$K11661=0),0,1)</f>
        <v>1</v>
      </c>
    </row>
    <row r="11662" spans="1:12" x14ac:dyDescent="0.2">
      <c r="A11662" t="s">
        <v>268</v>
      </c>
      <c r="B11662" t="s">
        <v>1</v>
      </c>
      <c r="C11662" t="s">
        <v>2</v>
      </c>
      <c r="D11662">
        <v>3250</v>
      </c>
      <c r="E11662">
        <v>2020</v>
      </c>
      <c r="F11662">
        <v>1</v>
      </c>
      <c r="G11662">
        <v>467</v>
      </c>
      <c r="H11662" s="1" t="s">
        <v>1831</v>
      </c>
      <c r="I11662">
        <v>4</v>
      </c>
      <c r="J11662">
        <f>IF($H11662=0,1,IF($I11662&lt;=1,2,0))</f>
        <v>0</v>
      </c>
      <c r="K11662">
        <v>7</v>
      </c>
      <c r="L11662">
        <f>IF(AND($J11662=0,$K11662=0),0,1)</f>
        <v>1</v>
      </c>
    </row>
    <row r="11663" spans="1:12" x14ac:dyDescent="0.2">
      <c r="A11663" t="s">
        <v>268</v>
      </c>
      <c r="B11663" t="s">
        <v>1</v>
      </c>
      <c r="C11663" t="s">
        <v>2</v>
      </c>
      <c r="D11663">
        <v>3332</v>
      </c>
      <c r="E11663">
        <v>2020</v>
      </c>
      <c r="F11663">
        <v>2</v>
      </c>
      <c r="G11663">
        <v>474</v>
      </c>
      <c r="H11663" s="1" t="s">
        <v>1831</v>
      </c>
      <c r="I11663">
        <v>10</v>
      </c>
      <c r="J11663">
        <f>IF($H11663=0,1,IF($I11663&lt;=1,2,0))</f>
        <v>0</v>
      </c>
      <c r="K11663">
        <v>7</v>
      </c>
      <c r="L11663">
        <f>IF(AND($J11663=0,$K11663=0),0,1)</f>
        <v>1</v>
      </c>
    </row>
    <row r="11664" spans="1:12" x14ac:dyDescent="0.2">
      <c r="A11664" t="s">
        <v>268</v>
      </c>
      <c r="B11664" t="s">
        <v>1</v>
      </c>
      <c r="C11664" t="s">
        <v>2</v>
      </c>
      <c r="D11664">
        <v>3335</v>
      </c>
      <c r="E11664">
        <v>2020</v>
      </c>
      <c r="F11664">
        <v>1</v>
      </c>
      <c r="G11664">
        <v>469</v>
      </c>
      <c r="H11664" s="1" t="s">
        <v>1831</v>
      </c>
      <c r="I11664">
        <v>13</v>
      </c>
      <c r="J11664">
        <f>IF($H11664=0,1,IF($I11664&lt;=1,2,0))</f>
        <v>0</v>
      </c>
      <c r="K11664">
        <v>7</v>
      </c>
      <c r="L11664">
        <f>IF(AND($J11664=0,$K11664=0),0,1)</f>
        <v>1</v>
      </c>
    </row>
    <row r="11665" spans="1:13" x14ac:dyDescent="0.2">
      <c r="A11665" t="s">
        <v>268</v>
      </c>
      <c r="B11665" t="s">
        <v>1</v>
      </c>
      <c r="C11665" t="s">
        <v>2</v>
      </c>
      <c r="D11665">
        <v>3335</v>
      </c>
      <c r="E11665">
        <v>2020</v>
      </c>
      <c r="F11665">
        <v>2</v>
      </c>
      <c r="G11665">
        <v>722</v>
      </c>
      <c r="H11665" s="1" t="s">
        <v>1831</v>
      </c>
      <c r="I11665">
        <v>7</v>
      </c>
      <c r="J11665">
        <f>IF($H11665=0,1,IF($I11665&lt;=1,2,0))</f>
        <v>0</v>
      </c>
      <c r="K11665">
        <v>7</v>
      </c>
      <c r="L11665">
        <f>IF(AND($J11665=0,$K11665=0),0,1)</f>
        <v>1</v>
      </c>
    </row>
    <row r="11666" spans="1:13" x14ac:dyDescent="0.2">
      <c r="A11666" t="s">
        <v>268</v>
      </c>
      <c r="B11666" t="s">
        <v>1</v>
      </c>
      <c r="C11666" t="s">
        <v>2</v>
      </c>
      <c r="D11666">
        <v>3567</v>
      </c>
      <c r="E11666">
        <v>2020</v>
      </c>
      <c r="F11666">
        <v>1</v>
      </c>
      <c r="G11666">
        <v>472</v>
      </c>
      <c r="H11666" s="1">
        <v>3</v>
      </c>
      <c r="I11666">
        <v>19</v>
      </c>
      <c r="J11666">
        <f>IF($H11666=0,1,IF($I11666&lt;=1,2,0))</f>
        <v>0</v>
      </c>
      <c r="K11666">
        <v>7</v>
      </c>
      <c r="L11666">
        <f>IF(AND($J11666=0,$K11666=0),0,1)</f>
        <v>1</v>
      </c>
    </row>
    <row r="11667" spans="1:13" x14ac:dyDescent="0.2">
      <c r="A11667" t="s">
        <v>268</v>
      </c>
      <c r="B11667" t="s">
        <v>1</v>
      </c>
      <c r="C11667" t="s">
        <v>2</v>
      </c>
      <c r="D11667">
        <v>3591</v>
      </c>
      <c r="E11667">
        <v>2020</v>
      </c>
      <c r="F11667">
        <v>1</v>
      </c>
      <c r="G11667">
        <v>473</v>
      </c>
      <c r="H11667" s="1">
        <v>4</v>
      </c>
      <c r="I11667">
        <v>7</v>
      </c>
      <c r="J11667">
        <f>IF($H11667=0,1,IF($I11667&lt;=1,2,0))</f>
        <v>0</v>
      </c>
      <c r="K11667">
        <v>7</v>
      </c>
      <c r="L11667">
        <f>IF(AND($J11667=0,$K11667=0),0,1)</f>
        <v>1</v>
      </c>
    </row>
    <row r="11668" spans="1:13" x14ac:dyDescent="0.2">
      <c r="A11668" t="s">
        <v>268</v>
      </c>
      <c r="B11668" t="s">
        <v>1</v>
      </c>
      <c r="C11668" t="s">
        <v>2</v>
      </c>
      <c r="D11668">
        <v>3601</v>
      </c>
      <c r="E11668">
        <v>2020</v>
      </c>
      <c r="F11668">
        <v>2</v>
      </c>
      <c r="G11668">
        <v>820</v>
      </c>
      <c r="H11668" s="1" t="s">
        <v>1827</v>
      </c>
      <c r="I11668">
        <v>19</v>
      </c>
      <c r="J11668">
        <f>IF($H11668=0,1,IF($I11668&lt;=1,2,0))</f>
        <v>0</v>
      </c>
      <c r="K11668">
        <v>7</v>
      </c>
      <c r="L11668">
        <f>IF(AND($J11668=0,$K11668=0),0,1)</f>
        <v>1</v>
      </c>
      <c r="M11668" t="s">
        <v>971</v>
      </c>
    </row>
    <row r="11669" spans="1:13" x14ac:dyDescent="0.2">
      <c r="A11669" t="s">
        <v>268</v>
      </c>
      <c r="B11669" t="s">
        <v>1</v>
      </c>
      <c r="C11669" t="s">
        <v>2</v>
      </c>
      <c r="D11669">
        <v>3601</v>
      </c>
      <c r="E11669">
        <v>2020</v>
      </c>
      <c r="F11669">
        <v>1</v>
      </c>
      <c r="G11669">
        <v>756</v>
      </c>
      <c r="H11669" s="1" t="s">
        <v>1827</v>
      </c>
      <c r="I11669">
        <v>8</v>
      </c>
      <c r="J11669">
        <f>IF($H11669=0,1,IF($I11669&lt;=1,2,0))</f>
        <v>0</v>
      </c>
      <c r="K11669">
        <v>7</v>
      </c>
      <c r="L11669">
        <f>IF(AND($J11669=0,$K11669=0),0,1)</f>
        <v>1</v>
      </c>
      <c r="M11669" t="s">
        <v>970</v>
      </c>
    </row>
    <row r="11670" spans="1:13" x14ac:dyDescent="0.2">
      <c r="A11670" t="s">
        <v>273</v>
      </c>
      <c r="B11670" t="s">
        <v>17</v>
      </c>
      <c r="C11670" t="s">
        <v>21</v>
      </c>
      <c r="D11670">
        <v>3845</v>
      </c>
      <c r="E11670">
        <v>2020</v>
      </c>
      <c r="F11670">
        <v>2</v>
      </c>
      <c r="G11670">
        <v>892</v>
      </c>
      <c r="H11670" s="1">
        <v>0</v>
      </c>
      <c r="I11670">
        <v>15</v>
      </c>
      <c r="J11670">
        <f>IF($H11670=0,1,IF($I11670&lt;=1,2,0))</f>
        <v>1</v>
      </c>
      <c r="K11670">
        <v>0</v>
      </c>
      <c r="L11670">
        <f>IF(AND($J11670=0,$K11670=0),0,1)</f>
        <v>1</v>
      </c>
    </row>
    <row r="11671" spans="1:13" x14ac:dyDescent="0.2">
      <c r="A11671" t="s">
        <v>273</v>
      </c>
      <c r="B11671" t="s">
        <v>17</v>
      </c>
      <c r="C11671" t="s">
        <v>21</v>
      </c>
      <c r="D11671">
        <v>3845</v>
      </c>
      <c r="E11671">
        <v>2020</v>
      </c>
      <c r="F11671">
        <v>8</v>
      </c>
      <c r="G11671">
        <v>895</v>
      </c>
      <c r="H11671" s="1">
        <v>0</v>
      </c>
      <c r="I11671">
        <v>15</v>
      </c>
      <c r="J11671">
        <f>IF($H11671=0,1,IF($I11671&lt;=1,2,0))</f>
        <v>1</v>
      </c>
      <c r="K11671">
        <v>0</v>
      </c>
      <c r="L11671">
        <f>IF(AND($J11671=0,$K11671=0),0,1)</f>
        <v>1</v>
      </c>
    </row>
    <row r="11672" spans="1:13" x14ac:dyDescent="0.2">
      <c r="A11672" t="s">
        <v>273</v>
      </c>
      <c r="B11672" t="s">
        <v>17</v>
      </c>
      <c r="C11672" t="s">
        <v>21</v>
      </c>
      <c r="D11672">
        <v>3845</v>
      </c>
      <c r="E11672">
        <v>2020</v>
      </c>
      <c r="F11672">
        <v>1</v>
      </c>
      <c r="G11672">
        <v>891</v>
      </c>
      <c r="H11672" s="1">
        <v>0</v>
      </c>
      <c r="I11672">
        <v>14</v>
      </c>
      <c r="J11672">
        <f>IF($H11672=0,1,IF($I11672&lt;=1,2,0))</f>
        <v>1</v>
      </c>
      <c r="K11672">
        <v>0</v>
      </c>
      <c r="L11672">
        <f>IF(AND($J11672=0,$K11672=0),0,1)</f>
        <v>1</v>
      </c>
    </row>
    <row r="11673" spans="1:13" x14ac:dyDescent="0.2">
      <c r="A11673" t="s">
        <v>273</v>
      </c>
      <c r="B11673" t="s">
        <v>17</v>
      </c>
      <c r="C11673" t="s">
        <v>21</v>
      </c>
      <c r="D11673">
        <v>3845</v>
      </c>
      <c r="E11673">
        <v>2020</v>
      </c>
      <c r="F11673">
        <v>3</v>
      </c>
      <c r="G11673">
        <v>893</v>
      </c>
      <c r="H11673" s="1">
        <v>0</v>
      </c>
      <c r="I11673">
        <v>14</v>
      </c>
      <c r="J11673">
        <f>IF($H11673=0,1,IF($I11673&lt;=1,2,0))</f>
        <v>1</v>
      </c>
      <c r="K11673">
        <v>0</v>
      </c>
      <c r="L11673">
        <f>IF(AND($J11673=0,$K11673=0),0,1)</f>
        <v>1</v>
      </c>
    </row>
    <row r="11674" spans="1:13" x14ac:dyDescent="0.2">
      <c r="A11674" t="s">
        <v>273</v>
      </c>
      <c r="B11674" t="s">
        <v>17</v>
      </c>
      <c r="C11674" t="s">
        <v>21</v>
      </c>
      <c r="D11674">
        <v>3845</v>
      </c>
      <c r="E11674">
        <v>2020</v>
      </c>
      <c r="F11674">
        <v>4</v>
      </c>
      <c r="G11674">
        <v>894</v>
      </c>
      <c r="H11674" s="1">
        <v>0</v>
      </c>
      <c r="I11674">
        <v>14</v>
      </c>
      <c r="J11674">
        <f>IF($H11674=0,1,IF($I11674&lt;=1,2,0))</f>
        <v>1</v>
      </c>
      <c r="K11674">
        <v>0</v>
      </c>
      <c r="L11674">
        <f>IF(AND($J11674=0,$K11674=0),0,1)</f>
        <v>1</v>
      </c>
    </row>
    <row r="11675" spans="1:13" x14ac:dyDescent="0.2">
      <c r="A11675" t="s">
        <v>273</v>
      </c>
      <c r="B11675" t="s">
        <v>17</v>
      </c>
      <c r="C11675" t="s">
        <v>21</v>
      </c>
      <c r="D11675">
        <v>3845</v>
      </c>
      <c r="E11675">
        <v>2020</v>
      </c>
      <c r="F11675">
        <v>7</v>
      </c>
      <c r="G11675">
        <v>896</v>
      </c>
      <c r="H11675" s="1">
        <v>0</v>
      </c>
      <c r="I11675">
        <v>14</v>
      </c>
      <c r="J11675">
        <f>IF($H11675=0,1,IF($I11675&lt;=1,2,0))</f>
        <v>1</v>
      </c>
      <c r="K11675">
        <v>0</v>
      </c>
      <c r="L11675">
        <f>IF(AND($J11675=0,$K11675=0),0,1)</f>
        <v>1</v>
      </c>
    </row>
    <row r="11676" spans="1:13" x14ac:dyDescent="0.2">
      <c r="A11676" t="s">
        <v>273</v>
      </c>
      <c r="B11676" t="s">
        <v>17</v>
      </c>
      <c r="C11676" t="s">
        <v>21</v>
      </c>
      <c r="D11676">
        <v>3845</v>
      </c>
      <c r="E11676">
        <v>2020</v>
      </c>
      <c r="F11676">
        <v>5</v>
      </c>
      <c r="G11676">
        <v>897</v>
      </c>
      <c r="H11676" s="1">
        <v>0</v>
      </c>
      <c r="I11676">
        <v>12</v>
      </c>
      <c r="J11676">
        <f>IF($H11676=0,1,IF($I11676&lt;=1,2,0))</f>
        <v>1</v>
      </c>
      <c r="K11676">
        <v>0</v>
      </c>
      <c r="L11676">
        <f>IF(AND($J11676=0,$K11676=0),0,1)</f>
        <v>1</v>
      </c>
    </row>
    <row r="11677" spans="1:13" x14ac:dyDescent="0.2">
      <c r="A11677" t="s">
        <v>273</v>
      </c>
      <c r="B11677" t="s">
        <v>17</v>
      </c>
      <c r="C11677" t="s">
        <v>21</v>
      </c>
      <c r="D11677">
        <v>3845</v>
      </c>
      <c r="E11677">
        <v>2020</v>
      </c>
      <c r="F11677">
        <v>6</v>
      </c>
      <c r="G11677">
        <v>898</v>
      </c>
      <c r="H11677" s="1">
        <v>0</v>
      </c>
      <c r="I11677">
        <v>10</v>
      </c>
      <c r="J11677">
        <f>IF($H11677=0,1,IF($I11677&lt;=1,2,0))</f>
        <v>1</v>
      </c>
      <c r="K11677">
        <v>0</v>
      </c>
      <c r="L11677">
        <f>IF(AND($J11677=0,$K11677=0),0,1)</f>
        <v>1</v>
      </c>
    </row>
    <row r="11678" spans="1:13" x14ac:dyDescent="0.2">
      <c r="A11678" t="s">
        <v>273</v>
      </c>
      <c r="B11678" t="s">
        <v>17</v>
      </c>
      <c r="C11678" t="s">
        <v>21</v>
      </c>
      <c r="D11678">
        <v>3999</v>
      </c>
      <c r="E11678">
        <v>2020</v>
      </c>
      <c r="F11678">
        <v>1</v>
      </c>
      <c r="G11678">
        <v>10663</v>
      </c>
      <c r="H11678" s="1">
        <v>2</v>
      </c>
      <c r="I11678">
        <v>2</v>
      </c>
      <c r="J11678">
        <f>IF($H11678=0,1,IF($I11678&lt;=1,2,0))</f>
        <v>0</v>
      </c>
      <c r="K11678">
        <v>9</v>
      </c>
      <c r="L11678">
        <f>IF(AND($J11678=0,$K11678=0),0,1)</f>
        <v>1</v>
      </c>
    </row>
    <row r="11679" spans="1:13" x14ac:dyDescent="0.2">
      <c r="A11679" t="s">
        <v>273</v>
      </c>
      <c r="B11679" t="s">
        <v>17</v>
      </c>
      <c r="C11679" t="s">
        <v>11</v>
      </c>
      <c r="D11679">
        <v>6990</v>
      </c>
      <c r="E11679">
        <v>2020</v>
      </c>
      <c r="F11679">
        <v>1</v>
      </c>
      <c r="G11679">
        <v>10669</v>
      </c>
      <c r="H11679" s="1">
        <v>2</v>
      </c>
      <c r="I11679">
        <v>22</v>
      </c>
      <c r="J11679">
        <f>IF($H11679=0,1,IF($I11679&lt;=1,2,0))</f>
        <v>0</v>
      </c>
      <c r="K11679">
        <v>4</v>
      </c>
      <c r="L11679">
        <f>IF(AND($J11679=0,$K11679=0),0,1)</f>
        <v>1</v>
      </c>
    </row>
    <row r="11680" spans="1:13" x14ac:dyDescent="0.2">
      <c r="A11680" t="s">
        <v>273</v>
      </c>
      <c r="B11680" t="s">
        <v>17</v>
      </c>
      <c r="C11680" t="s">
        <v>11</v>
      </c>
      <c r="D11680">
        <v>6991</v>
      </c>
      <c r="E11680">
        <v>2020</v>
      </c>
      <c r="F11680">
        <v>1</v>
      </c>
      <c r="G11680">
        <v>10670</v>
      </c>
      <c r="H11680" s="1">
        <v>2</v>
      </c>
      <c r="I11680">
        <v>3</v>
      </c>
      <c r="J11680">
        <f>IF($H11680=0,1,IF($I11680&lt;=1,2,0))</f>
        <v>0</v>
      </c>
      <c r="K11680">
        <v>4</v>
      </c>
      <c r="L11680">
        <f>IF(AND($J11680=0,$K11680=0),0,1)</f>
        <v>1</v>
      </c>
    </row>
    <row r="11681" spans="1:12" x14ac:dyDescent="0.2">
      <c r="A11681" t="s">
        <v>273</v>
      </c>
      <c r="B11681" t="s">
        <v>17</v>
      </c>
      <c r="C11681" t="s">
        <v>11</v>
      </c>
      <c r="D11681">
        <v>9860</v>
      </c>
      <c r="E11681">
        <v>2020</v>
      </c>
      <c r="F11681">
        <v>1</v>
      </c>
      <c r="G11681">
        <v>10672</v>
      </c>
      <c r="H11681" s="1">
        <v>4</v>
      </c>
      <c r="I11681">
        <v>3</v>
      </c>
      <c r="J11681">
        <f>IF($H11681=0,1,IF($I11681&lt;=1,2,0))</f>
        <v>0</v>
      </c>
      <c r="K11681">
        <v>5</v>
      </c>
      <c r="L11681">
        <f>IF(AND($J11681=0,$K11681=0),0,1)</f>
        <v>1</v>
      </c>
    </row>
    <row r="11682" spans="1:12" x14ac:dyDescent="0.2">
      <c r="A11682" t="s">
        <v>276</v>
      </c>
      <c r="B11682" t="s">
        <v>71</v>
      </c>
      <c r="C11682" t="s">
        <v>72</v>
      </c>
      <c r="D11682">
        <v>3801</v>
      </c>
      <c r="E11682">
        <v>2020</v>
      </c>
      <c r="F11682">
        <v>1</v>
      </c>
      <c r="G11682">
        <v>25168</v>
      </c>
      <c r="H11682" s="1">
        <v>2</v>
      </c>
      <c r="I11682">
        <v>0</v>
      </c>
      <c r="J11682">
        <f>IF($H11682=0,1,IF($I11682&lt;=1,2,0))</f>
        <v>2</v>
      </c>
      <c r="K11682">
        <v>0</v>
      </c>
      <c r="L11682">
        <f>IF(AND($J11682=0,$K11682=0),0,1)</f>
        <v>1</v>
      </c>
    </row>
    <row r="11683" spans="1:12" x14ac:dyDescent="0.2">
      <c r="A11683" t="s">
        <v>276</v>
      </c>
      <c r="B11683" t="s">
        <v>71</v>
      </c>
      <c r="C11683" t="s">
        <v>72</v>
      </c>
      <c r="D11683">
        <v>3900</v>
      </c>
      <c r="E11683">
        <v>2020</v>
      </c>
      <c r="F11683">
        <v>16</v>
      </c>
      <c r="G11683">
        <v>24687</v>
      </c>
      <c r="H11683" s="1" t="s">
        <v>1840</v>
      </c>
      <c r="I11683">
        <v>2</v>
      </c>
      <c r="J11683">
        <f>IF($H11683=0,1,IF($I11683&lt;=1,2,0))</f>
        <v>0</v>
      </c>
      <c r="K11683">
        <v>9</v>
      </c>
      <c r="L11683">
        <f>IF(AND($J11683=0,$K11683=0),0,1)</f>
        <v>1</v>
      </c>
    </row>
    <row r="11684" spans="1:12" x14ac:dyDescent="0.2">
      <c r="A11684" t="s">
        <v>276</v>
      </c>
      <c r="B11684" t="s">
        <v>71</v>
      </c>
      <c r="C11684" t="s">
        <v>72</v>
      </c>
      <c r="D11684">
        <v>3900</v>
      </c>
      <c r="E11684">
        <v>2020</v>
      </c>
      <c r="F11684">
        <v>1</v>
      </c>
      <c r="G11684">
        <v>24668</v>
      </c>
      <c r="H11684" s="1" t="s">
        <v>1840</v>
      </c>
      <c r="I11684">
        <v>0</v>
      </c>
      <c r="J11684">
        <f>IF($H11684=0,1,IF($I11684&lt;=1,2,0))</f>
        <v>2</v>
      </c>
      <c r="K11684">
        <v>9</v>
      </c>
      <c r="L11684">
        <f>IF(AND($J11684=0,$K11684=0),0,1)</f>
        <v>1</v>
      </c>
    </row>
    <row r="11685" spans="1:12" x14ac:dyDescent="0.2">
      <c r="A11685" t="s">
        <v>276</v>
      </c>
      <c r="B11685" t="s">
        <v>71</v>
      </c>
      <c r="C11685" t="s">
        <v>72</v>
      </c>
      <c r="D11685">
        <v>3900</v>
      </c>
      <c r="E11685">
        <v>2020</v>
      </c>
      <c r="F11685">
        <v>2</v>
      </c>
      <c r="G11685">
        <v>24669</v>
      </c>
      <c r="H11685" s="1" t="s">
        <v>1840</v>
      </c>
      <c r="I11685">
        <v>0</v>
      </c>
      <c r="J11685">
        <f>IF($H11685=0,1,IF($I11685&lt;=1,2,0))</f>
        <v>2</v>
      </c>
      <c r="K11685">
        <v>9</v>
      </c>
      <c r="L11685">
        <f>IF(AND($J11685=0,$K11685=0),0,1)</f>
        <v>1</v>
      </c>
    </row>
    <row r="11686" spans="1:12" x14ac:dyDescent="0.2">
      <c r="A11686" t="s">
        <v>276</v>
      </c>
      <c r="B11686" t="s">
        <v>71</v>
      </c>
      <c r="C11686" t="s">
        <v>72</v>
      </c>
      <c r="D11686">
        <v>3900</v>
      </c>
      <c r="E11686">
        <v>2020</v>
      </c>
      <c r="F11686">
        <v>3</v>
      </c>
      <c r="G11686">
        <v>24670</v>
      </c>
      <c r="H11686" s="1" t="s">
        <v>1840</v>
      </c>
      <c r="I11686">
        <v>0</v>
      </c>
      <c r="J11686">
        <f>IF($H11686=0,1,IF($I11686&lt;=1,2,0))</f>
        <v>2</v>
      </c>
      <c r="K11686">
        <v>9</v>
      </c>
      <c r="L11686">
        <f>IF(AND($J11686=0,$K11686=0),0,1)</f>
        <v>1</v>
      </c>
    </row>
    <row r="11687" spans="1:12" x14ac:dyDescent="0.2">
      <c r="A11687" t="s">
        <v>276</v>
      </c>
      <c r="B11687" t="s">
        <v>71</v>
      </c>
      <c r="C11687" t="s">
        <v>72</v>
      </c>
      <c r="D11687">
        <v>3900</v>
      </c>
      <c r="E11687">
        <v>2020</v>
      </c>
      <c r="F11687">
        <v>4</v>
      </c>
      <c r="G11687">
        <v>24671</v>
      </c>
      <c r="H11687" s="1" t="s">
        <v>1840</v>
      </c>
      <c r="I11687">
        <v>0</v>
      </c>
      <c r="J11687">
        <f>IF($H11687=0,1,IF($I11687&lt;=1,2,0))</f>
        <v>2</v>
      </c>
      <c r="K11687">
        <v>9</v>
      </c>
      <c r="L11687">
        <f>IF(AND($J11687=0,$K11687=0),0,1)</f>
        <v>1</v>
      </c>
    </row>
    <row r="11688" spans="1:12" x14ac:dyDescent="0.2">
      <c r="A11688" t="s">
        <v>276</v>
      </c>
      <c r="B11688" t="s">
        <v>71</v>
      </c>
      <c r="C11688" t="s">
        <v>72</v>
      </c>
      <c r="D11688">
        <v>3900</v>
      </c>
      <c r="E11688">
        <v>2020</v>
      </c>
      <c r="F11688">
        <v>5</v>
      </c>
      <c r="G11688">
        <v>24672</v>
      </c>
      <c r="H11688" s="1" t="s">
        <v>1840</v>
      </c>
      <c r="I11688">
        <v>0</v>
      </c>
      <c r="J11688">
        <f>IF($H11688=0,1,IF($I11688&lt;=1,2,0))</f>
        <v>2</v>
      </c>
      <c r="K11688">
        <v>9</v>
      </c>
      <c r="L11688">
        <f>IF(AND($J11688=0,$K11688=0),0,1)</f>
        <v>1</v>
      </c>
    </row>
    <row r="11689" spans="1:12" x14ac:dyDescent="0.2">
      <c r="A11689" t="s">
        <v>276</v>
      </c>
      <c r="B11689" t="s">
        <v>71</v>
      </c>
      <c r="C11689" t="s">
        <v>72</v>
      </c>
      <c r="D11689">
        <v>3900</v>
      </c>
      <c r="E11689">
        <v>2020</v>
      </c>
      <c r="F11689">
        <v>6</v>
      </c>
      <c r="G11689">
        <v>24673</v>
      </c>
      <c r="H11689" s="1" t="s">
        <v>1840</v>
      </c>
      <c r="I11689">
        <v>0</v>
      </c>
      <c r="J11689">
        <f>IF($H11689=0,1,IF($I11689&lt;=1,2,0))</f>
        <v>2</v>
      </c>
      <c r="K11689">
        <v>9</v>
      </c>
      <c r="L11689">
        <f>IF(AND($J11689=0,$K11689=0),0,1)</f>
        <v>1</v>
      </c>
    </row>
    <row r="11690" spans="1:12" x14ac:dyDescent="0.2">
      <c r="A11690" t="s">
        <v>276</v>
      </c>
      <c r="B11690" t="s">
        <v>71</v>
      </c>
      <c r="C11690" t="s">
        <v>72</v>
      </c>
      <c r="D11690">
        <v>3900</v>
      </c>
      <c r="E11690">
        <v>2020</v>
      </c>
      <c r="F11690">
        <v>7</v>
      </c>
      <c r="G11690">
        <v>24674</v>
      </c>
      <c r="H11690" s="1" t="s">
        <v>1840</v>
      </c>
      <c r="I11690">
        <v>0</v>
      </c>
      <c r="J11690">
        <f>IF($H11690=0,1,IF($I11690&lt;=1,2,0))</f>
        <v>2</v>
      </c>
      <c r="K11690">
        <v>9</v>
      </c>
      <c r="L11690">
        <f>IF(AND($J11690=0,$K11690=0),0,1)</f>
        <v>1</v>
      </c>
    </row>
    <row r="11691" spans="1:12" x14ac:dyDescent="0.2">
      <c r="A11691" t="s">
        <v>276</v>
      </c>
      <c r="B11691" t="s">
        <v>71</v>
      </c>
      <c r="C11691" t="s">
        <v>72</v>
      </c>
      <c r="D11691">
        <v>3900</v>
      </c>
      <c r="E11691">
        <v>2020</v>
      </c>
      <c r="F11691">
        <v>8</v>
      </c>
      <c r="G11691">
        <v>24675</v>
      </c>
      <c r="H11691" s="1" t="s">
        <v>1840</v>
      </c>
      <c r="I11691">
        <v>0</v>
      </c>
      <c r="J11691">
        <f>IF($H11691=0,1,IF($I11691&lt;=1,2,0))</f>
        <v>2</v>
      </c>
      <c r="K11691">
        <v>9</v>
      </c>
      <c r="L11691">
        <f>IF(AND($J11691=0,$K11691=0),0,1)</f>
        <v>1</v>
      </c>
    </row>
    <row r="11692" spans="1:12" x14ac:dyDescent="0.2">
      <c r="A11692" t="s">
        <v>276</v>
      </c>
      <c r="B11692" t="s">
        <v>71</v>
      </c>
      <c r="C11692" t="s">
        <v>72</v>
      </c>
      <c r="D11692">
        <v>3900</v>
      </c>
      <c r="E11692">
        <v>2020</v>
      </c>
      <c r="F11692">
        <v>9</v>
      </c>
      <c r="G11692">
        <v>24676</v>
      </c>
      <c r="H11692" s="1" t="s">
        <v>1840</v>
      </c>
      <c r="I11692">
        <v>0</v>
      </c>
      <c r="J11692">
        <f>IF($H11692=0,1,IF($I11692&lt;=1,2,0))</f>
        <v>2</v>
      </c>
      <c r="K11692">
        <v>9</v>
      </c>
      <c r="L11692">
        <f>IF(AND($J11692=0,$K11692=0),0,1)</f>
        <v>1</v>
      </c>
    </row>
    <row r="11693" spans="1:12" x14ac:dyDescent="0.2">
      <c r="A11693" t="s">
        <v>276</v>
      </c>
      <c r="B11693" t="s">
        <v>71</v>
      </c>
      <c r="C11693" t="s">
        <v>72</v>
      </c>
      <c r="D11693">
        <v>3900</v>
      </c>
      <c r="E11693">
        <v>2020</v>
      </c>
      <c r="F11693">
        <v>10</v>
      </c>
      <c r="G11693">
        <v>24678</v>
      </c>
      <c r="H11693" s="1" t="s">
        <v>1840</v>
      </c>
      <c r="I11693">
        <v>0</v>
      </c>
      <c r="J11693">
        <f>IF($H11693=0,1,IF($I11693&lt;=1,2,0))</f>
        <v>2</v>
      </c>
      <c r="K11693">
        <v>9</v>
      </c>
      <c r="L11693">
        <f>IF(AND($J11693=0,$K11693=0),0,1)</f>
        <v>1</v>
      </c>
    </row>
    <row r="11694" spans="1:12" x14ac:dyDescent="0.2">
      <c r="A11694" t="s">
        <v>276</v>
      </c>
      <c r="B11694" t="s">
        <v>71</v>
      </c>
      <c r="C11694" t="s">
        <v>72</v>
      </c>
      <c r="D11694">
        <v>3900</v>
      </c>
      <c r="E11694">
        <v>2020</v>
      </c>
      <c r="F11694">
        <v>11</v>
      </c>
      <c r="G11694">
        <v>24679</v>
      </c>
      <c r="H11694" s="1" t="s">
        <v>1840</v>
      </c>
      <c r="I11694">
        <v>0</v>
      </c>
      <c r="J11694">
        <f>IF($H11694=0,1,IF($I11694&lt;=1,2,0))</f>
        <v>2</v>
      </c>
      <c r="K11694">
        <v>9</v>
      </c>
      <c r="L11694">
        <f>IF(AND($J11694=0,$K11694=0),0,1)</f>
        <v>1</v>
      </c>
    </row>
    <row r="11695" spans="1:12" x14ac:dyDescent="0.2">
      <c r="A11695" t="s">
        <v>276</v>
      </c>
      <c r="B11695" t="s">
        <v>71</v>
      </c>
      <c r="C11695" t="s">
        <v>72</v>
      </c>
      <c r="D11695">
        <v>3900</v>
      </c>
      <c r="E11695">
        <v>2020</v>
      </c>
      <c r="F11695">
        <v>12</v>
      </c>
      <c r="G11695">
        <v>24681</v>
      </c>
      <c r="H11695" s="1" t="s">
        <v>1840</v>
      </c>
      <c r="I11695">
        <v>0</v>
      </c>
      <c r="J11695">
        <f>IF($H11695=0,1,IF($I11695&lt;=1,2,0))</f>
        <v>2</v>
      </c>
      <c r="K11695">
        <v>9</v>
      </c>
      <c r="L11695">
        <f>IF(AND($J11695=0,$K11695=0),0,1)</f>
        <v>1</v>
      </c>
    </row>
    <row r="11696" spans="1:12" x14ac:dyDescent="0.2">
      <c r="A11696" t="s">
        <v>276</v>
      </c>
      <c r="B11696" t="s">
        <v>71</v>
      </c>
      <c r="C11696" t="s">
        <v>72</v>
      </c>
      <c r="D11696">
        <v>3900</v>
      </c>
      <c r="E11696">
        <v>2020</v>
      </c>
      <c r="F11696">
        <v>13</v>
      </c>
      <c r="G11696">
        <v>24683</v>
      </c>
      <c r="H11696" s="1" t="s">
        <v>1840</v>
      </c>
      <c r="I11696">
        <v>0</v>
      </c>
      <c r="J11696">
        <f>IF($H11696=0,1,IF($I11696&lt;=1,2,0))</f>
        <v>2</v>
      </c>
      <c r="K11696">
        <v>9</v>
      </c>
      <c r="L11696">
        <f>IF(AND($J11696=0,$K11696=0),0,1)</f>
        <v>1</v>
      </c>
    </row>
    <row r="11697" spans="1:13" x14ac:dyDescent="0.2">
      <c r="A11697" t="s">
        <v>276</v>
      </c>
      <c r="B11697" t="s">
        <v>71</v>
      </c>
      <c r="C11697" t="s">
        <v>72</v>
      </c>
      <c r="D11697">
        <v>3900</v>
      </c>
      <c r="E11697">
        <v>2020</v>
      </c>
      <c r="F11697">
        <v>14</v>
      </c>
      <c r="G11697">
        <v>24684</v>
      </c>
      <c r="H11697" s="1" t="s">
        <v>1840</v>
      </c>
      <c r="I11697">
        <v>0</v>
      </c>
      <c r="J11697">
        <f>IF($H11697=0,1,IF($I11697&lt;=1,2,0))</f>
        <v>2</v>
      </c>
      <c r="K11697">
        <v>9</v>
      </c>
      <c r="L11697">
        <f>IF(AND($J11697=0,$K11697=0),0,1)</f>
        <v>1</v>
      </c>
    </row>
    <row r="11698" spans="1:13" x14ac:dyDescent="0.2">
      <c r="A11698" t="s">
        <v>276</v>
      </c>
      <c r="B11698" t="s">
        <v>71</v>
      </c>
      <c r="C11698" t="s">
        <v>72</v>
      </c>
      <c r="D11698">
        <v>3900</v>
      </c>
      <c r="E11698">
        <v>2020</v>
      </c>
      <c r="F11698">
        <v>15</v>
      </c>
      <c r="G11698">
        <v>24686</v>
      </c>
      <c r="H11698" s="1" t="s">
        <v>1840</v>
      </c>
      <c r="I11698">
        <v>0</v>
      </c>
      <c r="J11698">
        <f>IF($H11698=0,1,IF($I11698&lt;=1,2,0))</f>
        <v>2</v>
      </c>
      <c r="K11698">
        <v>9</v>
      </c>
      <c r="L11698">
        <f>IF(AND($J11698=0,$K11698=0),0,1)</f>
        <v>1</v>
      </c>
    </row>
    <row r="11699" spans="1:13" x14ac:dyDescent="0.2">
      <c r="A11699" t="s">
        <v>276</v>
      </c>
      <c r="B11699" t="s">
        <v>71</v>
      </c>
      <c r="C11699" t="s">
        <v>72</v>
      </c>
      <c r="D11699">
        <v>3995</v>
      </c>
      <c r="E11699">
        <v>2020</v>
      </c>
      <c r="F11699">
        <v>1</v>
      </c>
      <c r="G11699">
        <v>22241</v>
      </c>
      <c r="H11699" s="1" t="s">
        <v>1837</v>
      </c>
      <c r="I11699">
        <v>0</v>
      </c>
      <c r="J11699">
        <f>IF($H11699=0,1,IF($I11699&lt;=1,2,0))</f>
        <v>2</v>
      </c>
      <c r="K11699">
        <v>0</v>
      </c>
      <c r="L11699">
        <f>IF(AND($J11699=0,$K11699=0),0,1)</f>
        <v>1</v>
      </c>
    </row>
    <row r="11700" spans="1:13" x14ac:dyDescent="0.2">
      <c r="A11700" t="s">
        <v>276</v>
      </c>
      <c r="B11700" t="s">
        <v>71</v>
      </c>
      <c r="C11700" t="s">
        <v>72</v>
      </c>
      <c r="D11700">
        <v>3998</v>
      </c>
      <c r="E11700">
        <v>2020</v>
      </c>
      <c r="F11700">
        <v>1</v>
      </c>
      <c r="G11700">
        <v>14308</v>
      </c>
      <c r="H11700" s="1" t="s">
        <v>1840</v>
      </c>
      <c r="I11700">
        <v>10</v>
      </c>
      <c r="J11700">
        <f>IF($H11700=0,1,IF($I11700&lt;=1,2,0))</f>
        <v>0</v>
      </c>
      <c r="K11700">
        <v>9</v>
      </c>
      <c r="L11700">
        <f>IF(AND($J11700=0,$K11700=0),0,1)</f>
        <v>1</v>
      </c>
    </row>
    <row r="11701" spans="1:13" x14ac:dyDescent="0.2">
      <c r="A11701" t="s">
        <v>276</v>
      </c>
      <c r="B11701" t="s">
        <v>71</v>
      </c>
      <c r="C11701" t="s">
        <v>72</v>
      </c>
      <c r="D11701">
        <v>4550</v>
      </c>
      <c r="E11701">
        <v>2020</v>
      </c>
      <c r="F11701" t="s">
        <v>84</v>
      </c>
      <c r="G11701">
        <v>21561</v>
      </c>
      <c r="H11701" s="1">
        <v>3</v>
      </c>
      <c r="I11701">
        <v>1</v>
      </c>
      <c r="J11701">
        <f>IF($H11701=0,1,IF($I11701&lt;=1,2,0))</f>
        <v>2</v>
      </c>
      <c r="K11701">
        <v>0</v>
      </c>
      <c r="L11701">
        <f>IF(AND($J11701=0,$K11701=0),0,1)</f>
        <v>1</v>
      </c>
      <c r="M11701" t="s">
        <v>85</v>
      </c>
    </row>
    <row r="11702" spans="1:13" x14ac:dyDescent="0.2">
      <c r="A11702" t="s">
        <v>276</v>
      </c>
      <c r="B11702" t="s">
        <v>71</v>
      </c>
      <c r="C11702" t="s">
        <v>72</v>
      </c>
      <c r="D11702">
        <v>4999</v>
      </c>
      <c r="E11702">
        <v>2020</v>
      </c>
      <c r="F11702">
        <v>1</v>
      </c>
      <c r="G11702">
        <v>13596</v>
      </c>
      <c r="H11702" s="1">
        <v>1</v>
      </c>
      <c r="I11702">
        <v>0</v>
      </c>
      <c r="J11702">
        <f>IF($H11702=0,1,IF($I11702&lt;=1,2,0))</f>
        <v>2</v>
      </c>
      <c r="K11702">
        <v>9</v>
      </c>
      <c r="L11702">
        <f>IF(AND($J11702=0,$K11702=0),0,1)</f>
        <v>1</v>
      </c>
    </row>
    <row r="11703" spans="1:13" x14ac:dyDescent="0.2">
      <c r="A11703" t="s">
        <v>276</v>
      </c>
      <c r="B11703" t="s">
        <v>71</v>
      </c>
      <c r="C11703" t="s">
        <v>72</v>
      </c>
      <c r="D11703">
        <v>9271</v>
      </c>
      <c r="E11703">
        <v>2020</v>
      </c>
      <c r="F11703">
        <v>2</v>
      </c>
      <c r="G11703">
        <v>24743</v>
      </c>
      <c r="H11703" s="1" t="s">
        <v>1836</v>
      </c>
      <c r="I11703">
        <v>1</v>
      </c>
      <c r="J11703">
        <f>IF($H11703=0,1,IF($I11703&lt;=1,2,0))</f>
        <v>2</v>
      </c>
      <c r="K11703">
        <v>5</v>
      </c>
      <c r="L11703">
        <f>IF(AND($J11703=0,$K11703=0),0,1)</f>
        <v>1</v>
      </c>
    </row>
    <row r="11704" spans="1:13" x14ac:dyDescent="0.2">
      <c r="A11704" t="s">
        <v>276</v>
      </c>
      <c r="B11704" t="s">
        <v>71</v>
      </c>
      <c r="C11704" t="s">
        <v>72</v>
      </c>
      <c r="D11704">
        <v>9280</v>
      </c>
      <c r="E11704">
        <v>2020</v>
      </c>
      <c r="F11704">
        <v>1</v>
      </c>
      <c r="G11704">
        <v>13595</v>
      </c>
      <c r="H11704" s="1">
        <v>0</v>
      </c>
      <c r="I11704">
        <v>31</v>
      </c>
      <c r="J11704">
        <f>IF($H11704=0,1,IF($I11704&lt;=1,2,0))</f>
        <v>1</v>
      </c>
      <c r="K11704">
        <v>5</v>
      </c>
      <c r="L11704">
        <f>IF(AND($J11704=0,$K11704=0),0,1)</f>
        <v>1</v>
      </c>
    </row>
    <row r="11705" spans="1:13" x14ac:dyDescent="0.2">
      <c r="A11705" t="s">
        <v>276</v>
      </c>
      <c r="B11705" t="s">
        <v>71</v>
      </c>
      <c r="C11705" t="s">
        <v>72</v>
      </c>
      <c r="D11705">
        <v>9305</v>
      </c>
      <c r="E11705">
        <v>2020</v>
      </c>
      <c r="F11705">
        <v>7</v>
      </c>
      <c r="G11705">
        <v>15612</v>
      </c>
      <c r="H11705" s="1" t="s">
        <v>1841</v>
      </c>
      <c r="I11705">
        <v>4</v>
      </c>
      <c r="J11705">
        <f>IF($H11705=0,1,IF($I11705&lt;=1,2,0))</f>
        <v>0</v>
      </c>
      <c r="K11705">
        <v>5</v>
      </c>
      <c r="L11705">
        <f>IF(AND($J11705=0,$K11705=0),0,1)</f>
        <v>1</v>
      </c>
    </row>
    <row r="11706" spans="1:13" x14ac:dyDescent="0.2">
      <c r="A11706" t="s">
        <v>276</v>
      </c>
      <c r="B11706" t="s">
        <v>71</v>
      </c>
      <c r="C11706" t="s">
        <v>72</v>
      </c>
      <c r="D11706">
        <v>9305</v>
      </c>
      <c r="E11706">
        <v>2020</v>
      </c>
      <c r="F11706">
        <v>16</v>
      </c>
      <c r="G11706">
        <v>15621</v>
      </c>
      <c r="H11706" s="1" t="s">
        <v>1841</v>
      </c>
      <c r="I11706">
        <v>3</v>
      </c>
      <c r="J11706">
        <f>IF($H11706=0,1,IF($I11706&lt;=1,2,0))</f>
        <v>0</v>
      </c>
      <c r="K11706">
        <v>5</v>
      </c>
      <c r="L11706">
        <f>IF(AND($J11706=0,$K11706=0),0,1)</f>
        <v>1</v>
      </c>
    </row>
    <row r="11707" spans="1:13" x14ac:dyDescent="0.2">
      <c r="A11707" t="s">
        <v>276</v>
      </c>
      <c r="B11707" t="s">
        <v>71</v>
      </c>
      <c r="C11707" t="s">
        <v>72</v>
      </c>
      <c r="D11707">
        <v>9305</v>
      </c>
      <c r="E11707">
        <v>2020</v>
      </c>
      <c r="F11707">
        <v>2</v>
      </c>
      <c r="G11707">
        <v>15607</v>
      </c>
      <c r="H11707" s="1" t="s">
        <v>1841</v>
      </c>
      <c r="I11707">
        <v>2</v>
      </c>
      <c r="J11707">
        <f>IF($H11707=0,1,IF($I11707&lt;=1,2,0))</f>
        <v>0</v>
      </c>
      <c r="K11707">
        <v>5</v>
      </c>
      <c r="L11707">
        <f>IF(AND($J11707=0,$K11707=0),0,1)</f>
        <v>1</v>
      </c>
    </row>
    <row r="11708" spans="1:13" x14ac:dyDescent="0.2">
      <c r="A11708" t="s">
        <v>276</v>
      </c>
      <c r="B11708" t="s">
        <v>71</v>
      </c>
      <c r="C11708" t="s">
        <v>72</v>
      </c>
      <c r="D11708">
        <v>9305</v>
      </c>
      <c r="E11708">
        <v>2020</v>
      </c>
      <c r="F11708">
        <v>4</v>
      </c>
      <c r="G11708">
        <v>15609</v>
      </c>
      <c r="H11708" s="1" t="s">
        <v>1841</v>
      </c>
      <c r="I11708">
        <v>2</v>
      </c>
      <c r="J11708">
        <f>IF($H11708=0,1,IF($I11708&lt;=1,2,0))</f>
        <v>0</v>
      </c>
      <c r="K11708">
        <v>5</v>
      </c>
      <c r="L11708">
        <f>IF(AND($J11708=0,$K11708=0),0,1)</f>
        <v>1</v>
      </c>
    </row>
    <row r="11709" spans="1:13" x14ac:dyDescent="0.2">
      <c r="A11709" t="s">
        <v>276</v>
      </c>
      <c r="B11709" t="s">
        <v>71</v>
      </c>
      <c r="C11709" t="s">
        <v>72</v>
      </c>
      <c r="D11709">
        <v>9305</v>
      </c>
      <c r="E11709">
        <v>2020</v>
      </c>
      <c r="F11709">
        <v>13</v>
      </c>
      <c r="G11709">
        <v>15618</v>
      </c>
      <c r="H11709" s="1" t="s">
        <v>1841</v>
      </c>
      <c r="I11709">
        <v>2</v>
      </c>
      <c r="J11709">
        <f>IF($H11709=0,1,IF($I11709&lt;=1,2,0))</f>
        <v>0</v>
      </c>
      <c r="K11709">
        <v>5</v>
      </c>
      <c r="L11709">
        <f>IF(AND($J11709=0,$K11709=0),0,1)</f>
        <v>1</v>
      </c>
    </row>
    <row r="11710" spans="1:13" x14ac:dyDescent="0.2">
      <c r="A11710" t="s">
        <v>276</v>
      </c>
      <c r="B11710" t="s">
        <v>71</v>
      </c>
      <c r="C11710" t="s">
        <v>72</v>
      </c>
      <c r="D11710">
        <v>9305</v>
      </c>
      <c r="E11710">
        <v>2020</v>
      </c>
      <c r="F11710">
        <v>3</v>
      </c>
      <c r="G11710">
        <v>15608</v>
      </c>
      <c r="H11710" s="1" t="s">
        <v>1841</v>
      </c>
      <c r="I11710">
        <v>1</v>
      </c>
      <c r="J11710">
        <f>IF($H11710=0,1,IF($I11710&lt;=1,2,0))</f>
        <v>2</v>
      </c>
      <c r="K11710">
        <v>5</v>
      </c>
      <c r="L11710">
        <f>IF(AND($J11710=0,$K11710=0),0,1)</f>
        <v>1</v>
      </c>
    </row>
    <row r="11711" spans="1:13" x14ac:dyDescent="0.2">
      <c r="A11711" t="s">
        <v>276</v>
      </c>
      <c r="B11711" t="s">
        <v>71</v>
      </c>
      <c r="C11711" t="s">
        <v>72</v>
      </c>
      <c r="D11711">
        <v>9305</v>
      </c>
      <c r="E11711">
        <v>2020</v>
      </c>
      <c r="F11711">
        <v>6</v>
      </c>
      <c r="G11711">
        <v>15611</v>
      </c>
      <c r="H11711" s="1" t="s">
        <v>1841</v>
      </c>
      <c r="I11711">
        <v>1</v>
      </c>
      <c r="J11711">
        <f>IF($H11711=0,1,IF($I11711&lt;=1,2,0))</f>
        <v>2</v>
      </c>
      <c r="K11711">
        <v>5</v>
      </c>
      <c r="L11711">
        <f>IF(AND($J11711=0,$K11711=0),0,1)</f>
        <v>1</v>
      </c>
    </row>
    <row r="11712" spans="1:13" x14ac:dyDescent="0.2">
      <c r="A11712" t="s">
        <v>276</v>
      </c>
      <c r="B11712" t="s">
        <v>71</v>
      </c>
      <c r="C11712" t="s">
        <v>72</v>
      </c>
      <c r="D11712">
        <v>9305</v>
      </c>
      <c r="E11712">
        <v>2020</v>
      </c>
      <c r="F11712">
        <v>14</v>
      </c>
      <c r="G11712">
        <v>15619</v>
      </c>
      <c r="H11712" s="1" t="s">
        <v>1841</v>
      </c>
      <c r="I11712">
        <v>1</v>
      </c>
      <c r="J11712">
        <f>IF($H11712=0,1,IF($I11712&lt;=1,2,0))</f>
        <v>2</v>
      </c>
      <c r="K11712">
        <v>5</v>
      </c>
      <c r="L11712">
        <f>IF(AND($J11712=0,$K11712=0),0,1)</f>
        <v>1</v>
      </c>
    </row>
    <row r="11713" spans="1:13" x14ac:dyDescent="0.2">
      <c r="A11713" t="s">
        <v>276</v>
      </c>
      <c r="B11713" t="s">
        <v>71</v>
      </c>
      <c r="C11713" t="s">
        <v>72</v>
      </c>
      <c r="D11713">
        <v>9305</v>
      </c>
      <c r="E11713">
        <v>2020</v>
      </c>
      <c r="F11713">
        <v>15</v>
      </c>
      <c r="G11713">
        <v>15620</v>
      </c>
      <c r="H11713" s="1" t="s">
        <v>1841</v>
      </c>
      <c r="I11713">
        <v>1</v>
      </c>
      <c r="J11713">
        <f>IF($H11713=0,1,IF($I11713&lt;=1,2,0))</f>
        <v>2</v>
      </c>
      <c r="K11713">
        <v>5</v>
      </c>
      <c r="L11713">
        <f>IF(AND($J11713=0,$K11713=0),0,1)</f>
        <v>1</v>
      </c>
    </row>
    <row r="11714" spans="1:13" x14ac:dyDescent="0.2">
      <c r="A11714" t="s">
        <v>276</v>
      </c>
      <c r="B11714" t="s">
        <v>71</v>
      </c>
      <c r="C11714" t="s">
        <v>72</v>
      </c>
      <c r="D11714">
        <v>9305</v>
      </c>
      <c r="E11714">
        <v>2020</v>
      </c>
      <c r="F11714">
        <v>1</v>
      </c>
      <c r="G11714">
        <v>15606</v>
      </c>
      <c r="H11714" s="1" t="s">
        <v>1841</v>
      </c>
      <c r="I11714">
        <v>0</v>
      </c>
      <c r="J11714">
        <f>IF($H11714=0,1,IF($I11714&lt;=1,2,0))</f>
        <v>2</v>
      </c>
      <c r="K11714">
        <v>5</v>
      </c>
      <c r="L11714">
        <f>IF(AND($J11714=0,$K11714=0),0,1)</f>
        <v>1</v>
      </c>
    </row>
    <row r="11715" spans="1:13" x14ac:dyDescent="0.2">
      <c r="A11715" t="s">
        <v>276</v>
      </c>
      <c r="B11715" t="s">
        <v>71</v>
      </c>
      <c r="C11715" t="s">
        <v>72</v>
      </c>
      <c r="D11715">
        <v>9305</v>
      </c>
      <c r="E11715">
        <v>2020</v>
      </c>
      <c r="F11715">
        <v>5</v>
      </c>
      <c r="G11715">
        <v>15610</v>
      </c>
      <c r="H11715" s="1" t="s">
        <v>1841</v>
      </c>
      <c r="I11715">
        <v>0</v>
      </c>
      <c r="J11715">
        <f>IF($H11715=0,1,IF($I11715&lt;=1,2,0))</f>
        <v>2</v>
      </c>
      <c r="K11715">
        <v>5</v>
      </c>
      <c r="L11715">
        <f>IF(AND($J11715=0,$K11715=0),0,1)</f>
        <v>1</v>
      </c>
    </row>
    <row r="11716" spans="1:13" x14ac:dyDescent="0.2">
      <c r="A11716" t="s">
        <v>276</v>
      </c>
      <c r="B11716" t="s">
        <v>71</v>
      </c>
      <c r="C11716" t="s">
        <v>72</v>
      </c>
      <c r="D11716">
        <v>9305</v>
      </c>
      <c r="E11716">
        <v>2020</v>
      </c>
      <c r="F11716">
        <v>8</v>
      </c>
      <c r="G11716">
        <v>15613</v>
      </c>
      <c r="H11716" s="1" t="s">
        <v>1841</v>
      </c>
      <c r="I11716">
        <v>0</v>
      </c>
      <c r="J11716">
        <f>IF($H11716=0,1,IF($I11716&lt;=1,2,0))</f>
        <v>2</v>
      </c>
      <c r="K11716">
        <v>5</v>
      </c>
      <c r="L11716">
        <f>IF(AND($J11716=0,$K11716=0),0,1)</f>
        <v>1</v>
      </c>
    </row>
    <row r="11717" spans="1:13" x14ac:dyDescent="0.2">
      <c r="A11717" t="s">
        <v>276</v>
      </c>
      <c r="B11717" t="s">
        <v>71</v>
      </c>
      <c r="C11717" t="s">
        <v>72</v>
      </c>
      <c r="D11717">
        <v>9305</v>
      </c>
      <c r="E11717">
        <v>2020</v>
      </c>
      <c r="F11717">
        <v>9</v>
      </c>
      <c r="G11717">
        <v>15614</v>
      </c>
      <c r="H11717" s="1" t="s">
        <v>1841</v>
      </c>
      <c r="I11717">
        <v>0</v>
      </c>
      <c r="J11717">
        <f>IF($H11717=0,1,IF($I11717&lt;=1,2,0))</f>
        <v>2</v>
      </c>
      <c r="K11717">
        <v>5</v>
      </c>
      <c r="L11717">
        <f>IF(AND($J11717=0,$K11717=0),0,1)</f>
        <v>1</v>
      </c>
    </row>
    <row r="11718" spans="1:13" x14ac:dyDescent="0.2">
      <c r="A11718" t="s">
        <v>276</v>
      </c>
      <c r="B11718" t="s">
        <v>71</v>
      </c>
      <c r="C11718" t="s">
        <v>72</v>
      </c>
      <c r="D11718">
        <v>9305</v>
      </c>
      <c r="E11718">
        <v>2020</v>
      </c>
      <c r="F11718">
        <v>10</v>
      </c>
      <c r="G11718">
        <v>15615</v>
      </c>
      <c r="H11718" s="1" t="s">
        <v>1841</v>
      </c>
      <c r="I11718">
        <v>0</v>
      </c>
      <c r="J11718">
        <f>IF($H11718=0,1,IF($I11718&lt;=1,2,0))</f>
        <v>2</v>
      </c>
      <c r="K11718">
        <v>5</v>
      </c>
      <c r="L11718">
        <f>IF(AND($J11718=0,$K11718=0),0,1)</f>
        <v>1</v>
      </c>
    </row>
    <row r="11719" spans="1:13" x14ac:dyDescent="0.2">
      <c r="A11719" t="s">
        <v>276</v>
      </c>
      <c r="B11719" t="s">
        <v>71</v>
      </c>
      <c r="C11719" t="s">
        <v>72</v>
      </c>
      <c r="D11719">
        <v>9305</v>
      </c>
      <c r="E11719">
        <v>2020</v>
      </c>
      <c r="F11719">
        <v>11</v>
      </c>
      <c r="G11719">
        <v>15616</v>
      </c>
      <c r="H11719" s="1" t="s">
        <v>1841</v>
      </c>
      <c r="I11719">
        <v>0</v>
      </c>
      <c r="J11719">
        <f>IF($H11719=0,1,IF($I11719&lt;=1,2,0))</f>
        <v>2</v>
      </c>
      <c r="K11719">
        <v>5</v>
      </c>
      <c r="L11719">
        <f>IF(AND($J11719=0,$K11719=0),0,1)</f>
        <v>1</v>
      </c>
    </row>
    <row r="11720" spans="1:13" x14ac:dyDescent="0.2">
      <c r="A11720" t="s">
        <v>276</v>
      </c>
      <c r="B11720" t="s">
        <v>71</v>
      </c>
      <c r="C11720" t="s">
        <v>72</v>
      </c>
      <c r="D11720">
        <v>9305</v>
      </c>
      <c r="E11720">
        <v>2020</v>
      </c>
      <c r="F11720">
        <v>12</v>
      </c>
      <c r="G11720">
        <v>15617</v>
      </c>
      <c r="H11720" s="1" t="s">
        <v>1841</v>
      </c>
      <c r="I11720">
        <v>0</v>
      </c>
      <c r="J11720">
        <f>IF($H11720=0,1,IF($I11720&lt;=1,2,0))</f>
        <v>2</v>
      </c>
      <c r="K11720">
        <v>5</v>
      </c>
      <c r="L11720">
        <f>IF(AND($J11720=0,$K11720=0),0,1)</f>
        <v>1</v>
      </c>
    </row>
    <row r="11721" spans="1:13" x14ac:dyDescent="0.2">
      <c r="A11721" t="s">
        <v>281</v>
      </c>
      <c r="B11721" t="s">
        <v>6</v>
      </c>
      <c r="C11721" t="s">
        <v>2</v>
      </c>
      <c r="D11721">
        <v>3066</v>
      </c>
      <c r="E11721">
        <v>2020</v>
      </c>
      <c r="F11721">
        <v>1</v>
      </c>
      <c r="G11721">
        <v>248</v>
      </c>
      <c r="H11721" s="1">
        <v>4</v>
      </c>
      <c r="I11721">
        <v>6</v>
      </c>
      <c r="J11721">
        <f>IF($H11721=0,1,IF($I11721&lt;=1,2,0))</f>
        <v>0</v>
      </c>
      <c r="K11721">
        <v>7</v>
      </c>
      <c r="L11721">
        <f>IF(AND($J11721=0,$K11721=0),0,1)</f>
        <v>1</v>
      </c>
    </row>
    <row r="11722" spans="1:13" x14ac:dyDescent="0.2">
      <c r="A11722" t="s">
        <v>281</v>
      </c>
      <c r="B11722" t="s">
        <v>6</v>
      </c>
      <c r="C11722" t="s">
        <v>2</v>
      </c>
      <c r="D11722">
        <v>3066</v>
      </c>
      <c r="E11722">
        <v>2020</v>
      </c>
      <c r="F11722">
        <v>2</v>
      </c>
      <c r="G11722">
        <v>249</v>
      </c>
      <c r="H11722" s="1">
        <v>4</v>
      </c>
      <c r="I11722">
        <v>6</v>
      </c>
      <c r="J11722">
        <f>IF($H11722=0,1,IF($I11722&lt;=1,2,0))</f>
        <v>0</v>
      </c>
      <c r="K11722">
        <v>7</v>
      </c>
      <c r="L11722">
        <f>IF(AND($J11722=0,$K11722=0),0,1)</f>
        <v>1</v>
      </c>
    </row>
    <row r="11723" spans="1:13" x14ac:dyDescent="0.2">
      <c r="A11723" t="s">
        <v>281</v>
      </c>
      <c r="B11723" t="s">
        <v>6</v>
      </c>
      <c r="C11723" t="s">
        <v>2</v>
      </c>
      <c r="D11723">
        <v>3066</v>
      </c>
      <c r="E11723">
        <v>2020</v>
      </c>
      <c r="F11723">
        <v>3</v>
      </c>
      <c r="G11723">
        <v>902</v>
      </c>
      <c r="H11723" s="1">
        <v>4</v>
      </c>
      <c r="I11723">
        <v>5</v>
      </c>
      <c r="J11723">
        <f>IF($H11723=0,1,IF($I11723&lt;=1,2,0))</f>
        <v>0</v>
      </c>
      <c r="K11723">
        <v>7</v>
      </c>
      <c r="L11723">
        <f>IF(AND($J11723=0,$K11723=0),0,1)</f>
        <v>1</v>
      </c>
      <c r="M11723" t="s">
        <v>974</v>
      </c>
    </row>
    <row r="11724" spans="1:13" x14ac:dyDescent="0.2">
      <c r="A11724" t="s">
        <v>282</v>
      </c>
      <c r="B11724" t="s">
        <v>6</v>
      </c>
      <c r="C11724" t="s">
        <v>2</v>
      </c>
      <c r="D11724">
        <v>1003</v>
      </c>
      <c r="E11724">
        <v>2020</v>
      </c>
      <c r="F11724">
        <v>3</v>
      </c>
      <c r="G11724">
        <v>252</v>
      </c>
      <c r="H11724" s="1">
        <v>3</v>
      </c>
      <c r="I11724">
        <v>82</v>
      </c>
      <c r="J11724">
        <f>IF($H11724=0,1,IF($I11724&lt;=1,2,0))</f>
        <v>0</v>
      </c>
      <c r="K11724">
        <v>7</v>
      </c>
      <c r="L11724">
        <f>IF(AND($J11724=0,$K11724=0),0,1)</f>
        <v>1</v>
      </c>
    </row>
    <row r="11725" spans="1:13" x14ac:dyDescent="0.2">
      <c r="A11725" t="s">
        <v>282</v>
      </c>
      <c r="B11725" t="s">
        <v>6</v>
      </c>
      <c r="C11725" t="s">
        <v>2</v>
      </c>
      <c r="D11725">
        <v>1003</v>
      </c>
      <c r="E11725">
        <v>2020</v>
      </c>
      <c r="F11725">
        <v>2</v>
      </c>
      <c r="G11725">
        <v>251</v>
      </c>
      <c r="H11725" s="1">
        <v>3</v>
      </c>
      <c r="I11725">
        <v>51</v>
      </c>
      <c r="J11725">
        <f>IF($H11725=0,1,IF($I11725&lt;=1,2,0))</f>
        <v>0</v>
      </c>
      <c r="K11725">
        <v>7</v>
      </c>
      <c r="L11725">
        <f>IF(AND($J11725=0,$K11725=0),0,1)</f>
        <v>1</v>
      </c>
    </row>
    <row r="11726" spans="1:13" x14ac:dyDescent="0.2">
      <c r="A11726" t="s">
        <v>282</v>
      </c>
      <c r="B11726" t="s">
        <v>6</v>
      </c>
      <c r="C11726" t="s">
        <v>2</v>
      </c>
      <c r="D11726">
        <v>1007</v>
      </c>
      <c r="E11726">
        <v>2020</v>
      </c>
      <c r="F11726">
        <v>1</v>
      </c>
      <c r="G11726">
        <v>256</v>
      </c>
      <c r="H11726" s="1">
        <v>4</v>
      </c>
      <c r="I11726">
        <v>57</v>
      </c>
      <c r="J11726">
        <f>IF($H11726=0,1,IF($I11726&lt;=1,2,0))</f>
        <v>0</v>
      </c>
      <c r="K11726">
        <v>7</v>
      </c>
      <c r="L11726">
        <f>IF(AND($J11726=0,$K11726=0),0,1)</f>
        <v>1</v>
      </c>
    </row>
    <row r="11727" spans="1:13" x14ac:dyDescent="0.2">
      <c r="A11727" t="s">
        <v>282</v>
      </c>
      <c r="B11727" t="s">
        <v>6</v>
      </c>
      <c r="C11727" t="s">
        <v>9</v>
      </c>
      <c r="D11727">
        <v>1155</v>
      </c>
      <c r="E11727">
        <v>2020</v>
      </c>
      <c r="F11727">
        <v>1</v>
      </c>
      <c r="G11727">
        <v>10543</v>
      </c>
      <c r="H11727" s="1">
        <v>0</v>
      </c>
      <c r="I11727">
        <v>525</v>
      </c>
      <c r="J11727">
        <f>IF($H11727=0,1,IF($I11727&lt;=1,2,0))</f>
        <v>1</v>
      </c>
      <c r="K11727">
        <v>0</v>
      </c>
      <c r="L11727">
        <f>IF(AND($J11727=0,$K11727=0),0,1)</f>
        <v>1</v>
      </c>
    </row>
    <row r="11728" spans="1:13" x14ac:dyDescent="0.2">
      <c r="A11728" t="s">
        <v>282</v>
      </c>
      <c r="B11728" t="s">
        <v>6</v>
      </c>
      <c r="C11728" t="s">
        <v>2</v>
      </c>
      <c r="D11728">
        <v>2411</v>
      </c>
      <c r="E11728">
        <v>2020</v>
      </c>
      <c r="F11728">
        <v>1</v>
      </c>
      <c r="G11728">
        <v>260</v>
      </c>
      <c r="H11728" s="1">
        <v>4</v>
      </c>
      <c r="I11728">
        <v>42</v>
      </c>
      <c r="J11728">
        <f>IF($H11728=0,1,IF($I11728&lt;=1,2,0))</f>
        <v>0</v>
      </c>
      <c r="K11728">
        <v>7</v>
      </c>
      <c r="L11728">
        <f>IF(AND($J11728=0,$K11728=0),0,1)</f>
        <v>1</v>
      </c>
      <c r="M11728" t="s">
        <v>285</v>
      </c>
    </row>
    <row r="11729" spans="1:13" x14ac:dyDescent="0.2">
      <c r="A11729" t="s">
        <v>282</v>
      </c>
      <c r="B11729" t="s">
        <v>6</v>
      </c>
      <c r="C11729" t="s">
        <v>2</v>
      </c>
      <c r="D11729">
        <v>2413</v>
      </c>
      <c r="E11729">
        <v>2020</v>
      </c>
      <c r="F11729">
        <v>1</v>
      </c>
      <c r="G11729">
        <v>526</v>
      </c>
      <c r="H11729" s="1">
        <v>0</v>
      </c>
      <c r="I11729">
        <v>0</v>
      </c>
      <c r="J11729">
        <f>IF($H11729=0,1,IF($I11729&lt;=1,2,0))</f>
        <v>1</v>
      </c>
      <c r="K11729">
        <v>7</v>
      </c>
      <c r="L11729">
        <f>IF(AND($J11729=0,$K11729=0),0,1)</f>
        <v>1</v>
      </c>
    </row>
    <row r="11730" spans="1:13" x14ac:dyDescent="0.2">
      <c r="A11730" t="s">
        <v>282</v>
      </c>
      <c r="B11730" t="s">
        <v>6</v>
      </c>
      <c r="C11730" t="s">
        <v>2</v>
      </c>
      <c r="D11730">
        <v>2413</v>
      </c>
      <c r="E11730">
        <v>2020</v>
      </c>
      <c r="F11730">
        <v>2</v>
      </c>
      <c r="G11730">
        <v>527</v>
      </c>
      <c r="H11730" s="1">
        <v>0</v>
      </c>
      <c r="I11730">
        <v>0</v>
      </c>
      <c r="J11730">
        <f>IF($H11730=0,1,IF($I11730&lt;=1,2,0))</f>
        <v>1</v>
      </c>
      <c r="K11730">
        <v>7</v>
      </c>
      <c r="L11730">
        <f>IF(AND($J11730=0,$K11730=0),0,1)</f>
        <v>1</v>
      </c>
    </row>
    <row r="11731" spans="1:13" x14ac:dyDescent="0.2">
      <c r="A11731" t="s">
        <v>282</v>
      </c>
      <c r="B11731" t="s">
        <v>6</v>
      </c>
      <c r="C11731" t="s">
        <v>2</v>
      </c>
      <c r="D11731">
        <v>3011</v>
      </c>
      <c r="E11731">
        <v>2020</v>
      </c>
      <c r="F11731">
        <v>1</v>
      </c>
      <c r="G11731">
        <v>261</v>
      </c>
      <c r="H11731" s="1">
        <v>3</v>
      </c>
      <c r="I11731">
        <v>63</v>
      </c>
      <c r="J11731">
        <f>IF($H11731=0,1,IF($I11731&lt;=1,2,0))</f>
        <v>0</v>
      </c>
      <c r="K11731">
        <v>7</v>
      </c>
      <c r="L11731">
        <f>IF(AND($J11731=0,$K11731=0),0,1)</f>
        <v>1</v>
      </c>
      <c r="M11731" t="s">
        <v>286</v>
      </c>
    </row>
    <row r="11732" spans="1:13" x14ac:dyDescent="0.2">
      <c r="A11732" t="s">
        <v>282</v>
      </c>
      <c r="B11732" t="s">
        <v>6</v>
      </c>
      <c r="C11732" t="s">
        <v>2</v>
      </c>
      <c r="D11732">
        <v>3012</v>
      </c>
      <c r="E11732">
        <v>2020</v>
      </c>
      <c r="F11732">
        <v>1</v>
      </c>
      <c r="G11732">
        <v>262</v>
      </c>
      <c r="H11732" s="1">
        <v>3</v>
      </c>
      <c r="I11732">
        <v>35</v>
      </c>
      <c r="J11732">
        <f>IF($H11732=0,1,IF($I11732&lt;=1,2,0))</f>
        <v>0</v>
      </c>
      <c r="K11732">
        <v>7</v>
      </c>
      <c r="L11732">
        <f>IF(AND($J11732=0,$K11732=0),0,1)</f>
        <v>1</v>
      </c>
      <c r="M11732" t="s">
        <v>1922</v>
      </c>
    </row>
    <row r="11733" spans="1:13" x14ac:dyDescent="0.2">
      <c r="A11733" t="s">
        <v>282</v>
      </c>
      <c r="B11733" t="s">
        <v>6</v>
      </c>
      <c r="C11733" t="s">
        <v>2</v>
      </c>
      <c r="D11733">
        <v>3018</v>
      </c>
      <c r="E11733">
        <v>2020</v>
      </c>
      <c r="F11733">
        <v>1</v>
      </c>
      <c r="G11733">
        <v>263</v>
      </c>
      <c r="H11733" s="1">
        <v>4</v>
      </c>
      <c r="I11733">
        <v>29</v>
      </c>
      <c r="J11733">
        <f>IF($H11733=0,1,IF($I11733&lt;=1,2,0))</f>
        <v>0</v>
      </c>
      <c r="K11733">
        <v>7</v>
      </c>
      <c r="L11733">
        <f>IF(AND($J11733=0,$K11733=0),0,1)</f>
        <v>1</v>
      </c>
      <c r="M11733" t="s">
        <v>287</v>
      </c>
    </row>
    <row r="11734" spans="1:13" x14ac:dyDescent="0.2">
      <c r="A11734" t="s">
        <v>282</v>
      </c>
      <c r="B11734" t="s">
        <v>6</v>
      </c>
      <c r="C11734" t="s">
        <v>2</v>
      </c>
      <c r="D11734">
        <v>3019</v>
      </c>
      <c r="E11734">
        <v>2020</v>
      </c>
      <c r="F11734">
        <v>1</v>
      </c>
      <c r="G11734">
        <v>264</v>
      </c>
      <c r="H11734" s="1">
        <v>3</v>
      </c>
      <c r="I11734">
        <v>40</v>
      </c>
      <c r="J11734">
        <f>IF($H11734=0,1,IF($I11734&lt;=1,2,0))</f>
        <v>0</v>
      </c>
      <c r="K11734">
        <v>7</v>
      </c>
      <c r="L11734">
        <f>IF(AND($J11734=0,$K11734=0),0,1)</f>
        <v>1</v>
      </c>
      <c r="M11734" t="s">
        <v>288</v>
      </c>
    </row>
    <row r="11735" spans="1:13" x14ac:dyDescent="0.2">
      <c r="A11735" t="s">
        <v>282</v>
      </c>
      <c r="B11735" t="s">
        <v>6</v>
      </c>
      <c r="C11735" t="s">
        <v>2</v>
      </c>
      <c r="D11735">
        <v>3033</v>
      </c>
      <c r="E11735">
        <v>2020</v>
      </c>
      <c r="F11735">
        <v>1</v>
      </c>
      <c r="G11735">
        <v>266</v>
      </c>
      <c r="H11735" s="1">
        <v>4</v>
      </c>
      <c r="I11735">
        <v>68</v>
      </c>
      <c r="J11735">
        <f>IF($H11735=0,1,IF($I11735&lt;=1,2,0))</f>
        <v>0</v>
      </c>
      <c r="K11735">
        <v>7</v>
      </c>
      <c r="L11735">
        <f>IF(AND($J11735=0,$K11735=0),0,1)</f>
        <v>1</v>
      </c>
      <c r="M11735" t="s">
        <v>1923</v>
      </c>
    </row>
    <row r="11736" spans="1:13" x14ac:dyDescent="0.2">
      <c r="A11736" t="s">
        <v>282</v>
      </c>
      <c r="B11736" t="s">
        <v>6</v>
      </c>
      <c r="C11736" t="s">
        <v>2</v>
      </c>
      <c r="D11736">
        <v>3035</v>
      </c>
      <c r="E11736">
        <v>2020</v>
      </c>
      <c r="F11736">
        <v>1</v>
      </c>
      <c r="G11736">
        <v>267</v>
      </c>
      <c r="H11736" s="1">
        <v>4</v>
      </c>
      <c r="I11736">
        <v>75</v>
      </c>
      <c r="J11736">
        <f>IF($H11736=0,1,IF($I11736&lt;=1,2,0))</f>
        <v>0</v>
      </c>
      <c r="K11736">
        <v>7</v>
      </c>
      <c r="L11736">
        <f>IF(AND($J11736=0,$K11736=0),0,1)</f>
        <v>1</v>
      </c>
      <c r="M11736" t="s">
        <v>1924</v>
      </c>
    </row>
    <row r="11737" spans="1:13" x14ac:dyDescent="0.2">
      <c r="A11737" t="s">
        <v>282</v>
      </c>
      <c r="B11737" t="s">
        <v>6</v>
      </c>
      <c r="C11737" t="s">
        <v>2</v>
      </c>
      <c r="D11737">
        <v>3035</v>
      </c>
      <c r="E11737">
        <v>2020</v>
      </c>
      <c r="F11737">
        <v>2</v>
      </c>
      <c r="G11737">
        <v>268</v>
      </c>
      <c r="H11737" s="1">
        <v>4</v>
      </c>
      <c r="I11737">
        <v>12</v>
      </c>
      <c r="J11737">
        <f>IF($H11737=0,1,IF($I11737&lt;=1,2,0))</f>
        <v>0</v>
      </c>
      <c r="K11737">
        <v>7</v>
      </c>
      <c r="L11737">
        <f>IF(AND($J11737=0,$K11737=0),0,1)</f>
        <v>1</v>
      </c>
      <c r="M11737" t="s">
        <v>1989</v>
      </c>
    </row>
    <row r="11738" spans="1:13" x14ac:dyDescent="0.2">
      <c r="A11738" t="s">
        <v>282</v>
      </c>
      <c r="B11738" t="s">
        <v>6</v>
      </c>
      <c r="C11738" t="s">
        <v>2</v>
      </c>
      <c r="D11738">
        <v>3038</v>
      </c>
      <c r="E11738">
        <v>2020</v>
      </c>
      <c r="F11738">
        <v>1</v>
      </c>
      <c r="G11738">
        <v>269</v>
      </c>
      <c r="H11738" s="1">
        <v>3</v>
      </c>
      <c r="I11738">
        <v>30</v>
      </c>
      <c r="J11738">
        <f>IF($H11738=0,1,IF($I11738&lt;=1,2,0))</f>
        <v>0</v>
      </c>
      <c r="K11738">
        <v>7</v>
      </c>
      <c r="L11738">
        <f>IF(AND($J11738=0,$K11738=0),0,1)</f>
        <v>1</v>
      </c>
      <c r="M11738" t="s">
        <v>291</v>
      </c>
    </row>
    <row r="11739" spans="1:13" x14ac:dyDescent="0.2">
      <c r="A11739" t="s">
        <v>282</v>
      </c>
      <c r="B11739" t="s">
        <v>6</v>
      </c>
      <c r="C11739" t="s">
        <v>2</v>
      </c>
      <c r="D11739">
        <v>3041</v>
      </c>
      <c r="E11739">
        <v>2020</v>
      </c>
      <c r="F11739">
        <v>2</v>
      </c>
      <c r="G11739">
        <v>271</v>
      </c>
      <c r="H11739" s="1">
        <v>3</v>
      </c>
      <c r="I11739">
        <v>46</v>
      </c>
      <c r="J11739">
        <f>IF($H11739=0,1,IF($I11739&lt;=1,2,0))</f>
        <v>0</v>
      </c>
      <c r="K11739">
        <v>7</v>
      </c>
      <c r="L11739">
        <f>IF(AND($J11739=0,$K11739=0),0,1)</f>
        <v>1</v>
      </c>
      <c r="M11739" t="s">
        <v>292</v>
      </c>
    </row>
    <row r="11740" spans="1:13" x14ac:dyDescent="0.2">
      <c r="A11740" t="s">
        <v>282</v>
      </c>
      <c r="B11740" t="s">
        <v>6</v>
      </c>
      <c r="C11740" t="s">
        <v>2</v>
      </c>
      <c r="D11740">
        <v>3041</v>
      </c>
      <c r="E11740">
        <v>2020</v>
      </c>
      <c r="F11740">
        <v>1</v>
      </c>
      <c r="G11740">
        <v>270</v>
      </c>
      <c r="H11740" s="1">
        <v>3</v>
      </c>
      <c r="I11740">
        <v>29</v>
      </c>
      <c r="J11740">
        <f>IF($H11740=0,1,IF($I11740&lt;=1,2,0))</f>
        <v>0</v>
      </c>
      <c r="K11740">
        <v>7</v>
      </c>
      <c r="L11740">
        <f>IF(AND($J11740=0,$K11740=0),0,1)</f>
        <v>1</v>
      </c>
      <c r="M11740" t="s">
        <v>292</v>
      </c>
    </row>
    <row r="11741" spans="1:13" x14ac:dyDescent="0.2">
      <c r="A11741" t="s">
        <v>282</v>
      </c>
      <c r="B11741" t="s">
        <v>6</v>
      </c>
      <c r="C11741" t="s">
        <v>2</v>
      </c>
      <c r="D11741">
        <v>3061</v>
      </c>
      <c r="E11741">
        <v>2020</v>
      </c>
      <c r="F11741">
        <v>1</v>
      </c>
      <c r="G11741">
        <v>272</v>
      </c>
      <c r="H11741" s="1">
        <v>4</v>
      </c>
      <c r="I11741">
        <v>7</v>
      </c>
      <c r="J11741">
        <f>IF($H11741=0,1,IF($I11741&lt;=1,2,0))</f>
        <v>0</v>
      </c>
      <c r="K11741">
        <v>7</v>
      </c>
      <c r="L11741">
        <f>IF(AND($J11741=0,$K11741=0),0,1)</f>
        <v>1</v>
      </c>
      <c r="M11741" t="s">
        <v>1990</v>
      </c>
    </row>
    <row r="11742" spans="1:13" x14ac:dyDescent="0.2">
      <c r="A11742" t="s">
        <v>282</v>
      </c>
      <c r="B11742" t="s">
        <v>6</v>
      </c>
      <c r="C11742" t="s">
        <v>2</v>
      </c>
      <c r="D11742">
        <v>3061</v>
      </c>
      <c r="E11742">
        <v>2020</v>
      </c>
      <c r="F11742">
        <v>2</v>
      </c>
      <c r="G11742">
        <v>275</v>
      </c>
      <c r="H11742" s="1">
        <v>4</v>
      </c>
      <c r="I11742">
        <v>7</v>
      </c>
      <c r="J11742">
        <f>IF($H11742=0,1,IF($I11742&lt;=1,2,0))</f>
        <v>0</v>
      </c>
      <c r="K11742">
        <v>7</v>
      </c>
      <c r="L11742">
        <f>IF(AND($J11742=0,$K11742=0),0,1)</f>
        <v>1</v>
      </c>
      <c r="M11742" t="s">
        <v>1990</v>
      </c>
    </row>
    <row r="11743" spans="1:13" x14ac:dyDescent="0.2">
      <c r="A11743" t="s">
        <v>282</v>
      </c>
      <c r="B11743" t="s">
        <v>6</v>
      </c>
      <c r="C11743" t="s">
        <v>2</v>
      </c>
      <c r="D11743">
        <v>3061</v>
      </c>
      <c r="E11743">
        <v>2020</v>
      </c>
      <c r="F11743">
        <v>3</v>
      </c>
      <c r="G11743">
        <v>680</v>
      </c>
      <c r="H11743" s="1">
        <v>4</v>
      </c>
      <c r="I11743">
        <v>6</v>
      </c>
      <c r="J11743">
        <f>IF($H11743=0,1,IF($I11743&lt;=1,2,0))</f>
        <v>0</v>
      </c>
      <c r="K11743">
        <v>7</v>
      </c>
      <c r="L11743">
        <f>IF(AND($J11743=0,$K11743=0),0,1)</f>
        <v>1</v>
      </c>
      <c r="M11743" t="s">
        <v>1990</v>
      </c>
    </row>
    <row r="11744" spans="1:13" x14ac:dyDescent="0.2">
      <c r="A11744" t="s">
        <v>282</v>
      </c>
      <c r="B11744" t="s">
        <v>6</v>
      </c>
      <c r="C11744" t="s">
        <v>2</v>
      </c>
      <c r="D11744">
        <v>3063</v>
      </c>
      <c r="E11744">
        <v>2020</v>
      </c>
      <c r="F11744">
        <v>1</v>
      </c>
      <c r="G11744">
        <v>276</v>
      </c>
      <c r="H11744" s="1">
        <v>4</v>
      </c>
      <c r="I11744">
        <v>16</v>
      </c>
      <c r="J11744">
        <f>IF($H11744=0,1,IF($I11744&lt;=1,2,0))</f>
        <v>0</v>
      </c>
      <c r="K11744">
        <v>7</v>
      </c>
      <c r="L11744">
        <f>IF(AND($J11744=0,$K11744=0),0,1)</f>
        <v>1</v>
      </c>
      <c r="M11744" t="s">
        <v>1990</v>
      </c>
    </row>
    <row r="11745" spans="1:13" x14ac:dyDescent="0.2">
      <c r="A11745" t="s">
        <v>282</v>
      </c>
      <c r="B11745" t="s">
        <v>6</v>
      </c>
      <c r="C11745" t="s">
        <v>2</v>
      </c>
      <c r="D11745">
        <v>3063</v>
      </c>
      <c r="E11745">
        <v>2020</v>
      </c>
      <c r="F11745">
        <v>2</v>
      </c>
      <c r="G11745">
        <v>278</v>
      </c>
      <c r="H11745" s="1">
        <v>4</v>
      </c>
      <c r="I11745">
        <v>16</v>
      </c>
      <c r="J11745">
        <f>IF($H11745=0,1,IF($I11745&lt;=1,2,0))</f>
        <v>0</v>
      </c>
      <c r="K11745">
        <v>7</v>
      </c>
      <c r="L11745">
        <f>IF(AND($J11745=0,$K11745=0),0,1)</f>
        <v>1</v>
      </c>
      <c r="M11745" t="s">
        <v>1990</v>
      </c>
    </row>
    <row r="11746" spans="1:13" x14ac:dyDescent="0.2">
      <c r="A11746" t="s">
        <v>282</v>
      </c>
      <c r="B11746" t="s">
        <v>6</v>
      </c>
      <c r="C11746" t="s">
        <v>2</v>
      </c>
      <c r="D11746">
        <v>3063</v>
      </c>
      <c r="E11746">
        <v>2020</v>
      </c>
      <c r="F11746">
        <v>3</v>
      </c>
      <c r="G11746">
        <v>648</v>
      </c>
      <c r="H11746" s="1">
        <v>4</v>
      </c>
      <c r="I11746">
        <v>16</v>
      </c>
      <c r="J11746">
        <f>IF($H11746=0,1,IF($I11746&lt;=1,2,0))</f>
        <v>0</v>
      </c>
      <c r="K11746">
        <v>7</v>
      </c>
      <c r="L11746">
        <f>IF(AND($J11746=0,$K11746=0),0,1)</f>
        <v>1</v>
      </c>
      <c r="M11746" t="s">
        <v>975</v>
      </c>
    </row>
    <row r="11747" spans="1:13" x14ac:dyDescent="0.2">
      <c r="A11747" t="s">
        <v>282</v>
      </c>
      <c r="B11747" t="s">
        <v>6</v>
      </c>
      <c r="C11747" t="s">
        <v>2</v>
      </c>
      <c r="D11747">
        <v>3098</v>
      </c>
      <c r="E11747">
        <v>2020</v>
      </c>
      <c r="F11747">
        <v>5</v>
      </c>
      <c r="G11747">
        <v>285</v>
      </c>
      <c r="H11747" s="1" t="s">
        <v>1837</v>
      </c>
      <c r="I11747">
        <v>2</v>
      </c>
      <c r="J11747">
        <f>IF($H11747=0,1,IF($I11747&lt;=1,2,0))</f>
        <v>0</v>
      </c>
      <c r="K11747">
        <v>7</v>
      </c>
      <c r="L11747">
        <f>IF(AND($J11747=0,$K11747=0),0,1)</f>
        <v>1</v>
      </c>
      <c r="M11747" t="s">
        <v>294</v>
      </c>
    </row>
    <row r="11748" spans="1:13" x14ac:dyDescent="0.2">
      <c r="A11748" t="s">
        <v>282</v>
      </c>
      <c r="B11748" t="s">
        <v>6</v>
      </c>
      <c r="C11748" t="s">
        <v>2</v>
      </c>
      <c r="D11748">
        <v>3098</v>
      </c>
      <c r="E11748">
        <v>2020</v>
      </c>
      <c r="F11748">
        <v>1</v>
      </c>
      <c r="G11748">
        <v>279</v>
      </c>
      <c r="H11748" s="1" t="s">
        <v>1837</v>
      </c>
      <c r="I11748">
        <v>1</v>
      </c>
      <c r="J11748">
        <f>IF($H11748=0,1,IF($I11748&lt;=1,2,0))</f>
        <v>2</v>
      </c>
      <c r="K11748">
        <v>7</v>
      </c>
      <c r="L11748">
        <f>IF(AND($J11748=0,$K11748=0),0,1)</f>
        <v>1</v>
      </c>
      <c r="M11748" t="s">
        <v>294</v>
      </c>
    </row>
    <row r="11749" spans="1:13" x14ac:dyDescent="0.2">
      <c r="A11749" t="s">
        <v>282</v>
      </c>
      <c r="B11749" t="s">
        <v>6</v>
      </c>
      <c r="C11749" t="s">
        <v>2</v>
      </c>
      <c r="D11749">
        <v>3098</v>
      </c>
      <c r="E11749">
        <v>2020</v>
      </c>
      <c r="F11749">
        <v>2</v>
      </c>
      <c r="G11749">
        <v>280</v>
      </c>
      <c r="H11749" s="1" t="s">
        <v>1837</v>
      </c>
      <c r="I11749">
        <v>1</v>
      </c>
      <c r="J11749">
        <f>IF($H11749=0,1,IF($I11749&lt;=1,2,0))</f>
        <v>2</v>
      </c>
      <c r="K11749">
        <v>7</v>
      </c>
      <c r="L11749">
        <f>IF(AND($J11749=0,$K11749=0),0,1)</f>
        <v>1</v>
      </c>
      <c r="M11749" t="s">
        <v>294</v>
      </c>
    </row>
    <row r="11750" spans="1:13" x14ac:dyDescent="0.2">
      <c r="A11750" t="s">
        <v>282</v>
      </c>
      <c r="B11750" t="s">
        <v>6</v>
      </c>
      <c r="C11750" t="s">
        <v>2</v>
      </c>
      <c r="D11750">
        <v>3098</v>
      </c>
      <c r="E11750">
        <v>2020</v>
      </c>
      <c r="F11750">
        <v>4</v>
      </c>
      <c r="G11750">
        <v>284</v>
      </c>
      <c r="H11750" s="1" t="s">
        <v>1837</v>
      </c>
      <c r="I11750">
        <v>1</v>
      </c>
      <c r="J11750">
        <f>IF($H11750=0,1,IF($I11750&lt;=1,2,0))</f>
        <v>2</v>
      </c>
      <c r="K11750">
        <v>7</v>
      </c>
      <c r="L11750">
        <f>IF(AND($J11750=0,$K11750=0),0,1)</f>
        <v>1</v>
      </c>
      <c r="M11750" t="s">
        <v>294</v>
      </c>
    </row>
    <row r="11751" spans="1:13" x14ac:dyDescent="0.2">
      <c r="A11751" t="s">
        <v>282</v>
      </c>
      <c r="B11751" t="s">
        <v>6</v>
      </c>
      <c r="C11751" t="s">
        <v>2</v>
      </c>
      <c r="D11751">
        <v>3098</v>
      </c>
      <c r="E11751">
        <v>2020</v>
      </c>
      <c r="F11751">
        <v>10</v>
      </c>
      <c r="G11751">
        <v>700</v>
      </c>
      <c r="H11751" s="1" t="s">
        <v>1837</v>
      </c>
      <c r="I11751">
        <v>1</v>
      </c>
      <c r="J11751">
        <f>IF($H11751=0,1,IF($I11751&lt;=1,2,0))</f>
        <v>2</v>
      </c>
      <c r="K11751">
        <v>7</v>
      </c>
      <c r="L11751">
        <f>IF(AND($J11751=0,$K11751=0),0,1)</f>
        <v>1</v>
      </c>
    </row>
    <row r="11752" spans="1:13" x14ac:dyDescent="0.2">
      <c r="A11752" t="s">
        <v>282</v>
      </c>
      <c r="B11752" t="s">
        <v>6</v>
      </c>
      <c r="C11752" t="s">
        <v>2</v>
      </c>
      <c r="D11752">
        <v>3098</v>
      </c>
      <c r="E11752">
        <v>2020</v>
      </c>
      <c r="F11752">
        <v>12</v>
      </c>
      <c r="G11752">
        <v>960</v>
      </c>
      <c r="H11752" s="1" t="s">
        <v>1837</v>
      </c>
      <c r="I11752">
        <v>1</v>
      </c>
      <c r="J11752">
        <f>IF($H11752=0,1,IF($I11752&lt;=1,2,0))</f>
        <v>2</v>
      </c>
      <c r="K11752">
        <v>7</v>
      </c>
      <c r="L11752">
        <f>IF(AND($J11752=0,$K11752=0),0,1)</f>
        <v>1</v>
      </c>
    </row>
    <row r="11753" spans="1:13" x14ac:dyDescent="0.2">
      <c r="A11753" t="s">
        <v>282</v>
      </c>
      <c r="B11753" t="s">
        <v>6</v>
      </c>
      <c r="C11753" t="s">
        <v>2</v>
      </c>
      <c r="D11753">
        <v>3098</v>
      </c>
      <c r="E11753">
        <v>2020</v>
      </c>
      <c r="F11753">
        <v>3</v>
      </c>
      <c r="G11753">
        <v>282</v>
      </c>
      <c r="H11753" s="1" t="s">
        <v>1837</v>
      </c>
      <c r="I11753">
        <v>0</v>
      </c>
      <c r="J11753">
        <f>IF($H11753=0,1,IF($I11753&lt;=1,2,0))</f>
        <v>2</v>
      </c>
      <c r="K11753">
        <v>7</v>
      </c>
      <c r="L11753">
        <f>IF(AND($J11753=0,$K11753=0),0,1)</f>
        <v>1</v>
      </c>
      <c r="M11753" t="s">
        <v>294</v>
      </c>
    </row>
    <row r="11754" spans="1:13" x14ac:dyDescent="0.2">
      <c r="A11754" t="s">
        <v>282</v>
      </c>
      <c r="B11754" t="s">
        <v>6</v>
      </c>
      <c r="C11754" t="s">
        <v>2</v>
      </c>
      <c r="D11754">
        <v>3098</v>
      </c>
      <c r="E11754">
        <v>2020</v>
      </c>
      <c r="F11754">
        <v>6</v>
      </c>
      <c r="G11754">
        <v>696</v>
      </c>
      <c r="H11754" s="1" t="s">
        <v>1837</v>
      </c>
      <c r="I11754">
        <v>0</v>
      </c>
      <c r="J11754">
        <f>IF($H11754=0,1,IF($I11754&lt;=1,2,0))</f>
        <v>2</v>
      </c>
      <c r="K11754">
        <v>7</v>
      </c>
      <c r="L11754">
        <f>IF(AND($J11754=0,$K11754=0),0,1)</f>
        <v>1</v>
      </c>
    </row>
    <row r="11755" spans="1:13" x14ac:dyDescent="0.2">
      <c r="A11755" t="s">
        <v>282</v>
      </c>
      <c r="B11755" t="s">
        <v>6</v>
      </c>
      <c r="C11755" t="s">
        <v>2</v>
      </c>
      <c r="D11755">
        <v>3098</v>
      </c>
      <c r="E11755">
        <v>2020</v>
      </c>
      <c r="F11755">
        <v>7</v>
      </c>
      <c r="G11755">
        <v>697</v>
      </c>
      <c r="H11755" s="1" t="s">
        <v>1837</v>
      </c>
      <c r="I11755">
        <v>0</v>
      </c>
      <c r="J11755">
        <f>IF($H11755=0,1,IF($I11755&lt;=1,2,0))</f>
        <v>2</v>
      </c>
      <c r="K11755">
        <v>7</v>
      </c>
      <c r="L11755">
        <f>IF(AND($J11755=0,$K11755=0),0,1)</f>
        <v>1</v>
      </c>
    </row>
    <row r="11756" spans="1:13" x14ac:dyDescent="0.2">
      <c r="A11756" t="s">
        <v>282</v>
      </c>
      <c r="B11756" t="s">
        <v>6</v>
      </c>
      <c r="C11756" t="s">
        <v>2</v>
      </c>
      <c r="D11756">
        <v>3098</v>
      </c>
      <c r="E11756">
        <v>2020</v>
      </c>
      <c r="F11756">
        <v>8</v>
      </c>
      <c r="G11756">
        <v>698</v>
      </c>
      <c r="H11756" s="1" t="s">
        <v>1837</v>
      </c>
      <c r="I11756">
        <v>0</v>
      </c>
      <c r="J11756">
        <f>IF($H11756=0,1,IF($I11756&lt;=1,2,0))</f>
        <v>2</v>
      </c>
      <c r="K11756">
        <v>7</v>
      </c>
      <c r="L11756">
        <f>IF(AND($J11756=0,$K11756=0),0,1)</f>
        <v>1</v>
      </c>
    </row>
    <row r="11757" spans="1:13" x14ac:dyDescent="0.2">
      <c r="A11757" t="s">
        <v>282</v>
      </c>
      <c r="B11757" t="s">
        <v>6</v>
      </c>
      <c r="C11757" t="s">
        <v>2</v>
      </c>
      <c r="D11757">
        <v>3098</v>
      </c>
      <c r="E11757">
        <v>2020</v>
      </c>
      <c r="F11757">
        <v>9</v>
      </c>
      <c r="G11757">
        <v>699</v>
      </c>
      <c r="H11757" s="1" t="s">
        <v>1837</v>
      </c>
      <c r="I11757">
        <v>0</v>
      </c>
      <c r="J11757">
        <f>IF($H11757=0,1,IF($I11757&lt;=1,2,0))</f>
        <v>2</v>
      </c>
      <c r="K11757">
        <v>7</v>
      </c>
      <c r="L11757">
        <f>IF(AND($J11757=0,$K11757=0),0,1)</f>
        <v>1</v>
      </c>
    </row>
    <row r="11758" spans="1:13" x14ac:dyDescent="0.2">
      <c r="A11758" t="s">
        <v>282</v>
      </c>
      <c r="B11758" t="s">
        <v>6</v>
      </c>
      <c r="C11758" t="s">
        <v>2</v>
      </c>
      <c r="D11758">
        <v>3098</v>
      </c>
      <c r="E11758">
        <v>2020</v>
      </c>
      <c r="F11758">
        <v>11</v>
      </c>
      <c r="G11758">
        <v>701</v>
      </c>
      <c r="H11758" s="1" t="s">
        <v>1837</v>
      </c>
      <c r="I11758">
        <v>0</v>
      </c>
      <c r="J11758">
        <f>IF($H11758=0,1,IF($I11758&lt;=1,2,0))</f>
        <v>2</v>
      </c>
      <c r="K11758">
        <v>7</v>
      </c>
      <c r="L11758">
        <f>IF(AND($J11758=0,$K11758=0),0,1)</f>
        <v>1</v>
      </c>
    </row>
    <row r="11759" spans="1:13" x14ac:dyDescent="0.2">
      <c r="A11759" t="s">
        <v>282</v>
      </c>
      <c r="B11759" t="s">
        <v>6</v>
      </c>
      <c r="C11759" t="s">
        <v>2</v>
      </c>
      <c r="D11759">
        <v>3099</v>
      </c>
      <c r="E11759">
        <v>2020</v>
      </c>
      <c r="F11759">
        <v>1</v>
      </c>
      <c r="G11759">
        <v>287</v>
      </c>
      <c r="H11759" s="1" t="s">
        <v>1827</v>
      </c>
      <c r="I11759">
        <v>5</v>
      </c>
      <c r="J11759">
        <f>IF($H11759=0,1,IF($I11759&lt;=1,2,0))</f>
        <v>0</v>
      </c>
      <c r="K11759">
        <v>7</v>
      </c>
      <c r="L11759">
        <f>IF(AND($J11759=0,$K11759=0),0,1)</f>
        <v>1</v>
      </c>
      <c r="M11759" t="s">
        <v>294</v>
      </c>
    </row>
    <row r="11760" spans="1:13" x14ac:dyDescent="0.2">
      <c r="A11760" t="s">
        <v>282</v>
      </c>
      <c r="B11760" t="s">
        <v>6</v>
      </c>
      <c r="C11760" t="s">
        <v>2</v>
      </c>
      <c r="D11760">
        <v>3118</v>
      </c>
      <c r="E11760">
        <v>2020</v>
      </c>
      <c r="F11760">
        <v>1</v>
      </c>
      <c r="G11760">
        <v>530</v>
      </c>
      <c r="H11760" s="1">
        <v>0</v>
      </c>
      <c r="I11760">
        <v>3</v>
      </c>
      <c r="J11760">
        <f>IF($H11760=0,1,IF($I11760&lt;=1,2,0))</f>
        <v>1</v>
      </c>
      <c r="K11760">
        <v>7</v>
      </c>
      <c r="L11760">
        <f>IF(AND($J11760=0,$K11760=0),0,1)</f>
        <v>1</v>
      </c>
    </row>
    <row r="11761" spans="1:13" x14ac:dyDescent="0.2">
      <c r="A11761" t="s">
        <v>282</v>
      </c>
      <c r="B11761" t="s">
        <v>6</v>
      </c>
      <c r="C11761" t="s">
        <v>2</v>
      </c>
      <c r="D11761">
        <v>3118</v>
      </c>
      <c r="E11761">
        <v>2020</v>
      </c>
      <c r="F11761">
        <v>2</v>
      </c>
      <c r="G11761">
        <v>531</v>
      </c>
      <c r="H11761" s="1">
        <v>0</v>
      </c>
      <c r="I11761">
        <v>0</v>
      </c>
      <c r="J11761">
        <f>IF($H11761=0,1,IF($I11761&lt;=1,2,0))</f>
        <v>1</v>
      </c>
      <c r="K11761">
        <v>7</v>
      </c>
      <c r="L11761">
        <f>IF(AND($J11761=0,$K11761=0),0,1)</f>
        <v>1</v>
      </c>
    </row>
    <row r="11762" spans="1:13" x14ac:dyDescent="0.2">
      <c r="A11762" t="s">
        <v>282</v>
      </c>
      <c r="B11762" t="s">
        <v>6</v>
      </c>
      <c r="C11762" t="s">
        <v>2</v>
      </c>
      <c r="D11762">
        <v>3133</v>
      </c>
      <c r="E11762">
        <v>2020</v>
      </c>
      <c r="F11762">
        <v>1</v>
      </c>
      <c r="G11762">
        <v>532</v>
      </c>
      <c r="H11762" s="1">
        <v>0</v>
      </c>
      <c r="I11762">
        <v>0</v>
      </c>
      <c r="J11762">
        <f>IF($H11762=0,1,IF($I11762&lt;=1,2,0))</f>
        <v>1</v>
      </c>
      <c r="K11762">
        <v>7</v>
      </c>
      <c r="L11762">
        <f>IF(AND($J11762=0,$K11762=0),0,1)</f>
        <v>1</v>
      </c>
    </row>
    <row r="11763" spans="1:13" x14ac:dyDescent="0.2">
      <c r="A11763" t="s">
        <v>282</v>
      </c>
      <c r="B11763" t="s">
        <v>6</v>
      </c>
      <c r="C11763" t="s">
        <v>2</v>
      </c>
      <c r="D11763">
        <v>3133</v>
      </c>
      <c r="E11763">
        <v>2020</v>
      </c>
      <c r="F11763">
        <v>2</v>
      </c>
      <c r="G11763">
        <v>533</v>
      </c>
      <c r="H11763" s="1">
        <v>0</v>
      </c>
      <c r="I11763">
        <v>0</v>
      </c>
      <c r="J11763">
        <f>IF($H11763=0,1,IF($I11763&lt;=1,2,0))</f>
        <v>1</v>
      </c>
      <c r="K11763">
        <v>7</v>
      </c>
      <c r="L11763">
        <f>IF(AND($J11763=0,$K11763=0),0,1)</f>
        <v>1</v>
      </c>
    </row>
    <row r="11764" spans="1:13" x14ac:dyDescent="0.2">
      <c r="A11764" t="s">
        <v>282</v>
      </c>
      <c r="B11764" t="s">
        <v>6</v>
      </c>
      <c r="C11764" t="s">
        <v>2</v>
      </c>
      <c r="D11764">
        <v>3135</v>
      </c>
      <c r="E11764">
        <v>2020</v>
      </c>
      <c r="F11764">
        <v>1</v>
      </c>
      <c r="G11764">
        <v>528</v>
      </c>
      <c r="H11764" s="1">
        <v>0</v>
      </c>
      <c r="I11764">
        <v>35</v>
      </c>
      <c r="J11764">
        <f>IF($H11764=0,1,IF($I11764&lt;=1,2,0))</f>
        <v>1</v>
      </c>
      <c r="K11764">
        <v>7</v>
      </c>
      <c r="L11764">
        <f>IF(AND($J11764=0,$K11764=0),0,1)</f>
        <v>1</v>
      </c>
    </row>
    <row r="11765" spans="1:13" x14ac:dyDescent="0.2">
      <c r="A11765" t="s">
        <v>282</v>
      </c>
      <c r="B11765" t="s">
        <v>6</v>
      </c>
      <c r="C11765" t="s">
        <v>2</v>
      </c>
      <c r="D11765">
        <v>3135</v>
      </c>
      <c r="E11765">
        <v>2020</v>
      </c>
      <c r="F11765">
        <v>2</v>
      </c>
      <c r="G11765">
        <v>529</v>
      </c>
      <c r="H11765" s="1">
        <v>0</v>
      </c>
      <c r="I11765">
        <v>23</v>
      </c>
      <c r="J11765">
        <f>IF($H11765=0,1,IF($I11765&lt;=1,2,0))</f>
        <v>1</v>
      </c>
      <c r="K11765">
        <v>7</v>
      </c>
      <c r="L11765">
        <f>IF(AND($J11765=0,$K11765=0),0,1)</f>
        <v>1</v>
      </c>
    </row>
    <row r="11766" spans="1:13" x14ac:dyDescent="0.2">
      <c r="A11766" t="s">
        <v>282</v>
      </c>
      <c r="B11766" t="s">
        <v>6</v>
      </c>
      <c r="C11766" t="s">
        <v>9</v>
      </c>
      <c r="D11766">
        <v>3212</v>
      </c>
      <c r="E11766">
        <v>2020</v>
      </c>
      <c r="F11766">
        <v>1</v>
      </c>
      <c r="G11766">
        <v>10548</v>
      </c>
      <c r="H11766" s="1">
        <v>0</v>
      </c>
      <c r="I11766">
        <v>215</v>
      </c>
      <c r="J11766">
        <f>IF($H11766=0,1,IF($I11766&lt;=1,2,0))</f>
        <v>1</v>
      </c>
      <c r="K11766">
        <v>0</v>
      </c>
      <c r="L11766">
        <f>IF(AND($J11766=0,$K11766=0),0,1)</f>
        <v>1</v>
      </c>
    </row>
    <row r="11767" spans="1:13" x14ac:dyDescent="0.2">
      <c r="A11767" t="s">
        <v>282</v>
      </c>
      <c r="B11767" t="s">
        <v>6</v>
      </c>
      <c r="C11767" t="s">
        <v>9</v>
      </c>
      <c r="D11767">
        <v>3214</v>
      </c>
      <c r="E11767">
        <v>2020</v>
      </c>
      <c r="F11767">
        <v>1</v>
      </c>
      <c r="G11767">
        <v>10552</v>
      </c>
      <c r="H11767" s="1">
        <v>0</v>
      </c>
      <c r="I11767">
        <v>292</v>
      </c>
      <c r="J11767">
        <f>IF($H11767=0,1,IF($I11767&lt;=1,2,0))</f>
        <v>1</v>
      </c>
      <c r="K11767">
        <v>0</v>
      </c>
      <c r="L11767">
        <f>IF(AND($J11767=0,$K11767=0),0,1)</f>
        <v>1</v>
      </c>
    </row>
    <row r="11768" spans="1:13" x14ac:dyDescent="0.2">
      <c r="A11768" t="s">
        <v>282</v>
      </c>
      <c r="B11768" t="s">
        <v>6</v>
      </c>
      <c r="C11768" t="s">
        <v>9</v>
      </c>
      <c r="D11768">
        <v>3413</v>
      </c>
      <c r="E11768">
        <v>2020</v>
      </c>
      <c r="F11768">
        <v>1</v>
      </c>
      <c r="G11768">
        <v>10556</v>
      </c>
      <c r="H11768" s="1">
        <v>0</v>
      </c>
      <c r="I11768">
        <v>167</v>
      </c>
      <c r="J11768">
        <f>IF($H11768=0,1,IF($I11768&lt;=1,2,0))</f>
        <v>1</v>
      </c>
      <c r="K11768">
        <v>0</v>
      </c>
      <c r="L11768">
        <f>IF(AND($J11768=0,$K11768=0),0,1)</f>
        <v>1</v>
      </c>
    </row>
    <row r="11769" spans="1:13" x14ac:dyDescent="0.2">
      <c r="A11769" t="s">
        <v>282</v>
      </c>
      <c r="B11769" t="s">
        <v>6</v>
      </c>
      <c r="C11769" t="s">
        <v>9</v>
      </c>
      <c r="D11769">
        <v>4411</v>
      </c>
      <c r="E11769">
        <v>2020</v>
      </c>
      <c r="F11769">
        <v>1</v>
      </c>
      <c r="G11769">
        <v>10567</v>
      </c>
      <c r="H11769" s="1">
        <v>0</v>
      </c>
      <c r="I11769">
        <v>2</v>
      </c>
      <c r="J11769">
        <f>IF($H11769=0,1,IF($I11769&lt;=1,2,0))</f>
        <v>1</v>
      </c>
      <c r="K11769">
        <v>0</v>
      </c>
      <c r="L11769">
        <f>IF(AND($J11769=0,$K11769=0),0,1)</f>
        <v>1</v>
      </c>
    </row>
    <row r="11770" spans="1:13" x14ac:dyDescent="0.2">
      <c r="A11770" t="s">
        <v>282</v>
      </c>
      <c r="B11770" t="s">
        <v>6</v>
      </c>
      <c r="C11770" t="s">
        <v>9</v>
      </c>
      <c r="D11770">
        <v>4911</v>
      </c>
      <c r="E11770">
        <v>2020</v>
      </c>
      <c r="F11770">
        <v>0</v>
      </c>
      <c r="G11770">
        <v>10574</v>
      </c>
      <c r="H11770" s="1">
        <v>0</v>
      </c>
      <c r="I11770">
        <v>0</v>
      </c>
      <c r="J11770">
        <f>IF($H11770=0,1,IF($I11770&lt;=1,2,0))</f>
        <v>1</v>
      </c>
      <c r="K11770">
        <v>0</v>
      </c>
      <c r="L11770">
        <f>IF(AND($J11770=0,$K11770=0),0,1)</f>
        <v>1</v>
      </c>
    </row>
    <row r="11771" spans="1:13" x14ac:dyDescent="0.2">
      <c r="A11771" t="s">
        <v>282</v>
      </c>
      <c r="B11771" t="s">
        <v>6</v>
      </c>
      <c r="C11771" t="s">
        <v>9</v>
      </c>
      <c r="D11771">
        <v>4998</v>
      </c>
      <c r="E11771">
        <v>2020</v>
      </c>
      <c r="F11771">
        <v>1</v>
      </c>
      <c r="G11771">
        <v>10585</v>
      </c>
      <c r="H11771" s="1" t="s">
        <v>1823</v>
      </c>
      <c r="I11771">
        <v>0</v>
      </c>
      <c r="J11771">
        <f>IF($H11771=0,1,IF($I11771&lt;=1,2,0))</f>
        <v>2</v>
      </c>
      <c r="K11771">
        <v>9</v>
      </c>
      <c r="L11771">
        <f>IF(AND($J11771=0,$K11771=0),0,1)</f>
        <v>1</v>
      </c>
    </row>
    <row r="11772" spans="1:13" x14ac:dyDescent="0.2">
      <c r="A11772" t="s">
        <v>282</v>
      </c>
      <c r="B11772" t="s">
        <v>6</v>
      </c>
      <c r="C11772" t="s">
        <v>9</v>
      </c>
      <c r="D11772">
        <v>4999</v>
      </c>
      <c r="E11772">
        <v>2020</v>
      </c>
      <c r="F11772">
        <v>1</v>
      </c>
      <c r="G11772">
        <v>10586</v>
      </c>
      <c r="H11772" s="1">
        <v>3</v>
      </c>
      <c r="I11772">
        <v>10</v>
      </c>
      <c r="J11772">
        <f>IF($H11772=0,1,IF($I11772&lt;=1,2,0))</f>
        <v>0</v>
      </c>
      <c r="K11772">
        <v>9</v>
      </c>
      <c r="L11772">
        <f>IF(AND($J11772=0,$K11772=0),0,1)</f>
        <v>1</v>
      </c>
    </row>
    <row r="11773" spans="1:13" x14ac:dyDescent="0.2">
      <c r="A11773" t="s">
        <v>282</v>
      </c>
      <c r="B11773" t="s">
        <v>6</v>
      </c>
      <c r="C11773" t="s">
        <v>11</v>
      </c>
      <c r="D11773">
        <v>5001</v>
      </c>
      <c r="E11773">
        <v>2020</v>
      </c>
      <c r="F11773">
        <v>2</v>
      </c>
      <c r="G11773">
        <v>21457</v>
      </c>
      <c r="H11773" s="1">
        <v>0</v>
      </c>
      <c r="I11773">
        <v>23</v>
      </c>
      <c r="J11773">
        <f>IF($H11773=0,1,IF($I11773&lt;=1,2,0))</f>
        <v>1</v>
      </c>
      <c r="K11773">
        <v>0</v>
      </c>
      <c r="L11773">
        <f>IF(AND($J11773=0,$K11773=0),0,1)</f>
        <v>1</v>
      </c>
      <c r="M11773" t="s">
        <v>976</v>
      </c>
    </row>
    <row r="11774" spans="1:13" x14ac:dyDescent="0.2">
      <c r="A11774" t="s">
        <v>282</v>
      </c>
      <c r="B11774" t="s">
        <v>6</v>
      </c>
      <c r="C11774" t="s">
        <v>11</v>
      </c>
      <c r="D11774">
        <v>5001</v>
      </c>
      <c r="E11774">
        <v>2020</v>
      </c>
      <c r="F11774">
        <v>1</v>
      </c>
      <c r="G11774">
        <v>21456</v>
      </c>
      <c r="H11774" s="1">
        <v>0</v>
      </c>
      <c r="I11774">
        <v>16</v>
      </c>
      <c r="J11774">
        <f>IF($H11774=0,1,IF($I11774&lt;=1,2,0))</f>
        <v>1</v>
      </c>
      <c r="K11774">
        <v>0</v>
      </c>
      <c r="L11774">
        <f>IF(AND($J11774=0,$K11774=0),0,1)</f>
        <v>1</v>
      </c>
      <c r="M11774" t="s">
        <v>976</v>
      </c>
    </row>
    <row r="11775" spans="1:13" x14ac:dyDescent="0.2">
      <c r="A11775" t="s">
        <v>282</v>
      </c>
      <c r="B11775" t="s">
        <v>6</v>
      </c>
      <c r="C11775" t="s">
        <v>11</v>
      </c>
      <c r="D11775">
        <v>5002</v>
      </c>
      <c r="E11775">
        <v>2020</v>
      </c>
      <c r="F11775">
        <v>1</v>
      </c>
      <c r="G11775">
        <v>21458</v>
      </c>
      <c r="H11775" s="1">
        <v>0</v>
      </c>
      <c r="I11775">
        <v>23</v>
      </c>
      <c r="J11775">
        <f>IF($H11775=0,1,IF($I11775&lt;=1,2,0))</f>
        <v>1</v>
      </c>
      <c r="K11775">
        <v>0</v>
      </c>
      <c r="L11775">
        <f>IF(AND($J11775=0,$K11775=0),0,1)</f>
        <v>1</v>
      </c>
      <c r="M11775" t="s">
        <v>976</v>
      </c>
    </row>
    <row r="11776" spans="1:13" x14ac:dyDescent="0.2">
      <c r="A11776" t="s">
        <v>282</v>
      </c>
      <c r="B11776" t="s">
        <v>6</v>
      </c>
      <c r="C11776" t="s">
        <v>11</v>
      </c>
      <c r="D11776">
        <v>5002</v>
      </c>
      <c r="E11776">
        <v>2020</v>
      </c>
      <c r="F11776">
        <v>2</v>
      </c>
      <c r="G11776">
        <v>21459</v>
      </c>
      <c r="H11776" s="1">
        <v>0</v>
      </c>
      <c r="I11776">
        <v>16</v>
      </c>
      <c r="J11776">
        <f>IF($H11776=0,1,IF($I11776&lt;=1,2,0))</f>
        <v>1</v>
      </c>
      <c r="K11776">
        <v>0</v>
      </c>
      <c r="L11776">
        <f>IF(AND($J11776=0,$K11776=0),0,1)</f>
        <v>1</v>
      </c>
      <c r="M11776" t="s">
        <v>976</v>
      </c>
    </row>
    <row r="11777" spans="1:13" x14ac:dyDescent="0.2">
      <c r="A11777" t="s">
        <v>282</v>
      </c>
      <c r="B11777" t="s">
        <v>6</v>
      </c>
      <c r="C11777" t="s">
        <v>11</v>
      </c>
      <c r="D11777">
        <v>5003</v>
      </c>
      <c r="E11777">
        <v>2020</v>
      </c>
      <c r="F11777">
        <v>2</v>
      </c>
      <c r="G11777">
        <v>21461</v>
      </c>
      <c r="H11777" s="1">
        <v>0</v>
      </c>
      <c r="I11777">
        <v>28</v>
      </c>
      <c r="J11777">
        <f>IF($H11777=0,1,IF($I11777&lt;=1,2,0))</f>
        <v>1</v>
      </c>
      <c r="K11777">
        <v>0</v>
      </c>
      <c r="L11777">
        <f>IF(AND($J11777=0,$K11777=0),0,1)</f>
        <v>1</v>
      </c>
      <c r="M11777" t="s">
        <v>976</v>
      </c>
    </row>
    <row r="11778" spans="1:13" x14ac:dyDescent="0.2">
      <c r="A11778" t="s">
        <v>282</v>
      </c>
      <c r="B11778" t="s">
        <v>6</v>
      </c>
      <c r="C11778" t="s">
        <v>11</v>
      </c>
      <c r="D11778">
        <v>5003</v>
      </c>
      <c r="E11778">
        <v>2020</v>
      </c>
      <c r="F11778">
        <v>1</v>
      </c>
      <c r="G11778">
        <v>21460</v>
      </c>
      <c r="H11778" s="1">
        <v>0</v>
      </c>
      <c r="I11778">
        <v>10</v>
      </c>
      <c r="J11778">
        <f>IF($H11778=0,1,IF($I11778&lt;=1,2,0))</f>
        <v>1</v>
      </c>
      <c r="K11778">
        <v>0</v>
      </c>
      <c r="L11778">
        <f>IF(AND($J11778=0,$K11778=0),0,1)</f>
        <v>1</v>
      </c>
      <c r="M11778" t="s">
        <v>976</v>
      </c>
    </row>
    <row r="11779" spans="1:13" x14ac:dyDescent="0.2">
      <c r="A11779" t="s">
        <v>282</v>
      </c>
      <c r="B11779" t="s">
        <v>6</v>
      </c>
      <c r="C11779" t="s">
        <v>11</v>
      </c>
      <c r="D11779">
        <v>5004</v>
      </c>
      <c r="E11779">
        <v>2020</v>
      </c>
      <c r="F11779">
        <v>2</v>
      </c>
      <c r="G11779">
        <v>21463</v>
      </c>
      <c r="H11779" s="1">
        <v>0</v>
      </c>
      <c r="I11779">
        <v>23</v>
      </c>
      <c r="J11779">
        <f>IF($H11779=0,1,IF($I11779&lt;=1,2,0))</f>
        <v>1</v>
      </c>
      <c r="K11779">
        <v>0</v>
      </c>
      <c r="L11779">
        <f>IF(AND($J11779=0,$K11779=0),0,1)</f>
        <v>1</v>
      </c>
      <c r="M11779" t="s">
        <v>976</v>
      </c>
    </row>
    <row r="11780" spans="1:13" x14ac:dyDescent="0.2">
      <c r="A11780" t="s">
        <v>282</v>
      </c>
      <c r="B11780" t="s">
        <v>6</v>
      </c>
      <c r="C11780" t="s">
        <v>11</v>
      </c>
      <c r="D11780">
        <v>5004</v>
      </c>
      <c r="E11780">
        <v>2020</v>
      </c>
      <c r="F11780">
        <v>1</v>
      </c>
      <c r="G11780">
        <v>21462</v>
      </c>
      <c r="H11780" s="1">
        <v>0</v>
      </c>
      <c r="I11780">
        <v>15</v>
      </c>
      <c r="J11780">
        <f>IF($H11780=0,1,IF($I11780&lt;=1,2,0))</f>
        <v>1</v>
      </c>
      <c r="K11780">
        <v>0</v>
      </c>
      <c r="L11780">
        <f>IF(AND($J11780=0,$K11780=0),0,1)</f>
        <v>1</v>
      </c>
      <c r="M11780" t="s">
        <v>976</v>
      </c>
    </row>
    <row r="11781" spans="1:13" x14ac:dyDescent="0.2">
      <c r="A11781" t="s">
        <v>282</v>
      </c>
      <c r="B11781" t="s">
        <v>6</v>
      </c>
      <c r="C11781" t="s">
        <v>11</v>
      </c>
      <c r="D11781">
        <v>5110</v>
      </c>
      <c r="E11781">
        <v>2020</v>
      </c>
      <c r="F11781">
        <v>1</v>
      </c>
      <c r="G11781">
        <v>13775</v>
      </c>
      <c r="H11781" s="1">
        <v>1</v>
      </c>
      <c r="I11781">
        <v>2</v>
      </c>
      <c r="J11781">
        <f>IF($H11781=0,1,IF($I11781&lt;=1,2,0))</f>
        <v>0</v>
      </c>
      <c r="K11781">
        <v>4</v>
      </c>
      <c r="L11781">
        <f>IF(AND($J11781=0,$K11781=0),0,1)</f>
        <v>1</v>
      </c>
      <c r="M11781" t="s">
        <v>976</v>
      </c>
    </row>
    <row r="11782" spans="1:13" x14ac:dyDescent="0.2">
      <c r="A11782" t="s">
        <v>282</v>
      </c>
      <c r="B11782" t="s">
        <v>6</v>
      </c>
      <c r="C11782" t="s">
        <v>11</v>
      </c>
      <c r="D11782">
        <v>5120</v>
      </c>
      <c r="E11782">
        <v>2020</v>
      </c>
      <c r="F11782">
        <v>1</v>
      </c>
      <c r="G11782">
        <v>13774</v>
      </c>
      <c r="H11782" s="1">
        <v>1</v>
      </c>
      <c r="I11782">
        <v>69</v>
      </c>
      <c r="J11782">
        <f>IF($H11782=0,1,IF($I11782&lt;=1,2,0))</f>
        <v>0</v>
      </c>
      <c r="K11782">
        <v>4</v>
      </c>
      <c r="L11782">
        <f>IF(AND($J11782=0,$K11782=0),0,1)</f>
        <v>1</v>
      </c>
      <c r="M11782" t="s">
        <v>976</v>
      </c>
    </row>
    <row r="11783" spans="1:13" x14ac:dyDescent="0.2">
      <c r="A11783" t="s">
        <v>282</v>
      </c>
      <c r="B11783" t="s">
        <v>6</v>
      </c>
      <c r="C11783" t="s">
        <v>11</v>
      </c>
      <c r="D11783">
        <v>5211</v>
      </c>
      <c r="E11783">
        <v>2020</v>
      </c>
      <c r="F11783">
        <v>1</v>
      </c>
      <c r="G11783">
        <v>10819</v>
      </c>
      <c r="H11783" s="1">
        <v>3</v>
      </c>
      <c r="I11783">
        <v>40</v>
      </c>
      <c r="J11783">
        <f>IF($H11783=0,1,IF($I11783&lt;=1,2,0))</f>
        <v>0</v>
      </c>
      <c r="K11783">
        <v>4</v>
      </c>
      <c r="L11783">
        <f>IF(AND($J11783=0,$K11783=0),0,1)</f>
        <v>1</v>
      </c>
      <c r="M11783" t="s">
        <v>976</v>
      </c>
    </row>
    <row r="11784" spans="1:13" x14ac:dyDescent="0.2">
      <c r="A11784" t="s">
        <v>282</v>
      </c>
      <c r="B11784" t="s">
        <v>6</v>
      </c>
      <c r="C11784" t="s">
        <v>11</v>
      </c>
      <c r="D11784">
        <v>5215</v>
      </c>
      <c r="E11784">
        <v>2020</v>
      </c>
      <c r="F11784">
        <v>1</v>
      </c>
      <c r="G11784">
        <v>10818</v>
      </c>
      <c r="H11784" s="1">
        <v>3</v>
      </c>
      <c r="I11784">
        <v>40</v>
      </c>
      <c r="J11784">
        <f>IF($H11784=0,1,IF($I11784&lt;=1,2,0))</f>
        <v>0</v>
      </c>
      <c r="K11784">
        <v>4</v>
      </c>
      <c r="L11784">
        <f>IF(AND($J11784=0,$K11784=0),0,1)</f>
        <v>1</v>
      </c>
      <c r="M11784" t="s">
        <v>976</v>
      </c>
    </row>
    <row r="11785" spans="1:13" x14ac:dyDescent="0.2">
      <c r="A11785" t="s">
        <v>282</v>
      </c>
      <c r="B11785" t="s">
        <v>6</v>
      </c>
      <c r="C11785" t="s">
        <v>11</v>
      </c>
      <c r="D11785">
        <v>5218</v>
      </c>
      <c r="E11785">
        <v>2020</v>
      </c>
      <c r="F11785">
        <v>1</v>
      </c>
      <c r="G11785">
        <v>10820</v>
      </c>
      <c r="H11785" s="1">
        <v>3</v>
      </c>
      <c r="I11785">
        <v>21</v>
      </c>
      <c r="J11785">
        <f>IF($H11785=0,1,IF($I11785&lt;=1,2,0))</f>
        <v>0</v>
      </c>
      <c r="K11785">
        <v>4</v>
      </c>
      <c r="L11785">
        <f>IF(AND($J11785=0,$K11785=0),0,1)</f>
        <v>1</v>
      </c>
      <c r="M11785" t="s">
        <v>976</v>
      </c>
    </row>
    <row r="11786" spans="1:13" x14ac:dyDescent="0.2">
      <c r="A11786" t="s">
        <v>282</v>
      </c>
      <c r="B11786" t="s">
        <v>6</v>
      </c>
      <c r="C11786" t="s">
        <v>11</v>
      </c>
      <c r="D11786">
        <v>5220</v>
      </c>
      <c r="E11786">
        <v>2020</v>
      </c>
      <c r="F11786">
        <v>1</v>
      </c>
      <c r="G11786">
        <v>10821</v>
      </c>
      <c r="H11786" s="1">
        <v>3</v>
      </c>
      <c r="I11786">
        <v>40</v>
      </c>
      <c r="J11786">
        <f>IF($H11786=0,1,IF($I11786&lt;=1,2,0))</f>
        <v>0</v>
      </c>
      <c r="K11786">
        <v>4</v>
      </c>
      <c r="L11786">
        <f>IF(AND($J11786=0,$K11786=0),0,1)</f>
        <v>1</v>
      </c>
      <c r="M11786" t="s">
        <v>976</v>
      </c>
    </row>
    <row r="11787" spans="1:13" x14ac:dyDescent="0.2">
      <c r="A11787" t="s">
        <v>282</v>
      </c>
      <c r="B11787" t="s">
        <v>6</v>
      </c>
      <c r="C11787" t="s">
        <v>11</v>
      </c>
      <c r="D11787">
        <v>5311</v>
      </c>
      <c r="E11787">
        <v>2020</v>
      </c>
      <c r="F11787">
        <v>1</v>
      </c>
      <c r="G11787">
        <v>10822</v>
      </c>
      <c r="H11787" s="1">
        <v>3</v>
      </c>
      <c r="I11787">
        <v>52</v>
      </c>
      <c r="J11787">
        <f>IF($H11787=0,1,IF($I11787&lt;=1,2,0))</f>
        <v>0</v>
      </c>
      <c r="K11787">
        <v>4</v>
      </c>
      <c r="L11787">
        <f>IF(AND($J11787=0,$K11787=0),0,1)</f>
        <v>1</v>
      </c>
      <c r="M11787" t="s">
        <v>976</v>
      </c>
    </row>
    <row r="11788" spans="1:13" x14ac:dyDescent="0.2">
      <c r="A11788" t="s">
        <v>282</v>
      </c>
      <c r="B11788" t="s">
        <v>6</v>
      </c>
      <c r="C11788" t="s">
        <v>11</v>
      </c>
      <c r="D11788">
        <v>5312</v>
      </c>
      <c r="E11788">
        <v>2020</v>
      </c>
      <c r="F11788">
        <v>1</v>
      </c>
      <c r="G11788">
        <v>21611</v>
      </c>
      <c r="H11788" s="1">
        <v>0</v>
      </c>
      <c r="I11788">
        <v>34</v>
      </c>
      <c r="J11788">
        <f>IF($H11788=0,1,IF($I11788&lt;=1,2,0))</f>
        <v>1</v>
      </c>
      <c r="K11788">
        <v>0</v>
      </c>
      <c r="L11788">
        <f>IF(AND($J11788=0,$K11788=0),0,1)</f>
        <v>1</v>
      </c>
      <c r="M11788" t="s">
        <v>976</v>
      </c>
    </row>
    <row r="11789" spans="1:13" x14ac:dyDescent="0.2">
      <c r="A11789" t="s">
        <v>282</v>
      </c>
      <c r="B11789" t="s">
        <v>6</v>
      </c>
      <c r="C11789" t="s">
        <v>11</v>
      </c>
      <c r="D11789">
        <v>5410</v>
      </c>
      <c r="E11789">
        <v>2020</v>
      </c>
      <c r="F11789">
        <v>1</v>
      </c>
      <c r="G11789">
        <v>10823</v>
      </c>
      <c r="H11789" s="1">
        <v>3</v>
      </c>
      <c r="I11789">
        <v>40</v>
      </c>
      <c r="J11789">
        <f>IF($H11789=0,1,IF($I11789&lt;=1,2,0))</f>
        <v>0</v>
      </c>
      <c r="K11789">
        <v>4</v>
      </c>
      <c r="L11789">
        <f>IF(AND($J11789=0,$K11789=0),0,1)</f>
        <v>1</v>
      </c>
      <c r="M11789" t="s">
        <v>976</v>
      </c>
    </row>
    <row r="11790" spans="1:13" x14ac:dyDescent="0.2">
      <c r="A11790" t="s">
        <v>282</v>
      </c>
      <c r="B11790" t="s">
        <v>6</v>
      </c>
      <c r="C11790" t="s">
        <v>11</v>
      </c>
      <c r="D11790">
        <v>5411</v>
      </c>
      <c r="E11790">
        <v>2020</v>
      </c>
      <c r="F11790">
        <v>1</v>
      </c>
      <c r="G11790">
        <v>10882</v>
      </c>
      <c r="H11790" s="1">
        <v>3</v>
      </c>
      <c r="I11790">
        <v>40</v>
      </c>
      <c r="J11790">
        <f>IF($H11790=0,1,IF($I11790&lt;=1,2,0))</f>
        <v>0</v>
      </c>
      <c r="K11790">
        <v>4</v>
      </c>
      <c r="L11790">
        <f>IF(AND($J11790=0,$K11790=0),0,1)</f>
        <v>1</v>
      </c>
      <c r="M11790" t="s">
        <v>976</v>
      </c>
    </row>
    <row r="11791" spans="1:13" x14ac:dyDescent="0.2">
      <c r="A11791" t="s">
        <v>282</v>
      </c>
      <c r="B11791" t="s">
        <v>6</v>
      </c>
      <c r="C11791" t="s">
        <v>11</v>
      </c>
      <c r="D11791">
        <v>5415</v>
      </c>
      <c r="E11791">
        <v>2020</v>
      </c>
      <c r="F11791">
        <v>1</v>
      </c>
      <c r="G11791">
        <v>10900</v>
      </c>
      <c r="H11791" s="1">
        <v>3</v>
      </c>
      <c r="I11791">
        <v>28</v>
      </c>
      <c r="J11791">
        <f>IF($H11791=0,1,IF($I11791&lt;=1,2,0))</f>
        <v>0</v>
      </c>
      <c r="K11791">
        <v>4</v>
      </c>
      <c r="L11791">
        <f>IF(AND($J11791=0,$K11791=0),0,1)</f>
        <v>1</v>
      </c>
      <c r="M11791" t="s">
        <v>976</v>
      </c>
    </row>
    <row r="11792" spans="1:13" x14ac:dyDescent="0.2">
      <c r="A11792" t="s">
        <v>282</v>
      </c>
      <c r="B11792" t="s">
        <v>6</v>
      </c>
      <c r="C11792" t="s">
        <v>11</v>
      </c>
      <c r="D11792">
        <v>6209</v>
      </c>
      <c r="E11792">
        <v>2020</v>
      </c>
      <c r="F11792">
        <v>1</v>
      </c>
      <c r="G11792">
        <v>20931</v>
      </c>
      <c r="H11792" s="1">
        <v>0</v>
      </c>
      <c r="I11792">
        <v>37</v>
      </c>
      <c r="J11792">
        <f>IF($H11792=0,1,IF($I11792&lt;=1,2,0))</f>
        <v>1</v>
      </c>
      <c r="K11792">
        <v>0</v>
      </c>
      <c r="L11792">
        <f>IF(AND($J11792=0,$K11792=0),0,1)</f>
        <v>1</v>
      </c>
      <c r="M11792" t="s">
        <v>977</v>
      </c>
    </row>
    <row r="11793" spans="1:13" x14ac:dyDescent="0.2">
      <c r="A11793" t="s">
        <v>282</v>
      </c>
      <c r="B11793" t="s">
        <v>6</v>
      </c>
      <c r="C11793" t="s">
        <v>11</v>
      </c>
      <c r="D11793">
        <v>6213</v>
      </c>
      <c r="E11793">
        <v>2020</v>
      </c>
      <c r="F11793">
        <v>1</v>
      </c>
      <c r="G11793">
        <v>20932</v>
      </c>
      <c r="H11793" s="1">
        <v>0</v>
      </c>
      <c r="I11793">
        <v>33</v>
      </c>
      <c r="J11793">
        <f>IF($H11793=0,1,IF($I11793&lt;=1,2,0))</f>
        <v>1</v>
      </c>
      <c r="K11793">
        <v>0</v>
      </c>
      <c r="L11793">
        <f>IF(AND($J11793=0,$K11793=0),0,1)</f>
        <v>1</v>
      </c>
      <c r="M11793" t="s">
        <v>977</v>
      </c>
    </row>
    <row r="11794" spans="1:13" x14ac:dyDescent="0.2">
      <c r="A11794" t="s">
        <v>282</v>
      </c>
      <c r="B11794" t="s">
        <v>6</v>
      </c>
      <c r="C11794" t="s">
        <v>11</v>
      </c>
      <c r="D11794">
        <v>6408</v>
      </c>
      <c r="E11794">
        <v>2020</v>
      </c>
      <c r="F11794">
        <v>1</v>
      </c>
      <c r="G11794">
        <v>20933</v>
      </c>
      <c r="H11794" s="1">
        <v>0</v>
      </c>
      <c r="I11794">
        <v>35</v>
      </c>
      <c r="J11794">
        <f>IF($H11794=0,1,IF($I11794&lt;=1,2,0))</f>
        <v>1</v>
      </c>
      <c r="K11794">
        <v>0</v>
      </c>
      <c r="L11794">
        <f>IF(AND($J11794=0,$K11794=0),0,1)</f>
        <v>1</v>
      </c>
      <c r="M11794" t="s">
        <v>977</v>
      </c>
    </row>
    <row r="11795" spans="1:13" x14ac:dyDescent="0.2">
      <c r="A11795" t="s">
        <v>282</v>
      </c>
      <c r="B11795" t="s">
        <v>6</v>
      </c>
      <c r="C11795" t="s">
        <v>11</v>
      </c>
      <c r="D11795">
        <v>9001</v>
      </c>
      <c r="E11795">
        <v>2020</v>
      </c>
      <c r="F11795">
        <v>1</v>
      </c>
      <c r="G11795">
        <v>10772</v>
      </c>
      <c r="H11795" s="1">
        <v>0</v>
      </c>
      <c r="I11795">
        <v>0</v>
      </c>
      <c r="J11795">
        <f>IF($H11795=0,1,IF($I11795&lt;=1,2,0))</f>
        <v>1</v>
      </c>
      <c r="K11795">
        <v>5</v>
      </c>
      <c r="L11795">
        <f>IF(AND($J11795=0,$K11795=0),0,1)</f>
        <v>1</v>
      </c>
    </row>
    <row r="11796" spans="1:13" x14ac:dyDescent="0.2">
      <c r="A11796" t="s">
        <v>282</v>
      </c>
      <c r="B11796" t="s">
        <v>6</v>
      </c>
      <c r="C11796" t="s">
        <v>11</v>
      </c>
      <c r="D11796">
        <v>9002</v>
      </c>
      <c r="E11796">
        <v>2020</v>
      </c>
      <c r="F11796">
        <v>1</v>
      </c>
      <c r="G11796">
        <v>10773</v>
      </c>
      <c r="H11796" s="1">
        <v>0</v>
      </c>
      <c r="I11796">
        <v>0</v>
      </c>
      <c r="J11796">
        <f>IF($H11796=0,1,IF($I11796&lt;=1,2,0))</f>
        <v>1</v>
      </c>
      <c r="K11796">
        <v>5</v>
      </c>
      <c r="L11796">
        <f>IF(AND($J11796=0,$K11796=0),0,1)</f>
        <v>1</v>
      </c>
    </row>
    <row r="11797" spans="1:13" x14ac:dyDescent="0.2">
      <c r="A11797" t="s">
        <v>282</v>
      </c>
      <c r="B11797" t="s">
        <v>6</v>
      </c>
      <c r="C11797" t="s">
        <v>11</v>
      </c>
      <c r="D11797">
        <v>9007</v>
      </c>
      <c r="E11797">
        <v>2020</v>
      </c>
      <c r="F11797">
        <v>1</v>
      </c>
      <c r="G11797">
        <v>10774</v>
      </c>
      <c r="H11797" s="1">
        <v>0</v>
      </c>
      <c r="I11797">
        <v>0</v>
      </c>
      <c r="J11797">
        <f>IF($H11797=0,1,IF($I11797&lt;=1,2,0))</f>
        <v>1</v>
      </c>
      <c r="K11797">
        <v>5</v>
      </c>
      <c r="L11797">
        <f>IF(AND($J11797=0,$K11797=0),0,1)</f>
        <v>1</v>
      </c>
    </row>
    <row r="11798" spans="1:13" x14ac:dyDescent="0.2">
      <c r="A11798" t="s">
        <v>282</v>
      </c>
      <c r="B11798" t="s">
        <v>6</v>
      </c>
      <c r="C11798" t="s">
        <v>11</v>
      </c>
      <c r="D11798">
        <v>9008</v>
      </c>
      <c r="E11798">
        <v>2020</v>
      </c>
      <c r="F11798">
        <v>1</v>
      </c>
      <c r="G11798">
        <v>10775</v>
      </c>
      <c r="H11798" s="1">
        <v>0</v>
      </c>
      <c r="I11798">
        <v>0</v>
      </c>
      <c r="J11798">
        <f>IF($H11798=0,1,IF($I11798&lt;=1,2,0))</f>
        <v>1</v>
      </c>
      <c r="K11798">
        <v>5</v>
      </c>
      <c r="L11798">
        <f>IF(AND($J11798=0,$K11798=0),0,1)</f>
        <v>1</v>
      </c>
    </row>
    <row r="11799" spans="1:13" x14ac:dyDescent="0.2">
      <c r="A11799" t="s">
        <v>282</v>
      </c>
      <c r="B11799" t="s">
        <v>6</v>
      </c>
      <c r="C11799" t="s">
        <v>11</v>
      </c>
      <c r="D11799">
        <v>9009</v>
      </c>
      <c r="E11799">
        <v>2020</v>
      </c>
      <c r="F11799">
        <v>1</v>
      </c>
      <c r="G11799">
        <v>10776</v>
      </c>
      <c r="H11799" s="1">
        <v>0</v>
      </c>
      <c r="I11799">
        <v>0</v>
      </c>
      <c r="J11799">
        <f>IF($H11799=0,1,IF($I11799&lt;=1,2,0))</f>
        <v>1</v>
      </c>
      <c r="K11799">
        <v>5</v>
      </c>
      <c r="L11799">
        <f>IF(AND($J11799=0,$K11799=0),0,1)</f>
        <v>1</v>
      </c>
    </row>
    <row r="11800" spans="1:13" x14ac:dyDescent="0.2">
      <c r="A11800" t="s">
        <v>282</v>
      </c>
      <c r="B11800" t="s">
        <v>6</v>
      </c>
      <c r="C11800" t="s">
        <v>11</v>
      </c>
      <c r="D11800">
        <v>9012</v>
      </c>
      <c r="E11800">
        <v>2020</v>
      </c>
      <c r="F11800">
        <v>1</v>
      </c>
      <c r="G11800">
        <v>10777</v>
      </c>
      <c r="H11800" s="1">
        <v>0</v>
      </c>
      <c r="I11800">
        <v>0</v>
      </c>
      <c r="J11800">
        <f>IF($H11800=0,1,IF($I11800&lt;=1,2,0))</f>
        <v>1</v>
      </c>
      <c r="K11800">
        <v>5</v>
      </c>
      <c r="L11800">
        <f>IF(AND($J11800=0,$K11800=0),0,1)</f>
        <v>1</v>
      </c>
    </row>
    <row r="11801" spans="1:13" x14ac:dyDescent="0.2">
      <c r="A11801" t="s">
        <v>282</v>
      </c>
      <c r="B11801" t="s">
        <v>6</v>
      </c>
      <c r="C11801" t="s">
        <v>11</v>
      </c>
      <c r="D11801">
        <v>9016</v>
      </c>
      <c r="E11801">
        <v>2020</v>
      </c>
      <c r="F11801">
        <v>1</v>
      </c>
      <c r="G11801">
        <v>10778</v>
      </c>
      <c r="H11801" s="1">
        <v>0</v>
      </c>
      <c r="I11801">
        <v>0</v>
      </c>
      <c r="J11801">
        <f>IF($H11801=0,1,IF($I11801&lt;=1,2,0))</f>
        <v>1</v>
      </c>
      <c r="K11801">
        <v>5</v>
      </c>
      <c r="L11801">
        <f>IF(AND($J11801=0,$K11801=0),0,1)</f>
        <v>1</v>
      </c>
    </row>
    <row r="11802" spans="1:13" x14ac:dyDescent="0.2">
      <c r="A11802" t="s">
        <v>300</v>
      </c>
      <c r="B11802" t="s">
        <v>1</v>
      </c>
      <c r="C11802" t="s">
        <v>2</v>
      </c>
      <c r="D11802">
        <v>1510</v>
      </c>
      <c r="E11802">
        <v>2020</v>
      </c>
      <c r="F11802">
        <v>1</v>
      </c>
      <c r="G11802">
        <v>17</v>
      </c>
      <c r="H11802" s="1">
        <v>4</v>
      </c>
      <c r="I11802">
        <v>39</v>
      </c>
      <c r="J11802">
        <f>IF($H11802=0,1,IF($I11802&lt;=1,2,0))</f>
        <v>0</v>
      </c>
      <c r="K11802">
        <v>7</v>
      </c>
      <c r="L11802">
        <f>IF(AND($J11802=0,$K11802=0),0,1)</f>
        <v>1</v>
      </c>
      <c r="M11802" t="s">
        <v>1927</v>
      </c>
    </row>
    <row r="11803" spans="1:13" x14ac:dyDescent="0.2">
      <c r="A11803" t="s">
        <v>300</v>
      </c>
      <c r="B11803" t="s">
        <v>1</v>
      </c>
      <c r="C11803" t="s">
        <v>2</v>
      </c>
      <c r="D11803">
        <v>1510</v>
      </c>
      <c r="E11803">
        <v>2020</v>
      </c>
      <c r="F11803">
        <v>2</v>
      </c>
      <c r="G11803">
        <v>18</v>
      </c>
      <c r="H11803" s="1">
        <v>4</v>
      </c>
      <c r="I11803">
        <v>30</v>
      </c>
      <c r="J11803">
        <f>IF($H11803=0,1,IF($I11803&lt;=1,2,0))</f>
        <v>0</v>
      </c>
      <c r="K11803">
        <v>7</v>
      </c>
      <c r="L11803">
        <f>IF(AND($J11803=0,$K11803=0),0,1)</f>
        <v>1</v>
      </c>
      <c r="M11803" t="s">
        <v>1928</v>
      </c>
    </row>
    <row r="11804" spans="1:13" x14ac:dyDescent="0.2">
      <c r="A11804" t="s">
        <v>300</v>
      </c>
      <c r="B11804" t="s">
        <v>1</v>
      </c>
      <c r="C11804" t="s">
        <v>2</v>
      </c>
      <c r="D11804">
        <v>1511</v>
      </c>
      <c r="E11804">
        <v>2020</v>
      </c>
      <c r="F11804">
        <v>4</v>
      </c>
      <c r="G11804">
        <v>170</v>
      </c>
      <c r="H11804" s="1">
        <v>0</v>
      </c>
      <c r="I11804">
        <v>16</v>
      </c>
      <c r="J11804">
        <f>IF($H11804=0,1,IF($I11804&lt;=1,2,0))</f>
        <v>1</v>
      </c>
      <c r="K11804">
        <v>7</v>
      </c>
      <c r="L11804">
        <f>IF(AND($J11804=0,$K11804=0),0,1)</f>
        <v>1</v>
      </c>
      <c r="M11804" t="s">
        <v>1929</v>
      </c>
    </row>
    <row r="11805" spans="1:13" x14ac:dyDescent="0.2">
      <c r="A11805" t="s">
        <v>300</v>
      </c>
      <c r="B11805" t="s">
        <v>1</v>
      </c>
      <c r="C11805" t="s">
        <v>2</v>
      </c>
      <c r="D11805">
        <v>1511</v>
      </c>
      <c r="E11805">
        <v>2020</v>
      </c>
      <c r="F11805">
        <v>3</v>
      </c>
      <c r="G11805">
        <v>168</v>
      </c>
      <c r="H11805" s="1">
        <v>0</v>
      </c>
      <c r="I11805">
        <v>14</v>
      </c>
      <c r="J11805">
        <f>IF($H11805=0,1,IF($I11805&lt;=1,2,0))</f>
        <v>1</v>
      </c>
      <c r="K11805">
        <v>7</v>
      </c>
      <c r="L11805">
        <f>IF(AND($J11805=0,$K11805=0),0,1)</f>
        <v>1</v>
      </c>
      <c r="M11805" t="s">
        <v>1929</v>
      </c>
    </row>
    <row r="11806" spans="1:13" x14ac:dyDescent="0.2">
      <c r="A11806" t="s">
        <v>300</v>
      </c>
      <c r="B11806" t="s">
        <v>1</v>
      </c>
      <c r="C11806" t="s">
        <v>2</v>
      </c>
      <c r="D11806">
        <v>1511</v>
      </c>
      <c r="E11806">
        <v>2020</v>
      </c>
      <c r="F11806">
        <v>2</v>
      </c>
      <c r="G11806">
        <v>274</v>
      </c>
      <c r="H11806" s="1">
        <v>0</v>
      </c>
      <c r="I11806">
        <v>7</v>
      </c>
      <c r="J11806">
        <f>IF($H11806=0,1,IF($I11806&lt;=1,2,0))</f>
        <v>1</v>
      </c>
      <c r="K11806">
        <v>7</v>
      </c>
      <c r="L11806">
        <f>IF(AND($J11806=0,$K11806=0),0,1)</f>
        <v>1</v>
      </c>
      <c r="M11806" t="s">
        <v>1929</v>
      </c>
    </row>
    <row r="11807" spans="1:13" x14ac:dyDescent="0.2">
      <c r="A11807" t="s">
        <v>300</v>
      </c>
      <c r="B11807" t="s">
        <v>1</v>
      </c>
      <c r="C11807" t="s">
        <v>2</v>
      </c>
      <c r="D11807">
        <v>1511</v>
      </c>
      <c r="E11807">
        <v>2020</v>
      </c>
      <c r="F11807">
        <v>1</v>
      </c>
      <c r="G11807">
        <v>273</v>
      </c>
      <c r="H11807" s="1">
        <v>0</v>
      </c>
      <c r="I11807">
        <v>5</v>
      </c>
      <c r="J11807">
        <f>IF($H11807=0,1,IF($I11807&lt;=1,2,0))</f>
        <v>1</v>
      </c>
      <c r="K11807">
        <v>7</v>
      </c>
      <c r="L11807">
        <f>IF(AND($J11807=0,$K11807=0),0,1)</f>
        <v>1</v>
      </c>
      <c r="M11807" t="s">
        <v>1929</v>
      </c>
    </row>
    <row r="11808" spans="1:13" x14ac:dyDescent="0.2">
      <c r="A11808" t="s">
        <v>300</v>
      </c>
      <c r="B11808" t="s">
        <v>1</v>
      </c>
      <c r="C11808" t="s">
        <v>2</v>
      </c>
      <c r="D11808">
        <v>3025</v>
      </c>
      <c r="E11808">
        <v>2020</v>
      </c>
      <c r="F11808">
        <v>1</v>
      </c>
      <c r="G11808">
        <v>253</v>
      </c>
      <c r="H11808" s="1">
        <v>4</v>
      </c>
      <c r="I11808">
        <v>12</v>
      </c>
      <c r="J11808">
        <f>IF($H11808=0,1,IF($I11808&lt;=1,2,0))</f>
        <v>0</v>
      </c>
      <c r="K11808">
        <v>7</v>
      </c>
      <c r="L11808">
        <f>IF(AND($J11808=0,$K11808=0),0,1)</f>
        <v>1</v>
      </c>
      <c r="M11808" t="s">
        <v>979</v>
      </c>
    </row>
    <row r="11809" spans="1:13" x14ac:dyDescent="0.2">
      <c r="A11809" t="s">
        <v>300</v>
      </c>
      <c r="B11809" t="s">
        <v>1</v>
      </c>
      <c r="C11809" t="s">
        <v>2</v>
      </c>
      <c r="D11809">
        <v>3032</v>
      </c>
      <c r="E11809">
        <v>2020</v>
      </c>
      <c r="F11809">
        <v>1</v>
      </c>
      <c r="G11809">
        <v>180</v>
      </c>
      <c r="H11809" s="1">
        <v>4</v>
      </c>
      <c r="I11809">
        <v>46</v>
      </c>
      <c r="J11809">
        <f>IF($H11809=0,1,IF($I11809&lt;=1,2,0))</f>
        <v>0</v>
      </c>
      <c r="K11809">
        <v>7</v>
      </c>
      <c r="L11809">
        <f>IF(AND($J11809=0,$K11809=0),0,1)</f>
        <v>1</v>
      </c>
      <c r="M11809" t="s">
        <v>302</v>
      </c>
    </row>
    <row r="11810" spans="1:13" x14ac:dyDescent="0.2">
      <c r="A11810" t="s">
        <v>300</v>
      </c>
      <c r="B11810" t="s">
        <v>1</v>
      </c>
      <c r="C11810" t="s">
        <v>2</v>
      </c>
      <c r="D11810">
        <v>3040</v>
      </c>
      <c r="E11810">
        <v>2020</v>
      </c>
      <c r="F11810">
        <v>1</v>
      </c>
      <c r="G11810">
        <v>706</v>
      </c>
      <c r="H11810" s="1">
        <v>4</v>
      </c>
      <c r="I11810">
        <v>16</v>
      </c>
      <c r="J11810">
        <f>IF($H11810=0,1,IF($I11810&lt;=1,2,0))</f>
        <v>0</v>
      </c>
      <c r="K11810">
        <v>7</v>
      </c>
      <c r="L11810">
        <f>IF(AND($J11810=0,$K11810=0),0,1)</f>
        <v>1</v>
      </c>
      <c r="M11810" t="s">
        <v>302</v>
      </c>
    </row>
    <row r="11811" spans="1:13" x14ac:dyDescent="0.2">
      <c r="A11811" t="s">
        <v>300</v>
      </c>
      <c r="B11811" t="s">
        <v>1</v>
      </c>
      <c r="C11811" t="s">
        <v>2</v>
      </c>
      <c r="D11811">
        <v>3045</v>
      </c>
      <c r="E11811">
        <v>2020</v>
      </c>
      <c r="F11811">
        <v>1</v>
      </c>
      <c r="G11811">
        <v>178</v>
      </c>
      <c r="H11811" s="1">
        <v>4</v>
      </c>
      <c r="I11811">
        <v>22</v>
      </c>
      <c r="J11811">
        <f>IF($H11811=0,1,IF($I11811&lt;=1,2,0))</f>
        <v>0</v>
      </c>
      <c r="K11811">
        <v>7</v>
      </c>
      <c r="L11811">
        <f>IF(AND($J11811=0,$K11811=0),0,1)</f>
        <v>1</v>
      </c>
      <c r="M11811" t="s">
        <v>302</v>
      </c>
    </row>
    <row r="11812" spans="1:13" x14ac:dyDescent="0.2">
      <c r="A11812" t="s">
        <v>300</v>
      </c>
      <c r="B11812" t="s">
        <v>1</v>
      </c>
      <c r="C11812" t="s">
        <v>2</v>
      </c>
      <c r="D11812">
        <v>3050</v>
      </c>
      <c r="E11812">
        <v>2020</v>
      </c>
      <c r="F11812">
        <v>1</v>
      </c>
      <c r="G11812">
        <v>172</v>
      </c>
      <c r="H11812" s="1">
        <v>4</v>
      </c>
      <c r="I11812">
        <v>10</v>
      </c>
      <c r="J11812">
        <f>IF($H11812=0,1,IF($I11812&lt;=1,2,0))</f>
        <v>0</v>
      </c>
      <c r="K11812">
        <v>7</v>
      </c>
      <c r="L11812">
        <f>IF(AND($J11812=0,$K11812=0),0,1)</f>
        <v>1</v>
      </c>
      <c r="M11812" t="s">
        <v>980</v>
      </c>
    </row>
    <row r="11813" spans="1:13" x14ac:dyDescent="0.2">
      <c r="A11813" t="s">
        <v>300</v>
      </c>
      <c r="B11813" t="s">
        <v>1</v>
      </c>
      <c r="C11813" t="s">
        <v>2</v>
      </c>
      <c r="D11813">
        <v>3051</v>
      </c>
      <c r="E11813">
        <v>2020</v>
      </c>
      <c r="F11813">
        <v>1</v>
      </c>
      <c r="G11813">
        <v>177</v>
      </c>
      <c r="H11813" s="1">
        <v>4</v>
      </c>
      <c r="I11813">
        <v>11</v>
      </c>
      <c r="J11813">
        <f>IF($H11813=0,1,IF($I11813&lt;=1,2,0))</f>
        <v>0</v>
      </c>
      <c r="K11813">
        <v>7</v>
      </c>
      <c r="L11813">
        <f>IF(AND($J11813=0,$K11813=0),0,1)</f>
        <v>1</v>
      </c>
      <c r="M11813" t="s">
        <v>981</v>
      </c>
    </row>
    <row r="11814" spans="1:13" x14ac:dyDescent="0.2">
      <c r="A11814" t="s">
        <v>300</v>
      </c>
      <c r="B11814" t="s">
        <v>1</v>
      </c>
      <c r="C11814" t="s">
        <v>2</v>
      </c>
      <c r="D11814">
        <v>3055</v>
      </c>
      <c r="E11814">
        <v>2020</v>
      </c>
      <c r="F11814">
        <v>1</v>
      </c>
      <c r="G11814">
        <v>174</v>
      </c>
      <c r="H11814" s="1">
        <v>4</v>
      </c>
      <c r="I11814">
        <v>17</v>
      </c>
      <c r="J11814">
        <f>IF($H11814=0,1,IF($I11814&lt;=1,2,0))</f>
        <v>0</v>
      </c>
      <c r="K11814">
        <v>7</v>
      </c>
      <c r="L11814">
        <f>IF(AND($J11814=0,$K11814=0),0,1)</f>
        <v>1</v>
      </c>
      <c r="M11814" t="s">
        <v>980</v>
      </c>
    </row>
    <row r="11815" spans="1:13" x14ac:dyDescent="0.2">
      <c r="A11815" t="s">
        <v>300</v>
      </c>
      <c r="B11815" t="s">
        <v>1</v>
      </c>
      <c r="C11815" t="s">
        <v>2</v>
      </c>
      <c r="D11815">
        <v>3064</v>
      </c>
      <c r="E11815">
        <v>2020</v>
      </c>
      <c r="F11815">
        <v>1</v>
      </c>
      <c r="G11815">
        <v>26</v>
      </c>
      <c r="H11815" s="1">
        <v>4</v>
      </c>
      <c r="I11815">
        <v>6</v>
      </c>
      <c r="J11815">
        <f>IF($H11815=0,1,IF($I11815&lt;=1,2,0))</f>
        <v>0</v>
      </c>
      <c r="K11815">
        <v>7</v>
      </c>
      <c r="L11815">
        <f>IF(AND($J11815=0,$K11815=0),0,1)</f>
        <v>1</v>
      </c>
      <c r="M11815" t="s">
        <v>307</v>
      </c>
    </row>
    <row r="11816" spans="1:13" x14ac:dyDescent="0.2">
      <c r="A11816" t="s">
        <v>300</v>
      </c>
      <c r="B11816" t="s">
        <v>1</v>
      </c>
      <c r="C11816" t="s">
        <v>2</v>
      </c>
      <c r="D11816">
        <v>3799</v>
      </c>
      <c r="E11816">
        <v>2020</v>
      </c>
      <c r="F11816">
        <v>1</v>
      </c>
      <c r="G11816">
        <v>903</v>
      </c>
      <c r="H11816" s="1">
        <v>3</v>
      </c>
      <c r="I11816">
        <v>3</v>
      </c>
      <c r="J11816">
        <f>IF($H11816=0,1,IF($I11816&lt;=1,2,0))</f>
        <v>0</v>
      </c>
      <c r="K11816">
        <v>7</v>
      </c>
      <c r="L11816">
        <f>IF(AND($J11816=0,$K11816=0),0,1)</f>
        <v>1</v>
      </c>
    </row>
    <row r="11817" spans="1:13" x14ac:dyDescent="0.2">
      <c r="A11817" t="s">
        <v>300</v>
      </c>
      <c r="B11817" t="s">
        <v>1</v>
      </c>
      <c r="C11817" t="s">
        <v>2</v>
      </c>
      <c r="D11817">
        <v>3799</v>
      </c>
      <c r="E11817">
        <v>2020</v>
      </c>
      <c r="F11817">
        <v>2</v>
      </c>
      <c r="G11817">
        <v>961</v>
      </c>
      <c r="H11817" s="1">
        <v>3</v>
      </c>
      <c r="I11817">
        <v>2</v>
      </c>
      <c r="J11817">
        <f>IF($H11817=0,1,IF($I11817&lt;=1,2,0))</f>
        <v>0</v>
      </c>
      <c r="K11817">
        <v>7</v>
      </c>
      <c r="L11817">
        <f>IF(AND($J11817=0,$K11817=0),0,1)</f>
        <v>1</v>
      </c>
    </row>
    <row r="11818" spans="1:13" x14ac:dyDescent="0.2">
      <c r="A11818" t="s">
        <v>309</v>
      </c>
      <c r="B11818" t="s">
        <v>71</v>
      </c>
      <c r="C11818" t="s">
        <v>72</v>
      </c>
      <c r="D11818">
        <v>9070</v>
      </c>
      <c r="E11818">
        <v>2020</v>
      </c>
      <c r="F11818">
        <v>1</v>
      </c>
      <c r="G11818">
        <v>21443</v>
      </c>
      <c r="H11818" s="1">
        <v>3</v>
      </c>
      <c r="I11818">
        <v>10</v>
      </c>
      <c r="J11818">
        <f>IF($H11818=0,1,IF($I11818&lt;=1,2,0))</f>
        <v>0</v>
      </c>
      <c r="K11818">
        <v>5</v>
      </c>
      <c r="L11818">
        <f>IF(AND($J11818=0,$K11818=0),0,1)</f>
        <v>1</v>
      </c>
    </row>
    <row r="11819" spans="1:13" x14ac:dyDescent="0.2">
      <c r="A11819" t="s">
        <v>310</v>
      </c>
      <c r="B11819" t="s">
        <v>71</v>
      </c>
      <c r="C11819" t="s">
        <v>72</v>
      </c>
      <c r="D11819">
        <v>6690</v>
      </c>
      <c r="E11819">
        <v>2020</v>
      </c>
      <c r="F11819" t="s">
        <v>84</v>
      </c>
      <c r="G11819">
        <v>21576</v>
      </c>
      <c r="H11819" s="1">
        <v>3</v>
      </c>
      <c r="I11819">
        <v>0</v>
      </c>
      <c r="J11819">
        <f>IF($H11819=0,1,IF($I11819&lt;=1,2,0))</f>
        <v>2</v>
      </c>
      <c r="K11819">
        <v>0</v>
      </c>
      <c r="L11819">
        <f>IF(AND($J11819=0,$K11819=0),0,1)</f>
        <v>1</v>
      </c>
      <c r="M11819" t="s">
        <v>85</v>
      </c>
    </row>
    <row r="11820" spans="1:13" x14ac:dyDescent="0.2">
      <c r="A11820" t="s">
        <v>313</v>
      </c>
      <c r="B11820" t="s">
        <v>133</v>
      </c>
      <c r="C11820" t="s">
        <v>9</v>
      </c>
      <c r="D11820">
        <v>1110</v>
      </c>
      <c r="E11820">
        <v>2020</v>
      </c>
      <c r="F11820">
        <v>3</v>
      </c>
      <c r="G11820">
        <v>13958</v>
      </c>
      <c r="H11820" s="1">
        <v>0</v>
      </c>
      <c r="I11820">
        <v>29</v>
      </c>
      <c r="J11820">
        <f>IF($H11820=0,1,IF($I11820&lt;=1,2,0))</f>
        <v>1</v>
      </c>
      <c r="K11820">
        <v>0</v>
      </c>
      <c r="L11820">
        <f>IF(AND($J11820=0,$K11820=0),0,1)</f>
        <v>1</v>
      </c>
      <c r="M11820" t="s">
        <v>983</v>
      </c>
    </row>
    <row r="11821" spans="1:13" x14ac:dyDescent="0.2">
      <c r="A11821" t="s">
        <v>313</v>
      </c>
      <c r="B11821" t="s">
        <v>133</v>
      </c>
      <c r="C11821" t="s">
        <v>9</v>
      </c>
      <c r="D11821">
        <v>1110</v>
      </c>
      <c r="E11821">
        <v>2020</v>
      </c>
      <c r="F11821">
        <v>1</v>
      </c>
      <c r="G11821">
        <v>13956</v>
      </c>
      <c r="H11821" s="1">
        <v>0</v>
      </c>
      <c r="I11821">
        <v>27</v>
      </c>
      <c r="J11821">
        <f>IF($H11821=0,1,IF($I11821&lt;=1,2,0))</f>
        <v>1</v>
      </c>
      <c r="K11821">
        <v>0</v>
      </c>
      <c r="L11821">
        <f>IF(AND($J11821=0,$K11821=0),0,1)</f>
        <v>1</v>
      </c>
      <c r="M11821" t="s">
        <v>983</v>
      </c>
    </row>
    <row r="11822" spans="1:13" x14ac:dyDescent="0.2">
      <c r="A11822" t="s">
        <v>313</v>
      </c>
      <c r="B11822" t="s">
        <v>133</v>
      </c>
      <c r="C11822" t="s">
        <v>9</v>
      </c>
      <c r="D11822">
        <v>1110</v>
      </c>
      <c r="E11822">
        <v>2020</v>
      </c>
      <c r="F11822">
        <v>2</v>
      </c>
      <c r="G11822">
        <v>13957</v>
      </c>
      <c r="H11822" s="1">
        <v>0</v>
      </c>
      <c r="I11822">
        <v>17</v>
      </c>
      <c r="J11822">
        <f>IF($H11822=0,1,IF($I11822&lt;=1,2,0))</f>
        <v>1</v>
      </c>
      <c r="K11822">
        <v>0</v>
      </c>
      <c r="L11822">
        <f>IF(AND($J11822=0,$K11822=0),0,1)</f>
        <v>1</v>
      </c>
      <c r="M11822" t="s">
        <v>983</v>
      </c>
    </row>
    <row r="11823" spans="1:13" x14ac:dyDescent="0.2">
      <c r="A11823" t="s">
        <v>313</v>
      </c>
      <c r="B11823" t="s">
        <v>133</v>
      </c>
      <c r="C11823" t="s">
        <v>9</v>
      </c>
      <c r="D11823">
        <v>3015</v>
      </c>
      <c r="E11823">
        <v>2020</v>
      </c>
      <c r="F11823">
        <v>1</v>
      </c>
      <c r="G11823">
        <v>13962</v>
      </c>
      <c r="H11823" s="1">
        <v>0</v>
      </c>
      <c r="I11823">
        <v>19</v>
      </c>
      <c r="J11823">
        <f>IF($H11823=0,1,IF($I11823&lt;=1,2,0))</f>
        <v>1</v>
      </c>
      <c r="K11823">
        <v>0</v>
      </c>
      <c r="L11823">
        <f>IF(AND($J11823=0,$K11823=0),0,1)</f>
        <v>1</v>
      </c>
    </row>
    <row r="11824" spans="1:13" x14ac:dyDescent="0.2">
      <c r="A11824" t="s">
        <v>313</v>
      </c>
      <c r="B11824" t="s">
        <v>133</v>
      </c>
      <c r="C11824" t="s">
        <v>9</v>
      </c>
      <c r="D11824">
        <v>3015</v>
      </c>
      <c r="E11824">
        <v>2020</v>
      </c>
      <c r="F11824">
        <v>2</v>
      </c>
      <c r="G11824">
        <v>13963</v>
      </c>
      <c r="H11824" s="1">
        <v>0</v>
      </c>
      <c r="I11824">
        <v>11</v>
      </c>
      <c r="J11824">
        <f>IF($H11824=0,1,IF($I11824&lt;=1,2,0))</f>
        <v>1</v>
      </c>
      <c r="K11824">
        <v>0</v>
      </c>
      <c r="L11824">
        <f>IF(AND($J11824=0,$K11824=0),0,1)</f>
        <v>1</v>
      </c>
    </row>
    <row r="11825" spans="1:12" x14ac:dyDescent="0.2">
      <c r="A11825" t="s">
        <v>313</v>
      </c>
      <c r="B11825" t="s">
        <v>133</v>
      </c>
      <c r="C11825" t="s">
        <v>9</v>
      </c>
      <c r="D11825">
        <v>3997</v>
      </c>
      <c r="E11825">
        <v>2020</v>
      </c>
      <c r="F11825">
        <v>1</v>
      </c>
      <c r="G11825">
        <v>14309</v>
      </c>
      <c r="H11825" s="1" t="s">
        <v>1827</v>
      </c>
      <c r="I11825">
        <v>2</v>
      </c>
      <c r="J11825">
        <f>IF($H11825=0,1,IF($I11825&lt;=1,2,0))</f>
        <v>0</v>
      </c>
      <c r="K11825">
        <v>9</v>
      </c>
      <c r="L11825">
        <f>IF(AND($J11825=0,$K11825=0),0,1)</f>
        <v>1</v>
      </c>
    </row>
    <row r="11826" spans="1:12" x14ac:dyDescent="0.2">
      <c r="A11826" t="s">
        <v>313</v>
      </c>
      <c r="B11826" t="s">
        <v>133</v>
      </c>
      <c r="C11826" t="s">
        <v>9</v>
      </c>
      <c r="D11826">
        <v>3997</v>
      </c>
      <c r="E11826">
        <v>2020</v>
      </c>
      <c r="F11826">
        <v>2</v>
      </c>
      <c r="G11826">
        <v>14261</v>
      </c>
      <c r="H11826" s="1" t="s">
        <v>1827</v>
      </c>
      <c r="I11826">
        <v>0</v>
      </c>
      <c r="J11826">
        <f>IF($H11826=0,1,IF($I11826&lt;=1,2,0))</f>
        <v>2</v>
      </c>
      <c r="K11826">
        <v>9</v>
      </c>
      <c r="L11826">
        <f>IF(AND($J11826=0,$K11826=0),0,1)</f>
        <v>1</v>
      </c>
    </row>
    <row r="11827" spans="1:12" x14ac:dyDescent="0.2">
      <c r="A11827" t="s">
        <v>313</v>
      </c>
      <c r="B11827" t="s">
        <v>133</v>
      </c>
      <c r="C11827" t="s">
        <v>11</v>
      </c>
      <c r="D11827">
        <v>5015</v>
      </c>
      <c r="E11827">
        <v>2020</v>
      </c>
      <c r="F11827">
        <v>1</v>
      </c>
      <c r="G11827">
        <v>13991</v>
      </c>
      <c r="H11827" s="1">
        <v>0</v>
      </c>
      <c r="I11827">
        <v>8</v>
      </c>
      <c r="J11827">
        <f>IF($H11827=0,1,IF($I11827&lt;=1,2,0))</f>
        <v>1</v>
      </c>
      <c r="K11827">
        <v>0</v>
      </c>
      <c r="L11827">
        <f>IF(AND($J11827=0,$K11827=0),0,1)</f>
        <v>1</v>
      </c>
    </row>
    <row r="11828" spans="1:12" x14ac:dyDescent="0.2">
      <c r="A11828" t="s">
        <v>313</v>
      </c>
      <c r="B11828" t="s">
        <v>133</v>
      </c>
      <c r="C11828" t="s">
        <v>11</v>
      </c>
      <c r="D11828">
        <v>5015</v>
      </c>
      <c r="E11828">
        <v>2020</v>
      </c>
      <c r="F11828">
        <v>2</v>
      </c>
      <c r="G11828">
        <v>13992</v>
      </c>
      <c r="H11828" s="1">
        <v>0</v>
      </c>
      <c r="I11828">
        <v>1</v>
      </c>
      <c r="J11828">
        <f>IF($H11828=0,1,IF($I11828&lt;=1,2,0))</f>
        <v>1</v>
      </c>
      <c r="K11828">
        <v>0</v>
      </c>
      <c r="L11828">
        <f>IF(AND($J11828=0,$K11828=0),0,1)</f>
        <v>1</v>
      </c>
    </row>
    <row r="11829" spans="1:12" x14ac:dyDescent="0.2">
      <c r="A11829" t="s">
        <v>313</v>
      </c>
      <c r="B11829" t="s">
        <v>133</v>
      </c>
      <c r="C11829" t="s">
        <v>11</v>
      </c>
      <c r="D11829">
        <v>5850</v>
      </c>
      <c r="E11829">
        <v>2020</v>
      </c>
      <c r="F11829">
        <v>1</v>
      </c>
      <c r="G11829">
        <v>14015</v>
      </c>
      <c r="H11829" s="1">
        <v>3</v>
      </c>
      <c r="I11829">
        <v>10</v>
      </c>
      <c r="J11829">
        <f>IF($H11829=0,1,IF($I11829&lt;=1,2,0))</f>
        <v>0</v>
      </c>
      <c r="K11829">
        <v>4</v>
      </c>
      <c r="L11829">
        <f>IF(AND($J11829=0,$K11829=0),0,1)</f>
        <v>1</v>
      </c>
    </row>
    <row r="11830" spans="1:12" x14ac:dyDescent="0.2">
      <c r="A11830" t="s">
        <v>313</v>
      </c>
      <c r="B11830" t="s">
        <v>133</v>
      </c>
      <c r="C11830" t="s">
        <v>11</v>
      </c>
      <c r="D11830">
        <v>6850</v>
      </c>
      <c r="E11830">
        <v>2020</v>
      </c>
      <c r="F11830">
        <v>1</v>
      </c>
      <c r="G11830">
        <v>14030</v>
      </c>
      <c r="H11830" s="1">
        <v>6</v>
      </c>
      <c r="I11830">
        <v>5</v>
      </c>
      <c r="J11830">
        <f>IF($H11830=0,1,IF($I11830&lt;=1,2,0))</f>
        <v>0</v>
      </c>
      <c r="K11830">
        <v>4</v>
      </c>
      <c r="L11830">
        <f>IF(AND($J11830=0,$K11830=0),0,1)</f>
        <v>1</v>
      </c>
    </row>
    <row r="11831" spans="1:12" x14ac:dyDescent="0.2">
      <c r="A11831" t="s">
        <v>313</v>
      </c>
      <c r="B11831" t="s">
        <v>133</v>
      </c>
      <c r="C11831" t="s">
        <v>11</v>
      </c>
      <c r="D11831">
        <v>9501</v>
      </c>
      <c r="E11831">
        <v>2020</v>
      </c>
      <c r="F11831">
        <v>4</v>
      </c>
      <c r="G11831">
        <v>24801</v>
      </c>
      <c r="H11831" s="1" t="s">
        <v>1842</v>
      </c>
      <c r="I11831">
        <v>2</v>
      </c>
      <c r="J11831">
        <f>IF($H11831=0,1,IF($I11831&lt;=1,2,0))</f>
        <v>0</v>
      </c>
      <c r="K11831">
        <v>5</v>
      </c>
      <c r="L11831">
        <f>IF(AND($J11831=0,$K11831=0),0,1)</f>
        <v>1</v>
      </c>
    </row>
    <row r="11832" spans="1:12" x14ac:dyDescent="0.2">
      <c r="A11832" t="s">
        <v>313</v>
      </c>
      <c r="B11832" t="s">
        <v>133</v>
      </c>
      <c r="C11832" t="s">
        <v>11</v>
      </c>
      <c r="D11832">
        <v>9501</v>
      </c>
      <c r="E11832">
        <v>2020</v>
      </c>
      <c r="F11832">
        <v>6</v>
      </c>
      <c r="G11832">
        <v>24659</v>
      </c>
      <c r="H11832" s="1" t="s">
        <v>1842</v>
      </c>
      <c r="I11832">
        <v>2</v>
      </c>
      <c r="J11832">
        <f>IF($H11832=0,1,IF($I11832&lt;=1,2,0))</f>
        <v>0</v>
      </c>
      <c r="K11832">
        <v>5</v>
      </c>
      <c r="L11832">
        <f>IF(AND($J11832=0,$K11832=0),0,1)</f>
        <v>1</v>
      </c>
    </row>
    <row r="11833" spans="1:12" x14ac:dyDescent="0.2">
      <c r="A11833" t="s">
        <v>313</v>
      </c>
      <c r="B11833" t="s">
        <v>133</v>
      </c>
      <c r="C11833" t="s">
        <v>11</v>
      </c>
      <c r="D11833">
        <v>9501</v>
      </c>
      <c r="E11833">
        <v>2020</v>
      </c>
      <c r="F11833">
        <v>10</v>
      </c>
      <c r="G11833">
        <v>24506</v>
      </c>
      <c r="H11833" s="1" t="s">
        <v>1842</v>
      </c>
      <c r="I11833">
        <v>2</v>
      </c>
      <c r="J11833">
        <f>IF($H11833=0,1,IF($I11833&lt;=1,2,0))</f>
        <v>0</v>
      </c>
      <c r="K11833">
        <v>5</v>
      </c>
      <c r="L11833">
        <f>IF(AND($J11833=0,$K11833=0),0,1)</f>
        <v>1</v>
      </c>
    </row>
    <row r="11834" spans="1:12" x14ac:dyDescent="0.2">
      <c r="A11834" t="s">
        <v>313</v>
      </c>
      <c r="B11834" t="s">
        <v>133</v>
      </c>
      <c r="C11834" t="s">
        <v>11</v>
      </c>
      <c r="D11834">
        <v>9501</v>
      </c>
      <c r="E11834">
        <v>2020</v>
      </c>
      <c r="F11834">
        <v>2</v>
      </c>
      <c r="G11834">
        <v>14262</v>
      </c>
      <c r="H11834" s="1" t="s">
        <v>1842</v>
      </c>
      <c r="I11834">
        <v>1</v>
      </c>
      <c r="J11834">
        <f>IF($H11834=0,1,IF($I11834&lt;=1,2,0))</f>
        <v>2</v>
      </c>
      <c r="K11834">
        <v>5</v>
      </c>
      <c r="L11834">
        <f>IF(AND($J11834=0,$K11834=0),0,1)</f>
        <v>1</v>
      </c>
    </row>
    <row r="11835" spans="1:12" x14ac:dyDescent="0.2">
      <c r="A11835" t="s">
        <v>313</v>
      </c>
      <c r="B11835" t="s">
        <v>133</v>
      </c>
      <c r="C11835" t="s">
        <v>11</v>
      </c>
      <c r="D11835">
        <v>9501</v>
      </c>
      <c r="E11835">
        <v>2020</v>
      </c>
      <c r="F11835">
        <v>3</v>
      </c>
      <c r="G11835">
        <v>24718</v>
      </c>
      <c r="H11835" s="1" t="s">
        <v>1842</v>
      </c>
      <c r="I11835">
        <v>1</v>
      </c>
      <c r="J11835">
        <f>IF($H11835=0,1,IF($I11835&lt;=1,2,0))</f>
        <v>2</v>
      </c>
      <c r="K11835">
        <v>5</v>
      </c>
      <c r="L11835">
        <f>IF(AND($J11835=0,$K11835=0),0,1)</f>
        <v>1</v>
      </c>
    </row>
    <row r="11836" spans="1:12" x14ac:dyDescent="0.2">
      <c r="A11836" t="s">
        <v>313</v>
      </c>
      <c r="B11836" t="s">
        <v>133</v>
      </c>
      <c r="C11836" t="s">
        <v>11</v>
      </c>
      <c r="D11836">
        <v>9501</v>
      </c>
      <c r="E11836">
        <v>2020</v>
      </c>
      <c r="F11836">
        <v>8</v>
      </c>
      <c r="G11836">
        <v>24758</v>
      </c>
      <c r="H11836" s="1" t="s">
        <v>1842</v>
      </c>
      <c r="I11836">
        <v>1</v>
      </c>
      <c r="J11836">
        <f>IF($H11836=0,1,IF($I11836&lt;=1,2,0))</f>
        <v>2</v>
      </c>
      <c r="K11836">
        <v>5</v>
      </c>
      <c r="L11836">
        <f>IF(AND($J11836=0,$K11836=0),0,1)</f>
        <v>1</v>
      </c>
    </row>
    <row r="11837" spans="1:12" x14ac:dyDescent="0.2">
      <c r="A11837" t="s">
        <v>313</v>
      </c>
      <c r="B11837" t="s">
        <v>133</v>
      </c>
      <c r="C11837" t="s">
        <v>11</v>
      </c>
      <c r="D11837">
        <v>9501</v>
      </c>
      <c r="E11837">
        <v>2020</v>
      </c>
      <c r="F11837">
        <v>11</v>
      </c>
      <c r="G11837">
        <v>24657</v>
      </c>
      <c r="H11837" s="1" t="s">
        <v>1842</v>
      </c>
      <c r="I11837">
        <v>1</v>
      </c>
      <c r="J11837">
        <f>IF($H11837=0,1,IF($I11837&lt;=1,2,0))</f>
        <v>2</v>
      </c>
      <c r="K11837">
        <v>5</v>
      </c>
      <c r="L11837">
        <f>IF(AND($J11837=0,$K11837=0),0,1)</f>
        <v>1</v>
      </c>
    </row>
    <row r="11838" spans="1:12" x14ac:dyDescent="0.2">
      <c r="A11838" t="s">
        <v>313</v>
      </c>
      <c r="B11838" t="s">
        <v>133</v>
      </c>
      <c r="C11838" t="s">
        <v>11</v>
      </c>
      <c r="D11838">
        <v>9501</v>
      </c>
      <c r="E11838">
        <v>2020</v>
      </c>
      <c r="F11838">
        <v>12</v>
      </c>
      <c r="G11838">
        <v>24760</v>
      </c>
      <c r="H11838" s="1" t="s">
        <v>1842</v>
      </c>
      <c r="I11838">
        <v>1</v>
      </c>
      <c r="J11838">
        <f>IF($H11838=0,1,IF($I11838&lt;=1,2,0))</f>
        <v>2</v>
      </c>
      <c r="K11838">
        <v>5</v>
      </c>
      <c r="L11838">
        <f>IF(AND($J11838=0,$K11838=0),0,1)</f>
        <v>1</v>
      </c>
    </row>
    <row r="11839" spans="1:12" x14ac:dyDescent="0.2">
      <c r="A11839" t="s">
        <v>313</v>
      </c>
      <c r="B11839" t="s">
        <v>133</v>
      </c>
      <c r="C11839" t="s">
        <v>11</v>
      </c>
      <c r="D11839">
        <v>9501</v>
      </c>
      <c r="E11839">
        <v>2020</v>
      </c>
      <c r="F11839">
        <v>9</v>
      </c>
      <c r="G11839">
        <v>24677</v>
      </c>
      <c r="H11839" s="1" t="s">
        <v>1842</v>
      </c>
      <c r="I11839">
        <v>0</v>
      </c>
      <c r="J11839">
        <f>IF($H11839=0,1,IF($I11839&lt;=1,2,0))</f>
        <v>2</v>
      </c>
      <c r="K11839">
        <v>5</v>
      </c>
      <c r="L11839">
        <f>IF(AND($J11839=0,$K11839=0),0,1)</f>
        <v>1</v>
      </c>
    </row>
    <row r="11840" spans="1:12" x14ac:dyDescent="0.2">
      <c r="A11840" t="s">
        <v>313</v>
      </c>
      <c r="B11840" t="s">
        <v>133</v>
      </c>
      <c r="C11840" t="s">
        <v>11</v>
      </c>
      <c r="D11840">
        <v>9503</v>
      </c>
      <c r="E11840">
        <v>2020</v>
      </c>
      <c r="F11840">
        <v>4</v>
      </c>
      <c r="G11840">
        <v>24759</v>
      </c>
      <c r="H11840" s="1" t="s">
        <v>1842</v>
      </c>
      <c r="I11840">
        <v>2</v>
      </c>
      <c r="J11840">
        <f>IF($H11840=0,1,IF($I11840&lt;=1,2,0))</f>
        <v>0</v>
      </c>
      <c r="K11840">
        <v>5</v>
      </c>
      <c r="L11840">
        <f>IF(AND($J11840=0,$K11840=0),0,1)</f>
        <v>1</v>
      </c>
    </row>
    <row r="11841" spans="1:13" x14ac:dyDescent="0.2">
      <c r="A11841" t="s">
        <v>313</v>
      </c>
      <c r="B11841" t="s">
        <v>133</v>
      </c>
      <c r="C11841" t="s">
        <v>11</v>
      </c>
      <c r="D11841">
        <v>9503</v>
      </c>
      <c r="E11841">
        <v>2020</v>
      </c>
      <c r="F11841">
        <v>8</v>
      </c>
      <c r="G11841">
        <v>24656</v>
      </c>
      <c r="H11841" s="1" t="s">
        <v>1842</v>
      </c>
      <c r="I11841">
        <v>2</v>
      </c>
      <c r="J11841">
        <f>IF($H11841=0,1,IF($I11841&lt;=1,2,0))</f>
        <v>0</v>
      </c>
      <c r="K11841">
        <v>5</v>
      </c>
      <c r="L11841">
        <f>IF(AND($J11841=0,$K11841=0),0,1)</f>
        <v>1</v>
      </c>
    </row>
    <row r="11842" spans="1:13" x14ac:dyDescent="0.2">
      <c r="A11842" t="s">
        <v>313</v>
      </c>
      <c r="B11842" t="s">
        <v>133</v>
      </c>
      <c r="C11842" t="s">
        <v>11</v>
      </c>
      <c r="D11842">
        <v>9503</v>
      </c>
      <c r="E11842">
        <v>2020</v>
      </c>
      <c r="F11842">
        <v>1</v>
      </c>
      <c r="G11842">
        <v>24662</v>
      </c>
      <c r="H11842" s="1" t="s">
        <v>1842</v>
      </c>
      <c r="I11842">
        <v>1</v>
      </c>
      <c r="J11842">
        <f>IF($H11842=0,1,IF($I11842&lt;=1,2,0))</f>
        <v>2</v>
      </c>
      <c r="K11842">
        <v>5</v>
      </c>
      <c r="L11842">
        <f>IF(AND($J11842=0,$K11842=0),0,1)</f>
        <v>1</v>
      </c>
    </row>
    <row r="11843" spans="1:13" x14ac:dyDescent="0.2">
      <c r="A11843" t="s">
        <v>313</v>
      </c>
      <c r="B11843" t="s">
        <v>133</v>
      </c>
      <c r="C11843" t="s">
        <v>11</v>
      </c>
      <c r="D11843">
        <v>9503</v>
      </c>
      <c r="E11843">
        <v>2020</v>
      </c>
      <c r="F11843">
        <v>5</v>
      </c>
      <c r="G11843">
        <v>24802</v>
      </c>
      <c r="H11843" s="1" t="s">
        <v>1842</v>
      </c>
      <c r="I11843">
        <v>1</v>
      </c>
      <c r="J11843">
        <f>IF($H11843=0,1,IF($I11843&lt;=1,2,0))</f>
        <v>2</v>
      </c>
      <c r="K11843">
        <v>5</v>
      </c>
      <c r="L11843">
        <f>IF(AND($J11843=0,$K11843=0),0,1)</f>
        <v>1</v>
      </c>
    </row>
    <row r="11844" spans="1:13" x14ac:dyDescent="0.2">
      <c r="A11844" t="s">
        <v>313</v>
      </c>
      <c r="B11844" t="s">
        <v>133</v>
      </c>
      <c r="C11844" t="s">
        <v>11</v>
      </c>
      <c r="D11844">
        <v>9503</v>
      </c>
      <c r="E11844">
        <v>2020</v>
      </c>
      <c r="F11844">
        <v>6</v>
      </c>
      <c r="G11844">
        <v>24660</v>
      </c>
      <c r="H11844" s="1" t="s">
        <v>1842</v>
      </c>
      <c r="I11844">
        <v>1</v>
      </c>
      <c r="J11844">
        <f>IF($H11844=0,1,IF($I11844&lt;=1,2,0))</f>
        <v>2</v>
      </c>
      <c r="K11844">
        <v>5</v>
      </c>
      <c r="L11844">
        <f>IF(AND($J11844=0,$K11844=0),0,1)</f>
        <v>1</v>
      </c>
    </row>
    <row r="11845" spans="1:13" x14ac:dyDescent="0.2">
      <c r="A11845" t="s">
        <v>313</v>
      </c>
      <c r="B11845" t="s">
        <v>133</v>
      </c>
      <c r="C11845" t="s">
        <v>11</v>
      </c>
      <c r="D11845">
        <v>9503</v>
      </c>
      <c r="E11845">
        <v>2020</v>
      </c>
      <c r="F11845">
        <v>9</v>
      </c>
      <c r="G11845">
        <v>24658</v>
      </c>
      <c r="H11845" s="1" t="s">
        <v>1842</v>
      </c>
      <c r="I11845">
        <v>1</v>
      </c>
      <c r="J11845">
        <f>IF($H11845=0,1,IF($I11845&lt;=1,2,0))</f>
        <v>2</v>
      </c>
      <c r="K11845">
        <v>5</v>
      </c>
      <c r="L11845">
        <f>IF(AND($J11845=0,$K11845=0),0,1)</f>
        <v>1</v>
      </c>
    </row>
    <row r="11846" spans="1:13" x14ac:dyDescent="0.2">
      <c r="A11846" t="s">
        <v>313</v>
      </c>
      <c r="B11846" t="s">
        <v>133</v>
      </c>
      <c r="C11846" t="s">
        <v>11</v>
      </c>
      <c r="D11846">
        <v>9503</v>
      </c>
      <c r="E11846">
        <v>2020</v>
      </c>
      <c r="F11846">
        <v>10</v>
      </c>
      <c r="G11846">
        <v>24719</v>
      </c>
      <c r="H11846" s="1" t="s">
        <v>1842</v>
      </c>
      <c r="I11846">
        <v>1</v>
      </c>
      <c r="J11846">
        <f>IF($H11846=0,1,IF($I11846&lt;=1,2,0))</f>
        <v>2</v>
      </c>
      <c r="K11846">
        <v>5</v>
      </c>
      <c r="L11846">
        <f>IF(AND($J11846=0,$K11846=0),0,1)</f>
        <v>1</v>
      </c>
    </row>
    <row r="11847" spans="1:13" x14ac:dyDescent="0.2">
      <c r="A11847" t="s">
        <v>313</v>
      </c>
      <c r="B11847" t="s">
        <v>133</v>
      </c>
      <c r="C11847" t="s">
        <v>11</v>
      </c>
      <c r="D11847">
        <v>9509</v>
      </c>
      <c r="E11847">
        <v>2020</v>
      </c>
      <c r="F11847">
        <v>6</v>
      </c>
      <c r="G11847">
        <v>24689</v>
      </c>
      <c r="H11847" s="1" t="s">
        <v>1828</v>
      </c>
      <c r="I11847">
        <v>2</v>
      </c>
      <c r="J11847">
        <f>IF($H11847=0,1,IF($I11847&lt;=1,2,0))</f>
        <v>0</v>
      </c>
      <c r="K11847">
        <v>5</v>
      </c>
      <c r="L11847">
        <f>IF(AND($J11847=0,$K11847=0),0,1)</f>
        <v>1</v>
      </c>
    </row>
    <row r="11848" spans="1:13" x14ac:dyDescent="0.2">
      <c r="A11848" t="s">
        <v>313</v>
      </c>
      <c r="B11848" t="s">
        <v>133</v>
      </c>
      <c r="C11848" t="s">
        <v>11</v>
      </c>
      <c r="D11848">
        <v>9509</v>
      </c>
      <c r="E11848">
        <v>2020</v>
      </c>
      <c r="F11848">
        <v>7</v>
      </c>
      <c r="G11848">
        <v>24757</v>
      </c>
      <c r="H11848" s="1" t="s">
        <v>1828</v>
      </c>
      <c r="I11848">
        <v>1</v>
      </c>
      <c r="J11848">
        <f>IF($H11848=0,1,IF($I11848&lt;=1,2,0))</f>
        <v>2</v>
      </c>
      <c r="K11848">
        <v>5</v>
      </c>
      <c r="L11848">
        <f>IF(AND($J11848=0,$K11848=0),0,1)</f>
        <v>1</v>
      </c>
    </row>
    <row r="11849" spans="1:13" x14ac:dyDescent="0.2">
      <c r="A11849" t="s">
        <v>313</v>
      </c>
      <c r="B11849" t="s">
        <v>133</v>
      </c>
      <c r="C11849" t="s">
        <v>11</v>
      </c>
      <c r="D11849">
        <v>9509</v>
      </c>
      <c r="E11849">
        <v>2020</v>
      </c>
      <c r="F11849">
        <v>8</v>
      </c>
      <c r="G11849">
        <v>24761</v>
      </c>
      <c r="H11849" s="1" t="s">
        <v>1828</v>
      </c>
      <c r="I11849">
        <v>1</v>
      </c>
      <c r="J11849">
        <f>IF($H11849=0,1,IF($I11849&lt;=1,2,0))</f>
        <v>2</v>
      </c>
      <c r="K11849">
        <v>5</v>
      </c>
      <c r="L11849">
        <f>IF(AND($J11849=0,$K11849=0),0,1)</f>
        <v>1</v>
      </c>
    </row>
    <row r="11850" spans="1:13" x14ac:dyDescent="0.2">
      <c r="A11850" t="s">
        <v>313</v>
      </c>
      <c r="B11850" t="s">
        <v>133</v>
      </c>
      <c r="C11850" t="s">
        <v>11</v>
      </c>
      <c r="D11850">
        <v>9509</v>
      </c>
      <c r="E11850">
        <v>2020</v>
      </c>
      <c r="F11850">
        <v>9</v>
      </c>
      <c r="G11850">
        <v>24864</v>
      </c>
      <c r="H11850" s="1" t="s">
        <v>1828</v>
      </c>
      <c r="I11850">
        <v>1</v>
      </c>
      <c r="J11850">
        <f>IF($H11850=0,1,IF($I11850&lt;=1,2,0))</f>
        <v>2</v>
      </c>
      <c r="K11850">
        <v>5</v>
      </c>
      <c r="L11850">
        <f>IF(AND($J11850=0,$K11850=0),0,1)</f>
        <v>1</v>
      </c>
    </row>
    <row r="11851" spans="1:13" x14ac:dyDescent="0.2">
      <c r="A11851" t="s">
        <v>313</v>
      </c>
      <c r="B11851" t="s">
        <v>133</v>
      </c>
      <c r="C11851" t="s">
        <v>11</v>
      </c>
      <c r="D11851">
        <v>9509</v>
      </c>
      <c r="E11851">
        <v>2020</v>
      </c>
      <c r="F11851">
        <v>10</v>
      </c>
      <c r="G11851">
        <v>24865</v>
      </c>
      <c r="H11851" s="1" t="s">
        <v>1828</v>
      </c>
      <c r="I11851">
        <v>1</v>
      </c>
      <c r="J11851">
        <f>IF($H11851=0,1,IF($I11851&lt;=1,2,0))</f>
        <v>2</v>
      </c>
      <c r="K11851">
        <v>5</v>
      </c>
      <c r="L11851">
        <f>IF(AND($J11851=0,$K11851=0),0,1)</f>
        <v>1</v>
      </c>
    </row>
    <row r="11852" spans="1:13" x14ac:dyDescent="0.2">
      <c r="A11852" t="s">
        <v>318</v>
      </c>
      <c r="B11852" t="s">
        <v>133</v>
      </c>
      <c r="C11852" t="s">
        <v>2</v>
      </c>
      <c r="D11852">
        <v>1001</v>
      </c>
      <c r="E11852">
        <v>2020</v>
      </c>
      <c r="F11852">
        <v>1</v>
      </c>
      <c r="G11852">
        <v>580</v>
      </c>
      <c r="H11852" s="1">
        <v>4.5</v>
      </c>
      <c r="I11852">
        <v>118</v>
      </c>
      <c r="J11852">
        <f>IF($H11852=0,1,IF($I11852&lt;=1,2,0))</f>
        <v>0</v>
      </c>
      <c r="K11852">
        <v>7</v>
      </c>
      <c r="L11852">
        <f>IF(AND($J11852=0,$K11852=0),0,1)</f>
        <v>1</v>
      </c>
      <c r="M11852" t="s">
        <v>1992</v>
      </c>
    </row>
    <row r="11853" spans="1:13" x14ac:dyDescent="0.2">
      <c r="A11853" t="s">
        <v>318</v>
      </c>
      <c r="B11853" t="s">
        <v>133</v>
      </c>
      <c r="C11853" t="s">
        <v>2</v>
      </c>
      <c r="D11853">
        <v>1011</v>
      </c>
      <c r="E11853">
        <v>2020</v>
      </c>
      <c r="F11853">
        <v>1</v>
      </c>
      <c r="G11853">
        <v>581</v>
      </c>
      <c r="H11853" s="1">
        <v>0</v>
      </c>
      <c r="I11853">
        <v>20</v>
      </c>
      <c r="J11853">
        <f>IF($H11853=0,1,IF($I11853&lt;=1,2,0))</f>
        <v>1</v>
      </c>
      <c r="K11853">
        <v>7</v>
      </c>
      <c r="L11853">
        <f>IF(AND($J11853=0,$K11853=0),0,1)</f>
        <v>1</v>
      </c>
      <c r="M11853" t="s">
        <v>988</v>
      </c>
    </row>
    <row r="11854" spans="1:13" x14ac:dyDescent="0.2">
      <c r="A11854" t="s">
        <v>318</v>
      </c>
      <c r="B11854" t="s">
        <v>133</v>
      </c>
      <c r="C11854" t="s">
        <v>2</v>
      </c>
      <c r="D11854">
        <v>1011</v>
      </c>
      <c r="E11854">
        <v>2020</v>
      </c>
      <c r="F11854">
        <v>3</v>
      </c>
      <c r="G11854">
        <v>592</v>
      </c>
      <c r="H11854" s="1">
        <v>0</v>
      </c>
      <c r="I11854">
        <v>20</v>
      </c>
      <c r="J11854">
        <f>IF($H11854=0,1,IF($I11854&lt;=1,2,0))</f>
        <v>1</v>
      </c>
      <c r="K11854">
        <v>7</v>
      </c>
      <c r="L11854">
        <f>IF(AND($J11854=0,$K11854=0),0,1)</f>
        <v>1</v>
      </c>
      <c r="M11854" t="s">
        <v>988</v>
      </c>
    </row>
    <row r="11855" spans="1:13" x14ac:dyDescent="0.2">
      <c r="A11855" t="s">
        <v>318</v>
      </c>
      <c r="B11855" t="s">
        <v>133</v>
      </c>
      <c r="C11855" t="s">
        <v>2</v>
      </c>
      <c r="D11855">
        <v>1011</v>
      </c>
      <c r="E11855">
        <v>2020</v>
      </c>
      <c r="F11855">
        <v>6</v>
      </c>
      <c r="G11855">
        <v>595</v>
      </c>
      <c r="H11855" s="1">
        <v>0</v>
      </c>
      <c r="I11855">
        <v>20</v>
      </c>
      <c r="J11855">
        <f>IF($H11855=0,1,IF($I11855&lt;=1,2,0))</f>
        <v>1</v>
      </c>
      <c r="K11855">
        <v>7</v>
      </c>
      <c r="L11855">
        <f>IF(AND($J11855=0,$K11855=0),0,1)</f>
        <v>1</v>
      </c>
      <c r="M11855" t="s">
        <v>988</v>
      </c>
    </row>
    <row r="11856" spans="1:13" x14ac:dyDescent="0.2">
      <c r="A11856" t="s">
        <v>318</v>
      </c>
      <c r="B11856" t="s">
        <v>133</v>
      </c>
      <c r="C11856" t="s">
        <v>2</v>
      </c>
      <c r="D11856">
        <v>1011</v>
      </c>
      <c r="E11856">
        <v>2020</v>
      </c>
      <c r="F11856">
        <v>7</v>
      </c>
      <c r="G11856">
        <v>596</v>
      </c>
      <c r="H11856" s="1">
        <v>0</v>
      </c>
      <c r="I11856">
        <v>17</v>
      </c>
      <c r="J11856">
        <f>IF($H11856=0,1,IF($I11856&lt;=1,2,0))</f>
        <v>1</v>
      </c>
      <c r="K11856">
        <v>7</v>
      </c>
      <c r="L11856">
        <f>IF(AND($J11856=0,$K11856=0),0,1)</f>
        <v>1</v>
      </c>
      <c r="M11856" t="s">
        <v>988</v>
      </c>
    </row>
    <row r="11857" spans="1:13" x14ac:dyDescent="0.2">
      <c r="A11857" t="s">
        <v>318</v>
      </c>
      <c r="B11857" t="s">
        <v>133</v>
      </c>
      <c r="C11857" t="s">
        <v>2</v>
      </c>
      <c r="D11857">
        <v>1011</v>
      </c>
      <c r="E11857">
        <v>2020</v>
      </c>
      <c r="F11857">
        <v>2</v>
      </c>
      <c r="G11857">
        <v>591</v>
      </c>
      <c r="H11857" s="1">
        <v>0</v>
      </c>
      <c r="I11857">
        <v>15</v>
      </c>
      <c r="J11857">
        <f>IF($H11857=0,1,IF($I11857&lt;=1,2,0))</f>
        <v>1</v>
      </c>
      <c r="K11857">
        <v>7</v>
      </c>
      <c r="L11857">
        <f>IF(AND($J11857=0,$K11857=0),0,1)</f>
        <v>1</v>
      </c>
      <c r="M11857" t="s">
        <v>988</v>
      </c>
    </row>
    <row r="11858" spans="1:13" x14ac:dyDescent="0.2">
      <c r="A11858" t="s">
        <v>318</v>
      </c>
      <c r="B11858" t="s">
        <v>133</v>
      </c>
      <c r="C11858" t="s">
        <v>2</v>
      </c>
      <c r="D11858">
        <v>1011</v>
      </c>
      <c r="E11858">
        <v>2020</v>
      </c>
      <c r="F11858">
        <v>5</v>
      </c>
      <c r="G11858">
        <v>594</v>
      </c>
      <c r="H11858" s="1">
        <v>0</v>
      </c>
      <c r="I11858">
        <v>14</v>
      </c>
      <c r="J11858">
        <f>IF($H11858=0,1,IF($I11858&lt;=1,2,0))</f>
        <v>1</v>
      </c>
      <c r="K11858">
        <v>7</v>
      </c>
      <c r="L11858">
        <f>IF(AND($J11858=0,$K11858=0),0,1)</f>
        <v>1</v>
      </c>
      <c r="M11858" t="s">
        <v>988</v>
      </c>
    </row>
    <row r="11859" spans="1:13" x14ac:dyDescent="0.2">
      <c r="A11859" t="s">
        <v>318</v>
      </c>
      <c r="B11859" t="s">
        <v>133</v>
      </c>
      <c r="C11859" t="s">
        <v>2</v>
      </c>
      <c r="D11859">
        <v>1011</v>
      </c>
      <c r="E11859">
        <v>2020</v>
      </c>
      <c r="F11859">
        <v>4</v>
      </c>
      <c r="G11859">
        <v>593</v>
      </c>
      <c r="H11859" s="1">
        <v>0</v>
      </c>
      <c r="I11859">
        <v>12</v>
      </c>
      <c r="J11859">
        <f>IF($H11859=0,1,IF($I11859&lt;=1,2,0))</f>
        <v>1</v>
      </c>
      <c r="K11859">
        <v>7</v>
      </c>
      <c r="L11859">
        <f>IF(AND($J11859=0,$K11859=0),0,1)</f>
        <v>1</v>
      </c>
      <c r="M11859" t="s">
        <v>988</v>
      </c>
    </row>
    <row r="11860" spans="1:13" x14ac:dyDescent="0.2">
      <c r="A11860" t="s">
        <v>318</v>
      </c>
      <c r="B11860" t="s">
        <v>133</v>
      </c>
      <c r="C11860" t="s">
        <v>2</v>
      </c>
      <c r="D11860">
        <v>3014</v>
      </c>
      <c r="E11860">
        <v>2020</v>
      </c>
      <c r="F11860">
        <v>1</v>
      </c>
      <c r="G11860">
        <v>579</v>
      </c>
      <c r="H11860" s="1">
        <v>3</v>
      </c>
      <c r="I11860">
        <v>9</v>
      </c>
      <c r="J11860">
        <f>IF($H11860=0,1,IF($I11860&lt;=1,2,0))</f>
        <v>0</v>
      </c>
      <c r="K11860">
        <v>7</v>
      </c>
      <c r="L11860">
        <f>IF(AND($J11860=0,$K11860=0),0,1)</f>
        <v>1</v>
      </c>
      <c r="M11860" t="s">
        <v>992</v>
      </c>
    </row>
    <row r="11861" spans="1:13" x14ac:dyDescent="0.2">
      <c r="A11861" t="s">
        <v>318</v>
      </c>
      <c r="B11861" t="s">
        <v>133</v>
      </c>
      <c r="C11861" t="s">
        <v>2</v>
      </c>
      <c r="D11861">
        <v>3017</v>
      </c>
      <c r="E11861">
        <v>2020</v>
      </c>
      <c r="F11861">
        <v>1</v>
      </c>
      <c r="G11861">
        <v>608</v>
      </c>
      <c r="H11861" s="1">
        <v>3</v>
      </c>
      <c r="I11861">
        <v>16</v>
      </c>
      <c r="J11861">
        <f>IF($H11861=0,1,IF($I11861&lt;=1,2,0))</f>
        <v>0</v>
      </c>
      <c r="K11861">
        <v>7</v>
      </c>
      <c r="L11861">
        <f>IF(AND($J11861=0,$K11861=0),0,1)</f>
        <v>1</v>
      </c>
      <c r="M11861" t="s">
        <v>1993</v>
      </c>
    </row>
    <row r="11862" spans="1:13" x14ac:dyDescent="0.2">
      <c r="A11862" t="s">
        <v>318</v>
      </c>
      <c r="B11862" t="s">
        <v>133</v>
      </c>
      <c r="C11862" t="s">
        <v>2</v>
      </c>
      <c r="D11862">
        <v>3050</v>
      </c>
      <c r="E11862">
        <v>2020</v>
      </c>
      <c r="F11862">
        <v>1</v>
      </c>
      <c r="G11862">
        <v>598</v>
      </c>
      <c r="H11862" s="1">
        <v>3</v>
      </c>
      <c r="I11862">
        <v>29</v>
      </c>
      <c r="J11862">
        <f>IF($H11862=0,1,IF($I11862&lt;=1,2,0))</f>
        <v>0</v>
      </c>
      <c r="K11862">
        <v>7</v>
      </c>
      <c r="L11862">
        <f>IF(AND($J11862=0,$K11862=0),0,1)</f>
        <v>1</v>
      </c>
      <c r="M11862" t="s">
        <v>1994</v>
      </c>
    </row>
    <row r="11863" spans="1:13" x14ac:dyDescent="0.2">
      <c r="A11863" t="s">
        <v>318</v>
      </c>
      <c r="B11863" t="s">
        <v>133</v>
      </c>
      <c r="C11863" t="s">
        <v>2</v>
      </c>
      <c r="D11863">
        <v>3300</v>
      </c>
      <c r="E11863">
        <v>2020</v>
      </c>
      <c r="F11863">
        <v>1</v>
      </c>
      <c r="G11863">
        <v>610</v>
      </c>
      <c r="H11863" s="1">
        <v>4</v>
      </c>
      <c r="I11863">
        <v>10</v>
      </c>
      <c r="J11863">
        <f>IF($H11863=0,1,IF($I11863&lt;=1,2,0))</f>
        <v>0</v>
      </c>
      <c r="K11863">
        <v>7</v>
      </c>
      <c r="L11863">
        <f>IF(AND($J11863=0,$K11863=0),0,1)</f>
        <v>1</v>
      </c>
      <c r="M11863" t="s">
        <v>1995</v>
      </c>
    </row>
    <row r="11864" spans="1:13" x14ac:dyDescent="0.2">
      <c r="A11864" t="s">
        <v>318</v>
      </c>
      <c r="B11864" t="s">
        <v>133</v>
      </c>
      <c r="C11864" t="s">
        <v>2</v>
      </c>
      <c r="D11864">
        <v>3800</v>
      </c>
      <c r="E11864">
        <v>2020</v>
      </c>
      <c r="F11864">
        <v>1</v>
      </c>
      <c r="G11864">
        <v>599</v>
      </c>
      <c r="H11864" s="1">
        <v>3</v>
      </c>
      <c r="I11864">
        <v>30</v>
      </c>
      <c r="J11864">
        <f>IF($H11864=0,1,IF($I11864&lt;=1,2,0))</f>
        <v>0</v>
      </c>
      <c r="K11864">
        <v>7</v>
      </c>
      <c r="L11864">
        <f>IF(AND($J11864=0,$K11864=0),0,1)</f>
        <v>1</v>
      </c>
      <c r="M11864" t="s">
        <v>1996</v>
      </c>
    </row>
    <row r="11865" spans="1:13" x14ac:dyDescent="0.2">
      <c r="A11865" t="s">
        <v>318</v>
      </c>
      <c r="B11865" t="s">
        <v>133</v>
      </c>
      <c r="C11865" t="s">
        <v>2</v>
      </c>
      <c r="D11865">
        <v>3999</v>
      </c>
      <c r="E11865">
        <v>2020</v>
      </c>
      <c r="F11865">
        <v>1</v>
      </c>
      <c r="G11865">
        <v>626</v>
      </c>
      <c r="H11865" s="1" t="s">
        <v>1823</v>
      </c>
      <c r="I11865">
        <v>0</v>
      </c>
      <c r="J11865">
        <f>IF($H11865=0,1,IF($I11865&lt;=1,2,0))</f>
        <v>2</v>
      </c>
      <c r="K11865">
        <v>7</v>
      </c>
      <c r="L11865">
        <f>IF(AND($J11865=0,$K11865=0),0,1)</f>
        <v>1</v>
      </c>
      <c r="M11865" t="s">
        <v>994</v>
      </c>
    </row>
    <row r="11866" spans="1:13" x14ac:dyDescent="0.2">
      <c r="A11866" t="s">
        <v>318</v>
      </c>
      <c r="B11866" t="s">
        <v>133</v>
      </c>
      <c r="C11866" t="s">
        <v>2</v>
      </c>
      <c r="D11866">
        <v>3999</v>
      </c>
      <c r="E11866">
        <v>2020</v>
      </c>
      <c r="F11866">
        <v>2</v>
      </c>
      <c r="G11866">
        <v>623</v>
      </c>
      <c r="H11866" s="1" t="s">
        <v>1823</v>
      </c>
      <c r="I11866">
        <v>0</v>
      </c>
      <c r="J11866">
        <f>IF($H11866=0,1,IF($I11866&lt;=1,2,0))</f>
        <v>2</v>
      </c>
      <c r="K11866">
        <v>7</v>
      </c>
      <c r="L11866">
        <f>IF(AND($J11866=0,$K11866=0),0,1)</f>
        <v>1</v>
      </c>
      <c r="M11866" t="s">
        <v>994</v>
      </c>
    </row>
    <row r="11867" spans="1:13" x14ac:dyDescent="0.2">
      <c r="A11867" t="s">
        <v>318</v>
      </c>
      <c r="B11867" t="s">
        <v>133</v>
      </c>
      <c r="C11867" t="s">
        <v>2</v>
      </c>
      <c r="D11867">
        <v>3999</v>
      </c>
      <c r="E11867">
        <v>2020</v>
      </c>
      <c r="F11867">
        <v>3</v>
      </c>
      <c r="G11867">
        <v>627</v>
      </c>
      <c r="H11867" s="1" t="s">
        <v>1823</v>
      </c>
      <c r="I11867">
        <v>0</v>
      </c>
      <c r="J11867">
        <f>IF($H11867=0,1,IF($I11867&lt;=1,2,0))</f>
        <v>2</v>
      </c>
      <c r="K11867">
        <v>7</v>
      </c>
      <c r="L11867">
        <f>IF(AND($J11867=0,$K11867=0),0,1)</f>
        <v>1</v>
      </c>
      <c r="M11867" t="s">
        <v>994</v>
      </c>
    </row>
    <row r="11868" spans="1:13" x14ac:dyDescent="0.2">
      <c r="A11868" t="s">
        <v>318</v>
      </c>
      <c r="B11868" t="s">
        <v>133</v>
      </c>
      <c r="C11868" t="s">
        <v>2</v>
      </c>
      <c r="D11868">
        <v>3999</v>
      </c>
      <c r="E11868">
        <v>2020</v>
      </c>
      <c r="F11868">
        <v>4</v>
      </c>
      <c r="G11868">
        <v>629</v>
      </c>
      <c r="H11868" s="1" t="s">
        <v>1823</v>
      </c>
      <c r="I11868">
        <v>0</v>
      </c>
      <c r="J11868">
        <f>IF($H11868=0,1,IF($I11868&lt;=1,2,0))</f>
        <v>2</v>
      </c>
      <c r="K11868">
        <v>7</v>
      </c>
      <c r="L11868">
        <f>IF(AND($J11868=0,$K11868=0),0,1)</f>
        <v>1</v>
      </c>
      <c r="M11868" t="s">
        <v>994</v>
      </c>
    </row>
    <row r="11869" spans="1:13" x14ac:dyDescent="0.2">
      <c r="A11869" t="s">
        <v>318</v>
      </c>
      <c r="B11869" t="s">
        <v>133</v>
      </c>
      <c r="C11869" t="s">
        <v>2</v>
      </c>
      <c r="D11869">
        <v>3999</v>
      </c>
      <c r="E11869">
        <v>2020</v>
      </c>
      <c r="F11869">
        <v>5</v>
      </c>
      <c r="G11869">
        <v>628</v>
      </c>
      <c r="H11869" s="1" t="s">
        <v>1823</v>
      </c>
      <c r="I11869">
        <v>0</v>
      </c>
      <c r="J11869">
        <f>IF($H11869=0,1,IF($I11869&lt;=1,2,0))</f>
        <v>2</v>
      </c>
      <c r="K11869">
        <v>7</v>
      </c>
      <c r="L11869">
        <f>IF(AND($J11869=0,$K11869=0),0,1)</f>
        <v>1</v>
      </c>
      <c r="M11869" t="s">
        <v>994</v>
      </c>
    </row>
    <row r="11870" spans="1:13" x14ac:dyDescent="0.2">
      <c r="A11870" t="s">
        <v>318</v>
      </c>
      <c r="B11870" t="s">
        <v>133</v>
      </c>
      <c r="C11870" t="s">
        <v>2</v>
      </c>
      <c r="D11870">
        <v>3999</v>
      </c>
      <c r="E11870">
        <v>2020</v>
      </c>
      <c r="F11870">
        <v>6</v>
      </c>
      <c r="G11870">
        <v>636</v>
      </c>
      <c r="H11870" s="1" t="s">
        <v>1823</v>
      </c>
      <c r="I11870">
        <v>0</v>
      </c>
      <c r="J11870">
        <f>IF($H11870=0,1,IF($I11870&lt;=1,2,0))</f>
        <v>2</v>
      </c>
      <c r="K11870">
        <v>7</v>
      </c>
      <c r="L11870">
        <f>IF(AND($J11870=0,$K11870=0),0,1)</f>
        <v>1</v>
      </c>
      <c r="M11870" t="s">
        <v>994</v>
      </c>
    </row>
    <row r="11871" spans="1:13" x14ac:dyDescent="0.2">
      <c r="A11871" t="s">
        <v>318</v>
      </c>
      <c r="B11871" t="s">
        <v>133</v>
      </c>
      <c r="C11871" t="s">
        <v>11</v>
      </c>
      <c r="D11871">
        <v>9001</v>
      </c>
      <c r="E11871">
        <v>2020</v>
      </c>
      <c r="F11871">
        <v>1</v>
      </c>
      <c r="G11871">
        <v>15549</v>
      </c>
      <c r="H11871" s="1" t="s">
        <v>1834</v>
      </c>
      <c r="I11871">
        <v>4</v>
      </c>
      <c r="J11871">
        <f>IF($H11871=0,1,IF($I11871&lt;=1,2,0))</f>
        <v>0</v>
      </c>
      <c r="K11871">
        <v>5</v>
      </c>
      <c r="L11871">
        <f>IF(AND($J11871=0,$K11871=0),0,1)</f>
        <v>1</v>
      </c>
    </row>
    <row r="11872" spans="1:13" x14ac:dyDescent="0.2">
      <c r="A11872" t="s">
        <v>318</v>
      </c>
      <c r="B11872" t="s">
        <v>133</v>
      </c>
      <c r="C11872" t="s">
        <v>11</v>
      </c>
      <c r="D11872">
        <v>9810</v>
      </c>
      <c r="E11872">
        <v>2020</v>
      </c>
      <c r="F11872">
        <v>1</v>
      </c>
      <c r="G11872">
        <v>22136</v>
      </c>
      <c r="H11872" s="1">
        <v>1</v>
      </c>
      <c r="I11872">
        <v>45</v>
      </c>
      <c r="J11872">
        <f>IF($H11872=0,1,IF($I11872&lt;=1,2,0))</f>
        <v>0</v>
      </c>
      <c r="K11872">
        <v>5</v>
      </c>
      <c r="L11872">
        <f>IF(AND($J11872=0,$K11872=0),0,1)</f>
        <v>1</v>
      </c>
      <c r="M11872" t="s">
        <v>998</v>
      </c>
    </row>
    <row r="11873" spans="1:13" x14ac:dyDescent="0.2">
      <c r="A11873" t="s">
        <v>318</v>
      </c>
      <c r="B11873" t="s">
        <v>133</v>
      </c>
      <c r="C11873" t="s">
        <v>11</v>
      </c>
      <c r="D11873">
        <v>9810</v>
      </c>
      <c r="E11873">
        <v>2020</v>
      </c>
      <c r="F11873">
        <v>2</v>
      </c>
      <c r="G11873">
        <v>22286</v>
      </c>
      <c r="H11873" s="1">
        <v>2</v>
      </c>
      <c r="I11873">
        <v>20</v>
      </c>
      <c r="J11873">
        <f>IF($H11873=0,1,IF($I11873&lt;=1,2,0))</f>
        <v>0</v>
      </c>
      <c r="K11873">
        <v>5</v>
      </c>
      <c r="L11873">
        <f>IF(AND($J11873=0,$K11873=0),0,1)</f>
        <v>1</v>
      </c>
      <c r="M11873" t="s">
        <v>999</v>
      </c>
    </row>
    <row r="11874" spans="1:13" x14ac:dyDescent="0.2">
      <c r="A11874" t="s">
        <v>318</v>
      </c>
      <c r="B11874" t="s">
        <v>133</v>
      </c>
      <c r="C11874" t="s">
        <v>11</v>
      </c>
      <c r="D11874">
        <v>9910</v>
      </c>
      <c r="E11874">
        <v>2020</v>
      </c>
      <c r="F11874">
        <v>1</v>
      </c>
      <c r="G11874">
        <v>15850</v>
      </c>
      <c r="H11874" s="1" t="s">
        <v>1837</v>
      </c>
      <c r="I11874">
        <v>4</v>
      </c>
      <c r="J11874">
        <f>IF($H11874=0,1,IF($I11874&lt;=1,2,0))</f>
        <v>0</v>
      </c>
      <c r="K11874">
        <v>5</v>
      </c>
      <c r="L11874">
        <f>IF(AND($J11874=0,$K11874=0),0,1)</f>
        <v>1</v>
      </c>
    </row>
    <row r="11875" spans="1:13" x14ac:dyDescent="0.2">
      <c r="A11875" t="s">
        <v>318</v>
      </c>
      <c r="B11875" t="s">
        <v>133</v>
      </c>
      <c r="C11875" t="s">
        <v>11</v>
      </c>
      <c r="D11875">
        <v>9945</v>
      </c>
      <c r="E11875">
        <v>2020</v>
      </c>
      <c r="F11875">
        <v>2</v>
      </c>
      <c r="G11875">
        <v>22287</v>
      </c>
      <c r="H11875" s="1">
        <v>1</v>
      </c>
      <c r="I11875">
        <v>5</v>
      </c>
      <c r="J11875">
        <f>IF($H11875=0,1,IF($I11875&lt;=1,2,0))</f>
        <v>0</v>
      </c>
      <c r="K11875">
        <v>5</v>
      </c>
      <c r="L11875">
        <f>IF(AND($J11875=0,$K11875=0),0,1)</f>
        <v>1</v>
      </c>
    </row>
    <row r="11876" spans="1:13" x14ac:dyDescent="0.2">
      <c r="A11876" t="s">
        <v>318</v>
      </c>
      <c r="B11876" t="s">
        <v>133</v>
      </c>
      <c r="C11876" t="s">
        <v>11</v>
      </c>
      <c r="D11876">
        <v>9945</v>
      </c>
      <c r="E11876">
        <v>2020</v>
      </c>
      <c r="F11876">
        <v>1</v>
      </c>
      <c r="G11876">
        <v>22047</v>
      </c>
      <c r="H11876" s="1">
        <v>1</v>
      </c>
      <c r="I11876">
        <v>3</v>
      </c>
      <c r="J11876">
        <f>IF($H11876=0,1,IF($I11876&lt;=1,2,0))</f>
        <v>0</v>
      </c>
      <c r="K11876">
        <v>5</v>
      </c>
      <c r="L11876">
        <f>IF(AND($J11876=0,$K11876=0),0,1)</f>
        <v>1</v>
      </c>
    </row>
    <row r="11877" spans="1:13" x14ac:dyDescent="0.2">
      <c r="A11877" t="s">
        <v>318</v>
      </c>
      <c r="B11877" t="s">
        <v>133</v>
      </c>
      <c r="C11877" t="s">
        <v>11</v>
      </c>
      <c r="D11877">
        <v>9946</v>
      </c>
      <c r="E11877">
        <v>2020</v>
      </c>
      <c r="F11877">
        <v>1</v>
      </c>
      <c r="G11877">
        <v>24514</v>
      </c>
      <c r="H11877" s="1" t="s">
        <v>1837</v>
      </c>
      <c r="I11877">
        <v>7</v>
      </c>
      <c r="J11877">
        <f>IF($H11877=0,1,IF($I11877&lt;=1,2,0))</f>
        <v>0</v>
      </c>
      <c r="K11877">
        <v>5</v>
      </c>
      <c r="L11877">
        <f>IF(AND($J11877=0,$K11877=0),0,1)</f>
        <v>1</v>
      </c>
    </row>
    <row r="11878" spans="1:13" x14ac:dyDescent="0.2">
      <c r="A11878" t="s">
        <v>343</v>
      </c>
      <c r="B11878" t="s">
        <v>6</v>
      </c>
      <c r="C11878" t="s">
        <v>11</v>
      </c>
      <c r="D11878">
        <v>6999</v>
      </c>
      <c r="E11878">
        <v>2020</v>
      </c>
      <c r="F11878">
        <v>1</v>
      </c>
      <c r="G11878">
        <v>23317</v>
      </c>
      <c r="H11878" s="1" t="s">
        <v>1832</v>
      </c>
      <c r="I11878">
        <v>2</v>
      </c>
      <c r="J11878">
        <f>IF($H11878=0,1,IF($I11878&lt;=1,2,0))</f>
        <v>0</v>
      </c>
      <c r="K11878">
        <v>9</v>
      </c>
      <c r="L11878">
        <f>IF(AND($J11878=0,$K11878=0),0,1)</f>
        <v>1</v>
      </c>
    </row>
    <row r="11879" spans="1:13" x14ac:dyDescent="0.2">
      <c r="A11879" t="s">
        <v>343</v>
      </c>
      <c r="B11879" t="s">
        <v>6</v>
      </c>
      <c r="C11879" t="s">
        <v>11</v>
      </c>
      <c r="D11879">
        <v>6999</v>
      </c>
      <c r="E11879">
        <v>2020</v>
      </c>
      <c r="F11879">
        <v>2</v>
      </c>
      <c r="G11879">
        <v>24731</v>
      </c>
      <c r="H11879" s="1" t="s">
        <v>1832</v>
      </c>
      <c r="I11879">
        <v>1</v>
      </c>
      <c r="J11879">
        <f>IF($H11879=0,1,IF($I11879&lt;=1,2,0))</f>
        <v>2</v>
      </c>
      <c r="K11879">
        <v>9</v>
      </c>
      <c r="L11879">
        <f>IF(AND($J11879=0,$K11879=0),0,1)</f>
        <v>1</v>
      </c>
    </row>
    <row r="11880" spans="1:13" x14ac:dyDescent="0.2">
      <c r="A11880" t="s">
        <v>343</v>
      </c>
      <c r="B11880" t="s">
        <v>6</v>
      </c>
      <c r="C11880" t="s">
        <v>11</v>
      </c>
      <c r="D11880">
        <v>6999</v>
      </c>
      <c r="E11880">
        <v>2020</v>
      </c>
      <c r="F11880">
        <v>3</v>
      </c>
      <c r="G11880">
        <v>24780</v>
      </c>
      <c r="H11880" s="1" t="s">
        <v>1832</v>
      </c>
      <c r="I11880">
        <v>1</v>
      </c>
      <c r="J11880">
        <f>IF($H11880=0,1,IF($I11880&lt;=1,2,0))</f>
        <v>2</v>
      </c>
      <c r="K11880">
        <v>9</v>
      </c>
      <c r="L11880">
        <f>IF(AND($J11880=0,$K11880=0),0,1)</f>
        <v>1</v>
      </c>
    </row>
    <row r="11881" spans="1:13" x14ac:dyDescent="0.2">
      <c r="A11881" t="s">
        <v>343</v>
      </c>
      <c r="B11881" t="s">
        <v>6</v>
      </c>
      <c r="C11881" t="s">
        <v>11</v>
      </c>
      <c r="D11881">
        <v>6999</v>
      </c>
      <c r="E11881">
        <v>2020</v>
      </c>
      <c r="F11881">
        <v>4</v>
      </c>
      <c r="G11881">
        <v>24924</v>
      </c>
      <c r="H11881" s="1" t="s">
        <v>1832</v>
      </c>
      <c r="I11881">
        <v>1</v>
      </c>
      <c r="J11881">
        <f>IF($H11881=0,1,IF($I11881&lt;=1,2,0))</f>
        <v>2</v>
      </c>
      <c r="K11881">
        <v>9</v>
      </c>
      <c r="L11881">
        <f>IF(AND($J11881=0,$K11881=0),0,1)</f>
        <v>1</v>
      </c>
    </row>
    <row r="11882" spans="1:13" x14ac:dyDescent="0.2">
      <c r="A11882" t="s">
        <v>343</v>
      </c>
      <c r="B11882" t="s">
        <v>6</v>
      </c>
      <c r="C11882" t="s">
        <v>11</v>
      </c>
      <c r="D11882">
        <v>6999</v>
      </c>
      <c r="E11882">
        <v>2020</v>
      </c>
      <c r="F11882">
        <v>5</v>
      </c>
      <c r="G11882">
        <v>25055</v>
      </c>
      <c r="H11882" s="1" t="s">
        <v>1832</v>
      </c>
      <c r="I11882">
        <v>1</v>
      </c>
      <c r="J11882">
        <f>IF($H11882=0,1,IF($I11882&lt;=1,2,0))</f>
        <v>2</v>
      </c>
      <c r="K11882">
        <v>9</v>
      </c>
      <c r="L11882">
        <f>IF(AND($J11882=0,$K11882=0),0,1)</f>
        <v>1</v>
      </c>
    </row>
    <row r="11883" spans="1:13" x14ac:dyDescent="0.2">
      <c r="A11883" t="s">
        <v>344</v>
      </c>
      <c r="B11883" t="s">
        <v>71</v>
      </c>
      <c r="C11883" t="s">
        <v>72</v>
      </c>
      <c r="D11883">
        <v>3081</v>
      </c>
      <c r="E11883">
        <v>2020</v>
      </c>
      <c r="F11883">
        <v>1</v>
      </c>
      <c r="G11883">
        <v>10528</v>
      </c>
      <c r="H11883" s="1">
        <v>1</v>
      </c>
      <c r="I11883">
        <v>28</v>
      </c>
      <c r="J11883">
        <f>IF($H11883=0,1,IF($I11883&lt;=1,2,0))</f>
        <v>0</v>
      </c>
      <c r="K11883">
        <v>8</v>
      </c>
      <c r="L11883">
        <f>IF(AND($J11883=0,$K11883=0),0,1)</f>
        <v>1</v>
      </c>
    </row>
    <row r="11884" spans="1:13" x14ac:dyDescent="0.2">
      <c r="A11884" t="s">
        <v>344</v>
      </c>
      <c r="B11884" t="s">
        <v>71</v>
      </c>
      <c r="C11884" t="s">
        <v>72</v>
      </c>
      <c r="D11884">
        <v>3081</v>
      </c>
      <c r="E11884">
        <v>2020</v>
      </c>
      <c r="F11884">
        <v>3</v>
      </c>
      <c r="G11884">
        <v>10530</v>
      </c>
      <c r="H11884" s="1">
        <v>1</v>
      </c>
      <c r="I11884">
        <v>20</v>
      </c>
      <c r="J11884">
        <f>IF($H11884=0,1,IF($I11884&lt;=1,2,0))</f>
        <v>0</v>
      </c>
      <c r="K11884">
        <v>8</v>
      </c>
      <c r="L11884">
        <f>IF(AND($J11884=0,$K11884=0),0,1)</f>
        <v>1</v>
      </c>
    </row>
    <row r="11885" spans="1:13" x14ac:dyDescent="0.2">
      <c r="A11885" t="s">
        <v>344</v>
      </c>
      <c r="B11885" t="s">
        <v>71</v>
      </c>
      <c r="C11885" t="s">
        <v>72</v>
      </c>
      <c r="D11885">
        <v>3081</v>
      </c>
      <c r="E11885">
        <v>2020</v>
      </c>
      <c r="F11885">
        <v>2</v>
      </c>
      <c r="G11885">
        <v>10529</v>
      </c>
      <c r="H11885" s="1">
        <v>1</v>
      </c>
      <c r="I11885">
        <v>4</v>
      </c>
      <c r="J11885">
        <f>IF($H11885=0,1,IF($I11885&lt;=1,2,0))</f>
        <v>0</v>
      </c>
      <c r="K11885">
        <v>8</v>
      </c>
      <c r="L11885">
        <f>IF(AND($J11885=0,$K11885=0),0,1)</f>
        <v>1</v>
      </c>
    </row>
    <row r="11886" spans="1:13" x14ac:dyDescent="0.2">
      <c r="A11886" t="s">
        <v>344</v>
      </c>
      <c r="B11886" t="s">
        <v>71</v>
      </c>
      <c r="C11886" t="s">
        <v>72</v>
      </c>
      <c r="D11886">
        <v>3084</v>
      </c>
      <c r="E11886">
        <v>2020</v>
      </c>
      <c r="F11886">
        <v>2</v>
      </c>
      <c r="G11886">
        <v>10532</v>
      </c>
      <c r="H11886" s="1">
        <v>1</v>
      </c>
      <c r="I11886">
        <v>21</v>
      </c>
      <c r="J11886">
        <f>IF($H11886=0,1,IF($I11886&lt;=1,2,0))</f>
        <v>0</v>
      </c>
      <c r="K11886">
        <v>8</v>
      </c>
      <c r="L11886">
        <f>IF(AND($J11886=0,$K11886=0),0,1)</f>
        <v>1</v>
      </c>
    </row>
    <row r="11887" spans="1:13" x14ac:dyDescent="0.2">
      <c r="A11887" t="s">
        <v>344</v>
      </c>
      <c r="B11887" t="s">
        <v>71</v>
      </c>
      <c r="C11887" t="s">
        <v>72</v>
      </c>
      <c r="D11887">
        <v>3084</v>
      </c>
      <c r="E11887">
        <v>2020</v>
      </c>
      <c r="F11887">
        <v>1</v>
      </c>
      <c r="G11887">
        <v>10531</v>
      </c>
      <c r="H11887" s="1">
        <v>1</v>
      </c>
      <c r="I11887">
        <v>17</v>
      </c>
      <c r="J11887">
        <f>IF($H11887=0,1,IF($I11887&lt;=1,2,0))</f>
        <v>0</v>
      </c>
      <c r="K11887">
        <v>8</v>
      </c>
      <c r="L11887">
        <f>IF(AND($J11887=0,$K11887=0),0,1)</f>
        <v>1</v>
      </c>
    </row>
    <row r="11888" spans="1:13" x14ac:dyDescent="0.2">
      <c r="A11888" t="s">
        <v>344</v>
      </c>
      <c r="B11888" t="s">
        <v>71</v>
      </c>
      <c r="C11888" t="s">
        <v>72</v>
      </c>
      <c r="D11888">
        <v>3084</v>
      </c>
      <c r="E11888">
        <v>2020</v>
      </c>
      <c r="F11888">
        <v>3</v>
      </c>
      <c r="G11888">
        <v>10533</v>
      </c>
      <c r="H11888" s="1">
        <v>1</v>
      </c>
      <c r="I11888">
        <v>17</v>
      </c>
      <c r="J11888">
        <f>IF($H11888=0,1,IF($I11888&lt;=1,2,0))</f>
        <v>0</v>
      </c>
      <c r="K11888">
        <v>8</v>
      </c>
      <c r="L11888">
        <f>IF(AND($J11888=0,$K11888=0),0,1)</f>
        <v>1</v>
      </c>
    </row>
    <row r="11889" spans="1:12" x14ac:dyDescent="0.2">
      <c r="A11889" t="s">
        <v>344</v>
      </c>
      <c r="B11889" t="s">
        <v>71</v>
      </c>
      <c r="C11889" t="s">
        <v>72</v>
      </c>
      <c r="D11889">
        <v>3998</v>
      </c>
      <c r="E11889">
        <v>2020</v>
      </c>
      <c r="F11889">
        <v>19</v>
      </c>
      <c r="G11889">
        <v>11376</v>
      </c>
      <c r="H11889" s="1" t="s">
        <v>1840</v>
      </c>
      <c r="I11889">
        <v>4</v>
      </c>
      <c r="J11889">
        <f>IF($H11889=0,1,IF($I11889&lt;=1,2,0))</f>
        <v>0</v>
      </c>
      <c r="K11889">
        <v>9</v>
      </c>
      <c r="L11889">
        <f>IF(AND($J11889=0,$K11889=0),0,1)</f>
        <v>1</v>
      </c>
    </row>
    <row r="11890" spans="1:12" x14ac:dyDescent="0.2">
      <c r="A11890" t="s">
        <v>344</v>
      </c>
      <c r="B11890" t="s">
        <v>71</v>
      </c>
      <c r="C11890" t="s">
        <v>72</v>
      </c>
      <c r="D11890">
        <v>3998</v>
      </c>
      <c r="E11890">
        <v>2020</v>
      </c>
      <c r="F11890">
        <v>14</v>
      </c>
      <c r="G11890">
        <v>11371</v>
      </c>
      <c r="H11890" s="1" t="s">
        <v>1840</v>
      </c>
      <c r="I11890">
        <v>2</v>
      </c>
      <c r="J11890">
        <f>IF($H11890=0,1,IF($I11890&lt;=1,2,0))</f>
        <v>0</v>
      </c>
      <c r="K11890">
        <v>9</v>
      </c>
      <c r="L11890">
        <f>IF(AND($J11890=0,$K11890=0),0,1)</f>
        <v>1</v>
      </c>
    </row>
    <row r="11891" spans="1:12" x14ac:dyDescent="0.2">
      <c r="A11891" t="s">
        <v>344</v>
      </c>
      <c r="B11891" t="s">
        <v>71</v>
      </c>
      <c r="C11891" t="s">
        <v>72</v>
      </c>
      <c r="D11891">
        <v>3998</v>
      </c>
      <c r="E11891">
        <v>2020</v>
      </c>
      <c r="F11891">
        <v>3</v>
      </c>
      <c r="G11891">
        <v>11358</v>
      </c>
      <c r="H11891" s="1" t="s">
        <v>1840</v>
      </c>
      <c r="I11891">
        <v>1</v>
      </c>
      <c r="J11891">
        <f>IF($H11891=0,1,IF($I11891&lt;=1,2,0))</f>
        <v>2</v>
      </c>
      <c r="K11891">
        <v>9</v>
      </c>
      <c r="L11891">
        <f>IF(AND($J11891=0,$K11891=0),0,1)</f>
        <v>1</v>
      </c>
    </row>
    <row r="11892" spans="1:12" x14ac:dyDescent="0.2">
      <c r="A11892" t="s">
        <v>344</v>
      </c>
      <c r="B11892" t="s">
        <v>71</v>
      </c>
      <c r="C11892" t="s">
        <v>72</v>
      </c>
      <c r="D11892">
        <v>3998</v>
      </c>
      <c r="E11892">
        <v>2020</v>
      </c>
      <c r="F11892">
        <v>8</v>
      </c>
      <c r="G11892">
        <v>11364</v>
      </c>
      <c r="H11892" s="1" t="s">
        <v>1840</v>
      </c>
      <c r="I11892">
        <v>1</v>
      </c>
      <c r="J11892">
        <f>IF($H11892=0,1,IF($I11892&lt;=1,2,0))</f>
        <v>2</v>
      </c>
      <c r="K11892">
        <v>9</v>
      </c>
      <c r="L11892">
        <f>IF(AND($J11892=0,$K11892=0),0,1)</f>
        <v>1</v>
      </c>
    </row>
    <row r="11893" spans="1:12" x14ac:dyDescent="0.2">
      <c r="A11893" t="s">
        <v>344</v>
      </c>
      <c r="B11893" t="s">
        <v>71</v>
      </c>
      <c r="C11893" t="s">
        <v>72</v>
      </c>
      <c r="D11893">
        <v>3998</v>
      </c>
      <c r="E11893">
        <v>2020</v>
      </c>
      <c r="F11893">
        <v>24</v>
      </c>
      <c r="G11893">
        <v>11382</v>
      </c>
      <c r="H11893" s="1" t="s">
        <v>1840</v>
      </c>
      <c r="I11893">
        <v>1</v>
      </c>
      <c r="J11893">
        <f>IF($H11893=0,1,IF($I11893&lt;=1,2,0))</f>
        <v>2</v>
      </c>
      <c r="K11893">
        <v>9</v>
      </c>
      <c r="L11893">
        <f>IF(AND($J11893=0,$K11893=0),0,1)</f>
        <v>1</v>
      </c>
    </row>
    <row r="11894" spans="1:12" x14ac:dyDescent="0.2">
      <c r="A11894" t="s">
        <v>344</v>
      </c>
      <c r="B11894" t="s">
        <v>71</v>
      </c>
      <c r="C11894" t="s">
        <v>72</v>
      </c>
      <c r="D11894">
        <v>3998</v>
      </c>
      <c r="E11894">
        <v>2020</v>
      </c>
      <c r="F11894">
        <v>1</v>
      </c>
      <c r="G11894">
        <v>11356</v>
      </c>
      <c r="H11894" s="1" t="s">
        <v>1840</v>
      </c>
      <c r="I11894">
        <v>0</v>
      </c>
      <c r="J11894">
        <f>IF($H11894=0,1,IF($I11894&lt;=1,2,0))</f>
        <v>2</v>
      </c>
      <c r="K11894">
        <v>9</v>
      </c>
      <c r="L11894">
        <f>IF(AND($J11894=0,$K11894=0),0,1)</f>
        <v>1</v>
      </c>
    </row>
    <row r="11895" spans="1:12" x14ac:dyDescent="0.2">
      <c r="A11895" t="s">
        <v>344</v>
      </c>
      <c r="B11895" t="s">
        <v>71</v>
      </c>
      <c r="C11895" t="s">
        <v>72</v>
      </c>
      <c r="D11895">
        <v>3998</v>
      </c>
      <c r="E11895">
        <v>2020</v>
      </c>
      <c r="F11895">
        <v>2</v>
      </c>
      <c r="G11895">
        <v>11357</v>
      </c>
      <c r="H11895" s="1" t="s">
        <v>1840</v>
      </c>
      <c r="I11895">
        <v>0</v>
      </c>
      <c r="J11895">
        <f>IF($H11895=0,1,IF($I11895&lt;=1,2,0))</f>
        <v>2</v>
      </c>
      <c r="K11895">
        <v>9</v>
      </c>
      <c r="L11895">
        <f>IF(AND($J11895=0,$K11895=0),0,1)</f>
        <v>1</v>
      </c>
    </row>
    <row r="11896" spans="1:12" x14ac:dyDescent="0.2">
      <c r="A11896" t="s">
        <v>344</v>
      </c>
      <c r="B11896" t="s">
        <v>71</v>
      </c>
      <c r="C11896" t="s">
        <v>72</v>
      </c>
      <c r="D11896">
        <v>3998</v>
      </c>
      <c r="E11896">
        <v>2020</v>
      </c>
      <c r="F11896">
        <v>4</v>
      </c>
      <c r="G11896">
        <v>11360</v>
      </c>
      <c r="H11896" s="1" t="s">
        <v>1840</v>
      </c>
      <c r="I11896">
        <v>0</v>
      </c>
      <c r="J11896">
        <f>IF($H11896=0,1,IF($I11896&lt;=1,2,0))</f>
        <v>2</v>
      </c>
      <c r="K11896">
        <v>9</v>
      </c>
      <c r="L11896">
        <f>IF(AND($J11896=0,$K11896=0),0,1)</f>
        <v>1</v>
      </c>
    </row>
    <row r="11897" spans="1:12" x14ac:dyDescent="0.2">
      <c r="A11897" t="s">
        <v>344</v>
      </c>
      <c r="B11897" t="s">
        <v>71</v>
      </c>
      <c r="C11897" t="s">
        <v>72</v>
      </c>
      <c r="D11897">
        <v>3998</v>
      </c>
      <c r="E11897">
        <v>2020</v>
      </c>
      <c r="F11897">
        <v>5</v>
      </c>
      <c r="G11897">
        <v>11361</v>
      </c>
      <c r="H11897" s="1" t="s">
        <v>1840</v>
      </c>
      <c r="I11897">
        <v>0</v>
      </c>
      <c r="J11897">
        <f>IF($H11897=0,1,IF($I11897&lt;=1,2,0))</f>
        <v>2</v>
      </c>
      <c r="K11897">
        <v>9</v>
      </c>
      <c r="L11897">
        <f>IF(AND($J11897=0,$K11897=0),0,1)</f>
        <v>1</v>
      </c>
    </row>
    <row r="11898" spans="1:12" x14ac:dyDescent="0.2">
      <c r="A11898" t="s">
        <v>344</v>
      </c>
      <c r="B11898" t="s">
        <v>71</v>
      </c>
      <c r="C11898" t="s">
        <v>72</v>
      </c>
      <c r="D11898">
        <v>3998</v>
      </c>
      <c r="E11898">
        <v>2020</v>
      </c>
      <c r="F11898">
        <v>6</v>
      </c>
      <c r="G11898">
        <v>11362</v>
      </c>
      <c r="H11898" s="1" t="s">
        <v>1840</v>
      </c>
      <c r="I11898">
        <v>0</v>
      </c>
      <c r="J11898">
        <f>IF($H11898=0,1,IF($I11898&lt;=1,2,0))</f>
        <v>2</v>
      </c>
      <c r="K11898">
        <v>9</v>
      </c>
      <c r="L11898">
        <f>IF(AND($J11898=0,$K11898=0),0,1)</f>
        <v>1</v>
      </c>
    </row>
    <row r="11899" spans="1:12" x14ac:dyDescent="0.2">
      <c r="A11899" t="s">
        <v>344</v>
      </c>
      <c r="B11899" t="s">
        <v>71</v>
      </c>
      <c r="C11899" t="s">
        <v>72</v>
      </c>
      <c r="D11899">
        <v>3998</v>
      </c>
      <c r="E11899">
        <v>2020</v>
      </c>
      <c r="F11899">
        <v>7</v>
      </c>
      <c r="G11899">
        <v>11363</v>
      </c>
      <c r="H11899" s="1" t="s">
        <v>1840</v>
      </c>
      <c r="I11899">
        <v>0</v>
      </c>
      <c r="J11899">
        <f>IF($H11899=0,1,IF($I11899&lt;=1,2,0))</f>
        <v>2</v>
      </c>
      <c r="K11899">
        <v>9</v>
      </c>
      <c r="L11899">
        <f>IF(AND($J11899=0,$K11899=0),0,1)</f>
        <v>1</v>
      </c>
    </row>
    <row r="11900" spans="1:12" x14ac:dyDescent="0.2">
      <c r="A11900" t="s">
        <v>344</v>
      </c>
      <c r="B11900" t="s">
        <v>71</v>
      </c>
      <c r="C11900" t="s">
        <v>72</v>
      </c>
      <c r="D11900">
        <v>3998</v>
      </c>
      <c r="E11900">
        <v>2020</v>
      </c>
      <c r="F11900">
        <v>9</v>
      </c>
      <c r="G11900">
        <v>11365</v>
      </c>
      <c r="H11900" s="1" t="s">
        <v>1840</v>
      </c>
      <c r="I11900">
        <v>0</v>
      </c>
      <c r="J11900">
        <f>IF($H11900=0,1,IF($I11900&lt;=1,2,0))</f>
        <v>2</v>
      </c>
      <c r="K11900">
        <v>9</v>
      </c>
      <c r="L11900">
        <f>IF(AND($J11900=0,$K11900=0),0,1)</f>
        <v>1</v>
      </c>
    </row>
    <row r="11901" spans="1:12" x14ac:dyDescent="0.2">
      <c r="A11901" t="s">
        <v>344</v>
      </c>
      <c r="B11901" t="s">
        <v>71</v>
      </c>
      <c r="C11901" t="s">
        <v>72</v>
      </c>
      <c r="D11901">
        <v>3998</v>
      </c>
      <c r="E11901">
        <v>2020</v>
      </c>
      <c r="F11901">
        <v>10</v>
      </c>
      <c r="G11901">
        <v>11366</v>
      </c>
      <c r="H11901" s="1" t="s">
        <v>1840</v>
      </c>
      <c r="I11901">
        <v>0</v>
      </c>
      <c r="J11901">
        <f>IF($H11901=0,1,IF($I11901&lt;=1,2,0))</f>
        <v>2</v>
      </c>
      <c r="K11901">
        <v>9</v>
      </c>
      <c r="L11901">
        <f>IF(AND($J11901=0,$K11901=0),0,1)</f>
        <v>1</v>
      </c>
    </row>
    <row r="11902" spans="1:12" x14ac:dyDescent="0.2">
      <c r="A11902" t="s">
        <v>344</v>
      </c>
      <c r="B11902" t="s">
        <v>71</v>
      </c>
      <c r="C11902" t="s">
        <v>72</v>
      </c>
      <c r="D11902">
        <v>3998</v>
      </c>
      <c r="E11902">
        <v>2020</v>
      </c>
      <c r="F11902">
        <v>11</v>
      </c>
      <c r="G11902">
        <v>11367</v>
      </c>
      <c r="H11902" s="1" t="s">
        <v>1840</v>
      </c>
      <c r="I11902">
        <v>0</v>
      </c>
      <c r="J11902">
        <f>IF($H11902=0,1,IF($I11902&lt;=1,2,0))</f>
        <v>2</v>
      </c>
      <c r="K11902">
        <v>9</v>
      </c>
      <c r="L11902">
        <f>IF(AND($J11902=0,$K11902=0),0,1)</f>
        <v>1</v>
      </c>
    </row>
    <row r="11903" spans="1:12" x14ac:dyDescent="0.2">
      <c r="A11903" t="s">
        <v>344</v>
      </c>
      <c r="B11903" t="s">
        <v>71</v>
      </c>
      <c r="C11903" t="s">
        <v>72</v>
      </c>
      <c r="D11903">
        <v>3998</v>
      </c>
      <c r="E11903">
        <v>2020</v>
      </c>
      <c r="F11903">
        <v>12</v>
      </c>
      <c r="G11903">
        <v>11368</v>
      </c>
      <c r="H11903" s="1" t="s">
        <v>1840</v>
      </c>
      <c r="I11903">
        <v>0</v>
      </c>
      <c r="J11903">
        <f>IF($H11903=0,1,IF($I11903&lt;=1,2,0))</f>
        <v>2</v>
      </c>
      <c r="K11903">
        <v>9</v>
      </c>
      <c r="L11903">
        <f>IF(AND($J11903=0,$K11903=0),0,1)</f>
        <v>1</v>
      </c>
    </row>
    <row r="11904" spans="1:12" x14ac:dyDescent="0.2">
      <c r="A11904" t="s">
        <v>344</v>
      </c>
      <c r="B11904" t="s">
        <v>71</v>
      </c>
      <c r="C11904" t="s">
        <v>72</v>
      </c>
      <c r="D11904">
        <v>3998</v>
      </c>
      <c r="E11904">
        <v>2020</v>
      </c>
      <c r="F11904">
        <v>13</v>
      </c>
      <c r="G11904">
        <v>11369</v>
      </c>
      <c r="H11904" s="1" t="s">
        <v>1840</v>
      </c>
      <c r="I11904">
        <v>0</v>
      </c>
      <c r="J11904">
        <f>IF($H11904=0,1,IF($I11904&lt;=1,2,0))</f>
        <v>2</v>
      </c>
      <c r="K11904">
        <v>9</v>
      </c>
      <c r="L11904">
        <f>IF(AND($J11904=0,$K11904=0),0,1)</f>
        <v>1</v>
      </c>
    </row>
    <row r="11905" spans="1:12" x14ac:dyDescent="0.2">
      <c r="A11905" t="s">
        <v>344</v>
      </c>
      <c r="B11905" t="s">
        <v>71</v>
      </c>
      <c r="C11905" t="s">
        <v>72</v>
      </c>
      <c r="D11905">
        <v>3998</v>
      </c>
      <c r="E11905">
        <v>2020</v>
      </c>
      <c r="F11905">
        <v>15</v>
      </c>
      <c r="G11905">
        <v>11372</v>
      </c>
      <c r="H11905" s="1" t="s">
        <v>1840</v>
      </c>
      <c r="I11905">
        <v>0</v>
      </c>
      <c r="J11905">
        <f>IF($H11905=0,1,IF($I11905&lt;=1,2,0))</f>
        <v>2</v>
      </c>
      <c r="K11905">
        <v>9</v>
      </c>
      <c r="L11905">
        <f>IF(AND($J11905=0,$K11905=0),0,1)</f>
        <v>1</v>
      </c>
    </row>
    <row r="11906" spans="1:12" x14ac:dyDescent="0.2">
      <c r="A11906" t="s">
        <v>344</v>
      </c>
      <c r="B11906" t="s">
        <v>71</v>
      </c>
      <c r="C11906" t="s">
        <v>72</v>
      </c>
      <c r="D11906">
        <v>3998</v>
      </c>
      <c r="E11906">
        <v>2020</v>
      </c>
      <c r="F11906">
        <v>16</v>
      </c>
      <c r="G11906">
        <v>11373</v>
      </c>
      <c r="H11906" s="1" t="s">
        <v>1840</v>
      </c>
      <c r="I11906">
        <v>0</v>
      </c>
      <c r="J11906">
        <f>IF($H11906=0,1,IF($I11906&lt;=1,2,0))</f>
        <v>2</v>
      </c>
      <c r="K11906">
        <v>9</v>
      </c>
      <c r="L11906">
        <f>IF(AND($J11906=0,$K11906=0),0,1)</f>
        <v>1</v>
      </c>
    </row>
    <row r="11907" spans="1:12" x14ac:dyDescent="0.2">
      <c r="A11907" t="s">
        <v>344</v>
      </c>
      <c r="B11907" t="s">
        <v>71</v>
      </c>
      <c r="C11907" t="s">
        <v>72</v>
      </c>
      <c r="D11907">
        <v>3998</v>
      </c>
      <c r="E11907">
        <v>2020</v>
      </c>
      <c r="F11907">
        <v>17</v>
      </c>
      <c r="G11907">
        <v>11374</v>
      </c>
      <c r="H11907" s="1" t="s">
        <v>1840</v>
      </c>
      <c r="I11907">
        <v>0</v>
      </c>
      <c r="J11907">
        <f>IF($H11907=0,1,IF($I11907&lt;=1,2,0))</f>
        <v>2</v>
      </c>
      <c r="K11907">
        <v>9</v>
      </c>
      <c r="L11907">
        <f>IF(AND($J11907=0,$K11907=0),0,1)</f>
        <v>1</v>
      </c>
    </row>
    <row r="11908" spans="1:12" x14ac:dyDescent="0.2">
      <c r="A11908" t="s">
        <v>344</v>
      </c>
      <c r="B11908" t="s">
        <v>71</v>
      </c>
      <c r="C11908" t="s">
        <v>72</v>
      </c>
      <c r="D11908">
        <v>3998</v>
      </c>
      <c r="E11908">
        <v>2020</v>
      </c>
      <c r="F11908">
        <v>18</v>
      </c>
      <c r="G11908">
        <v>21970</v>
      </c>
      <c r="H11908" s="1" t="s">
        <v>1840</v>
      </c>
      <c r="I11908">
        <v>0</v>
      </c>
      <c r="J11908">
        <f>IF($H11908=0,1,IF($I11908&lt;=1,2,0))</f>
        <v>2</v>
      </c>
      <c r="K11908">
        <v>9</v>
      </c>
      <c r="L11908">
        <f>IF(AND($J11908=0,$K11908=0),0,1)</f>
        <v>1</v>
      </c>
    </row>
    <row r="11909" spans="1:12" x14ac:dyDescent="0.2">
      <c r="A11909" t="s">
        <v>344</v>
      </c>
      <c r="B11909" t="s">
        <v>71</v>
      </c>
      <c r="C11909" t="s">
        <v>72</v>
      </c>
      <c r="D11909">
        <v>3998</v>
      </c>
      <c r="E11909">
        <v>2020</v>
      </c>
      <c r="F11909">
        <v>20</v>
      </c>
      <c r="G11909">
        <v>11377</v>
      </c>
      <c r="H11909" s="1" t="s">
        <v>1840</v>
      </c>
      <c r="I11909">
        <v>0</v>
      </c>
      <c r="J11909">
        <f>IF($H11909=0,1,IF($I11909&lt;=1,2,0))</f>
        <v>2</v>
      </c>
      <c r="K11909">
        <v>9</v>
      </c>
      <c r="L11909">
        <f>IF(AND($J11909=0,$K11909=0),0,1)</f>
        <v>1</v>
      </c>
    </row>
    <row r="11910" spans="1:12" x14ac:dyDescent="0.2">
      <c r="A11910" t="s">
        <v>344</v>
      </c>
      <c r="B11910" t="s">
        <v>71</v>
      </c>
      <c r="C11910" t="s">
        <v>72</v>
      </c>
      <c r="D11910">
        <v>3998</v>
      </c>
      <c r="E11910">
        <v>2020</v>
      </c>
      <c r="F11910">
        <v>21</v>
      </c>
      <c r="G11910">
        <v>11379</v>
      </c>
      <c r="H11910" s="1" t="s">
        <v>1840</v>
      </c>
      <c r="I11910">
        <v>0</v>
      </c>
      <c r="J11910">
        <f>IF($H11910=0,1,IF($I11910&lt;=1,2,0))</f>
        <v>2</v>
      </c>
      <c r="K11910">
        <v>9</v>
      </c>
      <c r="L11910">
        <f>IF(AND($J11910=0,$K11910=0),0,1)</f>
        <v>1</v>
      </c>
    </row>
    <row r="11911" spans="1:12" x14ac:dyDescent="0.2">
      <c r="A11911" t="s">
        <v>344</v>
      </c>
      <c r="B11911" t="s">
        <v>71</v>
      </c>
      <c r="C11911" t="s">
        <v>72</v>
      </c>
      <c r="D11911">
        <v>3998</v>
      </c>
      <c r="E11911">
        <v>2020</v>
      </c>
      <c r="F11911">
        <v>22</v>
      </c>
      <c r="G11911">
        <v>11380</v>
      </c>
      <c r="H11911" s="1" t="s">
        <v>1840</v>
      </c>
      <c r="I11911">
        <v>0</v>
      </c>
      <c r="J11911">
        <f>IF($H11911=0,1,IF($I11911&lt;=1,2,0))</f>
        <v>2</v>
      </c>
      <c r="K11911">
        <v>9</v>
      </c>
      <c r="L11911">
        <f>IF(AND($J11911=0,$K11911=0),0,1)</f>
        <v>1</v>
      </c>
    </row>
    <row r="11912" spans="1:12" x14ac:dyDescent="0.2">
      <c r="A11912" t="s">
        <v>344</v>
      </c>
      <c r="B11912" t="s">
        <v>71</v>
      </c>
      <c r="C11912" t="s">
        <v>72</v>
      </c>
      <c r="D11912">
        <v>3998</v>
      </c>
      <c r="E11912">
        <v>2020</v>
      </c>
      <c r="F11912">
        <v>23</v>
      </c>
      <c r="G11912">
        <v>11381</v>
      </c>
      <c r="H11912" s="1" t="s">
        <v>1840</v>
      </c>
      <c r="I11912">
        <v>0</v>
      </c>
      <c r="J11912">
        <f>IF($H11912=0,1,IF($I11912&lt;=1,2,0))</f>
        <v>2</v>
      </c>
      <c r="K11912">
        <v>9</v>
      </c>
      <c r="L11912">
        <f>IF(AND($J11912=0,$K11912=0),0,1)</f>
        <v>1</v>
      </c>
    </row>
    <row r="11913" spans="1:12" x14ac:dyDescent="0.2">
      <c r="A11913" t="s">
        <v>344</v>
      </c>
      <c r="B11913" t="s">
        <v>71</v>
      </c>
      <c r="C11913" t="s">
        <v>72</v>
      </c>
      <c r="D11913">
        <v>3998</v>
      </c>
      <c r="E11913">
        <v>2020</v>
      </c>
      <c r="F11913">
        <v>25</v>
      </c>
      <c r="G11913">
        <v>11383</v>
      </c>
      <c r="H11913" s="1" t="s">
        <v>1840</v>
      </c>
      <c r="I11913">
        <v>0</v>
      </c>
      <c r="J11913">
        <f>IF($H11913=0,1,IF($I11913&lt;=1,2,0))</f>
        <v>2</v>
      </c>
      <c r="K11913">
        <v>9</v>
      </c>
      <c r="L11913">
        <f>IF(AND($J11913=0,$K11913=0),0,1)</f>
        <v>1</v>
      </c>
    </row>
    <row r="11914" spans="1:12" x14ac:dyDescent="0.2">
      <c r="A11914" t="s">
        <v>344</v>
      </c>
      <c r="B11914" t="s">
        <v>71</v>
      </c>
      <c r="C11914" t="s">
        <v>72</v>
      </c>
      <c r="D11914">
        <v>3998</v>
      </c>
      <c r="E11914">
        <v>2020</v>
      </c>
      <c r="F11914">
        <v>26</v>
      </c>
      <c r="G11914">
        <v>11391</v>
      </c>
      <c r="H11914" s="1" t="s">
        <v>1840</v>
      </c>
      <c r="I11914">
        <v>0</v>
      </c>
      <c r="J11914">
        <f>IF($H11914=0,1,IF($I11914&lt;=1,2,0))</f>
        <v>2</v>
      </c>
      <c r="K11914">
        <v>9</v>
      </c>
      <c r="L11914">
        <f>IF(AND($J11914=0,$K11914=0),0,1)</f>
        <v>1</v>
      </c>
    </row>
    <row r="11915" spans="1:12" x14ac:dyDescent="0.2">
      <c r="A11915" t="s">
        <v>344</v>
      </c>
      <c r="B11915" t="s">
        <v>71</v>
      </c>
      <c r="C11915" t="s">
        <v>72</v>
      </c>
      <c r="D11915">
        <v>3998</v>
      </c>
      <c r="E11915">
        <v>2020</v>
      </c>
      <c r="F11915">
        <v>27</v>
      </c>
      <c r="G11915">
        <v>11392</v>
      </c>
      <c r="H11915" s="1" t="s">
        <v>1840</v>
      </c>
      <c r="I11915">
        <v>0</v>
      </c>
      <c r="J11915">
        <f>IF($H11915=0,1,IF($I11915&lt;=1,2,0))</f>
        <v>2</v>
      </c>
      <c r="K11915">
        <v>9</v>
      </c>
      <c r="L11915">
        <f>IF(AND($J11915=0,$K11915=0),0,1)</f>
        <v>1</v>
      </c>
    </row>
    <row r="11916" spans="1:12" x14ac:dyDescent="0.2">
      <c r="A11916" t="s">
        <v>344</v>
      </c>
      <c r="B11916" t="s">
        <v>71</v>
      </c>
      <c r="C11916" t="s">
        <v>72</v>
      </c>
      <c r="D11916">
        <v>3998</v>
      </c>
      <c r="E11916">
        <v>2020</v>
      </c>
      <c r="F11916">
        <v>28</v>
      </c>
      <c r="G11916">
        <v>11393</v>
      </c>
      <c r="H11916" s="1" t="s">
        <v>1840</v>
      </c>
      <c r="I11916">
        <v>0</v>
      </c>
      <c r="J11916">
        <f>IF($H11916=0,1,IF($I11916&lt;=1,2,0))</f>
        <v>2</v>
      </c>
      <c r="K11916">
        <v>9</v>
      </c>
      <c r="L11916">
        <f>IF(AND($J11916=0,$K11916=0),0,1)</f>
        <v>1</v>
      </c>
    </row>
    <row r="11917" spans="1:12" x14ac:dyDescent="0.2">
      <c r="A11917" t="s">
        <v>344</v>
      </c>
      <c r="B11917" t="s">
        <v>71</v>
      </c>
      <c r="C11917" t="s">
        <v>72</v>
      </c>
      <c r="D11917">
        <v>3998</v>
      </c>
      <c r="E11917">
        <v>2020</v>
      </c>
      <c r="F11917">
        <v>29</v>
      </c>
      <c r="G11917">
        <v>11395</v>
      </c>
      <c r="H11917" s="1" t="s">
        <v>1840</v>
      </c>
      <c r="I11917">
        <v>0</v>
      </c>
      <c r="J11917">
        <f>IF($H11917=0,1,IF($I11917&lt;=1,2,0))</f>
        <v>2</v>
      </c>
      <c r="K11917">
        <v>9</v>
      </c>
      <c r="L11917">
        <f>IF(AND($J11917=0,$K11917=0),0,1)</f>
        <v>1</v>
      </c>
    </row>
    <row r="11918" spans="1:12" x14ac:dyDescent="0.2">
      <c r="A11918" t="s">
        <v>344</v>
      </c>
      <c r="B11918" t="s">
        <v>71</v>
      </c>
      <c r="C11918" t="s">
        <v>72</v>
      </c>
      <c r="D11918">
        <v>3998</v>
      </c>
      <c r="E11918">
        <v>2020</v>
      </c>
      <c r="F11918">
        <v>32</v>
      </c>
      <c r="G11918">
        <v>24507</v>
      </c>
      <c r="H11918" s="1" t="s">
        <v>1840</v>
      </c>
      <c r="I11918">
        <v>0</v>
      </c>
      <c r="J11918">
        <f>IF($H11918=0,1,IF($I11918&lt;=1,2,0))</f>
        <v>2</v>
      </c>
      <c r="K11918">
        <v>9</v>
      </c>
      <c r="L11918">
        <f>IF(AND($J11918=0,$K11918=0),0,1)</f>
        <v>1</v>
      </c>
    </row>
    <row r="11919" spans="1:12" x14ac:dyDescent="0.2">
      <c r="A11919" t="s">
        <v>344</v>
      </c>
      <c r="B11919" t="s">
        <v>71</v>
      </c>
      <c r="C11919" t="s">
        <v>72</v>
      </c>
      <c r="D11919">
        <v>4998</v>
      </c>
      <c r="E11919">
        <v>2020</v>
      </c>
      <c r="F11919">
        <v>2</v>
      </c>
      <c r="G11919">
        <v>11399</v>
      </c>
      <c r="H11919" s="1" t="s">
        <v>1840</v>
      </c>
      <c r="I11919">
        <v>1</v>
      </c>
      <c r="J11919">
        <f>IF($H11919=0,1,IF($I11919&lt;=1,2,0))</f>
        <v>2</v>
      </c>
      <c r="K11919">
        <v>9</v>
      </c>
      <c r="L11919">
        <f>IF(AND($J11919=0,$K11919=0),0,1)</f>
        <v>1</v>
      </c>
    </row>
    <row r="11920" spans="1:12" x14ac:dyDescent="0.2">
      <c r="A11920" t="s">
        <v>344</v>
      </c>
      <c r="B11920" t="s">
        <v>71</v>
      </c>
      <c r="C11920" t="s">
        <v>72</v>
      </c>
      <c r="D11920">
        <v>4998</v>
      </c>
      <c r="E11920">
        <v>2020</v>
      </c>
      <c r="F11920">
        <v>14</v>
      </c>
      <c r="G11920">
        <v>11415</v>
      </c>
      <c r="H11920" s="1" t="s">
        <v>1840</v>
      </c>
      <c r="I11920">
        <v>1</v>
      </c>
      <c r="J11920">
        <f>IF($H11920=0,1,IF($I11920&lt;=1,2,0))</f>
        <v>2</v>
      </c>
      <c r="K11920">
        <v>9</v>
      </c>
      <c r="L11920">
        <f>IF(AND($J11920=0,$K11920=0),0,1)</f>
        <v>1</v>
      </c>
    </row>
    <row r="11921" spans="1:12" x14ac:dyDescent="0.2">
      <c r="A11921" t="s">
        <v>344</v>
      </c>
      <c r="B11921" t="s">
        <v>71</v>
      </c>
      <c r="C11921" t="s">
        <v>72</v>
      </c>
      <c r="D11921">
        <v>4998</v>
      </c>
      <c r="E11921">
        <v>2020</v>
      </c>
      <c r="F11921">
        <v>19</v>
      </c>
      <c r="G11921">
        <v>11422</v>
      </c>
      <c r="H11921" s="1" t="s">
        <v>1840</v>
      </c>
      <c r="I11921">
        <v>1</v>
      </c>
      <c r="J11921">
        <f>IF($H11921=0,1,IF($I11921&lt;=1,2,0))</f>
        <v>2</v>
      </c>
      <c r="K11921">
        <v>9</v>
      </c>
      <c r="L11921">
        <f>IF(AND($J11921=0,$K11921=0),0,1)</f>
        <v>1</v>
      </c>
    </row>
    <row r="11922" spans="1:12" x14ac:dyDescent="0.2">
      <c r="A11922" t="s">
        <v>344</v>
      </c>
      <c r="B11922" t="s">
        <v>71</v>
      </c>
      <c r="C11922" t="s">
        <v>72</v>
      </c>
      <c r="D11922">
        <v>4998</v>
      </c>
      <c r="E11922">
        <v>2020</v>
      </c>
      <c r="F11922">
        <v>20</v>
      </c>
      <c r="G11922">
        <v>11423</v>
      </c>
      <c r="H11922" s="1">
        <v>4.5</v>
      </c>
      <c r="I11922">
        <v>1</v>
      </c>
      <c r="J11922">
        <f>IF($H11922=0,1,IF($I11922&lt;=1,2,0))</f>
        <v>2</v>
      </c>
      <c r="K11922">
        <v>9</v>
      </c>
      <c r="L11922">
        <f>IF(AND($J11922=0,$K11922=0),0,1)</f>
        <v>1</v>
      </c>
    </row>
    <row r="11923" spans="1:12" x14ac:dyDescent="0.2">
      <c r="A11923" t="s">
        <v>344</v>
      </c>
      <c r="B11923" t="s">
        <v>71</v>
      </c>
      <c r="C11923" t="s">
        <v>72</v>
      </c>
      <c r="D11923">
        <v>4998</v>
      </c>
      <c r="E11923">
        <v>2020</v>
      </c>
      <c r="F11923">
        <v>21</v>
      </c>
      <c r="G11923">
        <v>11426</v>
      </c>
      <c r="H11923" s="1" t="s">
        <v>1840</v>
      </c>
      <c r="I11923">
        <v>1</v>
      </c>
      <c r="J11923">
        <f>IF($H11923=0,1,IF($I11923&lt;=1,2,0))</f>
        <v>2</v>
      </c>
      <c r="K11923">
        <v>9</v>
      </c>
      <c r="L11923">
        <f>IF(AND($J11923=0,$K11923=0),0,1)</f>
        <v>1</v>
      </c>
    </row>
    <row r="11924" spans="1:12" x14ac:dyDescent="0.2">
      <c r="A11924" t="s">
        <v>344</v>
      </c>
      <c r="B11924" t="s">
        <v>71</v>
      </c>
      <c r="C11924" t="s">
        <v>72</v>
      </c>
      <c r="D11924">
        <v>4998</v>
      </c>
      <c r="E11924">
        <v>2020</v>
      </c>
      <c r="F11924">
        <v>1</v>
      </c>
      <c r="G11924">
        <v>11397</v>
      </c>
      <c r="H11924" s="1" t="s">
        <v>1840</v>
      </c>
      <c r="I11924">
        <v>0</v>
      </c>
      <c r="J11924">
        <f>IF($H11924=0,1,IF($I11924&lt;=1,2,0))</f>
        <v>2</v>
      </c>
      <c r="K11924">
        <v>9</v>
      </c>
      <c r="L11924">
        <f>IF(AND($J11924=0,$K11924=0),0,1)</f>
        <v>1</v>
      </c>
    </row>
    <row r="11925" spans="1:12" x14ac:dyDescent="0.2">
      <c r="A11925" t="s">
        <v>344</v>
      </c>
      <c r="B11925" t="s">
        <v>71</v>
      </c>
      <c r="C11925" t="s">
        <v>72</v>
      </c>
      <c r="D11925">
        <v>4998</v>
      </c>
      <c r="E11925">
        <v>2020</v>
      </c>
      <c r="F11925">
        <v>3</v>
      </c>
      <c r="G11925">
        <v>11400</v>
      </c>
      <c r="H11925" s="1" t="s">
        <v>1840</v>
      </c>
      <c r="I11925">
        <v>0</v>
      </c>
      <c r="J11925">
        <f>IF($H11925=0,1,IF($I11925&lt;=1,2,0))</f>
        <v>2</v>
      </c>
      <c r="K11925">
        <v>9</v>
      </c>
      <c r="L11925">
        <f>IF(AND($J11925=0,$K11925=0),0,1)</f>
        <v>1</v>
      </c>
    </row>
    <row r="11926" spans="1:12" x14ac:dyDescent="0.2">
      <c r="A11926" t="s">
        <v>344</v>
      </c>
      <c r="B11926" t="s">
        <v>71</v>
      </c>
      <c r="C11926" t="s">
        <v>72</v>
      </c>
      <c r="D11926">
        <v>4998</v>
      </c>
      <c r="E11926">
        <v>2020</v>
      </c>
      <c r="F11926">
        <v>4</v>
      </c>
      <c r="G11926">
        <v>11403</v>
      </c>
      <c r="H11926" s="1" t="s">
        <v>1840</v>
      </c>
      <c r="I11926">
        <v>0</v>
      </c>
      <c r="J11926">
        <f>IF($H11926=0,1,IF($I11926&lt;=1,2,0))</f>
        <v>2</v>
      </c>
      <c r="K11926">
        <v>9</v>
      </c>
      <c r="L11926">
        <f>IF(AND($J11926=0,$K11926=0),0,1)</f>
        <v>1</v>
      </c>
    </row>
    <row r="11927" spans="1:12" x14ac:dyDescent="0.2">
      <c r="A11927" t="s">
        <v>344</v>
      </c>
      <c r="B11927" t="s">
        <v>71</v>
      </c>
      <c r="C11927" t="s">
        <v>72</v>
      </c>
      <c r="D11927">
        <v>4998</v>
      </c>
      <c r="E11927">
        <v>2020</v>
      </c>
      <c r="F11927">
        <v>5</v>
      </c>
      <c r="G11927">
        <v>11404</v>
      </c>
      <c r="H11927" s="1" t="s">
        <v>1840</v>
      </c>
      <c r="I11927">
        <v>0</v>
      </c>
      <c r="J11927">
        <f>IF($H11927=0,1,IF($I11927&lt;=1,2,0))</f>
        <v>2</v>
      </c>
      <c r="K11927">
        <v>9</v>
      </c>
      <c r="L11927">
        <f>IF(AND($J11927=0,$K11927=0),0,1)</f>
        <v>1</v>
      </c>
    </row>
    <row r="11928" spans="1:12" x14ac:dyDescent="0.2">
      <c r="A11928" t="s">
        <v>344</v>
      </c>
      <c r="B11928" t="s">
        <v>71</v>
      </c>
      <c r="C11928" t="s">
        <v>72</v>
      </c>
      <c r="D11928">
        <v>4998</v>
      </c>
      <c r="E11928">
        <v>2020</v>
      </c>
      <c r="F11928">
        <v>6</v>
      </c>
      <c r="G11928">
        <v>11405</v>
      </c>
      <c r="H11928" s="1" t="s">
        <v>1840</v>
      </c>
      <c r="I11928">
        <v>0</v>
      </c>
      <c r="J11928">
        <f>IF($H11928=0,1,IF($I11928&lt;=1,2,0))</f>
        <v>2</v>
      </c>
      <c r="K11928">
        <v>9</v>
      </c>
      <c r="L11928">
        <f>IF(AND($J11928=0,$K11928=0),0,1)</f>
        <v>1</v>
      </c>
    </row>
    <row r="11929" spans="1:12" x14ac:dyDescent="0.2">
      <c r="A11929" t="s">
        <v>344</v>
      </c>
      <c r="B11929" t="s">
        <v>71</v>
      </c>
      <c r="C11929" t="s">
        <v>72</v>
      </c>
      <c r="D11929">
        <v>4998</v>
      </c>
      <c r="E11929">
        <v>2020</v>
      </c>
      <c r="F11929">
        <v>7</v>
      </c>
      <c r="G11929">
        <v>11406</v>
      </c>
      <c r="H11929" s="1" t="s">
        <v>1840</v>
      </c>
      <c r="I11929">
        <v>0</v>
      </c>
      <c r="J11929">
        <f>IF($H11929=0,1,IF($I11929&lt;=1,2,0))</f>
        <v>2</v>
      </c>
      <c r="K11929">
        <v>9</v>
      </c>
      <c r="L11929">
        <f>IF(AND($J11929=0,$K11929=0),0,1)</f>
        <v>1</v>
      </c>
    </row>
    <row r="11930" spans="1:12" x14ac:dyDescent="0.2">
      <c r="A11930" t="s">
        <v>344</v>
      </c>
      <c r="B11930" t="s">
        <v>71</v>
      </c>
      <c r="C11930" t="s">
        <v>72</v>
      </c>
      <c r="D11930">
        <v>4998</v>
      </c>
      <c r="E11930">
        <v>2020</v>
      </c>
      <c r="F11930">
        <v>8</v>
      </c>
      <c r="G11930">
        <v>11408</v>
      </c>
      <c r="H11930" s="1" t="s">
        <v>1840</v>
      </c>
      <c r="I11930">
        <v>0</v>
      </c>
      <c r="J11930">
        <f>IF($H11930=0,1,IF($I11930&lt;=1,2,0))</f>
        <v>2</v>
      </c>
      <c r="K11930">
        <v>9</v>
      </c>
      <c r="L11930">
        <f>IF(AND($J11930=0,$K11930=0),0,1)</f>
        <v>1</v>
      </c>
    </row>
    <row r="11931" spans="1:12" x14ac:dyDescent="0.2">
      <c r="A11931" t="s">
        <v>344</v>
      </c>
      <c r="B11931" t="s">
        <v>71</v>
      </c>
      <c r="C11931" t="s">
        <v>72</v>
      </c>
      <c r="D11931">
        <v>4998</v>
      </c>
      <c r="E11931">
        <v>2020</v>
      </c>
      <c r="F11931">
        <v>9</v>
      </c>
      <c r="G11931">
        <v>11409</v>
      </c>
      <c r="H11931" s="1" t="s">
        <v>1840</v>
      </c>
      <c r="I11931">
        <v>0</v>
      </c>
      <c r="J11931">
        <f>IF($H11931=0,1,IF($I11931&lt;=1,2,0))</f>
        <v>2</v>
      </c>
      <c r="K11931">
        <v>9</v>
      </c>
      <c r="L11931">
        <f>IF(AND($J11931=0,$K11931=0),0,1)</f>
        <v>1</v>
      </c>
    </row>
    <row r="11932" spans="1:12" x14ac:dyDescent="0.2">
      <c r="A11932" t="s">
        <v>344</v>
      </c>
      <c r="B11932" t="s">
        <v>71</v>
      </c>
      <c r="C11932" t="s">
        <v>72</v>
      </c>
      <c r="D11932">
        <v>4998</v>
      </c>
      <c r="E11932">
        <v>2020</v>
      </c>
      <c r="F11932">
        <v>10</v>
      </c>
      <c r="G11932">
        <v>11410</v>
      </c>
      <c r="H11932" s="1" t="s">
        <v>1840</v>
      </c>
      <c r="I11932">
        <v>0</v>
      </c>
      <c r="J11932">
        <f>IF($H11932=0,1,IF($I11932&lt;=1,2,0))</f>
        <v>2</v>
      </c>
      <c r="K11932">
        <v>9</v>
      </c>
      <c r="L11932">
        <f>IF(AND($J11932=0,$K11932=0),0,1)</f>
        <v>1</v>
      </c>
    </row>
    <row r="11933" spans="1:12" x14ac:dyDescent="0.2">
      <c r="A11933" t="s">
        <v>344</v>
      </c>
      <c r="B11933" t="s">
        <v>71</v>
      </c>
      <c r="C11933" t="s">
        <v>72</v>
      </c>
      <c r="D11933">
        <v>4998</v>
      </c>
      <c r="E11933">
        <v>2020</v>
      </c>
      <c r="F11933">
        <v>11</v>
      </c>
      <c r="G11933">
        <v>11411</v>
      </c>
      <c r="H11933" s="1" t="s">
        <v>1840</v>
      </c>
      <c r="I11933">
        <v>0</v>
      </c>
      <c r="J11933">
        <f>IF($H11933=0,1,IF($I11933&lt;=1,2,0))</f>
        <v>2</v>
      </c>
      <c r="K11933">
        <v>9</v>
      </c>
      <c r="L11933">
        <f>IF(AND($J11933=0,$K11933=0),0,1)</f>
        <v>1</v>
      </c>
    </row>
    <row r="11934" spans="1:12" x14ac:dyDescent="0.2">
      <c r="A11934" t="s">
        <v>344</v>
      </c>
      <c r="B11934" t="s">
        <v>71</v>
      </c>
      <c r="C11934" t="s">
        <v>72</v>
      </c>
      <c r="D11934">
        <v>4998</v>
      </c>
      <c r="E11934">
        <v>2020</v>
      </c>
      <c r="F11934">
        <v>12</v>
      </c>
      <c r="G11934">
        <v>11413</v>
      </c>
      <c r="H11934" s="1" t="s">
        <v>1840</v>
      </c>
      <c r="I11934">
        <v>0</v>
      </c>
      <c r="J11934">
        <f>IF($H11934=0,1,IF($I11934&lt;=1,2,0))</f>
        <v>2</v>
      </c>
      <c r="K11934">
        <v>9</v>
      </c>
      <c r="L11934">
        <f>IF(AND($J11934=0,$K11934=0),0,1)</f>
        <v>1</v>
      </c>
    </row>
    <row r="11935" spans="1:12" x14ac:dyDescent="0.2">
      <c r="A11935" t="s">
        <v>344</v>
      </c>
      <c r="B11935" t="s">
        <v>71</v>
      </c>
      <c r="C11935" t="s">
        <v>72</v>
      </c>
      <c r="D11935">
        <v>4998</v>
      </c>
      <c r="E11935">
        <v>2020</v>
      </c>
      <c r="F11935">
        <v>13</v>
      </c>
      <c r="G11935">
        <v>11414</v>
      </c>
      <c r="H11935" s="1" t="s">
        <v>1840</v>
      </c>
      <c r="I11935">
        <v>0</v>
      </c>
      <c r="J11935">
        <f>IF($H11935=0,1,IF($I11935&lt;=1,2,0))</f>
        <v>2</v>
      </c>
      <c r="K11935">
        <v>9</v>
      </c>
      <c r="L11935">
        <f>IF(AND($J11935=0,$K11935=0),0,1)</f>
        <v>1</v>
      </c>
    </row>
    <row r="11936" spans="1:12" x14ac:dyDescent="0.2">
      <c r="A11936" t="s">
        <v>344</v>
      </c>
      <c r="B11936" t="s">
        <v>71</v>
      </c>
      <c r="C11936" t="s">
        <v>72</v>
      </c>
      <c r="D11936">
        <v>4998</v>
      </c>
      <c r="E11936">
        <v>2020</v>
      </c>
      <c r="F11936">
        <v>15</v>
      </c>
      <c r="G11936">
        <v>11416</v>
      </c>
      <c r="H11936" s="1" t="s">
        <v>1840</v>
      </c>
      <c r="I11936">
        <v>0</v>
      </c>
      <c r="J11936">
        <f>IF($H11936=0,1,IF($I11936&lt;=1,2,0))</f>
        <v>2</v>
      </c>
      <c r="K11936">
        <v>9</v>
      </c>
      <c r="L11936">
        <f>IF(AND($J11936=0,$K11936=0),0,1)</f>
        <v>1</v>
      </c>
    </row>
    <row r="11937" spans="1:12" x14ac:dyDescent="0.2">
      <c r="A11937" t="s">
        <v>344</v>
      </c>
      <c r="B11937" t="s">
        <v>71</v>
      </c>
      <c r="C11937" t="s">
        <v>72</v>
      </c>
      <c r="D11937">
        <v>4998</v>
      </c>
      <c r="E11937">
        <v>2020</v>
      </c>
      <c r="F11937">
        <v>16</v>
      </c>
      <c r="G11937">
        <v>11418</v>
      </c>
      <c r="H11937" s="1" t="s">
        <v>1840</v>
      </c>
      <c r="I11937">
        <v>0</v>
      </c>
      <c r="J11937">
        <f>IF($H11937=0,1,IF($I11937&lt;=1,2,0))</f>
        <v>2</v>
      </c>
      <c r="K11937">
        <v>9</v>
      </c>
      <c r="L11937">
        <f>IF(AND($J11937=0,$K11937=0),0,1)</f>
        <v>1</v>
      </c>
    </row>
    <row r="11938" spans="1:12" x14ac:dyDescent="0.2">
      <c r="A11938" t="s">
        <v>344</v>
      </c>
      <c r="B11938" t="s">
        <v>71</v>
      </c>
      <c r="C11938" t="s">
        <v>72</v>
      </c>
      <c r="D11938">
        <v>4998</v>
      </c>
      <c r="E11938">
        <v>2020</v>
      </c>
      <c r="F11938">
        <v>17</v>
      </c>
      <c r="G11938">
        <v>11420</v>
      </c>
      <c r="H11938" s="1" t="s">
        <v>1840</v>
      </c>
      <c r="I11938">
        <v>0</v>
      </c>
      <c r="J11938">
        <f>IF($H11938=0,1,IF($I11938&lt;=1,2,0))</f>
        <v>2</v>
      </c>
      <c r="K11938">
        <v>9</v>
      </c>
      <c r="L11938">
        <f>IF(AND($J11938=0,$K11938=0),0,1)</f>
        <v>1</v>
      </c>
    </row>
    <row r="11939" spans="1:12" x14ac:dyDescent="0.2">
      <c r="A11939" t="s">
        <v>344</v>
      </c>
      <c r="B11939" t="s">
        <v>71</v>
      </c>
      <c r="C11939" t="s">
        <v>72</v>
      </c>
      <c r="D11939">
        <v>4998</v>
      </c>
      <c r="E11939">
        <v>2020</v>
      </c>
      <c r="F11939">
        <v>18</v>
      </c>
      <c r="G11939">
        <v>21971</v>
      </c>
      <c r="H11939" s="1" t="s">
        <v>1840</v>
      </c>
      <c r="I11939">
        <v>0</v>
      </c>
      <c r="J11939">
        <f>IF($H11939=0,1,IF($I11939&lt;=1,2,0))</f>
        <v>2</v>
      </c>
      <c r="K11939">
        <v>9</v>
      </c>
      <c r="L11939">
        <f>IF(AND($J11939=0,$K11939=0),0,1)</f>
        <v>1</v>
      </c>
    </row>
    <row r="11940" spans="1:12" x14ac:dyDescent="0.2">
      <c r="A11940" t="s">
        <v>344</v>
      </c>
      <c r="B11940" t="s">
        <v>71</v>
      </c>
      <c r="C11940" t="s">
        <v>72</v>
      </c>
      <c r="D11940">
        <v>4998</v>
      </c>
      <c r="E11940">
        <v>2020</v>
      </c>
      <c r="F11940">
        <v>22</v>
      </c>
      <c r="G11940">
        <v>11427</v>
      </c>
      <c r="H11940" s="1" t="s">
        <v>1840</v>
      </c>
      <c r="I11940">
        <v>0</v>
      </c>
      <c r="J11940">
        <f>IF($H11940=0,1,IF($I11940&lt;=1,2,0))</f>
        <v>2</v>
      </c>
      <c r="K11940">
        <v>9</v>
      </c>
      <c r="L11940">
        <f>IF(AND($J11940=0,$K11940=0),0,1)</f>
        <v>1</v>
      </c>
    </row>
    <row r="11941" spans="1:12" x14ac:dyDescent="0.2">
      <c r="A11941" t="s">
        <v>344</v>
      </c>
      <c r="B11941" t="s">
        <v>71</v>
      </c>
      <c r="C11941" t="s">
        <v>72</v>
      </c>
      <c r="D11941">
        <v>4998</v>
      </c>
      <c r="E11941">
        <v>2020</v>
      </c>
      <c r="F11941">
        <v>23</v>
      </c>
      <c r="G11941">
        <v>11428</v>
      </c>
      <c r="H11941" s="1" t="s">
        <v>1840</v>
      </c>
      <c r="I11941">
        <v>0</v>
      </c>
      <c r="J11941">
        <f>IF($H11941=0,1,IF($I11941&lt;=1,2,0))</f>
        <v>2</v>
      </c>
      <c r="K11941">
        <v>9</v>
      </c>
      <c r="L11941">
        <f>IF(AND($J11941=0,$K11941=0),0,1)</f>
        <v>1</v>
      </c>
    </row>
    <row r="11942" spans="1:12" x14ac:dyDescent="0.2">
      <c r="A11942" t="s">
        <v>344</v>
      </c>
      <c r="B11942" t="s">
        <v>71</v>
      </c>
      <c r="C11942" t="s">
        <v>72</v>
      </c>
      <c r="D11942">
        <v>4998</v>
      </c>
      <c r="E11942">
        <v>2020</v>
      </c>
      <c r="F11942">
        <v>24</v>
      </c>
      <c r="G11942">
        <v>11429</v>
      </c>
      <c r="H11942" s="1" t="s">
        <v>1840</v>
      </c>
      <c r="I11942">
        <v>0</v>
      </c>
      <c r="J11942">
        <f>IF($H11942=0,1,IF($I11942&lt;=1,2,0))</f>
        <v>2</v>
      </c>
      <c r="K11942">
        <v>9</v>
      </c>
      <c r="L11942">
        <f>IF(AND($J11942=0,$K11942=0),0,1)</f>
        <v>1</v>
      </c>
    </row>
    <row r="11943" spans="1:12" x14ac:dyDescent="0.2">
      <c r="A11943" t="s">
        <v>344</v>
      </c>
      <c r="B11943" t="s">
        <v>71</v>
      </c>
      <c r="C11943" t="s">
        <v>72</v>
      </c>
      <c r="D11943">
        <v>4998</v>
      </c>
      <c r="E11943">
        <v>2020</v>
      </c>
      <c r="F11943">
        <v>25</v>
      </c>
      <c r="G11943">
        <v>11431</v>
      </c>
      <c r="H11943" s="1" t="s">
        <v>1840</v>
      </c>
      <c r="I11943">
        <v>0</v>
      </c>
      <c r="J11943">
        <f>IF($H11943=0,1,IF($I11943&lt;=1,2,0))</f>
        <v>2</v>
      </c>
      <c r="K11943">
        <v>9</v>
      </c>
      <c r="L11943">
        <f>IF(AND($J11943=0,$K11943=0),0,1)</f>
        <v>1</v>
      </c>
    </row>
    <row r="11944" spans="1:12" x14ac:dyDescent="0.2">
      <c r="A11944" t="s">
        <v>344</v>
      </c>
      <c r="B11944" t="s">
        <v>71</v>
      </c>
      <c r="C11944" t="s">
        <v>72</v>
      </c>
      <c r="D11944">
        <v>4998</v>
      </c>
      <c r="E11944">
        <v>2020</v>
      </c>
      <c r="F11944">
        <v>26</v>
      </c>
      <c r="G11944">
        <v>11433</v>
      </c>
      <c r="H11944" s="1" t="s">
        <v>1840</v>
      </c>
      <c r="I11944">
        <v>0</v>
      </c>
      <c r="J11944">
        <f>IF($H11944=0,1,IF($I11944&lt;=1,2,0))</f>
        <v>2</v>
      </c>
      <c r="K11944">
        <v>9</v>
      </c>
      <c r="L11944">
        <f>IF(AND($J11944=0,$K11944=0),0,1)</f>
        <v>1</v>
      </c>
    </row>
    <row r="11945" spans="1:12" x14ac:dyDescent="0.2">
      <c r="A11945" t="s">
        <v>344</v>
      </c>
      <c r="B11945" t="s">
        <v>71</v>
      </c>
      <c r="C11945" t="s">
        <v>72</v>
      </c>
      <c r="D11945">
        <v>4998</v>
      </c>
      <c r="E11945">
        <v>2020</v>
      </c>
      <c r="F11945">
        <v>27</v>
      </c>
      <c r="G11945">
        <v>11434</v>
      </c>
      <c r="H11945" s="1" t="s">
        <v>1840</v>
      </c>
      <c r="I11945">
        <v>0</v>
      </c>
      <c r="J11945">
        <f>IF($H11945=0,1,IF($I11945&lt;=1,2,0))</f>
        <v>2</v>
      </c>
      <c r="K11945">
        <v>9</v>
      </c>
      <c r="L11945">
        <f>IF(AND($J11945=0,$K11945=0),0,1)</f>
        <v>1</v>
      </c>
    </row>
    <row r="11946" spans="1:12" x14ac:dyDescent="0.2">
      <c r="A11946" t="s">
        <v>344</v>
      </c>
      <c r="B11946" t="s">
        <v>71</v>
      </c>
      <c r="C11946" t="s">
        <v>72</v>
      </c>
      <c r="D11946">
        <v>4998</v>
      </c>
      <c r="E11946">
        <v>2020</v>
      </c>
      <c r="F11946">
        <v>28</v>
      </c>
      <c r="G11946">
        <v>11435</v>
      </c>
      <c r="H11946" s="1" t="s">
        <v>1840</v>
      </c>
      <c r="I11946">
        <v>0</v>
      </c>
      <c r="J11946">
        <f>IF($H11946=0,1,IF($I11946&lt;=1,2,0))</f>
        <v>2</v>
      </c>
      <c r="K11946">
        <v>9</v>
      </c>
      <c r="L11946">
        <f>IF(AND($J11946=0,$K11946=0),0,1)</f>
        <v>1</v>
      </c>
    </row>
    <row r="11947" spans="1:12" x14ac:dyDescent="0.2">
      <c r="A11947" t="s">
        <v>344</v>
      </c>
      <c r="B11947" t="s">
        <v>71</v>
      </c>
      <c r="C11947" t="s">
        <v>72</v>
      </c>
      <c r="D11947">
        <v>4998</v>
      </c>
      <c r="E11947">
        <v>2020</v>
      </c>
      <c r="F11947">
        <v>29</v>
      </c>
      <c r="G11947">
        <v>11436</v>
      </c>
      <c r="H11947" s="1" t="s">
        <v>1840</v>
      </c>
      <c r="I11947">
        <v>0</v>
      </c>
      <c r="J11947">
        <f>IF($H11947=0,1,IF($I11947&lt;=1,2,0))</f>
        <v>2</v>
      </c>
      <c r="K11947">
        <v>9</v>
      </c>
      <c r="L11947">
        <f>IF(AND($J11947=0,$K11947=0),0,1)</f>
        <v>1</v>
      </c>
    </row>
    <row r="11948" spans="1:12" x14ac:dyDescent="0.2">
      <c r="A11948" t="s">
        <v>344</v>
      </c>
      <c r="B11948" t="s">
        <v>71</v>
      </c>
      <c r="C11948" t="s">
        <v>72</v>
      </c>
      <c r="D11948">
        <v>4998</v>
      </c>
      <c r="E11948">
        <v>2020</v>
      </c>
      <c r="F11948">
        <v>32</v>
      </c>
      <c r="G11948">
        <v>24508</v>
      </c>
      <c r="H11948" s="1" t="s">
        <v>1840</v>
      </c>
      <c r="I11948">
        <v>0</v>
      </c>
      <c r="J11948">
        <f>IF($H11948=0,1,IF($I11948&lt;=1,2,0))</f>
        <v>2</v>
      </c>
      <c r="K11948">
        <v>9</v>
      </c>
      <c r="L11948">
        <f>IF(AND($J11948=0,$K11948=0),0,1)</f>
        <v>1</v>
      </c>
    </row>
    <row r="11949" spans="1:12" x14ac:dyDescent="0.2">
      <c r="A11949" t="s">
        <v>344</v>
      </c>
      <c r="B11949" t="s">
        <v>71</v>
      </c>
      <c r="C11949" t="s">
        <v>72</v>
      </c>
      <c r="D11949">
        <v>6001</v>
      </c>
      <c r="E11949">
        <v>2020</v>
      </c>
      <c r="F11949">
        <v>4</v>
      </c>
      <c r="G11949">
        <v>11441</v>
      </c>
      <c r="H11949" s="1" t="s">
        <v>1823</v>
      </c>
      <c r="I11949">
        <v>1</v>
      </c>
      <c r="J11949">
        <f>IF($H11949=0,1,IF($I11949&lt;=1,2,0))</f>
        <v>2</v>
      </c>
      <c r="K11949">
        <v>0</v>
      </c>
      <c r="L11949">
        <f>IF(AND($J11949=0,$K11949=0),0,1)</f>
        <v>1</v>
      </c>
    </row>
    <row r="11950" spans="1:12" x14ac:dyDescent="0.2">
      <c r="A11950" t="s">
        <v>344</v>
      </c>
      <c r="B11950" t="s">
        <v>71</v>
      </c>
      <c r="C11950" t="s">
        <v>72</v>
      </c>
      <c r="D11950">
        <v>6001</v>
      </c>
      <c r="E11950">
        <v>2020</v>
      </c>
      <c r="F11950">
        <v>5</v>
      </c>
      <c r="G11950">
        <v>11442</v>
      </c>
      <c r="H11950" s="1" t="s">
        <v>1823</v>
      </c>
      <c r="I11950">
        <v>1</v>
      </c>
      <c r="J11950">
        <f>IF($H11950=0,1,IF($I11950&lt;=1,2,0))</f>
        <v>2</v>
      </c>
      <c r="K11950">
        <v>0</v>
      </c>
      <c r="L11950">
        <f>IF(AND($J11950=0,$K11950=0),0,1)</f>
        <v>1</v>
      </c>
    </row>
    <row r="11951" spans="1:12" x14ac:dyDescent="0.2">
      <c r="A11951" t="s">
        <v>344</v>
      </c>
      <c r="B11951" t="s">
        <v>71</v>
      </c>
      <c r="C11951" t="s">
        <v>72</v>
      </c>
      <c r="D11951">
        <v>6001</v>
      </c>
      <c r="E11951">
        <v>2020</v>
      </c>
      <c r="F11951">
        <v>9</v>
      </c>
      <c r="G11951">
        <v>11448</v>
      </c>
      <c r="H11951" s="1" t="s">
        <v>1823</v>
      </c>
      <c r="I11951">
        <v>1</v>
      </c>
      <c r="J11951">
        <f>IF($H11951=0,1,IF($I11951&lt;=1,2,0))</f>
        <v>2</v>
      </c>
      <c r="K11951">
        <v>0</v>
      </c>
      <c r="L11951">
        <f>IF(AND($J11951=0,$K11951=0),0,1)</f>
        <v>1</v>
      </c>
    </row>
    <row r="11952" spans="1:12" x14ac:dyDescent="0.2">
      <c r="A11952" t="s">
        <v>344</v>
      </c>
      <c r="B11952" t="s">
        <v>71</v>
      </c>
      <c r="C11952" t="s">
        <v>72</v>
      </c>
      <c r="D11952">
        <v>6001</v>
      </c>
      <c r="E11952">
        <v>2020</v>
      </c>
      <c r="F11952">
        <v>14</v>
      </c>
      <c r="G11952">
        <v>11459</v>
      </c>
      <c r="H11952" s="1" t="s">
        <v>1823</v>
      </c>
      <c r="I11952">
        <v>1</v>
      </c>
      <c r="J11952">
        <f>IF($H11952=0,1,IF($I11952&lt;=1,2,0))</f>
        <v>2</v>
      </c>
      <c r="K11952">
        <v>0</v>
      </c>
      <c r="L11952">
        <f>IF(AND($J11952=0,$K11952=0),0,1)</f>
        <v>1</v>
      </c>
    </row>
    <row r="11953" spans="1:13" x14ac:dyDescent="0.2">
      <c r="A11953" t="s">
        <v>344</v>
      </c>
      <c r="B11953" t="s">
        <v>71</v>
      </c>
      <c r="C11953" t="s">
        <v>72</v>
      </c>
      <c r="D11953">
        <v>6001</v>
      </c>
      <c r="E11953">
        <v>2020</v>
      </c>
      <c r="F11953">
        <v>16</v>
      </c>
      <c r="G11953">
        <v>11462</v>
      </c>
      <c r="H11953" s="1" t="s">
        <v>1823</v>
      </c>
      <c r="I11953">
        <v>1</v>
      </c>
      <c r="J11953">
        <f>IF($H11953=0,1,IF($I11953&lt;=1,2,0))</f>
        <v>2</v>
      </c>
      <c r="K11953">
        <v>0</v>
      </c>
      <c r="L11953">
        <f>IF(AND($J11953=0,$K11953=0),0,1)</f>
        <v>1</v>
      </c>
    </row>
    <row r="11954" spans="1:13" x14ac:dyDescent="0.2">
      <c r="A11954" t="s">
        <v>344</v>
      </c>
      <c r="B11954" t="s">
        <v>71</v>
      </c>
      <c r="C11954" t="s">
        <v>72</v>
      </c>
      <c r="D11954">
        <v>6001</v>
      </c>
      <c r="E11954">
        <v>2020</v>
      </c>
      <c r="F11954">
        <v>29</v>
      </c>
      <c r="G11954">
        <v>11483</v>
      </c>
      <c r="H11954" s="1" t="s">
        <v>1823</v>
      </c>
      <c r="I11954">
        <v>1</v>
      </c>
      <c r="J11954">
        <f>IF($H11954=0,1,IF($I11954&lt;=1,2,0))</f>
        <v>2</v>
      </c>
      <c r="K11954">
        <v>0</v>
      </c>
      <c r="L11954">
        <f>IF(AND($J11954=0,$K11954=0),0,1)</f>
        <v>1</v>
      </c>
    </row>
    <row r="11955" spans="1:13" x14ac:dyDescent="0.2">
      <c r="A11955" t="s">
        <v>344</v>
      </c>
      <c r="B11955" t="s">
        <v>71</v>
      </c>
      <c r="C11955" t="s">
        <v>72</v>
      </c>
      <c r="D11955">
        <v>6001</v>
      </c>
      <c r="E11955">
        <v>2020</v>
      </c>
      <c r="F11955">
        <v>31</v>
      </c>
      <c r="G11955">
        <v>22539</v>
      </c>
      <c r="H11955" s="1" t="s">
        <v>1823</v>
      </c>
      <c r="I11955">
        <v>1</v>
      </c>
      <c r="J11955">
        <f>IF($H11955=0,1,IF($I11955&lt;=1,2,0))</f>
        <v>2</v>
      </c>
      <c r="K11955">
        <v>0</v>
      </c>
      <c r="L11955">
        <f>IF(AND($J11955=0,$K11955=0),0,1)</f>
        <v>1</v>
      </c>
    </row>
    <row r="11956" spans="1:13" x14ac:dyDescent="0.2">
      <c r="A11956" t="s">
        <v>344</v>
      </c>
      <c r="B11956" t="s">
        <v>71</v>
      </c>
      <c r="C11956" t="s">
        <v>72</v>
      </c>
      <c r="D11956">
        <v>6001</v>
      </c>
      <c r="E11956">
        <v>2020</v>
      </c>
      <c r="F11956">
        <v>32</v>
      </c>
      <c r="G11956">
        <v>24510</v>
      </c>
      <c r="H11956" s="1" t="s">
        <v>1823</v>
      </c>
      <c r="I11956">
        <v>1</v>
      </c>
      <c r="J11956">
        <f>IF($H11956=0,1,IF($I11956&lt;=1,2,0))</f>
        <v>2</v>
      </c>
      <c r="K11956">
        <v>0</v>
      </c>
      <c r="L11956">
        <f>IF(AND($J11956=0,$K11956=0),0,1)</f>
        <v>1</v>
      </c>
    </row>
    <row r="11957" spans="1:13" x14ac:dyDescent="0.2">
      <c r="A11957" t="s">
        <v>344</v>
      </c>
      <c r="B11957" t="s">
        <v>71</v>
      </c>
      <c r="C11957" t="s">
        <v>72</v>
      </c>
      <c r="D11957">
        <v>6001</v>
      </c>
      <c r="E11957">
        <v>2020</v>
      </c>
      <c r="F11957">
        <v>517</v>
      </c>
      <c r="G11957">
        <v>22271</v>
      </c>
      <c r="H11957" s="1" t="s">
        <v>1823</v>
      </c>
      <c r="I11957">
        <v>1</v>
      </c>
      <c r="J11957">
        <f>IF($H11957=0,1,IF($I11957&lt;=1,2,0))</f>
        <v>2</v>
      </c>
      <c r="K11957">
        <v>0</v>
      </c>
      <c r="L11957">
        <f>IF(AND($J11957=0,$K11957=0),0,1)</f>
        <v>1</v>
      </c>
      <c r="M11957" t="s">
        <v>85</v>
      </c>
    </row>
    <row r="11958" spans="1:13" x14ac:dyDescent="0.2">
      <c r="A11958" t="s">
        <v>344</v>
      </c>
      <c r="B11958" t="s">
        <v>71</v>
      </c>
      <c r="C11958" t="s">
        <v>72</v>
      </c>
      <c r="D11958">
        <v>6001</v>
      </c>
      <c r="E11958">
        <v>2020</v>
      </c>
      <c r="F11958">
        <v>1</v>
      </c>
      <c r="G11958">
        <v>11438</v>
      </c>
      <c r="H11958" s="1" t="s">
        <v>1823</v>
      </c>
      <c r="I11958">
        <v>0</v>
      </c>
      <c r="J11958">
        <f>IF($H11958=0,1,IF($I11958&lt;=1,2,0))</f>
        <v>2</v>
      </c>
      <c r="K11958">
        <v>0</v>
      </c>
      <c r="L11958">
        <f>IF(AND($J11958=0,$K11958=0),0,1)</f>
        <v>1</v>
      </c>
    </row>
    <row r="11959" spans="1:13" x14ac:dyDescent="0.2">
      <c r="A11959" t="s">
        <v>344</v>
      </c>
      <c r="B11959" t="s">
        <v>71</v>
      </c>
      <c r="C11959" t="s">
        <v>72</v>
      </c>
      <c r="D11959">
        <v>6001</v>
      </c>
      <c r="E11959">
        <v>2020</v>
      </c>
      <c r="F11959">
        <v>3</v>
      </c>
      <c r="G11959">
        <v>11440</v>
      </c>
      <c r="H11959" s="1" t="s">
        <v>1823</v>
      </c>
      <c r="I11959">
        <v>0</v>
      </c>
      <c r="J11959">
        <f>IF($H11959=0,1,IF($I11959&lt;=1,2,0))</f>
        <v>2</v>
      </c>
      <c r="K11959">
        <v>0</v>
      </c>
      <c r="L11959">
        <f>IF(AND($J11959=0,$K11959=0),0,1)</f>
        <v>1</v>
      </c>
    </row>
    <row r="11960" spans="1:13" x14ac:dyDescent="0.2">
      <c r="A11960" t="s">
        <v>344</v>
      </c>
      <c r="B11960" t="s">
        <v>71</v>
      </c>
      <c r="C11960" t="s">
        <v>72</v>
      </c>
      <c r="D11960">
        <v>6001</v>
      </c>
      <c r="E11960">
        <v>2020</v>
      </c>
      <c r="F11960">
        <v>6</v>
      </c>
      <c r="G11960">
        <v>11444</v>
      </c>
      <c r="H11960" s="1" t="s">
        <v>1823</v>
      </c>
      <c r="I11960">
        <v>0</v>
      </c>
      <c r="J11960">
        <f>IF($H11960=0,1,IF($I11960&lt;=1,2,0))</f>
        <v>2</v>
      </c>
      <c r="K11960">
        <v>0</v>
      </c>
      <c r="L11960">
        <f>IF(AND($J11960=0,$K11960=0),0,1)</f>
        <v>1</v>
      </c>
    </row>
    <row r="11961" spans="1:13" x14ac:dyDescent="0.2">
      <c r="A11961" t="s">
        <v>344</v>
      </c>
      <c r="B11961" t="s">
        <v>71</v>
      </c>
      <c r="C11961" t="s">
        <v>72</v>
      </c>
      <c r="D11961">
        <v>6001</v>
      </c>
      <c r="E11961">
        <v>2020</v>
      </c>
      <c r="F11961">
        <v>8</v>
      </c>
      <c r="G11961">
        <v>11447</v>
      </c>
      <c r="H11961" s="1" t="s">
        <v>1823</v>
      </c>
      <c r="I11961">
        <v>0</v>
      </c>
      <c r="J11961">
        <f>IF($H11961=0,1,IF($I11961&lt;=1,2,0))</f>
        <v>2</v>
      </c>
      <c r="K11961">
        <v>0</v>
      </c>
      <c r="L11961">
        <f>IF(AND($J11961=0,$K11961=0),0,1)</f>
        <v>1</v>
      </c>
    </row>
    <row r="11962" spans="1:13" x14ac:dyDescent="0.2">
      <c r="A11962" t="s">
        <v>344</v>
      </c>
      <c r="B11962" t="s">
        <v>71</v>
      </c>
      <c r="C11962" t="s">
        <v>72</v>
      </c>
      <c r="D11962">
        <v>6001</v>
      </c>
      <c r="E11962">
        <v>2020</v>
      </c>
      <c r="F11962">
        <v>10</v>
      </c>
      <c r="G11962">
        <v>11449</v>
      </c>
      <c r="H11962" s="1" t="s">
        <v>1823</v>
      </c>
      <c r="I11962">
        <v>0</v>
      </c>
      <c r="J11962">
        <f>IF($H11962=0,1,IF($I11962&lt;=1,2,0))</f>
        <v>2</v>
      </c>
      <c r="K11962">
        <v>0</v>
      </c>
      <c r="L11962">
        <f>IF(AND($J11962=0,$K11962=0),0,1)</f>
        <v>1</v>
      </c>
    </row>
    <row r="11963" spans="1:13" x14ac:dyDescent="0.2">
      <c r="A11963" t="s">
        <v>344</v>
      </c>
      <c r="B11963" t="s">
        <v>71</v>
      </c>
      <c r="C11963" t="s">
        <v>72</v>
      </c>
      <c r="D11963">
        <v>6001</v>
      </c>
      <c r="E11963">
        <v>2020</v>
      </c>
      <c r="F11963">
        <v>15</v>
      </c>
      <c r="G11963">
        <v>11460</v>
      </c>
      <c r="H11963" s="1" t="s">
        <v>1823</v>
      </c>
      <c r="I11963">
        <v>0</v>
      </c>
      <c r="J11963">
        <f>IF($H11963=0,1,IF($I11963&lt;=1,2,0))</f>
        <v>2</v>
      </c>
      <c r="K11963">
        <v>0</v>
      </c>
      <c r="L11963">
        <f>IF(AND($J11963=0,$K11963=0),0,1)</f>
        <v>1</v>
      </c>
    </row>
    <row r="11964" spans="1:13" x14ac:dyDescent="0.2">
      <c r="A11964" t="s">
        <v>344</v>
      </c>
      <c r="B11964" t="s">
        <v>71</v>
      </c>
      <c r="C11964" t="s">
        <v>72</v>
      </c>
      <c r="D11964">
        <v>6001</v>
      </c>
      <c r="E11964">
        <v>2020</v>
      </c>
      <c r="F11964">
        <v>17</v>
      </c>
      <c r="G11964">
        <v>11465</v>
      </c>
      <c r="H11964" s="1" t="s">
        <v>1823</v>
      </c>
      <c r="I11964">
        <v>0</v>
      </c>
      <c r="J11964">
        <f>IF($H11964=0,1,IF($I11964&lt;=1,2,0))</f>
        <v>2</v>
      </c>
      <c r="K11964">
        <v>0</v>
      </c>
      <c r="L11964">
        <f>IF(AND($J11964=0,$K11964=0),0,1)</f>
        <v>1</v>
      </c>
    </row>
    <row r="11965" spans="1:13" x14ac:dyDescent="0.2">
      <c r="A11965" t="s">
        <v>344</v>
      </c>
      <c r="B11965" t="s">
        <v>71</v>
      </c>
      <c r="C11965" t="s">
        <v>72</v>
      </c>
      <c r="D11965">
        <v>6001</v>
      </c>
      <c r="E11965">
        <v>2020</v>
      </c>
      <c r="F11965">
        <v>18</v>
      </c>
      <c r="G11965">
        <v>21972</v>
      </c>
      <c r="H11965" s="1" t="s">
        <v>1823</v>
      </c>
      <c r="I11965">
        <v>0</v>
      </c>
      <c r="J11965">
        <f>IF($H11965=0,1,IF($I11965&lt;=1,2,0))</f>
        <v>2</v>
      </c>
      <c r="K11965">
        <v>0</v>
      </c>
      <c r="L11965">
        <f>IF(AND($J11965=0,$K11965=0),0,1)</f>
        <v>1</v>
      </c>
    </row>
    <row r="11966" spans="1:13" x14ac:dyDescent="0.2">
      <c r="A11966" t="s">
        <v>344</v>
      </c>
      <c r="B11966" t="s">
        <v>71</v>
      </c>
      <c r="C11966" t="s">
        <v>72</v>
      </c>
      <c r="D11966">
        <v>6001</v>
      </c>
      <c r="E11966">
        <v>2020</v>
      </c>
      <c r="F11966">
        <v>22</v>
      </c>
      <c r="G11966">
        <v>11474</v>
      </c>
      <c r="H11966" s="1" t="s">
        <v>1823</v>
      </c>
      <c r="I11966">
        <v>0</v>
      </c>
      <c r="J11966">
        <f>IF($H11966=0,1,IF($I11966&lt;=1,2,0))</f>
        <v>2</v>
      </c>
      <c r="K11966">
        <v>0</v>
      </c>
      <c r="L11966">
        <f>IF(AND($J11966=0,$K11966=0),0,1)</f>
        <v>1</v>
      </c>
    </row>
    <row r="11967" spans="1:13" x14ac:dyDescent="0.2">
      <c r="A11967" t="s">
        <v>344</v>
      </c>
      <c r="B11967" t="s">
        <v>71</v>
      </c>
      <c r="C11967" t="s">
        <v>72</v>
      </c>
      <c r="D11967">
        <v>6001</v>
      </c>
      <c r="E11967">
        <v>2020</v>
      </c>
      <c r="F11967">
        <v>23</v>
      </c>
      <c r="G11967">
        <v>11475</v>
      </c>
      <c r="H11967" s="1" t="s">
        <v>1823</v>
      </c>
      <c r="I11967">
        <v>0</v>
      </c>
      <c r="J11967">
        <f>IF($H11967=0,1,IF($I11967&lt;=1,2,0))</f>
        <v>2</v>
      </c>
      <c r="K11967">
        <v>0</v>
      </c>
      <c r="L11967">
        <f>IF(AND($J11967=0,$K11967=0),0,1)</f>
        <v>1</v>
      </c>
    </row>
    <row r="11968" spans="1:13" x14ac:dyDescent="0.2">
      <c r="A11968" t="s">
        <v>344</v>
      </c>
      <c r="B11968" t="s">
        <v>71</v>
      </c>
      <c r="C11968" t="s">
        <v>72</v>
      </c>
      <c r="D11968">
        <v>6001</v>
      </c>
      <c r="E11968">
        <v>2020</v>
      </c>
      <c r="F11968">
        <v>24</v>
      </c>
      <c r="G11968">
        <v>11476</v>
      </c>
      <c r="H11968" s="1" t="s">
        <v>1823</v>
      </c>
      <c r="I11968">
        <v>0</v>
      </c>
      <c r="J11968">
        <f>IF($H11968=0,1,IF($I11968&lt;=1,2,0))</f>
        <v>2</v>
      </c>
      <c r="K11968">
        <v>0</v>
      </c>
      <c r="L11968">
        <f>IF(AND($J11968=0,$K11968=0),0,1)</f>
        <v>1</v>
      </c>
    </row>
    <row r="11969" spans="1:12" x14ac:dyDescent="0.2">
      <c r="A11969" t="s">
        <v>344</v>
      </c>
      <c r="B11969" t="s">
        <v>71</v>
      </c>
      <c r="C11969" t="s">
        <v>72</v>
      </c>
      <c r="D11969">
        <v>6001</v>
      </c>
      <c r="E11969">
        <v>2020</v>
      </c>
      <c r="F11969">
        <v>25</v>
      </c>
      <c r="G11969">
        <v>11477</v>
      </c>
      <c r="H11969" s="1" t="s">
        <v>1823</v>
      </c>
      <c r="I11969">
        <v>0</v>
      </c>
      <c r="J11969">
        <f>IF($H11969=0,1,IF($I11969&lt;=1,2,0))</f>
        <v>2</v>
      </c>
      <c r="K11969">
        <v>0</v>
      </c>
      <c r="L11969">
        <f>IF(AND($J11969=0,$K11969=0),0,1)</f>
        <v>1</v>
      </c>
    </row>
    <row r="11970" spans="1:12" x14ac:dyDescent="0.2">
      <c r="A11970" t="s">
        <v>344</v>
      </c>
      <c r="B11970" t="s">
        <v>71</v>
      </c>
      <c r="C11970" t="s">
        <v>72</v>
      </c>
      <c r="D11970">
        <v>6001</v>
      </c>
      <c r="E11970">
        <v>2020</v>
      </c>
      <c r="F11970">
        <v>26</v>
      </c>
      <c r="G11970">
        <v>11479</v>
      </c>
      <c r="H11970" s="1" t="s">
        <v>1823</v>
      </c>
      <c r="I11970">
        <v>0</v>
      </c>
      <c r="J11970">
        <f>IF($H11970=0,1,IF($I11970&lt;=1,2,0))</f>
        <v>2</v>
      </c>
      <c r="K11970">
        <v>0</v>
      </c>
      <c r="L11970">
        <f>IF(AND($J11970=0,$K11970=0),0,1)</f>
        <v>1</v>
      </c>
    </row>
    <row r="11971" spans="1:12" x14ac:dyDescent="0.2">
      <c r="A11971" t="s">
        <v>344</v>
      </c>
      <c r="B11971" t="s">
        <v>71</v>
      </c>
      <c r="C11971" t="s">
        <v>72</v>
      </c>
      <c r="D11971">
        <v>6001</v>
      </c>
      <c r="E11971">
        <v>2020</v>
      </c>
      <c r="F11971">
        <v>27</v>
      </c>
      <c r="G11971">
        <v>11480</v>
      </c>
      <c r="H11971" s="1" t="s">
        <v>1823</v>
      </c>
      <c r="I11971">
        <v>0</v>
      </c>
      <c r="J11971">
        <f>IF($H11971=0,1,IF($I11971&lt;=1,2,0))</f>
        <v>2</v>
      </c>
      <c r="K11971">
        <v>0</v>
      </c>
      <c r="L11971">
        <f>IF(AND($J11971=0,$K11971=0),0,1)</f>
        <v>1</v>
      </c>
    </row>
    <row r="11972" spans="1:12" x14ac:dyDescent="0.2">
      <c r="A11972" t="s">
        <v>344</v>
      </c>
      <c r="B11972" t="s">
        <v>71</v>
      </c>
      <c r="C11972" t="s">
        <v>72</v>
      </c>
      <c r="D11972">
        <v>6001</v>
      </c>
      <c r="E11972">
        <v>2020</v>
      </c>
      <c r="F11972">
        <v>28</v>
      </c>
      <c r="G11972">
        <v>11482</v>
      </c>
      <c r="H11972" s="1" t="s">
        <v>1823</v>
      </c>
      <c r="I11972">
        <v>0</v>
      </c>
      <c r="J11972">
        <f>IF($H11972=0,1,IF($I11972&lt;=1,2,0))</f>
        <v>2</v>
      </c>
      <c r="K11972">
        <v>0</v>
      </c>
      <c r="L11972">
        <f>IF(AND($J11972=0,$K11972=0),0,1)</f>
        <v>1</v>
      </c>
    </row>
    <row r="11973" spans="1:12" x14ac:dyDescent="0.2">
      <c r="A11973" t="s">
        <v>344</v>
      </c>
      <c r="B11973" t="s">
        <v>71</v>
      </c>
      <c r="C11973" t="s">
        <v>72</v>
      </c>
      <c r="D11973">
        <v>6001</v>
      </c>
      <c r="E11973">
        <v>2020</v>
      </c>
      <c r="F11973">
        <v>30</v>
      </c>
      <c r="G11973">
        <v>11485</v>
      </c>
      <c r="H11973" s="1" t="s">
        <v>1823</v>
      </c>
      <c r="I11973">
        <v>0</v>
      </c>
      <c r="J11973">
        <f>IF($H11973=0,1,IF($I11973&lt;=1,2,0))</f>
        <v>2</v>
      </c>
      <c r="K11973">
        <v>0</v>
      </c>
      <c r="L11973">
        <f>IF(AND($J11973=0,$K11973=0),0,1)</f>
        <v>1</v>
      </c>
    </row>
    <row r="11974" spans="1:12" x14ac:dyDescent="0.2">
      <c r="A11974" t="s">
        <v>344</v>
      </c>
      <c r="B11974" t="s">
        <v>71</v>
      </c>
      <c r="C11974" t="s">
        <v>72</v>
      </c>
      <c r="D11974">
        <v>6999</v>
      </c>
      <c r="E11974">
        <v>2020</v>
      </c>
      <c r="F11974">
        <v>1</v>
      </c>
      <c r="G11974">
        <v>22402</v>
      </c>
      <c r="H11974" s="1" t="s">
        <v>221</v>
      </c>
      <c r="I11974">
        <v>4</v>
      </c>
      <c r="J11974">
        <f>IF($H11974=0,1,IF($I11974&lt;=1,2,0))</f>
        <v>0</v>
      </c>
      <c r="K11974">
        <v>9</v>
      </c>
      <c r="L11974">
        <f>IF(AND($J11974=0,$K11974=0),0,1)</f>
        <v>1</v>
      </c>
    </row>
    <row r="11975" spans="1:12" x14ac:dyDescent="0.2">
      <c r="A11975" t="s">
        <v>344</v>
      </c>
      <c r="B11975" t="s">
        <v>71</v>
      </c>
      <c r="C11975" t="s">
        <v>72</v>
      </c>
      <c r="D11975">
        <v>6999</v>
      </c>
      <c r="E11975">
        <v>2020</v>
      </c>
      <c r="F11975">
        <v>2</v>
      </c>
      <c r="G11975">
        <v>22403</v>
      </c>
      <c r="H11975" s="1" t="s">
        <v>221</v>
      </c>
      <c r="I11975">
        <v>4</v>
      </c>
      <c r="J11975">
        <f>IF($H11975=0,1,IF($I11975&lt;=1,2,0))</f>
        <v>0</v>
      </c>
      <c r="K11975">
        <v>9</v>
      </c>
      <c r="L11975">
        <f>IF(AND($J11975=0,$K11975=0),0,1)</f>
        <v>1</v>
      </c>
    </row>
    <row r="11976" spans="1:12" x14ac:dyDescent="0.2">
      <c r="A11976" t="s">
        <v>344</v>
      </c>
      <c r="B11976" t="s">
        <v>71</v>
      </c>
      <c r="C11976" t="s">
        <v>72</v>
      </c>
      <c r="D11976">
        <v>6999</v>
      </c>
      <c r="E11976">
        <v>2020</v>
      </c>
      <c r="F11976">
        <v>3</v>
      </c>
      <c r="G11976">
        <v>22404</v>
      </c>
      <c r="H11976" s="1" t="s">
        <v>221</v>
      </c>
      <c r="I11976">
        <v>0</v>
      </c>
      <c r="J11976">
        <f>IF($H11976=0,1,IF($I11976&lt;=1,2,0))</f>
        <v>2</v>
      </c>
      <c r="K11976">
        <v>9</v>
      </c>
      <c r="L11976">
        <f>IF(AND($J11976=0,$K11976=0),0,1)</f>
        <v>1</v>
      </c>
    </row>
    <row r="11977" spans="1:12" x14ac:dyDescent="0.2">
      <c r="A11977" t="s">
        <v>344</v>
      </c>
      <c r="B11977" t="s">
        <v>71</v>
      </c>
      <c r="C11977" t="s">
        <v>72</v>
      </c>
      <c r="D11977">
        <v>6999</v>
      </c>
      <c r="E11977">
        <v>2020</v>
      </c>
      <c r="F11977">
        <v>4</v>
      </c>
      <c r="G11977">
        <v>22405</v>
      </c>
      <c r="H11977" s="1" t="s">
        <v>221</v>
      </c>
      <c r="I11977">
        <v>0</v>
      </c>
      <c r="J11977">
        <f>IF($H11977=0,1,IF($I11977&lt;=1,2,0))</f>
        <v>2</v>
      </c>
      <c r="K11977">
        <v>9</v>
      </c>
      <c r="L11977">
        <f>IF(AND($J11977=0,$K11977=0),0,1)</f>
        <v>1</v>
      </c>
    </row>
    <row r="11978" spans="1:12" x14ac:dyDescent="0.2">
      <c r="A11978" t="s">
        <v>344</v>
      </c>
      <c r="B11978" t="s">
        <v>71</v>
      </c>
      <c r="C11978" t="s">
        <v>72</v>
      </c>
      <c r="D11978">
        <v>6999</v>
      </c>
      <c r="E11978">
        <v>2020</v>
      </c>
      <c r="F11978">
        <v>5</v>
      </c>
      <c r="G11978">
        <v>22406</v>
      </c>
      <c r="H11978" s="1" t="s">
        <v>221</v>
      </c>
      <c r="I11978">
        <v>0</v>
      </c>
      <c r="J11978">
        <f>IF($H11978=0,1,IF($I11978&lt;=1,2,0))</f>
        <v>2</v>
      </c>
      <c r="K11978">
        <v>9</v>
      </c>
      <c r="L11978">
        <f>IF(AND($J11978=0,$K11978=0),0,1)</f>
        <v>1</v>
      </c>
    </row>
    <row r="11979" spans="1:12" x14ac:dyDescent="0.2">
      <c r="A11979" t="s">
        <v>344</v>
      </c>
      <c r="B11979" t="s">
        <v>71</v>
      </c>
      <c r="C11979" t="s">
        <v>72</v>
      </c>
      <c r="D11979">
        <v>6999</v>
      </c>
      <c r="E11979">
        <v>2020</v>
      </c>
      <c r="F11979">
        <v>6</v>
      </c>
      <c r="G11979">
        <v>22407</v>
      </c>
      <c r="H11979" s="1" t="s">
        <v>221</v>
      </c>
      <c r="I11979">
        <v>0</v>
      </c>
      <c r="J11979">
        <f>IF($H11979=0,1,IF($I11979&lt;=1,2,0))</f>
        <v>2</v>
      </c>
      <c r="K11979">
        <v>9</v>
      </c>
      <c r="L11979">
        <f>IF(AND($J11979=0,$K11979=0),0,1)</f>
        <v>1</v>
      </c>
    </row>
    <row r="11980" spans="1:12" x14ac:dyDescent="0.2">
      <c r="A11980" t="s">
        <v>344</v>
      </c>
      <c r="B11980" t="s">
        <v>71</v>
      </c>
      <c r="C11980" t="s">
        <v>72</v>
      </c>
      <c r="D11980">
        <v>6999</v>
      </c>
      <c r="E11980">
        <v>2020</v>
      </c>
      <c r="F11980">
        <v>7</v>
      </c>
      <c r="G11980">
        <v>22408</v>
      </c>
      <c r="H11980" s="1" t="s">
        <v>221</v>
      </c>
      <c r="I11980">
        <v>0</v>
      </c>
      <c r="J11980">
        <f>IF($H11980=0,1,IF($I11980&lt;=1,2,0))</f>
        <v>2</v>
      </c>
      <c r="K11980">
        <v>9</v>
      </c>
      <c r="L11980">
        <f>IF(AND($J11980=0,$K11980=0),0,1)</f>
        <v>1</v>
      </c>
    </row>
    <row r="11981" spans="1:12" x14ac:dyDescent="0.2">
      <c r="A11981" t="s">
        <v>344</v>
      </c>
      <c r="B11981" t="s">
        <v>71</v>
      </c>
      <c r="C11981" t="s">
        <v>72</v>
      </c>
      <c r="D11981">
        <v>6999</v>
      </c>
      <c r="E11981">
        <v>2020</v>
      </c>
      <c r="F11981">
        <v>8</v>
      </c>
      <c r="G11981">
        <v>24742</v>
      </c>
      <c r="H11981" s="1" t="s">
        <v>221</v>
      </c>
      <c r="I11981">
        <v>0</v>
      </c>
      <c r="J11981">
        <f>IF($H11981=0,1,IF($I11981&lt;=1,2,0))</f>
        <v>2</v>
      </c>
      <c r="K11981">
        <v>9</v>
      </c>
      <c r="L11981">
        <f>IF(AND($J11981=0,$K11981=0),0,1)</f>
        <v>1</v>
      </c>
    </row>
    <row r="11982" spans="1:12" x14ac:dyDescent="0.2">
      <c r="A11982" t="s">
        <v>344</v>
      </c>
      <c r="B11982" t="s">
        <v>71</v>
      </c>
      <c r="C11982" t="s">
        <v>72</v>
      </c>
      <c r="D11982">
        <v>9001</v>
      </c>
      <c r="E11982">
        <v>2020</v>
      </c>
      <c r="F11982">
        <v>21</v>
      </c>
      <c r="G11982">
        <v>11532</v>
      </c>
      <c r="H11982" s="1" t="s">
        <v>1836</v>
      </c>
      <c r="I11982">
        <v>6</v>
      </c>
      <c r="J11982">
        <f>IF($H11982=0,1,IF($I11982&lt;=1,2,0))</f>
        <v>0</v>
      </c>
      <c r="K11982">
        <v>5</v>
      </c>
      <c r="L11982">
        <f>IF(AND($J11982=0,$K11982=0),0,1)</f>
        <v>1</v>
      </c>
    </row>
    <row r="11983" spans="1:12" x14ac:dyDescent="0.2">
      <c r="A11983" t="s">
        <v>344</v>
      </c>
      <c r="B11983" t="s">
        <v>71</v>
      </c>
      <c r="C11983" t="s">
        <v>72</v>
      </c>
      <c r="D11983">
        <v>9001</v>
      </c>
      <c r="E11983">
        <v>2020</v>
      </c>
      <c r="F11983">
        <v>20</v>
      </c>
      <c r="G11983">
        <v>11529</v>
      </c>
      <c r="H11983" s="1" t="s">
        <v>1836</v>
      </c>
      <c r="I11983">
        <v>5</v>
      </c>
      <c r="J11983">
        <f>IF($H11983=0,1,IF($I11983&lt;=1,2,0))</f>
        <v>0</v>
      </c>
      <c r="K11983">
        <v>5</v>
      </c>
      <c r="L11983">
        <f>IF(AND($J11983=0,$K11983=0),0,1)</f>
        <v>1</v>
      </c>
    </row>
    <row r="11984" spans="1:12" x14ac:dyDescent="0.2">
      <c r="A11984" t="s">
        <v>344</v>
      </c>
      <c r="B11984" t="s">
        <v>71</v>
      </c>
      <c r="C11984" t="s">
        <v>72</v>
      </c>
      <c r="D11984">
        <v>9001</v>
      </c>
      <c r="E11984">
        <v>2020</v>
      </c>
      <c r="F11984">
        <v>15</v>
      </c>
      <c r="G11984">
        <v>11518</v>
      </c>
      <c r="H11984" s="1" t="s">
        <v>1836</v>
      </c>
      <c r="I11984">
        <v>4</v>
      </c>
      <c r="J11984">
        <f>IF($H11984=0,1,IF($I11984&lt;=1,2,0))</f>
        <v>0</v>
      </c>
      <c r="K11984">
        <v>5</v>
      </c>
      <c r="L11984">
        <f>IF(AND($J11984=0,$K11984=0),0,1)</f>
        <v>1</v>
      </c>
    </row>
    <row r="11985" spans="1:12" x14ac:dyDescent="0.2">
      <c r="A11985" t="s">
        <v>344</v>
      </c>
      <c r="B11985" t="s">
        <v>71</v>
      </c>
      <c r="C11985" t="s">
        <v>72</v>
      </c>
      <c r="D11985">
        <v>9001</v>
      </c>
      <c r="E11985">
        <v>2020</v>
      </c>
      <c r="F11985">
        <v>2</v>
      </c>
      <c r="G11985">
        <v>11496</v>
      </c>
      <c r="H11985" s="1" t="s">
        <v>1836</v>
      </c>
      <c r="I11985">
        <v>3</v>
      </c>
      <c r="J11985">
        <f>IF($H11985=0,1,IF($I11985&lt;=1,2,0))</f>
        <v>0</v>
      </c>
      <c r="K11985">
        <v>5</v>
      </c>
      <c r="L11985">
        <f>IF(AND($J11985=0,$K11985=0),0,1)</f>
        <v>1</v>
      </c>
    </row>
    <row r="11986" spans="1:12" x14ac:dyDescent="0.2">
      <c r="A11986" t="s">
        <v>344</v>
      </c>
      <c r="B11986" t="s">
        <v>71</v>
      </c>
      <c r="C11986" t="s">
        <v>72</v>
      </c>
      <c r="D11986">
        <v>9001</v>
      </c>
      <c r="E11986">
        <v>2020</v>
      </c>
      <c r="F11986">
        <v>5</v>
      </c>
      <c r="G11986">
        <v>11500</v>
      </c>
      <c r="H11986" s="1" t="s">
        <v>1836</v>
      </c>
      <c r="I11986">
        <v>3</v>
      </c>
      <c r="J11986">
        <f>IF($H11986=0,1,IF($I11986&lt;=1,2,0))</f>
        <v>0</v>
      </c>
      <c r="K11986">
        <v>5</v>
      </c>
      <c r="L11986">
        <f>IF(AND($J11986=0,$K11986=0),0,1)</f>
        <v>1</v>
      </c>
    </row>
    <row r="11987" spans="1:12" x14ac:dyDescent="0.2">
      <c r="A11987" t="s">
        <v>344</v>
      </c>
      <c r="B11987" t="s">
        <v>71</v>
      </c>
      <c r="C11987" t="s">
        <v>72</v>
      </c>
      <c r="D11987">
        <v>9001</v>
      </c>
      <c r="E11987">
        <v>2020</v>
      </c>
      <c r="F11987">
        <v>10</v>
      </c>
      <c r="G11987">
        <v>11507</v>
      </c>
      <c r="H11987" s="1" t="s">
        <v>1836</v>
      </c>
      <c r="I11987">
        <v>3</v>
      </c>
      <c r="J11987">
        <f>IF($H11987=0,1,IF($I11987&lt;=1,2,0))</f>
        <v>0</v>
      </c>
      <c r="K11987">
        <v>5</v>
      </c>
      <c r="L11987">
        <f>IF(AND($J11987=0,$K11987=0),0,1)</f>
        <v>1</v>
      </c>
    </row>
    <row r="11988" spans="1:12" x14ac:dyDescent="0.2">
      <c r="A11988" t="s">
        <v>344</v>
      </c>
      <c r="B11988" t="s">
        <v>71</v>
      </c>
      <c r="C11988" t="s">
        <v>72</v>
      </c>
      <c r="D11988">
        <v>9001</v>
      </c>
      <c r="E11988">
        <v>2020</v>
      </c>
      <c r="F11988">
        <v>18</v>
      </c>
      <c r="G11988">
        <v>11522</v>
      </c>
      <c r="H11988" s="1" t="s">
        <v>1836</v>
      </c>
      <c r="I11988">
        <v>3</v>
      </c>
      <c r="J11988">
        <f>IF($H11988=0,1,IF($I11988&lt;=1,2,0))</f>
        <v>0</v>
      </c>
      <c r="K11988">
        <v>5</v>
      </c>
      <c r="L11988">
        <f>IF(AND($J11988=0,$K11988=0),0,1)</f>
        <v>1</v>
      </c>
    </row>
    <row r="11989" spans="1:12" x14ac:dyDescent="0.2">
      <c r="A11989" t="s">
        <v>344</v>
      </c>
      <c r="B11989" t="s">
        <v>71</v>
      </c>
      <c r="C11989" t="s">
        <v>72</v>
      </c>
      <c r="D11989">
        <v>9001</v>
      </c>
      <c r="E11989">
        <v>2020</v>
      </c>
      <c r="F11989">
        <v>7</v>
      </c>
      <c r="G11989">
        <v>11502</v>
      </c>
      <c r="H11989" s="1" t="s">
        <v>1836</v>
      </c>
      <c r="I11989">
        <v>2</v>
      </c>
      <c r="J11989">
        <f>IF($H11989=0,1,IF($I11989&lt;=1,2,0))</f>
        <v>0</v>
      </c>
      <c r="K11989">
        <v>5</v>
      </c>
      <c r="L11989">
        <f>IF(AND($J11989=0,$K11989=0),0,1)</f>
        <v>1</v>
      </c>
    </row>
    <row r="11990" spans="1:12" x14ac:dyDescent="0.2">
      <c r="A11990" t="s">
        <v>344</v>
      </c>
      <c r="B11990" t="s">
        <v>71</v>
      </c>
      <c r="C11990" t="s">
        <v>72</v>
      </c>
      <c r="D11990">
        <v>9001</v>
      </c>
      <c r="E11990">
        <v>2020</v>
      </c>
      <c r="F11990">
        <v>12</v>
      </c>
      <c r="G11990">
        <v>11511</v>
      </c>
      <c r="H11990" s="1" t="s">
        <v>1836</v>
      </c>
      <c r="I11990">
        <v>2</v>
      </c>
      <c r="J11990">
        <f>IF($H11990=0,1,IF($I11990&lt;=1,2,0))</f>
        <v>0</v>
      </c>
      <c r="K11990">
        <v>5</v>
      </c>
      <c r="L11990">
        <f>IF(AND($J11990=0,$K11990=0),0,1)</f>
        <v>1</v>
      </c>
    </row>
    <row r="11991" spans="1:12" x14ac:dyDescent="0.2">
      <c r="A11991" t="s">
        <v>344</v>
      </c>
      <c r="B11991" t="s">
        <v>71</v>
      </c>
      <c r="C11991" t="s">
        <v>72</v>
      </c>
      <c r="D11991">
        <v>9001</v>
      </c>
      <c r="E11991">
        <v>2020</v>
      </c>
      <c r="F11991">
        <v>13</v>
      </c>
      <c r="G11991">
        <v>11512</v>
      </c>
      <c r="H11991" s="1" t="s">
        <v>1836</v>
      </c>
      <c r="I11991">
        <v>2</v>
      </c>
      <c r="J11991">
        <f>IF($H11991=0,1,IF($I11991&lt;=1,2,0))</f>
        <v>0</v>
      </c>
      <c r="K11991">
        <v>5</v>
      </c>
      <c r="L11991">
        <f>IF(AND($J11991=0,$K11991=0),0,1)</f>
        <v>1</v>
      </c>
    </row>
    <row r="11992" spans="1:12" x14ac:dyDescent="0.2">
      <c r="A11992" t="s">
        <v>344</v>
      </c>
      <c r="B11992" t="s">
        <v>71</v>
      </c>
      <c r="C11992" t="s">
        <v>72</v>
      </c>
      <c r="D11992">
        <v>9001</v>
      </c>
      <c r="E11992">
        <v>2020</v>
      </c>
      <c r="F11992">
        <v>16</v>
      </c>
      <c r="G11992">
        <v>11519</v>
      </c>
      <c r="H11992" s="1" t="s">
        <v>1836</v>
      </c>
      <c r="I11992">
        <v>2</v>
      </c>
      <c r="J11992">
        <f>IF($H11992=0,1,IF($I11992&lt;=1,2,0))</f>
        <v>0</v>
      </c>
      <c r="K11992">
        <v>5</v>
      </c>
      <c r="L11992">
        <f>IF(AND($J11992=0,$K11992=0),0,1)</f>
        <v>1</v>
      </c>
    </row>
    <row r="11993" spans="1:12" x14ac:dyDescent="0.2">
      <c r="A11993" t="s">
        <v>344</v>
      </c>
      <c r="B11993" t="s">
        <v>71</v>
      </c>
      <c r="C11993" t="s">
        <v>72</v>
      </c>
      <c r="D11993">
        <v>9001</v>
      </c>
      <c r="E11993">
        <v>2020</v>
      </c>
      <c r="F11993">
        <v>1</v>
      </c>
      <c r="G11993">
        <v>11493</v>
      </c>
      <c r="H11993" s="1" t="s">
        <v>1836</v>
      </c>
      <c r="I11993">
        <v>1</v>
      </c>
      <c r="J11993">
        <f>IF($H11993=0,1,IF($I11993&lt;=1,2,0))</f>
        <v>2</v>
      </c>
      <c r="K11993">
        <v>5</v>
      </c>
      <c r="L11993">
        <f>IF(AND($J11993=0,$K11993=0),0,1)</f>
        <v>1</v>
      </c>
    </row>
    <row r="11994" spans="1:12" x14ac:dyDescent="0.2">
      <c r="A11994" t="s">
        <v>344</v>
      </c>
      <c r="B11994" t="s">
        <v>71</v>
      </c>
      <c r="C11994" t="s">
        <v>72</v>
      </c>
      <c r="D11994">
        <v>9001</v>
      </c>
      <c r="E11994">
        <v>2020</v>
      </c>
      <c r="F11994">
        <v>9</v>
      </c>
      <c r="G11994">
        <v>11506</v>
      </c>
      <c r="H11994" s="1" t="s">
        <v>1836</v>
      </c>
      <c r="I11994">
        <v>1</v>
      </c>
      <c r="J11994">
        <f>IF($H11994=0,1,IF($I11994&lt;=1,2,0))</f>
        <v>2</v>
      </c>
      <c r="K11994">
        <v>5</v>
      </c>
      <c r="L11994">
        <f>IF(AND($J11994=0,$K11994=0),0,1)</f>
        <v>1</v>
      </c>
    </row>
    <row r="11995" spans="1:12" x14ac:dyDescent="0.2">
      <c r="A11995" t="s">
        <v>344</v>
      </c>
      <c r="B11995" t="s">
        <v>71</v>
      </c>
      <c r="C11995" t="s">
        <v>72</v>
      </c>
      <c r="D11995">
        <v>9001</v>
      </c>
      <c r="E11995">
        <v>2020</v>
      </c>
      <c r="F11995">
        <v>14</v>
      </c>
      <c r="G11995">
        <v>11515</v>
      </c>
      <c r="H11995" s="1" t="s">
        <v>1836</v>
      </c>
      <c r="I11995">
        <v>1</v>
      </c>
      <c r="J11995">
        <f>IF($H11995=0,1,IF($I11995&lt;=1,2,0))</f>
        <v>2</v>
      </c>
      <c r="K11995">
        <v>5</v>
      </c>
      <c r="L11995">
        <f>IF(AND($J11995=0,$K11995=0),0,1)</f>
        <v>1</v>
      </c>
    </row>
    <row r="11996" spans="1:12" x14ac:dyDescent="0.2">
      <c r="A11996" t="s">
        <v>344</v>
      </c>
      <c r="B11996" t="s">
        <v>71</v>
      </c>
      <c r="C11996" t="s">
        <v>72</v>
      </c>
      <c r="D11996">
        <v>9001</v>
      </c>
      <c r="E11996">
        <v>2020</v>
      </c>
      <c r="F11996">
        <v>19</v>
      </c>
      <c r="G11996">
        <v>11527</v>
      </c>
      <c r="H11996" s="1" t="s">
        <v>1836</v>
      </c>
      <c r="I11996">
        <v>1</v>
      </c>
      <c r="J11996">
        <f>IF($H11996=0,1,IF($I11996&lt;=1,2,0))</f>
        <v>2</v>
      </c>
      <c r="K11996">
        <v>5</v>
      </c>
      <c r="L11996">
        <f>IF(AND($J11996=0,$K11996=0),0,1)</f>
        <v>1</v>
      </c>
    </row>
    <row r="11997" spans="1:12" x14ac:dyDescent="0.2">
      <c r="A11997" t="s">
        <v>344</v>
      </c>
      <c r="B11997" t="s">
        <v>71</v>
      </c>
      <c r="C11997" t="s">
        <v>72</v>
      </c>
      <c r="D11997">
        <v>9001</v>
      </c>
      <c r="E11997">
        <v>2020</v>
      </c>
      <c r="F11997">
        <v>26</v>
      </c>
      <c r="G11997">
        <v>11540</v>
      </c>
      <c r="H11997" s="1" t="s">
        <v>1836</v>
      </c>
      <c r="I11997">
        <v>1</v>
      </c>
      <c r="J11997">
        <f>IF($H11997=0,1,IF($I11997&lt;=1,2,0))</f>
        <v>2</v>
      </c>
      <c r="K11997">
        <v>5</v>
      </c>
      <c r="L11997">
        <f>IF(AND($J11997=0,$K11997=0),0,1)</f>
        <v>1</v>
      </c>
    </row>
    <row r="11998" spans="1:12" x14ac:dyDescent="0.2">
      <c r="A11998" t="s">
        <v>344</v>
      </c>
      <c r="B11998" t="s">
        <v>71</v>
      </c>
      <c r="C11998" t="s">
        <v>72</v>
      </c>
      <c r="D11998">
        <v>9001</v>
      </c>
      <c r="E11998">
        <v>2020</v>
      </c>
      <c r="F11998">
        <v>30</v>
      </c>
      <c r="G11998">
        <v>11549</v>
      </c>
      <c r="H11998" s="1" t="s">
        <v>1836</v>
      </c>
      <c r="I11998">
        <v>1</v>
      </c>
      <c r="J11998">
        <f>IF($H11998=0,1,IF($I11998&lt;=1,2,0))</f>
        <v>2</v>
      </c>
      <c r="K11998">
        <v>5</v>
      </c>
      <c r="L11998">
        <f>IF(AND($J11998=0,$K11998=0),0,1)</f>
        <v>1</v>
      </c>
    </row>
    <row r="11999" spans="1:12" x14ac:dyDescent="0.2">
      <c r="A11999" t="s">
        <v>344</v>
      </c>
      <c r="B11999" t="s">
        <v>71</v>
      </c>
      <c r="C11999" t="s">
        <v>72</v>
      </c>
      <c r="D11999">
        <v>9001</v>
      </c>
      <c r="E11999">
        <v>2020</v>
      </c>
      <c r="F11999">
        <v>32</v>
      </c>
      <c r="G11999">
        <v>24511</v>
      </c>
      <c r="H11999" s="1" t="s">
        <v>1836</v>
      </c>
      <c r="I11999">
        <v>1</v>
      </c>
      <c r="J11999">
        <f>IF($H11999=0,1,IF($I11999&lt;=1,2,0))</f>
        <v>2</v>
      </c>
      <c r="K11999">
        <v>5</v>
      </c>
      <c r="L11999">
        <f>IF(AND($J11999=0,$K11999=0),0,1)</f>
        <v>1</v>
      </c>
    </row>
    <row r="12000" spans="1:12" x14ac:dyDescent="0.2">
      <c r="A12000" t="s">
        <v>344</v>
      </c>
      <c r="B12000" t="s">
        <v>71</v>
      </c>
      <c r="C12000" t="s">
        <v>72</v>
      </c>
      <c r="D12000">
        <v>9001</v>
      </c>
      <c r="E12000">
        <v>2020</v>
      </c>
      <c r="F12000">
        <v>3</v>
      </c>
      <c r="G12000">
        <v>11497</v>
      </c>
      <c r="H12000" s="1" t="s">
        <v>1836</v>
      </c>
      <c r="I12000">
        <v>0</v>
      </c>
      <c r="J12000">
        <f>IF($H12000=0,1,IF($I12000&lt;=1,2,0))</f>
        <v>2</v>
      </c>
      <c r="K12000">
        <v>5</v>
      </c>
      <c r="L12000">
        <f>IF(AND($J12000=0,$K12000=0),0,1)</f>
        <v>1</v>
      </c>
    </row>
    <row r="12001" spans="1:13" x14ac:dyDescent="0.2">
      <c r="A12001" t="s">
        <v>344</v>
      </c>
      <c r="B12001" t="s">
        <v>71</v>
      </c>
      <c r="C12001" t="s">
        <v>72</v>
      </c>
      <c r="D12001">
        <v>9001</v>
      </c>
      <c r="E12001">
        <v>2020</v>
      </c>
      <c r="F12001">
        <v>4</v>
      </c>
      <c r="G12001">
        <v>11499</v>
      </c>
      <c r="H12001" s="1" t="s">
        <v>1836</v>
      </c>
      <c r="I12001">
        <v>0</v>
      </c>
      <c r="J12001">
        <f>IF($H12001=0,1,IF($I12001&lt;=1,2,0))</f>
        <v>2</v>
      </c>
      <c r="K12001">
        <v>5</v>
      </c>
      <c r="L12001">
        <f>IF(AND($J12001=0,$K12001=0),0,1)</f>
        <v>1</v>
      </c>
    </row>
    <row r="12002" spans="1:13" x14ac:dyDescent="0.2">
      <c r="A12002" t="s">
        <v>344</v>
      </c>
      <c r="B12002" t="s">
        <v>71</v>
      </c>
      <c r="C12002" t="s">
        <v>72</v>
      </c>
      <c r="D12002">
        <v>9001</v>
      </c>
      <c r="E12002">
        <v>2020</v>
      </c>
      <c r="F12002">
        <v>6</v>
      </c>
      <c r="G12002">
        <v>11501</v>
      </c>
      <c r="H12002" s="1" t="s">
        <v>1836</v>
      </c>
      <c r="I12002">
        <v>0</v>
      </c>
      <c r="J12002">
        <f>IF($H12002=0,1,IF($I12002&lt;=1,2,0))</f>
        <v>2</v>
      </c>
      <c r="K12002">
        <v>5</v>
      </c>
      <c r="L12002">
        <f>IF(AND($J12002=0,$K12002=0),0,1)</f>
        <v>1</v>
      </c>
    </row>
    <row r="12003" spans="1:13" x14ac:dyDescent="0.2">
      <c r="A12003" t="s">
        <v>344</v>
      </c>
      <c r="B12003" t="s">
        <v>71</v>
      </c>
      <c r="C12003" t="s">
        <v>72</v>
      </c>
      <c r="D12003">
        <v>9001</v>
      </c>
      <c r="E12003">
        <v>2020</v>
      </c>
      <c r="F12003">
        <v>8</v>
      </c>
      <c r="G12003">
        <v>11504</v>
      </c>
      <c r="H12003" s="1" t="s">
        <v>1836</v>
      </c>
      <c r="I12003">
        <v>0</v>
      </c>
      <c r="J12003">
        <f>IF($H12003=0,1,IF($I12003&lt;=1,2,0))</f>
        <v>2</v>
      </c>
      <c r="K12003">
        <v>5</v>
      </c>
      <c r="L12003">
        <f>IF(AND($J12003=0,$K12003=0),0,1)</f>
        <v>1</v>
      </c>
    </row>
    <row r="12004" spans="1:13" x14ac:dyDescent="0.2">
      <c r="A12004" t="s">
        <v>344</v>
      </c>
      <c r="B12004" t="s">
        <v>71</v>
      </c>
      <c r="C12004" t="s">
        <v>72</v>
      </c>
      <c r="D12004">
        <v>9001</v>
      </c>
      <c r="E12004">
        <v>2020</v>
      </c>
      <c r="F12004">
        <v>11</v>
      </c>
      <c r="G12004">
        <v>11509</v>
      </c>
      <c r="H12004" s="1" t="s">
        <v>1836</v>
      </c>
      <c r="I12004">
        <v>0</v>
      </c>
      <c r="J12004">
        <f>IF($H12004=0,1,IF($I12004&lt;=1,2,0))</f>
        <v>2</v>
      </c>
      <c r="K12004">
        <v>5</v>
      </c>
      <c r="L12004">
        <f>IF(AND($J12004=0,$K12004=0),0,1)</f>
        <v>1</v>
      </c>
    </row>
    <row r="12005" spans="1:13" x14ac:dyDescent="0.2">
      <c r="A12005" t="s">
        <v>344</v>
      </c>
      <c r="B12005" t="s">
        <v>71</v>
      </c>
      <c r="C12005" t="s">
        <v>72</v>
      </c>
      <c r="D12005">
        <v>9001</v>
      </c>
      <c r="E12005">
        <v>2020</v>
      </c>
      <c r="F12005">
        <v>17</v>
      </c>
      <c r="G12005">
        <v>11521</v>
      </c>
      <c r="H12005" s="1" t="s">
        <v>1836</v>
      </c>
      <c r="I12005">
        <v>0</v>
      </c>
      <c r="J12005">
        <f>IF($H12005=0,1,IF($I12005&lt;=1,2,0))</f>
        <v>2</v>
      </c>
      <c r="K12005">
        <v>5</v>
      </c>
      <c r="L12005">
        <f>IF(AND($J12005=0,$K12005=0),0,1)</f>
        <v>1</v>
      </c>
    </row>
    <row r="12006" spans="1:13" x14ac:dyDescent="0.2">
      <c r="A12006" t="s">
        <v>344</v>
      </c>
      <c r="B12006" t="s">
        <v>71</v>
      </c>
      <c r="C12006" t="s">
        <v>72</v>
      </c>
      <c r="D12006">
        <v>9001</v>
      </c>
      <c r="E12006">
        <v>2020</v>
      </c>
      <c r="F12006">
        <v>22</v>
      </c>
      <c r="G12006">
        <v>21973</v>
      </c>
      <c r="H12006" s="1" t="s">
        <v>1836</v>
      </c>
      <c r="I12006">
        <v>0</v>
      </c>
      <c r="J12006">
        <f>IF($H12006=0,1,IF($I12006&lt;=1,2,0))</f>
        <v>2</v>
      </c>
      <c r="K12006">
        <v>5</v>
      </c>
      <c r="L12006">
        <f>IF(AND($J12006=0,$K12006=0),0,1)</f>
        <v>1</v>
      </c>
    </row>
    <row r="12007" spans="1:13" x14ac:dyDescent="0.2">
      <c r="A12007" t="s">
        <v>344</v>
      </c>
      <c r="B12007" t="s">
        <v>71</v>
      </c>
      <c r="C12007" t="s">
        <v>72</v>
      </c>
      <c r="D12007">
        <v>9001</v>
      </c>
      <c r="E12007">
        <v>2020</v>
      </c>
      <c r="F12007">
        <v>23</v>
      </c>
      <c r="G12007">
        <v>11534</v>
      </c>
      <c r="H12007" s="1" t="s">
        <v>1836</v>
      </c>
      <c r="I12007">
        <v>0</v>
      </c>
      <c r="J12007">
        <f>IF($H12007=0,1,IF($I12007&lt;=1,2,0))</f>
        <v>2</v>
      </c>
      <c r="K12007">
        <v>5</v>
      </c>
      <c r="L12007">
        <f>IF(AND($J12007=0,$K12007=0),0,1)</f>
        <v>1</v>
      </c>
    </row>
    <row r="12008" spans="1:13" x14ac:dyDescent="0.2">
      <c r="A12008" t="s">
        <v>344</v>
      </c>
      <c r="B12008" t="s">
        <v>71</v>
      </c>
      <c r="C12008" t="s">
        <v>72</v>
      </c>
      <c r="D12008">
        <v>9001</v>
      </c>
      <c r="E12008">
        <v>2020</v>
      </c>
      <c r="F12008">
        <v>24</v>
      </c>
      <c r="G12008">
        <v>11538</v>
      </c>
      <c r="H12008" s="1" t="s">
        <v>1836</v>
      </c>
      <c r="I12008">
        <v>0</v>
      </c>
      <c r="J12008">
        <f>IF($H12008=0,1,IF($I12008&lt;=1,2,0))</f>
        <v>2</v>
      </c>
      <c r="K12008">
        <v>5</v>
      </c>
      <c r="L12008">
        <f>IF(AND($J12008=0,$K12008=0),0,1)</f>
        <v>1</v>
      </c>
    </row>
    <row r="12009" spans="1:13" x14ac:dyDescent="0.2">
      <c r="A12009" t="s">
        <v>344</v>
      </c>
      <c r="B12009" t="s">
        <v>71</v>
      </c>
      <c r="C12009" t="s">
        <v>72</v>
      </c>
      <c r="D12009">
        <v>9001</v>
      </c>
      <c r="E12009">
        <v>2020</v>
      </c>
      <c r="F12009">
        <v>25</v>
      </c>
      <c r="G12009">
        <v>11537</v>
      </c>
      <c r="H12009" s="1" t="s">
        <v>1836</v>
      </c>
      <c r="I12009">
        <v>0</v>
      </c>
      <c r="J12009">
        <f>IF($H12009=0,1,IF($I12009&lt;=1,2,0))</f>
        <v>2</v>
      </c>
      <c r="K12009">
        <v>5</v>
      </c>
      <c r="L12009">
        <f>IF(AND($J12009=0,$K12009=0),0,1)</f>
        <v>1</v>
      </c>
    </row>
    <row r="12010" spans="1:13" x14ac:dyDescent="0.2">
      <c r="A12010" t="s">
        <v>344</v>
      </c>
      <c r="B12010" t="s">
        <v>71</v>
      </c>
      <c r="C12010" t="s">
        <v>72</v>
      </c>
      <c r="D12010">
        <v>9001</v>
      </c>
      <c r="E12010">
        <v>2020</v>
      </c>
      <c r="F12010">
        <v>27</v>
      </c>
      <c r="G12010">
        <v>11544</v>
      </c>
      <c r="H12010" s="1" t="s">
        <v>1836</v>
      </c>
      <c r="I12010">
        <v>0</v>
      </c>
      <c r="J12010">
        <f>IF($H12010=0,1,IF($I12010&lt;=1,2,0))</f>
        <v>2</v>
      </c>
      <c r="K12010">
        <v>5</v>
      </c>
      <c r="L12010">
        <f>IF(AND($J12010=0,$K12010=0),0,1)</f>
        <v>1</v>
      </c>
    </row>
    <row r="12011" spans="1:13" x14ac:dyDescent="0.2">
      <c r="A12011" t="s">
        <v>344</v>
      </c>
      <c r="B12011" t="s">
        <v>71</v>
      </c>
      <c r="C12011" t="s">
        <v>72</v>
      </c>
      <c r="D12011">
        <v>9001</v>
      </c>
      <c r="E12011">
        <v>2020</v>
      </c>
      <c r="F12011">
        <v>28</v>
      </c>
      <c r="G12011">
        <v>11546</v>
      </c>
      <c r="H12011" s="1" t="s">
        <v>1836</v>
      </c>
      <c r="I12011">
        <v>0</v>
      </c>
      <c r="J12011">
        <f>IF($H12011=0,1,IF($I12011&lt;=1,2,0))</f>
        <v>2</v>
      </c>
      <c r="K12011">
        <v>5</v>
      </c>
      <c r="L12011">
        <f>IF(AND($J12011=0,$K12011=0),0,1)</f>
        <v>1</v>
      </c>
    </row>
    <row r="12012" spans="1:13" x14ac:dyDescent="0.2">
      <c r="A12012" t="s">
        <v>344</v>
      </c>
      <c r="B12012" t="s">
        <v>71</v>
      </c>
      <c r="C12012" t="s">
        <v>72</v>
      </c>
      <c r="D12012">
        <v>9001</v>
      </c>
      <c r="E12012">
        <v>2020</v>
      </c>
      <c r="F12012">
        <v>29</v>
      </c>
      <c r="G12012">
        <v>11547</v>
      </c>
      <c r="H12012" s="1" t="s">
        <v>1836</v>
      </c>
      <c r="I12012">
        <v>0</v>
      </c>
      <c r="J12012">
        <f>IF($H12012=0,1,IF($I12012&lt;=1,2,0))</f>
        <v>2</v>
      </c>
      <c r="K12012">
        <v>5</v>
      </c>
      <c r="L12012">
        <f>IF(AND($J12012=0,$K12012=0),0,1)</f>
        <v>1</v>
      </c>
    </row>
    <row r="12013" spans="1:13" x14ac:dyDescent="0.2">
      <c r="A12013" t="s">
        <v>345</v>
      </c>
      <c r="B12013" t="s">
        <v>71</v>
      </c>
      <c r="C12013" t="s">
        <v>72</v>
      </c>
      <c r="D12013">
        <v>1102</v>
      </c>
      <c r="E12013">
        <v>2020</v>
      </c>
      <c r="F12013" t="s">
        <v>60</v>
      </c>
      <c r="G12013">
        <v>24625</v>
      </c>
      <c r="H12013" s="1">
        <v>0</v>
      </c>
      <c r="I12013">
        <v>81</v>
      </c>
      <c r="J12013">
        <f>IF($H12013=0,1,IF($I12013&lt;=1,2,0))</f>
        <v>1</v>
      </c>
      <c r="K12013">
        <v>0</v>
      </c>
      <c r="L12013">
        <f>IF(AND($J12013=0,$K12013=0),0,1)</f>
        <v>1</v>
      </c>
      <c r="M12013" t="s">
        <v>1001</v>
      </c>
    </row>
    <row r="12014" spans="1:13" x14ac:dyDescent="0.2">
      <c r="A12014" t="s">
        <v>345</v>
      </c>
      <c r="B12014" t="s">
        <v>71</v>
      </c>
      <c r="C12014" t="s">
        <v>72</v>
      </c>
      <c r="D12014">
        <v>1102</v>
      </c>
      <c r="E12014">
        <v>2020</v>
      </c>
      <c r="F12014" t="s">
        <v>79</v>
      </c>
      <c r="G12014">
        <v>24628</v>
      </c>
      <c r="H12014" s="1">
        <v>0</v>
      </c>
      <c r="I12014">
        <v>61</v>
      </c>
      <c r="J12014">
        <f>IF($H12014=0,1,IF($I12014&lt;=1,2,0))</f>
        <v>1</v>
      </c>
      <c r="K12014">
        <v>0</v>
      </c>
      <c r="L12014">
        <f>IF(AND($J12014=0,$K12014=0),0,1)</f>
        <v>1</v>
      </c>
      <c r="M12014" t="s">
        <v>1004</v>
      </c>
    </row>
    <row r="12015" spans="1:13" x14ac:dyDescent="0.2">
      <c r="A12015" t="s">
        <v>345</v>
      </c>
      <c r="B12015" t="s">
        <v>71</v>
      </c>
      <c r="C12015" t="s">
        <v>72</v>
      </c>
      <c r="D12015">
        <v>1102</v>
      </c>
      <c r="E12015">
        <v>2020</v>
      </c>
      <c r="F12015" t="s">
        <v>82</v>
      </c>
      <c r="G12015">
        <v>24631</v>
      </c>
      <c r="H12015" s="1">
        <v>0</v>
      </c>
      <c r="I12015">
        <v>58</v>
      </c>
      <c r="J12015">
        <f>IF($H12015=0,1,IF($I12015&lt;=1,2,0))</f>
        <v>1</v>
      </c>
      <c r="K12015">
        <v>0</v>
      </c>
      <c r="L12015">
        <f>IF(AND($J12015=0,$K12015=0),0,1)</f>
        <v>1</v>
      </c>
      <c r="M12015" t="s">
        <v>1007</v>
      </c>
    </row>
    <row r="12016" spans="1:13" x14ac:dyDescent="0.2">
      <c r="A12016" t="s">
        <v>345</v>
      </c>
      <c r="B12016" t="s">
        <v>71</v>
      </c>
      <c r="C12016" t="s">
        <v>72</v>
      </c>
      <c r="D12016">
        <v>1102</v>
      </c>
      <c r="E12016">
        <v>2020</v>
      </c>
      <c r="F12016" t="s">
        <v>81</v>
      </c>
      <c r="G12016">
        <v>24630</v>
      </c>
      <c r="H12016" s="1">
        <v>0</v>
      </c>
      <c r="I12016">
        <v>34</v>
      </c>
      <c r="J12016">
        <f>IF($H12016=0,1,IF($I12016&lt;=1,2,0))</f>
        <v>1</v>
      </c>
      <c r="K12016">
        <v>0</v>
      </c>
      <c r="L12016">
        <f>IF(AND($J12016=0,$K12016=0),0,1)</f>
        <v>1</v>
      </c>
      <c r="M12016" t="s">
        <v>1006</v>
      </c>
    </row>
    <row r="12017" spans="1:13" x14ac:dyDescent="0.2">
      <c r="A12017" t="s">
        <v>345</v>
      </c>
      <c r="B12017" t="s">
        <v>71</v>
      </c>
      <c r="C12017" t="s">
        <v>72</v>
      </c>
      <c r="D12017">
        <v>1102</v>
      </c>
      <c r="E12017">
        <v>2020</v>
      </c>
      <c r="F12017" t="s">
        <v>83</v>
      </c>
      <c r="G12017">
        <v>24632</v>
      </c>
      <c r="H12017" s="1">
        <v>0</v>
      </c>
      <c r="I12017">
        <v>33</v>
      </c>
      <c r="J12017">
        <f>IF($H12017=0,1,IF($I12017&lt;=1,2,0))</f>
        <v>1</v>
      </c>
      <c r="K12017">
        <v>0</v>
      </c>
      <c r="L12017">
        <f>IF(AND($J12017=0,$K12017=0),0,1)</f>
        <v>1</v>
      </c>
      <c r="M12017" t="s">
        <v>1997</v>
      </c>
    </row>
    <row r="12018" spans="1:13" x14ac:dyDescent="0.2">
      <c r="A12018" t="s">
        <v>345</v>
      </c>
      <c r="B12018" t="s">
        <v>71</v>
      </c>
      <c r="C12018" t="s">
        <v>72</v>
      </c>
      <c r="D12018">
        <v>1102</v>
      </c>
      <c r="E12018">
        <v>2020</v>
      </c>
      <c r="F12018" t="s">
        <v>59</v>
      </c>
      <c r="G12018">
        <v>24624</v>
      </c>
      <c r="H12018" s="1">
        <v>0</v>
      </c>
      <c r="I12018">
        <v>29</v>
      </c>
      <c r="J12018">
        <f>IF($H12018=0,1,IF($I12018&lt;=1,2,0))</f>
        <v>1</v>
      </c>
      <c r="K12018">
        <v>0</v>
      </c>
      <c r="L12018">
        <f>IF(AND($J12018=0,$K12018=0),0,1)</f>
        <v>1</v>
      </c>
      <c r="M12018" t="s">
        <v>1000</v>
      </c>
    </row>
    <row r="12019" spans="1:13" x14ac:dyDescent="0.2">
      <c r="A12019" t="s">
        <v>345</v>
      </c>
      <c r="B12019" t="s">
        <v>71</v>
      </c>
      <c r="C12019" t="s">
        <v>72</v>
      </c>
      <c r="D12019">
        <v>1102</v>
      </c>
      <c r="E12019">
        <v>2020</v>
      </c>
      <c r="F12019" t="s">
        <v>80</v>
      </c>
      <c r="G12019">
        <v>24629</v>
      </c>
      <c r="H12019" s="1">
        <v>0</v>
      </c>
      <c r="I12019">
        <v>22</v>
      </c>
      <c r="J12019">
        <f>IF($H12019=0,1,IF($I12019&lt;=1,2,0))</f>
        <v>1</v>
      </c>
      <c r="K12019">
        <v>0</v>
      </c>
      <c r="L12019">
        <f>IF(AND($J12019=0,$K12019=0),0,1)</f>
        <v>1</v>
      </c>
      <c r="M12019" t="s">
        <v>1005</v>
      </c>
    </row>
    <row r="12020" spans="1:13" x14ac:dyDescent="0.2">
      <c r="A12020" t="s">
        <v>345</v>
      </c>
      <c r="B12020" t="s">
        <v>71</v>
      </c>
      <c r="C12020" t="s">
        <v>72</v>
      </c>
      <c r="D12020">
        <v>1102</v>
      </c>
      <c r="E12020">
        <v>2020</v>
      </c>
      <c r="F12020" t="s">
        <v>77</v>
      </c>
      <c r="G12020">
        <v>24626</v>
      </c>
      <c r="H12020" s="1">
        <v>0</v>
      </c>
      <c r="I12020">
        <v>15</v>
      </c>
      <c r="J12020">
        <f>IF($H12020=0,1,IF($I12020&lt;=1,2,0))</f>
        <v>1</v>
      </c>
      <c r="K12020">
        <v>0</v>
      </c>
      <c r="L12020">
        <f>IF(AND($J12020=0,$K12020=0),0,1)</f>
        <v>1</v>
      </c>
      <c r="M12020" t="s">
        <v>1002</v>
      </c>
    </row>
    <row r="12021" spans="1:13" x14ac:dyDescent="0.2">
      <c r="A12021" t="s">
        <v>345</v>
      </c>
      <c r="B12021" t="s">
        <v>71</v>
      </c>
      <c r="C12021" t="s">
        <v>72</v>
      </c>
      <c r="D12021">
        <v>1102</v>
      </c>
      <c r="E12021">
        <v>2020</v>
      </c>
      <c r="F12021" t="s">
        <v>1008</v>
      </c>
      <c r="G12021">
        <v>24835</v>
      </c>
      <c r="H12021" s="1">
        <v>0</v>
      </c>
      <c r="I12021">
        <v>7</v>
      </c>
      <c r="J12021">
        <f>IF($H12021=0,1,IF($I12021&lt;=1,2,0))</f>
        <v>1</v>
      </c>
      <c r="K12021">
        <v>0</v>
      </c>
      <c r="L12021">
        <f>IF(AND($J12021=0,$K12021=0),0,1)</f>
        <v>1</v>
      </c>
      <c r="M12021" t="s">
        <v>1009</v>
      </c>
    </row>
    <row r="12022" spans="1:13" x14ac:dyDescent="0.2">
      <c r="A12022" t="s">
        <v>345</v>
      </c>
      <c r="B12022" t="s">
        <v>71</v>
      </c>
      <c r="C12022" t="s">
        <v>72</v>
      </c>
      <c r="D12022">
        <v>1102</v>
      </c>
      <c r="E12022">
        <v>2020</v>
      </c>
      <c r="F12022" t="s">
        <v>78</v>
      </c>
      <c r="G12022">
        <v>24627</v>
      </c>
      <c r="H12022" s="1">
        <v>0</v>
      </c>
      <c r="I12022">
        <v>6</v>
      </c>
      <c r="J12022">
        <f>IF($H12022=0,1,IF($I12022&lt;=1,2,0))</f>
        <v>1</v>
      </c>
      <c r="K12022">
        <v>0</v>
      </c>
      <c r="L12022">
        <f>IF(AND($J12022=0,$K12022=0),0,1)</f>
        <v>1</v>
      </c>
      <c r="M12022" t="s">
        <v>1003</v>
      </c>
    </row>
    <row r="12023" spans="1:13" x14ac:dyDescent="0.2">
      <c r="A12023" t="s">
        <v>345</v>
      </c>
      <c r="B12023" t="s">
        <v>71</v>
      </c>
      <c r="C12023" t="s">
        <v>72</v>
      </c>
      <c r="D12023">
        <v>4000</v>
      </c>
      <c r="E12023">
        <v>2020</v>
      </c>
      <c r="F12023">
        <v>5</v>
      </c>
      <c r="G12023">
        <v>10335</v>
      </c>
      <c r="H12023" s="1">
        <v>0</v>
      </c>
      <c r="I12023">
        <v>261</v>
      </c>
      <c r="J12023">
        <f>IF($H12023=0,1,IF($I12023&lt;=1,2,0))</f>
        <v>1</v>
      </c>
      <c r="K12023">
        <v>0</v>
      </c>
      <c r="L12023">
        <f>IF(AND($J12023=0,$K12023=0),0,1)</f>
        <v>1</v>
      </c>
    </row>
    <row r="12024" spans="1:13" x14ac:dyDescent="0.2">
      <c r="A12024" t="s">
        <v>345</v>
      </c>
      <c r="B12024" t="s">
        <v>71</v>
      </c>
      <c r="C12024" t="s">
        <v>72</v>
      </c>
      <c r="D12024">
        <v>4000</v>
      </c>
      <c r="E12024">
        <v>2020</v>
      </c>
      <c r="F12024">
        <v>13</v>
      </c>
      <c r="G12024">
        <v>10331</v>
      </c>
      <c r="H12024" s="1">
        <v>0</v>
      </c>
      <c r="I12024">
        <v>247</v>
      </c>
      <c r="J12024">
        <f>IF($H12024=0,1,IF($I12024&lt;=1,2,0))</f>
        <v>1</v>
      </c>
      <c r="K12024">
        <v>0</v>
      </c>
      <c r="L12024">
        <f>IF(AND($J12024=0,$K12024=0),0,1)</f>
        <v>1</v>
      </c>
    </row>
    <row r="12025" spans="1:13" x14ac:dyDescent="0.2">
      <c r="A12025" t="s">
        <v>345</v>
      </c>
      <c r="B12025" t="s">
        <v>71</v>
      </c>
      <c r="C12025" t="s">
        <v>72</v>
      </c>
      <c r="D12025">
        <v>4000</v>
      </c>
      <c r="E12025">
        <v>2020</v>
      </c>
      <c r="F12025">
        <v>6</v>
      </c>
      <c r="G12025">
        <v>10336</v>
      </c>
      <c r="H12025" s="1">
        <v>0</v>
      </c>
      <c r="I12025">
        <v>169</v>
      </c>
      <c r="J12025">
        <f>IF($H12025=0,1,IF($I12025&lt;=1,2,0))</f>
        <v>1</v>
      </c>
      <c r="K12025">
        <v>0</v>
      </c>
      <c r="L12025">
        <f>IF(AND($J12025=0,$K12025=0),0,1)</f>
        <v>1</v>
      </c>
    </row>
    <row r="12026" spans="1:13" x14ac:dyDescent="0.2">
      <c r="A12026" t="s">
        <v>345</v>
      </c>
      <c r="B12026" t="s">
        <v>71</v>
      </c>
      <c r="C12026" t="s">
        <v>72</v>
      </c>
      <c r="D12026">
        <v>4000</v>
      </c>
      <c r="E12026">
        <v>2020</v>
      </c>
      <c r="F12026">
        <v>9</v>
      </c>
      <c r="G12026">
        <v>10339</v>
      </c>
      <c r="H12026" s="1">
        <v>0</v>
      </c>
      <c r="I12026">
        <v>143</v>
      </c>
      <c r="J12026">
        <f>IF($H12026=0,1,IF($I12026&lt;=1,2,0))</f>
        <v>1</v>
      </c>
      <c r="K12026">
        <v>0</v>
      </c>
      <c r="L12026">
        <f>IF(AND($J12026=0,$K12026=0),0,1)</f>
        <v>1</v>
      </c>
    </row>
    <row r="12027" spans="1:13" x14ac:dyDescent="0.2">
      <c r="A12027" t="s">
        <v>345</v>
      </c>
      <c r="B12027" t="s">
        <v>71</v>
      </c>
      <c r="C12027" t="s">
        <v>72</v>
      </c>
      <c r="D12027">
        <v>4000</v>
      </c>
      <c r="E12027">
        <v>2020</v>
      </c>
      <c r="F12027">
        <v>10</v>
      </c>
      <c r="G12027">
        <v>10325</v>
      </c>
      <c r="H12027" s="1">
        <v>0</v>
      </c>
      <c r="I12027">
        <v>134</v>
      </c>
      <c r="J12027">
        <f>IF($H12027=0,1,IF($I12027&lt;=1,2,0))</f>
        <v>1</v>
      </c>
      <c r="K12027">
        <v>0</v>
      </c>
      <c r="L12027">
        <f>IF(AND($J12027=0,$K12027=0),0,1)</f>
        <v>1</v>
      </c>
    </row>
    <row r="12028" spans="1:13" x14ac:dyDescent="0.2">
      <c r="A12028" t="s">
        <v>345</v>
      </c>
      <c r="B12028" t="s">
        <v>71</v>
      </c>
      <c r="C12028" t="s">
        <v>72</v>
      </c>
      <c r="D12028">
        <v>4000</v>
      </c>
      <c r="E12028">
        <v>2020</v>
      </c>
      <c r="F12028">
        <v>14</v>
      </c>
      <c r="G12028">
        <v>10332</v>
      </c>
      <c r="H12028" s="1">
        <v>0</v>
      </c>
      <c r="I12028">
        <v>110</v>
      </c>
      <c r="J12028">
        <f>IF($H12028=0,1,IF($I12028&lt;=1,2,0))</f>
        <v>1</v>
      </c>
      <c r="K12028">
        <v>0</v>
      </c>
      <c r="L12028">
        <f>IF(AND($J12028=0,$K12028=0),0,1)</f>
        <v>1</v>
      </c>
    </row>
    <row r="12029" spans="1:13" x14ac:dyDescent="0.2">
      <c r="A12029" t="s">
        <v>345</v>
      </c>
      <c r="B12029" t="s">
        <v>71</v>
      </c>
      <c r="C12029" t="s">
        <v>72</v>
      </c>
      <c r="D12029">
        <v>4000</v>
      </c>
      <c r="E12029">
        <v>2020</v>
      </c>
      <c r="F12029">
        <v>12</v>
      </c>
      <c r="G12029">
        <v>10330</v>
      </c>
      <c r="H12029" s="1">
        <v>0</v>
      </c>
      <c r="I12029">
        <v>88</v>
      </c>
      <c r="J12029">
        <f>IF($H12029=0,1,IF($I12029&lt;=1,2,0))</f>
        <v>1</v>
      </c>
      <c r="K12029">
        <v>0</v>
      </c>
      <c r="L12029">
        <f>IF(AND($J12029=0,$K12029=0),0,1)</f>
        <v>1</v>
      </c>
    </row>
    <row r="12030" spans="1:13" x14ac:dyDescent="0.2">
      <c r="A12030" t="s">
        <v>345</v>
      </c>
      <c r="B12030" t="s">
        <v>71</v>
      </c>
      <c r="C12030" t="s">
        <v>72</v>
      </c>
      <c r="D12030">
        <v>4000</v>
      </c>
      <c r="E12030">
        <v>2020</v>
      </c>
      <c r="F12030">
        <v>11</v>
      </c>
      <c r="G12030">
        <v>10329</v>
      </c>
      <c r="H12030" s="1">
        <v>0</v>
      </c>
      <c r="I12030">
        <v>81</v>
      </c>
      <c r="J12030">
        <f>IF($H12030=0,1,IF($I12030&lt;=1,2,0))</f>
        <v>1</v>
      </c>
      <c r="K12030">
        <v>0</v>
      </c>
      <c r="L12030">
        <f>IF(AND($J12030=0,$K12030=0),0,1)</f>
        <v>1</v>
      </c>
    </row>
    <row r="12031" spans="1:13" x14ac:dyDescent="0.2">
      <c r="A12031" t="s">
        <v>345</v>
      </c>
      <c r="B12031" t="s">
        <v>71</v>
      </c>
      <c r="C12031" t="s">
        <v>72</v>
      </c>
      <c r="D12031">
        <v>4000</v>
      </c>
      <c r="E12031">
        <v>2020</v>
      </c>
      <c r="F12031">
        <v>2</v>
      </c>
      <c r="G12031">
        <v>10327</v>
      </c>
      <c r="H12031" s="1">
        <v>0</v>
      </c>
      <c r="I12031">
        <v>72</v>
      </c>
      <c r="J12031">
        <f>IF($H12031=0,1,IF($I12031&lt;=1,2,0))</f>
        <v>1</v>
      </c>
      <c r="K12031">
        <v>0</v>
      </c>
      <c r="L12031">
        <f>IF(AND($J12031=0,$K12031=0),0,1)</f>
        <v>1</v>
      </c>
    </row>
    <row r="12032" spans="1:13" x14ac:dyDescent="0.2">
      <c r="A12032" t="s">
        <v>345</v>
      </c>
      <c r="B12032" t="s">
        <v>71</v>
      </c>
      <c r="C12032" t="s">
        <v>72</v>
      </c>
      <c r="D12032">
        <v>4000</v>
      </c>
      <c r="E12032">
        <v>2020</v>
      </c>
      <c r="F12032">
        <v>4</v>
      </c>
      <c r="G12032">
        <v>10334</v>
      </c>
      <c r="H12032" s="1">
        <v>0</v>
      </c>
      <c r="I12032">
        <v>62</v>
      </c>
      <c r="J12032">
        <f>IF($H12032=0,1,IF($I12032&lt;=1,2,0))</f>
        <v>1</v>
      </c>
      <c r="K12032">
        <v>0</v>
      </c>
      <c r="L12032">
        <f>IF(AND($J12032=0,$K12032=0),0,1)</f>
        <v>1</v>
      </c>
    </row>
    <row r="12033" spans="1:13" x14ac:dyDescent="0.2">
      <c r="A12033" t="s">
        <v>345</v>
      </c>
      <c r="B12033" t="s">
        <v>71</v>
      </c>
      <c r="C12033" t="s">
        <v>72</v>
      </c>
      <c r="D12033">
        <v>4000</v>
      </c>
      <c r="E12033">
        <v>2020</v>
      </c>
      <c r="F12033">
        <v>3</v>
      </c>
      <c r="G12033">
        <v>10328</v>
      </c>
      <c r="H12033" s="1">
        <v>0</v>
      </c>
      <c r="I12033">
        <v>59</v>
      </c>
      <c r="J12033">
        <f>IF($H12033=0,1,IF($I12033&lt;=1,2,0))</f>
        <v>1</v>
      </c>
      <c r="K12033">
        <v>0</v>
      </c>
      <c r="L12033">
        <f>IF(AND($J12033=0,$K12033=0),0,1)</f>
        <v>1</v>
      </c>
    </row>
    <row r="12034" spans="1:13" x14ac:dyDescent="0.2">
      <c r="A12034" t="s">
        <v>345</v>
      </c>
      <c r="B12034" t="s">
        <v>71</v>
      </c>
      <c r="C12034" t="s">
        <v>72</v>
      </c>
      <c r="D12034">
        <v>4000</v>
      </c>
      <c r="E12034">
        <v>2020</v>
      </c>
      <c r="F12034">
        <v>1</v>
      </c>
      <c r="G12034">
        <v>10326</v>
      </c>
      <c r="H12034" s="1">
        <v>0</v>
      </c>
      <c r="I12034">
        <v>51</v>
      </c>
      <c r="J12034">
        <f>IF($H12034=0,1,IF($I12034&lt;=1,2,0))</f>
        <v>1</v>
      </c>
      <c r="K12034">
        <v>0</v>
      </c>
      <c r="L12034">
        <f>IF(AND($J12034=0,$K12034=0),0,1)</f>
        <v>1</v>
      </c>
    </row>
    <row r="12035" spans="1:13" x14ac:dyDescent="0.2">
      <c r="A12035" t="s">
        <v>345</v>
      </c>
      <c r="B12035" t="s">
        <v>71</v>
      </c>
      <c r="C12035" t="s">
        <v>72</v>
      </c>
      <c r="D12035">
        <v>4000</v>
      </c>
      <c r="E12035">
        <v>2020</v>
      </c>
      <c r="F12035">
        <v>8</v>
      </c>
      <c r="G12035">
        <v>10338</v>
      </c>
      <c r="H12035" s="1">
        <v>0</v>
      </c>
      <c r="I12035">
        <v>18</v>
      </c>
      <c r="J12035">
        <f>IF($H12035=0,1,IF($I12035&lt;=1,2,0))</f>
        <v>1</v>
      </c>
      <c r="K12035">
        <v>0</v>
      </c>
      <c r="L12035">
        <f>IF(AND($J12035=0,$K12035=0),0,1)</f>
        <v>1</v>
      </c>
    </row>
    <row r="12036" spans="1:13" x14ac:dyDescent="0.2">
      <c r="A12036" t="s">
        <v>345</v>
      </c>
      <c r="B12036" t="s">
        <v>71</v>
      </c>
      <c r="C12036" t="s">
        <v>72</v>
      </c>
      <c r="D12036">
        <v>4000</v>
      </c>
      <c r="E12036">
        <v>2020</v>
      </c>
      <c r="F12036">
        <v>7</v>
      </c>
      <c r="G12036">
        <v>10337</v>
      </c>
      <c r="H12036" s="1">
        <v>0</v>
      </c>
      <c r="I12036">
        <v>11</v>
      </c>
      <c r="J12036">
        <f>IF($H12036=0,1,IF($I12036&lt;=1,2,0))</f>
        <v>1</v>
      </c>
      <c r="K12036">
        <v>0</v>
      </c>
      <c r="L12036">
        <f>IF(AND($J12036=0,$K12036=0),0,1)</f>
        <v>1</v>
      </c>
      <c r="M12036" t="s">
        <v>1010</v>
      </c>
    </row>
    <row r="12037" spans="1:13" x14ac:dyDescent="0.2">
      <c r="A12037" t="s">
        <v>345</v>
      </c>
      <c r="B12037" t="s">
        <v>71</v>
      </c>
      <c r="C12037" t="s">
        <v>72</v>
      </c>
      <c r="D12037">
        <v>4990</v>
      </c>
      <c r="E12037">
        <v>2020</v>
      </c>
      <c r="F12037">
        <v>5</v>
      </c>
      <c r="G12037">
        <v>24917</v>
      </c>
      <c r="H12037" s="1" t="s">
        <v>1836</v>
      </c>
      <c r="I12037">
        <v>8</v>
      </c>
      <c r="J12037">
        <f>IF($H12037=0,1,IF($I12037&lt;=1,2,0))</f>
        <v>0</v>
      </c>
      <c r="K12037">
        <v>9</v>
      </c>
      <c r="L12037">
        <f>IF(AND($J12037=0,$K12037=0),0,1)</f>
        <v>1</v>
      </c>
    </row>
    <row r="12038" spans="1:13" x14ac:dyDescent="0.2">
      <c r="A12038" t="s">
        <v>345</v>
      </c>
      <c r="B12038" t="s">
        <v>71</v>
      </c>
      <c r="C12038" t="s">
        <v>72</v>
      </c>
      <c r="D12038">
        <v>4990</v>
      </c>
      <c r="E12038">
        <v>2020</v>
      </c>
      <c r="F12038">
        <v>7</v>
      </c>
      <c r="G12038">
        <v>23009</v>
      </c>
      <c r="H12038" s="1" t="s">
        <v>1836</v>
      </c>
      <c r="I12038">
        <v>8</v>
      </c>
      <c r="J12038">
        <f>IF($H12038=0,1,IF($I12038&lt;=1,2,0))</f>
        <v>0</v>
      </c>
      <c r="K12038">
        <v>9</v>
      </c>
      <c r="L12038">
        <f>IF(AND($J12038=0,$K12038=0),0,1)</f>
        <v>1</v>
      </c>
    </row>
    <row r="12039" spans="1:13" x14ac:dyDescent="0.2">
      <c r="A12039" t="s">
        <v>345</v>
      </c>
      <c r="B12039" t="s">
        <v>71</v>
      </c>
      <c r="C12039" t="s">
        <v>72</v>
      </c>
      <c r="D12039">
        <v>4990</v>
      </c>
      <c r="E12039">
        <v>2020</v>
      </c>
      <c r="F12039">
        <v>9</v>
      </c>
      <c r="G12039">
        <v>23011</v>
      </c>
      <c r="H12039" s="1" t="s">
        <v>1836</v>
      </c>
      <c r="I12039">
        <v>5</v>
      </c>
      <c r="J12039">
        <f>IF($H12039=0,1,IF($I12039&lt;=1,2,0))</f>
        <v>0</v>
      </c>
      <c r="K12039">
        <v>9</v>
      </c>
      <c r="L12039">
        <f>IF(AND($J12039=0,$K12039=0),0,1)</f>
        <v>1</v>
      </c>
    </row>
    <row r="12040" spans="1:13" x14ac:dyDescent="0.2">
      <c r="A12040" t="s">
        <v>345</v>
      </c>
      <c r="B12040" t="s">
        <v>71</v>
      </c>
      <c r="C12040" t="s">
        <v>72</v>
      </c>
      <c r="D12040">
        <v>4990</v>
      </c>
      <c r="E12040">
        <v>2020</v>
      </c>
      <c r="F12040">
        <v>1</v>
      </c>
      <c r="G12040">
        <v>23012</v>
      </c>
      <c r="H12040" s="1" t="s">
        <v>1836</v>
      </c>
      <c r="I12040">
        <v>4</v>
      </c>
      <c r="J12040">
        <f>IF($H12040=0,1,IF($I12040&lt;=1,2,0))</f>
        <v>0</v>
      </c>
      <c r="K12040">
        <v>9</v>
      </c>
      <c r="L12040">
        <f>IF(AND($J12040=0,$K12040=0),0,1)</f>
        <v>1</v>
      </c>
    </row>
    <row r="12041" spans="1:13" x14ac:dyDescent="0.2">
      <c r="A12041" t="s">
        <v>345</v>
      </c>
      <c r="B12041" t="s">
        <v>71</v>
      </c>
      <c r="C12041" t="s">
        <v>72</v>
      </c>
      <c r="D12041">
        <v>4990</v>
      </c>
      <c r="E12041">
        <v>2020</v>
      </c>
      <c r="F12041">
        <v>2</v>
      </c>
      <c r="G12041">
        <v>24916</v>
      </c>
      <c r="H12041" s="1" t="s">
        <v>1836</v>
      </c>
      <c r="I12041">
        <v>2</v>
      </c>
      <c r="J12041">
        <f>IF($H12041=0,1,IF($I12041&lt;=1,2,0))</f>
        <v>0</v>
      </c>
      <c r="K12041">
        <v>9</v>
      </c>
      <c r="L12041">
        <f>IF(AND($J12041=0,$K12041=0),0,1)</f>
        <v>1</v>
      </c>
    </row>
    <row r="12042" spans="1:13" x14ac:dyDescent="0.2">
      <c r="A12042" t="s">
        <v>345</v>
      </c>
      <c r="B12042" t="s">
        <v>71</v>
      </c>
      <c r="C12042" t="s">
        <v>72</v>
      </c>
      <c r="D12042">
        <v>4990</v>
      </c>
      <c r="E12042">
        <v>2020</v>
      </c>
      <c r="F12042">
        <v>10</v>
      </c>
      <c r="G12042">
        <v>24918</v>
      </c>
      <c r="H12042" s="1" t="s">
        <v>1836</v>
      </c>
      <c r="I12042">
        <v>1</v>
      </c>
      <c r="J12042">
        <f>IF($H12042=0,1,IF($I12042&lt;=1,2,0))</f>
        <v>2</v>
      </c>
      <c r="K12042">
        <v>9</v>
      </c>
      <c r="L12042">
        <f>IF(AND($J12042=0,$K12042=0),0,1)</f>
        <v>1</v>
      </c>
    </row>
    <row r="12043" spans="1:13" x14ac:dyDescent="0.2">
      <c r="A12043" t="s">
        <v>345</v>
      </c>
      <c r="B12043" t="s">
        <v>71</v>
      </c>
      <c r="C12043" t="s">
        <v>72</v>
      </c>
      <c r="D12043">
        <v>4990</v>
      </c>
      <c r="E12043">
        <v>2020</v>
      </c>
      <c r="F12043">
        <v>6</v>
      </c>
      <c r="G12043">
        <v>23010</v>
      </c>
      <c r="H12043" s="1" t="s">
        <v>1836</v>
      </c>
      <c r="I12043">
        <v>0</v>
      </c>
      <c r="J12043">
        <f>IF($H12043=0,1,IF($I12043&lt;=1,2,0))</f>
        <v>2</v>
      </c>
      <c r="K12043">
        <v>9</v>
      </c>
      <c r="L12043">
        <f>IF(AND($J12043=0,$K12043=0),0,1)</f>
        <v>1</v>
      </c>
    </row>
    <row r="12044" spans="1:13" x14ac:dyDescent="0.2">
      <c r="A12044" t="s">
        <v>345</v>
      </c>
      <c r="B12044" t="s">
        <v>71</v>
      </c>
      <c r="C12044" t="s">
        <v>72</v>
      </c>
      <c r="D12044">
        <v>5000</v>
      </c>
      <c r="E12044">
        <v>2020</v>
      </c>
      <c r="F12044">
        <v>11</v>
      </c>
      <c r="G12044">
        <v>12848</v>
      </c>
      <c r="H12044" s="1">
        <v>0</v>
      </c>
      <c r="I12044">
        <v>10</v>
      </c>
      <c r="J12044">
        <f>IF($H12044=0,1,IF($I12044&lt;=1,2,0))</f>
        <v>1</v>
      </c>
      <c r="K12044">
        <v>0</v>
      </c>
      <c r="L12044">
        <f>IF(AND($J12044=0,$K12044=0),0,1)</f>
        <v>1</v>
      </c>
      <c r="M12044" t="s">
        <v>1012</v>
      </c>
    </row>
    <row r="12045" spans="1:13" x14ac:dyDescent="0.2">
      <c r="A12045" t="s">
        <v>345</v>
      </c>
      <c r="B12045" t="s">
        <v>71</v>
      </c>
      <c r="C12045" t="s">
        <v>72</v>
      </c>
      <c r="D12045">
        <v>5000</v>
      </c>
      <c r="E12045">
        <v>2020</v>
      </c>
      <c r="F12045">
        <v>12</v>
      </c>
      <c r="G12045">
        <v>12849</v>
      </c>
      <c r="H12045" s="1">
        <v>0</v>
      </c>
      <c r="I12045">
        <v>10</v>
      </c>
      <c r="J12045">
        <f>IF($H12045=0,1,IF($I12045&lt;=1,2,0))</f>
        <v>1</v>
      </c>
      <c r="K12045">
        <v>0</v>
      </c>
      <c r="L12045">
        <f>IF(AND($J12045=0,$K12045=0),0,1)</f>
        <v>1</v>
      </c>
      <c r="M12045" t="s">
        <v>1012</v>
      </c>
    </row>
    <row r="12046" spans="1:13" x14ac:dyDescent="0.2">
      <c r="A12046" t="s">
        <v>345</v>
      </c>
      <c r="B12046" t="s">
        <v>71</v>
      </c>
      <c r="C12046" t="s">
        <v>72</v>
      </c>
      <c r="D12046">
        <v>5000</v>
      </c>
      <c r="E12046">
        <v>2020</v>
      </c>
      <c r="F12046">
        <v>21</v>
      </c>
      <c r="G12046">
        <v>15531</v>
      </c>
      <c r="H12046" s="1">
        <v>0</v>
      </c>
      <c r="I12046">
        <v>10</v>
      </c>
      <c r="J12046">
        <f>IF($H12046=0,1,IF($I12046&lt;=1,2,0))</f>
        <v>1</v>
      </c>
      <c r="K12046">
        <v>0</v>
      </c>
      <c r="L12046">
        <f>IF(AND($J12046=0,$K12046=0),0,1)</f>
        <v>1</v>
      </c>
      <c r="M12046" t="s">
        <v>1013</v>
      </c>
    </row>
    <row r="12047" spans="1:13" x14ac:dyDescent="0.2">
      <c r="A12047" t="s">
        <v>345</v>
      </c>
      <c r="B12047" t="s">
        <v>71</v>
      </c>
      <c r="C12047" t="s">
        <v>72</v>
      </c>
      <c r="D12047">
        <v>5000</v>
      </c>
      <c r="E12047">
        <v>2020</v>
      </c>
      <c r="F12047">
        <v>22</v>
      </c>
      <c r="G12047">
        <v>15532</v>
      </c>
      <c r="H12047" s="1">
        <v>0</v>
      </c>
      <c r="I12047">
        <v>8</v>
      </c>
      <c r="J12047">
        <f>IF($H12047=0,1,IF($I12047&lt;=1,2,0))</f>
        <v>1</v>
      </c>
      <c r="K12047">
        <v>0</v>
      </c>
      <c r="L12047">
        <f>IF(AND($J12047=0,$K12047=0),0,1)</f>
        <v>1</v>
      </c>
      <c r="M12047" t="s">
        <v>1013</v>
      </c>
    </row>
    <row r="12048" spans="1:13" x14ac:dyDescent="0.2">
      <c r="A12048" t="s">
        <v>345</v>
      </c>
      <c r="B12048" t="s">
        <v>71</v>
      </c>
      <c r="C12048" t="s">
        <v>72</v>
      </c>
      <c r="D12048">
        <v>5000</v>
      </c>
      <c r="E12048">
        <v>2020</v>
      </c>
      <c r="F12048">
        <v>31</v>
      </c>
      <c r="G12048">
        <v>15534</v>
      </c>
      <c r="H12048" s="1">
        <v>0</v>
      </c>
      <c r="I12048">
        <v>7</v>
      </c>
      <c r="J12048">
        <f>IF($H12048=0,1,IF($I12048&lt;=1,2,0))</f>
        <v>1</v>
      </c>
      <c r="K12048">
        <v>0</v>
      </c>
      <c r="L12048">
        <f>IF(AND($J12048=0,$K12048=0),0,1)</f>
        <v>1</v>
      </c>
      <c r="M12048" t="s">
        <v>1014</v>
      </c>
    </row>
    <row r="12049" spans="1:13" x14ac:dyDescent="0.2">
      <c r="A12049" t="s">
        <v>345</v>
      </c>
      <c r="B12049" t="s">
        <v>71</v>
      </c>
      <c r="C12049" t="s">
        <v>72</v>
      </c>
      <c r="D12049">
        <v>5001</v>
      </c>
      <c r="E12049">
        <v>2020</v>
      </c>
      <c r="F12049">
        <v>21</v>
      </c>
      <c r="G12049">
        <v>15538</v>
      </c>
      <c r="H12049" s="1">
        <v>0</v>
      </c>
      <c r="I12049">
        <v>7</v>
      </c>
      <c r="J12049">
        <f>IF($H12049=0,1,IF($I12049&lt;=1,2,0))</f>
        <v>1</v>
      </c>
      <c r="K12049">
        <v>0</v>
      </c>
      <c r="L12049">
        <f>IF(AND($J12049=0,$K12049=0),0,1)</f>
        <v>1</v>
      </c>
      <c r="M12049" t="s">
        <v>1015</v>
      </c>
    </row>
    <row r="12050" spans="1:13" x14ac:dyDescent="0.2">
      <c r="A12050" t="s">
        <v>345</v>
      </c>
      <c r="B12050" t="s">
        <v>71</v>
      </c>
      <c r="C12050" t="s">
        <v>72</v>
      </c>
      <c r="D12050">
        <v>5002</v>
      </c>
      <c r="E12050">
        <v>2020</v>
      </c>
      <c r="F12050">
        <v>31</v>
      </c>
      <c r="G12050">
        <v>21501</v>
      </c>
      <c r="H12050" s="1">
        <v>0</v>
      </c>
      <c r="I12050">
        <v>6</v>
      </c>
      <c r="J12050">
        <f>IF($H12050=0,1,IF($I12050&lt;=1,2,0))</f>
        <v>1</v>
      </c>
      <c r="K12050">
        <v>0</v>
      </c>
      <c r="L12050">
        <f>IF(AND($J12050=0,$K12050=0),0,1)</f>
        <v>1</v>
      </c>
      <c r="M12050" t="s">
        <v>1016</v>
      </c>
    </row>
    <row r="12051" spans="1:13" x14ac:dyDescent="0.2">
      <c r="A12051" t="s">
        <v>345</v>
      </c>
      <c r="B12051" t="s">
        <v>71</v>
      </c>
      <c r="C12051" t="s">
        <v>72</v>
      </c>
      <c r="D12051">
        <v>5009</v>
      </c>
      <c r="E12051">
        <v>2020</v>
      </c>
      <c r="F12051">
        <v>31</v>
      </c>
      <c r="G12051">
        <v>15542</v>
      </c>
      <c r="H12051" s="1">
        <v>0</v>
      </c>
      <c r="I12051">
        <v>2</v>
      </c>
      <c r="J12051">
        <f>IF($H12051=0,1,IF($I12051&lt;=1,2,0))</f>
        <v>1</v>
      </c>
      <c r="K12051">
        <v>4</v>
      </c>
      <c r="L12051">
        <f>IF(AND($J12051=0,$K12051=0),0,1)</f>
        <v>1</v>
      </c>
      <c r="M12051" t="s">
        <v>1017</v>
      </c>
    </row>
    <row r="12052" spans="1:13" x14ac:dyDescent="0.2">
      <c r="A12052" t="s">
        <v>345</v>
      </c>
      <c r="B12052" t="s">
        <v>71</v>
      </c>
      <c r="C12052" t="s">
        <v>72</v>
      </c>
      <c r="D12052">
        <v>6001</v>
      </c>
      <c r="E12052">
        <v>2020</v>
      </c>
      <c r="F12052">
        <v>1</v>
      </c>
      <c r="G12052">
        <v>10538</v>
      </c>
      <c r="H12052" s="1">
        <v>0</v>
      </c>
      <c r="I12052">
        <v>152</v>
      </c>
      <c r="J12052">
        <f>IF($H12052=0,1,IF($I12052&lt;=1,2,0))</f>
        <v>1</v>
      </c>
      <c r="K12052">
        <v>0</v>
      </c>
      <c r="L12052">
        <f>IF(AND($J12052=0,$K12052=0),0,1)</f>
        <v>1</v>
      </c>
    </row>
    <row r="12053" spans="1:13" x14ac:dyDescent="0.2">
      <c r="A12053" t="s">
        <v>345</v>
      </c>
      <c r="B12053" t="s">
        <v>71</v>
      </c>
      <c r="C12053" t="s">
        <v>72</v>
      </c>
      <c r="D12053">
        <v>6002</v>
      </c>
      <c r="E12053">
        <v>2020</v>
      </c>
      <c r="F12053">
        <v>1</v>
      </c>
      <c r="G12053">
        <v>21380</v>
      </c>
      <c r="H12053" s="1">
        <v>0</v>
      </c>
      <c r="I12053">
        <v>172</v>
      </c>
      <c r="J12053">
        <f>IF($H12053=0,1,IF($I12053&lt;=1,2,0))</f>
        <v>1</v>
      </c>
      <c r="K12053">
        <v>0</v>
      </c>
      <c r="L12053">
        <f>IF(AND($J12053=0,$K12053=0),0,1)</f>
        <v>1</v>
      </c>
    </row>
    <row r="12054" spans="1:13" x14ac:dyDescent="0.2">
      <c r="A12054" t="s">
        <v>345</v>
      </c>
      <c r="B12054" t="s">
        <v>71</v>
      </c>
      <c r="C12054" t="s">
        <v>72</v>
      </c>
      <c r="D12054">
        <v>7000</v>
      </c>
      <c r="E12054">
        <v>2020</v>
      </c>
      <c r="F12054">
        <v>1</v>
      </c>
      <c r="G12054">
        <v>10898</v>
      </c>
      <c r="H12054" s="1">
        <v>0</v>
      </c>
      <c r="I12054">
        <v>7</v>
      </c>
      <c r="J12054">
        <f>IF($H12054=0,1,IF($I12054&lt;=1,2,0))</f>
        <v>1</v>
      </c>
      <c r="K12054">
        <v>0</v>
      </c>
      <c r="L12054">
        <f>IF(AND($J12054=0,$K12054=0),0,1)</f>
        <v>1</v>
      </c>
    </row>
    <row r="12055" spans="1:13" x14ac:dyDescent="0.2">
      <c r="A12055" t="s">
        <v>345</v>
      </c>
      <c r="B12055" t="s">
        <v>71</v>
      </c>
      <c r="C12055" t="s">
        <v>72</v>
      </c>
      <c r="D12055">
        <v>7009</v>
      </c>
      <c r="E12055">
        <v>2020</v>
      </c>
      <c r="F12055">
        <v>31</v>
      </c>
      <c r="G12055">
        <v>15545</v>
      </c>
      <c r="H12055" s="1">
        <v>0</v>
      </c>
      <c r="I12055">
        <v>2</v>
      </c>
      <c r="J12055">
        <f>IF($H12055=0,1,IF($I12055&lt;=1,2,0))</f>
        <v>1</v>
      </c>
      <c r="K12055">
        <v>4</v>
      </c>
      <c r="L12055">
        <f>IF(AND($J12055=0,$K12055=0),0,1)</f>
        <v>1</v>
      </c>
      <c r="M12055" t="s">
        <v>1017</v>
      </c>
    </row>
    <row r="12056" spans="1:13" x14ac:dyDescent="0.2">
      <c r="A12056" t="s">
        <v>349</v>
      </c>
      <c r="B12056" t="s">
        <v>17</v>
      </c>
      <c r="C12056" t="s">
        <v>350</v>
      </c>
      <c r="D12056">
        <v>1</v>
      </c>
      <c r="E12056">
        <v>2020</v>
      </c>
      <c r="F12056">
        <v>1</v>
      </c>
      <c r="G12056">
        <v>10383</v>
      </c>
      <c r="H12056" s="1">
        <v>0</v>
      </c>
      <c r="I12056">
        <v>0</v>
      </c>
      <c r="J12056">
        <f>IF($H12056=0,1,IF($I12056&lt;=1,2,0))</f>
        <v>1</v>
      </c>
      <c r="K12056">
        <v>0</v>
      </c>
      <c r="L12056">
        <f>IF(AND($J12056=0,$K12056=0),0,1)</f>
        <v>1</v>
      </c>
      <c r="M12056" t="s">
        <v>351</v>
      </c>
    </row>
    <row r="12057" spans="1:13" x14ac:dyDescent="0.2">
      <c r="A12057" t="s">
        <v>349</v>
      </c>
      <c r="B12057" t="s">
        <v>17</v>
      </c>
      <c r="C12057" t="s">
        <v>350</v>
      </c>
      <c r="D12057">
        <v>3</v>
      </c>
      <c r="E12057">
        <v>2020</v>
      </c>
      <c r="F12057">
        <v>1</v>
      </c>
      <c r="G12057">
        <v>10384</v>
      </c>
      <c r="H12057" s="1">
        <v>0</v>
      </c>
      <c r="I12057">
        <v>0</v>
      </c>
      <c r="J12057">
        <f>IF($H12057=0,1,IF($I12057&lt;=1,2,0))</f>
        <v>1</v>
      </c>
      <c r="K12057">
        <v>0</v>
      </c>
      <c r="L12057">
        <f>IF(AND($J12057=0,$K12057=0),0,1)</f>
        <v>1</v>
      </c>
      <c r="M12057" t="s">
        <v>351</v>
      </c>
    </row>
    <row r="12058" spans="1:13" x14ac:dyDescent="0.2">
      <c r="A12058" t="s">
        <v>349</v>
      </c>
      <c r="B12058" t="s">
        <v>17</v>
      </c>
      <c r="C12058" t="s">
        <v>350</v>
      </c>
      <c r="D12058">
        <v>5</v>
      </c>
      <c r="E12058">
        <v>2020</v>
      </c>
      <c r="F12058">
        <v>3</v>
      </c>
      <c r="G12058">
        <v>23270</v>
      </c>
      <c r="H12058" s="1">
        <v>0</v>
      </c>
      <c r="I12058">
        <v>10</v>
      </c>
      <c r="J12058">
        <f>IF($H12058=0,1,IF($I12058&lt;=1,2,0))</f>
        <v>1</v>
      </c>
      <c r="K12058">
        <v>0</v>
      </c>
      <c r="L12058">
        <f>IF(AND($J12058=0,$K12058=0),0,1)</f>
        <v>1</v>
      </c>
      <c r="M12058" t="s">
        <v>351</v>
      </c>
    </row>
    <row r="12059" spans="1:13" x14ac:dyDescent="0.2">
      <c r="A12059" t="s">
        <v>349</v>
      </c>
      <c r="B12059" t="s">
        <v>17</v>
      </c>
      <c r="C12059" t="s">
        <v>350</v>
      </c>
      <c r="D12059">
        <v>5</v>
      </c>
      <c r="E12059">
        <v>2020</v>
      </c>
      <c r="F12059">
        <v>1</v>
      </c>
      <c r="G12059">
        <v>10387</v>
      </c>
      <c r="H12059" s="1">
        <v>0</v>
      </c>
      <c r="I12059">
        <v>9</v>
      </c>
      <c r="J12059">
        <f>IF($H12059=0,1,IF($I12059&lt;=1,2,0))</f>
        <v>1</v>
      </c>
      <c r="K12059">
        <v>0</v>
      </c>
      <c r="L12059">
        <f>IF(AND($J12059=0,$K12059=0),0,1)</f>
        <v>1</v>
      </c>
      <c r="M12059" t="s">
        <v>351</v>
      </c>
    </row>
    <row r="12060" spans="1:13" x14ac:dyDescent="0.2">
      <c r="A12060" t="s">
        <v>349</v>
      </c>
      <c r="B12060" t="s">
        <v>17</v>
      </c>
      <c r="C12060" t="s">
        <v>350</v>
      </c>
      <c r="D12060">
        <v>5</v>
      </c>
      <c r="E12060">
        <v>2020</v>
      </c>
      <c r="F12060">
        <v>2</v>
      </c>
      <c r="G12060">
        <v>10388</v>
      </c>
      <c r="H12060" s="1">
        <v>0</v>
      </c>
      <c r="I12060">
        <v>9</v>
      </c>
      <c r="J12060">
        <f>IF($H12060=0,1,IF($I12060&lt;=1,2,0))</f>
        <v>1</v>
      </c>
      <c r="K12060">
        <v>0</v>
      </c>
      <c r="L12060">
        <f>IF(AND($J12060=0,$K12060=0),0,1)</f>
        <v>1</v>
      </c>
      <c r="M12060" t="s">
        <v>351</v>
      </c>
    </row>
    <row r="12061" spans="1:13" x14ac:dyDescent="0.2">
      <c r="A12061" t="s">
        <v>349</v>
      </c>
      <c r="B12061" t="s">
        <v>17</v>
      </c>
      <c r="C12061" t="s">
        <v>350</v>
      </c>
      <c r="D12061">
        <v>6</v>
      </c>
      <c r="E12061">
        <v>2020</v>
      </c>
      <c r="F12061">
        <v>2</v>
      </c>
      <c r="G12061">
        <v>10390</v>
      </c>
      <c r="H12061" s="1">
        <v>0</v>
      </c>
      <c r="I12061">
        <v>10</v>
      </c>
      <c r="J12061">
        <f>IF($H12061=0,1,IF($I12061&lt;=1,2,0))</f>
        <v>1</v>
      </c>
      <c r="K12061">
        <v>0</v>
      </c>
      <c r="L12061">
        <f>IF(AND($J12061=0,$K12061=0),0,1)</f>
        <v>1</v>
      </c>
      <c r="M12061" t="s">
        <v>351</v>
      </c>
    </row>
    <row r="12062" spans="1:13" x14ac:dyDescent="0.2">
      <c r="A12062" t="s">
        <v>349</v>
      </c>
      <c r="B12062" t="s">
        <v>17</v>
      </c>
      <c r="C12062" t="s">
        <v>350</v>
      </c>
      <c r="D12062">
        <v>6</v>
      </c>
      <c r="E12062">
        <v>2020</v>
      </c>
      <c r="F12062">
        <v>1</v>
      </c>
      <c r="G12062">
        <v>10389</v>
      </c>
      <c r="H12062" s="1">
        <v>0</v>
      </c>
      <c r="I12062">
        <v>9</v>
      </c>
      <c r="J12062">
        <f>IF($H12062=0,1,IF($I12062&lt;=1,2,0))</f>
        <v>1</v>
      </c>
      <c r="K12062">
        <v>0</v>
      </c>
      <c r="L12062">
        <f>IF(AND($J12062=0,$K12062=0),0,1)</f>
        <v>1</v>
      </c>
      <c r="M12062" t="s">
        <v>351</v>
      </c>
    </row>
    <row r="12063" spans="1:13" x14ac:dyDescent="0.2">
      <c r="A12063" t="s">
        <v>349</v>
      </c>
      <c r="B12063" t="s">
        <v>17</v>
      </c>
      <c r="C12063" t="s">
        <v>350</v>
      </c>
      <c r="D12063">
        <v>12</v>
      </c>
      <c r="E12063">
        <v>2020</v>
      </c>
      <c r="F12063">
        <v>2</v>
      </c>
      <c r="G12063">
        <v>10405</v>
      </c>
      <c r="H12063" s="1">
        <v>0</v>
      </c>
      <c r="I12063">
        <v>6</v>
      </c>
      <c r="J12063">
        <f>IF($H12063=0,1,IF($I12063&lt;=1,2,0))</f>
        <v>1</v>
      </c>
      <c r="K12063">
        <v>0</v>
      </c>
      <c r="L12063">
        <f>IF(AND($J12063=0,$K12063=0),0,1)</f>
        <v>1</v>
      </c>
      <c r="M12063" t="s">
        <v>1018</v>
      </c>
    </row>
    <row r="12064" spans="1:13" x14ac:dyDescent="0.2">
      <c r="A12064" t="s">
        <v>349</v>
      </c>
      <c r="B12064" t="s">
        <v>17</v>
      </c>
      <c r="C12064" t="s">
        <v>350</v>
      </c>
      <c r="D12064">
        <v>12</v>
      </c>
      <c r="E12064">
        <v>2020</v>
      </c>
      <c r="F12064">
        <v>3</v>
      </c>
      <c r="G12064">
        <v>10406</v>
      </c>
      <c r="H12064" s="1">
        <v>0</v>
      </c>
      <c r="I12064">
        <v>6</v>
      </c>
      <c r="J12064">
        <f>IF($H12064=0,1,IF($I12064&lt;=1,2,0))</f>
        <v>1</v>
      </c>
      <c r="K12064">
        <v>0</v>
      </c>
      <c r="L12064">
        <f>IF(AND($J12064=0,$K12064=0),0,1)</f>
        <v>1</v>
      </c>
      <c r="M12064" t="s">
        <v>1018</v>
      </c>
    </row>
    <row r="12065" spans="1:13" x14ac:dyDescent="0.2">
      <c r="A12065" t="s">
        <v>349</v>
      </c>
      <c r="B12065" t="s">
        <v>17</v>
      </c>
      <c r="C12065" t="s">
        <v>350</v>
      </c>
      <c r="D12065">
        <v>12</v>
      </c>
      <c r="E12065">
        <v>2020</v>
      </c>
      <c r="F12065">
        <v>1</v>
      </c>
      <c r="G12065">
        <v>10404</v>
      </c>
      <c r="H12065" s="1">
        <v>0</v>
      </c>
      <c r="I12065">
        <v>5</v>
      </c>
      <c r="J12065">
        <f>IF($H12065=0,1,IF($I12065&lt;=1,2,0))</f>
        <v>1</v>
      </c>
      <c r="K12065">
        <v>0</v>
      </c>
      <c r="L12065">
        <f>IF(AND($J12065=0,$K12065=0),0,1)</f>
        <v>1</v>
      </c>
    </row>
    <row r="12066" spans="1:13" x14ac:dyDescent="0.2">
      <c r="A12066" t="s">
        <v>349</v>
      </c>
      <c r="B12066" t="s">
        <v>17</v>
      </c>
      <c r="C12066" t="s">
        <v>350</v>
      </c>
      <c r="D12066">
        <v>26</v>
      </c>
      <c r="E12066">
        <v>2020</v>
      </c>
      <c r="F12066" t="s">
        <v>87</v>
      </c>
      <c r="G12066">
        <v>23271</v>
      </c>
      <c r="H12066" s="1">
        <v>0</v>
      </c>
      <c r="I12066">
        <v>3</v>
      </c>
      <c r="J12066">
        <f>IF($H12066=0,1,IF($I12066&lt;=1,2,0))</f>
        <v>1</v>
      </c>
      <c r="K12066">
        <v>0</v>
      </c>
      <c r="L12066">
        <f>IF(AND($J12066=0,$K12066=0),0,1)</f>
        <v>1</v>
      </c>
    </row>
    <row r="12067" spans="1:13" x14ac:dyDescent="0.2">
      <c r="A12067" t="s">
        <v>349</v>
      </c>
      <c r="B12067" t="s">
        <v>17</v>
      </c>
      <c r="C12067" t="s">
        <v>350</v>
      </c>
      <c r="D12067">
        <v>26</v>
      </c>
      <c r="E12067">
        <v>2020</v>
      </c>
      <c r="F12067" t="s">
        <v>185</v>
      </c>
      <c r="G12067">
        <v>23276</v>
      </c>
      <c r="H12067" s="1">
        <v>0</v>
      </c>
      <c r="I12067">
        <v>0</v>
      </c>
      <c r="J12067">
        <f>IF($H12067=0,1,IF($I12067&lt;=1,2,0))</f>
        <v>1</v>
      </c>
      <c r="K12067">
        <v>0</v>
      </c>
      <c r="L12067">
        <f>IF(AND($J12067=0,$K12067=0),0,1)</f>
        <v>1</v>
      </c>
    </row>
    <row r="12068" spans="1:13" x14ac:dyDescent="0.2">
      <c r="A12068" t="s">
        <v>349</v>
      </c>
      <c r="B12068" t="s">
        <v>17</v>
      </c>
      <c r="C12068" t="s">
        <v>350</v>
      </c>
      <c r="D12068">
        <v>106</v>
      </c>
      <c r="E12068">
        <v>2020</v>
      </c>
      <c r="F12068">
        <v>3</v>
      </c>
      <c r="G12068">
        <v>21415</v>
      </c>
      <c r="H12068" s="1">
        <v>0</v>
      </c>
      <c r="I12068">
        <v>7</v>
      </c>
      <c r="J12068">
        <f>IF($H12068=0,1,IF($I12068&lt;=1,2,0))</f>
        <v>1</v>
      </c>
      <c r="K12068">
        <v>0</v>
      </c>
      <c r="L12068">
        <f>IF(AND($J12068=0,$K12068=0),0,1)</f>
        <v>1</v>
      </c>
    </row>
    <row r="12069" spans="1:13" x14ac:dyDescent="0.2">
      <c r="A12069" t="s">
        <v>349</v>
      </c>
      <c r="B12069" t="s">
        <v>17</v>
      </c>
      <c r="C12069" t="s">
        <v>350</v>
      </c>
      <c r="D12069">
        <v>106</v>
      </c>
      <c r="E12069">
        <v>2020</v>
      </c>
      <c r="F12069">
        <v>1</v>
      </c>
      <c r="G12069">
        <v>21400</v>
      </c>
      <c r="H12069" s="1">
        <v>0</v>
      </c>
      <c r="I12069">
        <v>5</v>
      </c>
      <c r="J12069">
        <f>IF($H12069=0,1,IF($I12069&lt;=1,2,0))</f>
        <v>1</v>
      </c>
      <c r="K12069">
        <v>0</v>
      </c>
      <c r="L12069">
        <f>IF(AND($J12069=0,$K12069=0),0,1)</f>
        <v>1</v>
      </c>
    </row>
    <row r="12070" spans="1:13" x14ac:dyDescent="0.2">
      <c r="A12070" t="s">
        <v>349</v>
      </c>
      <c r="B12070" t="s">
        <v>17</v>
      </c>
      <c r="C12070" t="s">
        <v>350</v>
      </c>
      <c r="D12070">
        <v>106</v>
      </c>
      <c r="E12070">
        <v>2020</v>
      </c>
      <c r="F12070">
        <v>2</v>
      </c>
      <c r="G12070">
        <v>21414</v>
      </c>
      <c r="H12070" s="1">
        <v>0</v>
      </c>
      <c r="I12070">
        <v>0</v>
      </c>
      <c r="J12070">
        <f>IF($H12070=0,1,IF($I12070&lt;=1,2,0))</f>
        <v>1</v>
      </c>
      <c r="K12070">
        <v>0</v>
      </c>
      <c r="L12070">
        <f>IF(AND($J12070=0,$K12070=0),0,1)</f>
        <v>1</v>
      </c>
    </row>
    <row r="12071" spans="1:13" x14ac:dyDescent="0.2">
      <c r="A12071" t="s">
        <v>349</v>
      </c>
      <c r="B12071" t="s">
        <v>17</v>
      </c>
      <c r="C12071" t="s">
        <v>350</v>
      </c>
      <c r="D12071">
        <v>106</v>
      </c>
      <c r="E12071">
        <v>2020</v>
      </c>
      <c r="F12071">
        <v>4</v>
      </c>
      <c r="G12071">
        <v>21416</v>
      </c>
      <c r="H12071" s="1">
        <v>0</v>
      </c>
      <c r="I12071">
        <v>0</v>
      </c>
      <c r="J12071">
        <f>IF($H12071=0,1,IF($I12071&lt;=1,2,0))</f>
        <v>1</v>
      </c>
      <c r="K12071">
        <v>0</v>
      </c>
      <c r="L12071">
        <f>IF(AND($J12071=0,$K12071=0),0,1)</f>
        <v>1</v>
      </c>
    </row>
    <row r="12072" spans="1:13" x14ac:dyDescent="0.2">
      <c r="A12072" t="s">
        <v>349</v>
      </c>
      <c r="B12072" t="s">
        <v>17</v>
      </c>
      <c r="C12072" t="s">
        <v>350</v>
      </c>
      <c r="D12072">
        <v>719</v>
      </c>
      <c r="E12072">
        <v>2020</v>
      </c>
      <c r="F12072">
        <v>1</v>
      </c>
      <c r="G12072">
        <v>10393</v>
      </c>
      <c r="H12072" s="1">
        <v>0</v>
      </c>
      <c r="I12072">
        <v>6</v>
      </c>
      <c r="J12072">
        <f>IF($H12072=0,1,IF($I12072&lt;=1,2,0))</f>
        <v>1</v>
      </c>
      <c r="K12072">
        <v>0</v>
      </c>
      <c r="L12072">
        <f>IF(AND($J12072=0,$K12072=0),0,1)</f>
        <v>1</v>
      </c>
      <c r="M12072" t="s">
        <v>351</v>
      </c>
    </row>
    <row r="12073" spans="1:13" x14ac:dyDescent="0.2">
      <c r="A12073" t="s">
        <v>349</v>
      </c>
      <c r="B12073" t="s">
        <v>17</v>
      </c>
      <c r="C12073" t="s">
        <v>350</v>
      </c>
      <c r="D12073">
        <v>850</v>
      </c>
      <c r="E12073">
        <v>2020</v>
      </c>
      <c r="F12073">
        <v>1</v>
      </c>
      <c r="G12073">
        <v>10396</v>
      </c>
      <c r="H12073" s="1">
        <v>0</v>
      </c>
      <c r="I12073">
        <v>10</v>
      </c>
      <c r="J12073">
        <f>IF($H12073=0,1,IF($I12073&lt;=1,2,0))</f>
        <v>1</v>
      </c>
      <c r="K12073">
        <v>0</v>
      </c>
      <c r="L12073">
        <f>IF(AND($J12073=0,$K12073=0),0,1)</f>
        <v>1</v>
      </c>
      <c r="M12073" t="s">
        <v>1019</v>
      </c>
    </row>
    <row r="12074" spans="1:13" x14ac:dyDescent="0.2">
      <c r="A12074" t="s">
        <v>349</v>
      </c>
      <c r="B12074" t="s">
        <v>17</v>
      </c>
      <c r="C12074" t="s">
        <v>350</v>
      </c>
      <c r="D12074">
        <v>850</v>
      </c>
      <c r="E12074">
        <v>2020</v>
      </c>
      <c r="F12074">
        <v>2</v>
      </c>
      <c r="G12074">
        <v>10397</v>
      </c>
      <c r="H12074" s="1">
        <v>0</v>
      </c>
      <c r="I12074">
        <v>7</v>
      </c>
      <c r="J12074">
        <f>IF($H12074=0,1,IF($I12074&lt;=1,2,0))</f>
        <v>1</v>
      </c>
      <c r="K12074">
        <v>0</v>
      </c>
      <c r="L12074">
        <f>IF(AND($J12074=0,$K12074=0),0,1)</f>
        <v>1</v>
      </c>
      <c r="M12074" t="s">
        <v>1020</v>
      </c>
    </row>
    <row r="12075" spans="1:13" x14ac:dyDescent="0.2">
      <c r="A12075" t="s">
        <v>349</v>
      </c>
      <c r="B12075" t="s">
        <v>17</v>
      </c>
      <c r="C12075" t="s">
        <v>350</v>
      </c>
      <c r="D12075">
        <v>919</v>
      </c>
      <c r="E12075">
        <v>2020</v>
      </c>
      <c r="F12075" t="s">
        <v>87</v>
      </c>
      <c r="G12075">
        <v>24889</v>
      </c>
      <c r="H12075" s="1">
        <v>0</v>
      </c>
      <c r="I12075">
        <v>4</v>
      </c>
      <c r="J12075">
        <f>IF($H12075=0,1,IF($I12075&lt;=1,2,0))</f>
        <v>1</v>
      </c>
      <c r="K12075">
        <v>0</v>
      </c>
      <c r="L12075">
        <f>IF(AND($J12075=0,$K12075=0),0,1)</f>
        <v>1</v>
      </c>
      <c r="M12075" t="s">
        <v>1998</v>
      </c>
    </row>
    <row r="12076" spans="1:13" x14ac:dyDescent="0.2">
      <c r="A12076" t="s">
        <v>349</v>
      </c>
      <c r="B12076" t="s">
        <v>17</v>
      </c>
      <c r="C12076" t="s">
        <v>9</v>
      </c>
      <c r="D12076">
        <v>3011</v>
      </c>
      <c r="E12076">
        <v>2020</v>
      </c>
      <c r="F12076">
        <v>4</v>
      </c>
      <c r="G12076">
        <v>12219</v>
      </c>
      <c r="H12076" s="1">
        <v>0</v>
      </c>
      <c r="I12076">
        <v>16</v>
      </c>
      <c r="J12076">
        <f>IF($H12076=0,1,IF($I12076&lt;=1,2,0))</f>
        <v>1</v>
      </c>
      <c r="K12076">
        <v>0</v>
      </c>
      <c r="L12076">
        <f>IF(AND($J12076=0,$K12076=0),0,1)</f>
        <v>1</v>
      </c>
    </row>
    <row r="12077" spans="1:13" x14ac:dyDescent="0.2">
      <c r="A12077" t="s">
        <v>349</v>
      </c>
      <c r="B12077" t="s">
        <v>17</v>
      </c>
      <c r="C12077" t="s">
        <v>9</v>
      </c>
      <c r="D12077">
        <v>3011</v>
      </c>
      <c r="E12077">
        <v>2020</v>
      </c>
      <c r="F12077">
        <v>3</v>
      </c>
      <c r="G12077">
        <v>12218</v>
      </c>
      <c r="H12077" s="1">
        <v>0</v>
      </c>
      <c r="I12077">
        <v>15</v>
      </c>
      <c r="J12077">
        <f>IF($H12077=0,1,IF($I12077&lt;=1,2,0))</f>
        <v>1</v>
      </c>
      <c r="K12077">
        <v>0</v>
      </c>
      <c r="L12077">
        <f>IF(AND($J12077=0,$K12077=0),0,1)</f>
        <v>1</v>
      </c>
    </row>
    <row r="12078" spans="1:13" x14ac:dyDescent="0.2">
      <c r="A12078" t="s">
        <v>349</v>
      </c>
      <c r="B12078" t="s">
        <v>17</v>
      </c>
      <c r="C12078" t="s">
        <v>9</v>
      </c>
      <c r="D12078">
        <v>3011</v>
      </c>
      <c r="E12078">
        <v>2020</v>
      </c>
      <c r="F12078">
        <v>1</v>
      </c>
      <c r="G12078">
        <v>12216</v>
      </c>
      <c r="H12078" s="1">
        <v>0</v>
      </c>
      <c r="I12078">
        <v>14</v>
      </c>
      <c r="J12078">
        <f>IF($H12078=0,1,IF($I12078&lt;=1,2,0))</f>
        <v>1</v>
      </c>
      <c r="K12078">
        <v>0</v>
      </c>
      <c r="L12078">
        <f>IF(AND($J12078=0,$K12078=0),0,1)</f>
        <v>1</v>
      </c>
    </row>
    <row r="12079" spans="1:13" x14ac:dyDescent="0.2">
      <c r="A12079" t="s">
        <v>349</v>
      </c>
      <c r="B12079" t="s">
        <v>17</v>
      </c>
      <c r="C12079" t="s">
        <v>9</v>
      </c>
      <c r="D12079">
        <v>3011</v>
      </c>
      <c r="E12079">
        <v>2020</v>
      </c>
      <c r="F12079">
        <v>2</v>
      </c>
      <c r="G12079">
        <v>12217</v>
      </c>
      <c r="H12079" s="1">
        <v>0</v>
      </c>
      <c r="I12079">
        <v>13</v>
      </c>
      <c r="J12079">
        <f>IF($H12079=0,1,IF($I12079&lt;=1,2,0))</f>
        <v>1</v>
      </c>
      <c r="K12079">
        <v>0</v>
      </c>
      <c r="L12079">
        <f>IF(AND($J12079=0,$K12079=0),0,1)</f>
        <v>1</v>
      </c>
    </row>
    <row r="12080" spans="1:13" x14ac:dyDescent="0.2">
      <c r="A12080" t="s">
        <v>349</v>
      </c>
      <c r="B12080" t="s">
        <v>17</v>
      </c>
      <c r="C12080" t="s">
        <v>9</v>
      </c>
      <c r="D12080">
        <v>3011</v>
      </c>
      <c r="E12080">
        <v>2020</v>
      </c>
      <c r="F12080">
        <v>5</v>
      </c>
      <c r="G12080">
        <v>12220</v>
      </c>
      <c r="H12080" s="1">
        <v>0</v>
      </c>
      <c r="I12080">
        <v>13</v>
      </c>
      <c r="J12080">
        <f>IF($H12080=0,1,IF($I12080&lt;=1,2,0))</f>
        <v>1</v>
      </c>
      <c r="K12080">
        <v>0</v>
      </c>
      <c r="L12080">
        <f>IF(AND($J12080=0,$K12080=0),0,1)</f>
        <v>1</v>
      </c>
    </row>
    <row r="12081" spans="1:13" x14ac:dyDescent="0.2">
      <c r="A12081" t="s">
        <v>349</v>
      </c>
      <c r="B12081" t="s">
        <v>17</v>
      </c>
      <c r="C12081" t="s">
        <v>2</v>
      </c>
      <c r="D12081">
        <v>3101</v>
      </c>
      <c r="E12081">
        <v>2020</v>
      </c>
      <c r="F12081">
        <v>1</v>
      </c>
      <c r="G12081">
        <v>183</v>
      </c>
      <c r="H12081" s="1">
        <v>4</v>
      </c>
      <c r="I12081">
        <v>19</v>
      </c>
      <c r="J12081">
        <f>IF($H12081=0,1,IF($I12081&lt;=1,2,0))</f>
        <v>0</v>
      </c>
      <c r="K12081">
        <v>7</v>
      </c>
      <c r="L12081">
        <f>IF(AND($J12081=0,$K12081=0),0,1)</f>
        <v>1</v>
      </c>
      <c r="M12081" t="s">
        <v>1022</v>
      </c>
    </row>
    <row r="12082" spans="1:13" x14ac:dyDescent="0.2">
      <c r="A12082" t="s">
        <v>349</v>
      </c>
      <c r="B12082" t="s">
        <v>17</v>
      </c>
      <c r="C12082" t="s">
        <v>2</v>
      </c>
      <c r="D12082">
        <v>3101</v>
      </c>
      <c r="E12082">
        <v>2020</v>
      </c>
      <c r="F12082">
        <v>2</v>
      </c>
      <c r="G12082">
        <v>184</v>
      </c>
      <c r="H12082" s="1">
        <v>4</v>
      </c>
      <c r="I12082">
        <v>18</v>
      </c>
      <c r="J12082">
        <f>IF($H12082=0,1,IF($I12082&lt;=1,2,0))</f>
        <v>0</v>
      </c>
      <c r="K12082">
        <v>7</v>
      </c>
      <c r="L12082">
        <f>IF(AND($J12082=0,$K12082=0),0,1)</f>
        <v>1</v>
      </c>
      <c r="M12082" t="s">
        <v>1022</v>
      </c>
    </row>
    <row r="12083" spans="1:13" x14ac:dyDescent="0.2">
      <c r="A12083" t="s">
        <v>349</v>
      </c>
      <c r="B12083" t="s">
        <v>17</v>
      </c>
      <c r="C12083" t="s">
        <v>2</v>
      </c>
      <c r="D12083">
        <v>3102</v>
      </c>
      <c r="E12083">
        <v>2020</v>
      </c>
      <c r="F12083">
        <v>1</v>
      </c>
      <c r="G12083">
        <v>185</v>
      </c>
      <c r="H12083" s="1">
        <v>4</v>
      </c>
      <c r="I12083">
        <v>5</v>
      </c>
      <c r="J12083">
        <f>IF($H12083=0,1,IF($I12083&lt;=1,2,0))</f>
        <v>0</v>
      </c>
      <c r="K12083">
        <v>7</v>
      </c>
      <c r="L12083">
        <f>IF(AND($J12083=0,$K12083=0),0,1)</f>
        <v>1</v>
      </c>
      <c r="M12083" t="s">
        <v>358</v>
      </c>
    </row>
    <row r="12084" spans="1:13" x14ac:dyDescent="0.2">
      <c r="A12084" t="s">
        <v>349</v>
      </c>
      <c r="B12084" t="s">
        <v>17</v>
      </c>
      <c r="C12084" t="s">
        <v>2</v>
      </c>
      <c r="D12084">
        <v>3103</v>
      </c>
      <c r="E12084">
        <v>2020</v>
      </c>
      <c r="F12084">
        <v>2</v>
      </c>
      <c r="G12084">
        <v>187</v>
      </c>
      <c r="H12084" s="1">
        <v>3</v>
      </c>
      <c r="I12084">
        <v>10</v>
      </c>
      <c r="J12084">
        <f>IF($H12084=0,1,IF($I12084&lt;=1,2,0))</f>
        <v>0</v>
      </c>
      <c r="K12084">
        <v>7</v>
      </c>
      <c r="L12084">
        <f>IF(AND($J12084=0,$K12084=0),0,1)</f>
        <v>1</v>
      </c>
      <c r="M12084" t="s">
        <v>359</v>
      </c>
    </row>
    <row r="12085" spans="1:13" x14ac:dyDescent="0.2">
      <c r="A12085" t="s">
        <v>349</v>
      </c>
      <c r="B12085" t="s">
        <v>17</v>
      </c>
      <c r="C12085" t="s">
        <v>2</v>
      </c>
      <c r="D12085">
        <v>3103</v>
      </c>
      <c r="E12085">
        <v>2020</v>
      </c>
      <c r="F12085">
        <v>3</v>
      </c>
      <c r="G12085">
        <v>188</v>
      </c>
      <c r="H12085" s="1">
        <v>3</v>
      </c>
      <c r="I12085">
        <v>10</v>
      </c>
      <c r="J12085">
        <f>IF($H12085=0,1,IF($I12085&lt;=1,2,0))</f>
        <v>0</v>
      </c>
      <c r="K12085">
        <v>7</v>
      </c>
      <c r="L12085">
        <f>IF(AND($J12085=0,$K12085=0),0,1)</f>
        <v>1</v>
      </c>
      <c r="M12085" t="s">
        <v>359</v>
      </c>
    </row>
    <row r="12086" spans="1:13" x14ac:dyDescent="0.2">
      <c r="A12086" t="s">
        <v>349</v>
      </c>
      <c r="B12086" t="s">
        <v>17</v>
      </c>
      <c r="C12086" t="s">
        <v>2</v>
      </c>
      <c r="D12086">
        <v>3103</v>
      </c>
      <c r="E12086">
        <v>2020</v>
      </c>
      <c r="F12086">
        <v>1</v>
      </c>
      <c r="G12086">
        <v>186</v>
      </c>
      <c r="H12086" s="1">
        <v>3</v>
      </c>
      <c r="I12086">
        <v>9</v>
      </c>
      <c r="J12086">
        <f>IF($H12086=0,1,IF($I12086&lt;=1,2,0))</f>
        <v>0</v>
      </c>
      <c r="K12086">
        <v>7</v>
      </c>
      <c r="L12086">
        <f>IF(AND($J12086=0,$K12086=0),0,1)</f>
        <v>1</v>
      </c>
      <c r="M12086" t="s">
        <v>359</v>
      </c>
    </row>
    <row r="12087" spans="1:13" x14ac:dyDescent="0.2">
      <c r="A12087" t="s">
        <v>349</v>
      </c>
      <c r="B12087" t="s">
        <v>17</v>
      </c>
      <c r="C12087" t="s">
        <v>2</v>
      </c>
      <c r="D12087">
        <v>3105</v>
      </c>
      <c r="E12087">
        <v>2020</v>
      </c>
      <c r="F12087">
        <v>2</v>
      </c>
      <c r="G12087">
        <v>190</v>
      </c>
      <c r="H12087" s="1">
        <v>3</v>
      </c>
      <c r="I12087">
        <v>11</v>
      </c>
      <c r="J12087">
        <f>IF($H12087=0,1,IF($I12087&lt;=1,2,0))</f>
        <v>0</v>
      </c>
      <c r="K12087">
        <v>7</v>
      </c>
      <c r="L12087">
        <f>IF(AND($J12087=0,$K12087=0),0,1)</f>
        <v>1</v>
      </c>
      <c r="M12087" t="s">
        <v>1024</v>
      </c>
    </row>
    <row r="12088" spans="1:13" x14ac:dyDescent="0.2">
      <c r="A12088" t="s">
        <v>349</v>
      </c>
      <c r="B12088" t="s">
        <v>17</v>
      </c>
      <c r="C12088" t="s">
        <v>2</v>
      </c>
      <c r="D12088">
        <v>3105</v>
      </c>
      <c r="E12088">
        <v>2020</v>
      </c>
      <c r="F12088">
        <v>1</v>
      </c>
      <c r="G12088">
        <v>189</v>
      </c>
      <c r="H12088" s="1">
        <v>3</v>
      </c>
      <c r="I12088">
        <v>10</v>
      </c>
      <c r="J12088">
        <f>IF($H12088=0,1,IF($I12088&lt;=1,2,0))</f>
        <v>0</v>
      </c>
      <c r="K12088">
        <v>7</v>
      </c>
      <c r="L12088">
        <f>IF(AND($J12088=0,$K12088=0),0,1)</f>
        <v>1</v>
      </c>
      <c r="M12088" t="s">
        <v>1023</v>
      </c>
    </row>
    <row r="12089" spans="1:13" x14ac:dyDescent="0.2">
      <c r="A12089" t="s">
        <v>349</v>
      </c>
      <c r="B12089" t="s">
        <v>17</v>
      </c>
      <c r="C12089" t="s">
        <v>2</v>
      </c>
      <c r="D12089">
        <v>3107</v>
      </c>
      <c r="E12089">
        <v>2020</v>
      </c>
      <c r="F12089">
        <v>1</v>
      </c>
      <c r="G12089">
        <v>191</v>
      </c>
      <c r="H12089" s="1">
        <v>3</v>
      </c>
      <c r="I12089">
        <v>11</v>
      </c>
      <c r="J12089">
        <f>IF($H12089=0,1,IF($I12089&lt;=1,2,0))</f>
        <v>0</v>
      </c>
      <c r="K12089">
        <v>7</v>
      </c>
      <c r="L12089">
        <f>IF(AND($J12089=0,$K12089=0),0,1)</f>
        <v>1</v>
      </c>
      <c r="M12089" t="s">
        <v>1023</v>
      </c>
    </row>
    <row r="12090" spans="1:13" x14ac:dyDescent="0.2">
      <c r="A12090" t="s">
        <v>349</v>
      </c>
      <c r="B12090" t="s">
        <v>17</v>
      </c>
      <c r="C12090" t="s">
        <v>2</v>
      </c>
      <c r="D12090">
        <v>3110</v>
      </c>
      <c r="E12090">
        <v>2020</v>
      </c>
      <c r="F12090">
        <v>1</v>
      </c>
      <c r="G12090">
        <v>192</v>
      </c>
      <c r="H12090" s="1">
        <v>3</v>
      </c>
      <c r="I12090">
        <v>10</v>
      </c>
      <c r="J12090">
        <f>IF($H12090=0,1,IF($I12090&lt;=1,2,0))</f>
        <v>0</v>
      </c>
      <c r="K12090">
        <v>7</v>
      </c>
      <c r="L12090">
        <f>IF(AND($J12090=0,$K12090=0),0,1)</f>
        <v>1</v>
      </c>
      <c r="M12090" t="s">
        <v>1023</v>
      </c>
    </row>
    <row r="12091" spans="1:13" x14ac:dyDescent="0.2">
      <c r="A12091" t="s">
        <v>349</v>
      </c>
      <c r="B12091" t="s">
        <v>17</v>
      </c>
      <c r="C12091" t="s">
        <v>2</v>
      </c>
      <c r="D12091">
        <v>3113</v>
      </c>
      <c r="E12091">
        <v>2020</v>
      </c>
      <c r="F12091">
        <v>1</v>
      </c>
      <c r="G12091">
        <v>193</v>
      </c>
      <c r="H12091" s="1">
        <v>3</v>
      </c>
      <c r="I12091">
        <v>12</v>
      </c>
      <c r="J12091">
        <f>IF($H12091=0,1,IF($I12091&lt;=1,2,0))</f>
        <v>0</v>
      </c>
      <c r="K12091">
        <v>7</v>
      </c>
      <c r="L12091">
        <f>IF(AND($J12091=0,$K12091=0),0,1)</f>
        <v>1</v>
      </c>
      <c r="M12091" t="s">
        <v>1023</v>
      </c>
    </row>
    <row r="12092" spans="1:13" x14ac:dyDescent="0.2">
      <c r="A12092" t="s">
        <v>349</v>
      </c>
      <c r="B12092" t="s">
        <v>17</v>
      </c>
      <c r="C12092" t="s">
        <v>2</v>
      </c>
      <c r="D12092">
        <v>3115</v>
      </c>
      <c r="E12092">
        <v>2020</v>
      </c>
      <c r="F12092">
        <v>1</v>
      </c>
      <c r="G12092">
        <v>194</v>
      </c>
      <c r="H12092" s="1">
        <v>3</v>
      </c>
      <c r="I12092">
        <v>5</v>
      </c>
      <c r="J12092">
        <f>IF($H12092=0,1,IF($I12092&lt;=1,2,0))</f>
        <v>0</v>
      </c>
      <c r="K12092">
        <v>7</v>
      </c>
      <c r="L12092">
        <f>IF(AND($J12092=0,$K12092=0),0,1)</f>
        <v>1</v>
      </c>
      <c r="M12092" t="s">
        <v>1023</v>
      </c>
    </row>
    <row r="12093" spans="1:13" x14ac:dyDescent="0.2">
      <c r="A12093" t="s">
        <v>349</v>
      </c>
      <c r="B12093" t="s">
        <v>17</v>
      </c>
      <c r="C12093" t="s">
        <v>2</v>
      </c>
      <c r="D12093">
        <v>3117</v>
      </c>
      <c r="E12093">
        <v>2020</v>
      </c>
      <c r="F12093">
        <v>1</v>
      </c>
      <c r="G12093">
        <v>195</v>
      </c>
      <c r="H12093" s="1">
        <v>3</v>
      </c>
      <c r="I12093">
        <v>12</v>
      </c>
      <c r="J12093">
        <f>IF($H12093=0,1,IF($I12093&lt;=1,2,0))</f>
        <v>0</v>
      </c>
      <c r="K12093">
        <v>7</v>
      </c>
      <c r="L12093">
        <f>IF(AND($J12093=0,$K12093=0),0,1)</f>
        <v>1</v>
      </c>
      <c r="M12093" t="s">
        <v>1023</v>
      </c>
    </row>
    <row r="12094" spans="1:13" x14ac:dyDescent="0.2">
      <c r="A12094" t="s">
        <v>349</v>
      </c>
      <c r="B12094" t="s">
        <v>17</v>
      </c>
      <c r="C12094" t="s">
        <v>2</v>
      </c>
      <c r="D12094">
        <v>3118</v>
      </c>
      <c r="E12094">
        <v>2020</v>
      </c>
      <c r="F12094">
        <v>1</v>
      </c>
      <c r="G12094">
        <v>196</v>
      </c>
      <c r="H12094" s="1">
        <v>3</v>
      </c>
      <c r="I12094">
        <v>12</v>
      </c>
      <c r="J12094">
        <f>IF($H12094=0,1,IF($I12094&lt;=1,2,0))</f>
        <v>0</v>
      </c>
      <c r="K12094">
        <v>7</v>
      </c>
      <c r="L12094">
        <f>IF(AND($J12094=0,$K12094=0),0,1)</f>
        <v>1</v>
      </c>
      <c r="M12094" t="s">
        <v>1023</v>
      </c>
    </row>
    <row r="12095" spans="1:13" x14ac:dyDescent="0.2">
      <c r="A12095" t="s">
        <v>349</v>
      </c>
      <c r="B12095" t="s">
        <v>17</v>
      </c>
      <c r="C12095" t="s">
        <v>2</v>
      </c>
      <c r="D12095">
        <v>3121</v>
      </c>
      <c r="E12095">
        <v>2020</v>
      </c>
      <c r="F12095">
        <v>1</v>
      </c>
      <c r="G12095">
        <v>197</v>
      </c>
      <c r="H12095" s="1">
        <v>3</v>
      </c>
      <c r="I12095">
        <v>15</v>
      </c>
      <c r="J12095">
        <f>IF($H12095=0,1,IF($I12095&lt;=1,2,0))</f>
        <v>0</v>
      </c>
      <c r="K12095">
        <v>7</v>
      </c>
      <c r="L12095">
        <f>IF(AND($J12095=0,$K12095=0),0,1)</f>
        <v>1</v>
      </c>
      <c r="M12095" t="s">
        <v>1025</v>
      </c>
    </row>
    <row r="12096" spans="1:13" x14ac:dyDescent="0.2">
      <c r="A12096" t="s">
        <v>349</v>
      </c>
      <c r="B12096" t="s">
        <v>17</v>
      </c>
      <c r="C12096" t="s">
        <v>2</v>
      </c>
      <c r="D12096">
        <v>3123</v>
      </c>
      <c r="E12096">
        <v>2020</v>
      </c>
      <c r="F12096">
        <v>1</v>
      </c>
      <c r="G12096">
        <v>198</v>
      </c>
      <c r="H12096" s="1">
        <v>4</v>
      </c>
      <c r="I12096">
        <v>13</v>
      </c>
      <c r="J12096">
        <f>IF($H12096=0,1,IF($I12096&lt;=1,2,0))</f>
        <v>0</v>
      </c>
      <c r="K12096">
        <v>7</v>
      </c>
      <c r="L12096">
        <f>IF(AND($J12096=0,$K12096=0),0,1)</f>
        <v>1</v>
      </c>
      <c r="M12096" t="s">
        <v>363</v>
      </c>
    </row>
    <row r="12097" spans="1:13" x14ac:dyDescent="0.2">
      <c r="A12097" t="s">
        <v>349</v>
      </c>
      <c r="B12097" t="s">
        <v>17</v>
      </c>
      <c r="C12097" t="s">
        <v>2</v>
      </c>
      <c r="D12097">
        <v>3134</v>
      </c>
      <c r="E12097">
        <v>2020</v>
      </c>
      <c r="F12097">
        <v>1</v>
      </c>
      <c r="G12097">
        <v>199</v>
      </c>
      <c r="H12097" s="1">
        <v>3</v>
      </c>
      <c r="I12097">
        <v>9</v>
      </c>
      <c r="J12097">
        <f>IF($H12097=0,1,IF($I12097&lt;=1,2,0))</f>
        <v>0</v>
      </c>
      <c r="K12097">
        <v>7</v>
      </c>
      <c r="L12097">
        <f>IF(AND($J12097=0,$K12097=0),0,1)</f>
        <v>1</v>
      </c>
      <c r="M12097" t="s">
        <v>1023</v>
      </c>
    </row>
    <row r="12098" spans="1:13" x14ac:dyDescent="0.2">
      <c r="A12098" t="s">
        <v>349</v>
      </c>
      <c r="B12098" t="s">
        <v>17</v>
      </c>
      <c r="C12098" t="s">
        <v>2</v>
      </c>
      <c r="D12098">
        <v>3159</v>
      </c>
      <c r="E12098">
        <v>2020</v>
      </c>
      <c r="F12098">
        <v>1</v>
      </c>
      <c r="G12098">
        <v>201</v>
      </c>
      <c r="H12098" s="1">
        <v>4</v>
      </c>
      <c r="I12098">
        <v>13</v>
      </c>
      <c r="J12098">
        <f>IF($H12098=0,1,IF($I12098&lt;=1,2,0))</f>
        <v>0</v>
      </c>
      <c r="K12098">
        <v>7</v>
      </c>
      <c r="L12098">
        <f>IF(AND($J12098=0,$K12098=0),0,1)</f>
        <v>1</v>
      </c>
      <c r="M12098" t="s">
        <v>1026</v>
      </c>
    </row>
    <row r="12099" spans="1:13" x14ac:dyDescent="0.2">
      <c r="A12099" t="s">
        <v>349</v>
      </c>
      <c r="B12099" t="s">
        <v>17</v>
      </c>
      <c r="C12099" t="s">
        <v>2</v>
      </c>
      <c r="D12099">
        <v>3159</v>
      </c>
      <c r="E12099">
        <v>2020</v>
      </c>
      <c r="F12099">
        <v>4</v>
      </c>
      <c r="G12099">
        <v>204</v>
      </c>
      <c r="H12099" s="1">
        <v>4</v>
      </c>
      <c r="I12099">
        <v>12</v>
      </c>
      <c r="J12099">
        <f>IF($H12099=0,1,IF($I12099&lt;=1,2,0))</f>
        <v>0</v>
      </c>
      <c r="K12099">
        <v>7</v>
      </c>
      <c r="L12099">
        <f>IF(AND($J12099=0,$K12099=0),0,1)</f>
        <v>1</v>
      </c>
      <c r="M12099" t="s">
        <v>1026</v>
      </c>
    </row>
    <row r="12100" spans="1:13" x14ac:dyDescent="0.2">
      <c r="A12100" t="s">
        <v>349</v>
      </c>
      <c r="B12100" t="s">
        <v>17</v>
      </c>
      <c r="C12100" t="s">
        <v>2</v>
      </c>
      <c r="D12100">
        <v>3159</v>
      </c>
      <c r="E12100">
        <v>2020</v>
      </c>
      <c r="F12100">
        <v>3</v>
      </c>
      <c r="G12100">
        <v>203</v>
      </c>
      <c r="H12100" s="1">
        <v>4</v>
      </c>
      <c r="I12100">
        <v>11</v>
      </c>
      <c r="J12100">
        <f>IF($H12100=0,1,IF($I12100&lt;=1,2,0))</f>
        <v>0</v>
      </c>
      <c r="K12100">
        <v>7</v>
      </c>
      <c r="L12100">
        <f>IF(AND($J12100=0,$K12100=0),0,1)</f>
        <v>1</v>
      </c>
      <c r="M12100" t="s">
        <v>1026</v>
      </c>
    </row>
    <row r="12101" spans="1:13" x14ac:dyDescent="0.2">
      <c r="A12101" t="s">
        <v>349</v>
      </c>
      <c r="B12101" t="s">
        <v>17</v>
      </c>
      <c r="C12101" t="s">
        <v>2</v>
      </c>
      <c r="D12101">
        <v>3159</v>
      </c>
      <c r="E12101">
        <v>2020</v>
      </c>
      <c r="F12101">
        <v>2</v>
      </c>
      <c r="G12101">
        <v>202</v>
      </c>
      <c r="H12101" s="1">
        <v>4</v>
      </c>
      <c r="I12101">
        <v>9</v>
      </c>
      <c r="J12101">
        <f>IF($H12101=0,1,IF($I12101&lt;=1,2,0))</f>
        <v>0</v>
      </c>
      <c r="K12101">
        <v>7</v>
      </c>
      <c r="L12101">
        <f>IF(AND($J12101=0,$K12101=0),0,1)</f>
        <v>1</v>
      </c>
      <c r="M12101" t="s">
        <v>1026</v>
      </c>
    </row>
    <row r="12102" spans="1:13" x14ac:dyDescent="0.2">
      <c r="A12102" t="s">
        <v>349</v>
      </c>
      <c r="B12102" t="s">
        <v>17</v>
      </c>
      <c r="C12102" t="s">
        <v>2</v>
      </c>
      <c r="D12102">
        <v>3159</v>
      </c>
      <c r="E12102">
        <v>2020</v>
      </c>
      <c r="F12102">
        <v>5</v>
      </c>
      <c r="G12102">
        <v>818</v>
      </c>
      <c r="H12102" s="1">
        <v>4</v>
      </c>
      <c r="I12102">
        <v>8</v>
      </c>
      <c r="J12102">
        <f>IF($H12102=0,1,IF($I12102&lt;=1,2,0))</f>
        <v>0</v>
      </c>
      <c r="K12102">
        <v>7</v>
      </c>
      <c r="L12102">
        <f>IF(AND($J12102=0,$K12102=0),0,1)</f>
        <v>1</v>
      </c>
      <c r="M12102" t="s">
        <v>1026</v>
      </c>
    </row>
    <row r="12103" spans="1:13" x14ac:dyDescent="0.2">
      <c r="A12103" t="s">
        <v>349</v>
      </c>
      <c r="B12103" t="s">
        <v>17</v>
      </c>
      <c r="C12103" t="s">
        <v>2</v>
      </c>
      <c r="D12103">
        <v>3163</v>
      </c>
      <c r="E12103">
        <v>2020</v>
      </c>
      <c r="F12103">
        <v>1</v>
      </c>
      <c r="G12103">
        <v>205</v>
      </c>
      <c r="H12103" s="1">
        <v>3</v>
      </c>
      <c r="I12103">
        <v>53</v>
      </c>
      <c r="J12103">
        <f>IF($H12103=0,1,IF($I12103&lt;=1,2,0))</f>
        <v>0</v>
      </c>
      <c r="K12103">
        <v>7</v>
      </c>
      <c r="L12103">
        <f>IF(AND($J12103=0,$K12103=0),0,1)</f>
        <v>1</v>
      </c>
    </row>
    <row r="12104" spans="1:13" x14ac:dyDescent="0.2">
      <c r="A12104" t="s">
        <v>349</v>
      </c>
      <c r="B12104" t="s">
        <v>17</v>
      </c>
      <c r="C12104" t="s">
        <v>2</v>
      </c>
      <c r="D12104">
        <v>3166</v>
      </c>
      <c r="E12104">
        <v>2020</v>
      </c>
      <c r="F12104">
        <v>1</v>
      </c>
      <c r="G12104">
        <v>206</v>
      </c>
      <c r="H12104" s="1">
        <v>3</v>
      </c>
      <c r="I12104">
        <v>36</v>
      </c>
      <c r="J12104">
        <f>IF($H12104=0,1,IF($I12104&lt;=1,2,0))</f>
        <v>0</v>
      </c>
      <c r="K12104">
        <v>7</v>
      </c>
      <c r="L12104">
        <f>IF(AND($J12104=0,$K12104=0),0,1)</f>
        <v>1</v>
      </c>
    </row>
    <row r="12105" spans="1:13" x14ac:dyDescent="0.2">
      <c r="A12105" t="s">
        <v>349</v>
      </c>
      <c r="B12105" t="s">
        <v>17</v>
      </c>
      <c r="C12105" t="s">
        <v>2</v>
      </c>
      <c r="D12105">
        <v>3179</v>
      </c>
      <c r="E12105">
        <v>2020</v>
      </c>
      <c r="F12105">
        <v>1</v>
      </c>
      <c r="G12105">
        <v>208</v>
      </c>
      <c r="H12105" s="1">
        <v>3</v>
      </c>
      <c r="I12105">
        <v>18</v>
      </c>
      <c r="J12105">
        <f>IF($H12105=0,1,IF($I12105&lt;=1,2,0))</f>
        <v>0</v>
      </c>
      <c r="K12105">
        <v>7</v>
      </c>
      <c r="L12105">
        <f>IF(AND($J12105=0,$K12105=0),0,1)</f>
        <v>1</v>
      </c>
    </row>
    <row r="12106" spans="1:13" x14ac:dyDescent="0.2">
      <c r="A12106" t="s">
        <v>349</v>
      </c>
      <c r="B12106" t="s">
        <v>17</v>
      </c>
      <c r="C12106" t="s">
        <v>2</v>
      </c>
      <c r="D12106">
        <v>3183</v>
      </c>
      <c r="E12106">
        <v>2020</v>
      </c>
      <c r="F12106">
        <v>1</v>
      </c>
      <c r="G12106">
        <v>209</v>
      </c>
      <c r="H12106" s="1">
        <v>3</v>
      </c>
      <c r="I12106">
        <v>41</v>
      </c>
      <c r="J12106">
        <f>IF($H12106=0,1,IF($I12106&lt;=1,2,0))</f>
        <v>0</v>
      </c>
      <c r="K12106">
        <v>7</v>
      </c>
      <c r="L12106">
        <f>IF(AND($J12106=0,$K12106=0),0,1)</f>
        <v>1</v>
      </c>
    </row>
    <row r="12107" spans="1:13" x14ac:dyDescent="0.2">
      <c r="A12107" t="s">
        <v>349</v>
      </c>
      <c r="B12107" t="s">
        <v>17</v>
      </c>
      <c r="C12107" t="s">
        <v>2</v>
      </c>
      <c r="D12107">
        <v>3193</v>
      </c>
      <c r="E12107">
        <v>2020</v>
      </c>
      <c r="F12107">
        <v>1</v>
      </c>
      <c r="G12107">
        <v>210</v>
      </c>
      <c r="H12107" s="1">
        <v>4</v>
      </c>
      <c r="I12107">
        <v>12</v>
      </c>
      <c r="J12107">
        <f>IF($H12107=0,1,IF($I12107&lt;=1,2,0))</f>
        <v>0</v>
      </c>
      <c r="K12107">
        <v>7</v>
      </c>
      <c r="L12107">
        <f>IF(AND($J12107=0,$K12107=0),0,1)</f>
        <v>1</v>
      </c>
      <c r="M12107" t="s">
        <v>1027</v>
      </c>
    </row>
    <row r="12108" spans="1:13" x14ac:dyDescent="0.2">
      <c r="A12108" t="s">
        <v>349</v>
      </c>
      <c r="B12108" t="s">
        <v>17</v>
      </c>
      <c r="C12108" t="s">
        <v>2</v>
      </c>
      <c r="D12108">
        <v>3193</v>
      </c>
      <c r="E12108">
        <v>2020</v>
      </c>
      <c r="F12108">
        <v>2</v>
      </c>
      <c r="G12108">
        <v>211</v>
      </c>
      <c r="H12108" s="1">
        <v>4</v>
      </c>
      <c r="I12108">
        <v>11</v>
      </c>
      <c r="J12108">
        <f>IF($H12108=0,1,IF($I12108&lt;=1,2,0))</f>
        <v>0</v>
      </c>
      <c r="K12108">
        <v>7</v>
      </c>
      <c r="L12108">
        <f>IF(AND($J12108=0,$K12108=0),0,1)</f>
        <v>1</v>
      </c>
      <c r="M12108" t="s">
        <v>1027</v>
      </c>
    </row>
    <row r="12109" spans="1:13" x14ac:dyDescent="0.2">
      <c r="A12109" t="s">
        <v>349</v>
      </c>
      <c r="B12109" t="s">
        <v>17</v>
      </c>
      <c r="C12109" t="s">
        <v>2</v>
      </c>
      <c r="D12109">
        <v>3193</v>
      </c>
      <c r="E12109">
        <v>2020</v>
      </c>
      <c r="F12109">
        <v>4</v>
      </c>
      <c r="G12109">
        <v>213</v>
      </c>
      <c r="H12109" s="1">
        <v>4</v>
      </c>
      <c r="I12109">
        <v>10</v>
      </c>
      <c r="J12109">
        <f>IF($H12109=0,1,IF($I12109&lt;=1,2,0))</f>
        <v>0</v>
      </c>
      <c r="K12109">
        <v>7</v>
      </c>
      <c r="L12109">
        <f>IF(AND($J12109=0,$K12109=0),0,1)</f>
        <v>1</v>
      </c>
      <c r="M12109" t="s">
        <v>1027</v>
      </c>
    </row>
    <row r="12110" spans="1:13" x14ac:dyDescent="0.2">
      <c r="A12110" t="s">
        <v>349</v>
      </c>
      <c r="B12110" t="s">
        <v>17</v>
      </c>
      <c r="C12110" t="s">
        <v>2</v>
      </c>
      <c r="D12110">
        <v>3193</v>
      </c>
      <c r="E12110">
        <v>2020</v>
      </c>
      <c r="F12110">
        <v>3</v>
      </c>
      <c r="G12110">
        <v>212</v>
      </c>
      <c r="H12110" s="1">
        <v>4</v>
      </c>
      <c r="I12110">
        <v>8</v>
      </c>
      <c r="J12110">
        <f>IF($H12110=0,1,IF($I12110&lt;=1,2,0))</f>
        <v>0</v>
      </c>
      <c r="K12110">
        <v>7</v>
      </c>
      <c r="L12110">
        <f>IF(AND($J12110=0,$K12110=0),0,1)</f>
        <v>1</v>
      </c>
      <c r="M12110" t="s">
        <v>1027</v>
      </c>
    </row>
    <row r="12111" spans="1:13" x14ac:dyDescent="0.2">
      <c r="A12111" t="s">
        <v>349</v>
      </c>
      <c r="B12111" t="s">
        <v>17</v>
      </c>
      <c r="C12111" t="s">
        <v>2</v>
      </c>
      <c r="D12111">
        <v>3195</v>
      </c>
      <c r="E12111">
        <v>2020</v>
      </c>
      <c r="F12111">
        <v>1</v>
      </c>
      <c r="G12111">
        <v>214</v>
      </c>
      <c r="H12111" s="1">
        <v>3</v>
      </c>
      <c r="I12111">
        <v>34</v>
      </c>
      <c r="J12111">
        <f>IF($H12111=0,1,IF($I12111&lt;=1,2,0))</f>
        <v>0</v>
      </c>
      <c r="K12111">
        <v>7</v>
      </c>
      <c r="L12111">
        <f>IF(AND($J12111=0,$K12111=0),0,1)</f>
        <v>1</v>
      </c>
    </row>
    <row r="12112" spans="1:13" x14ac:dyDescent="0.2">
      <c r="A12112" t="s">
        <v>349</v>
      </c>
      <c r="B12112" t="s">
        <v>17</v>
      </c>
      <c r="C12112" t="s">
        <v>2</v>
      </c>
      <c r="D12112">
        <v>3204</v>
      </c>
      <c r="E12112">
        <v>2020</v>
      </c>
      <c r="F12112">
        <v>1</v>
      </c>
      <c r="G12112">
        <v>215</v>
      </c>
      <c r="H12112" s="1">
        <v>3</v>
      </c>
      <c r="I12112">
        <v>25</v>
      </c>
      <c r="J12112">
        <f>IF($H12112=0,1,IF($I12112&lt;=1,2,0))</f>
        <v>0</v>
      </c>
      <c r="K12112">
        <v>7</v>
      </c>
      <c r="L12112">
        <f>IF(AND($J12112=0,$K12112=0),0,1)</f>
        <v>1</v>
      </c>
    </row>
    <row r="12113" spans="1:13" x14ac:dyDescent="0.2">
      <c r="A12113" t="s">
        <v>349</v>
      </c>
      <c r="B12113" t="s">
        <v>17</v>
      </c>
      <c r="C12113" t="s">
        <v>2</v>
      </c>
      <c r="D12113">
        <v>3208</v>
      </c>
      <c r="E12113">
        <v>2020</v>
      </c>
      <c r="F12113">
        <v>1</v>
      </c>
      <c r="G12113">
        <v>216</v>
      </c>
      <c r="H12113" s="1">
        <v>3</v>
      </c>
      <c r="I12113">
        <v>11</v>
      </c>
      <c r="J12113">
        <f>IF($H12113=0,1,IF($I12113&lt;=1,2,0))</f>
        <v>0</v>
      </c>
      <c r="K12113">
        <v>7</v>
      </c>
      <c r="L12113">
        <f>IF(AND($J12113=0,$K12113=0),0,1)</f>
        <v>1</v>
      </c>
      <c r="M12113" t="s">
        <v>1023</v>
      </c>
    </row>
    <row r="12114" spans="1:13" x14ac:dyDescent="0.2">
      <c r="A12114" t="s">
        <v>349</v>
      </c>
      <c r="B12114" t="s">
        <v>17</v>
      </c>
      <c r="C12114" t="s">
        <v>2</v>
      </c>
      <c r="D12114">
        <v>3214</v>
      </c>
      <c r="E12114">
        <v>2020</v>
      </c>
      <c r="F12114">
        <v>1</v>
      </c>
      <c r="G12114">
        <v>217</v>
      </c>
      <c r="H12114" s="1">
        <v>4</v>
      </c>
      <c r="I12114">
        <v>19</v>
      </c>
      <c r="J12114">
        <f>IF($H12114=0,1,IF($I12114&lt;=1,2,0))</f>
        <v>0</v>
      </c>
      <c r="K12114">
        <v>7</v>
      </c>
      <c r="L12114">
        <f>IF(AND($J12114=0,$K12114=0),0,1)</f>
        <v>1</v>
      </c>
    </row>
    <row r="12115" spans="1:13" x14ac:dyDescent="0.2">
      <c r="A12115" t="s">
        <v>349</v>
      </c>
      <c r="B12115" t="s">
        <v>17</v>
      </c>
      <c r="C12115" t="s">
        <v>2</v>
      </c>
      <c r="D12115">
        <v>3215</v>
      </c>
      <c r="E12115">
        <v>2020</v>
      </c>
      <c r="F12115">
        <v>1</v>
      </c>
      <c r="G12115">
        <v>218</v>
      </c>
      <c r="H12115" s="1">
        <v>3</v>
      </c>
      <c r="I12115">
        <v>19</v>
      </c>
      <c r="J12115">
        <f>IF($H12115=0,1,IF($I12115&lt;=1,2,0))</f>
        <v>0</v>
      </c>
      <c r="K12115">
        <v>7</v>
      </c>
      <c r="L12115">
        <f>IF(AND($J12115=0,$K12115=0),0,1)</f>
        <v>1</v>
      </c>
    </row>
    <row r="12116" spans="1:13" x14ac:dyDescent="0.2">
      <c r="A12116" t="s">
        <v>349</v>
      </c>
      <c r="B12116" t="s">
        <v>17</v>
      </c>
      <c r="C12116" t="s">
        <v>2</v>
      </c>
      <c r="D12116">
        <v>3223</v>
      </c>
      <c r="E12116">
        <v>2020</v>
      </c>
      <c r="F12116">
        <v>1</v>
      </c>
      <c r="G12116">
        <v>219</v>
      </c>
      <c r="H12116" s="1">
        <v>4</v>
      </c>
      <c r="I12116">
        <v>13</v>
      </c>
      <c r="J12116">
        <f>IF($H12116=0,1,IF($I12116&lt;=1,2,0))</f>
        <v>0</v>
      </c>
      <c r="K12116">
        <v>7</v>
      </c>
      <c r="L12116">
        <f>IF(AND($J12116=0,$K12116=0),0,1)</f>
        <v>1</v>
      </c>
      <c r="M12116" t="s">
        <v>1028</v>
      </c>
    </row>
    <row r="12117" spans="1:13" x14ac:dyDescent="0.2">
      <c r="A12117" t="s">
        <v>349</v>
      </c>
      <c r="B12117" t="s">
        <v>17</v>
      </c>
      <c r="C12117" t="s">
        <v>2</v>
      </c>
      <c r="D12117">
        <v>3250</v>
      </c>
      <c r="E12117">
        <v>2020</v>
      </c>
      <c r="F12117">
        <v>1</v>
      </c>
      <c r="G12117">
        <v>220</v>
      </c>
      <c r="H12117" s="1">
        <v>3</v>
      </c>
      <c r="I12117">
        <v>18</v>
      </c>
      <c r="J12117">
        <f>IF($H12117=0,1,IF($I12117&lt;=1,2,0))</f>
        <v>0</v>
      </c>
      <c r="K12117">
        <v>7</v>
      </c>
      <c r="L12117">
        <f>IF(AND($J12117=0,$K12117=0),0,1)</f>
        <v>1</v>
      </c>
    </row>
    <row r="12118" spans="1:13" x14ac:dyDescent="0.2">
      <c r="A12118" t="s">
        <v>349</v>
      </c>
      <c r="B12118" t="s">
        <v>17</v>
      </c>
      <c r="C12118" t="s">
        <v>2</v>
      </c>
      <c r="D12118">
        <v>3252</v>
      </c>
      <c r="E12118">
        <v>2020</v>
      </c>
      <c r="F12118">
        <v>1</v>
      </c>
      <c r="G12118">
        <v>221</v>
      </c>
      <c r="H12118" s="1">
        <v>4</v>
      </c>
      <c r="I12118">
        <v>10</v>
      </c>
      <c r="J12118">
        <f>IF($H12118=0,1,IF($I12118&lt;=1,2,0))</f>
        <v>0</v>
      </c>
      <c r="K12118">
        <v>7</v>
      </c>
      <c r="L12118">
        <f>IF(AND($J12118=0,$K12118=0),0,1)</f>
        <v>1</v>
      </c>
      <c r="M12118" t="s">
        <v>370</v>
      </c>
    </row>
    <row r="12119" spans="1:13" x14ac:dyDescent="0.2">
      <c r="A12119" t="s">
        <v>349</v>
      </c>
      <c r="B12119" t="s">
        <v>17</v>
      </c>
      <c r="C12119" t="s">
        <v>9</v>
      </c>
      <c r="D12119">
        <v>3871</v>
      </c>
      <c r="E12119">
        <v>2020</v>
      </c>
      <c r="F12119">
        <v>1</v>
      </c>
      <c r="G12119">
        <v>10363</v>
      </c>
      <c r="H12119" s="1" t="s">
        <v>1823</v>
      </c>
      <c r="I12119">
        <v>2</v>
      </c>
      <c r="J12119">
        <f>IF($H12119=0,1,IF($I12119&lt;=1,2,0))</f>
        <v>0</v>
      </c>
      <c r="K12119">
        <v>4</v>
      </c>
      <c r="L12119">
        <f>IF(AND($J12119=0,$K12119=0),0,1)</f>
        <v>1</v>
      </c>
    </row>
    <row r="12120" spans="1:13" x14ac:dyDescent="0.2">
      <c r="A12120" t="s">
        <v>349</v>
      </c>
      <c r="B12120" t="s">
        <v>17</v>
      </c>
      <c r="C12120" t="s">
        <v>2</v>
      </c>
      <c r="D12120">
        <v>3904</v>
      </c>
      <c r="E12120">
        <v>2020</v>
      </c>
      <c r="F12120">
        <v>1</v>
      </c>
      <c r="G12120">
        <v>222</v>
      </c>
      <c r="H12120" s="1">
        <v>4</v>
      </c>
      <c r="I12120">
        <v>11</v>
      </c>
      <c r="J12120">
        <f>IF($H12120=0,1,IF($I12120&lt;=1,2,0))</f>
        <v>0</v>
      </c>
      <c r="K12120">
        <v>7</v>
      </c>
      <c r="L12120">
        <f>IF(AND($J12120=0,$K12120=0),0,1)</f>
        <v>1</v>
      </c>
      <c r="M12120" t="s">
        <v>373</v>
      </c>
    </row>
    <row r="12121" spans="1:13" x14ac:dyDescent="0.2">
      <c r="A12121" t="s">
        <v>349</v>
      </c>
      <c r="B12121" t="s">
        <v>17</v>
      </c>
      <c r="C12121" t="s">
        <v>2</v>
      </c>
      <c r="D12121">
        <v>3920</v>
      </c>
      <c r="E12121">
        <v>2020</v>
      </c>
      <c r="F12121">
        <v>1</v>
      </c>
      <c r="G12121">
        <v>223</v>
      </c>
      <c r="H12121" s="1">
        <v>4</v>
      </c>
      <c r="I12121">
        <v>7</v>
      </c>
      <c r="J12121">
        <f>IF($H12121=0,1,IF($I12121&lt;=1,2,0))</f>
        <v>0</v>
      </c>
      <c r="K12121">
        <v>7</v>
      </c>
      <c r="L12121">
        <f>IF(AND($J12121=0,$K12121=0),0,1)</f>
        <v>1</v>
      </c>
      <c r="M12121" t="s">
        <v>373</v>
      </c>
    </row>
    <row r="12122" spans="1:13" x14ac:dyDescent="0.2">
      <c r="A12122" t="s">
        <v>349</v>
      </c>
      <c r="B12122" t="s">
        <v>17</v>
      </c>
      <c r="C12122" t="s">
        <v>2</v>
      </c>
      <c r="D12122">
        <v>3927</v>
      </c>
      <c r="E12122">
        <v>2020</v>
      </c>
      <c r="F12122">
        <v>1</v>
      </c>
      <c r="G12122">
        <v>224</v>
      </c>
      <c r="H12122" s="1">
        <v>4</v>
      </c>
      <c r="I12122">
        <v>6</v>
      </c>
      <c r="J12122">
        <f>IF($H12122=0,1,IF($I12122&lt;=1,2,0))</f>
        <v>0</v>
      </c>
      <c r="K12122">
        <v>7</v>
      </c>
      <c r="L12122">
        <f>IF(AND($J12122=0,$K12122=0),0,1)</f>
        <v>1</v>
      </c>
      <c r="M12122" t="s">
        <v>373</v>
      </c>
    </row>
    <row r="12123" spans="1:13" x14ac:dyDescent="0.2">
      <c r="A12123" t="s">
        <v>349</v>
      </c>
      <c r="B12123" t="s">
        <v>17</v>
      </c>
      <c r="C12123" t="s">
        <v>2</v>
      </c>
      <c r="D12123">
        <v>3936</v>
      </c>
      <c r="E12123">
        <v>2020</v>
      </c>
      <c r="F12123">
        <v>1</v>
      </c>
      <c r="G12123">
        <v>225</v>
      </c>
      <c r="H12123" s="1">
        <v>4</v>
      </c>
      <c r="I12123">
        <v>12</v>
      </c>
      <c r="J12123">
        <f>IF($H12123=0,1,IF($I12123&lt;=1,2,0))</f>
        <v>0</v>
      </c>
      <c r="K12123">
        <v>7</v>
      </c>
      <c r="L12123">
        <f>IF(AND($J12123=0,$K12123=0),0,1)</f>
        <v>1</v>
      </c>
      <c r="M12123" t="s">
        <v>373</v>
      </c>
    </row>
    <row r="12124" spans="1:13" x14ac:dyDescent="0.2">
      <c r="A12124" t="s">
        <v>349</v>
      </c>
      <c r="B12124" t="s">
        <v>17</v>
      </c>
      <c r="C12124" t="s">
        <v>2</v>
      </c>
      <c r="D12124">
        <v>3996</v>
      </c>
      <c r="E12124">
        <v>2020</v>
      </c>
      <c r="F12124">
        <v>3</v>
      </c>
      <c r="G12124">
        <v>228</v>
      </c>
      <c r="H12124" s="1">
        <v>1</v>
      </c>
      <c r="I12124">
        <v>2</v>
      </c>
      <c r="J12124">
        <f>IF($H12124=0,1,IF($I12124&lt;=1,2,0))</f>
        <v>0</v>
      </c>
      <c r="K12124">
        <v>7</v>
      </c>
      <c r="L12124">
        <f>IF(AND($J12124=0,$K12124=0),0,1)</f>
        <v>1</v>
      </c>
    </row>
    <row r="12125" spans="1:13" x14ac:dyDescent="0.2">
      <c r="A12125" t="s">
        <v>349</v>
      </c>
      <c r="B12125" t="s">
        <v>17</v>
      </c>
      <c r="C12125" t="s">
        <v>2</v>
      </c>
      <c r="D12125">
        <v>3996</v>
      </c>
      <c r="E12125">
        <v>2020</v>
      </c>
      <c r="F12125">
        <v>7</v>
      </c>
      <c r="G12125">
        <v>232</v>
      </c>
      <c r="H12125" s="1">
        <v>1</v>
      </c>
      <c r="I12125">
        <v>2</v>
      </c>
      <c r="J12125">
        <f>IF($H12125=0,1,IF($I12125&lt;=1,2,0))</f>
        <v>0</v>
      </c>
      <c r="K12125">
        <v>7</v>
      </c>
      <c r="L12125">
        <f>IF(AND($J12125=0,$K12125=0),0,1)</f>
        <v>1</v>
      </c>
    </row>
    <row r="12126" spans="1:13" x14ac:dyDescent="0.2">
      <c r="A12126" t="s">
        <v>349</v>
      </c>
      <c r="B12126" t="s">
        <v>17</v>
      </c>
      <c r="C12126" t="s">
        <v>2</v>
      </c>
      <c r="D12126">
        <v>3996</v>
      </c>
      <c r="E12126">
        <v>2020</v>
      </c>
      <c r="F12126">
        <v>8</v>
      </c>
      <c r="G12126">
        <v>233</v>
      </c>
      <c r="H12126" s="1">
        <v>1</v>
      </c>
      <c r="I12126">
        <v>2</v>
      </c>
      <c r="J12126">
        <f>IF($H12126=0,1,IF($I12126&lt;=1,2,0))</f>
        <v>0</v>
      </c>
      <c r="K12126">
        <v>7</v>
      </c>
      <c r="L12126">
        <f>IF(AND($J12126=0,$K12126=0),0,1)</f>
        <v>1</v>
      </c>
    </row>
    <row r="12127" spans="1:13" x14ac:dyDescent="0.2">
      <c r="A12127" t="s">
        <v>349</v>
      </c>
      <c r="B12127" t="s">
        <v>17</v>
      </c>
      <c r="C12127" t="s">
        <v>2</v>
      </c>
      <c r="D12127">
        <v>3996</v>
      </c>
      <c r="E12127">
        <v>2020</v>
      </c>
      <c r="F12127">
        <v>10</v>
      </c>
      <c r="G12127">
        <v>235</v>
      </c>
      <c r="H12127" s="1">
        <v>1</v>
      </c>
      <c r="I12127">
        <v>2</v>
      </c>
      <c r="J12127">
        <f>IF($H12127=0,1,IF($I12127&lt;=1,2,0))</f>
        <v>0</v>
      </c>
      <c r="K12127">
        <v>7</v>
      </c>
      <c r="L12127">
        <f>IF(AND($J12127=0,$K12127=0),0,1)</f>
        <v>1</v>
      </c>
    </row>
    <row r="12128" spans="1:13" x14ac:dyDescent="0.2">
      <c r="A12128" t="s">
        <v>349</v>
      </c>
      <c r="B12128" t="s">
        <v>17</v>
      </c>
      <c r="C12128" t="s">
        <v>2</v>
      </c>
      <c r="D12128">
        <v>3996</v>
      </c>
      <c r="E12128">
        <v>2020</v>
      </c>
      <c r="F12128">
        <v>1</v>
      </c>
      <c r="G12128">
        <v>226</v>
      </c>
      <c r="H12128" s="1">
        <v>1</v>
      </c>
      <c r="I12128">
        <v>1</v>
      </c>
      <c r="J12128">
        <f>IF($H12128=0,1,IF($I12128&lt;=1,2,0))</f>
        <v>2</v>
      </c>
      <c r="K12128">
        <v>7</v>
      </c>
      <c r="L12128">
        <f>IF(AND($J12128=0,$K12128=0),0,1)</f>
        <v>1</v>
      </c>
    </row>
    <row r="12129" spans="1:12" x14ac:dyDescent="0.2">
      <c r="A12129" t="s">
        <v>349</v>
      </c>
      <c r="B12129" t="s">
        <v>17</v>
      </c>
      <c r="C12129" t="s">
        <v>2</v>
      </c>
      <c r="D12129">
        <v>3996</v>
      </c>
      <c r="E12129">
        <v>2020</v>
      </c>
      <c r="F12129">
        <v>6</v>
      </c>
      <c r="G12129">
        <v>231</v>
      </c>
      <c r="H12129" s="1">
        <v>1</v>
      </c>
      <c r="I12129">
        <v>1</v>
      </c>
      <c r="J12129">
        <f>IF($H12129=0,1,IF($I12129&lt;=1,2,0))</f>
        <v>2</v>
      </c>
      <c r="K12129">
        <v>7</v>
      </c>
      <c r="L12129">
        <f>IF(AND($J12129=0,$K12129=0),0,1)</f>
        <v>1</v>
      </c>
    </row>
    <row r="12130" spans="1:12" x14ac:dyDescent="0.2">
      <c r="A12130" t="s">
        <v>349</v>
      </c>
      <c r="B12130" t="s">
        <v>17</v>
      </c>
      <c r="C12130" t="s">
        <v>2</v>
      </c>
      <c r="D12130">
        <v>3996</v>
      </c>
      <c r="E12130">
        <v>2020</v>
      </c>
      <c r="F12130">
        <v>11</v>
      </c>
      <c r="G12130">
        <v>839</v>
      </c>
      <c r="H12130" s="1">
        <v>1</v>
      </c>
      <c r="I12130">
        <v>1</v>
      </c>
      <c r="J12130">
        <f>IF($H12130=0,1,IF($I12130&lt;=1,2,0))</f>
        <v>2</v>
      </c>
      <c r="K12130">
        <v>7</v>
      </c>
      <c r="L12130">
        <f>IF(AND($J12130=0,$K12130=0),0,1)</f>
        <v>1</v>
      </c>
    </row>
    <row r="12131" spans="1:12" x14ac:dyDescent="0.2">
      <c r="A12131" t="s">
        <v>349</v>
      </c>
      <c r="B12131" t="s">
        <v>17</v>
      </c>
      <c r="C12131" t="s">
        <v>2</v>
      </c>
      <c r="D12131">
        <v>3996</v>
      </c>
      <c r="E12131">
        <v>2020</v>
      </c>
      <c r="F12131">
        <v>2</v>
      </c>
      <c r="G12131">
        <v>227</v>
      </c>
      <c r="H12131" s="1">
        <v>1</v>
      </c>
      <c r="I12131">
        <v>0</v>
      </c>
      <c r="J12131">
        <f>IF($H12131=0,1,IF($I12131&lt;=1,2,0))</f>
        <v>2</v>
      </c>
      <c r="K12131">
        <v>7</v>
      </c>
      <c r="L12131">
        <f>IF(AND($J12131=0,$K12131=0),0,1)</f>
        <v>1</v>
      </c>
    </row>
    <row r="12132" spans="1:12" x14ac:dyDescent="0.2">
      <c r="A12132" t="s">
        <v>349</v>
      </c>
      <c r="B12132" t="s">
        <v>17</v>
      </c>
      <c r="C12132" t="s">
        <v>2</v>
      </c>
      <c r="D12132">
        <v>3996</v>
      </c>
      <c r="E12132">
        <v>2020</v>
      </c>
      <c r="F12132">
        <v>4</v>
      </c>
      <c r="G12132">
        <v>229</v>
      </c>
      <c r="H12132" s="1">
        <v>1</v>
      </c>
      <c r="I12132">
        <v>0</v>
      </c>
      <c r="J12132">
        <f>IF($H12132=0,1,IF($I12132&lt;=1,2,0))</f>
        <v>2</v>
      </c>
      <c r="K12132">
        <v>7</v>
      </c>
      <c r="L12132">
        <f>IF(AND($J12132=0,$K12132=0),0,1)</f>
        <v>1</v>
      </c>
    </row>
    <row r="12133" spans="1:12" x14ac:dyDescent="0.2">
      <c r="A12133" t="s">
        <v>349</v>
      </c>
      <c r="B12133" t="s">
        <v>17</v>
      </c>
      <c r="C12133" t="s">
        <v>2</v>
      </c>
      <c r="D12133">
        <v>3996</v>
      </c>
      <c r="E12133">
        <v>2020</v>
      </c>
      <c r="F12133">
        <v>5</v>
      </c>
      <c r="G12133">
        <v>230</v>
      </c>
      <c r="H12133" s="1">
        <v>1</v>
      </c>
      <c r="I12133">
        <v>0</v>
      </c>
      <c r="J12133">
        <f>IF($H12133=0,1,IF($I12133&lt;=1,2,0))</f>
        <v>2</v>
      </c>
      <c r="K12133">
        <v>7</v>
      </c>
      <c r="L12133">
        <f>IF(AND($J12133=0,$K12133=0),0,1)</f>
        <v>1</v>
      </c>
    </row>
    <row r="12134" spans="1:12" x14ac:dyDescent="0.2">
      <c r="A12134" t="s">
        <v>349</v>
      </c>
      <c r="B12134" t="s">
        <v>17</v>
      </c>
      <c r="C12134" t="s">
        <v>2</v>
      </c>
      <c r="D12134">
        <v>3996</v>
      </c>
      <c r="E12134">
        <v>2020</v>
      </c>
      <c r="F12134">
        <v>9</v>
      </c>
      <c r="G12134">
        <v>234</v>
      </c>
      <c r="H12134" s="1">
        <v>1</v>
      </c>
      <c r="I12134">
        <v>0</v>
      </c>
      <c r="J12134">
        <f>IF($H12134=0,1,IF($I12134&lt;=1,2,0))</f>
        <v>2</v>
      </c>
      <c r="K12134">
        <v>7</v>
      </c>
      <c r="L12134">
        <f>IF(AND($J12134=0,$K12134=0),0,1)</f>
        <v>1</v>
      </c>
    </row>
    <row r="12135" spans="1:12" x14ac:dyDescent="0.2">
      <c r="A12135" t="s">
        <v>349</v>
      </c>
      <c r="B12135" t="s">
        <v>17</v>
      </c>
      <c r="C12135" t="s">
        <v>2</v>
      </c>
      <c r="D12135">
        <v>3999</v>
      </c>
      <c r="E12135">
        <v>2020</v>
      </c>
      <c r="F12135">
        <v>1</v>
      </c>
      <c r="G12135">
        <v>236</v>
      </c>
      <c r="H12135" s="1" t="s">
        <v>1823</v>
      </c>
      <c r="I12135">
        <v>1</v>
      </c>
      <c r="J12135">
        <f>IF($H12135=0,1,IF($I12135&lt;=1,2,0))</f>
        <v>2</v>
      </c>
      <c r="K12135">
        <v>7</v>
      </c>
      <c r="L12135">
        <f>IF(AND($J12135=0,$K12135=0),0,1)</f>
        <v>1</v>
      </c>
    </row>
    <row r="12136" spans="1:12" x14ac:dyDescent="0.2">
      <c r="A12136" t="s">
        <v>349</v>
      </c>
      <c r="B12136" t="s">
        <v>17</v>
      </c>
      <c r="C12136" t="s">
        <v>2</v>
      </c>
      <c r="D12136">
        <v>3999</v>
      </c>
      <c r="E12136">
        <v>2020</v>
      </c>
      <c r="F12136">
        <v>2</v>
      </c>
      <c r="G12136">
        <v>237</v>
      </c>
      <c r="H12136" s="1" t="s">
        <v>1823</v>
      </c>
      <c r="I12136">
        <v>1</v>
      </c>
      <c r="J12136">
        <f>IF($H12136=0,1,IF($I12136&lt;=1,2,0))</f>
        <v>2</v>
      </c>
      <c r="K12136">
        <v>7</v>
      </c>
      <c r="L12136">
        <f>IF(AND($J12136=0,$K12136=0),0,1)</f>
        <v>1</v>
      </c>
    </row>
    <row r="12137" spans="1:12" x14ac:dyDescent="0.2">
      <c r="A12137" t="s">
        <v>349</v>
      </c>
      <c r="B12137" t="s">
        <v>17</v>
      </c>
      <c r="C12137" t="s">
        <v>9</v>
      </c>
      <c r="D12137">
        <v>4999</v>
      </c>
      <c r="E12137">
        <v>2020</v>
      </c>
      <c r="F12137">
        <v>1</v>
      </c>
      <c r="G12137">
        <v>24842</v>
      </c>
      <c r="H12137" s="1" t="s">
        <v>1823</v>
      </c>
      <c r="I12137">
        <v>1</v>
      </c>
      <c r="J12137">
        <f>IF($H12137=0,1,IF($I12137&lt;=1,2,0))</f>
        <v>2</v>
      </c>
      <c r="K12137">
        <v>9</v>
      </c>
      <c r="L12137">
        <f>IF(AND($J12137=0,$K12137=0),0,1)</f>
        <v>1</v>
      </c>
    </row>
    <row r="12138" spans="1:12" x14ac:dyDescent="0.2">
      <c r="A12138" t="s">
        <v>349</v>
      </c>
      <c r="B12138" t="s">
        <v>17</v>
      </c>
      <c r="C12138" t="s">
        <v>9</v>
      </c>
      <c r="D12138">
        <v>4999</v>
      </c>
      <c r="E12138">
        <v>2020</v>
      </c>
      <c r="F12138">
        <v>2</v>
      </c>
      <c r="G12138">
        <v>24862</v>
      </c>
      <c r="H12138" s="1" t="s">
        <v>1823</v>
      </c>
      <c r="I12138">
        <v>1</v>
      </c>
      <c r="J12138">
        <f>IF($H12138=0,1,IF($I12138&lt;=1,2,0))</f>
        <v>2</v>
      </c>
      <c r="K12138">
        <v>9</v>
      </c>
      <c r="L12138">
        <f>IF(AND($J12138=0,$K12138=0),0,1)</f>
        <v>1</v>
      </c>
    </row>
    <row r="12139" spans="1:12" x14ac:dyDescent="0.2">
      <c r="A12139" t="s">
        <v>349</v>
      </c>
      <c r="B12139" t="s">
        <v>17</v>
      </c>
      <c r="C12139" t="s">
        <v>9</v>
      </c>
      <c r="D12139">
        <v>4999</v>
      </c>
      <c r="E12139">
        <v>2020</v>
      </c>
      <c r="F12139">
        <v>3</v>
      </c>
      <c r="G12139">
        <v>24863</v>
      </c>
      <c r="H12139" s="1" t="s">
        <v>1823</v>
      </c>
      <c r="I12139">
        <v>0</v>
      </c>
      <c r="J12139">
        <f>IF($H12139=0,1,IF($I12139&lt;=1,2,0))</f>
        <v>2</v>
      </c>
      <c r="K12139">
        <v>9</v>
      </c>
      <c r="L12139">
        <f>IF(AND($J12139=0,$K12139=0),0,1)</f>
        <v>1</v>
      </c>
    </row>
    <row r="12140" spans="1:12" x14ac:dyDescent="0.2">
      <c r="A12140" t="s">
        <v>349</v>
      </c>
      <c r="B12140" t="s">
        <v>17</v>
      </c>
      <c r="C12140" t="s">
        <v>11</v>
      </c>
      <c r="D12140">
        <v>5001</v>
      </c>
      <c r="E12140">
        <v>2020</v>
      </c>
      <c r="F12140">
        <v>1</v>
      </c>
      <c r="G12140">
        <v>10028</v>
      </c>
      <c r="H12140" s="1">
        <v>4</v>
      </c>
      <c r="I12140">
        <v>12</v>
      </c>
      <c r="J12140">
        <f>IF($H12140=0,1,IF($I12140&lt;=1,2,0))</f>
        <v>0</v>
      </c>
      <c r="K12140">
        <v>4</v>
      </c>
      <c r="L12140">
        <f>IF(AND($J12140=0,$K12140=0),0,1)</f>
        <v>1</v>
      </c>
    </row>
    <row r="12141" spans="1:12" x14ac:dyDescent="0.2">
      <c r="A12141" t="s">
        <v>349</v>
      </c>
      <c r="B12141" t="s">
        <v>17</v>
      </c>
      <c r="C12141" t="s">
        <v>11</v>
      </c>
      <c r="D12141">
        <v>5001</v>
      </c>
      <c r="E12141">
        <v>2020</v>
      </c>
      <c r="F12141">
        <v>2</v>
      </c>
      <c r="G12141">
        <v>10029</v>
      </c>
      <c r="H12141" s="1">
        <v>4</v>
      </c>
      <c r="I12141">
        <v>6</v>
      </c>
      <c r="J12141">
        <f>IF($H12141=0,1,IF($I12141&lt;=1,2,0))</f>
        <v>0</v>
      </c>
      <c r="K12141">
        <v>4</v>
      </c>
      <c r="L12141">
        <f>IF(AND($J12141=0,$K12141=0),0,1)</f>
        <v>1</v>
      </c>
    </row>
    <row r="12142" spans="1:12" x14ac:dyDescent="0.2">
      <c r="A12142" t="s">
        <v>349</v>
      </c>
      <c r="B12142" t="s">
        <v>17</v>
      </c>
      <c r="C12142" t="s">
        <v>11</v>
      </c>
      <c r="D12142">
        <v>6050</v>
      </c>
      <c r="E12142">
        <v>2020</v>
      </c>
      <c r="F12142">
        <v>1</v>
      </c>
      <c r="G12142">
        <v>22153</v>
      </c>
      <c r="H12142" s="1">
        <v>0</v>
      </c>
      <c r="I12142">
        <v>11</v>
      </c>
      <c r="J12142">
        <f>IF($H12142=0,1,IF($I12142&lt;=1,2,0))</f>
        <v>1</v>
      </c>
      <c r="K12142">
        <v>0</v>
      </c>
      <c r="L12142">
        <f>IF(AND($J12142=0,$K12142=0),0,1)</f>
        <v>1</v>
      </c>
    </row>
    <row r="12143" spans="1:12" x14ac:dyDescent="0.2">
      <c r="A12143" t="s">
        <v>349</v>
      </c>
      <c r="B12143" t="s">
        <v>17</v>
      </c>
      <c r="C12143" t="s">
        <v>11</v>
      </c>
      <c r="D12143">
        <v>6999</v>
      </c>
      <c r="E12143">
        <v>2020</v>
      </c>
      <c r="F12143">
        <v>4</v>
      </c>
      <c r="G12143">
        <v>23015</v>
      </c>
      <c r="H12143" s="1" t="s">
        <v>1823</v>
      </c>
      <c r="I12143">
        <v>2</v>
      </c>
      <c r="J12143">
        <f>IF($H12143=0,1,IF($I12143&lt;=1,2,0))</f>
        <v>0</v>
      </c>
      <c r="K12143">
        <v>9</v>
      </c>
      <c r="L12143">
        <f>IF(AND($J12143=0,$K12143=0),0,1)</f>
        <v>1</v>
      </c>
    </row>
    <row r="12144" spans="1:12" x14ac:dyDescent="0.2">
      <c r="A12144" t="s">
        <v>349</v>
      </c>
      <c r="B12144" t="s">
        <v>17</v>
      </c>
      <c r="C12144" t="s">
        <v>11</v>
      </c>
      <c r="D12144">
        <v>6999</v>
      </c>
      <c r="E12144">
        <v>2020</v>
      </c>
      <c r="F12144">
        <v>1</v>
      </c>
      <c r="G12144">
        <v>12177</v>
      </c>
      <c r="H12144" s="1" t="s">
        <v>1823</v>
      </c>
      <c r="I12144">
        <v>1</v>
      </c>
      <c r="J12144">
        <f>IF($H12144=0,1,IF($I12144&lt;=1,2,0))</f>
        <v>2</v>
      </c>
      <c r="K12144">
        <v>9</v>
      </c>
      <c r="L12144">
        <f>IF(AND($J12144=0,$K12144=0),0,1)</f>
        <v>1</v>
      </c>
    </row>
    <row r="12145" spans="1:13" x14ac:dyDescent="0.2">
      <c r="A12145" t="s">
        <v>349</v>
      </c>
      <c r="B12145" t="s">
        <v>17</v>
      </c>
      <c r="C12145" t="s">
        <v>11</v>
      </c>
      <c r="D12145">
        <v>6999</v>
      </c>
      <c r="E12145">
        <v>2020</v>
      </c>
      <c r="F12145">
        <v>2</v>
      </c>
      <c r="G12145">
        <v>12178</v>
      </c>
      <c r="H12145" s="1" t="s">
        <v>1823</v>
      </c>
      <c r="I12145">
        <v>1</v>
      </c>
      <c r="J12145">
        <f>IF($H12145=0,1,IF($I12145&lt;=1,2,0))</f>
        <v>2</v>
      </c>
      <c r="K12145">
        <v>9</v>
      </c>
      <c r="L12145">
        <f>IF(AND($J12145=0,$K12145=0),0,1)</f>
        <v>1</v>
      </c>
    </row>
    <row r="12146" spans="1:13" x14ac:dyDescent="0.2">
      <c r="A12146" t="s">
        <v>349</v>
      </c>
      <c r="B12146" t="s">
        <v>17</v>
      </c>
      <c r="C12146" t="s">
        <v>11</v>
      </c>
      <c r="D12146">
        <v>6999</v>
      </c>
      <c r="E12146">
        <v>2020</v>
      </c>
      <c r="F12146">
        <v>3</v>
      </c>
      <c r="G12146">
        <v>15439</v>
      </c>
      <c r="H12146" s="1" t="s">
        <v>1823</v>
      </c>
      <c r="I12146">
        <v>1</v>
      </c>
      <c r="J12146">
        <f>IF($H12146=0,1,IF($I12146&lt;=1,2,0))</f>
        <v>2</v>
      </c>
      <c r="K12146">
        <v>9</v>
      </c>
      <c r="L12146">
        <f>IF(AND($J12146=0,$K12146=0),0,1)</f>
        <v>1</v>
      </c>
    </row>
    <row r="12147" spans="1:13" x14ac:dyDescent="0.2">
      <c r="A12147" t="s">
        <v>349</v>
      </c>
      <c r="B12147" t="s">
        <v>17</v>
      </c>
      <c r="C12147" t="s">
        <v>11</v>
      </c>
      <c r="D12147">
        <v>6999</v>
      </c>
      <c r="E12147">
        <v>2020</v>
      </c>
      <c r="F12147">
        <v>5</v>
      </c>
      <c r="G12147">
        <v>24796</v>
      </c>
      <c r="H12147" s="1" t="s">
        <v>1823</v>
      </c>
      <c r="I12147">
        <v>1</v>
      </c>
      <c r="J12147">
        <f>IF($H12147=0,1,IF($I12147&lt;=1,2,0))</f>
        <v>2</v>
      </c>
      <c r="K12147">
        <v>9</v>
      </c>
      <c r="L12147">
        <f>IF(AND($J12147=0,$K12147=0),0,1)</f>
        <v>1</v>
      </c>
    </row>
    <row r="12148" spans="1:13" x14ac:dyDescent="0.2">
      <c r="A12148" t="s">
        <v>349</v>
      </c>
      <c r="B12148" t="s">
        <v>17</v>
      </c>
      <c r="C12148" t="s">
        <v>11</v>
      </c>
      <c r="D12148">
        <v>6999</v>
      </c>
      <c r="E12148">
        <v>2020</v>
      </c>
      <c r="F12148">
        <v>6</v>
      </c>
      <c r="G12148">
        <v>24797</v>
      </c>
      <c r="H12148" s="1" t="s">
        <v>1823</v>
      </c>
      <c r="I12148">
        <v>1</v>
      </c>
      <c r="J12148">
        <f>IF($H12148=0,1,IF($I12148&lt;=1,2,0))</f>
        <v>2</v>
      </c>
      <c r="K12148">
        <v>9</v>
      </c>
      <c r="L12148">
        <f>IF(AND($J12148=0,$K12148=0),0,1)</f>
        <v>1</v>
      </c>
    </row>
    <row r="12149" spans="1:13" x14ac:dyDescent="0.2">
      <c r="A12149" t="s">
        <v>349</v>
      </c>
      <c r="B12149" t="s">
        <v>17</v>
      </c>
      <c r="C12149" t="s">
        <v>11</v>
      </c>
      <c r="D12149">
        <v>6999</v>
      </c>
      <c r="E12149">
        <v>2020</v>
      </c>
      <c r="F12149">
        <v>7</v>
      </c>
      <c r="G12149">
        <v>24804</v>
      </c>
      <c r="H12149" s="1" t="s">
        <v>1823</v>
      </c>
      <c r="I12149">
        <v>1</v>
      </c>
      <c r="J12149">
        <f>IF($H12149=0,1,IF($I12149&lt;=1,2,0))</f>
        <v>2</v>
      </c>
      <c r="K12149">
        <v>9</v>
      </c>
      <c r="L12149">
        <f>IF(AND($J12149=0,$K12149=0),0,1)</f>
        <v>1</v>
      </c>
    </row>
    <row r="12150" spans="1:13" x14ac:dyDescent="0.2">
      <c r="A12150" t="s">
        <v>349</v>
      </c>
      <c r="B12150" t="s">
        <v>17</v>
      </c>
      <c r="C12150" t="s">
        <v>11</v>
      </c>
      <c r="D12150">
        <v>6999</v>
      </c>
      <c r="E12150">
        <v>2020</v>
      </c>
      <c r="F12150">
        <v>8</v>
      </c>
      <c r="G12150">
        <v>24873</v>
      </c>
      <c r="H12150" s="1" t="s">
        <v>1823</v>
      </c>
      <c r="I12150">
        <v>1</v>
      </c>
      <c r="J12150">
        <f>IF($H12150=0,1,IF($I12150&lt;=1,2,0))</f>
        <v>2</v>
      </c>
      <c r="K12150">
        <v>9</v>
      </c>
      <c r="L12150">
        <f>IF(AND($J12150=0,$K12150=0),0,1)</f>
        <v>1</v>
      </c>
    </row>
    <row r="12151" spans="1:13" x14ac:dyDescent="0.2">
      <c r="A12151" t="s">
        <v>375</v>
      </c>
      <c r="B12151" t="s">
        <v>71</v>
      </c>
      <c r="C12151" t="s">
        <v>72</v>
      </c>
      <c r="D12151">
        <v>1</v>
      </c>
      <c r="E12151">
        <v>2020</v>
      </c>
      <c r="F12151">
        <v>1</v>
      </c>
      <c r="G12151">
        <v>22004</v>
      </c>
      <c r="H12151" s="1">
        <v>0</v>
      </c>
      <c r="I12151">
        <v>0</v>
      </c>
      <c r="J12151">
        <f>IF($H12151=0,1,IF($I12151&lt;=1,2,0))</f>
        <v>1</v>
      </c>
      <c r="K12151">
        <v>0</v>
      </c>
      <c r="L12151">
        <f>IF(AND($J12151=0,$K12151=0),0,1)</f>
        <v>1</v>
      </c>
    </row>
    <row r="12152" spans="1:13" x14ac:dyDescent="0.2">
      <c r="A12152" t="s">
        <v>375</v>
      </c>
      <c r="B12152" t="s">
        <v>71</v>
      </c>
      <c r="C12152" t="s">
        <v>72</v>
      </c>
      <c r="D12152">
        <v>4215</v>
      </c>
      <c r="E12152">
        <v>2020</v>
      </c>
      <c r="F12152" t="s">
        <v>84</v>
      </c>
      <c r="G12152">
        <v>21584</v>
      </c>
      <c r="H12152" s="1">
        <v>3</v>
      </c>
      <c r="I12152">
        <v>1</v>
      </c>
      <c r="J12152">
        <f>IF($H12152=0,1,IF($I12152&lt;=1,2,0))</f>
        <v>2</v>
      </c>
      <c r="K12152">
        <v>0</v>
      </c>
      <c r="L12152">
        <f>IF(AND($J12152=0,$K12152=0),0,1)</f>
        <v>1</v>
      </c>
      <c r="M12152" t="s">
        <v>85</v>
      </c>
    </row>
    <row r="12153" spans="1:13" x14ac:dyDescent="0.2">
      <c r="A12153" t="s">
        <v>375</v>
      </c>
      <c r="B12153" t="s">
        <v>71</v>
      </c>
      <c r="C12153" t="s">
        <v>72</v>
      </c>
      <c r="D12153">
        <v>8310</v>
      </c>
      <c r="E12153">
        <v>2020</v>
      </c>
      <c r="F12153">
        <v>1</v>
      </c>
      <c r="G12153">
        <v>22054</v>
      </c>
      <c r="H12153" s="1">
        <v>4</v>
      </c>
      <c r="I12153">
        <v>2</v>
      </c>
      <c r="J12153">
        <f>IF($H12153=0,1,IF($I12153&lt;=1,2,0))</f>
        <v>0</v>
      </c>
      <c r="K12153">
        <v>1</v>
      </c>
      <c r="L12153">
        <f>IF(AND($J12153=0,$K12153=0),0,1)</f>
        <v>1</v>
      </c>
    </row>
    <row r="12154" spans="1:13" x14ac:dyDescent="0.2">
      <c r="A12154" t="s">
        <v>377</v>
      </c>
      <c r="B12154" t="s">
        <v>17</v>
      </c>
      <c r="C12154" t="s">
        <v>11</v>
      </c>
      <c r="D12154">
        <v>6999</v>
      </c>
      <c r="E12154">
        <v>2020</v>
      </c>
      <c r="F12154">
        <v>2</v>
      </c>
      <c r="G12154">
        <v>12179</v>
      </c>
      <c r="H12154" s="1">
        <v>4</v>
      </c>
      <c r="I12154">
        <v>1</v>
      </c>
      <c r="J12154">
        <f>IF($H12154=0,1,IF($I12154&lt;=1,2,0))</f>
        <v>2</v>
      </c>
      <c r="K12154">
        <v>9</v>
      </c>
      <c r="L12154">
        <f>IF(AND($J12154=0,$K12154=0),0,1)</f>
        <v>1</v>
      </c>
    </row>
    <row r="12155" spans="1:13" x14ac:dyDescent="0.2">
      <c r="A12155" t="s">
        <v>377</v>
      </c>
      <c r="B12155" t="s">
        <v>17</v>
      </c>
      <c r="C12155" t="s">
        <v>11</v>
      </c>
      <c r="D12155">
        <v>6999</v>
      </c>
      <c r="E12155">
        <v>2020</v>
      </c>
      <c r="F12155">
        <v>4</v>
      </c>
      <c r="G12155">
        <v>20746</v>
      </c>
      <c r="H12155" s="1">
        <v>4</v>
      </c>
      <c r="I12155">
        <v>0</v>
      </c>
      <c r="J12155">
        <f>IF($H12155=0,1,IF($I12155&lt;=1,2,0))</f>
        <v>2</v>
      </c>
      <c r="K12155">
        <v>9</v>
      </c>
      <c r="L12155">
        <f>IF(AND($J12155=0,$K12155=0),0,1)</f>
        <v>1</v>
      </c>
    </row>
    <row r="12156" spans="1:13" x14ac:dyDescent="0.2">
      <c r="A12156" t="s">
        <v>377</v>
      </c>
      <c r="B12156" t="s">
        <v>17</v>
      </c>
      <c r="C12156" t="s">
        <v>11</v>
      </c>
      <c r="D12156">
        <v>6999</v>
      </c>
      <c r="E12156">
        <v>2020</v>
      </c>
      <c r="F12156">
        <v>100</v>
      </c>
      <c r="G12156">
        <v>20747</v>
      </c>
      <c r="H12156" s="1">
        <v>4</v>
      </c>
      <c r="I12156">
        <v>0</v>
      </c>
      <c r="J12156">
        <f>IF($H12156=0,1,IF($I12156&lt;=1,2,0))</f>
        <v>2</v>
      </c>
      <c r="K12156">
        <v>9</v>
      </c>
      <c r="L12156">
        <f>IF(AND($J12156=0,$K12156=0),0,1)</f>
        <v>1</v>
      </c>
    </row>
    <row r="12157" spans="1:13" x14ac:dyDescent="0.2">
      <c r="A12157" t="s">
        <v>379</v>
      </c>
      <c r="B12157" t="s">
        <v>17</v>
      </c>
      <c r="C12157" t="s">
        <v>2</v>
      </c>
      <c r="D12157">
        <v>3139</v>
      </c>
      <c r="E12157">
        <v>2020</v>
      </c>
      <c r="F12157">
        <v>1</v>
      </c>
      <c r="G12157">
        <v>200</v>
      </c>
      <c r="H12157" s="1">
        <v>4</v>
      </c>
      <c r="I12157">
        <v>8</v>
      </c>
      <c r="J12157">
        <f>IF($H12157=0,1,IF($I12157&lt;=1,2,0))</f>
        <v>0</v>
      </c>
      <c r="K12157">
        <v>7</v>
      </c>
      <c r="L12157">
        <f>IF(AND($J12157=0,$K12157=0),0,1)</f>
        <v>1</v>
      </c>
    </row>
    <row r="12158" spans="1:13" x14ac:dyDescent="0.2">
      <c r="A12158" t="s">
        <v>385</v>
      </c>
      <c r="B12158" t="s">
        <v>386</v>
      </c>
      <c r="C12158" t="s">
        <v>9</v>
      </c>
      <c r="D12158">
        <v>1001</v>
      </c>
      <c r="E12158">
        <v>2020</v>
      </c>
      <c r="F12158">
        <v>4</v>
      </c>
      <c r="G12158">
        <v>13384</v>
      </c>
      <c r="H12158" s="1">
        <v>0</v>
      </c>
      <c r="I12158">
        <v>20</v>
      </c>
      <c r="J12158">
        <f>IF($H12158=0,1,IF($I12158&lt;=1,2,0))</f>
        <v>1</v>
      </c>
      <c r="K12158">
        <v>0</v>
      </c>
      <c r="L12158">
        <f>IF(AND($J12158=0,$K12158=0),0,1)</f>
        <v>1</v>
      </c>
      <c r="M12158" t="s">
        <v>389</v>
      </c>
    </row>
    <row r="12159" spans="1:13" x14ac:dyDescent="0.2">
      <c r="A12159" t="s">
        <v>385</v>
      </c>
      <c r="B12159" t="s">
        <v>386</v>
      </c>
      <c r="C12159" t="s">
        <v>9</v>
      </c>
      <c r="D12159">
        <v>1001</v>
      </c>
      <c r="E12159">
        <v>2020</v>
      </c>
      <c r="F12159">
        <v>5</v>
      </c>
      <c r="G12159">
        <v>24729</v>
      </c>
      <c r="H12159" s="1">
        <v>0</v>
      </c>
      <c r="I12159">
        <v>20</v>
      </c>
      <c r="J12159">
        <f>IF($H12159=0,1,IF($I12159&lt;=1,2,0))</f>
        <v>1</v>
      </c>
      <c r="K12159">
        <v>0</v>
      </c>
      <c r="L12159">
        <f>IF(AND($J12159=0,$K12159=0),0,1)</f>
        <v>1</v>
      </c>
    </row>
    <row r="12160" spans="1:13" x14ac:dyDescent="0.2">
      <c r="A12160" t="s">
        <v>385</v>
      </c>
      <c r="B12160" t="s">
        <v>386</v>
      </c>
      <c r="C12160" t="s">
        <v>9</v>
      </c>
      <c r="D12160">
        <v>1001</v>
      </c>
      <c r="E12160">
        <v>2020</v>
      </c>
      <c r="F12160">
        <v>1</v>
      </c>
      <c r="G12160">
        <v>13381</v>
      </c>
      <c r="H12160" s="1">
        <v>0</v>
      </c>
      <c r="I12160">
        <v>19</v>
      </c>
      <c r="J12160">
        <f>IF($H12160=0,1,IF($I12160&lt;=1,2,0))</f>
        <v>1</v>
      </c>
      <c r="K12160">
        <v>0</v>
      </c>
      <c r="L12160">
        <f>IF(AND($J12160=0,$K12160=0),0,1)</f>
        <v>1</v>
      </c>
      <c r="M12160" t="s">
        <v>388</v>
      </c>
    </row>
    <row r="12161" spans="1:13" x14ac:dyDescent="0.2">
      <c r="A12161" t="s">
        <v>385</v>
      </c>
      <c r="B12161" t="s">
        <v>386</v>
      </c>
      <c r="C12161" t="s">
        <v>9</v>
      </c>
      <c r="D12161">
        <v>1001</v>
      </c>
      <c r="E12161">
        <v>2020</v>
      </c>
      <c r="F12161">
        <v>3</v>
      </c>
      <c r="G12161">
        <v>13383</v>
      </c>
      <c r="H12161" s="1">
        <v>0</v>
      </c>
      <c r="I12161">
        <v>18</v>
      </c>
      <c r="J12161">
        <f>IF($H12161=0,1,IF($I12161&lt;=1,2,0))</f>
        <v>1</v>
      </c>
      <c r="K12161">
        <v>0</v>
      </c>
      <c r="L12161">
        <f>IF(AND($J12161=0,$K12161=0),0,1)</f>
        <v>1</v>
      </c>
      <c r="M12161" t="s">
        <v>389</v>
      </c>
    </row>
    <row r="12162" spans="1:13" x14ac:dyDescent="0.2">
      <c r="A12162" t="s">
        <v>385</v>
      </c>
      <c r="B12162" t="s">
        <v>386</v>
      </c>
      <c r="C12162" t="s">
        <v>9</v>
      </c>
      <c r="D12162">
        <v>1001</v>
      </c>
      <c r="E12162">
        <v>2020</v>
      </c>
      <c r="F12162">
        <v>2</v>
      </c>
      <c r="G12162">
        <v>13382</v>
      </c>
      <c r="H12162" s="1">
        <v>0</v>
      </c>
      <c r="I12162">
        <v>17</v>
      </c>
      <c r="J12162">
        <f>IF($H12162=0,1,IF($I12162&lt;=1,2,0))</f>
        <v>1</v>
      </c>
      <c r="K12162">
        <v>0</v>
      </c>
      <c r="L12162">
        <f>IF(AND($J12162=0,$K12162=0),0,1)</f>
        <v>1</v>
      </c>
      <c r="M12162" t="s">
        <v>389</v>
      </c>
    </row>
    <row r="12163" spans="1:13" x14ac:dyDescent="0.2">
      <c r="A12163" t="s">
        <v>385</v>
      </c>
      <c r="B12163" t="s">
        <v>386</v>
      </c>
      <c r="C12163" t="s">
        <v>9</v>
      </c>
      <c r="D12163">
        <v>2021</v>
      </c>
      <c r="E12163">
        <v>2020</v>
      </c>
      <c r="F12163">
        <v>1</v>
      </c>
      <c r="G12163">
        <v>13386</v>
      </c>
      <c r="H12163" s="1">
        <v>0</v>
      </c>
      <c r="I12163">
        <v>19</v>
      </c>
      <c r="J12163">
        <f>IF($H12163=0,1,IF($I12163&lt;=1,2,0))</f>
        <v>1</v>
      </c>
      <c r="K12163">
        <v>0</v>
      </c>
      <c r="L12163">
        <f>IF(AND($J12163=0,$K12163=0),0,1)</f>
        <v>1</v>
      </c>
      <c r="M12163" t="s">
        <v>389</v>
      </c>
    </row>
    <row r="12164" spans="1:13" x14ac:dyDescent="0.2">
      <c r="A12164" t="s">
        <v>385</v>
      </c>
      <c r="B12164" t="s">
        <v>386</v>
      </c>
      <c r="C12164" t="s">
        <v>9</v>
      </c>
      <c r="D12164">
        <v>2021</v>
      </c>
      <c r="E12164">
        <v>2020</v>
      </c>
      <c r="F12164">
        <v>2</v>
      </c>
      <c r="G12164">
        <v>13387</v>
      </c>
      <c r="H12164" s="1">
        <v>0</v>
      </c>
      <c r="I12164">
        <v>15</v>
      </c>
      <c r="J12164">
        <f>IF($H12164=0,1,IF($I12164&lt;=1,2,0))</f>
        <v>1</v>
      </c>
      <c r="K12164">
        <v>0</v>
      </c>
      <c r="L12164">
        <f>IF(AND($J12164=0,$K12164=0),0,1)</f>
        <v>1</v>
      </c>
      <c r="M12164" t="s">
        <v>389</v>
      </c>
    </row>
    <row r="12165" spans="1:13" x14ac:dyDescent="0.2">
      <c r="A12165" t="s">
        <v>385</v>
      </c>
      <c r="B12165" t="s">
        <v>386</v>
      </c>
      <c r="C12165" t="s">
        <v>9</v>
      </c>
      <c r="D12165">
        <v>2021</v>
      </c>
      <c r="E12165">
        <v>2020</v>
      </c>
      <c r="F12165">
        <v>3</v>
      </c>
      <c r="G12165">
        <v>24515</v>
      </c>
      <c r="H12165" s="1">
        <v>0</v>
      </c>
      <c r="I12165">
        <v>11</v>
      </c>
      <c r="J12165">
        <f>IF($H12165=0,1,IF($I12165&lt;=1,2,0))</f>
        <v>1</v>
      </c>
      <c r="K12165">
        <v>0</v>
      </c>
      <c r="L12165">
        <f>IF(AND($J12165=0,$K12165=0),0,1)</f>
        <v>1</v>
      </c>
    </row>
    <row r="12166" spans="1:13" x14ac:dyDescent="0.2">
      <c r="A12166" t="s">
        <v>385</v>
      </c>
      <c r="B12166" t="s">
        <v>386</v>
      </c>
      <c r="C12166" t="s">
        <v>9</v>
      </c>
      <c r="D12166">
        <v>2031</v>
      </c>
      <c r="E12166">
        <v>2020</v>
      </c>
      <c r="F12166">
        <v>1</v>
      </c>
      <c r="G12166">
        <v>13390</v>
      </c>
      <c r="H12166" s="1">
        <v>0</v>
      </c>
      <c r="I12166">
        <v>21</v>
      </c>
      <c r="J12166">
        <f>IF($H12166=0,1,IF($I12166&lt;=1,2,0))</f>
        <v>1</v>
      </c>
      <c r="K12166">
        <v>0</v>
      </c>
      <c r="L12166">
        <f>IF(AND($J12166=0,$K12166=0),0,1)</f>
        <v>1</v>
      </c>
      <c r="M12166" t="s">
        <v>396</v>
      </c>
    </row>
    <row r="12167" spans="1:13" x14ac:dyDescent="0.2">
      <c r="A12167" t="s">
        <v>385</v>
      </c>
      <c r="B12167" t="s">
        <v>386</v>
      </c>
      <c r="C12167" t="s">
        <v>9</v>
      </c>
      <c r="D12167">
        <v>2031</v>
      </c>
      <c r="E12167">
        <v>2020</v>
      </c>
      <c r="F12167">
        <v>2</v>
      </c>
      <c r="G12167">
        <v>13391</v>
      </c>
      <c r="H12167" s="1">
        <v>0</v>
      </c>
      <c r="I12167">
        <v>19</v>
      </c>
      <c r="J12167">
        <f>IF($H12167=0,1,IF($I12167&lt;=1,2,0))</f>
        <v>1</v>
      </c>
      <c r="K12167">
        <v>0</v>
      </c>
      <c r="L12167">
        <f>IF(AND($J12167=0,$K12167=0),0,1)</f>
        <v>1</v>
      </c>
      <c r="M12167" t="s">
        <v>397</v>
      </c>
    </row>
    <row r="12168" spans="1:13" x14ac:dyDescent="0.2">
      <c r="A12168" t="s">
        <v>385</v>
      </c>
      <c r="B12168" t="s">
        <v>386</v>
      </c>
      <c r="C12168" t="s">
        <v>9</v>
      </c>
      <c r="D12168">
        <v>2031</v>
      </c>
      <c r="E12168">
        <v>2020</v>
      </c>
      <c r="F12168">
        <v>3</v>
      </c>
      <c r="G12168">
        <v>24727</v>
      </c>
      <c r="H12168" s="1">
        <v>0</v>
      </c>
      <c r="I12168">
        <v>8</v>
      </c>
      <c r="J12168">
        <f>IF($H12168=0,1,IF($I12168&lt;=1,2,0))</f>
        <v>1</v>
      </c>
      <c r="K12168">
        <v>0</v>
      </c>
      <c r="L12168">
        <f>IF(AND($J12168=0,$K12168=0),0,1)</f>
        <v>1</v>
      </c>
    </row>
    <row r="12169" spans="1:13" x14ac:dyDescent="0.2">
      <c r="A12169" t="s">
        <v>385</v>
      </c>
      <c r="B12169" t="s">
        <v>386</v>
      </c>
      <c r="C12169" t="s">
        <v>9</v>
      </c>
      <c r="D12169">
        <v>2293</v>
      </c>
      <c r="E12169">
        <v>2020</v>
      </c>
      <c r="F12169">
        <v>3</v>
      </c>
      <c r="G12169">
        <v>13398</v>
      </c>
      <c r="H12169" s="1">
        <v>0</v>
      </c>
      <c r="I12169">
        <v>20</v>
      </c>
      <c r="J12169">
        <f>IF($H12169=0,1,IF($I12169&lt;=1,2,0))</f>
        <v>1</v>
      </c>
      <c r="K12169">
        <v>0</v>
      </c>
      <c r="L12169">
        <f>IF(AND($J12169=0,$K12169=0),0,1)</f>
        <v>1</v>
      </c>
      <c r="M12169" t="s">
        <v>397</v>
      </c>
    </row>
    <row r="12170" spans="1:13" x14ac:dyDescent="0.2">
      <c r="A12170" t="s">
        <v>385</v>
      </c>
      <c r="B12170" t="s">
        <v>386</v>
      </c>
      <c r="C12170" t="s">
        <v>9</v>
      </c>
      <c r="D12170">
        <v>2293</v>
      </c>
      <c r="E12170">
        <v>2020</v>
      </c>
      <c r="F12170">
        <v>1</v>
      </c>
      <c r="G12170">
        <v>13396</v>
      </c>
      <c r="H12170" s="1">
        <v>0</v>
      </c>
      <c r="I12170">
        <v>19</v>
      </c>
      <c r="J12170">
        <f>IF($H12170=0,1,IF($I12170&lt;=1,2,0))</f>
        <v>1</v>
      </c>
      <c r="K12170">
        <v>0</v>
      </c>
      <c r="L12170">
        <f>IF(AND($J12170=0,$K12170=0),0,1)</f>
        <v>1</v>
      </c>
      <c r="M12170" t="s">
        <v>397</v>
      </c>
    </row>
    <row r="12171" spans="1:13" x14ac:dyDescent="0.2">
      <c r="A12171" t="s">
        <v>385</v>
      </c>
      <c r="B12171" t="s">
        <v>386</v>
      </c>
      <c r="C12171" t="s">
        <v>9</v>
      </c>
      <c r="D12171">
        <v>2293</v>
      </c>
      <c r="E12171">
        <v>2020</v>
      </c>
      <c r="F12171">
        <v>2</v>
      </c>
      <c r="G12171">
        <v>13397</v>
      </c>
      <c r="H12171" s="1">
        <v>0</v>
      </c>
      <c r="I12171">
        <v>19</v>
      </c>
      <c r="J12171">
        <f>IF($H12171=0,1,IF($I12171&lt;=1,2,0))</f>
        <v>1</v>
      </c>
      <c r="K12171">
        <v>0</v>
      </c>
      <c r="L12171">
        <f>IF(AND($J12171=0,$K12171=0),0,1)</f>
        <v>1</v>
      </c>
      <c r="M12171" t="s">
        <v>1031</v>
      </c>
    </row>
    <row r="12172" spans="1:13" x14ac:dyDescent="0.2">
      <c r="A12172" t="s">
        <v>385</v>
      </c>
      <c r="B12172" t="s">
        <v>386</v>
      </c>
      <c r="C12172" t="s">
        <v>2</v>
      </c>
      <c r="D12172">
        <v>3201</v>
      </c>
      <c r="E12172">
        <v>2020</v>
      </c>
      <c r="F12172">
        <v>1</v>
      </c>
      <c r="G12172">
        <v>254</v>
      </c>
      <c r="H12172" s="1">
        <v>3</v>
      </c>
      <c r="I12172">
        <v>73</v>
      </c>
      <c r="J12172">
        <f>IF($H12172=0,1,IF($I12172&lt;=1,2,0))</f>
        <v>0</v>
      </c>
      <c r="K12172">
        <v>7</v>
      </c>
      <c r="L12172">
        <f>IF(AND($J12172=0,$K12172=0),0,1)</f>
        <v>1</v>
      </c>
    </row>
    <row r="12173" spans="1:13" x14ac:dyDescent="0.2">
      <c r="A12173" t="s">
        <v>385</v>
      </c>
      <c r="B12173" t="s">
        <v>386</v>
      </c>
      <c r="C12173" t="s">
        <v>2</v>
      </c>
      <c r="D12173">
        <v>3225</v>
      </c>
      <c r="E12173">
        <v>2020</v>
      </c>
      <c r="F12173">
        <v>1</v>
      </c>
      <c r="G12173">
        <v>255</v>
      </c>
      <c r="H12173" s="1">
        <v>3</v>
      </c>
      <c r="I12173">
        <v>20</v>
      </c>
      <c r="J12173">
        <f>IF($H12173=0,1,IF($I12173&lt;=1,2,0))</f>
        <v>0</v>
      </c>
      <c r="K12173">
        <v>7</v>
      </c>
      <c r="L12173">
        <f>IF(AND($J12173=0,$K12173=0),0,1)</f>
        <v>1</v>
      </c>
      <c r="M12173" t="s">
        <v>1032</v>
      </c>
    </row>
    <row r="12174" spans="1:13" x14ac:dyDescent="0.2">
      <c r="A12174" t="s">
        <v>385</v>
      </c>
      <c r="B12174" t="s">
        <v>386</v>
      </c>
      <c r="C12174" t="s">
        <v>2</v>
      </c>
      <c r="D12174">
        <v>3260</v>
      </c>
      <c r="E12174">
        <v>2020</v>
      </c>
      <c r="F12174">
        <v>1</v>
      </c>
      <c r="G12174">
        <v>257</v>
      </c>
      <c r="H12174" s="1">
        <v>3</v>
      </c>
      <c r="I12174">
        <v>11</v>
      </c>
      <c r="J12174">
        <f>IF($H12174=0,1,IF($I12174&lt;=1,2,0))</f>
        <v>0</v>
      </c>
      <c r="K12174">
        <v>7</v>
      </c>
      <c r="L12174">
        <f>IF(AND($J12174=0,$K12174=0),0,1)</f>
        <v>1</v>
      </c>
    </row>
    <row r="12175" spans="1:13" x14ac:dyDescent="0.2">
      <c r="A12175" t="s">
        <v>385</v>
      </c>
      <c r="B12175" t="s">
        <v>386</v>
      </c>
      <c r="C12175" t="s">
        <v>2</v>
      </c>
      <c r="D12175">
        <v>3275</v>
      </c>
      <c r="E12175">
        <v>2020</v>
      </c>
      <c r="F12175">
        <v>1</v>
      </c>
      <c r="G12175">
        <v>258</v>
      </c>
      <c r="H12175" s="1">
        <v>3</v>
      </c>
      <c r="I12175">
        <v>10</v>
      </c>
      <c r="J12175">
        <f>IF($H12175=0,1,IF($I12175&lt;=1,2,0))</f>
        <v>0</v>
      </c>
      <c r="K12175">
        <v>7</v>
      </c>
      <c r="L12175">
        <f>IF(AND($J12175=0,$K12175=0),0,1)</f>
        <v>1</v>
      </c>
      <c r="M12175" t="s">
        <v>1033</v>
      </c>
    </row>
    <row r="12176" spans="1:13" x14ac:dyDescent="0.2">
      <c r="A12176" t="s">
        <v>385</v>
      </c>
      <c r="B12176" t="s">
        <v>386</v>
      </c>
      <c r="C12176" t="s">
        <v>2</v>
      </c>
      <c r="D12176">
        <v>3278</v>
      </c>
      <c r="E12176">
        <v>2020</v>
      </c>
      <c r="F12176">
        <v>1</v>
      </c>
      <c r="G12176">
        <v>259</v>
      </c>
      <c r="H12176" s="1">
        <v>3</v>
      </c>
      <c r="I12176">
        <v>11</v>
      </c>
      <c r="J12176">
        <f>IF($H12176=0,1,IF($I12176&lt;=1,2,0))</f>
        <v>0</v>
      </c>
      <c r="K12176">
        <v>7</v>
      </c>
      <c r="L12176">
        <f>IF(AND($J12176=0,$K12176=0),0,1)</f>
        <v>1</v>
      </c>
      <c r="M12176" t="s">
        <v>1034</v>
      </c>
    </row>
    <row r="12177" spans="1:13" x14ac:dyDescent="0.2">
      <c r="A12177" t="s">
        <v>385</v>
      </c>
      <c r="B12177" t="s">
        <v>386</v>
      </c>
      <c r="C12177" t="s">
        <v>9</v>
      </c>
      <c r="D12177">
        <v>3810</v>
      </c>
      <c r="E12177">
        <v>2020</v>
      </c>
      <c r="F12177">
        <v>1</v>
      </c>
      <c r="G12177">
        <v>25140</v>
      </c>
      <c r="H12177" s="1" t="s">
        <v>1827</v>
      </c>
      <c r="I12177">
        <v>1</v>
      </c>
      <c r="J12177">
        <f>IF($H12177=0,1,IF($I12177&lt;=1,2,0))</f>
        <v>2</v>
      </c>
      <c r="K12177">
        <v>4</v>
      </c>
      <c r="L12177">
        <f>IF(AND($J12177=0,$K12177=0),0,1)</f>
        <v>1</v>
      </c>
      <c r="M12177" t="s">
        <v>1035</v>
      </c>
    </row>
    <row r="12178" spans="1:13" x14ac:dyDescent="0.2">
      <c r="A12178" t="s">
        <v>385</v>
      </c>
      <c r="B12178" t="s">
        <v>386</v>
      </c>
      <c r="C12178" t="s">
        <v>9</v>
      </c>
      <c r="D12178">
        <v>4001</v>
      </c>
      <c r="E12178">
        <v>2020</v>
      </c>
      <c r="F12178">
        <v>1</v>
      </c>
      <c r="G12178">
        <v>13402</v>
      </c>
      <c r="H12178" s="1">
        <v>0</v>
      </c>
      <c r="I12178">
        <v>19</v>
      </c>
      <c r="J12178">
        <f>IF($H12178=0,1,IF($I12178&lt;=1,2,0))</f>
        <v>1</v>
      </c>
      <c r="K12178">
        <v>0</v>
      </c>
      <c r="L12178">
        <f>IF(AND($J12178=0,$K12178=0),0,1)</f>
        <v>1</v>
      </c>
      <c r="M12178" t="s">
        <v>397</v>
      </c>
    </row>
    <row r="12179" spans="1:13" x14ac:dyDescent="0.2">
      <c r="A12179" t="s">
        <v>385</v>
      </c>
      <c r="B12179" t="s">
        <v>386</v>
      </c>
      <c r="C12179" t="s">
        <v>9</v>
      </c>
      <c r="D12179">
        <v>4001</v>
      </c>
      <c r="E12179">
        <v>2020</v>
      </c>
      <c r="F12179">
        <v>3</v>
      </c>
      <c r="G12179">
        <v>13404</v>
      </c>
      <c r="H12179" s="1">
        <v>0</v>
      </c>
      <c r="I12179">
        <v>16</v>
      </c>
      <c r="J12179">
        <f>IF($H12179=0,1,IF($I12179&lt;=1,2,0))</f>
        <v>1</v>
      </c>
      <c r="K12179">
        <v>0</v>
      </c>
      <c r="L12179">
        <f>IF(AND($J12179=0,$K12179=0),0,1)</f>
        <v>1</v>
      </c>
      <c r="M12179" t="s">
        <v>397</v>
      </c>
    </row>
    <row r="12180" spans="1:13" x14ac:dyDescent="0.2">
      <c r="A12180" t="s">
        <v>385</v>
      </c>
      <c r="B12180" t="s">
        <v>386</v>
      </c>
      <c r="C12180" t="s">
        <v>9</v>
      </c>
      <c r="D12180">
        <v>4001</v>
      </c>
      <c r="E12180">
        <v>2020</v>
      </c>
      <c r="F12180">
        <v>4</v>
      </c>
      <c r="G12180">
        <v>24728</v>
      </c>
      <c r="H12180" s="1">
        <v>0</v>
      </c>
      <c r="I12180">
        <v>15</v>
      </c>
      <c r="J12180">
        <f>IF($H12180=0,1,IF($I12180&lt;=1,2,0))</f>
        <v>1</v>
      </c>
      <c r="K12180">
        <v>0</v>
      </c>
      <c r="L12180">
        <f>IF(AND($J12180=0,$K12180=0),0,1)</f>
        <v>1</v>
      </c>
    </row>
    <row r="12181" spans="1:13" x14ac:dyDescent="0.2">
      <c r="A12181" t="s">
        <v>385</v>
      </c>
      <c r="B12181" t="s">
        <v>386</v>
      </c>
      <c r="C12181" t="s">
        <v>9</v>
      </c>
      <c r="D12181">
        <v>4001</v>
      </c>
      <c r="E12181">
        <v>2020</v>
      </c>
      <c r="F12181">
        <v>2</v>
      </c>
      <c r="G12181">
        <v>13403</v>
      </c>
      <c r="H12181" s="1">
        <v>0</v>
      </c>
      <c r="I12181">
        <v>14</v>
      </c>
      <c r="J12181">
        <f>IF($H12181=0,1,IF($I12181&lt;=1,2,0))</f>
        <v>1</v>
      </c>
      <c r="K12181">
        <v>0</v>
      </c>
      <c r="L12181">
        <f>IF(AND($J12181=0,$K12181=0),0,1)</f>
        <v>1</v>
      </c>
      <c r="M12181" t="s">
        <v>397</v>
      </c>
    </row>
    <row r="12182" spans="1:13" x14ac:dyDescent="0.2">
      <c r="A12182" t="s">
        <v>385</v>
      </c>
      <c r="B12182" t="s">
        <v>386</v>
      </c>
      <c r="C12182" t="s">
        <v>9</v>
      </c>
      <c r="D12182">
        <v>5015</v>
      </c>
      <c r="E12182">
        <v>2020</v>
      </c>
      <c r="F12182">
        <v>1</v>
      </c>
      <c r="G12182">
        <v>13406</v>
      </c>
      <c r="H12182" s="1">
        <v>3</v>
      </c>
      <c r="I12182">
        <v>3</v>
      </c>
      <c r="J12182">
        <f>IF($H12182=0,1,IF($I12182&lt;=1,2,0))</f>
        <v>0</v>
      </c>
      <c r="K12182">
        <v>4</v>
      </c>
      <c r="L12182">
        <f>IF(AND($J12182=0,$K12182=0),0,1)</f>
        <v>1</v>
      </c>
      <c r="M12182" t="s">
        <v>406</v>
      </c>
    </row>
    <row r="12183" spans="1:13" x14ac:dyDescent="0.2">
      <c r="A12183" t="s">
        <v>385</v>
      </c>
      <c r="B12183" t="s">
        <v>386</v>
      </c>
      <c r="C12183" t="s">
        <v>9</v>
      </c>
      <c r="D12183">
        <v>5020</v>
      </c>
      <c r="E12183">
        <v>2020</v>
      </c>
      <c r="F12183">
        <v>1</v>
      </c>
      <c r="G12183">
        <v>13407</v>
      </c>
      <c r="H12183" s="1">
        <v>3</v>
      </c>
      <c r="I12183">
        <v>2</v>
      </c>
      <c r="J12183">
        <f>IF($H12183=0,1,IF($I12183&lt;=1,2,0))</f>
        <v>0</v>
      </c>
      <c r="K12183">
        <v>4</v>
      </c>
      <c r="L12183">
        <f>IF(AND($J12183=0,$K12183=0),0,1)</f>
        <v>1</v>
      </c>
      <c r="M12183" t="s">
        <v>406</v>
      </c>
    </row>
    <row r="12184" spans="1:13" x14ac:dyDescent="0.2">
      <c r="A12184" t="s">
        <v>385</v>
      </c>
      <c r="B12184" t="s">
        <v>386</v>
      </c>
      <c r="C12184" t="s">
        <v>407</v>
      </c>
      <c r="D12184">
        <v>5065</v>
      </c>
      <c r="E12184">
        <v>2020</v>
      </c>
      <c r="F12184">
        <v>1</v>
      </c>
      <c r="G12184">
        <v>13414</v>
      </c>
      <c r="H12184" s="1">
        <v>3</v>
      </c>
      <c r="I12184">
        <v>9</v>
      </c>
      <c r="J12184">
        <f>IF($H12184=0,1,IF($I12184&lt;=1,2,0))</f>
        <v>0</v>
      </c>
      <c r="K12184">
        <v>4</v>
      </c>
      <c r="L12184">
        <f>IF(AND($J12184=0,$K12184=0),0,1)</f>
        <v>1</v>
      </c>
      <c r="M12184" t="s">
        <v>406</v>
      </c>
    </row>
    <row r="12185" spans="1:13" x14ac:dyDescent="0.2">
      <c r="A12185" t="s">
        <v>385</v>
      </c>
      <c r="B12185" t="s">
        <v>386</v>
      </c>
      <c r="C12185" t="s">
        <v>407</v>
      </c>
      <c r="D12185">
        <v>5100</v>
      </c>
      <c r="E12185">
        <v>2020</v>
      </c>
      <c r="F12185">
        <v>1</v>
      </c>
      <c r="G12185">
        <v>22050</v>
      </c>
      <c r="H12185" s="1">
        <v>3</v>
      </c>
      <c r="I12185">
        <v>69</v>
      </c>
      <c r="J12185">
        <f>IF($H12185=0,1,IF($I12185&lt;=1,2,0))</f>
        <v>0</v>
      </c>
      <c r="K12185">
        <v>4</v>
      </c>
      <c r="L12185">
        <f>IF(AND($J12185=0,$K12185=0),0,1)</f>
        <v>1</v>
      </c>
      <c r="M12185" t="s">
        <v>1037</v>
      </c>
    </row>
    <row r="12186" spans="1:13" x14ac:dyDescent="0.2">
      <c r="A12186" t="s">
        <v>385</v>
      </c>
      <c r="B12186" t="s">
        <v>386</v>
      </c>
      <c r="C12186" t="s">
        <v>407</v>
      </c>
      <c r="D12186">
        <v>5200</v>
      </c>
      <c r="E12186">
        <v>2020</v>
      </c>
      <c r="F12186">
        <v>1</v>
      </c>
      <c r="G12186">
        <v>22761</v>
      </c>
      <c r="H12186" s="1">
        <v>3</v>
      </c>
      <c r="I12186">
        <v>69</v>
      </c>
      <c r="J12186">
        <f>IF($H12186=0,1,IF($I12186&lt;=1,2,0))</f>
        <v>0</v>
      </c>
      <c r="K12186">
        <v>4</v>
      </c>
      <c r="L12186">
        <f>IF(AND($J12186=0,$K12186=0),0,1)</f>
        <v>1</v>
      </c>
      <c r="M12186" t="s">
        <v>1038</v>
      </c>
    </row>
    <row r="12187" spans="1:13" x14ac:dyDescent="0.2">
      <c r="A12187" t="s">
        <v>385</v>
      </c>
      <c r="B12187" t="s">
        <v>386</v>
      </c>
      <c r="C12187" t="s">
        <v>407</v>
      </c>
      <c r="D12187">
        <v>5305</v>
      </c>
      <c r="E12187">
        <v>2020</v>
      </c>
      <c r="F12187">
        <v>1</v>
      </c>
      <c r="G12187">
        <v>21427</v>
      </c>
      <c r="H12187" s="1">
        <v>1.5</v>
      </c>
      <c r="I12187">
        <v>69</v>
      </c>
      <c r="J12187">
        <f>IF($H12187=0,1,IF($I12187&lt;=1,2,0))</f>
        <v>0</v>
      </c>
      <c r="K12187">
        <v>4</v>
      </c>
      <c r="L12187">
        <f>IF(AND($J12187=0,$K12187=0),0,1)</f>
        <v>1</v>
      </c>
      <c r="M12187" t="s">
        <v>1039</v>
      </c>
    </row>
    <row r="12188" spans="1:13" x14ac:dyDescent="0.2">
      <c r="A12188" t="s">
        <v>385</v>
      </c>
      <c r="B12188" t="s">
        <v>386</v>
      </c>
      <c r="C12188" t="s">
        <v>407</v>
      </c>
      <c r="D12188">
        <v>5400</v>
      </c>
      <c r="E12188">
        <v>2020</v>
      </c>
      <c r="F12188">
        <v>1</v>
      </c>
      <c r="G12188">
        <v>22774</v>
      </c>
      <c r="H12188" s="1">
        <v>1.5</v>
      </c>
      <c r="I12188">
        <v>69</v>
      </c>
      <c r="J12188">
        <f>IF($H12188=0,1,IF($I12188&lt;=1,2,0))</f>
        <v>0</v>
      </c>
      <c r="K12188">
        <v>4</v>
      </c>
      <c r="L12188">
        <f>IF(AND($J12188=0,$K12188=0),0,1)</f>
        <v>1</v>
      </c>
      <c r="M12188" t="s">
        <v>1040</v>
      </c>
    </row>
    <row r="12189" spans="1:13" x14ac:dyDescent="0.2">
      <c r="A12189" t="s">
        <v>385</v>
      </c>
      <c r="B12189" t="s">
        <v>386</v>
      </c>
      <c r="C12189" t="s">
        <v>407</v>
      </c>
      <c r="D12189">
        <v>5420</v>
      </c>
      <c r="E12189">
        <v>2020</v>
      </c>
      <c r="F12189">
        <v>1</v>
      </c>
      <c r="G12189">
        <v>22300</v>
      </c>
      <c r="H12189" s="1">
        <v>0</v>
      </c>
      <c r="I12189">
        <v>69</v>
      </c>
      <c r="J12189">
        <f>IF($H12189=0,1,IF($I12189&lt;=1,2,0))</f>
        <v>1</v>
      </c>
      <c r="K12189">
        <v>0</v>
      </c>
      <c r="L12189">
        <f>IF(AND($J12189=0,$K12189=0),0,1)</f>
        <v>1</v>
      </c>
      <c r="M12189" t="s">
        <v>1037</v>
      </c>
    </row>
    <row r="12190" spans="1:13" x14ac:dyDescent="0.2">
      <c r="A12190" t="s">
        <v>385</v>
      </c>
      <c r="B12190" t="s">
        <v>386</v>
      </c>
      <c r="C12190" t="s">
        <v>407</v>
      </c>
      <c r="D12190">
        <v>5800</v>
      </c>
      <c r="E12190">
        <v>2020</v>
      </c>
      <c r="F12190">
        <v>2</v>
      </c>
      <c r="G12190">
        <v>13461</v>
      </c>
      <c r="H12190" s="1" t="s">
        <v>1827</v>
      </c>
      <c r="I12190">
        <v>4</v>
      </c>
      <c r="J12190">
        <f>IF($H12190=0,1,IF($I12190&lt;=1,2,0))</f>
        <v>0</v>
      </c>
      <c r="K12190">
        <v>4</v>
      </c>
      <c r="L12190">
        <f>IF(AND($J12190=0,$K12190=0),0,1)</f>
        <v>1</v>
      </c>
    </row>
    <row r="12191" spans="1:13" x14ac:dyDescent="0.2">
      <c r="A12191" t="s">
        <v>385</v>
      </c>
      <c r="B12191" t="s">
        <v>386</v>
      </c>
      <c r="C12191" t="s">
        <v>407</v>
      </c>
      <c r="D12191">
        <v>5800</v>
      </c>
      <c r="E12191">
        <v>2020</v>
      </c>
      <c r="F12191">
        <v>3</v>
      </c>
      <c r="G12191">
        <v>13462</v>
      </c>
      <c r="H12191" s="1" t="s">
        <v>1827</v>
      </c>
      <c r="I12191">
        <v>4</v>
      </c>
      <c r="J12191">
        <f>IF($H12191=0,1,IF($I12191&lt;=1,2,0))</f>
        <v>0</v>
      </c>
      <c r="K12191">
        <v>4</v>
      </c>
      <c r="L12191">
        <f>IF(AND($J12191=0,$K12191=0),0,1)</f>
        <v>1</v>
      </c>
    </row>
    <row r="12192" spans="1:13" x14ac:dyDescent="0.2">
      <c r="A12192" t="s">
        <v>385</v>
      </c>
      <c r="B12192" t="s">
        <v>386</v>
      </c>
      <c r="C12192" t="s">
        <v>407</v>
      </c>
      <c r="D12192">
        <v>5800</v>
      </c>
      <c r="E12192">
        <v>2020</v>
      </c>
      <c r="F12192">
        <v>1</v>
      </c>
      <c r="G12192">
        <v>13460</v>
      </c>
      <c r="H12192" s="1" t="s">
        <v>1827</v>
      </c>
      <c r="I12192">
        <v>0</v>
      </c>
      <c r="J12192">
        <f>IF($H12192=0,1,IF($I12192&lt;=1,2,0))</f>
        <v>2</v>
      </c>
      <c r="K12192">
        <v>4</v>
      </c>
      <c r="L12192">
        <f>IF(AND($J12192=0,$K12192=0),0,1)</f>
        <v>1</v>
      </c>
    </row>
    <row r="12193" spans="1:13" x14ac:dyDescent="0.2">
      <c r="A12193" t="s">
        <v>385</v>
      </c>
      <c r="B12193" t="s">
        <v>386</v>
      </c>
      <c r="C12193" t="s">
        <v>407</v>
      </c>
      <c r="D12193">
        <v>5800</v>
      </c>
      <c r="E12193">
        <v>2020</v>
      </c>
      <c r="F12193">
        <v>4</v>
      </c>
      <c r="G12193">
        <v>13463</v>
      </c>
      <c r="H12193" s="1" t="s">
        <v>1827</v>
      </c>
      <c r="I12193">
        <v>0</v>
      </c>
      <c r="J12193">
        <f>IF($H12193=0,1,IF($I12193&lt;=1,2,0))</f>
        <v>2</v>
      </c>
      <c r="K12193">
        <v>4</v>
      </c>
      <c r="L12193">
        <f>IF(AND($J12193=0,$K12193=0),0,1)</f>
        <v>1</v>
      </c>
    </row>
    <row r="12194" spans="1:13" x14ac:dyDescent="0.2">
      <c r="A12194" t="s">
        <v>385</v>
      </c>
      <c r="B12194" t="s">
        <v>386</v>
      </c>
      <c r="C12194" t="s">
        <v>407</v>
      </c>
      <c r="D12194">
        <v>6310</v>
      </c>
      <c r="E12194">
        <v>2020</v>
      </c>
      <c r="F12194">
        <v>1</v>
      </c>
      <c r="G12194">
        <v>13495</v>
      </c>
      <c r="H12194" s="1">
        <v>3</v>
      </c>
      <c r="I12194">
        <v>23</v>
      </c>
      <c r="J12194">
        <f>IF($H12194=0,1,IF($I12194&lt;=1,2,0))</f>
        <v>0</v>
      </c>
      <c r="K12194">
        <v>4</v>
      </c>
      <c r="L12194">
        <f>IF(AND($J12194=0,$K12194=0),0,1)</f>
        <v>1</v>
      </c>
      <c r="M12194" t="s">
        <v>410</v>
      </c>
    </row>
    <row r="12195" spans="1:13" x14ac:dyDescent="0.2">
      <c r="A12195" t="s">
        <v>385</v>
      </c>
      <c r="B12195" t="s">
        <v>386</v>
      </c>
      <c r="C12195" t="s">
        <v>407</v>
      </c>
      <c r="D12195">
        <v>6330</v>
      </c>
      <c r="E12195">
        <v>2020</v>
      </c>
      <c r="F12195">
        <v>1</v>
      </c>
      <c r="G12195">
        <v>13496</v>
      </c>
      <c r="H12195" s="1">
        <v>3</v>
      </c>
      <c r="I12195">
        <v>11</v>
      </c>
      <c r="J12195">
        <f>IF($H12195=0,1,IF($I12195&lt;=1,2,0))</f>
        <v>0</v>
      </c>
      <c r="K12195">
        <v>4</v>
      </c>
      <c r="L12195">
        <f>IF(AND($J12195=0,$K12195=0),0,1)</f>
        <v>1</v>
      </c>
      <c r="M12195" t="s">
        <v>411</v>
      </c>
    </row>
    <row r="12196" spans="1:13" x14ac:dyDescent="0.2">
      <c r="A12196" t="s">
        <v>385</v>
      </c>
      <c r="B12196" t="s">
        <v>386</v>
      </c>
      <c r="C12196" t="s">
        <v>407</v>
      </c>
      <c r="D12196">
        <v>6340</v>
      </c>
      <c r="E12196">
        <v>2020</v>
      </c>
      <c r="F12196">
        <v>1</v>
      </c>
      <c r="G12196">
        <v>13497</v>
      </c>
      <c r="H12196" s="1">
        <v>3</v>
      </c>
      <c r="I12196">
        <v>12</v>
      </c>
      <c r="J12196">
        <f>IF($H12196=0,1,IF($I12196&lt;=1,2,0))</f>
        <v>0</v>
      </c>
      <c r="K12196">
        <v>4</v>
      </c>
      <c r="L12196">
        <f>IF(AND($J12196=0,$K12196=0),0,1)</f>
        <v>1</v>
      </c>
      <c r="M12196" t="s">
        <v>412</v>
      </c>
    </row>
    <row r="12197" spans="1:13" x14ac:dyDescent="0.2">
      <c r="A12197" t="s">
        <v>385</v>
      </c>
      <c r="B12197" t="s">
        <v>386</v>
      </c>
      <c r="C12197" t="s">
        <v>407</v>
      </c>
      <c r="D12197">
        <v>8900</v>
      </c>
      <c r="E12197">
        <v>2020</v>
      </c>
      <c r="F12197">
        <v>2</v>
      </c>
      <c r="G12197">
        <v>13431</v>
      </c>
      <c r="H12197" s="1">
        <v>3</v>
      </c>
      <c r="I12197">
        <v>14</v>
      </c>
      <c r="J12197">
        <f>IF($H12197=0,1,IF($I12197&lt;=1,2,0))</f>
        <v>0</v>
      </c>
      <c r="K12197">
        <v>4</v>
      </c>
      <c r="L12197">
        <f>IF(AND($J12197=0,$K12197=0),0,1)</f>
        <v>1</v>
      </c>
    </row>
    <row r="12198" spans="1:13" x14ac:dyDescent="0.2">
      <c r="A12198" t="s">
        <v>385</v>
      </c>
      <c r="B12198" t="s">
        <v>386</v>
      </c>
      <c r="C12198" t="s">
        <v>407</v>
      </c>
      <c r="D12198">
        <v>8900</v>
      </c>
      <c r="E12198">
        <v>2020</v>
      </c>
      <c r="F12198">
        <v>1</v>
      </c>
      <c r="G12198">
        <v>13428</v>
      </c>
      <c r="H12198" s="1">
        <v>3</v>
      </c>
      <c r="I12198">
        <v>13</v>
      </c>
      <c r="J12198">
        <f>IF($H12198=0,1,IF($I12198&lt;=1,2,0))</f>
        <v>0</v>
      </c>
      <c r="K12198">
        <v>4</v>
      </c>
      <c r="L12198">
        <f>IF(AND($J12198=0,$K12198=0),0,1)</f>
        <v>1</v>
      </c>
    </row>
    <row r="12199" spans="1:13" x14ac:dyDescent="0.2">
      <c r="A12199" t="s">
        <v>385</v>
      </c>
      <c r="B12199" t="s">
        <v>386</v>
      </c>
      <c r="C12199" t="s">
        <v>34</v>
      </c>
      <c r="D12199">
        <v>9000</v>
      </c>
      <c r="E12199">
        <v>2020</v>
      </c>
      <c r="F12199">
        <v>1</v>
      </c>
      <c r="G12199">
        <v>13816</v>
      </c>
      <c r="H12199" s="1">
        <v>0</v>
      </c>
      <c r="I12199">
        <v>114</v>
      </c>
      <c r="J12199">
        <f>IF($H12199=0,1,IF($I12199&lt;=1,2,0))</f>
        <v>1</v>
      </c>
      <c r="K12199">
        <v>5</v>
      </c>
      <c r="L12199">
        <f>IF(AND($J12199=0,$K12199=0),0,1)</f>
        <v>1</v>
      </c>
      <c r="M12199" t="s">
        <v>1043</v>
      </c>
    </row>
    <row r="12200" spans="1:13" x14ac:dyDescent="0.2">
      <c r="A12200" t="s">
        <v>385</v>
      </c>
      <c r="B12200" t="s">
        <v>386</v>
      </c>
      <c r="C12200" t="s">
        <v>34</v>
      </c>
      <c r="D12200">
        <v>9001</v>
      </c>
      <c r="E12200">
        <v>2020</v>
      </c>
      <c r="F12200">
        <v>1</v>
      </c>
      <c r="G12200">
        <v>13817</v>
      </c>
      <c r="H12200" s="1">
        <v>0</v>
      </c>
      <c r="I12200">
        <v>27</v>
      </c>
      <c r="J12200">
        <f>IF($H12200=0,1,IF($I12200&lt;=1,2,0))</f>
        <v>1</v>
      </c>
      <c r="K12200">
        <v>5</v>
      </c>
      <c r="L12200">
        <f>IF(AND($J12200=0,$K12200=0),0,1)</f>
        <v>1</v>
      </c>
      <c r="M12200" t="s">
        <v>1044</v>
      </c>
    </row>
    <row r="12201" spans="1:13" x14ac:dyDescent="0.2">
      <c r="A12201" t="s">
        <v>385</v>
      </c>
      <c r="B12201" t="s">
        <v>386</v>
      </c>
      <c r="C12201" t="s">
        <v>407</v>
      </c>
      <c r="D12201">
        <v>9100</v>
      </c>
      <c r="E12201">
        <v>2020</v>
      </c>
      <c r="F12201">
        <v>1</v>
      </c>
      <c r="G12201">
        <v>13646</v>
      </c>
      <c r="H12201" s="1">
        <v>0</v>
      </c>
      <c r="I12201">
        <v>9</v>
      </c>
      <c r="J12201">
        <f>IF($H12201=0,1,IF($I12201&lt;=1,2,0))</f>
        <v>1</v>
      </c>
      <c r="K12201">
        <v>5</v>
      </c>
      <c r="L12201">
        <f>IF(AND($J12201=0,$K12201=0),0,1)</f>
        <v>1</v>
      </c>
      <c r="M12201" t="s">
        <v>204</v>
      </c>
    </row>
    <row r="12202" spans="1:13" x14ac:dyDescent="0.2">
      <c r="A12202" t="s">
        <v>385</v>
      </c>
      <c r="B12202" t="s">
        <v>386</v>
      </c>
      <c r="C12202" t="s">
        <v>407</v>
      </c>
      <c r="D12202">
        <v>9100</v>
      </c>
      <c r="E12202">
        <v>2020</v>
      </c>
      <c r="F12202">
        <v>2</v>
      </c>
      <c r="G12202">
        <v>13647</v>
      </c>
      <c r="H12202" s="1">
        <v>0</v>
      </c>
      <c r="I12202">
        <v>7</v>
      </c>
      <c r="J12202">
        <f>IF($H12202=0,1,IF($I12202&lt;=1,2,0))</f>
        <v>1</v>
      </c>
      <c r="K12202">
        <v>5</v>
      </c>
      <c r="L12202">
        <f>IF(AND($J12202=0,$K12202=0),0,1)</f>
        <v>1</v>
      </c>
    </row>
    <row r="12203" spans="1:13" x14ac:dyDescent="0.2">
      <c r="A12203" t="s">
        <v>385</v>
      </c>
      <c r="B12203" t="s">
        <v>386</v>
      </c>
      <c r="C12203" t="s">
        <v>407</v>
      </c>
      <c r="D12203">
        <v>9100</v>
      </c>
      <c r="E12203">
        <v>2020</v>
      </c>
      <c r="F12203">
        <v>3</v>
      </c>
      <c r="G12203">
        <v>13648</v>
      </c>
      <c r="H12203" s="1">
        <v>0</v>
      </c>
      <c r="I12203">
        <v>6</v>
      </c>
      <c r="J12203">
        <f>IF($H12203=0,1,IF($I12203&lt;=1,2,0))</f>
        <v>1</v>
      </c>
      <c r="K12203">
        <v>5</v>
      </c>
      <c r="L12203">
        <f>IF(AND($J12203=0,$K12203=0),0,1)</f>
        <v>1</v>
      </c>
    </row>
    <row r="12204" spans="1:13" x14ac:dyDescent="0.2">
      <c r="A12204" t="s">
        <v>385</v>
      </c>
      <c r="B12204" t="s">
        <v>386</v>
      </c>
      <c r="C12204" t="s">
        <v>407</v>
      </c>
      <c r="D12204">
        <v>9110</v>
      </c>
      <c r="E12204">
        <v>2020</v>
      </c>
      <c r="F12204">
        <v>2</v>
      </c>
      <c r="G12204">
        <v>13650</v>
      </c>
      <c r="H12204" s="1">
        <v>0</v>
      </c>
      <c r="I12204">
        <v>11</v>
      </c>
      <c r="J12204">
        <f>IF($H12204=0,1,IF($I12204&lt;=1,2,0))</f>
        <v>1</v>
      </c>
      <c r="K12204">
        <v>5</v>
      </c>
      <c r="L12204">
        <f>IF(AND($J12204=0,$K12204=0),0,1)</f>
        <v>1</v>
      </c>
    </row>
    <row r="12205" spans="1:13" x14ac:dyDescent="0.2">
      <c r="A12205" t="s">
        <v>385</v>
      </c>
      <c r="B12205" t="s">
        <v>386</v>
      </c>
      <c r="C12205" t="s">
        <v>407</v>
      </c>
      <c r="D12205">
        <v>9110</v>
      </c>
      <c r="E12205">
        <v>2020</v>
      </c>
      <c r="F12205">
        <v>3</v>
      </c>
      <c r="G12205">
        <v>13651</v>
      </c>
      <c r="H12205" s="1">
        <v>0</v>
      </c>
      <c r="I12205">
        <v>11</v>
      </c>
      <c r="J12205">
        <f>IF($H12205=0,1,IF($I12205&lt;=1,2,0))</f>
        <v>1</v>
      </c>
      <c r="K12205">
        <v>5</v>
      </c>
      <c r="L12205">
        <f>IF(AND($J12205=0,$K12205=0),0,1)</f>
        <v>1</v>
      </c>
    </row>
    <row r="12206" spans="1:13" x14ac:dyDescent="0.2">
      <c r="A12206" t="s">
        <v>385</v>
      </c>
      <c r="B12206" t="s">
        <v>386</v>
      </c>
      <c r="C12206" t="s">
        <v>407</v>
      </c>
      <c r="D12206">
        <v>9110</v>
      </c>
      <c r="E12206">
        <v>2020</v>
      </c>
      <c r="F12206">
        <v>4</v>
      </c>
      <c r="G12206">
        <v>22289</v>
      </c>
      <c r="H12206" s="1">
        <v>0</v>
      </c>
      <c r="I12206">
        <v>11</v>
      </c>
      <c r="J12206">
        <f>IF($H12206=0,1,IF($I12206&lt;=1,2,0))</f>
        <v>1</v>
      </c>
      <c r="K12206">
        <v>5</v>
      </c>
      <c r="L12206">
        <f>IF(AND($J12206=0,$K12206=0),0,1)</f>
        <v>1</v>
      </c>
    </row>
    <row r="12207" spans="1:13" x14ac:dyDescent="0.2">
      <c r="A12207" t="s">
        <v>385</v>
      </c>
      <c r="B12207" t="s">
        <v>386</v>
      </c>
      <c r="C12207" t="s">
        <v>407</v>
      </c>
      <c r="D12207">
        <v>9110</v>
      </c>
      <c r="E12207">
        <v>2020</v>
      </c>
      <c r="F12207">
        <v>5</v>
      </c>
      <c r="G12207">
        <v>22380</v>
      </c>
      <c r="H12207" s="1">
        <v>0</v>
      </c>
      <c r="I12207">
        <v>11</v>
      </c>
      <c r="J12207">
        <f>IF($H12207=0,1,IF($I12207&lt;=1,2,0))</f>
        <v>1</v>
      </c>
      <c r="K12207">
        <v>5</v>
      </c>
      <c r="L12207">
        <f>IF(AND($J12207=0,$K12207=0),0,1)</f>
        <v>1</v>
      </c>
    </row>
    <row r="12208" spans="1:13" x14ac:dyDescent="0.2">
      <c r="A12208" t="s">
        <v>385</v>
      </c>
      <c r="B12208" t="s">
        <v>386</v>
      </c>
      <c r="C12208" t="s">
        <v>407</v>
      </c>
      <c r="D12208">
        <v>9110</v>
      </c>
      <c r="E12208">
        <v>2020</v>
      </c>
      <c r="F12208">
        <v>1</v>
      </c>
      <c r="G12208">
        <v>13649</v>
      </c>
      <c r="H12208" s="1">
        <v>0</v>
      </c>
      <c r="I12208">
        <v>6</v>
      </c>
      <c r="J12208">
        <f>IF($H12208=0,1,IF($I12208&lt;=1,2,0))</f>
        <v>1</v>
      </c>
      <c r="K12208">
        <v>5</v>
      </c>
      <c r="L12208">
        <f>IF(AND($J12208=0,$K12208=0),0,1)</f>
        <v>1</v>
      </c>
    </row>
    <row r="12209" spans="1:13" x14ac:dyDescent="0.2">
      <c r="A12209" t="s">
        <v>385</v>
      </c>
      <c r="B12209" t="s">
        <v>386</v>
      </c>
      <c r="C12209" t="s">
        <v>407</v>
      </c>
      <c r="D12209">
        <v>9120</v>
      </c>
      <c r="E12209">
        <v>2020</v>
      </c>
      <c r="F12209">
        <v>1</v>
      </c>
      <c r="G12209">
        <v>13652</v>
      </c>
      <c r="H12209" s="1">
        <v>0</v>
      </c>
      <c r="I12209">
        <v>8</v>
      </c>
      <c r="J12209">
        <f>IF($H12209=0,1,IF($I12209&lt;=1,2,0))</f>
        <v>1</v>
      </c>
      <c r="K12209">
        <v>5</v>
      </c>
      <c r="L12209">
        <f>IF(AND($J12209=0,$K12209=0),0,1)</f>
        <v>1</v>
      </c>
    </row>
    <row r="12210" spans="1:13" x14ac:dyDescent="0.2">
      <c r="A12210" t="s">
        <v>385</v>
      </c>
      <c r="B12210" t="s">
        <v>386</v>
      </c>
      <c r="C12210" t="s">
        <v>407</v>
      </c>
      <c r="D12210">
        <v>9120</v>
      </c>
      <c r="E12210">
        <v>2020</v>
      </c>
      <c r="F12210">
        <v>2</v>
      </c>
      <c r="G12210">
        <v>22369</v>
      </c>
      <c r="H12210" s="1">
        <v>0</v>
      </c>
      <c r="I12210">
        <v>8</v>
      </c>
      <c r="J12210">
        <f>IF($H12210=0,1,IF($I12210&lt;=1,2,0))</f>
        <v>1</v>
      </c>
      <c r="K12210">
        <v>5</v>
      </c>
      <c r="L12210">
        <f>IF(AND($J12210=0,$K12210=0),0,1)</f>
        <v>1</v>
      </c>
    </row>
    <row r="12211" spans="1:13" x14ac:dyDescent="0.2">
      <c r="A12211" t="s">
        <v>385</v>
      </c>
      <c r="B12211" t="s">
        <v>386</v>
      </c>
      <c r="C12211" t="s">
        <v>407</v>
      </c>
      <c r="D12211">
        <v>9140</v>
      </c>
      <c r="E12211">
        <v>2020</v>
      </c>
      <c r="F12211">
        <v>1</v>
      </c>
      <c r="G12211">
        <v>21923</v>
      </c>
      <c r="H12211" s="1">
        <v>0</v>
      </c>
      <c r="I12211">
        <v>10</v>
      </c>
      <c r="J12211">
        <f>IF($H12211=0,1,IF($I12211&lt;=1,2,0))</f>
        <v>1</v>
      </c>
      <c r="K12211">
        <v>5</v>
      </c>
      <c r="L12211">
        <f>IF(AND($J12211=0,$K12211=0),0,1)</f>
        <v>1</v>
      </c>
    </row>
    <row r="12212" spans="1:13" x14ac:dyDescent="0.2">
      <c r="A12212" t="s">
        <v>385</v>
      </c>
      <c r="B12212" t="s">
        <v>386</v>
      </c>
      <c r="C12212" t="s">
        <v>407</v>
      </c>
      <c r="D12212">
        <v>9210</v>
      </c>
      <c r="E12212">
        <v>2020</v>
      </c>
      <c r="F12212">
        <v>6</v>
      </c>
      <c r="G12212">
        <v>13664</v>
      </c>
      <c r="H12212" s="1">
        <v>0</v>
      </c>
      <c r="I12212">
        <v>12</v>
      </c>
      <c r="J12212">
        <f>IF($H12212=0,1,IF($I12212&lt;=1,2,0))</f>
        <v>1</v>
      </c>
      <c r="K12212">
        <v>5</v>
      </c>
      <c r="L12212">
        <f>IF(AND($J12212=0,$K12212=0),0,1)</f>
        <v>1</v>
      </c>
    </row>
    <row r="12213" spans="1:13" x14ac:dyDescent="0.2">
      <c r="A12213" t="s">
        <v>385</v>
      </c>
      <c r="B12213" t="s">
        <v>386</v>
      </c>
      <c r="C12213" t="s">
        <v>407</v>
      </c>
      <c r="D12213">
        <v>9210</v>
      </c>
      <c r="E12213">
        <v>2020</v>
      </c>
      <c r="F12213">
        <v>5</v>
      </c>
      <c r="G12213">
        <v>13661</v>
      </c>
      <c r="H12213" s="1">
        <v>0</v>
      </c>
      <c r="I12213">
        <v>11</v>
      </c>
      <c r="J12213">
        <f>IF($H12213=0,1,IF($I12213&lt;=1,2,0))</f>
        <v>1</v>
      </c>
      <c r="K12213">
        <v>5</v>
      </c>
      <c r="L12213">
        <f>IF(AND($J12213=0,$K12213=0),0,1)</f>
        <v>1</v>
      </c>
    </row>
    <row r="12214" spans="1:13" x14ac:dyDescent="0.2">
      <c r="A12214" t="s">
        <v>385</v>
      </c>
      <c r="B12214" t="s">
        <v>386</v>
      </c>
      <c r="C12214" t="s">
        <v>407</v>
      </c>
      <c r="D12214">
        <v>9210</v>
      </c>
      <c r="E12214">
        <v>2020</v>
      </c>
      <c r="F12214">
        <v>1</v>
      </c>
      <c r="G12214">
        <v>13653</v>
      </c>
      <c r="H12214" s="1">
        <v>0</v>
      </c>
      <c r="I12214">
        <v>10</v>
      </c>
      <c r="J12214">
        <f>IF($H12214=0,1,IF($I12214&lt;=1,2,0))</f>
        <v>1</v>
      </c>
      <c r="K12214">
        <v>5</v>
      </c>
      <c r="L12214">
        <f>IF(AND($J12214=0,$K12214=0),0,1)</f>
        <v>1</v>
      </c>
    </row>
    <row r="12215" spans="1:13" x14ac:dyDescent="0.2">
      <c r="A12215" t="s">
        <v>385</v>
      </c>
      <c r="B12215" t="s">
        <v>386</v>
      </c>
      <c r="C12215" t="s">
        <v>407</v>
      </c>
      <c r="D12215">
        <v>9210</v>
      </c>
      <c r="E12215">
        <v>2020</v>
      </c>
      <c r="F12215">
        <v>2</v>
      </c>
      <c r="G12215">
        <v>13655</v>
      </c>
      <c r="H12215" s="1">
        <v>0</v>
      </c>
      <c r="I12215">
        <v>10</v>
      </c>
      <c r="J12215">
        <f>IF($H12215=0,1,IF($I12215&lt;=1,2,0))</f>
        <v>1</v>
      </c>
      <c r="K12215">
        <v>5</v>
      </c>
      <c r="L12215">
        <f>IF(AND($J12215=0,$K12215=0),0,1)</f>
        <v>1</v>
      </c>
      <c r="M12215" t="s">
        <v>204</v>
      </c>
    </row>
    <row r="12216" spans="1:13" x14ac:dyDescent="0.2">
      <c r="A12216" t="s">
        <v>385</v>
      </c>
      <c r="B12216" t="s">
        <v>386</v>
      </c>
      <c r="C12216" t="s">
        <v>407</v>
      </c>
      <c r="D12216">
        <v>9210</v>
      </c>
      <c r="E12216">
        <v>2020</v>
      </c>
      <c r="F12216">
        <v>3</v>
      </c>
      <c r="G12216">
        <v>13658</v>
      </c>
      <c r="H12216" s="1">
        <v>0</v>
      </c>
      <c r="I12216">
        <v>9</v>
      </c>
      <c r="J12216">
        <f>IF($H12216=0,1,IF($I12216&lt;=1,2,0))</f>
        <v>1</v>
      </c>
      <c r="K12216">
        <v>5</v>
      </c>
      <c r="L12216">
        <f>IF(AND($J12216=0,$K12216=0),0,1)</f>
        <v>1</v>
      </c>
    </row>
    <row r="12217" spans="1:13" x14ac:dyDescent="0.2">
      <c r="A12217" t="s">
        <v>385</v>
      </c>
      <c r="B12217" t="s">
        <v>386</v>
      </c>
      <c r="C12217" t="s">
        <v>407</v>
      </c>
      <c r="D12217">
        <v>9210</v>
      </c>
      <c r="E12217">
        <v>2020</v>
      </c>
      <c r="F12217">
        <v>4</v>
      </c>
      <c r="G12217">
        <v>13660</v>
      </c>
      <c r="H12217" s="1">
        <v>0</v>
      </c>
      <c r="I12217">
        <v>8</v>
      </c>
      <c r="J12217">
        <f>IF($H12217=0,1,IF($I12217&lt;=1,2,0))</f>
        <v>1</v>
      </c>
      <c r="K12217">
        <v>5</v>
      </c>
      <c r="L12217">
        <f>IF(AND($J12217=0,$K12217=0),0,1)</f>
        <v>1</v>
      </c>
    </row>
    <row r="12218" spans="1:13" x14ac:dyDescent="0.2">
      <c r="A12218" t="s">
        <v>385</v>
      </c>
      <c r="B12218" t="s">
        <v>386</v>
      </c>
      <c r="C12218" t="s">
        <v>407</v>
      </c>
      <c r="D12218">
        <v>9250</v>
      </c>
      <c r="E12218">
        <v>2020</v>
      </c>
      <c r="F12218">
        <v>1</v>
      </c>
      <c r="G12218">
        <v>24680</v>
      </c>
      <c r="H12218" s="1">
        <v>0</v>
      </c>
      <c r="I12218">
        <v>87</v>
      </c>
      <c r="J12218">
        <f>IF($H12218=0,1,IF($I12218&lt;=1,2,0))</f>
        <v>1</v>
      </c>
      <c r="K12218">
        <v>5</v>
      </c>
      <c r="L12218">
        <f>IF(AND($J12218=0,$K12218=0),0,1)</f>
        <v>1</v>
      </c>
    </row>
    <row r="12219" spans="1:13" x14ac:dyDescent="0.2">
      <c r="A12219" t="s">
        <v>385</v>
      </c>
      <c r="B12219" t="s">
        <v>386</v>
      </c>
      <c r="C12219" t="s">
        <v>407</v>
      </c>
      <c r="D12219">
        <v>9300</v>
      </c>
      <c r="E12219">
        <v>2020</v>
      </c>
      <c r="F12219">
        <v>1</v>
      </c>
      <c r="G12219">
        <v>13668</v>
      </c>
      <c r="H12219" s="1">
        <v>0</v>
      </c>
      <c r="I12219">
        <v>11</v>
      </c>
      <c r="J12219">
        <f>IF($H12219=0,1,IF($I12219&lt;=1,2,0))</f>
        <v>1</v>
      </c>
      <c r="K12219">
        <v>5</v>
      </c>
      <c r="L12219">
        <f>IF(AND($J12219=0,$K12219=0),0,1)</f>
        <v>1</v>
      </c>
    </row>
    <row r="12220" spans="1:13" x14ac:dyDescent="0.2">
      <c r="A12220" t="s">
        <v>385</v>
      </c>
      <c r="B12220" t="s">
        <v>386</v>
      </c>
      <c r="C12220" t="s">
        <v>407</v>
      </c>
      <c r="D12220">
        <v>9300</v>
      </c>
      <c r="E12220">
        <v>2020</v>
      </c>
      <c r="F12220">
        <v>3</v>
      </c>
      <c r="G12220">
        <v>13671</v>
      </c>
      <c r="H12220" s="1">
        <v>0</v>
      </c>
      <c r="I12220">
        <v>9</v>
      </c>
      <c r="J12220">
        <f>IF($H12220=0,1,IF($I12220&lt;=1,2,0))</f>
        <v>1</v>
      </c>
      <c r="K12220">
        <v>5</v>
      </c>
      <c r="L12220">
        <f>IF(AND($J12220=0,$K12220=0),0,1)</f>
        <v>1</v>
      </c>
    </row>
    <row r="12221" spans="1:13" x14ac:dyDescent="0.2">
      <c r="A12221" t="s">
        <v>385</v>
      </c>
      <c r="B12221" t="s">
        <v>386</v>
      </c>
      <c r="C12221" t="s">
        <v>407</v>
      </c>
      <c r="D12221">
        <v>9300</v>
      </c>
      <c r="E12221">
        <v>2020</v>
      </c>
      <c r="F12221">
        <v>2</v>
      </c>
      <c r="G12221">
        <v>13670</v>
      </c>
      <c r="H12221" s="1">
        <v>0</v>
      </c>
      <c r="I12221">
        <v>7</v>
      </c>
      <c r="J12221">
        <f>IF($H12221=0,1,IF($I12221&lt;=1,2,0))</f>
        <v>1</v>
      </c>
      <c r="K12221">
        <v>5</v>
      </c>
      <c r="L12221">
        <f>IF(AND($J12221=0,$K12221=0),0,1)</f>
        <v>1</v>
      </c>
    </row>
    <row r="12222" spans="1:13" x14ac:dyDescent="0.2">
      <c r="A12222" t="s">
        <v>385</v>
      </c>
      <c r="B12222" t="s">
        <v>386</v>
      </c>
      <c r="C12222" t="s">
        <v>407</v>
      </c>
      <c r="D12222">
        <v>9315</v>
      </c>
      <c r="E12222">
        <v>2020</v>
      </c>
      <c r="F12222">
        <v>1</v>
      </c>
      <c r="G12222">
        <v>13676</v>
      </c>
      <c r="H12222" s="1">
        <v>0</v>
      </c>
      <c r="I12222">
        <v>12</v>
      </c>
      <c r="J12222">
        <f>IF($H12222=0,1,IF($I12222&lt;=1,2,0))</f>
        <v>1</v>
      </c>
      <c r="K12222">
        <v>5</v>
      </c>
      <c r="L12222">
        <f>IF(AND($J12222=0,$K12222=0),0,1)</f>
        <v>1</v>
      </c>
      <c r="M12222" t="s">
        <v>413</v>
      </c>
    </row>
    <row r="12223" spans="1:13" x14ac:dyDescent="0.2">
      <c r="A12223" t="s">
        <v>385</v>
      </c>
      <c r="B12223" t="s">
        <v>386</v>
      </c>
      <c r="C12223" t="s">
        <v>407</v>
      </c>
      <c r="D12223">
        <v>9360</v>
      </c>
      <c r="E12223">
        <v>2020</v>
      </c>
      <c r="F12223">
        <v>1</v>
      </c>
      <c r="G12223">
        <v>21417</v>
      </c>
      <c r="H12223" s="1">
        <v>0</v>
      </c>
      <c r="I12223">
        <v>11</v>
      </c>
      <c r="J12223">
        <f>IF($H12223=0,1,IF($I12223&lt;=1,2,0))</f>
        <v>1</v>
      </c>
      <c r="K12223">
        <v>5</v>
      </c>
      <c r="L12223">
        <f>IF(AND($J12223=0,$K12223=0),0,1)</f>
        <v>1</v>
      </c>
      <c r="M12223" t="s">
        <v>1045</v>
      </c>
    </row>
    <row r="12224" spans="1:13" x14ac:dyDescent="0.2">
      <c r="A12224" t="s">
        <v>385</v>
      </c>
      <c r="B12224" t="s">
        <v>386</v>
      </c>
      <c r="C12224" t="s">
        <v>407</v>
      </c>
      <c r="D12224">
        <v>9700</v>
      </c>
      <c r="E12224">
        <v>2020</v>
      </c>
      <c r="F12224">
        <v>1</v>
      </c>
      <c r="G12224">
        <v>13433</v>
      </c>
      <c r="H12224" s="1">
        <v>3</v>
      </c>
      <c r="I12224">
        <v>27</v>
      </c>
      <c r="J12224">
        <f>IF($H12224=0,1,IF($I12224&lt;=1,2,0))</f>
        <v>0</v>
      </c>
      <c r="K12224">
        <v>5</v>
      </c>
      <c r="L12224">
        <f>IF(AND($J12224=0,$K12224=0),0,1)</f>
        <v>1</v>
      </c>
    </row>
    <row r="12225" spans="1:13" x14ac:dyDescent="0.2">
      <c r="A12225" t="s">
        <v>385</v>
      </c>
      <c r="B12225" t="s">
        <v>386</v>
      </c>
      <c r="C12225" t="s">
        <v>407</v>
      </c>
      <c r="D12225">
        <v>9800</v>
      </c>
      <c r="E12225">
        <v>2020</v>
      </c>
      <c r="F12225">
        <v>2</v>
      </c>
      <c r="G12225">
        <v>13678</v>
      </c>
      <c r="H12225" s="1" t="s">
        <v>1828</v>
      </c>
      <c r="I12225">
        <v>6</v>
      </c>
      <c r="J12225">
        <f>IF($H12225=0,1,IF($I12225&lt;=1,2,0))</f>
        <v>0</v>
      </c>
      <c r="K12225">
        <v>5</v>
      </c>
      <c r="L12225">
        <f>IF(AND($J12225=0,$K12225=0),0,1)</f>
        <v>1</v>
      </c>
      <c r="M12225" t="s">
        <v>414</v>
      </c>
    </row>
    <row r="12226" spans="1:13" x14ac:dyDescent="0.2">
      <c r="A12226" t="s">
        <v>385</v>
      </c>
      <c r="B12226" t="s">
        <v>386</v>
      </c>
      <c r="C12226" t="s">
        <v>407</v>
      </c>
      <c r="D12226">
        <v>9800</v>
      </c>
      <c r="E12226">
        <v>2020</v>
      </c>
      <c r="F12226">
        <v>3</v>
      </c>
      <c r="G12226">
        <v>13679</v>
      </c>
      <c r="H12226" s="1" t="s">
        <v>1828</v>
      </c>
      <c r="I12226">
        <v>4</v>
      </c>
      <c r="J12226">
        <f>IF($H12226=0,1,IF($I12226&lt;=1,2,0))</f>
        <v>0</v>
      </c>
      <c r="K12226">
        <v>5</v>
      </c>
      <c r="L12226">
        <f>IF(AND($J12226=0,$K12226=0),0,1)</f>
        <v>1</v>
      </c>
      <c r="M12226" t="s">
        <v>415</v>
      </c>
    </row>
    <row r="12227" spans="1:13" x14ac:dyDescent="0.2">
      <c r="A12227" t="s">
        <v>385</v>
      </c>
      <c r="B12227" t="s">
        <v>386</v>
      </c>
      <c r="C12227" t="s">
        <v>407</v>
      </c>
      <c r="D12227">
        <v>9800</v>
      </c>
      <c r="E12227">
        <v>2020</v>
      </c>
      <c r="F12227">
        <v>1</v>
      </c>
      <c r="G12227">
        <v>13677</v>
      </c>
      <c r="H12227" s="1" t="s">
        <v>1828</v>
      </c>
      <c r="I12227">
        <v>3</v>
      </c>
      <c r="J12227">
        <f>IF($H12227=0,1,IF($I12227&lt;=1,2,0))</f>
        <v>0</v>
      </c>
      <c r="K12227">
        <v>5</v>
      </c>
      <c r="L12227">
        <f>IF(AND($J12227=0,$K12227=0),0,1)</f>
        <v>1</v>
      </c>
      <c r="M12227" t="s">
        <v>414</v>
      </c>
    </row>
    <row r="12228" spans="1:13" x14ac:dyDescent="0.2">
      <c r="A12228" t="s">
        <v>385</v>
      </c>
      <c r="B12228" t="s">
        <v>386</v>
      </c>
      <c r="C12228" t="s">
        <v>407</v>
      </c>
      <c r="D12228">
        <v>9800</v>
      </c>
      <c r="E12228">
        <v>2020</v>
      </c>
      <c r="F12228">
        <v>4</v>
      </c>
      <c r="G12228">
        <v>13680</v>
      </c>
      <c r="H12228" s="1" t="s">
        <v>1828</v>
      </c>
      <c r="I12228">
        <v>1</v>
      </c>
      <c r="J12228">
        <f>IF($H12228=0,1,IF($I12228&lt;=1,2,0))</f>
        <v>2</v>
      </c>
      <c r="K12228">
        <v>5</v>
      </c>
      <c r="L12228">
        <f>IF(AND($J12228=0,$K12228=0),0,1)</f>
        <v>1</v>
      </c>
      <c r="M12228" t="s">
        <v>414</v>
      </c>
    </row>
    <row r="12229" spans="1:13" x14ac:dyDescent="0.2">
      <c r="A12229" t="s">
        <v>417</v>
      </c>
      <c r="B12229" t="s">
        <v>17</v>
      </c>
      <c r="C12229" t="s">
        <v>2</v>
      </c>
      <c r="D12229">
        <v>1001</v>
      </c>
      <c r="E12229">
        <v>2020</v>
      </c>
      <c r="F12229">
        <v>1</v>
      </c>
      <c r="G12229">
        <v>142</v>
      </c>
      <c r="H12229" s="1">
        <v>4</v>
      </c>
      <c r="I12229">
        <v>16</v>
      </c>
      <c r="J12229">
        <f>IF($H12229=0,1,IF($I12229&lt;=1,2,0))</f>
        <v>0</v>
      </c>
      <c r="K12229">
        <v>7</v>
      </c>
      <c r="L12229">
        <f>IF(AND($J12229=0,$K12229=0),0,1)</f>
        <v>1</v>
      </c>
      <c r="M12229" t="s">
        <v>1046</v>
      </c>
    </row>
    <row r="12230" spans="1:13" x14ac:dyDescent="0.2">
      <c r="A12230" t="s">
        <v>417</v>
      </c>
      <c r="B12230" t="s">
        <v>17</v>
      </c>
      <c r="C12230" t="s">
        <v>2</v>
      </c>
      <c r="D12230">
        <v>1001</v>
      </c>
      <c r="E12230">
        <v>2020</v>
      </c>
      <c r="F12230">
        <v>2</v>
      </c>
      <c r="G12230">
        <v>143</v>
      </c>
      <c r="H12230" s="1">
        <v>4</v>
      </c>
      <c r="I12230">
        <v>16</v>
      </c>
      <c r="J12230">
        <f>IF($H12230=0,1,IF($I12230&lt;=1,2,0))</f>
        <v>0</v>
      </c>
      <c r="K12230">
        <v>7</v>
      </c>
      <c r="L12230">
        <f>IF(AND($J12230=0,$K12230=0),0,1)</f>
        <v>1</v>
      </c>
      <c r="M12230" t="s">
        <v>1046</v>
      </c>
    </row>
    <row r="12231" spans="1:13" x14ac:dyDescent="0.2">
      <c r="A12231" t="s">
        <v>417</v>
      </c>
      <c r="B12231" t="s">
        <v>17</v>
      </c>
      <c r="C12231" t="s">
        <v>2</v>
      </c>
      <c r="D12231">
        <v>1102</v>
      </c>
      <c r="E12231">
        <v>2020</v>
      </c>
      <c r="F12231">
        <v>1</v>
      </c>
      <c r="G12231">
        <v>144</v>
      </c>
      <c r="H12231" s="1">
        <v>3</v>
      </c>
      <c r="I12231">
        <v>15</v>
      </c>
      <c r="J12231">
        <f>IF($H12231=0,1,IF($I12231&lt;=1,2,0))</f>
        <v>0</v>
      </c>
      <c r="K12231">
        <v>7</v>
      </c>
      <c r="L12231">
        <f>IF(AND($J12231=0,$K12231=0),0,1)</f>
        <v>1</v>
      </c>
    </row>
    <row r="12232" spans="1:13" x14ac:dyDescent="0.2">
      <c r="A12232" t="s">
        <v>417</v>
      </c>
      <c r="B12232" t="s">
        <v>17</v>
      </c>
      <c r="C12232" t="s">
        <v>2</v>
      </c>
      <c r="D12232">
        <v>1102</v>
      </c>
      <c r="E12232">
        <v>2020</v>
      </c>
      <c r="F12232">
        <v>2</v>
      </c>
      <c r="G12232">
        <v>281</v>
      </c>
      <c r="H12232" s="1">
        <v>3</v>
      </c>
      <c r="I12232">
        <v>14</v>
      </c>
      <c r="J12232">
        <f>IF($H12232=0,1,IF($I12232&lt;=1,2,0))</f>
        <v>0</v>
      </c>
      <c r="K12232">
        <v>7</v>
      </c>
      <c r="L12232">
        <f>IF(AND($J12232=0,$K12232=0),0,1)</f>
        <v>1</v>
      </c>
      <c r="M12232" t="s">
        <v>1046</v>
      </c>
    </row>
    <row r="12233" spans="1:13" x14ac:dyDescent="0.2">
      <c r="A12233" t="s">
        <v>417</v>
      </c>
      <c r="B12233" t="s">
        <v>17</v>
      </c>
      <c r="C12233" t="s">
        <v>2</v>
      </c>
      <c r="D12233">
        <v>1203</v>
      </c>
      <c r="E12233">
        <v>2020</v>
      </c>
      <c r="F12233">
        <v>1</v>
      </c>
      <c r="G12233">
        <v>145</v>
      </c>
      <c r="H12233" s="1">
        <v>3</v>
      </c>
      <c r="I12233">
        <v>16</v>
      </c>
      <c r="J12233">
        <f>IF($H12233=0,1,IF($I12233&lt;=1,2,0))</f>
        <v>0</v>
      </c>
      <c r="K12233">
        <v>7</v>
      </c>
      <c r="L12233">
        <f>IF(AND($J12233=0,$K12233=0),0,1)</f>
        <v>1</v>
      </c>
    </row>
    <row r="12234" spans="1:13" x14ac:dyDescent="0.2">
      <c r="A12234" t="s">
        <v>417</v>
      </c>
      <c r="B12234" t="s">
        <v>17</v>
      </c>
      <c r="C12234" t="s">
        <v>2</v>
      </c>
      <c r="D12234">
        <v>1203</v>
      </c>
      <c r="E12234">
        <v>2020</v>
      </c>
      <c r="F12234">
        <v>2</v>
      </c>
      <c r="G12234">
        <v>146</v>
      </c>
      <c r="H12234" s="1">
        <v>3</v>
      </c>
      <c r="I12234">
        <v>16</v>
      </c>
      <c r="J12234">
        <f>IF($H12234=0,1,IF($I12234&lt;=1,2,0))</f>
        <v>0</v>
      </c>
      <c r="K12234">
        <v>7</v>
      </c>
      <c r="L12234">
        <f>IF(AND($J12234=0,$K12234=0),0,1)</f>
        <v>1</v>
      </c>
    </row>
    <row r="12235" spans="1:13" x14ac:dyDescent="0.2">
      <c r="A12235" t="s">
        <v>417</v>
      </c>
      <c r="B12235" t="s">
        <v>17</v>
      </c>
      <c r="C12235" t="s">
        <v>2</v>
      </c>
      <c r="D12235">
        <v>1203</v>
      </c>
      <c r="E12235">
        <v>2020</v>
      </c>
      <c r="F12235">
        <v>3</v>
      </c>
      <c r="G12235">
        <v>147</v>
      </c>
      <c r="H12235" s="1">
        <v>3</v>
      </c>
      <c r="I12235">
        <v>16</v>
      </c>
      <c r="J12235">
        <f>IF($H12235=0,1,IF($I12235&lt;=1,2,0))</f>
        <v>0</v>
      </c>
      <c r="K12235">
        <v>7</v>
      </c>
      <c r="L12235">
        <f>IF(AND($J12235=0,$K12235=0),0,1)</f>
        <v>1</v>
      </c>
    </row>
    <row r="12236" spans="1:13" x14ac:dyDescent="0.2">
      <c r="A12236" t="s">
        <v>417</v>
      </c>
      <c r="B12236" t="s">
        <v>17</v>
      </c>
      <c r="C12236" t="s">
        <v>2</v>
      </c>
      <c r="D12236">
        <v>1203</v>
      </c>
      <c r="E12236">
        <v>2020</v>
      </c>
      <c r="F12236">
        <v>4</v>
      </c>
      <c r="G12236">
        <v>148</v>
      </c>
      <c r="H12236" s="1">
        <v>3</v>
      </c>
      <c r="I12236">
        <v>14</v>
      </c>
      <c r="J12236">
        <f>IF($H12236=0,1,IF($I12236&lt;=1,2,0))</f>
        <v>0</v>
      </c>
      <c r="K12236">
        <v>7</v>
      </c>
      <c r="L12236">
        <f>IF(AND($J12236=0,$K12236=0),0,1)</f>
        <v>1</v>
      </c>
    </row>
    <row r="12237" spans="1:13" x14ac:dyDescent="0.2">
      <c r="A12237" t="s">
        <v>417</v>
      </c>
      <c r="B12237" t="s">
        <v>17</v>
      </c>
      <c r="C12237" t="s">
        <v>2</v>
      </c>
      <c r="D12237">
        <v>1204</v>
      </c>
      <c r="E12237">
        <v>2020</v>
      </c>
      <c r="F12237">
        <v>1</v>
      </c>
      <c r="G12237">
        <v>149</v>
      </c>
      <c r="H12237" s="1">
        <v>3</v>
      </c>
      <c r="I12237">
        <v>13</v>
      </c>
      <c r="J12237">
        <f>IF($H12237=0,1,IF($I12237&lt;=1,2,0))</f>
        <v>0</v>
      </c>
      <c r="K12237">
        <v>7</v>
      </c>
      <c r="L12237">
        <f>IF(AND($J12237=0,$K12237=0),0,1)</f>
        <v>1</v>
      </c>
    </row>
    <row r="12238" spans="1:13" x14ac:dyDescent="0.2">
      <c r="A12238" t="s">
        <v>417</v>
      </c>
      <c r="B12238" t="s">
        <v>17</v>
      </c>
      <c r="C12238" t="s">
        <v>2</v>
      </c>
      <c r="D12238">
        <v>1204</v>
      </c>
      <c r="E12238">
        <v>2020</v>
      </c>
      <c r="F12238">
        <v>2</v>
      </c>
      <c r="G12238">
        <v>150</v>
      </c>
      <c r="H12238" s="1">
        <v>3</v>
      </c>
      <c r="I12238">
        <v>10</v>
      </c>
      <c r="J12238">
        <f>IF($H12238=0,1,IF($I12238&lt;=1,2,0))</f>
        <v>0</v>
      </c>
      <c r="K12238">
        <v>7</v>
      </c>
      <c r="L12238">
        <f>IF(AND($J12238=0,$K12238=0),0,1)</f>
        <v>1</v>
      </c>
    </row>
    <row r="12239" spans="1:13" x14ac:dyDescent="0.2">
      <c r="A12239" t="s">
        <v>417</v>
      </c>
      <c r="B12239" t="s">
        <v>17</v>
      </c>
      <c r="C12239" t="s">
        <v>2</v>
      </c>
      <c r="D12239">
        <v>1204</v>
      </c>
      <c r="E12239">
        <v>2020</v>
      </c>
      <c r="F12239">
        <v>4</v>
      </c>
      <c r="G12239">
        <v>152</v>
      </c>
      <c r="H12239" s="1">
        <v>3</v>
      </c>
      <c r="I12239">
        <v>10</v>
      </c>
      <c r="J12239">
        <f>IF($H12239=0,1,IF($I12239&lt;=1,2,0))</f>
        <v>0</v>
      </c>
      <c r="K12239">
        <v>7</v>
      </c>
      <c r="L12239">
        <f>IF(AND($J12239=0,$K12239=0),0,1)</f>
        <v>1</v>
      </c>
    </row>
    <row r="12240" spans="1:13" x14ac:dyDescent="0.2">
      <c r="A12240" t="s">
        <v>417</v>
      </c>
      <c r="B12240" t="s">
        <v>17</v>
      </c>
      <c r="C12240" t="s">
        <v>2</v>
      </c>
      <c r="D12240">
        <v>1204</v>
      </c>
      <c r="E12240">
        <v>2020</v>
      </c>
      <c r="F12240">
        <v>3</v>
      </c>
      <c r="G12240">
        <v>151</v>
      </c>
      <c r="H12240" s="1">
        <v>3</v>
      </c>
      <c r="I12240">
        <v>6</v>
      </c>
      <c r="J12240">
        <f>IF($H12240=0,1,IF($I12240&lt;=1,2,0))</f>
        <v>0</v>
      </c>
      <c r="K12240">
        <v>7</v>
      </c>
      <c r="L12240">
        <f>IF(AND($J12240=0,$K12240=0),0,1)</f>
        <v>1</v>
      </c>
    </row>
    <row r="12241" spans="1:13" x14ac:dyDescent="0.2">
      <c r="A12241" t="s">
        <v>417</v>
      </c>
      <c r="B12241" t="s">
        <v>17</v>
      </c>
      <c r="C12241" t="s">
        <v>2</v>
      </c>
      <c r="D12241">
        <v>3006</v>
      </c>
      <c r="E12241">
        <v>2020</v>
      </c>
      <c r="F12241">
        <v>2</v>
      </c>
      <c r="G12241">
        <v>154</v>
      </c>
      <c r="H12241" s="1">
        <v>3</v>
      </c>
      <c r="I12241">
        <v>9</v>
      </c>
      <c r="J12241">
        <f>IF($H12241=0,1,IF($I12241&lt;=1,2,0))</f>
        <v>0</v>
      </c>
      <c r="K12241">
        <v>7</v>
      </c>
      <c r="L12241">
        <f>IF(AND($J12241=0,$K12241=0),0,1)</f>
        <v>1</v>
      </c>
    </row>
    <row r="12242" spans="1:13" x14ac:dyDescent="0.2">
      <c r="A12242" t="s">
        <v>417</v>
      </c>
      <c r="B12242" t="s">
        <v>17</v>
      </c>
      <c r="C12242" t="s">
        <v>2</v>
      </c>
      <c r="D12242">
        <v>3006</v>
      </c>
      <c r="E12242">
        <v>2020</v>
      </c>
      <c r="F12242">
        <v>1</v>
      </c>
      <c r="G12242">
        <v>153</v>
      </c>
      <c r="H12242" s="1">
        <v>3</v>
      </c>
      <c r="I12242">
        <v>8</v>
      </c>
      <c r="J12242">
        <f>IF($H12242=0,1,IF($I12242&lt;=1,2,0))</f>
        <v>0</v>
      </c>
      <c r="K12242">
        <v>7</v>
      </c>
      <c r="L12242">
        <f>IF(AND($J12242=0,$K12242=0),0,1)</f>
        <v>1</v>
      </c>
    </row>
    <row r="12243" spans="1:13" x14ac:dyDescent="0.2">
      <c r="A12243" t="s">
        <v>417</v>
      </c>
      <c r="B12243" t="s">
        <v>17</v>
      </c>
      <c r="C12243" t="s">
        <v>2</v>
      </c>
      <c r="D12243">
        <v>3006</v>
      </c>
      <c r="E12243">
        <v>2020</v>
      </c>
      <c r="F12243">
        <v>3</v>
      </c>
      <c r="G12243">
        <v>155</v>
      </c>
      <c r="H12243" s="1">
        <v>3</v>
      </c>
      <c r="I12243">
        <v>7</v>
      </c>
      <c r="J12243">
        <f>IF($H12243=0,1,IF($I12243&lt;=1,2,0))</f>
        <v>0</v>
      </c>
      <c r="K12243">
        <v>7</v>
      </c>
      <c r="L12243">
        <f>IF(AND($J12243=0,$K12243=0),0,1)</f>
        <v>1</v>
      </c>
    </row>
    <row r="12244" spans="1:13" x14ac:dyDescent="0.2">
      <c r="A12244" t="s">
        <v>417</v>
      </c>
      <c r="B12244" t="s">
        <v>17</v>
      </c>
      <c r="C12244" t="s">
        <v>2</v>
      </c>
      <c r="D12244">
        <v>3014</v>
      </c>
      <c r="E12244">
        <v>2020</v>
      </c>
      <c r="F12244">
        <v>1</v>
      </c>
      <c r="G12244">
        <v>156</v>
      </c>
      <c r="H12244" s="1">
        <v>3</v>
      </c>
      <c r="I12244">
        <v>9</v>
      </c>
      <c r="J12244">
        <f>IF($H12244=0,1,IF($I12244&lt;=1,2,0))</f>
        <v>0</v>
      </c>
      <c r="K12244">
        <v>7</v>
      </c>
      <c r="L12244">
        <f>IF(AND($J12244=0,$K12244=0),0,1)</f>
        <v>1</v>
      </c>
    </row>
    <row r="12245" spans="1:13" x14ac:dyDescent="0.2">
      <c r="A12245" t="s">
        <v>417</v>
      </c>
      <c r="B12245" t="s">
        <v>17</v>
      </c>
      <c r="C12245" t="s">
        <v>2</v>
      </c>
      <c r="D12245">
        <v>3016</v>
      </c>
      <c r="E12245">
        <v>2020</v>
      </c>
      <c r="F12245">
        <v>1</v>
      </c>
      <c r="G12245">
        <v>157</v>
      </c>
      <c r="H12245" s="1">
        <v>3</v>
      </c>
      <c r="I12245">
        <v>10</v>
      </c>
      <c r="J12245">
        <f>IF($H12245=0,1,IF($I12245&lt;=1,2,0))</f>
        <v>0</v>
      </c>
      <c r="K12245">
        <v>7</v>
      </c>
      <c r="L12245">
        <f>IF(AND($J12245=0,$K12245=0),0,1)</f>
        <v>1</v>
      </c>
      <c r="M12245" t="s">
        <v>1047</v>
      </c>
    </row>
    <row r="12246" spans="1:13" x14ac:dyDescent="0.2">
      <c r="A12246" t="s">
        <v>417</v>
      </c>
      <c r="B12246" t="s">
        <v>17</v>
      </c>
      <c r="C12246" t="s">
        <v>2</v>
      </c>
      <c r="D12246">
        <v>3021</v>
      </c>
      <c r="E12246">
        <v>2020</v>
      </c>
      <c r="F12246">
        <v>1</v>
      </c>
      <c r="G12246">
        <v>158</v>
      </c>
      <c r="H12246" s="1">
        <v>3</v>
      </c>
      <c r="I12246">
        <v>12</v>
      </c>
      <c r="J12246">
        <f>IF($H12246=0,1,IF($I12246&lt;=1,2,0))</f>
        <v>0</v>
      </c>
      <c r="K12246">
        <v>7</v>
      </c>
      <c r="L12246">
        <f>IF(AND($J12246=0,$K12246=0),0,1)</f>
        <v>1</v>
      </c>
    </row>
    <row r="12247" spans="1:13" x14ac:dyDescent="0.2">
      <c r="A12247" t="s">
        <v>417</v>
      </c>
      <c r="B12247" t="s">
        <v>17</v>
      </c>
      <c r="C12247" t="s">
        <v>2</v>
      </c>
      <c r="D12247">
        <v>3072</v>
      </c>
      <c r="E12247">
        <v>2020</v>
      </c>
      <c r="F12247">
        <v>1</v>
      </c>
      <c r="G12247">
        <v>673</v>
      </c>
      <c r="H12247" s="1">
        <v>4</v>
      </c>
      <c r="I12247">
        <v>11</v>
      </c>
      <c r="J12247">
        <f>IF($H12247=0,1,IF($I12247&lt;=1,2,0))</f>
        <v>0</v>
      </c>
      <c r="K12247">
        <v>7</v>
      </c>
      <c r="L12247">
        <f>IF(AND($J12247=0,$K12247=0),0,1)</f>
        <v>1</v>
      </c>
    </row>
    <row r="12248" spans="1:13" x14ac:dyDescent="0.2">
      <c r="A12248" t="s">
        <v>417</v>
      </c>
      <c r="B12248" t="s">
        <v>17</v>
      </c>
      <c r="C12248" t="s">
        <v>2</v>
      </c>
      <c r="D12248">
        <v>3099</v>
      </c>
      <c r="E12248">
        <v>2020</v>
      </c>
      <c r="F12248">
        <v>3</v>
      </c>
      <c r="G12248">
        <v>959</v>
      </c>
      <c r="H12248" s="1" t="s">
        <v>1823</v>
      </c>
      <c r="I12248">
        <v>1</v>
      </c>
      <c r="J12248">
        <f>IF($H12248=0,1,IF($I12248&lt;=1,2,0))</f>
        <v>2</v>
      </c>
      <c r="K12248">
        <v>7</v>
      </c>
      <c r="L12248">
        <f>IF(AND($J12248=0,$K12248=0),0,1)</f>
        <v>1</v>
      </c>
    </row>
    <row r="12249" spans="1:13" x14ac:dyDescent="0.2">
      <c r="A12249" t="s">
        <v>417</v>
      </c>
      <c r="B12249" t="s">
        <v>17</v>
      </c>
      <c r="C12249" t="s">
        <v>2</v>
      </c>
      <c r="D12249">
        <v>3099</v>
      </c>
      <c r="E12249">
        <v>2020</v>
      </c>
      <c r="F12249">
        <v>4</v>
      </c>
      <c r="G12249">
        <v>980</v>
      </c>
      <c r="H12249" s="1" t="s">
        <v>1823</v>
      </c>
      <c r="I12249">
        <v>0</v>
      </c>
      <c r="J12249">
        <f>IF($H12249=0,1,IF($I12249&lt;=1,2,0))</f>
        <v>2</v>
      </c>
      <c r="K12249">
        <v>7</v>
      </c>
      <c r="L12249">
        <f>IF(AND($J12249=0,$K12249=0),0,1)</f>
        <v>1</v>
      </c>
    </row>
    <row r="12250" spans="1:13" x14ac:dyDescent="0.2">
      <c r="A12250" t="s">
        <v>417</v>
      </c>
      <c r="B12250" t="s">
        <v>17</v>
      </c>
      <c r="C12250" t="s">
        <v>2</v>
      </c>
      <c r="D12250">
        <v>3100</v>
      </c>
      <c r="E12250">
        <v>2020</v>
      </c>
      <c r="F12250">
        <v>1</v>
      </c>
      <c r="G12250">
        <v>695</v>
      </c>
      <c r="H12250" s="1">
        <v>3</v>
      </c>
      <c r="I12250">
        <v>16</v>
      </c>
      <c r="J12250">
        <f>IF($H12250=0,1,IF($I12250&lt;=1,2,0))</f>
        <v>0</v>
      </c>
      <c r="K12250">
        <v>7</v>
      </c>
      <c r="L12250">
        <f>IF(AND($J12250=0,$K12250=0),0,1)</f>
        <v>1</v>
      </c>
    </row>
    <row r="12251" spans="1:13" x14ac:dyDescent="0.2">
      <c r="A12251" t="s">
        <v>417</v>
      </c>
      <c r="B12251" t="s">
        <v>17</v>
      </c>
      <c r="C12251" t="s">
        <v>2</v>
      </c>
      <c r="D12251">
        <v>3101</v>
      </c>
      <c r="E12251">
        <v>2020</v>
      </c>
      <c r="F12251">
        <v>1</v>
      </c>
      <c r="G12251">
        <v>159</v>
      </c>
      <c r="H12251" s="1">
        <v>3</v>
      </c>
      <c r="I12251">
        <v>22</v>
      </c>
      <c r="J12251">
        <f>IF($H12251=0,1,IF($I12251&lt;=1,2,0))</f>
        <v>0</v>
      </c>
      <c r="K12251">
        <v>7</v>
      </c>
      <c r="L12251">
        <f>IF(AND($J12251=0,$K12251=0),0,1)</f>
        <v>1</v>
      </c>
    </row>
    <row r="12252" spans="1:13" x14ac:dyDescent="0.2">
      <c r="A12252" t="s">
        <v>417</v>
      </c>
      <c r="B12252" t="s">
        <v>17</v>
      </c>
      <c r="C12252" t="s">
        <v>2</v>
      </c>
      <c r="D12252">
        <v>3102</v>
      </c>
      <c r="E12252">
        <v>2020</v>
      </c>
      <c r="F12252">
        <v>1</v>
      </c>
      <c r="G12252">
        <v>160</v>
      </c>
      <c r="H12252" s="1">
        <v>3</v>
      </c>
      <c r="I12252">
        <v>15</v>
      </c>
      <c r="J12252">
        <f>IF($H12252=0,1,IF($I12252&lt;=1,2,0))</f>
        <v>0</v>
      </c>
      <c r="K12252">
        <v>7</v>
      </c>
      <c r="L12252">
        <f>IF(AND($J12252=0,$K12252=0),0,1)</f>
        <v>1</v>
      </c>
    </row>
    <row r="12253" spans="1:13" x14ac:dyDescent="0.2">
      <c r="A12253" t="s">
        <v>417</v>
      </c>
      <c r="B12253" t="s">
        <v>17</v>
      </c>
      <c r="C12253" t="s">
        <v>9</v>
      </c>
      <c r="D12253">
        <v>3996</v>
      </c>
      <c r="E12253">
        <v>2020</v>
      </c>
      <c r="F12253">
        <v>1</v>
      </c>
      <c r="G12253">
        <v>22198</v>
      </c>
      <c r="H12253" s="1">
        <v>3</v>
      </c>
      <c r="I12253">
        <v>1</v>
      </c>
      <c r="J12253">
        <f>IF($H12253=0,1,IF($I12253&lt;=1,2,0))</f>
        <v>2</v>
      </c>
      <c r="K12253">
        <v>0</v>
      </c>
      <c r="L12253">
        <f>IF(AND($J12253=0,$K12253=0),0,1)</f>
        <v>1</v>
      </c>
    </row>
    <row r="12254" spans="1:13" x14ac:dyDescent="0.2">
      <c r="A12254" t="s">
        <v>417</v>
      </c>
      <c r="B12254" t="s">
        <v>17</v>
      </c>
      <c r="C12254" t="s">
        <v>9</v>
      </c>
      <c r="D12254">
        <v>3998</v>
      </c>
      <c r="E12254">
        <v>2020</v>
      </c>
      <c r="F12254">
        <v>3</v>
      </c>
      <c r="G12254">
        <v>23004</v>
      </c>
      <c r="H12254" s="1">
        <v>1</v>
      </c>
      <c r="I12254">
        <v>1</v>
      </c>
      <c r="J12254">
        <f>IF($H12254=0,1,IF($I12254&lt;=1,2,0))</f>
        <v>2</v>
      </c>
      <c r="K12254">
        <v>9</v>
      </c>
      <c r="L12254">
        <f>IF(AND($J12254=0,$K12254=0),0,1)</f>
        <v>1</v>
      </c>
    </row>
    <row r="12255" spans="1:13" x14ac:dyDescent="0.2">
      <c r="A12255" t="s">
        <v>417</v>
      </c>
      <c r="B12255" t="s">
        <v>17</v>
      </c>
      <c r="C12255" t="s">
        <v>11</v>
      </c>
      <c r="D12255">
        <v>8092</v>
      </c>
      <c r="E12255">
        <v>2020</v>
      </c>
      <c r="F12255">
        <v>1</v>
      </c>
      <c r="G12255">
        <v>11192</v>
      </c>
      <c r="H12255" s="1">
        <v>6</v>
      </c>
      <c r="I12255">
        <v>1</v>
      </c>
      <c r="J12255">
        <f>IF($H12255=0,1,IF($I12255&lt;=1,2,0))</f>
        <v>2</v>
      </c>
      <c r="K12255">
        <v>4</v>
      </c>
      <c r="L12255">
        <f>IF(AND($J12255=0,$K12255=0),0,1)</f>
        <v>1</v>
      </c>
    </row>
    <row r="12256" spans="1:13" x14ac:dyDescent="0.2">
      <c r="A12256" t="s">
        <v>421</v>
      </c>
      <c r="B12256" t="s">
        <v>1</v>
      </c>
      <c r="C12256" t="s">
        <v>2</v>
      </c>
      <c r="D12256">
        <v>1000</v>
      </c>
      <c r="E12256">
        <v>2020</v>
      </c>
      <c r="F12256">
        <v>3</v>
      </c>
      <c r="G12256">
        <v>844</v>
      </c>
      <c r="H12256" s="1">
        <v>1</v>
      </c>
      <c r="I12256">
        <v>29</v>
      </c>
      <c r="J12256">
        <f>IF($H12256=0,1,IF($I12256&lt;=1,2,0))</f>
        <v>0</v>
      </c>
      <c r="K12256">
        <v>7</v>
      </c>
      <c r="L12256">
        <f>IF(AND($J12256=0,$K12256=0),0,1)</f>
        <v>1</v>
      </c>
      <c r="M12256" t="s">
        <v>422</v>
      </c>
    </row>
    <row r="12257" spans="1:13" x14ac:dyDescent="0.2">
      <c r="A12257" t="s">
        <v>421</v>
      </c>
      <c r="B12257" t="s">
        <v>1</v>
      </c>
      <c r="C12257" t="s">
        <v>2</v>
      </c>
      <c r="D12257">
        <v>1000</v>
      </c>
      <c r="E12257">
        <v>2020</v>
      </c>
      <c r="F12257">
        <v>26</v>
      </c>
      <c r="G12257">
        <v>867</v>
      </c>
      <c r="H12257" s="1">
        <v>1</v>
      </c>
      <c r="I12257">
        <v>28</v>
      </c>
      <c r="J12257">
        <f>IF($H12257=0,1,IF($I12257&lt;=1,2,0))</f>
        <v>0</v>
      </c>
      <c r="K12257">
        <v>7</v>
      </c>
      <c r="L12257">
        <f>IF(AND($J12257=0,$K12257=0),0,1)</f>
        <v>1</v>
      </c>
      <c r="M12257" t="s">
        <v>422</v>
      </c>
    </row>
    <row r="12258" spans="1:13" x14ac:dyDescent="0.2">
      <c r="A12258" t="s">
        <v>421</v>
      </c>
      <c r="B12258" t="s">
        <v>1</v>
      </c>
      <c r="C12258" t="s">
        <v>2</v>
      </c>
      <c r="D12258">
        <v>1000</v>
      </c>
      <c r="E12258">
        <v>2020</v>
      </c>
      <c r="F12258">
        <v>22</v>
      </c>
      <c r="G12258">
        <v>863</v>
      </c>
      <c r="H12258" s="1">
        <v>1</v>
      </c>
      <c r="I12258">
        <v>27</v>
      </c>
      <c r="J12258">
        <f>IF($H12258=0,1,IF($I12258&lt;=1,2,0))</f>
        <v>0</v>
      </c>
      <c r="K12258">
        <v>7</v>
      </c>
      <c r="L12258">
        <f>IF(AND($J12258=0,$K12258=0),0,1)</f>
        <v>1</v>
      </c>
      <c r="M12258" t="s">
        <v>422</v>
      </c>
    </row>
    <row r="12259" spans="1:13" x14ac:dyDescent="0.2">
      <c r="A12259" t="s">
        <v>421</v>
      </c>
      <c r="B12259" t="s">
        <v>1</v>
      </c>
      <c r="C12259" t="s">
        <v>2</v>
      </c>
      <c r="D12259">
        <v>1000</v>
      </c>
      <c r="E12259">
        <v>2020</v>
      </c>
      <c r="F12259">
        <v>29</v>
      </c>
      <c r="G12259">
        <v>870</v>
      </c>
      <c r="H12259" s="1">
        <v>1</v>
      </c>
      <c r="I12259">
        <v>21</v>
      </c>
      <c r="J12259">
        <f>IF($H12259=0,1,IF($I12259&lt;=1,2,0))</f>
        <v>0</v>
      </c>
      <c r="K12259">
        <v>7</v>
      </c>
      <c r="L12259">
        <f>IF(AND($J12259=0,$K12259=0),0,1)</f>
        <v>1</v>
      </c>
      <c r="M12259" t="s">
        <v>422</v>
      </c>
    </row>
    <row r="12260" spans="1:13" x14ac:dyDescent="0.2">
      <c r="A12260" t="s">
        <v>421</v>
      </c>
      <c r="B12260" t="s">
        <v>1</v>
      </c>
      <c r="C12260" t="s">
        <v>2</v>
      </c>
      <c r="D12260">
        <v>1000</v>
      </c>
      <c r="E12260">
        <v>2020</v>
      </c>
      <c r="F12260">
        <v>5</v>
      </c>
      <c r="G12260">
        <v>846</v>
      </c>
      <c r="H12260" s="1">
        <v>1</v>
      </c>
      <c r="I12260">
        <v>20</v>
      </c>
      <c r="J12260">
        <f>IF($H12260=0,1,IF($I12260&lt;=1,2,0))</f>
        <v>0</v>
      </c>
      <c r="K12260">
        <v>7</v>
      </c>
      <c r="L12260">
        <f>IF(AND($J12260=0,$K12260=0),0,1)</f>
        <v>1</v>
      </c>
      <c r="M12260" t="s">
        <v>422</v>
      </c>
    </row>
    <row r="12261" spans="1:13" x14ac:dyDescent="0.2">
      <c r="A12261" t="s">
        <v>421</v>
      </c>
      <c r="B12261" t="s">
        <v>1</v>
      </c>
      <c r="C12261" t="s">
        <v>2</v>
      </c>
      <c r="D12261">
        <v>1000</v>
      </c>
      <c r="E12261">
        <v>2020</v>
      </c>
      <c r="F12261">
        <v>6</v>
      </c>
      <c r="G12261">
        <v>847</v>
      </c>
      <c r="H12261" s="1">
        <v>1</v>
      </c>
      <c r="I12261">
        <v>20</v>
      </c>
      <c r="J12261">
        <f>IF($H12261=0,1,IF($I12261&lt;=1,2,0))</f>
        <v>0</v>
      </c>
      <c r="K12261">
        <v>7</v>
      </c>
      <c r="L12261">
        <f>IF(AND($J12261=0,$K12261=0),0,1)</f>
        <v>1</v>
      </c>
      <c r="M12261" t="s">
        <v>422</v>
      </c>
    </row>
    <row r="12262" spans="1:13" x14ac:dyDescent="0.2">
      <c r="A12262" t="s">
        <v>421</v>
      </c>
      <c r="B12262" t="s">
        <v>1</v>
      </c>
      <c r="C12262" t="s">
        <v>2</v>
      </c>
      <c r="D12262">
        <v>1000</v>
      </c>
      <c r="E12262">
        <v>2020</v>
      </c>
      <c r="F12262">
        <v>8</v>
      </c>
      <c r="G12262">
        <v>849</v>
      </c>
      <c r="H12262" s="1">
        <v>1</v>
      </c>
      <c r="I12262">
        <v>20</v>
      </c>
      <c r="J12262">
        <f>IF($H12262=0,1,IF($I12262&lt;=1,2,0))</f>
        <v>0</v>
      </c>
      <c r="K12262">
        <v>7</v>
      </c>
      <c r="L12262">
        <f>IF(AND($J12262=0,$K12262=0),0,1)</f>
        <v>1</v>
      </c>
      <c r="M12262" t="s">
        <v>422</v>
      </c>
    </row>
    <row r="12263" spans="1:13" x14ac:dyDescent="0.2">
      <c r="A12263" t="s">
        <v>421</v>
      </c>
      <c r="B12263" t="s">
        <v>1</v>
      </c>
      <c r="C12263" t="s">
        <v>2</v>
      </c>
      <c r="D12263">
        <v>1000</v>
      </c>
      <c r="E12263">
        <v>2020</v>
      </c>
      <c r="F12263">
        <v>9</v>
      </c>
      <c r="G12263">
        <v>850</v>
      </c>
      <c r="H12263" s="1">
        <v>1</v>
      </c>
      <c r="I12263">
        <v>20</v>
      </c>
      <c r="J12263">
        <f>IF($H12263=0,1,IF($I12263&lt;=1,2,0))</f>
        <v>0</v>
      </c>
      <c r="K12263">
        <v>7</v>
      </c>
      <c r="L12263">
        <f>IF(AND($J12263=0,$K12263=0),0,1)</f>
        <v>1</v>
      </c>
      <c r="M12263" t="s">
        <v>422</v>
      </c>
    </row>
    <row r="12264" spans="1:13" x14ac:dyDescent="0.2">
      <c r="A12264" t="s">
        <v>421</v>
      </c>
      <c r="B12264" t="s">
        <v>1</v>
      </c>
      <c r="C12264" t="s">
        <v>2</v>
      </c>
      <c r="D12264">
        <v>1000</v>
      </c>
      <c r="E12264">
        <v>2020</v>
      </c>
      <c r="F12264">
        <v>10</v>
      </c>
      <c r="G12264">
        <v>851</v>
      </c>
      <c r="H12264" s="1">
        <v>1</v>
      </c>
      <c r="I12264">
        <v>20</v>
      </c>
      <c r="J12264">
        <f>IF($H12264=0,1,IF($I12264&lt;=1,2,0))</f>
        <v>0</v>
      </c>
      <c r="K12264">
        <v>7</v>
      </c>
      <c r="L12264">
        <f>IF(AND($J12264=0,$K12264=0),0,1)</f>
        <v>1</v>
      </c>
      <c r="M12264" t="s">
        <v>422</v>
      </c>
    </row>
    <row r="12265" spans="1:13" x14ac:dyDescent="0.2">
      <c r="A12265" t="s">
        <v>421</v>
      </c>
      <c r="B12265" t="s">
        <v>1</v>
      </c>
      <c r="C12265" t="s">
        <v>2</v>
      </c>
      <c r="D12265">
        <v>1000</v>
      </c>
      <c r="E12265">
        <v>2020</v>
      </c>
      <c r="F12265">
        <v>11</v>
      </c>
      <c r="G12265">
        <v>852</v>
      </c>
      <c r="H12265" s="1">
        <v>1</v>
      </c>
      <c r="I12265">
        <v>20</v>
      </c>
      <c r="J12265">
        <f>IF($H12265=0,1,IF($I12265&lt;=1,2,0))</f>
        <v>0</v>
      </c>
      <c r="K12265">
        <v>7</v>
      </c>
      <c r="L12265">
        <f>IF(AND($J12265=0,$K12265=0),0,1)</f>
        <v>1</v>
      </c>
      <c r="M12265" t="s">
        <v>422</v>
      </c>
    </row>
    <row r="12266" spans="1:13" x14ac:dyDescent="0.2">
      <c r="A12266" t="s">
        <v>421</v>
      </c>
      <c r="B12266" t="s">
        <v>1</v>
      </c>
      <c r="C12266" t="s">
        <v>2</v>
      </c>
      <c r="D12266">
        <v>1000</v>
      </c>
      <c r="E12266">
        <v>2020</v>
      </c>
      <c r="F12266">
        <v>12</v>
      </c>
      <c r="G12266">
        <v>853</v>
      </c>
      <c r="H12266" s="1">
        <v>1</v>
      </c>
      <c r="I12266">
        <v>20</v>
      </c>
      <c r="J12266">
        <f>IF($H12266=0,1,IF($I12266&lt;=1,2,0))</f>
        <v>0</v>
      </c>
      <c r="K12266">
        <v>7</v>
      </c>
      <c r="L12266">
        <f>IF(AND($J12266=0,$K12266=0),0,1)</f>
        <v>1</v>
      </c>
      <c r="M12266" t="s">
        <v>422</v>
      </c>
    </row>
    <row r="12267" spans="1:13" x14ac:dyDescent="0.2">
      <c r="A12267" t="s">
        <v>421</v>
      </c>
      <c r="B12267" t="s">
        <v>1</v>
      </c>
      <c r="C12267" t="s">
        <v>2</v>
      </c>
      <c r="D12267">
        <v>1000</v>
      </c>
      <c r="E12267">
        <v>2020</v>
      </c>
      <c r="F12267">
        <v>13</v>
      </c>
      <c r="G12267">
        <v>854</v>
      </c>
      <c r="H12267" s="1">
        <v>1</v>
      </c>
      <c r="I12267">
        <v>20</v>
      </c>
      <c r="J12267">
        <f>IF($H12267=0,1,IF($I12267&lt;=1,2,0))</f>
        <v>0</v>
      </c>
      <c r="K12267">
        <v>7</v>
      </c>
      <c r="L12267">
        <f>IF(AND($J12267=0,$K12267=0),0,1)</f>
        <v>1</v>
      </c>
      <c r="M12267" t="s">
        <v>422</v>
      </c>
    </row>
    <row r="12268" spans="1:13" x14ac:dyDescent="0.2">
      <c r="A12268" t="s">
        <v>421</v>
      </c>
      <c r="B12268" t="s">
        <v>1</v>
      </c>
      <c r="C12268" t="s">
        <v>2</v>
      </c>
      <c r="D12268">
        <v>1000</v>
      </c>
      <c r="E12268">
        <v>2020</v>
      </c>
      <c r="F12268">
        <v>16</v>
      </c>
      <c r="G12268">
        <v>857</v>
      </c>
      <c r="H12268" s="1">
        <v>1</v>
      </c>
      <c r="I12268">
        <v>20</v>
      </c>
      <c r="J12268">
        <f>IF($H12268=0,1,IF($I12268&lt;=1,2,0))</f>
        <v>0</v>
      </c>
      <c r="K12268">
        <v>7</v>
      </c>
      <c r="L12268">
        <f>IF(AND($J12268=0,$K12268=0),0,1)</f>
        <v>1</v>
      </c>
      <c r="M12268" t="s">
        <v>422</v>
      </c>
    </row>
    <row r="12269" spans="1:13" x14ac:dyDescent="0.2">
      <c r="A12269" t="s">
        <v>421</v>
      </c>
      <c r="B12269" t="s">
        <v>1</v>
      </c>
      <c r="C12269" t="s">
        <v>2</v>
      </c>
      <c r="D12269">
        <v>1000</v>
      </c>
      <c r="E12269">
        <v>2020</v>
      </c>
      <c r="F12269">
        <v>18</v>
      </c>
      <c r="G12269">
        <v>859</v>
      </c>
      <c r="H12269" s="1">
        <v>1</v>
      </c>
      <c r="I12269">
        <v>20</v>
      </c>
      <c r="J12269">
        <f>IF($H12269=0,1,IF($I12269&lt;=1,2,0))</f>
        <v>0</v>
      </c>
      <c r="K12269">
        <v>7</v>
      </c>
      <c r="L12269">
        <f>IF(AND($J12269=0,$K12269=0),0,1)</f>
        <v>1</v>
      </c>
      <c r="M12269" t="s">
        <v>422</v>
      </c>
    </row>
    <row r="12270" spans="1:13" x14ac:dyDescent="0.2">
      <c r="A12270" t="s">
        <v>421</v>
      </c>
      <c r="B12270" t="s">
        <v>1</v>
      </c>
      <c r="C12270" t="s">
        <v>2</v>
      </c>
      <c r="D12270">
        <v>1000</v>
      </c>
      <c r="E12270">
        <v>2020</v>
      </c>
      <c r="F12270">
        <v>19</v>
      </c>
      <c r="G12270">
        <v>860</v>
      </c>
      <c r="H12270" s="1">
        <v>1</v>
      </c>
      <c r="I12270">
        <v>20</v>
      </c>
      <c r="J12270">
        <f>IF($H12270=0,1,IF($I12270&lt;=1,2,0))</f>
        <v>0</v>
      </c>
      <c r="K12270">
        <v>7</v>
      </c>
      <c r="L12270">
        <f>IF(AND($J12270=0,$K12270=0),0,1)</f>
        <v>1</v>
      </c>
      <c r="M12270" t="s">
        <v>422</v>
      </c>
    </row>
    <row r="12271" spans="1:13" x14ac:dyDescent="0.2">
      <c r="A12271" t="s">
        <v>421</v>
      </c>
      <c r="B12271" t="s">
        <v>1</v>
      </c>
      <c r="C12271" t="s">
        <v>2</v>
      </c>
      <c r="D12271">
        <v>1000</v>
      </c>
      <c r="E12271">
        <v>2020</v>
      </c>
      <c r="F12271">
        <v>20</v>
      </c>
      <c r="G12271">
        <v>861</v>
      </c>
      <c r="H12271" s="1">
        <v>1</v>
      </c>
      <c r="I12271">
        <v>20</v>
      </c>
      <c r="J12271">
        <f>IF($H12271=0,1,IF($I12271&lt;=1,2,0))</f>
        <v>0</v>
      </c>
      <c r="K12271">
        <v>7</v>
      </c>
      <c r="L12271">
        <f>IF(AND($J12271=0,$K12271=0),0,1)</f>
        <v>1</v>
      </c>
      <c r="M12271" t="s">
        <v>422</v>
      </c>
    </row>
    <row r="12272" spans="1:13" x14ac:dyDescent="0.2">
      <c r="A12272" t="s">
        <v>421</v>
      </c>
      <c r="B12272" t="s">
        <v>1</v>
      </c>
      <c r="C12272" t="s">
        <v>2</v>
      </c>
      <c r="D12272">
        <v>1000</v>
      </c>
      <c r="E12272">
        <v>2020</v>
      </c>
      <c r="F12272">
        <v>21</v>
      </c>
      <c r="G12272">
        <v>862</v>
      </c>
      <c r="H12272" s="1">
        <v>1</v>
      </c>
      <c r="I12272">
        <v>20</v>
      </c>
      <c r="J12272">
        <f>IF($H12272=0,1,IF($I12272&lt;=1,2,0))</f>
        <v>0</v>
      </c>
      <c r="K12272">
        <v>7</v>
      </c>
      <c r="L12272">
        <f>IF(AND($J12272=0,$K12272=0),0,1)</f>
        <v>1</v>
      </c>
      <c r="M12272" t="s">
        <v>422</v>
      </c>
    </row>
    <row r="12273" spans="1:13" x14ac:dyDescent="0.2">
      <c r="A12273" t="s">
        <v>421</v>
      </c>
      <c r="B12273" t="s">
        <v>1</v>
      </c>
      <c r="C12273" t="s">
        <v>2</v>
      </c>
      <c r="D12273">
        <v>1000</v>
      </c>
      <c r="E12273">
        <v>2020</v>
      </c>
      <c r="F12273">
        <v>24</v>
      </c>
      <c r="G12273">
        <v>865</v>
      </c>
      <c r="H12273" s="1">
        <v>1</v>
      </c>
      <c r="I12273">
        <v>20</v>
      </c>
      <c r="J12273">
        <f>IF($H12273=0,1,IF($I12273&lt;=1,2,0))</f>
        <v>0</v>
      </c>
      <c r="K12273">
        <v>7</v>
      </c>
      <c r="L12273">
        <f>IF(AND($J12273=0,$K12273=0),0,1)</f>
        <v>1</v>
      </c>
      <c r="M12273" t="s">
        <v>422</v>
      </c>
    </row>
    <row r="12274" spans="1:13" x14ac:dyDescent="0.2">
      <c r="A12274" t="s">
        <v>421</v>
      </c>
      <c r="B12274" t="s">
        <v>1</v>
      </c>
      <c r="C12274" t="s">
        <v>2</v>
      </c>
      <c r="D12274">
        <v>1000</v>
      </c>
      <c r="E12274">
        <v>2020</v>
      </c>
      <c r="F12274">
        <v>25</v>
      </c>
      <c r="G12274">
        <v>866</v>
      </c>
      <c r="H12274" s="1">
        <v>1</v>
      </c>
      <c r="I12274">
        <v>20</v>
      </c>
      <c r="J12274">
        <f>IF($H12274=0,1,IF($I12274&lt;=1,2,0))</f>
        <v>0</v>
      </c>
      <c r="K12274">
        <v>7</v>
      </c>
      <c r="L12274">
        <f>IF(AND($J12274=0,$K12274=0),0,1)</f>
        <v>1</v>
      </c>
      <c r="M12274" t="s">
        <v>422</v>
      </c>
    </row>
    <row r="12275" spans="1:13" x14ac:dyDescent="0.2">
      <c r="A12275" t="s">
        <v>421</v>
      </c>
      <c r="B12275" t="s">
        <v>1</v>
      </c>
      <c r="C12275" t="s">
        <v>2</v>
      </c>
      <c r="D12275">
        <v>1000</v>
      </c>
      <c r="E12275">
        <v>2020</v>
      </c>
      <c r="F12275">
        <v>30</v>
      </c>
      <c r="G12275">
        <v>871</v>
      </c>
      <c r="H12275" s="1">
        <v>1</v>
      </c>
      <c r="I12275">
        <v>20</v>
      </c>
      <c r="J12275">
        <f>IF($H12275=0,1,IF($I12275&lt;=1,2,0))</f>
        <v>0</v>
      </c>
      <c r="K12275">
        <v>7</v>
      </c>
      <c r="L12275">
        <f>IF(AND($J12275=0,$K12275=0),0,1)</f>
        <v>1</v>
      </c>
      <c r="M12275" t="s">
        <v>422</v>
      </c>
    </row>
    <row r="12276" spans="1:13" x14ac:dyDescent="0.2">
      <c r="A12276" t="s">
        <v>421</v>
      </c>
      <c r="B12276" t="s">
        <v>1</v>
      </c>
      <c r="C12276" t="s">
        <v>2</v>
      </c>
      <c r="D12276">
        <v>1000</v>
      </c>
      <c r="E12276">
        <v>2020</v>
      </c>
      <c r="F12276">
        <v>32</v>
      </c>
      <c r="G12276">
        <v>873</v>
      </c>
      <c r="H12276" s="1">
        <v>1</v>
      </c>
      <c r="I12276">
        <v>20</v>
      </c>
      <c r="J12276">
        <f>IF($H12276=0,1,IF($I12276&lt;=1,2,0))</f>
        <v>0</v>
      </c>
      <c r="K12276">
        <v>7</v>
      </c>
      <c r="L12276">
        <f>IF(AND($J12276=0,$K12276=0),0,1)</f>
        <v>1</v>
      </c>
      <c r="M12276" t="s">
        <v>422</v>
      </c>
    </row>
    <row r="12277" spans="1:13" x14ac:dyDescent="0.2">
      <c r="A12277" t="s">
        <v>421</v>
      </c>
      <c r="B12277" t="s">
        <v>1</v>
      </c>
      <c r="C12277" t="s">
        <v>2</v>
      </c>
      <c r="D12277">
        <v>1000</v>
      </c>
      <c r="E12277">
        <v>2020</v>
      </c>
      <c r="F12277">
        <v>38</v>
      </c>
      <c r="G12277">
        <v>901</v>
      </c>
      <c r="H12277" s="1">
        <v>1</v>
      </c>
      <c r="I12277">
        <v>20</v>
      </c>
      <c r="J12277">
        <f>IF($H12277=0,1,IF($I12277&lt;=1,2,0))</f>
        <v>0</v>
      </c>
      <c r="K12277">
        <v>7</v>
      </c>
      <c r="L12277">
        <f>IF(AND($J12277=0,$K12277=0),0,1)</f>
        <v>1</v>
      </c>
      <c r="M12277" t="s">
        <v>422</v>
      </c>
    </row>
    <row r="12278" spans="1:13" x14ac:dyDescent="0.2">
      <c r="A12278" t="s">
        <v>421</v>
      </c>
      <c r="B12278" t="s">
        <v>1</v>
      </c>
      <c r="C12278" t="s">
        <v>2</v>
      </c>
      <c r="D12278">
        <v>1000</v>
      </c>
      <c r="E12278">
        <v>2020</v>
      </c>
      <c r="F12278">
        <v>2</v>
      </c>
      <c r="G12278">
        <v>843</v>
      </c>
      <c r="H12278" s="1">
        <v>1</v>
      </c>
      <c r="I12278">
        <v>19</v>
      </c>
      <c r="J12278">
        <f>IF($H12278=0,1,IF($I12278&lt;=1,2,0))</f>
        <v>0</v>
      </c>
      <c r="K12278">
        <v>7</v>
      </c>
      <c r="L12278">
        <f>IF(AND($J12278=0,$K12278=0),0,1)</f>
        <v>1</v>
      </c>
      <c r="M12278" t="s">
        <v>1048</v>
      </c>
    </row>
    <row r="12279" spans="1:13" x14ac:dyDescent="0.2">
      <c r="A12279" t="s">
        <v>421</v>
      </c>
      <c r="B12279" t="s">
        <v>1</v>
      </c>
      <c r="C12279" t="s">
        <v>2</v>
      </c>
      <c r="D12279">
        <v>1000</v>
      </c>
      <c r="E12279">
        <v>2020</v>
      </c>
      <c r="F12279">
        <v>7</v>
      </c>
      <c r="G12279">
        <v>848</v>
      </c>
      <c r="H12279" s="1">
        <v>1</v>
      </c>
      <c r="I12279">
        <v>19</v>
      </c>
      <c r="J12279">
        <f>IF($H12279=0,1,IF($I12279&lt;=1,2,0))</f>
        <v>0</v>
      </c>
      <c r="K12279">
        <v>7</v>
      </c>
      <c r="L12279">
        <f>IF(AND($J12279=0,$K12279=0),0,1)</f>
        <v>1</v>
      </c>
      <c r="M12279" t="s">
        <v>422</v>
      </c>
    </row>
    <row r="12280" spans="1:13" x14ac:dyDescent="0.2">
      <c r="A12280" t="s">
        <v>421</v>
      </c>
      <c r="B12280" t="s">
        <v>1</v>
      </c>
      <c r="C12280" t="s">
        <v>2</v>
      </c>
      <c r="D12280">
        <v>1000</v>
      </c>
      <c r="E12280">
        <v>2020</v>
      </c>
      <c r="F12280">
        <v>14</v>
      </c>
      <c r="G12280">
        <v>855</v>
      </c>
      <c r="H12280" s="1">
        <v>1</v>
      </c>
      <c r="I12280">
        <v>19</v>
      </c>
      <c r="J12280">
        <f>IF($H12280=0,1,IF($I12280&lt;=1,2,0))</f>
        <v>0</v>
      </c>
      <c r="K12280">
        <v>7</v>
      </c>
      <c r="L12280">
        <f>IF(AND($J12280=0,$K12280=0),0,1)</f>
        <v>1</v>
      </c>
      <c r="M12280" t="s">
        <v>422</v>
      </c>
    </row>
    <row r="12281" spans="1:13" x14ac:dyDescent="0.2">
      <c r="A12281" t="s">
        <v>421</v>
      </c>
      <c r="B12281" t="s">
        <v>1</v>
      </c>
      <c r="C12281" t="s">
        <v>2</v>
      </c>
      <c r="D12281">
        <v>1000</v>
      </c>
      <c r="E12281">
        <v>2020</v>
      </c>
      <c r="F12281">
        <v>15</v>
      </c>
      <c r="G12281">
        <v>856</v>
      </c>
      <c r="H12281" s="1">
        <v>1</v>
      </c>
      <c r="I12281">
        <v>19</v>
      </c>
      <c r="J12281">
        <f>IF($H12281=0,1,IF($I12281&lt;=1,2,0))</f>
        <v>0</v>
      </c>
      <c r="K12281">
        <v>7</v>
      </c>
      <c r="L12281">
        <f>IF(AND($J12281=0,$K12281=0),0,1)</f>
        <v>1</v>
      </c>
      <c r="M12281" t="s">
        <v>422</v>
      </c>
    </row>
    <row r="12282" spans="1:13" x14ac:dyDescent="0.2">
      <c r="A12282" t="s">
        <v>421</v>
      </c>
      <c r="B12282" t="s">
        <v>1</v>
      </c>
      <c r="C12282" t="s">
        <v>2</v>
      </c>
      <c r="D12282">
        <v>1000</v>
      </c>
      <c r="E12282">
        <v>2020</v>
      </c>
      <c r="F12282">
        <v>31</v>
      </c>
      <c r="G12282">
        <v>872</v>
      </c>
      <c r="H12282" s="1">
        <v>1</v>
      </c>
      <c r="I12282">
        <v>19</v>
      </c>
      <c r="J12282">
        <f>IF($H12282=0,1,IF($I12282&lt;=1,2,0))</f>
        <v>0</v>
      </c>
      <c r="K12282">
        <v>7</v>
      </c>
      <c r="L12282">
        <f>IF(AND($J12282=0,$K12282=0),0,1)</f>
        <v>1</v>
      </c>
      <c r="M12282" t="s">
        <v>422</v>
      </c>
    </row>
    <row r="12283" spans="1:13" x14ac:dyDescent="0.2">
      <c r="A12283" t="s">
        <v>421</v>
      </c>
      <c r="B12283" t="s">
        <v>1</v>
      </c>
      <c r="C12283" t="s">
        <v>2</v>
      </c>
      <c r="D12283">
        <v>1000</v>
      </c>
      <c r="E12283">
        <v>2020</v>
      </c>
      <c r="F12283">
        <v>33</v>
      </c>
      <c r="G12283">
        <v>874</v>
      </c>
      <c r="H12283" s="1">
        <v>1</v>
      </c>
      <c r="I12283">
        <v>19</v>
      </c>
      <c r="J12283">
        <f>IF($H12283=0,1,IF($I12283&lt;=1,2,0))</f>
        <v>0</v>
      </c>
      <c r="K12283">
        <v>7</v>
      </c>
      <c r="L12283">
        <f>IF(AND($J12283=0,$K12283=0),0,1)</f>
        <v>1</v>
      </c>
      <c r="M12283" t="s">
        <v>422</v>
      </c>
    </row>
    <row r="12284" spans="1:13" x14ac:dyDescent="0.2">
      <c r="A12284" t="s">
        <v>421</v>
      </c>
      <c r="B12284" t="s">
        <v>1</v>
      </c>
      <c r="C12284" t="s">
        <v>2</v>
      </c>
      <c r="D12284">
        <v>1000</v>
      </c>
      <c r="E12284">
        <v>2020</v>
      </c>
      <c r="F12284">
        <v>35</v>
      </c>
      <c r="G12284">
        <v>876</v>
      </c>
      <c r="H12284" s="1">
        <v>1</v>
      </c>
      <c r="I12284">
        <v>19</v>
      </c>
      <c r="J12284">
        <f>IF($H12284=0,1,IF($I12284&lt;=1,2,0))</f>
        <v>0</v>
      </c>
      <c r="K12284">
        <v>7</v>
      </c>
      <c r="L12284">
        <f>IF(AND($J12284=0,$K12284=0),0,1)</f>
        <v>1</v>
      </c>
      <c r="M12284" t="s">
        <v>1049</v>
      </c>
    </row>
    <row r="12285" spans="1:13" x14ac:dyDescent="0.2">
      <c r="A12285" t="s">
        <v>421</v>
      </c>
      <c r="B12285" t="s">
        <v>1</v>
      </c>
      <c r="C12285" t="s">
        <v>2</v>
      </c>
      <c r="D12285">
        <v>1000</v>
      </c>
      <c r="E12285">
        <v>2020</v>
      </c>
      <c r="F12285">
        <v>1</v>
      </c>
      <c r="G12285">
        <v>842</v>
      </c>
      <c r="H12285" s="1">
        <v>1</v>
      </c>
      <c r="I12285">
        <v>18</v>
      </c>
      <c r="J12285">
        <f>IF($H12285=0,1,IF($I12285&lt;=1,2,0))</f>
        <v>0</v>
      </c>
      <c r="K12285">
        <v>7</v>
      </c>
      <c r="L12285">
        <f>IF(AND($J12285=0,$K12285=0),0,1)</f>
        <v>1</v>
      </c>
      <c r="M12285" t="s">
        <v>1048</v>
      </c>
    </row>
    <row r="12286" spans="1:13" x14ac:dyDescent="0.2">
      <c r="A12286" t="s">
        <v>421</v>
      </c>
      <c r="B12286" t="s">
        <v>1</v>
      </c>
      <c r="C12286" t="s">
        <v>2</v>
      </c>
      <c r="D12286">
        <v>1000</v>
      </c>
      <c r="E12286">
        <v>2020</v>
      </c>
      <c r="F12286">
        <v>17</v>
      </c>
      <c r="G12286">
        <v>858</v>
      </c>
      <c r="H12286" s="1">
        <v>1</v>
      </c>
      <c r="I12286">
        <v>16</v>
      </c>
      <c r="J12286">
        <f>IF($H12286=0,1,IF($I12286&lt;=1,2,0))</f>
        <v>0</v>
      </c>
      <c r="K12286">
        <v>7</v>
      </c>
      <c r="L12286">
        <f>IF(AND($J12286=0,$K12286=0),0,1)</f>
        <v>1</v>
      </c>
      <c r="M12286" t="s">
        <v>422</v>
      </c>
    </row>
    <row r="12287" spans="1:13" x14ac:dyDescent="0.2">
      <c r="A12287" t="s">
        <v>421</v>
      </c>
      <c r="B12287" t="s">
        <v>1</v>
      </c>
      <c r="C12287" t="s">
        <v>2</v>
      </c>
      <c r="D12287">
        <v>1000</v>
      </c>
      <c r="E12287">
        <v>2020</v>
      </c>
      <c r="F12287">
        <v>23</v>
      </c>
      <c r="G12287">
        <v>864</v>
      </c>
      <c r="H12287" s="1">
        <v>1</v>
      </c>
      <c r="I12287">
        <v>15</v>
      </c>
      <c r="J12287">
        <f>IF($H12287=0,1,IF($I12287&lt;=1,2,0))</f>
        <v>0</v>
      </c>
      <c r="K12287">
        <v>7</v>
      </c>
      <c r="L12287">
        <f>IF(AND($J12287=0,$K12287=0),0,1)</f>
        <v>1</v>
      </c>
      <c r="M12287" t="s">
        <v>422</v>
      </c>
    </row>
    <row r="12288" spans="1:13" x14ac:dyDescent="0.2">
      <c r="A12288" t="s">
        <v>421</v>
      </c>
      <c r="B12288" t="s">
        <v>1</v>
      </c>
      <c r="C12288" t="s">
        <v>2</v>
      </c>
      <c r="D12288">
        <v>1000</v>
      </c>
      <c r="E12288">
        <v>2020</v>
      </c>
      <c r="F12288">
        <v>34</v>
      </c>
      <c r="G12288">
        <v>875</v>
      </c>
      <c r="H12288" s="1">
        <v>1</v>
      </c>
      <c r="I12288">
        <v>15</v>
      </c>
      <c r="J12288">
        <f>IF($H12288=0,1,IF($I12288&lt;=1,2,0))</f>
        <v>0</v>
      </c>
      <c r="K12288">
        <v>7</v>
      </c>
      <c r="L12288">
        <f>IF(AND($J12288=0,$K12288=0),0,1)</f>
        <v>1</v>
      </c>
      <c r="M12288" t="s">
        <v>422</v>
      </c>
    </row>
    <row r="12289" spans="1:13" x14ac:dyDescent="0.2">
      <c r="A12289" t="s">
        <v>421</v>
      </c>
      <c r="B12289" t="s">
        <v>1</v>
      </c>
      <c r="C12289" t="s">
        <v>2</v>
      </c>
      <c r="D12289">
        <v>1000</v>
      </c>
      <c r="E12289">
        <v>2020</v>
      </c>
      <c r="F12289">
        <v>28</v>
      </c>
      <c r="G12289">
        <v>869</v>
      </c>
      <c r="H12289" s="1">
        <v>1</v>
      </c>
      <c r="I12289">
        <v>14</v>
      </c>
      <c r="J12289">
        <f>IF($H12289=0,1,IF($I12289&lt;=1,2,0))</f>
        <v>0</v>
      </c>
      <c r="K12289">
        <v>7</v>
      </c>
      <c r="L12289">
        <f>IF(AND($J12289=0,$K12289=0),0,1)</f>
        <v>1</v>
      </c>
      <c r="M12289" t="s">
        <v>422</v>
      </c>
    </row>
    <row r="12290" spans="1:13" x14ac:dyDescent="0.2">
      <c r="A12290" t="s">
        <v>421</v>
      </c>
      <c r="B12290" t="s">
        <v>1</v>
      </c>
      <c r="C12290" t="s">
        <v>2</v>
      </c>
      <c r="D12290">
        <v>1000</v>
      </c>
      <c r="E12290">
        <v>2020</v>
      </c>
      <c r="F12290">
        <v>39</v>
      </c>
      <c r="G12290">
        <v>910</v>
      </c>
      <c r="H12290" s="1">
        <v>1</v>
      </c>
      <c r="I12290">
        <v>8</v>
      </c>
      <c r="J12290">
        <f>IF($H12290=0,1,IF($I12290&lt;=1,2,0))</f>
        <v>0</v>
      </c>
      <c r="K12290">
        <v>7</v>
      </c>
      <c r="L12290">
        <f>IF(AND($J12290=0,$K12290=0),0,1)</f>
        <v>1</v>
      </c>
      <c r="M12290" t="s">
        <v>422</v>
      </c>
    </row>
    <row r="12291" spans="1:13" x14ac:dyDescent="0.2">
      <c r="A12291" t="s">
        <v>421</v>
      </c>
      <c r="B12291" t="s">
        <v>1</v>
      </c>
      <c r="C12291" t="s">
        <v>2</v>
      </c>
      <c r="D12291">
        <v>1000</v>
      </c>
      <c r="E12291">
        <v>2020</v>
      </c>
      <c r="F12291">
        <v>37</v>
      </c>
      <c r="G12291">
        <v>900</v>
      </c>
      <c r="H12291" s="1">
        <v>1</v>
      </c>
      <c r="I12291">
        <v>0</v>
      </c>
      <c r="J12291">
        <f>IF($H12291=0,1,IF($I12291&lt;=1,2,0))</f>
        <v>2</v>
      </c>
      <c r="K12291">
        <v>7</v>
      </c>
      <c r="L12291">
        <f>IF(AND($J12291=0,$K12291=0),0,1)</f>
        <v>1</v>
      </c>
      <c r="M12291" t="s">
        <v>422</v>
      </c>
    </row>
    <row r="12292" spans="1:13" x14ac:dyDescent="0.2">
      <c r="A12292" t="s">
        <v>421</v>
      </c>
      <c r="B12292" t="s">
        <v>1</v>
      </c>
      <c r="C12292" t="s">
        <v>2</v>
      </c>
      <c r="D12292">
        <v>1189</v>
      </c>
      <c r="E12292">
        <v>2020</v>
      </c>
      <c r="F12292">
        <v>1</v>
      </c>
      <c r="G12292">
        <v>400</v>
      </c>
      <c r="H12292" s="1">
        <v>3</v>
      </c>
      <c r="I12292">
        <v>16</v>
      </c>
      <c r="J12292">
        <f>IF($H12292=0,1,IF($I12292&lt;=1,2,0))</f>
        <v>0</v>
      </c>
      <c r="K12292">
        <v>7</v>
      </c>
      <c r="L12292">
        <f>IF(AND($J12292=0,$K12292=0),0,1)</f>
        <v>1</v>
      </c>
      <c r="M12292" t="s">
        <v>422</v>
      </c>
    </row>
    <row r="12293" spans="1:13" x14ac:dyDescent="0.2">
      <c r="A12293" t="s">
        <v>421</v>
      </c>
      <c r="B12293" t="s">
        <v>1</v>
      </c>
      <c r="C12293" t="s">
        <v>2</v>
      </c>
      <c r="D12293">
        <v>1422</v>
      </c>
      <c r="E12293">
        <v>2020</v>
      </c>
      <c r="F12293">
        <v>1</v>
      </c>
      <c r="G12293">
        <v>401</v>
      </c>
      <c r="H12293" s="1">
        <v>3</v>
      </c>
      <c r="I12293">
        <v>16</v>
      </c>
      <c r="J12293">
        <f>IF($H12293=0,1,IF($I12293&lt;=1,2,0))</f>
        <v>0</v>
      </c>
      <c r="K12293">
        <v>7</v>
      </c>
      <c r="L12293">
        <f>IF(AND($J12293=0,$K12293=0),0,1)</f>
        <v>1</v>
      </c>
      <c r="M12293" t="s">
        <v>422</v>
      </c>
    </row>
    <row r="12294" spans="1:13" x14ac:dyDescent="0.2">
      <c r="A12294" t="s">
        <v>421</v>
      </c>
      <c r="B12294" t="s">
        <v>1</v>
      </c>
      <c r="C12294" t="s">
        <v>2</v>
      </c>
      <c r="D12294">
        <v>1460</v>
      </c>
      <c r="E12294">
        <v>2020</v>
      </c>
      <c r="F12294">
        <v>1</v>
      </c>
      <c r="G12294">
        <v>402</v>
      </c>
      <c r="H12294" s="1">
        <v>3</v>
      </c>
      <c r="I12294">
        <v>16</v>
      </c>
      <c r="J12294">
        <f>IF($H12294=0,1,IF($I12294&lt;=1,2,0))</f>
        <v>0</v>
      </c>
      <c r="K12294">
        <v>7</v>
      </c>
      <c r="L12294">
        <f>IF(AND($J12294=0,$K12294=0),0,1)</f>
        <v>1</v>
      </c>
      <c r="M12294" t="s">
        <v>422</v>
      </c>
    </row>
    <row r="12295" spans="1:13" x14ac:dyDescent="0.2">
      <c r="A12295" t="s">
        <v>421</v>
      </c>
      <c r="B12295" t="s">
        <v>1</v>
      </c>
      <c r="C12295" t="s">
        <v>2</v>
      </c>
      <c r="D12295">
        <v>1469</v>
      </c>
      <c r="E12295">
        <v>2020</v>
      </c>
      <c r="F12295">
        <v>1</v>
      </c>
      <c r="G12295">
        <v>403</v>
      </c>
      <c r="H12295" s="1">
        <v>3</v>
      </c>
      <c r="I12295">
        <v>16</v>
      </c>
      <c r="J12295">
        <f>IF($H12295=0,1,IF($I12295&lt;=1,2,0))</f>
        <v>0</v>
      </c>
      <c r="K12295">
        <v>7</v>
      </c>
      <c r="L12295">
        <f>IF(AND($J12295=0,$K12295=0),0,1)</f>
        <v>1</v>
      </c>
      <c r="M12295" t="s">
        <v>422</v>
      </c>
    </row>
    <row r="12296" spans="1:13" x14ac:dyDescent="0.2">
      <c r="A12296" t="s">
        <v>421</v>
      </c>
      <c r="B12296" t="s">
        <v>1</v>
      </c>
      <c r="C12296" t="s">
        <v>2</v>
      </c>
      <c r="D12296">
        <v>1474</v>
      </c>
      <c r="E12296">
        <v>2020</v>
      </c>
      <c r="F12296">
        <v>1</v>
      </c>
      <c r="G12296">
        <v>404</v>
      </c>
      <c r="H12296" s="1">
        <v>3</v>
      </c>
      <c r="I12296">
        <v>16</v>
      </c>
      <c r="J12296">
        <f>IF($H12296=0,1,IF($I12296&lt;=1,2,0))</f>
        <v>0</v>
      </c>
      <c r="K12296">
        <v>7</v>
      </c>
      <c r="L12296">
        <f>IF(AND($J12296=0,$K12296=0),0,1)</f>
        <v>1</v>
      </c>
      <c r="M12296" t="s">
        <v>422</v>
      </c>
    </row>
    <row r="12297" spans="1:13" x14ac:dyDescent="0.2">
      <c r="A12297" t="s">
        <v>421</v>
      </c>
      <c r="B12297" t="s">
        <v>1</v>
      </c>
      <c r="C12297" t="s">
        <v>2</v>
      </c>
      <c r="D12297">
        <v>1583</v>
      </c>
      <c r="E12297">
        <v>2020</v>
      </c>
      <c r="F12297">
        <v>1</v>
      </c>
      <c r="G12297">
        <v>672</v>
      </c>
      <c r="H12297" s="1">
        <v>3</v>
      </c>
      <c r="I12297">
        <v>15</v>
      </c>
      <c r="J12297">
        <f>IF($H12297=0,1,IF($I12297&lt;=1,2,0))</f>
        <v>0</v>
      </c>
      <c r="K12297">
        <v>7</v>
      </c>
      <c r="L12297">
        <f>IF(AND($J12297=0,$K12297=0),0,1)</f>
        <v>1</v>
      </c>
      <c r="M12297" t="s">
        <v>1050</v>
      </c>
    </row>
    <row r="12298" spans="1:13" x14ac:dyDescent="0.2">
      <c r="A12298" t="s">
        <v>421</v>
      </c>
      <c r="B12298" t="s">
        <v>1</v>
      </c>
      <c r="C12298" t="s">
        <v>2</v>
      </c>
      <c r="D12298">
        <v>1601</v>
      </c>
      <c r="E12298">
        <v>2020</v>
      </c>
      <c r="F12298">
        <v>1</v>
      </c>
      <c r="G12298">
        <v>414</v>
      </c>
      <c r="H12298" s="1">
        <v>3</v>
      </c>
      <c r="I12298">
        <v>18</v>
      </c>
      <c r="J12298">
        <f>IF($H12298=0,1,IF($I12298&lt;=1,2,0))</f>
        <v>0</v>
      </c>
      <c r="K12298">
        <v>7</v>
      </c>
      <c r="L12298">
        <f>IF(AND($J12298=0,$K12298=0),0,1)</f>
        <v>1</v>
      </c>
      <c r="M12298" t="s">
        <v>1999</v>
      </c>
    </row>
    <row r="12299" spans="1:13" x14ac:dyDescent="0.2">
      <c r="A12299" t="s">
        <v>421</v>
      </c>
      <c r="B12299" t="s">
        <v>1</v>
      </c>
      <c r="C12299" t="s">
        <v>2</v>
      </c>
      <c r="D12299">
        <v>1601</v>
      </c>
      <c r="E12299">
        <v>2020</v>
      </c>
      <c r="F12299">
        <v>3</v>
      </c>
      <c r="G12299">
        <v>405</v>
      </c>
      <c r="H12299" s="1">
        <v>3</v>
      </c>
      <c r="I12299">
        <v>17</v>
      </c>
      <c r="J12299">
        <f>IF($H12299=0,1,IF($I12299&lt;=1,2,0))</f>
        <v>0</v>
      </c>
      <c r="K12299">
        <v>7</v>
      </c>
      <c r="L12299">
        <f>IF(AND($J12299=0,$K12299=0),0,1)</f>
        <v>1</v>
      </c>
      <c r="M12299" t="s">
        <v>2000</v>
      </c>
    </row>
    <row r="12300" spans="1:13" x14ac:dyDescent="0.2">
      <c r="A12300" t="s">
        <v>421</v>
      </c>
      <c r="B12300" t="s">
        <v>1</v>
      </c>
      <c r="C12300" t="s">
        <v>2</v>
      </c>
      <c r="D12300">
        <v>1601</v>
      </c>
      <c r="E12300">
        <v>2020</v>
      </c>
      <c r="F12300">
        <v>4</v>
      </c>
      <c r="G12300">
        <v>406</v>
      </c>
      <c r="H12300" s="1">
        <v>3</v>
      </c>
      <c r="I12300">
        <v>17</v>
      </c>
      <c r="J12300">
        <f>IF($H12300=0,1,IF($I12300&lt;=1,2,0))</f>
        <v>0</v>
      </c>
      <c r="K12300">
        <v>7</v>
      </c>
      <c r="L12300">
        <f>IF(AND($J12300=0,$K12300=0),0,1)</f>
        <v>1</v>
      </c>
      <c r="M12300" t="s">
        <v>1051</v>
      </c>
    </row>
    <row r="12301" spans="1:13" x14ac:dyDescent="0.2">
      <c r="A12301" t="s">
        <v>421</v>
      </c>
      <c r="B12301" t="s">
        <v>1</v>
      </c>
      <c r="C12301" t="s">
        <v>2</v>
      </c>
      <c r="D12301">
        <v>1709</v>
      </c>
      <c r="E12301">
        <v>2020</v>
      </c>
      <c r="F12301">
        <v>1</v>
      </c>
      <c r="G12301">
        <v>407</v>
      </c>
      <c r="H12301" s="1">
        <v>3</v>
      </c>
      <c r="I12301">
        <v>16</v>
      </c>
      <c r="J12301">
        <f>IF($H12301=0,1,IF($I12301&lt;=1,2,0))</f>
        <v>0</v>
      </c>
      <c r="K12301">
        <v>7</v>
      </c>
      <c r="L12301">
        <f>IF(AND($J12301=0,$K12301=0),0,1)</f>
        <v>1</v>
      </c>
      <c r="M12301" t="s">
        <v>422</v>
      </c>
    </row>
    <row r="12302" spans="1:13" x14ac:dyDescent="0.2">
      <c r="A12302" t="s">
        <v>421</v>
      </c>
      <c r="B12302" t="s">
        <v>1</v>
      </c>
      <c r="C12302" t="s">
        <v>2</v>
      </c>
      <c r="D12302">
        <v>1715</v>
      </c>
      <c r="E12302">
        <v>2020</v>
      </c>
      <c r="F12302">
        <v>1</v>
      </c>
      <c r="G12302">
        <v>805</v>
      </c>
      <c r="H12302" s="1">
        <v>3</v>
      </c>
      <c r="I12302">
        <v>16</v>
      </c>
      <c r="J12302">
        <f>IF($H12302=0,1,IF($I12302&lt;=1,2,0))</f>
        <v>0</v>
      </c>
      <c r="K12302">
        <v>7</v>
      </c>
      <c r="L12302">
        <f>IF(AND($J12302=0,$K12302=0),0,1)</f>
        <v>1</v>
      </c>
      <c r="M12302" t="s">
        <v>422</v>
      </c>
    </row>
    <row r="12303" spans="1:13" x14ac:dyDescent="0.2">
      <c r="A12303" t="s">
        <v>421</v>
      </c>
      <c r="B12303" t="s">
        <v>1</v>
      </c>
      <c r="C12303" t="s">
        <v>2</v>
      </c>
      <c r="D12303">
        <v>1722</v>
      </c>
      <c r="E12303">
        <v>2020</v>
      </c>
      <c r="F12303">
        <v>1</v>
      </c>
      <c r="G12303">
        <v>409</v>
      </c>
      <c r="H12303" s="1">
        <v>3</v>
      </c>
      <c r="I12303">
        <v>16</v>
      </c>
      <c r="J12303">
        <f>IF($H12303=0,1,IF($I12303&lt;=1,2,0))</f>
        <v>0</v>
      </c>
      <c r="K12303">
        <v>7</v>
      </c>
      <c r="L12303">
        <f>IF(AND($J12303=0,$K12303=0),0,1)</f>
        <v>1</v>
      </c>
      <c r="M12303" t="s">
        <v>422</v>
      </c>
    </row>
    <row r="12304" spans="1:13" x14ac:dyDescent="0.2">
      <c r="A12304" t="s">
        <v>421</v>
      </c>
      <c r="B12304" t="s">
        <v>1</v>
      </c>
      <c r="C12304" t="s">
        <v>2</v>
      </c>
      <c r="D12304">
        <v>1725</v>
      </c>
      <c r="E12304">
        <v>2020</v>
      </c>
      <c r="F12304">
        <v>1</v>
      </c>
      <c r="G12304">
        <v>410</v>
      </c>
      <c r="H12304" s="1">
        <v>3</v>
      </c>
      <c r="I12304">
        <v>16</v>
      </c>
      <c r="J12304">
        <f>IF($H12304=0,1,IF($I12304&lt;=1,2,0))</f>
        <v>0</v>
      </c>
      <c r="K12304">
        <v>7</v>
      </c>
      <c r="L12304">
        <f>IF(AND($J12304=0,$K12304=0),0,1)</f>
        <v>1</v>
      </c>
      <c r="M12304" t="s">
        <v>422</v>
      </c>
    </row>
    <row r="12305" spans="1:13" x14ac:dyDescent="0.2">
      <c r="A12305" t="s">
        <v>421</v>
      </c>
      <c r="B12305" t="s">
        <v>1</v>
      </c>
      <c r="C12305" t="s">
        <v>2</v>
      </c>
      <c r="D12305">
        <v>1726</v>
      </c>
      <c r="E12305">
        <v>2020</v>
      </c>
      <c r="F12305">
        <v>1</v>
      </c>
      <c r="G12305">
        <v>411</v>
      </c>
      <c r="H12305" s="1">
        <v>3</v>
      </c>
      <c r="I12305">
        <v>16</v>
      </c>
      <c r="J12305">
        <f>IF($H12305=0,1,IF($I12305&lt;=1,2,0))</f>
        <v>0</v>
      </c>
      <c r="K12305">
        <v>7</v>
      </c>
      <c r="L12305">
        <f>IF(AND($J12305=0,$K12305=0),0,1)</f>
        <v>1</v>
      </c>
      <c r="M12305" t="s">
        <v>422</v>
      </c>
    </row>
    <row r="12306" spans="1:13" x14ac:dyDescent="0.2">
      <c r="A12306" t="s">
        <v>421</v>
      </c>
      <c r="B12306" t="s">
        <v>1</v>
      </c>
      <c r="C12306" t="s">
        <v>2</v>
      </c>
      <c r="D12306">
        <v>1734</v>
      </c>
      <c r="E12306">
        <v>2020</v>
      </c>
      <c r="F12306">
        <v>1</v>
      </c>
      <c r="G12306">
        <v>416</v>
      </c>
      <c r="H12306" s="1">
        <v>3</v>
      </c>
      <c r="I12306">
        <v>14</v>
      </c>
      <c r="J12306">
        <f>IF($H12306=0,1,IF($I12306&lt;=1,2,0))</f>
        <v>0</v>
      </c>
      <c r="K12306">
        <v>7</v>
      </c>
      <c r="L12306">
        <f>IF(AND($J12306=0,$K12306=0),0,1)</f>
        <v>1</v>
      </c>
      <c r="M12306" t="s">
        <v>1050</v>
      </c>
    </row>
    <row r="12307" spans="1:13" x14ac:dyDescent="0.2">
      <c r="A12307" t="s">
        <v>421</v>
      </c>
      <c r="B12307" t="s">
        <v>1</v>
      </c>
      <c r="C12307" t="s">
        <v>2</v>
      </c>
      <c r="D12307">
        <v>1735</v>
      </c>
      <c r="E12307">
        <v>2020</v>
      </c>
      <c r="F12307">
        <v>1</v>
      </c>
      <c r="G12307">
        <v>814</v>
      </c>
      <c r="H12307" s="1">
        <v>3</v>
      </c>
      <c r="I12307">
        <v>15</v>
      </c>
      <c r="J12307">
        <f>IF($H12307=0,1,IF($I12307&lt;=1,2,0))</f>
        <v>0</v>
      </c>
      <c r="K12307">
        <v>7</v>
      </c>
      <c r="L12307">
        <f>IF(AND($J12307=0,$K12307=0),0,1)</f>
        <v>1</v>
      </c>
      <c r="M12307" t="s">
        <v>1052</v>
      </c>
    </row>
    <row r="12308" spans="1:13" x14ac:dyDescent="0.2">
      <c r="A12308" t="s">
        <v>421</v>
      </c>
      <c r="B12308" t="s">
        <v>1</v>
      </c>
      <c r="C12308" t="s">
        <v>2</v>
      </c>
      <c r="D12308">
        <v>1736</v>
      </c>
      <c r="E12308">
        <v>2020</v>
      </c>
      <c r="F12308">
        <v>1</v>
      </c>
      <c r="G12308">
        <v>422</v>
      </c>
      <c r="H12308" s="1">
        <v>3</v>
      </c>
      <c r="I12308">
        <v>16</v>
      </c>
      <c r="J12308">
        <f>IF($H12308=0,1,IF($I12308&lt;=1,2,0))</f>
        <v>0</v>
      </c>
      <c r="K12308">
        <v>7</v>
      </c>
      <c r="L12308">
        <f>IF(AND($J12308=0,$K12308=0),0,1)</f>
        <v>1</v>
      </c>
      <c r="M12308" t="s">
        <v>1050</v>
      </c>
    </row>
    <row r="12309" spans="1:13" x14ac:dyDescent="0.2">
      <c r="A12309" t="s">
        <v>421</v>
      </c>
      <c r="B12309" t="s">
        <v>1</v>
      </c>
      <c r="C12309" t="s">
        <v>2</v>
      </c>
      <c r="D12309">
        <v>1737</v>
      </c>
      <c r="E12309">
        <v>2020</v>
      </c>
      <c r="F12309">
        <v>1</v>
      </c>
      <c r="G12309">
        <v>550</v>
      </c>
      <c r="H12309" s="1">
        <v>3</v>
      </c>
      <c r="I12309">
        <v>16</v>
      </c>
      <c r="J12309">
        <f>IF($H12309=0,1,IF($I12309&lt;=1,2,0))</f>
        <v>0</v>
      </c>
      <c r="K12309">
        <v>7</v>
      </c>
      <c r="L12309">
        <f>IF(AND($J12309=0,$K12309=0),0,1)</f>
        <v>1</v>
      </c>
      <c r="M12309" t="s">
        <v>1050</v>
      </c>
    </row>
    <row r="12310" spans="1:13" x14ac:dyDescent="0.2">
      <c r="A12310" t="s">
        <v>421</v>
      </c>
      <c r="B12310" t="s">
        <v>1</v>
      </c>
      <c r="C12310" t="s">
        <v>2</v>
      </c>
      <c r="D12310">
        <v>1738</v>
      </c>
      <c r="E12310">
        <v>2020</v>
      </c>
      <c r="F12310">
        <v>1</v>
      </c>
      <c r="G12310">
        <v>683</v>
      </c>
      <c r="H12310" s="1">
        <v>3</v>
      </c>
      <c r="I12310">
        <v>15</v>
      </c>
      <c r="J12310">
        <f>IF($H12310=0,1,IF($I12310&lt;=1,2,0))</f>
        <v>0</v>
      </c>
      <c r="K12310">
        <v>7</v>
      </c>
      <c r="L12310">
        <f>IF(AND($J12310=0,$K12310=0),0,1)</f>
        <v>1</v>
      </c>
      <c r="M12310" t="s">
        <v>1050</v>
      </c>
    </row>
    <row r="12311" spans="1:13" x14ac:dyDescent="0.2">
      <c r="A12311" t="s">
        <v>1053</v>
      </c>
      <c r="B12311" t="s">
        <v>1</v>
      </c>
      <c r="C12311" t="s">
        <v>2</v>
      </c>
      <c r="D12311">
        <v>1100</v>
      </c>
      <c r="E12311">
        <v>2020</v>
      </c>
      <c r="F12311">
        <v>1</v>
      </c>
      <c r="G12311">
        <v>723</v>
      </c>
      <c r="H12311" s="1">
        <v>3</v>
      </c>
      <c r="I12311">
        <v>15</v>
      </c>
      <c r="J12311">
        <f>IF($H12311=0,1,IF($I12311&lt;=1,2,0))</f>
        <v>0</v>
      </c>
      <c r="K12311">
        <v>7</v>
      </c>
      <c r="L12311">
        <f>IF(AND($J12311=0,$K12311=0),0,1)</f>
        <v>1</v>
      </c>
    </row>
    <row r="12312" spans="1:13" x14ac:dyDescent="0.2">
      <c r="A12312" t="s">
        <v>1053</v>
      </c>
      <c r="B12312" t="s">
        <v>1</v>
      </c>
      <c r="C12312" t="s">
        <v>2</v>
      </c>
      <c r="D12312">
        <v>1100</v>
      </c>
      <c r="E12312">
        <v>2020</v>
      </c>
      <c r="F12312">
        <v>2</v>
      </c>
      <c r="G12312">
        <v>724</v>
      </c>
      <c r="H12312" s="1">
        <v>3</v>
      </c>
      <c r="I12312">
        <v>14</v>
      </c>
      <c r="J12312">
        <f>IF($H12312=0,1,IF($I12312&lt;=1,2,0))</f>
        <v>0</v>
      </c>
      <c r="K12312">
        <v>7</v>
      </c>
      <c r="L12312">
        <f>IF(AND($J12312=0,$K12312=0),0,1)</f>
        <v>1</v>
      </c>
    </row>
    <row r="12313" spans="1:13" x14ac:dyDescent="0.2">
      <c r="A12313" t="s">
        <v>1053</v>
      </c>
      <c r="B12313" t="s">
        <v>1</v>
      </c>
      <c r="C12313" t="s">
        <v>2</v>
      </c>
      <c r="D12313">
        <v>1100</v>
      </c>
      <c r="E12313">
        <v>2020</v>
      </c>
      <c r="F12313">
        <v>3</v>
      </c>
      <c r="G12313">
        <v>725</v>
      </c>
      <c r="H12313" s="1">
        <v>3</v>
      </c>
      <c r="I12313">
        <v>14</v>
      </c>
      <c r="J12313">
        <f>IF($H12313=0,1,IF($I12313&lt;=1,2,0))</f>
        <v>0</v>
      </c>
      <c r="K12313">
        <v>7</v>
      </c>
      <c r="L12313">
        <f>IF(AND($J12313=0,$K12313=0),0,1)</f>
        <v>1</v>
      </c>
    </row>
    <row r="12314" spans="1:13" x14ac:dyDescent="0.2">
      <c r="A12314" t="s">
        <v>1053</v>
      </c>
      <c r="B12314" t="s">
        <v>1</v>
      </c>
      <c r="C12314" t="s">
        <v>2</v>
      </c>
      <c r="D12314">
        <v>1101</v>
      </c>
      <c r="E12314">
        <v>2020</v>
      </c>
      <c r="F12314">
        <v>1</v>
      </c>
      <c r="G12314">
        <v>803</v>
      </c>
      <c r="H12314" s="1">
        <v>3</v>
      </c>
      <c r="I12314">
        <v>15</v>
      </c>
      <c r="J12314">
        <f>IF($H12314=0,1,IF($I12314&lt;=1,2,0))</f>
        <v>0</v>
      </c>
      <c r="K12314">
        <v>7</v>
      </c>
      <c r="L12314">
        <f>IF(AND($J12314=0,$K12314=0),0,1)</f>
        <v>1</v>
      </c>
    </row>
    <row r="12315" spans="1:13" x14ac:dyDescent="0.2">
      <c r="A12315" t="s">
        <v>1053</v>
      </c>
      <c r="B12315" t="s">
        <v>1</v>
      </c>
      <c r="C12315" t="s">
        <v>2</v>
      </c>
      <c r="D12315">
        <v>1102</v>
      </c>
      <c r="E12315">
        <v>2020</v>
      </c>
      <c r="F12315">
        <v>1</v>
      </c>
      <c r="G12315">
        <v>726</v>
      </c>
      <c r="H12315" s="1">
        <v>3</v>
      </c>
      <c r="I12315">
        <v>16</v>
      </c>
      <c r="J12315">
        <f>IF($H12315=0,1,IF($I12315&lt;=1,2,0))</f>
        <v>0</v>
      </c>
      <c r="K12315">
        <v>7</v>
      </c>
      <c r="L12315">
        <f>IF(AND($J12315=0,$K12315=0),0,1)</f>
        <v>1</v>
      </c>
    </row>
    <row r="12316" spans="1:13" x14ac:dyDescent="0.2">
      <c r="A12316" t="s">
        <v>1053</v>
      </c>
      <c r="B12316" t="s">
        <v>1</v>
      </c>
      <c r="C12316" t="s">
        <v>2</v>
      </c>
      <c r="D12316">
        <v>1102</v>
      </c>
      <c r="E12316">
        <v>2020</v>
      </c>
      <c r="F12316">
        <v>2</v>
      </c>
      <c r="G12316">
        <v>727</v>
      </c>
      <c r="H12316" s="1">
        <v>3</v>
      </c>
      <c r="I12316">
        <v>15</v>
      </c>
      <c r="J12316">
        <f>IF($H12316=0,1,IF($I12316&lt;=1,2,0))</f>
        <v>0</v>
      </c>
      <c r="K12316">
        <v>7</v>
      </c>
      <c r="L12316">
        <f>IF(AND($J12316=0,$K12316=0),0,1)</f>
        <v>1</v>
      </c>
    </row>
    <row r="12317" spans="1:13" x14ac:dyDescent="0.2">
      <c r="A12317" t="s">
        <v>1053</v>
      </c>
      <c r="B12317" t="s">
        <v>1</v>
      </c>
      <c r="C12317" t="s">
        <v>2</v>
      </c>
      <c r="D12317">
        <v>1102</v>
      </c>
      <c r="E12317">
        <v>2020</v>
      </c>
      <c r="F12317">
        <v>3</v>
      </c>
      <c r="G12317">
        <v>728</v>
      </c>
      <c r="H12317" s="1">
        <v>3</v>
      </c>
      <c r="I12317">
        <v>13</v>
      </c>
      <c r="J12317">
        <f>IF($H12317=0,1,IF($I12317&lt;=1,2,0))</f>
        <v>0</v>
      </c>
      <c r="K12317">
        <v>7</v>
      </c>
      <c r="L12317">
        <f>IF(AND($J12317=0,$K12317=0),0,1)</f>
        <v>1</v>
      </c>
    </row>
    <row r="12318" spans="1:13" x14ac:dyDescent="0.2">
      <c r="A12318" t="s">
        <v>1053</v>
      </c>
      <c r="B12318" t="s">
        <v>1</v>
      </c>
      <c r="C12318" t="s">
        <v>2</v>
      </c>
      <c r="D12318">
        <v>1103</v>
      </c>
      <c r="E12318">
        <v>2020</v>
      </c>
      <c r="F12318">
        <v>1</v>
      </c>
      <c r="G12318">
        <v>729</v>
      </c>
      <c r="H12318" s="1">
        <v>3</v>
      </c>
      <c r="I12318">
        <v>15</v>
      </c>
      <c r="J12318">
        <f>IF($H12318=0,1,IF($I12318&lt;=1,2,0))</f>
        <v>0</v>
      </c>
      <c r="K12318">
        <v>7</v>
      </c>
      <c r="L12318">
        <f>IF(AND($J12318=0,$K12318=0),0,1)</f>
        <v>1</v>
      </c>
    </row>
    <row r="12319" spans="1:13" x14ac:dyDescent="0.2">
      <c r="A12319" t="s">
        <v>1053</v>
      </c>
      <c r="B12319" t="s">
        <v>1</v>
      </c>
      <c r="C12319" t="s">
        <v>2</v>
      </c>
      <c r="D12319">
        <v>1104</v>
      </c>
      <c r="E12319">
        <v>2020</v>
      </c>
      <c r="F12319">
        <v>1</v>
      </c>
      <c r="G12319">
        <v>730</v>
      </c>
      <c r="H12319" s="1">
        <v>3</v>
      </c>
      <c r="I12319">
        <v>15</v>
      </c>
      <c r="J12319">
        <f>IF($H12319=0,1,IF($I12319&lt;=1,2,0))</f>
        <v>0</v>
      </c>
      <c r="K12319">
        <v>7</v>
      </c>
      <c r="L12319">
        <f>IF(AND($J12319=0,$K12319=0),0,1)</f>
        <v>1</v>
      </c>
    </row>
    <row r="12320" spans="1:13" x14ac:dyDescent="0.2">
      <c r="A12320" t="s">
        <v>1053</v>
      </c>
      <c r="B12320" t="s">
        <v>1</v>
      </c>
      <c r="C12320" t="s">
        <v>2</v>
      </c>
      <c r="D12320">
        <v>1104</v>
      </c>
      <c r="E12320">
        <v>2020</v>
      </c>
      <c r="F12320">
        <v>2</v>
      </c>
      <c r="G12320">
        <v>731</v>
      </c>
      <c r="H12320" s="1">
        <v>3</v>
      </c>
      <c r="I12320">
        <v>14</v>
      </c>
      <c r="J12320">
        <f>IF($H12320=0,1,IF($I12320&lt;=1,2,0))</f>
        <v>0</v>
      </c>
      <c r="K12320">
        <v>7</v>
      </c>
      <c r="L12320">
        <f>IF(AND($J12320=0,$K12320=0),0,1)</f>
        <v>1</v>
      </c>
      <c r="M12320" t="s">
        <v>1054</v>
      </c>
    </row>
    <row r="12321" spans="1:13" x14ac:dyDescent="0.2">
      <c r="A12321" t="s">
        <v>1053</v>
      </c>
      <c r="B12321" t="s">
        <v>1</v>
      </c>
      <c r="C12321" t="s">
        <v>2</v>
      </c>
      <c r="D12321">
        <v>1104</v>
      </c>
      <c r="E12321">
        <v>2020</v>
      </c>
      <c r="F12321">
        <v>3</v>
      </c>
      <c r="G12321">
        <v>840</v>
      </c>
      <c r="H12321" s="1">
        <v>3</v>
      </c>
      <c r="I12321">
        <v>6</v>
      </c>
      <c r="J12321">
        <f>IF($H12321=0,1,IF($I12321&lt;=1,2,0))</f>
        <v>0</v>
      </c>
      <c r="K12321">
        <v>7</v>
      </c>
      <c r="L12321">
        <f>IF(AND($J12321=0,$K12321=0),0,1)</f>
        <v>1</v>
      </c>
    </row>
    <row r="12322" spans="1:13" x14ac:dyDescent="0.2">
      <c r="A12322" t="s">
        <v>1053</v>
      </c>
      <c r="B12322" t="s">
        <v>1</v>
      </c>
      <c r="C12322" t="s">
        <v>2</v>
      </c>
      <c r="D12322">
        <v>1105</v>
      </c>
      <c r="E12322">
        <v>2020</v>
      </c>
      <c r="F12322">
        <v>1</v>
      </c>
      <c r="G12322">
        <v>732</v>
      </c>
      <c r="H12322" s="1">
        <v>3</v>
      </c>
      <c r="I12322">
        <v>15</v>
      </c>
      <c r="J12322">
        <f>IF($H12322=0,1,IF($I12322&lt;=1,2,0))</f>
        <v>0</v>
      </c>
      <c r="K12322">
        <v>7</v>
      </c>
      <c r="L12322">
        <f>IF(AND($J12322=0,$K12322=0),0,1)</f>
        <v>1</v>
      </c>
    </row>
    <row r="12323" spans="1:13" x14ac:dyDescent="0.2">
      <c r="A12323" t="s">
        <v>1053</v>
      </c>
      <c r="B12323" t="s">
        <v>1</v>
      </c>
      <c r="C12323" t="s">
        <v>2</v>
      </c>
      <c r="D12323">
        <v>1105</v>
      </c>
      <c r="E12323">
        <v>2020</v>
      </c>
      <c r="F12323">
        <v>2</v>
      </c>
      <c r="G12323">
        <v>733</v>
      </c>
      <c r="H12323" s="1">
        <v>3</v>
      </c>
      <c r="I12323">
        <v>15</v>
      </c>
      <c r="J12323">
        <f>IF($H12323=0,1,IF($I12323&lt;=1,2,0))</f>
        <v>0</v>
      </c>
      <c r="K12323">
        <v>7</v>
      </c>
      <c r="L12323">
        <f>IF(AND($J12323=0,$K12323=0),0,1)</f>
        <v>1</v>
      </c>
    </row>
    <row r="12324" spans="1:13" x14ac:dyDescent="0.2">
      <c r="A12324" t="s">
        <v>1053</v>
      </c>
      <c r="B12324" t="s">
        <v>1</v>
      </c>
      <c r="C12324" t="s">
        <v>2</v>
      </c>
      <c r="D12324">
        <v>1106</v>
      </c>
      <c r="E12324">
        <v>2020</v>
      </c>
      <c r="F12324">
        <v>1</v>
      </c>
      <c r="G12324">
        <v>734</v>
      </c>
      <c r="H12324" s="1">
        <v>3</v>
      </c>
      <c r="I12324">
        <v>15</v>
      </c>
      <c r="J12324">
        <f>IF($H12324=0,1,IF($I12324&lt;=1,2,0))</f>
        <v>0</v>
      </c>
      <c r="K12324">
        <v>7</v>
      </c>
      <c r="L12324">
        <f>IF(AND($J12324=0,$K12324=0),0,1)</f>
        <v>1</v>
      </c>
    </row>
    <row r="12325" spans="1:13" x14ac:dyDescent="0.2">
      <c r="A12325" t="s">
        <v>1053</v>
      </c>
      <c r="B12325" t="s">
        <v>1</v>
      </c>
      <c r="C12325" t="s">
        <v>2</v>
      </c>
      <c r="D12325">
        <v>1106</v>
      </c>
      <c r="E12325">
        <v>2020</v>
      </c>
      <c r="F12325">
        <v>2</v>
      </c>
      <c r="G12325">
        <v>735</v>
      </c>
      <c r="H12325" s="1">
        <v>3</v>
      </c>
      <c r="I12325">
        <v>15</v>
      </c>
      <c r="J12325">
        <f>IF($H12325=0,1,IF($I12325&lt;=1,2,0))</f>
        <v>0</v>
      </c>
      <c r="K12325">
        <v>7</v>
      </c>
      <c r="L12325">
        <f>IF(AND($J12325=0,$K12325=0),0,1)</f>
        <v>1</v>
      </c>
      <c r="M12325" t="s">
        <v>1054</v>
      </c>
    </row>
    <row r="12326" spans="1:13" x14ac:dyDescent="0.2">
      <c r="A12326" t="s">
        <v>1053</v>
      </c>
      <c r="B12326" t="s">
        <v>1</v>
      </c>
      <c r="C12326" t="s">
        <v>2</v>
      </c>
      <c r="D12326">
        <v>1107</v>
      </c>
      <c r="E12326">
        <v>2020</v>
      </c>
      <c r="F12326">
        <v>1</v>
      </c>
      <c r="G12326">
        <v>809</v>
      </c>
      <c r="H12326" s="1">
        <v>3</v>
      </c>
      <c r="I12326">
        <v>15</v>
      </c>
      <c r="J12326">
        <f>IF($H12326=0,1,IF($I12326&lt;=1,2,0))</f>
        <v>0</v>
      </c>
      <c r="K12326">
        <v>7</v>
      </c>
      <c r="L12326">
        <f>IF(AND($J12326=0,$K12326=0),0,1)</f>
        <v>1</v>
      </c>
    </row>
    <row r="12327" spans="1:13" x14ac:dyDescent="0.2">
      <c r="A12327" t="s">
        <v>1053</v>
      </c>
      <c r="B12327" t="s">
        <v>1</v>
      </c>
      <c r="C12327" t="s">
        <v>2</v>
      </c>
      <c r="D12327">
        <v>1107</v>
      </c>
      <c r="E12327">
        <v>2020</v>
      </c>
      <c r="F12327">
        <v>2</v>
      </c>
      <c r="G12327">
        <v>810</v>
      </c>
      <c r="H12327" s="1">
        <v>3</v>
      </c>
      <c r="I12327">
        <v>14</v>
      </c>
      <c r="J12327">
        <f>IF($H12327=0,1,IF($I12327&lt;=1,2,0))</f>
        <v>0</v>
      </c>
      <c r="K12327">
        <v>7</v>
      </c>
      <c r="L12327">
        <f>IF(AND($J12327=0,$K12327=0),0,1)</f>
        <v>1</v>
      </c>
    </row>
    <row r="12328" spans="1:13" x14ac:dyDescent="0.2">
      <c r="A12328" t="s">
        <v>1053</v>
      </c>
      <c r="B12328" t="s">
        <v>1</v>
      </c>
      <c r="C12328" t="s">
        <v>2</v>
      </c>
      <c r="D12328">
        <v>1108</v>
      </c>
      <c r="E12328">
        <v>2020</v>
      </c>
      <c r="F12328">
        <v>1</v>
      </c>
      <c r="G12328">
        <v>736</v>
      </c>
      <c r="H12328" s="1">
        <v>3</v>
      </c>
      <c r="I12328">
        <v>15</v>
      </c>
      <c r="J12328">
        <f>IF($H12328=0,1,IF($I12328&lt;=1,2,0))</f>
        <v>0</v>
      </c>
      <c r="K12328">
        <v>7</v>
      </c>
      <c r="L12328">
        <f>IF(AND($J12328=0,$K12328=0),0,1)</f>
        <v>1</v>
      </c>
    </row>
    <row r="12329" spans="1:13" x14ac:dyDescent="0.2">
      <c r="A12329" t="s">
        <v>1053</v>
      </c>
      <c r="B12329" t="s">
        <v>1</v>
      </c>
      <c r="C12329" t="s">
        <v>2</v>
      </c>
      <c r="D12329">
        <v>1109</v>
      </c>
      <c r="E12329">
        <v>2020</v>
      </c>
      <c r="F12329">
        <v>1</v>
      </c>
      <c r="G12329">
        <v>737</v>
      </c>
      <c r="H12329" s="1">
        <v>3</v>
      </c>
      <c r="I12329">
        <v>15</v>
      </c>
      <c r="J12329">
        <f>IF($H12329=0,1,IF($I12329&lt;=1,2,0))</f>
        <v>0</v>
      </c>
      <c r="K12329">
        <v>7</v>
      </c>
      <c r="L12329">
        <f>IF(AND($J12329=0,$K12329=0),0,1)</f>
        <v>1</v>
      </c>
    </row>
    <row r="12330" spans="1:13" x14ac:dyDescent="0.2">
      <c r="A12330" t="s">
        <v>1053</v>
      </c>
      <c r="B12330" t="s">
        <v>1</v>
      </c>
      <c r="C12330" t="s">
        <v>2</v>
      </c>
      <c r="D12330">
        <v>1109</v>
      </c>
      <c r="E12330">
        <v>2020</v>
      </c>
      <c r="F12330">
        <v>2</v>
      </c>
      <c r="G12330">
        <v>738</v>
      </c>
      <c r="H12330" s="1">
        <v>3</v>
      </c>
      <c r="I12330">
        <v>15</v>
      </c>
      <c r="J12330">
        <f>IF($H12330=0,1,IF($I12330&lt;=1,2,0))</f>
        <v>0</v>
      </c>
      <c r="K12330">
        <v>7</v>
      </c>
      <c r="L12330">
        <f>IF(AND($J12330=0,$K12330=0),0,1)</f>
        <v>1</v>
      </c>
    </row>
    <row r="12331" spans="1:13" x14ac:dyDescent="0.2">
      <c r="A12331" t="s">
        <v>1053</v>
      </c>
      <c r="B12331" t="s">
        <v>1</v>
      </c>
      <c r="C12331" t="s">
        <v>2</v>
      </c>
      <c r="D12331">
        <v>1109</v>
      </c>
      <c r="E12331">
        <v>2020</v>
      </c>
      <c r="F12331">
        <v>3</v>
      </c>
      <c r="G12331">
        <v>739</v>
      </c>
      <c r="H12331" s="1">
        <v>3</v>
      </c>
      <c r="I12331">
        <v>13</v>
      </c>
      <c r="J12331">
        <f>IF($H12331=0,1,IF($I12331&lt;=1,2,0))</f>
        <v>0</v>
      </c>
      <c r="K12331">
        <v>7</v>
      </c>
      <c r="L12331">
        <f>IF(AND($J12331=0,$K12331=0),0,1)</f>
        <v>1</v>
      </c>
    </row>
    <row r="12332" spans="1:13" x14ac:dyDescent="0.2">
      <c r="A12332" t="s">
        <v>1053</v>
      </c>
      <c r="B12332" t="s">
        <v>1</v>
      </c>
      <c r="C12332" t="s">
        <v>2</v>
      </c>
      <c r="D12332">
        <v>1110</v>
      </c>
      <c r="E12332">
        <v>2020</v>
      </c>
      <c r="F12332">
        <v>1</v>
      </c>
      <c r="G12332">
        <v>808</v>
      </c>
      <c r="H12332" s="1">
        <v>3</v>
      </c>
      <c r="I12332">
        <v>15</v>
      </c>
      <c r="J12332">
        <f>IF($H12332=0,1,IF($I12332&lt;=1,2,0))</f>
        <v>0</v>
      </c>
      <c r="K12332">
        <v>7</v>
      </c>
      <c r="L12332">
        <f>IF(AND($J12332=0,$K12332=0),0,1)</f>
        <v>1</v>
      </c>
      <c r="M12332" t="s">
        <v>1054</v>
      </c>
    </row>
    <row r="12333" spans="1:13" x14ac:dyDescent="0.2">
      <c r="A12333" t="s">
        <v>1053</v>
      </c>
      <c r="B12333" t="s">
        <v>1</v>
      </c>
      <c r="C12333" t="s">
        <v>2</v>
      </c>
      <c r="D12333">
        <v>1111</v>
      </c>
      <c r="E12333">
        <v>2020</v>
      </c>
      <c r="F12333">
        <v>1</v>
      </c>
      <c r="G12333">
        <v>812</v>
      </c>
      <c r="H12333" s="1">
        <v>3</v>
      </c>
      <c r="I12333">
        <v>14</v>
      </c>
      <c r="J12333">
        <f>IF($H12333=0,1,IF($I12333&lt;=1,2,0))</f>
        <v>0</v>
      </c>
      <c r="K12333">
        <v>7</v>
      </c>
      <c r="L12333">
        <f>IF(AND($J12333=0,$K12333=0),0,1)</f>
        <v>1</v>
      </c>
    </row>
    <row r="12334" spans="1:13" x14ac:dyDescent="0.2">
      <c r="A12334" t="s">
        <v>1053</v>
      </c>
      <c r="B12334" t="s">
        <v>1</v>
      </c>
      <c r="C12334" t="s">
        <v>2</v>
      </c>
      <c r="D12334">
        <v>1112</v>
      </c>
      <c r="E12334">
        <v>2020</v>
      </c>
      <c r="F12334">
        <v>1</v>
      </c>
      <c r="G12334">
        <v>815</v>
      </c>
      <c r="H12334" s="1">
        <v>3</v>
      </c>
      <c r="I12334">
        <v>14</v>
      </c>
      <c r="J12334">
        <f>IF($H12334=0,1,IF($I12334&lt;=1,2,0))</f>
        <v>0</v>
      </c>
      <c r="K12334">
        <v>7</v>
      </c>
      <c r="L12334">
        <f>IF(AND($J12334=0,$K12334=0),0,1)</f>
        <v>1</v>
      </c>
    </row>
    <row r="12335" spans="1:13" x14ac:dyDescent="0.2">
      <c r="A12335" t="s">
        <v>1053</v>
      </c>
      <c r="B12335" t="s">
        <v>1</v>
      </c>
      <c r="C12335" t="s">
        <v>2</v>
      </c>
      <c r="D12335">
        <v>1500</v>
      </c>
      <c r="E12335">
        <v>2020</v>
      </c>
      <c r="F12335">
        <v>1</v>
      </c>
      <c r="G12335">
        <v>740</v>
      </c>
      <c r="H12335" s="1">
        <v>4</v>
      </c>
      <c r="I12335">
        <v>12</v>
      </c>
      <c r="J12335">
        <f>IF($H12335=0,1,IF($I12335&lt;=1,2,0))</f>
        <v>0</v>
      </c>
      <c r="K12335">
        <v>7</v>
      </c>
      <c r="L12335">
        <f>IF(AND($J12335=0,$K12335=0),0,1)</f>
        <v>1</v>
      </c>
    </row>
    <row r="12336" spans="1:13" x14ac:dyDescent="0.2">
      <c r="A12336" t="s">
        <v>1053</v>
      </c>
      <c r="B12336" t="s">
        <v>1</v>
      </c>
      <c r="C12336" t="s">
        <v>2</v>
      </c>
      <c r="D12336">
        <v>1501</v>
      </c>
      <c r="E12336">
        <v>2020</v>
      </c>
      <c r="F12336">
        <v>2</v>
      </c>
      <c r="G12336">
        <v>742</v>
      </c>
      <c r="H12336" s="1">
        <v>4</v>
      </c>
      <c r="I12336">
        <v>13</v>
      </c>
      <c r="J12336">
        <f>IF($H12336=0,1,IF($I12336&lt;=1,2,0))</f>
        <v>0</v>
      </c>
      <c r="K12336">
        <v>7</v>
      </c>
      <c r="L12336">
        <f>IF(AND($J12336=0,$K12336=0),0,1)</f>
        <v>1</v>
      </c>
    </row>
    <row r="12337" spans="1:12" x14ac:dyDescent="0.2">
      <c r="A12337" t="s">
        <v>1053</v>
      </c>
      <c r="B12337" t="s">
        <v>1</v>
      </c>
      <c r="C12337" t="s">
        <v>2</v>
      </c>
      <c r="D12337">
        <v>1501</v>
      </c>
      <c r="E12337">
        <v>2020</v>
      </c>
      <c r="F12337">
        <v>1</v>
      </c>
      <c r="G12337">
        <v>741</v>
      </c>
      <c r="H12337" s="1">
        <v>4</v>
      </c>
      <c r="I12337">
        <v>11</v>
      </c>
      <c r="J12337">
        <f>IF($H12337=0,1,IF($I12337&lt;=1,2,0))</f>
        <v>0</v>
      </c>
      <c r="K12337">
        <v>7</v>
      </c>
      <c r="L12337">
        <f>IF(AND($J12337=0,$K12337=0),0,1)</f>
        <v>1</v>
      </c>
    </row>
    <row r="12338" spans="1:12" x14ac:dyDescent="0.2">
      <c r="A12338" t="s">
        <v>1053</v>
      </c>
      <c r="B12338" t="s">
        <v>1</v>
      </c>
      <c r="C12338" t="s">
        <v>2</v>
      </c>
      <c r="D12338">
        <v>1502</v>
      </c>
      <c r="E12338">
        <v>2020</v>
      </c>
      <c r="F12338">
        <v>1</v>
      </c>
      <c r="G12338">
        <v>743</v>
      </c>
      <c r="H12338" s="1">
        <v>4</v>
      </c>
      <c r="I12338">
        <v>11</v>
      </c>
      <c r="J12338">
        <f>IF($H12338=0,1,IF($I12338&lt;=1,2,0))</f>
        <v>0</v>
      </c>
      <c r="K12338">
        <v>7</v>
      </c>
      <c r="L12338">
        <f>IF(AND($J12338=0,$K12338=0),0,1)</f>
        <v>1</v>
      </c>
    </row>
    <row r="12339" spans="1:12" x14ac:dyDescent="0.2">
      <c r="A12339" t="s">
        <v>423</v>
      </c>
      <c r="B12339" t="s">
        <v>133</v>
      </c>
      <c r="C12339" t="s">
        <v>11</v>
      </c>
      <c r="D12339">
        <v>9321</v>
      </c>
      <c r="E12339">
        <v>2020</v>
      </c>
      <c r="F12339">
        <v>1</v>
      </c>
      <c r="G12339">
        <v>20734</v>
      </c>
      <c r="H12339" s="1">
        <v>1</v>
      </c>
      <c r="I12339">
        <v>38</v>
      </c>
      <c r="J12339">
        <f>IF($H12339=0,1,IF($I12339&lt;=1,2,0))</f>
        <v>0</v>
      </c>
      <c r="K12339">
        <v>5</v>
      </c>
      <c r="L12339">
        <f>IF(AND($J12339=0,$K12339=0),0,1)</f>
        <v>1</v>
      </c>
    </row>
    <row r="12340" spans="1:12" x14ac:dyDescent="0.2">
      <c r="A12340" t="s">
        <v>423</v>
      </c>
      <c r="B12340" t="s">
        <v>133</v>
      </c>
      <c r="C12340" t="s">
        <v>11</v>
      </c>
      <c r="D12340">
        <v>9355</v>
      </c>
      <c r="E12340">
        <v>2020</v>
      </c>
      <c r="F12340">
        <v>1</v>
      </c>
      <c r="G12340">
        <v>20735</v>
      </c>
      <c r="H12340" s="1" t="s">
        <v>1843</v>
      </c>
      <c r="I12340">
        <v>34</v>
      </c>
      <c r="J12340">
        <f>IF($H12340=0,1,IF($I12340&lt;=1,2,0))</f>
        <v>0</v>
      </c>
      <c r="K12340">
        <v>5</v>
      </c>
      <c r="L12340">
        <f>IF(AND($J12340=0,$K12340=0),0,1)</f>
        <v>1</v>
      </c>
    </row>
    <row r="12341" spans="1:12" x14ac:dyDescent="0.2">
      <c r="A12341" t="s">
        <v>424</v>
      </c>
      <c r="B12341" t="s">
        <v>17</v>
      </c>
      <c r="C12341" t="s">
        <v>2</v>
      </c>
      <c r="D12341">
        <v>2210</v>
      </c>
      <c r="E12341">
        <v>2020</v>
      </c>
      <c r="F12341">
        <v>1</v>
      </c>
      <c r="G12341">
        <v>376</v>
      </c>
      <c r="H12341" s="1">
        <v>2</v>
      </c>
      <c r="I12341">
        <v>2</v>
      </c>
      <c r="J12341">
        <f>IF($H12341=0,1,IF($I12341&lt;=1,2,0))</f>
        <v>0</v>
      </c>
      <c r="K12341">
        <v>7</v>
      </c>
      <c r="L12341">
        <f>IF(AND($J12341=0,$K12341=0),0,1)</f>
        <v>1</v>
      </c>
    </row>
    <row r="12342" spans="1:12" x14ac:dyDescent="0.2">
      <c r="A12342" t="s">
        <v>424</v>
      </c>
      <c r="B12342" t="s">
        <v>17</v>
      </c>
      <c r="C12342" t="s">
        <v>2</v>
      </c>
      <c r="D12342">
        <v>2212</v>
      </c>
      <c r="E12342">
        <v>2020</v>
      </c>
      <c r="F12342">
        <v>1</v>
      </c>
      <c r="G12342">
        <v>377</v>
      </c>
      <c r="H12342" s="1">
        <v>3</v>
      </c>
      <c r="I12342">
        <v>1</v>
      </c>
      <c r="J12342">
        <f>IF($H12342=0,1,IF($I12342&lt;=1,2,0))</f>
        <v>2</v>
      </c>
      <c r="K12342">
        <v>7</v>
      </c>
      <c r="L12342">
        <f>IF(AND($J12342=0,$K12342=0),0,1)</f>
        <v>1</v>
      </c>
    </row>
    <row r="12343" spans="1:12" x14ac:dyDescent="0.2">
      <c r="A12343" t="s">
        <v>424</v>
      </c>
      <c r="B12343" t="s">
        <v>17</v>
      </c>
      <c r="C12343" t="s">
        <v>2</v>
      </c>
      <c r="D12343">
        <v>3010</v>
      </c>
      <c r="E12343">
        <v>2020</v>
      </c>
      <c r="F12343">
        <v>1</v>
      </c>
      <c r="G12343">
        <v>375</v>
      </c>
      <c r="H12343" s="1">
        <v>3</v>
      </c>
      <c r="I12343">
        <v>12</v>
      </c>
      <c r="J12343">
        <f>IF($H12343=0,1,IF($I12343&lt;=1,2,0))</f>
        <v>0</v>
      </c>
      <c r="K12343">
        <v>7</v>
      </c>
      <c r="L12343">
        <f>IF(AND($J12343=0,$K12343=0),0,1)</f>
        <v>1</v>
      </c>
    </row>
    <row r="12344" spans="1:12" x14ac:dyDescent="0.2">
      <c r="A12344" t="s">
        <v>424</v>
      </c>
      <c r="B12344" t="s">
        <v>17</v>
      </c>
      <c r="C12344" t="s">
        <v>2</v>
      </c>
      <c r="D12344">
        <v>3224</v>
      </c>
      <c r="E12344">
        <v>2020</v>
      </c>
      <c r="F12344">
        <v>1</v>
      </c>
      <c r="G12344">
        <v>415</v>
      </c>
      <c r="H12344" s="1">
        <v>3</v>
      </c>
      <c r="I12344">
        <v>4</v>
      </c>
      <c r="J12344">
        <f>IF($H12344=0,1,IF($I12344&lt;=1,2,0))</f>
        <v>0</v>
      </c>
      <c r="K12344">
        <v>7</v>
      </c>
      <c r="L12344">
        <f>IF(AND($J12344=0,$K12344=0),0,1)</f>
        <v>1</v>
      </c>
    </row>
    <row r="12345" spans="1:12" x14ac:dyDescent="0.2">
      <c r="A12345" t="s">
        <v>426</v>
      </c>
      <c r="B12345" t="s">
        <v>17</v>
      </c>
      <c r="C12345" t="s">
        <v>21</v>
      </c>
      <c r="D12345">
        <v>3997</v>
      </c>
      <c r="E12345">
        <v>2020</v>
      </c>
      <c r="F12345">
        <v>1</v>
      </c>
      <c r="G12345">
        <v>13742</v>
      </c>
      <c r="H12345" s="1">
        <v>3</v>
      </c>
      <c r="I12345">
        <v>0</v>
      </c>
      <c r="J12345">
        <f>IF($H12345=0,1,IF($I12345&lt;=1,2,0))</f>
        <v>2</v>
      </c>
      <c r="K12345">
        <v>9</v>
      </c>
      <c r="L12345">
        <f>IF(AND($J12345=0,$K12345=0),0,1)</f>
        <v>1</v>
      </c>
    </row>
    <row r="12346" spans="1:12" x14ac:dyDescent="0.2">
      <c r="A12346" t="s">
        <v>426</v>
      </c>
      <c r="B12346" t="s">
        <v>17</v>
      </c>
      <c r="C12346" t="s">
        <v>21</v>
      </c>
      <c r="D12346">
        <v>3997</v>
      </c>
      <c r="E12346">
        <v>2020</v>
      </c>
      <c r="F12346">
        <v>2</v>
      </c>
      <c r="G12346">
        <v>13743</v>
      </c>
      <c r="H12346" s="1">
        <v>3</v>
      </c>
      <c r="I12346">
        <v>0</v>
      </c>
      <c r="J12346">
        <f>IF($H12346=0,1,IF($I12346&lt;=1,2,0))</f>
        <v>2</v>
      </c>
      <c r="K12346">
        <v>9</v>
      </c>
      <c r="L12346">
        <f>IF(AND($J12346=0,$K12346=0),0,1)</f>
        <v>1</v>
      </c>
    </row>
    <row r="12347" spans="1:12" x14ac:dyDescent="0.2">
      <c r="A12347" t="s">
        <v>426</v>
      </c>
      <c r="B12347" t="s">
        <v>17</v>
      </c>
      <c r="C12347" t="s">
        <v>21</v>
      </c>
      <c r="D12347">
        <v>3997</v>
      </c>
      <c r="E12347">
        <v>2020</v>
      </c>
      <c r="F12347">
        <v>4</v>
      </c>
      <c r="G12347">
        <v>13744</v>
      </c>
      <c r="H12347" s="1">
        <v>3</v>
      </c>
      <c r="I12347">
        <v>0</v>
      </c>
      <c r="J12347">
        <f>IF($H12347=0,1,IF($I12347&lt;=1,2,0))</f>
        <v>2</v>
      </c>
      <c r="K12347">
        <v>9</v>
      </c>
      <c r="L12347">
        <f>IF(AND($J12347=0,$K12347=0),0,1)</f>
        <v>1</v>
      </c>
    </row>
    <row r="12348" spans="1:12" x14ac:dyDescent="0.2">
      <c r="A12348" t="s">
        <v>426</v>
      </c>
      <c r="B12348" t="s">
        <v>17</v>
      </c>
      <c r="C12348" t="s">
        <v>21</v>
      </c>
      <c r="D12348">
        <v>3997</v>
      </c>
      <c r="E12348">
        <v>2020</v>
      </c>
      <c r="F12348">
        <v>5</v>
      </c>
      <c r="G12348">
        <v>13745</v>
      </c>
      <c r="H12348" s="1">
        <v>3</v>
      </c>
      <c r="I12348">
        <v>0</v>
      </c>
      <c r="J12348">
        <f>IF($H12348=0,1,IF($I12348&lt;=1,2,0))</f>
        <v>2</v>
      </c>
      <c r="K12348">
        <v>9</v>
      </c>
      <c r="L12348">
        <f>IF(AND($J12348=0,$K12348=0),0,1)</f>
        <v>1</v>
      </c>
    </row>
    <row r="12349" spans="1:12" x14ac:dyDescent="0.2">
      <c r="A12349" t="s">
        <v>426</v>
      </c>
      <c r="B12349" t="s">
        <v>17</v>
      </c>
      <c r="C12349" t="s">
        <v>21</v>
      </c>
      <c r="D12349">
        <v>3997</v>
      </c>
      <c r="E12349">
        <v>2020</v>
      </c>
      <c r="F12349">
        <v>6</v>
      </c>
      <c r="G12349">
        <v>13746</v>
      </c>
      <c r="H12349" s="1">
        <v>3</v>
      </c>
      <c r="I12349">
        <v>0</v>
      </c>
      <c r="J12349">
        <f>IF($H12349=0,1,IF($I12349&lt;=1,2,0))</f>
        <v>2</v>
      </c>
      <c r="K12349">
        <v>9</v>
      </c>
      <c r="L12349">
        <f>IF(AND($J12349=0,$K12349=0),0,1)</f>
        <v>1</v>
      </c>
    </row>
    <row r="12350" spans="1:12" x14ac:dyDescent="0.2">
      <c r="A12350" t="s">
        <v>426</v>
      </c>
      <c r="B12350" t="s">
        <v>17</v>
      </c>
      <c r="C12350" t="s">
        <v>21</v>
      </c>
      <c r="D12350">
        <v>3998</v>
      </c>
      <c r="E12350">
        <v>2020</v>
      </c>
      <c r="F12350">
        <v>1</v>
      </c>
      <c r="G12350">
        <v>13752</v>
      </c>
      <c r="H12350" s="1">
        <v>3</v>
      </c>
      <c r="I12350">
        <v>0</v>
      </c>
      <c r="J12350">
        <f>IF($H12350=0,1,IF($I12350&lt;=1,2,0))</f>
        <v>2</v>
      </c>
      <c r="K12350">
        <v>9</v>
      </c>
      <c r="L12350">
        <f>IF(AND($J12350=0,$K12350=0),0,1)</f>
        <v>1</v>
      </c>
    </row>
    <row r="12351" spans="1:12" x14ac:dyDescent="0.2">
      <c r="A12351" t="s">
        <v>426</v>
      </c>
      <c r="B12351" t="s">
        <v>17</v>
      </c>
      <c r="C12351" t="s">
        <v>21</v>
      </c>
      <c r="D12351">
        <v>3998</v>
      </c>
      <c r="E12351">
        <v>2020</v>
      </c>
      <c r="F12351">
        <v>2</v>
      </c>
      <c r="G12351">
        <v>13753</v>
      </c>
      <c r="H12351" s="1">
        <v>3</v>
      </c>
      <c r="I12351">
        <v>0</v>
      </c>
      <c r="J12351">
        <f>IF($H12351=0,1,IF($I12351&lt;=1,2,0))</f>
        <v>2</v>
      </c>
      <c r="K12351">
        <v>9</v>
      </c>
      <c r="L12351">
        <f>IF(AND($J12351=0,$K12351=0),0,1)</f>
        <v>1</v>
      </c>
    </row>
    <row r="12352" spans="1:12" x14ac:dyDescent="0.2">
      <c r="A12352" t="s">
        <v>426</v>
      </c>
      <c r="B12352" t="s">
        <v>17</v>
      </c>
      <c r="C12352" t="s">
        <v>21</v>
      </c>
      <c r="D12352">
        <v>3998</v>
      </c>
      <c r="E12352">
        <v>2020</v>
      </c>
      <c r="F12352">
        <v>3</v>
      </c>
      <c r="G12352">
        <v>13755</v>
      </c>
      <c r="H12352" s="1">
        <v>3</v>
      </c>
      <c r="I12352">
        <v>0</v>
      </c>
      <c r="J12352">
        <f>IF($H12352=0,1,IF($I12352&lt;=1,2,0))</f>
        <v>2</v>
      </c>
      <c r="K12352">
        <v>9</v>
      </c>
      <c r="L12352">
        <f>IF(AND($J12352=0,$K12352=0),0,1)</f>
        <v>1</v>
      </c>
    </row>
    <row r="12353" spans="1:13" x14ac:dyDescent="0.2">
      <c r="A12353" t="s">
        <v>426</v>
      </c>
      <c r="B12353" t="s">
        <v>17</v>
      </c>
      <c r="C12353" t="s">
        <v>21</v>
      </c>
      <c r="D12353">
        <v>3998</v>
      </c>
      <c r="E12353">
        <v>2020</v>
      </c>
      <c r="F12353">
        <v>4</v>
      </c>
      <c r="G12353">
        <v>13756</v>
      </c>
      <c r="H12353" s="1">
        <v>3</v>
      </c>
      <c r="I12353">
        <v>0</v>
      </c>
      <c r="J12353">
        <f>IF($H12353=0,1,IF($I12353&lt;=1,2,0))</f>
        <v>2</v>
      </c>
      <c r="K12353">
        <v>9</v>
      </c>
      <c r="L12353">
        <f>IF(AND($J12353=0,$K12353=0),0,1)</f>
        <v>1</v>
      </c>
    </row>
    <row r="12354" spans="1:13" x14ac:dyDescent="0.2">
      <c r="A12354" t="s">
        <v>426</v>
      </c>
      <c r="B12354" t="s">
        <v>17</v>
      </c>
      <c r="C12354" t="s">
        <v>21</v>
      </c>
      <c r="D12354">
        <v>3998</v>
      </c>
      <c r="E12354">
        <v>2020</v>
      </c>
      <c r="F12354">
        <v>5</v>
      </c>
      <c r="G12354">
        <v>13758</v>
      </c>
      <c r="H12354" s="1">
        <v>3</v>
      </c>
      <c r="I12354">
        <v>0</v>
      </c>
      <c r="J12354">
        <f>IF($H12354=0,1,IF($I12354&lt;=1,2,0))</f>
        <v>2</v>
      </c>
      <c r="K12354">
        <v>9</v>
      </c>
      <c r="L12354">
        <f>IF(AND($J12354=0,$K12354=0),0,1)</f>
        <v>1</v>
      </c>
    </row>
    <row r="12355" spans="1:13" x14ac:dyDescent="0.2">
      <c r="A12355" t="s">
        <v>429</v>
      </c>
      <c r="B12355" t="s">
        <v>17</v>
      </c>
      <c r="C12355" t="s">
        <v>21</v>
      </c>
      <c r="D12355">
        <v>3997</v>
      </c>
      <c r="E12355">
        <v>2020</v>
      </c>
      <c r="F12355">
        <v>2</v>
      </c>
      <c r="G12355">
        <v>13824</v>
      </c>
      <c r="H12355" s="1" t="s">
        <v>1823</v>
      </c>
      <c r="I12355">
        <v>1</v>
      </c>
      <c r="J12355">
        <f>IF($H12355=0,1,IF($I12355&lt;=1,2,0))</f>
        <v>2</v>
      </c>
      <c r="K12355">
        <v>9</v>
      </c>
      <c r="L12355">
        <f>IF(AND($J12355=0,$K12355=0),0,1)</f>
        <v>1</v>
      </c>
    </row>
    <row r="12356" spans="1:13" x14ac:dyDescent="0.2">
      <c r="A12356" t="s">
        <v>429</v>
      </c>
      <c r="B12356" t="s">
        <v>17</v>
      </c>
      <c r="C12356" t="s">
        <v>21</v>
      </c>
      <c r="D12356">
        <v>3997</v>
      </c>
      <c r="E12356">
        <v>2020</v>
      </c>
      <c r="F12356">
        <v>3</v>
      </c>
      <c r="G12356">
        <v>13825</v>
      </c>
      <c r="H12356" s="1" t="s">
        <v>1823</v>
      </c>
      <c r="I12356">
        <v>1</v>
      </c>
      <c r="J12356">
        <f>IF($H12356=0,1,IF($I12356&lt;=1,2,0))</f>
        <v>2</v>
      </c>
      <c r="K12356">
        <v>9</v>
      </c>
      <c r="L12356">
        <f>IF(AND($J12356=0,$K12356=0),0,1)</f>
        <v>1</v>
      </c>
    </row>
    <row r="12357" spans="1:13" x14ac:dyDescent="0.2">
      <c r="A12357" t="s">
        <v>429</v>
      </c>
      <c r="B12357" t="s">
        <v>17</v>
      </c>
      <c r="C12357" t="s">
        <v>21</v>
      </c>
      <c r="D12357">
        <v>3997</v>
      </c>
      <c r="E12357">
        <v>2020</v>
      </c>
      <c r="F12357">
        <v>1</v>
      </c>
      <c r="G12357">
        <v>13823</v>
      </c>
      <c r="H12357" s="1" t="s">
        <v>1823</v>
      </c>
      <c r="I12357">
        <v>0</v>
      </c>
      <c r="J12357">
        <f>IF($H12357=0,1,IF($I12357&lt;=1,2,0))</f>
        <v>2</v>
      </c>
      <c r="K12357">
        <v>9</v>
      </c>
      <c r="L12357">
        <f>IF(AND($J12357=0,$K12357=0),0,1)</f>
        <v>1</v>
      </c>
    </row>
    <row r="12358" spans="1:13" x14ac:dyDescent="0.2">
      <c r="A12358" t="s">
        <v>429</v>
      </c>
      <c r="B12358" t="s">
        <v>17</v>
      </c>
      <c r="C12358" t="s">
        <v>21</v>
      </c>
      <c r="D12358">
        <v>3997</v>
      </c>
      <c r="E12358">
        <v>2020</v>
      </c>
      <c r="F12358">
        <v>4</v>
      </c>
      <c r="G12358">
        <v>13826</v>
      </c>
      <c r="H12358" s="1" t="s">
        <v>1823</v>
      </c>
      <c r="I12358">
        <v>0</v>
      </c>
      <c r="J12358">
        <f>IF($H12358=0,1,IF($I12358&lt;=1,2,0))</f>
        <v>2</v>
      </c>
      <c r="K12358">
        <v>9</v>
      </c>
      <c r="L12358">
        <f>IF(AND($J12358=0,$K12358=0),0,1)</f>
        <v>1</v>
      </c>
    </row>
    <row r="12359" spans="1:13" x14ac:dyDescent="0.2">
      <c r="A12359" t="s">
        <v>429</v>
      </c>
      <c r="B12359" t="s">
        <v>17</v>
      </c>
      <c r="C12359" t="s">
        <v>21</v>
      </c>
      <c r="D12359">
        <v>3997</v>
      </c>
      <c r="E12359">
        <v>2020</v>
      </c>
      <c r="F12359">
        <v>5</v>
      </c>
      <c r="G12359">
        <v>13827</v>
      </c>
      <c r="H12359" s="1" t="s">
        <v>1823</v>
      </c>
      <c r="I12359">
        <v>0</v>
      </c>
      <c r="J12359">
        <f>IF($H12359=0,1,IF($I12359&lt;=1,2,0))</f>
        <v>2</v>
      </c>
      <c r="K12359">
        <v>9</v>
      </c>
      <c r="L12359">
        <f>IF(AND($J12359=0,$K12359=0),0,1)</f>
        <v>1</v>
      </c>
    </row>
    <row r="12360" spans="1:13" x14ac:dyDescent="0.2">
      <c r="A12360" t="s">
        <v>429</v>
      </c>
      <c r="B12360" t="s">
        <v>17</v>
      </c>
      <c r="C12360" t="s">
        <v>21</v>
      </c>
      <c r="D12360">
        <v>3998</v>
      </c>
      <c r="E12360">
        <v>2020</v>
      </c>
      <c r="F12360">
        <v>1</v>
      </c>
      <c r="G12360">
        <v>11633</v>
      </c>
      <c r="H12360" s="1" t="s">
        <v>1823</v>
      </c>
      <c r="I12360">
        <v>2</v>
      </c>
      <c r="J12360">
        <f>IF($H12360=0,1,IF($I12360&lt;=1,2,0))</f>
        <v>0</v>
      </c>
      <c r="K12360">
        <v>9</v>
      </c>
      <c r="L12360">
        <f>IF(AND($J12360=0,$K12360=0),0,1)</f>
        <v>1</v>
      </c>
    </row>
    <row r="12361" spans="1:13" x14ac:dyDescent="0.2">
      <c r="A12361" t="s">
        <v>429</v>
      </c>
      <c r="B12361" t="s">
        <v>17</v>
      </c>
      <c r="C12361" t="s">
        <v>9</v>
      </c>
      <c r="D12361">
        <v>4460</v>
      </c>
      <c r="E12361">
        <v>2020</v>
      </c>
      <c r="F12361">
        <v>1</v>
      </c>
      <c r="G12361">
        <v>13828</v>
      </c>
      <c r="H12361" s="1">
        <v>3</v>
      </c>
      <c r="I12361">
        <v>0</v>
      </c>
      <c r="J12361">
        <f>IF($H12361=0,1,IF($I12361&lt;=1,2,0))</f>
        <v>2</v>
      </c>
      <c r="K12361">
        <v>4</v>
      </c>
      <c r="L12361">
        <f>IF(AND($J12361=0,$K12361=0),0,1)</f>
        <v>1</v>
      </c>
    </row>
    <row r="12362" spans="1:13" x14ac:dyDescent="0.2">
      <c r="A12362" t="s">
        <v>429</v>
      </c>
      <c r="B12362" t="s">
        <v>17</v>
      </c>
      <c r="C12362" t="s">
        <v>9</v>
      </c>
      <c r="D12362">
        <v>4460</v>
      </c>
      <c r="E12362">
        <v>2020</v>
      </c>
      <c r="F12362">
        <v>2</v>
      </c>
      <c r="G12362">
        <v>13829</v>
      </c>
      <c r="H12362" s="1">
        <v>3</v>
      </c>
      <c r="I12362">
        <v>0</v>
      </c>
      <c r="J12362">
        <f>IF($H12362=0,1,IF($I12362&lt;=1,2,0))</f>
        <v>2</v>
      </c>
      <c r="K12362">
        <v>4</v>
      </c>
      <c r="L12362">
        <f>IF(AND($J12362=0,$K12362=0),0,1)</f>
        <v>1</v>
      </c>
    </row>
    <row r="12363" spans="1:13" x14ac:dyDescent="0.2">
      <c r="A12363" t="s">
        <v>429</v>
      </c>
      <c r="B12363" t="s">
        <v>17</v>
      </c>
      <c r="C12363" t="s">
        <v>9</v>
      </c>
      <c r="D12363">
        <v>4460</v>
      </c>
      <c r="E12363">
        <v>2020</v>
      </c>
      <c r="F12363">
        <v>3</v>
      </c>
      <c r="G12363">
        <v>13830</v>
      </c>
      <c r="H12363" s="1">
        <v>3</v>
      </c>
      <c r="I12363">
        <v>0</v>
      </c>
      <c r="J12363">
        <f>IF($H12363=0,1,IF($I12363&lt;=1,2,0))</f>
        <v>2</v>
      </c>
      <c r="K12363">
        <v>4</v>
      </c>
      <c r="L12363">
        <f>IF(AND($J12363=0,$K12363=0),0,1)</f>
        <v>1</v>
      </c>
    </row>
    <row r="12364" spans="1:13" x14ac:dyDescent="0.2">
      <c r="A12364" t="s">
        <v>429</v>
      </c>
      <c r="B12364" t="s">
        <v>17</v>
      </c>
      <c r="C12364" t="s">
        <v>9</v>
      </c>
      <c r="D12364">
        <v>4460</v>
      </c>
      <c r="E12364">
        <v>2020</v>
      </c>
      <c r="F12364">
        <v>4</v>
      </c>
      <c r="G12364">
        <v>13831</v>
      </c>
      <c r="H12364" s="1">
        <v>3</v>
      </c>
      <c r="I12364">
        <v>0</v>
      </c>
      <c r="J12364">
        <f>IF($H12364=0,1,IF($I12364&lt;=1,2,0))</f>
        <v>2</v>
      </c>
      <c r="K12364">
        <v>4</v>
      </c>
      <c r="L12364">
        <f>IF(AND($J12364=0,$K12364=0),0,1)</f>
        <v>1</v>
      </c>
    </row>
    <row r="12365" spans="1:13" x14ac:dyDescent="0.2">
      <c r="A12365" t="s">
        <v>429</v>
      </c>
      <c r="B12365" t="s">
        <v>17</v>
      </c>
      <c r="C12365" t="s">
        <v>9</v>
      </c>
      <c r="D12365">
        <v>4460</v>
      </c>
      <c r="E12365">
        <v>2020</v>
      </c>
      <c r="F12365">
        <v>5</v>
      </c>
      <c r="G12365">
        <v>13832</v>
      </c>
      <c r="H12365" s="1">
        <v>3</v>
      </c>
      <c r="I12365">
        <v>0</v>
      </c>
      <c r="J12365">
        <f>IF($H12365=0,1,IF($I12365&lt;=1,2,0))</f>
        <v>2</v>
      </c>
      <c r="K12365">
        <v>4</v>
      </c>
      <c r="L12365">
        <f>IF(AND($J12365=0,$K12365=0),0,1)</f>
        <v>1</v>
      </c>
    </row>
    <row r="12366" spans="1:13" x14ac:dyDescent="0.2">
      <c r="A12366" t="s">
        <v>431</v>
      </c>
      <c r="B12366" t="s">
        <v>6</v>
      </c>
      <c r="C12366" t="s">
        <v>9</v>
      </c>
      <c r="D12366">
        <v>1007</v>
      </c>
      <c r="E12366">
        <v>2020</v>
      </c>
      <c r="F12366">
        <v>1</v>
      </c>
      <c r="G12366">
        <v>12872</v>
      </c>
      <c r="H12366" s="1">
        <v>0</v>
      </c>
      <c r="I12366">
        <v>14</v>
      </c>
      <c r="J12366">
        <f>IF($H12366=0,1,IF($I12366&lt;=1,2,0))</f>
        <v>1</v>
      </c>
      <c r="K12366">
        <v>0</v>
      </c>
      <c r="L12366">
        <f>IF(AND($J12366=0,$K12366=0),0,1)</f>
        <v>1</v>
      </c>
      <c r="M12366" t="s">
        <v>1060</v>
      </c>
    </row>
    <row r="12367" spans="1:13" x14ac:dyDescent="0.2">
      <c r="A12367" t="s">
        <v>431</v>
      </c>
      <c r="B12367" t="s">
        <v>6</v>
      </c>
      <c r="C12367" t="s">
        <v>9</v>
      </c>
      <c r="D12367">
        <v>1007</v>
      </c>
      <c r="E12367">
        <v>2020</v>
      </c>
      <c r="F12367">
        <v>2</v>
      </c>
      <c r="G12367">
        <v>13788</v>
      </c>
      <c r="H12367" s="1">
        <v>0</v>
      </c>
      <c r="I12367">
        <v>4</v>
      </c>
      <c r="J12367">
        <f>IF($H12367=0,1,IF($I12367&lt;=1,2,0))</f>
        <v>1</v>
      </c>
      <c r="K12367">
        <v>0</v>
      </c>
      <c r="L12367">
        <f>IF(AND($J12367=0,$K12367=0),0,1)</f>
        <v>1</v>
      </c>
      <c r="M12367" t="s">
        <v>1060</v>
      </c>
    </row>
    <row r="12368" spans="1:13" x14ac:dyDescent="0.2">
      <c r="A12368" t="s">
        <v>431</v>
      </c>
      <c r="B12368" t="s">
        <v>6</v>
      </c>
      <c r="C12368" t="s">
        <v>9</v>
      </c>
      <c r="D12368">
        <v>1011</v>
      </c>
      <c r="E12368">
        <v>2020</v>
      </c>
      <c r="F12368">
        <v>1</v>
      </c>
      <c r="G12368">
        <v>12176</v>
      </c>
      <c r="H12368" s="1">
        <v>0</v>
      </c>
      <c r="I12368">
        <v>17</v>
      </c>
      <c r="J12368">
        <f>IF($H12368=0,1,IF($I12368&lt;=1,2,0))</f>
        <v>1</v>
      </c>
      <c r="K12368">
        <v>0</v>
      </c>
      <c r="L12368">
        <f>IF(AND($J12368=0,$K12368=0),0,1)</f>
        <v>1</v>
      </c>
      <c r="M12368" t="s">
        <v>1060</v>
      </c>
    </row>
    <row r="12369" spans="1:13" x14ac:dyDescent="0.2">
      <c r="A12369" t="s">
        <v>431</v>
      </c>
      <c r="B12369" t="s">
        <v>6</v>
      </c>
      <c r="C12369" t="s">
        <v>9</v>
      </c>
      <c r="D12369">
        <v>1011</v>
      </c>
      <c r="E12369">
        <v>2020</v>
      </c>
      <c r="F12369">
        <v>2</v>
      </c>
      <c r="G12369">
        <v>13524</v>
      </c>
      <c r="H12369" s="1">
        <v>0</v>
      </c>
      <c r="I12369">
        <v>10</v>
      </c>
      <c r="J12369">
        <f>IF($H12369=0,1,IF($I12369&lt;=1,2,0))</f>
        <v>1</v>
      </c>
      <c r="K12369">
        <v>0</v>
      </c>
      <c r="L12369">
        <f>IF(AND($J12369=0,$K12369=0),0,1)</f>
        <v>1</v>
      </c>
      <c r="M12369" t="s">
        <v>1060</v>
      </c>
    </row>
    <row r="12370" spans="1:13" x14ac:dyDescent="0.2">
      <c r="A12370" t="s">
        <v>431</v>
      </c>
      <c r="B12370" t="s">
        <v>6</v>
      </c>
      <c r="C12370" t="s">
        <v>9</v>
      </c>
      <c r="D12370">
        <v>1011</v>
      </c>
      <c r="E12370">
        <v>2020</v>
      </c>
      <c r="F12370">
        <v>4</v>
      </c>
      <c r="G12370">
        <v>13526</v>
      </c>
      <c r="H12370" s="1">
        <v>0</v>
      </c>
      <c r="I12370">
        <v>6</v>
      </c>
      <c r="J12370">
        <f>IF($H12370=0,1,IF($I12370&lt;=1,2,0))</f>
        <v>1</v>
      </c>
      <c r="K12370">
        <v>0</v>
      </c>
      <c r="L12370">
        <f>IF(AND($J12370=0,$K12370=0),0,1)</f>
        <v>1</v>
      </c>
    </row>
    <row r="12371" spans="1:13" x14ac:dyDescent="0.2">
      <c r="A12371" t="s">
        <v>431</v>
      </c>
      <c r="B12371" t="s">
        <v>6</v>
      </c>
      <c r="C12371" t="s">
        <v>9</v>
      </c>
      <c r="D12371">
        <v>1011</v>
      </c>
      <c r="E12371">
        <v>2020</v>
      </c>
      <c r="F12371">
        <v>3</v>
      </c>
      <c r="G12371">
        <v>13525</v>
      </c>
      <c r="H12371" s="1">
        <v>0</v>
      </c>
      <c r="I12371">
        <v>5</v>
      </c>
      <c r="J12371">
        <f>IF($H12371=0,1,IF($I12371&lt;=1,2,0))</f>
        <v>1</v>
      </c>
      <c r="K12371">
        <v>0</v>
      </c>
      <c r="L12371">
        <f>IF(AND($J12371=0,$K12371=0),0,1)</f>
        <v>1</v>
      </c>
    </row>
    <row r="12372" spans="1:13" x14ac:dyDescent="0.2">
      <c r="A12372" t="s">
        <v>431</v>
      </c>
      <c r="B12372" t="s">
        <v>6</v>
      </c>
      <c r="C12372" t="s">
        <v>9</v>
      </c>
      <c r="D12372">
        <v>1011</v>
      </c>
      <c r="E12372">
        <v>2020</v>
      </c>
      <c r="F12372">
        <v>6</v>
      </c>
      <c r="G12372">
        <v>24789</v>
      </c>
      <c r="H12372" s="1">
        <v>0</v>
      </c>
      <c r="I12372">
        <v>3</v>
      </c>
      <c r="J12372">
        <f>IF($H12372=0,1,IF($I12372&lt;=1,2,0))</f>
        <v>1</v>
      </c>
      <c r="K12372">
        <v>0</v>
      </c>
      <c r="L12372">
        <f>IF(AND($J12372=0,$K12372=0),0,1)</f>
        <v>1</v>
      </c>
    </row>
    <row r="12373" spans="1:13" x14ac:dyDescent="0.2">
      <c r="A12373" t="s">
        <v>431</v>
      </c>
      <c r="B12373" t="s">
        <v>6</v>
      </c>
      <c r="C12373" t="s">
        <v>9</v>
      </c>
      <c r="D12373">
        <v>1011</v>
      </c>
      <c r="E12373">
        <v>2020</v>
      </c>
      <c r="F12373">
        <v>5</v>
      </c>
      <c r="G12373">
        <v>24787</v>
      </c>
      <c r="H12373" s="1">
        <v>0</v>
      </c>
      <c r="I12373">
        <v>2</v>
      </c>
      <c r="J12373">
        <f>IF($H12373=0,1,IF($I12373&lt;=1,2,0))</f>
        <v>1</v>
      </c>
      <c r="K12373">
        <v>0</v>
      </c>
      <c r="L12373">
        <f>IF(AND($J12373=0,$K12373=0),0,1)</f>
        <v>1</v>
      </c>
    </row>
    <row r="12374" spans="1:13" x14ac:dyDescent="0.2">
      <c r="A12374" t="s">
        <v>431</v>
      </c>
      <c r="B12374" t="s">
        <v>6</v>
      </c>
      <c r="C12374" t="s">
        <v>2</v>
      </c>
      <c r="D12374">
        <v>1101</v>
      </c>
      <c r="E12374">
        <v>2020</v>
      </c>
      <c r="F12374">
        <v>1</v>
      </c>
      <c r="G12374">
        <v>44</v>
      </c>
      <c r="H12374" s="1">
        <v>4</v>
      </c>
      <c r="I12374">
        <v>48</v>
      </c>
      <c r="J12374">
        <f>IF($H12374=0,1,IF($I12374&lt;=1,2,0))</f>
        <v>0</v>
      </c>
      <c r="K12374">
        <v>7</v>
      </c>
      <c r="L12374">
        <f>IF(AND($J12374=0,$K12374=0),0,1)</f>
        <v>1</v>
      </c>
      <c r="M12374" t="s">
        <v>436</v>
      </c>
    </row>
    <row r="12375" spans="1:13" x14ac:dyDescent="0.2">
      <c r="A12375" t="s">
        <v>431</v>
      </c>
      <c r="B12375" t="s">
        <v>6</v>
      </c>
      <c r="C12375" t="s">
        <v>2</v>
      </c>
      <c r="D12375">
        <v>1112</v>
      </c>
      <c r="E12375">
        <v>2020</v>
      </c>
      <c r="F12375">
        <v>4</v>
      </c>
      <c r="G12375">
        <v>967</v>
      </c>
      <c r="H12375" s="1">
        <v>0</v>
      </c>
      <c r="I12375">
        <v>14</v>
      </c>
      <c r="J12375">
        <f>IF($H12375=0,1,IF($I12375&lt;=1,2,0))</f>
        <v>1</v>
      </c>
      <c r="K12375">
        <v>7</v>
      </c>
      <c r="L12375">
        <f>IF(AND($J12375=0,$K12375=0),0,1)</f>
        <v>1</v>
      </c>
      <c r="M12375" t="s">
        <v>439</v>
      </c>
    </row>
    <row r="12376" spans="1:13" x14ac:dyDescent="0.2">
      <c r="A12376" t="s">
        <v>431</v>
      </c>
      <c r="B12376" t="s">
        <v>6</v>
      </c>
      <c r="C12376" t="s">
        <v>2</v>
      </c>
      <c r="D12376">
        <v>1112</v>
      </c>
      <c r="E12376">
        <v>2020</v>
      </c>
      <c r="F12376">
        <v>2</v>
      </c>
      <c r="G12376">
        <v>965</v>
      </c>
      <c r="H12376" s="1">
        <v>0</v>
      </c>
      <c r="I12376">
        <v>13</v>
      </c>
      <c r="J12376">
        <f>IF($H12376=0,1,IF($I12376&lt;=1,2,0))</f>
        <v>1</v>
      </c>
      <c r="K12376">
        <v>7</v>
      </c>
      <c r="L12376">
        <f>IF(AND($J12376=0,$K12376=0),0,1)</f>
        <v>1</v>
      </c>
      <c r="M12376" t="s">
        <v>438</v>
      </c>
    </row>
    <row r="12377" spans="1:13" x14ac:dyDescent="0.2">
      <c r="A12377" t="s">
        <v>431</v>
      </c>
      <c r="B12377" t="s">
        <v>6</v>
      </c>
      <c r="C12377" t="s">
        <v>2</v>
      </c>
      <c r="D12377">
        <v>1112</v>
      </c>
      <c r="E12377">
        <v>2020</v>
      </c>
      <c r="F12377">
        <v>1</v>
      </c>
      <c r="G12377">
        <v>964</v>
      </c>
      <c r="H12377" s="1">
        <v>0</v>
      </c>
      <c r="I12377">
        <v>12</v>
      </c>
      <c r="J12377">
        <f>IF($H12377=0,1,IF($I12377&lt;=1,2,0))</f>
        <v>1</v>
      </c>
      <c r="K12377">
        <v>7</v>
      </c>
      <c r="L12377">
        <f>IF(AND($J12377=0,$K12377=0),0,1)</f>
        <v>1</v>
      </c>
      <c r="M12377" t="s">
        <v>1062</v>
      </c>
    </row>
    <row r="12378" spans="1:13" x14ac:dyDescent="0.2">
      <c r="A12378" t="s">
        <v>431</v>
      </c>
      <c r="B12378" t="s">
        <v>6</v>
      </c>
      <c r="C12378" t="s">
        <v>2</v>
      </c>
      <c r="D12378">
        <v>1112</v>
      </c>
      <c r="E12378">
        <v>2020</v>
      </c>
      <c r="F12378">
        <v>3</v>
      </c>
      <c r="G12378">
        <v>966</v>
      </c>
      <c r="H12378" s="1">
        <v>0</v>
      </c>
      <c r="I12378">
        <v>8</v>
      </c>
      <c r="J12378">
        <f>IF($H12378=0,1,IF($I12378&lt;=1,2,0))</f>
        <v>1</v>
      </c>
      <c r="K12378">
        <v>7</v>
      </c>
      <c r="L12378">
        <f>IF(AND($J12378=0,$K12378=0),0,1)</f>
        <v>1</v>
      </c>
      <c r="M12378" t="s">
        <v>438</v>
      </c>
    </row>
    <row r="12379" spans="1:13" x14ac:dyDescent="0.2">
      <c r="A12379" t="s">
        <v>431</v>
      </c>
      <c r="B12379" t="s">
        <v>6</v>
      </c>
      <c r="C12379" t="s">
        <v>9</v>
      </c>
      <c r="D12379">
        <v>1769</v>
      </c>
      <c r="E12379">
        <v>2020</v>
      </c>
      <c r="F12379">
        <v>3</v>
      </c>
      <c r="G12379">
        <v>13779</v>
      </c>
      <c r="H12379" s="1">
        <v>0</v>
      </c>
      <c r="I12379">
        <v>11</v>
      </c>
      <c r="J12379">
        <f>IF($H12379=0,1,IF($I12379&lt;=1,2,0))</f>
        <v>1</v>
      </c>
      <c r="K12379">
        <v>0</v>
      </c>
      <c r="L12379">
        <f>IF(AND($J12379=0,$K12379=0),0,1)</f>
        <v>1</v>
      </c>
      <c r="M12379" t="s">
        <v>1064</v>
      </c>
    </row>
    <row r="12380" spans="1:13" x14ac:dyDescent="0.2">
      <c r="A12380" t="s">
        <v>431</v>
      </c>
      <c r="B12380" t="s">
        <v>6</v>
      </c>
      <c r="C12380" t="s">
        <v>9</v>
      </c>
      <c r="D12380">
        <v>1769</v>
      </c>
      <c r="E12380">
        <v>2020</v>
      </c>
      <c r="F12380">
        <v>4</v>
      </c>
      <c r="G12380">
        <v>13780</v>
      </c>
      <c r="H12380" s="1">
        <v>0</v>
      </c>
      <c r="I12380">
        <v>11</v>
      </c>
      <c r="J12380">
        <f>IF($H12380=0,1,IF($I12380&lt;=1,2,0))</f>
        <v>1</v>
      </c>
      <c r="K12380">
        <v>0</v>
      </c>
      <c r="L12380">
        <f>IF(AND($J12380=0,$K12380=0),0,1)</f>
        <v>1</v>
      </c>
      <c r="M12380" t="s">
        <v>1064</v>
      </c>
    </row>
    <row r="12381" spans="1:13" x14ac:dyDescent="0.2">
      <c r="A12381" t="s">
        <v>431</v>
      </c>
      <c r="B12381" t="s">
        <v>6</v>
      </c>
      <c r="C12381" t="s">
        <v>9</v>
      </c>
      <c r="D12381">
        <v>1769</v>
      </c>
      <c r="E12381">
        <v>2020</v>
      </c>
      <c r="F12381">
        <v>1</v>
      </c>
      <c r="G12381">
        <v>13777</v>
      </c>
      <c r="H12381" s="1">
        <v>0</v>
      </c>
      <c r="I12381">
        <v>9</v>
      </c>
      <c r="J12381">
        <f>IF($H12381=0,1,IF($I12381&lt;=1,2,0))</f>
        <v>1</v>
      </c>
      <c r="K12381">
        <v>0</v>
      </c>
      <c r="L12381">
        <f>IF(AND($J12381=0,$K12381=0),0,1)</f>
        <v>1</v>
      </c>
      <c r="M12381" t="s">
        <v>1064</v>
      </c>
    </row>
    <row r="12382" spans="1:13" x14ac:dyDescent="0.2">
      <c r="A12382" t="s">
        <v>431</v>
      </c>
      <c r="B12382" t="s">
        <v>6</v>
      </c>
      <c r="C12382" t="s">
        <v>9</v>
      </c>
      <c r="D12382">
        <v>1769</v>
      </c>
      <c r="E12382">
        <v>2020</v>
      </c>
      <c r="F12382">
        <v>2</v>
      </c>
      <c r="G12382">
        <v>13778</v>
      </c>
      <c r="H12382" s="1">
        <v>0</v>
      </c>
      <c r="I12382">
        <v>9</v>
      </c>
      <c r="J12382">
        <f>IF($H12382=0,1,IF($I12382&lt;=1,2,0))</f>
        <v>1</v>
      </c>
      <c r="K12382">
        <v>0</v>
      </c>
      <c r="L12382">
        <f>IF(AND($J12382=0,$K12382=0),0,1)</f>
        <v>1</v>
      </c>
      <c r="M12382" t="s">
        <v>1064</v>
      </c>
    </row>
    <row r="12383" spans="1:13" x14ac:dyDescent="0.2">
      <c r="A12383" t="s">
        <v>431</v>
      </c>
      <c r="B12383" t="s">
        <v>6</v>
      </c>
      <c r="C12383" t="s">
        <v>9</v>
      </c>
      <c r="D12383">
        <v>1769</v>
      </c>
      <c r="E12383">
        <v>2020</v>
      </c>
      <c r="F12383">
        <v>6</v>
      </c>
      <c r="G12383">
        <v>23072</v>
      </c>
      <c r="H12383" s="1">
        <v>0</v>
      </c>
      <c r="I12383">
        <v>9</v>
      </c>
      <c r="J12383">
        <f>IF($H12383=0,1,IF($I12383&lt;=1,2,0))</f>
        <v>1</v>
      </c>
      <c r="K12383">
        <v>0</v>
      </c>
      <c r="L12383">
        <f>IF(AND($J12383=0,$K12383=0),0,1)</f>
        <v>1</v>
      </c>
    </row>
    <row r="12384" spans="1:13" x14ac:dyDescent="0.2">
      <c r="A12384" t="s">
        <v>431</v>
      </c>
      <c r="B12384" t="s">
        <v>6</v>
      </c>
      <c r="C12384" t="s">
        <v>9</v>
      </c>
      <c r="D12384">
        <v>1769</v>
      </c>
      <c r="E12384">
        <v>2020</v>
      </c>
      <c r="F12384">
        <v>5</v>
      </c>
      <c r="G12384">
        <v>23071</v>
      </c>
      <c r="H12384" s="1">
        <v>0</v>
      </c>
      <c r="I12384">
        <v>8</v>
      </c>
      <c r="J12384">
        <f>IF($H12384=0,1,IF($I12384&lt;=1,2,0))</f>
        <v>1</v>
      </c>
      <c r="K12384">
        <v>0</v>
      </c>
      <c r="L12384">
        <f>IF(AND($J12384=0,$K12384=0),0,1)</f>
        <v>1</v>
      </c>
      <c r="M12384" t="s">
        <v>1064</v>
      </c>
    </row>
    <row r="12385" spans="1:13" x14ac:dyDescent="0.2">
      <c r="A12385" t="s">
        <v>431</v>
      </c>
      <c r="B12385" t="s">
        <v>6</v>
      </c>
      <c r="C12385" t="s">
        <v>9</v>
      </c>
      <c r="D12385">
        <v>2073</v>
      </c>
      <c r="E12385">
        <v>2020</v>
      </c>
      <c r="F12385">
        <v>1</v>
      </c>
      <c r="G12385">
        <v>22219</v>
      </c>
      <c r="H12385" s="1">
        <v>0</v>
      </c>
      <c r="I12385">
        <v>12</v>
      </c>
      <c r="J12385">
        <f>IF($H12385=0,1,IF($I12385&lt;=1,2,0))</f>
        <v>1</v>
      </c>
      <c r="K12385">
        <v>0</v>
      </c>
      <c r="L12385">
        <f>IF(AND($J12385=0,$K12385=0),0,1)</f>
        <v>1</v>
      </c>
    </row>
    <row r="12386" spans="1:13" x14ac:dyDescent="0.2">
      <c r="A12386" t="s">
        <v>431</v>
      </c>
      <c r="B12386" t="s">
        <v>6</v>
      </c>
      <c r="C12386" t="s">
        <v>9</v>
      </c>
      <c r="D12386">
        <v>2073</v>
      </c>
      <c r="E12386">
        <v>2020</v>
      </c>
      <c r="F12386">
        <v>2</v>
      </c>
      <c r="G12386">
        <v>24774</v>
      </c>
      <c r="H12386" s="1">
        <v>0</v>
      </c>
      <c r="I12386">
        <v>12</v>
      </c>
      <c r="J12386">
        <f>IF($H12386=0,1,IF($I12386&lt;=1,2,0))</f>
        <v>1</v>
      </c>
      <c r="K12386">
        <v>0</v>
      </c>
      <c r="L12386">
        <f>IF(AND($J12386=0,$K12386=0),0,1)</f>
        <v>1</v>
      </c>
    </row>
    <row r="12387" spans="1:13" x14ac:dyDescent="0.2">
      <c r="A12387" t="s">
        <v>431</v>
      </c>
      <c r="B12387" t="s">
        <v>6</v>
      </c>
      <c r="C12387" t="s">
        <v>9</v>
      </c>
      <c r="D12387">
        <v>2113</v>
      </c>
      <c r="E12387">
        <v>2020</v>
      </c>
      <c r="F12387">
        <v>1</v>
      </c>
      <c r="G12387">
        <v>12953</v>
      </c>
      <c r="H12387" s="1">
        <v>0</v>
      </c>
      <c r="I12387">
        <v>9</v>
      </c>
      <c r="J12387">
        <f>IF($H12387=0,1,IF($I12387&lt;=1,2,0))</f>
        <v>1</v>
      </c>
      <c r="K12387">
        <v>0</v>
      </c>
      <c r="L12387">
        <f>IF(AND($J12387=0,$K12387=0),0,1)</f>
        <v>1</v>
      </c>
      <c r="M12387" t="s">
        <v>1067</v>
      </c>
    </row>
    <row r="12388" spans="1:13" x14ac:dyDescent="0.2">
      <c r="A12388" t="s">
        <v>431</v>
      </c>
      <c r="B12388" t="s">
        <v>6</v>
      </c>
      <c r="C12388" t="s">
        <v>9</v>
      </c>
      <c r="D12388">
        <v>2113</v>
      </c>
      <c r="E12388">
        <v>2020</v>
      </c>
      <c r="F12388">
        <v>2</v>
      </c>
      <c r="G12388">
        <v>24813</v>
      </c>
      <c r="H12388" s="1">
        <v>0</v>
      </c>
      <c r="I12388">
        <v>4</v>
      </c>
      <c r="J12388">
        <f>IF($H12388=0,1,IF($I12388&lt;=1,2,0))</f>
        <v>1</v>
      </c>
      <c r="K12388">
        <v>0</v>
      </c>
      <c r="L12388">
        <f>IF(AND($J12388=0,$K12388=0),0,1)</f>
        <v>1</v>
      </c>
    </row>
    <row r="12389" spans="1:13" x14ac:dyDescent="0.2">
      <c r="A12389" t="s">
        <v>431</v>
      </c>
      <c r="B12389" t="s">
        <v>6</v>
      </c>
      <c r="C12389" t="s">
        <v>9</v>
      </c>
      <c r="D12389">
        <v>2214</v>
      </c>
      <c r="E12389">
        <v>2020</v>
      </c>
      <c r="F12389">
        <v>1</v>
      </c>
      <c r="G12389">
        <v>13921</v>
      </c>
      <c r="H12389" s="1">
        <v>0</v>
      </c>
      <c r="I12389">
        <v>22</v>
      </c>
      <c r="J12389">
        <f>IF($H12389=0,1,IF($I12389&lt;=1,2,0))</f>
        <v>1</v>
      </c>
      <c r="K12389">
        <v>0</v>
      </c>
      <c r="L12389">
        <f>IF(AND($J12389=0,$K12389=0),0,1)</f>
        <v>1</v>
      </c>
      <c r="M12389" t="s">
        <v>1060</v>
      </c>
    </row>
    <row r="12390" spans="1:13" x14ac:dyDescent="0.2">
      <c r="A12390" t="s">
        <v>431</v>
      </c>
      <c r="B12390" t="s">
        <v>6</v>
      </c>
      <c r="C12390" t="s">
        <v>9</v>
      </c>
      <c r="D12390">
        <v>2214</v>
      </c>
      <c r="E12390">
        <v>2020</v>
      </c>
      <c r="F12390">
        <v>2</v>
      </c>
      <c r="G12390">
        <v>13926</v>
      </c>
      <c r="H12390" s="1">
        <v>0</v>
      </c>
      <c r="I12390">
        <v>0</v>
      </c>
      <c r="J12390">
        <f>IF($H12390=0,1,IF($I12390&lt;=1,2,0))</f>
        <v>1</v>
      </c>
      <c r="K12390">
        <v>0</v>
      </c>
      <c r="L12390">
        <f>IF(AND($J12390=0,$K12390=0),0,1)</f>
        <v>1</v>
      </c>
      <c r="M12390" t="s">
        <v>1060</v>
      </c>
    </row>
    <row r="12391" spans="1:13" x14ac:dyDescent="0.2">
      <c r="A12391" t="s">
        <v>431</v>
      </c>
      <c r="B12391" t="s">
        <v>6</v>
      </c>
      <c r="C12391" t="s">
        <v>2</v>
      </c>
      <c r="D12391">
        <v>2321</v>
      </c>
      <c r="E12391">
        <v>2020</v>
      </c>
      <c r="F12391">
        <v>1</v>
      </c>
      <c r="G12391">
        <v>42</v>
      </c>
      <c r="H12391" s="1">
        <v>3</v>
      </c>
      <c r="I12391">
        <v>61</v>
      </c>
      <c r="J12391">
        <f>IF($H12391=0,1,IF($I12391&lt;=1,2,0))</f>
        <v>0</v>
      </c>
      <c r="K12391">
        <v>7</v>
      </c>
      <c r="L12391">
        <f>IF(AND($J12391=0,$K12391=0),0,1)</f>
        <v>1</v>
      </c>
    </row>
    <row r="12392" spans="1:13" x14ac:dyDescent="0.2">
      <c r="A12392" t="s">
        <v>431</v>
      </c>
      <c r="B12392" t="s">
        <v>6</v>
      </c>
      <c r="C12392" t="s">
        <v>9</v>
      </c>
      <c r="D12392">
        <v>2361</v>
      </c>
      <c r="E12392">
        <v>2020</v>
      </c>
      <c r="F12392">
        <v>2</v>
      </c>
      <c r="G12392">
        <v>13538</v>
      </c>
      <c r="H12392" s="1">
        <v>0</v>
      </c>
      <c r="I12392">
        <v>12</v>
      </c>
      <c r="J12392">
        <f>IF($H12392=0,1,IF($I12392&lt;=1,2,0))</f>
        <v>1</v>
      </c>
      <c r="K12392">
        <v>0</v>
      </c>
      <c r="L12392">
        <f>IF(AND($J12392=0,$K12392=0),0,1)</f>
        <v>1</v>
      </c>
      <c r="M12392" t="s">
        <v>1060</v>
      </c>
    </row>
    <row r="12393" spans="1:13" x14ac:dyDescent="0.2">
      <c r="A12393" t="s">
        <v>431</v>
      </c>
      <c r="B12393" t="s">
        <v>6</v>
      </c>
      <c r="C12393" t="s">
        <v>9</v>
      </c>
      <c r="D12393">
        <v>2361</v>
      </c>
      <c r="E12393">
        <v>2020</v>
      </c>
      <c r="F12393">
        <v>1</v>
      </c>
      <c r="G12393">
        <v>12956</v>
      </c>
      <c r="H12393" s="1">
        <v>0</v>
      </c>
      <c r="I12393">
        <v>10</v>
      </c>
      <c r="J12393">
        <f>IF($H12393=0,1,IF($I12393&lt;=1,2,0))</f>
        <v>1</v>
      </c>
      <c r="K12393">
        <v>0</v>
      </c>
      <c r="L12393">
        <f>IF(AND($J12393=0,$K12393=0),0,1)</f>
        <v>1</v>
      </c>
    </row>
    <row r="12394" spans="1:13" x14ac:dyDescent="0.2">
      <c r="A12394" t="s">
        <v>431</v>
      </c>
      <c r="B12394" t="s">
        <v>6</v>
      </c>
      <c r="C12394" t="s">
        <v>9</v>
      </c>
      <c r="D12394">
        <v>2361</v>
      </c>
      <c r="E12394">
        <v>2020</v>
      </c>
      <c r="F12394">
        <v>3</v>
      </c>
      <c r="G12394">
        <v>13539</v>
      </c>
      <c r="H12394" s="1">
        <v>0</v>
      </c>
      <c r="I12394">
        <v>10</v>
      </c>
      <c r="J12394">
        <f>IF($H12394=0,1,IF($I12394&lt;=1,2,0))</f>
        <v>1</v>
      </c>
      <c r="K12394">
        <v>0</v>
      </c>
      <c r="L12394">
        <f>IF(AND($J12394=0,$K12394=0),0,1)</f>
        <v>1</v>
      </c>
      <c r="M12394" t="s">
        <v>1060</v>
      </c>
    </row>
    <row r="12395" spans="1:13" x14ac:dyDescent="0.2">
      <c r="A12395" t="s">
        <v>431</v>
      </c>
      <c r="B12395" t="s">
        <v>6</v>
      </c>
      <c r="C12395" t="s">
        <v>9</v>
      </c>
      <c r="D12395">
        <v>2361</v>
      </c>
      <c r="E12395">
        <v>2020</v>
      </c>
      <c r="F12395">
        <v>5</v>
      </c>
      <c r="G12395">
        <v>22410</v>
      </c>
      <c r="H12395" s="1">
        <v>0</v>
      </c>
      <c r="I12395">
        <v>10</v>
      </c>
      <c r="J12395">
        <f>IF($H12395=0,1,IF($I12395&lt;=1,2,0))</f>
        <v>1</v>
      </c>
      <c r="K12395">
        <v>0</v>
      </c>
      <c r="L12395">
        <f>IF(AND($J12395=0,$K12395=0),0,1)</f>
        <v>1</v>
      </c>
    </row>
    <row r="12396" spans="1:13" x14ac:dyDescent="0.2">
      <c r="A12396" t="s">
        <v>431</v>
      </c>
      <c r="B12396" t="s">
        <v>6</v>
      </c>
      <c r="C12396" t="s">
        <v>9</v>
      </c>
      <c r="D12396">
        <v>2361</v>
      </c>
      <c r="E12396">
        <v>2020</v>
      </c>
      <c r="F12396">
        <v>4</v>
      </c>
      <c r="G12396">
        <v>13540</v>
      </c>
      <c r="H12396" s="1">
        <v>0</v>
      </c>
      <c r="I12396">
        <v>7</v>
      </c>
      <c r="J12396">
        <f>IF($H12396=0,1,IF($I12396&lt;=1,2,0))</f>
        <v>1</v>
      </c>
      <c r="K12396">
        <v>0</v>
      </c>
      <c r="L12396">
        <f>IF(AND($J12396=0,$K12396=0),0,1)</f>
        <v>1</v>
      </c>
      <c r="M12396" t="s">
        <v>1060</v>
      </c>
    </row>
    <row r="12397" spans="1:13" x14ac:dyDescent="0.2">
      <c r="A12397" t="s">
        <v>431</v>
      </c>
      <c r="B12397" t="s">
        <v>6</v>
      </c>
      <c r="C12397" t="s">
        <v>9</v>
      </c>
      <c r="D12397">
        <v>2361</v>
      </c>
      <c r="E12397">
        <v>2020</v>
      </c>
      <c r="F12397">
        <v>6</v>
      </c>
      <c r="G12397">
        <v>22786</v>
      </c>
      <c r="H12397" s="1">
        <v>0</v>
      </c>
      <c r="I12397">
        <v>5</v>
      </c>
      <c r="J12397">
        <f>IF($H12397=0,1,IF($I12397&lt;=1,2,0))</f>
        <v>1</v>
      </c>
      <c r="K12397">
        <v>0</v>
      </c>
      <c r="L12397">
        <f>IF(AND($J12397=0,$K12397=0),0,1)</f>
        <v>1</v>
      </c>
      <c r="M12397" t="s">
        <v>1070</v>
      </c>
    </row>
    <row r="12398" spans="1:13" x14ac:dyDescent="0.2">
      <c r="A12398" t="s">
        <v>431</v>
      </c>
      <c r="B12398" t="s">
        <v>6</v>
      </c>
      <c r="C12398" t="s">
        <v>2</v>
      </c>
      <c r="D12398">
        <v>2401</v>
      </c>
      <c r="E12398">
        <v>2020</v>
      </c>
      <c r="F12398">
        <v>1</v>
      </c>
      <c r="G12398">
        <v>46</v>
      </c>
      <c r="H12398" s="1">
        <v>3</v>
      </c>
      <c r="I12398">
        <v>53</v>
      </c>
      <c r="J12398">
        <f>IF($H12398=0,1,IF($I12398&lt;=1,2,0))</f>
        <v>0</v>
      </c>
      <c r="K12398">
        <v>7</v>
      </c>
      <c r="L12398">
        <f>IF(AND($J12398=0,$K12398=0),0,1)</f>
        <v>1</v>
      </c>
    </row>
    <row r="12399" spans="1:13" x14ac:dyDescent="0.2">
      <c r="A12399" t="s">
        <v>431</v>
      </c>
      <c r="B12399" t="s">
        <v>6</v>
      </c>
      <c r="C12399" t="s">
        <v>2</v>
      </c>
      <c r="D12399">
        <v>2413</v>
      </c>
      <c r="E12399">
        <v>2020</v>
      </c>
      <c r="F12399">
        <v>1</v>
      </c>
      <c r="G12399">
        <v>35</v>
      </c>
      <c r="H12399" s="1">
        <v>3</v>
      </c>
      <c r="I12399">
        <v>52</v>
      </c>
      <c r="J12399">
        <f>IF($H12399=0,1,IF($I12399&lt;=1,2,0))</f>
        <v>0</v>
      </c>
      <c r="K12399">
        <v>7</v>
      </c>
      <c r="L12399">
        <f>IF(AND($J12399=0,$K12399=0),0,1)</f>
        <v>1</v>
      </c>
    </row>
    <row r="12400" spans="1:13" x14ac:dyDescent="0.2">
      <c r="A12400" t="s">
        <v>431</v>
      </c>
      <c r="B12400" t="s">
        <v>6</v>
      </c>
      <c r="C12400" t="s">
        <v>9</v>
      </c>
      <c r="D12400">
        <v>2439</v>
      </c>
      <c r="E12400">
        <v>2020</v>
      </c>
      <c r="F12400">
        <v>1</v>
      </c>
      <c r="G12400">
        <v>24776</v>
      </c>
      <c r="H12400" s="1">
        <v>0</v>
      </c>
      <c r="I12400">
        <v>10</v>
      </c>
      <c r="J12400">
        <f>IF($H12400=0,1,IF($I12400&lt;=1,2,0))</f>
        <v>1</v>
      </c>
      <c r="K12400">
        <v>0</v>
      </c>
      <c r="L12400">
        <f>IF(AND($J12400=0,$K12400=0),0,1)</f>
        <v>1</v>
      </c>
      <c r="M12400" t="s">
        <v>1072</v>
      </c>
    </row>
    <row r="12401" spans="1:13" x14ac:dyDescent="0.2">
      <c r="A12401" t="s">
        <v>431</v>
      </c>
      <c r="B12401" t="s">
        <v>6</v>
      </c>
      <c r="C12401" t="s">
        <v>9</v>
      </c>
      <c r="D12401">
        <v>2439</v>
      </c>
      <c r="E12401">
        <v>2020</v>
      </c>
      <c r="F12401">
        <v>2</v>
      </c>
      <c r="G12401">
        <v>24861</v>
      </c>
      <c r="H12401" s="1">
        <v>0</v>
      </c>
      <c r="I12401">
        <v>4</v>
      </c>
      <c r="J12401">
        <f>IF($H12401=0,1,IF($I12401&lt;=1,2,0))</f>
        <v>1</v>
      </c>
      <c r="K12401">
        <v>0</v>
      </c>
      <c r="L12401">
        <f>IF(AND($J12401=0,$K12401=0),0,1)</f>
        <v>1</v>
      </c>
    </row>
    <row r="12402" spans="1:13" x14ac:dyDescent="0.2">
      <c r="A12402" t="s">
        <v>431</v>
      </c>
      <c r="B12402" t="s">
        <v>6</v>
      </c>
      <c r="C12402" t="s">
        <v>2</v>
      </c>
      <c r="D12402">
        <v>2440</v>
      </c>
      <c r="E12402">
        <v>2020</v>
      </c>
      <c r="F12402">
        <v>1</v>
      </c>
      <c r="G12402">
        <v>39</v>
      </c>
      <c r="H12402" s="1">
        <v>3</v>
      </c>
      <c r="I12402">
        <v>29</v>
      </c>
      <c r="J12402">
        <f>IF($H12402=0,1,IF($I12402&lt;=1,2,0))</f>
        <v>0</v>
      </c>
      <c r="K12402">
        <v>7</v>
      </c>
      <c r="L12402">
        <f>IF(AND($J12402=0,$K12402=0),0,1)</f>
        <v>1</v>
      </c>
    </row>
    <row r="12403" spans="1:13" x14ac:dyDescent="0.2">
      <c r="A12403" t="s">
        <v>431</v>
      </c>
      <c r="B12403" t="s">
        <v>6</v>
      </c>
      <c r="C12403" t="s">
        <v>9</v>
      </c>
      <c r="D12403">
        <v>2479</v>
      </c>
      <c r="E12403">
        <v>2020</v>
      </c>
      <c r="F12403">
        <v>1</v>
      </c>
      <c r="G12403">
        <v>12950</v>
      </c>
      <c r="H12403" s="1">
        <v>0</v>
      </c>
      <c r="I12403">
        <v>15</v>
      </c>
      <c r="J12403">
        <f>IF($H12403=0,1,IF($I12403&lt;=1,2,0))</f>
        <v>1</v>
      </c>
      <c r="K12403">
        <v>0</v>
      </c>
      <c r="L12403">
        <f>IF(AND($J12403=0,$K12403=0),0,1)</f>
        <v>1</v>
      </c>
    </row>
    <row r="12404" spans="1:13" x14ac:dyDescent="0.2">
      <c r="A12404" t="s">
        <v>431</v>
      </c>
      <c r="B12404" t="s">
        <v>6</v>
      </c>
      <c r="C12404" t="s">
        <v>9</v>
      </c>
      <c r="D12404">
        <v>2479</v>
      </c>
      <c r="E12404">
        <v>2020</v>
      </c>
      <c r="F12404">
        <v>2</v>
      </c>
      <c r="G12404">
        <v>14258</v>
      </c>
      <c r="H12404" s="1">
        <v>0</v>
      </c>
      <c r="I12404">
        <v>15</v>
      </c>
      <c r="J12404">
        <f>IF($H12404=0,1,IF($I12404&lt;=1,2,0))</f>
        <v>1</v>
      </c>
      <c r="K12404">
        <v>0</v>
      </c>
      <c r="L12404">
        <f>IF(AND($J12404=0,$K12404=0),0,1)</f>
        <v>1</v>
      </c>
      <c r="M12404" t="s">
        <v>1060</v>
      </c>
    </row>
    <row r="12405" spans="1:13" x14ac:dyDescent="0.2">
      <c r="A12405" t="s">
        <v>431</v>
      </c>
      <c r="B12405" t="s">
        <v>6</v>
      </c>
      <c r="C12405" t="s">
        <v>9</v>
      </c>
      <c r="D12405">
        <v>2479</v>
      </c>
      <c r="E12405">
        <v>2020</v>
      </c>
      <c r="F12405">
        <v>5</v>
      </c>
      <c r="G12405">
        <v>14425</v>
      </c>
      <c r="H12405" s="1">
        <v>0</v>
      </c>
      <c r="I12405">
        <v>14</v>
      </c>
      <c r="J12405">
        <f>IF($H12405=0,1,IF($I12405&lt;=1,2,0))</f>
        <v>1</v>
      </c>
      <c r="K12405">
        <v>0</v>
      </c>
      <c r="L12405">
        <f>IF(AND($J12405=0,$K12405=0),0,1)</f>
        <v>1</v>
      </c>
      <c r="M12405" t="s">
        <v>1060</v>
      </c>
    </row>
    <row r="12406" spans="1:13" x14ac:dyDescent="0.2">
      <c r="A12406" t="s">
        <v>431</v>
      </c>
      <c r="B12406" t="s">
        <v>6</v>
      </c>
      <c r="C12406" t="s">
        <v>9</v>
      </c>
      <c r="D12406">
        <v>2479</v>
      </c>
      <c r="E12406">
        <v>2020</v>
      </c>
      <c r="F12406">
        <v>3</v>
      </c>
      <c r="G12406">
        <v>14259</v>
      </c>
      <c r="H12406" s="1">
        <v>0</v>
      </c>
      <c r="I12406">
        <v>13</v>
      </c>
      <c r="J12406">
        <f>IF($H12406=0,1,IF($I12406&lt;=1,2,0))</f>
        <v>1</v>
      </c>
      <c r="K12406">
        <v>0</v>
      </c>
      <c r="L12406">
        <f>IF(AND($J12406=0,$K12406=0),0,1)</f>
        <v>1</v>
      </c>
      <c r="M12406" t="s">
        <v>1060</v>
      </c>
    </row>
    <row r="12407" spans="1:13" x14ac:dyDescent="0.2">
      <c r="A12407" t="s">
        <v>431</v>
      </c>
      <c r="B12407" t="s">
        <v>6</v>
      </c>
      <c r="C12407" t="s">
        <v>9</v>
      </c>
      <c r="D12407">
        <v>2479</v>
      </c>
      <c r="E12407">
        <v>2020</v>
      </c>
      <c r="F12407">
        <v>6</v>
      </c>
      <c r="G12407">
        <v>14426</v>
      </c>
      <c r="H12407" s="1">
        <v>0</v>
      </c>
      <c r="I12407">
        <v>12</v>
      </c>
      <c r="J12407">
        <f>IF($H12407=0,1,IF($I12407&lt;=1,2,0))</f>
        <v>1</v>
      </c>
      <c r="K12407">
        <v>0</v>
      </c>
      <c r="L12407">
        <f>IF(AND($J12407=0,$K12407=0),0,1)</f>
        <v>1</v>
      </c>
      <c r="M12407" t="s">
        <v>1060</v>
      </c>
    </row>
    <row r="12408" spans="1:13" x14ac:dyDescent="0.2">
      <c r="A12408" t="s">
        <v>431</v>
      </c>
      <c r="B12408" t="s">
        <v>6</v>
      </c>
      <c r="C12408" t="s">
        <v>9</v>
      </c>
      <c r="D12408">
        <v>2479</v>
      </c>
      <c r="E12408">
        <v>2020</v>
      </c>
      <c r="F12408">
        <v>4</v>
      </c>
      <c r="G12408">
        <v>14260</v>
      </c>
      <c r="H12408" s="1">
        <v>0</v>
      </c>
      <c r="I12408">
        <v>11</v>
      </c>
      <c r="J12408">
        <f>IF($H12408=0,1,IF($I12408&lt;=1,2,0))</f>
        <v>1</v>
      </c>
      <c r="K12408">
        <v>0</v>
      </c>
      <c r="L12408">
        <f>IF(AND($J12408=0,$K12408=0),0,1)</f>
        <v>1</v>
      </c>
      <c r="M12408" t="s">
        <v>1060</v>
      </c>
    </row>
    <row r="12409" spans="1:13" x14ac:dyDescent="0.2">
      <c r="A12409" t="s">
        <v>431</v>
      </c>
      <c r="B12409" t="s">
        <v>6</v>
      </c>
      <c r="C12409" t="s">
        <v>9</v>
      </c>
      <c r="D12409">
        <v>2479</v>
      </c>
      <c r="E12409">
        <v>2020</v>
      </c>
      <c r="F12409">
        <v>7</v>
      </c>
      <c r="G12409">
        <v>24876</v>
      </c>
      <c r="H12409" s="1">
        <v>0</v>
      </c>
      <c r="I12409">
        <v>9</v>
      </c>
      <c r="J12409">
        <f>IF($H12409=0,1,IF($I12409&lt;=1,2,0))</f>
        <v>1</v>
      </c>
      <c r="K12409">
        <v>0</v>
      </c>
      <c r="L12409">
        <f>IF(AND($J12409=0,$K12409=0),0,1)</f>
        <v>1</v>
      </c>
    </row>
    <row r="12410" spans="1:13" x14ac:dyDescent="0.2">
      <c r="A12410" t="s">
        <v>431</v>
      </c>
      <c r="B12410" t="s">
        <v>6</v>
      </c>
      <c r="C12410" t="s">
        <v>9</v>
      </c>
      <c r="D12410">
        <v>2479</v>
      </c>
      <c r="E12410">
        <v>2020</v>
      </c>
      <c r="F12410">
        <v>8</v>
      </c>
      <c r="G12410">
        <v>24877</v>
      </c>
      <c r="H12410" s="1">
        <v>0</v>
      </c>
      <c r="I12410">
        <v>6</v>
      </c>
      <c r="J12410">
        <f>IF($H12410=0,1,IF($I12410&lt;=1,2,0))</f>
        <v>1</v>
      </c>
      <c r="K12410">
        <v>0</v>
      </c>
      <c r="L12410">
        <f>IF(AND($J12410=0,$K12410=0),0,1)</f>
        <v>1</v>
      </c>
    </row>
    <row r="12411" spans="1:13" x14ac:dyDescent="0.2">
      <c r="A12411" t="s">
        <v>431</v>
      </c>
      <c r="B12411" t="s">
        <v>6</v>
      </c>
      <c r="C12411" t="s">
        <v>9</v>
      </c>
      <c r="D12411">
        <v>2524</v>
      </c>
      <c r="E12411">
        <v>2020</v>
      </c>
      <c r="F12411">
        <v>1</v>
      </c>
      <c r="G12411">
        <v>24845</v>
      </c>
      <c r="H12411" s="1">
        <v>0</v>
      </c>
      <c r="I12411">
        <v>55</v>
      </c>
      <c r="J12411">
        <f>IF($H12411=0,1,IF($I12411&lt;=1,2,0))</f>
        <v>1</v>
      </c>
      <c r="K12411">
        <v>0</v>
      </c>
      <c r="L12411">
        <f>IF(AND($J12411=0,$K12411=0),0,1)</f>
        <v>1</v>
      </c>
    </row>
    <row r="12412" spans="1:13" x14ac:dyDescent="0.2">
      <c r="A12412" t="s">
        <v>431</v>
      </c>
      <c r="B12412" t="s">
        <v>6</v>
      </c>
      <c r="C12412" t="s">
        <v>9</v>
      </c>
      <c r="D12412">
        <v>2534</v>
      </c>
      <c r="E12412">
        <v>2020</v>
      </c>
      <c r="F12412">
        <v>1</v>
      </c>
      <c r="G12412">
        <v>12949</v>
      </c>
      <c r="H12412" s="1">
        <v>0</v>
      </c>
      <c r="I12412">
        <v>32</v>
      </c>
      <c r="J12412">
        <f>IF($H12412=0,1,IF($I12412&lt;=1,2,0))</f>
        <v>1</v>
      </c>
      <c r="K12412">
        <v>0</v>
      </c>
      <c r="L12412">
        <f>IF(AND($J12412=0,$K12412=0),0,1)</f>
        <v>1</v>
      </c>
      <c r="M12412" t="s">
        <v>1060</v>
      </c>
    </row>
    <row r="12413" spans="1:13" x14ac:dyDescent="0.2">
      <c r="A12413" t="s">
        <v>431</v>
      </c>
      <c r="B12413" t="s">
        <v>6</v>
      </c>
      <c r="C12413" t="s">
        <v>9</v>
      </c>
      <c r="D12413">
        <v>2534</v>
      </c>
      <c r="E12413">
        <v>2020</v>
      </c>
      <c r="F12413">
        <v>2</v>
      </c>
      <c r="G12413">
        <v>13498</v>
      </c>
      <c r="H12413" s="1">
        <v>0</v>
      </c>
      <c r="I12413">
        <v>14</v>
      </c>
      <c r="J12413">
        <f>IF($H12413=0,1,IF($I12413&lt;=1,2,0))</f>
        <v>1</v>
      </c>
      <c r="K12413">
        <v>0</v>
      </c>
      <c r="L12413">
        <f>IF(AND($J12413=0,$K12413=0),0,1)</f>
        <v>1</v>
      </c>
      <c r="M12413" t="s">
        <v>1060</v>
      </c>
    </row>
    <row r="12414" spans="1:13" x14ac:dyDescent="0.2">
      <c r="A12414" t="s">
        <v>431</v>
      </c>
      <c r="B12414" t="s">
        <v>6</v>
      </c>
      <c r="C12414" t="s">
        <v>9</v>
      </c>
      <c r="D12414">
        <v>2534</v>
      </c>
      <c r="E12414">
        <v>2020</v>
      </c>
      <c r="F12414">
        <v>3</v>
      </c>
      <c r="G12414">
        <v>13499</v>
      </c>
      <c r="H12414" s="1">
        <v>0</v>
      </c>
      <c r="I12414">
        <v>8</v>
      </c>
      <c r="J12414">
        <f>IF($H12414=0,1,IF($I12414&lt;=1,2,0))</f>
        <v>1</v>
      </c>
      <c r="K12414">
        <v>0</v>
      </c>
      <c r="L12414">
        <f>IF(AND($J12414=0,$K12414=0),0,1)</f>
        <v>1</v>
      </c>
      <c r="M12414" t="s">
        <v>1060</v>
      </c>
    </row>
    <row r="12415" spans="1:13" x14ac:dyDescent="0.2">
      <c r="A12415" t="s">
        <v>431</v>
      </c>
      <c r="B12415" t="s">
        <v>6</v>
      </c>
      <c r="C12415" t="s">
        <v>9</v>
      </c>
      <c r="D12415">
        <v>2534</v>
      </c>
      <c r="E12415">
        <v>2020</v>
      </c>
      <c r="F12415">
        <v>4</v>
      </c>
      <c r="G12415">
        <v>13500</v>
      </c>
      <c r="H12415" s="1">
        <v>0</v>
      </c>
      <c r="I12415">
        <v>8</v>
      </c>
      <c r="J12415">
        <f>IF($H12415=0,1,IF($I12415&lt;=1,2,0))</f>
        <v>1</v>
      </c>
      <c r="K12415">
        <v>0</v>
      </c>
      <c r="L12415">
        <f>IF(AND($J12415=0,$K12415=0),0,1)</f>
        <v>1</v>
      </c>
      <c r="M12415" t="s">
        <v>1060</v>
      </c>
    </row>
    <row r="12416" spans="1:13" x14ac:dyDescent="0.2">
      <c r="A12416" t="s">
        <v>431</v>
      </c>
      <c r="B12416" t="s">
        <v>6</v>
      </c>
      <c r="C12416" t="s">
        <v>9</v>
      </c>
      <c r="D12416">
        <v>2612</v>
      </c>
      <c r="E12416">
        <v>2020</v>
      </c>
      <c r="F12416">
        <v>1</v>
      </c>
      <c r="G12416">
        <v>12952</v>
      </c>
      <c r="H12416" s="1">
        <v>0</v>
      </c>
      <c r="I12416">
        <v>9</v>
      </c>
      <c r="J12416">
        <f>IF($H12416=0,1,IF($I12416&lt;=1,2,0))</f>
        <v>1</v>
      </c>
      <c r="K12416">
        <v>0</v>
      </c>
      <c r="L12416">
        <f>IF(AND($J12416=0,$K12416=0),0,1)</f>
        <v>1</v>
      </c>
      <c r="M12416" t="s">
        <v>1060</v>
      </c>
    </row>
    <row r="12417" spans="1:13" x14ac:dyDescent="0.2">
      <c r="A12417" t="s">
        <v>431</v>
      </c>
      <c r="B12417" t="s">
        <v>6</v>
      </c>
      <c r="C12417" t="s">
        <v>2</v>
      </c>
      <c r="D12417">
        <v>2664</v>
      </c>
      <c r="E12417">
        <v>2020</v>
      </c>
      <c r="F12417">
        <v>1</v>
      </c>
      <c r="G12417">
        <v>38</v>
      </c>
      <c r="H12417" s="1">
        <v>3</v>
      </c>
      <c r="I12417">
        <v>32</v>
      </c>
      <c r="J12417">
        <f>IF($H12417=0,1,IF($I12417&lt;=1,2,0))</f>
        <v>0</v>
      </c>
      <c r="K12417">
        <v>7</v>
      </c>
      <c r="L12417">
        <f>IF(AND($J12417=0,$K12417=0),0,1)</f>
        <v>1</v>
      </c>
    </row>
    <row r="12418" spans="1:13" x14ac:dyDescent="0.2">
      <c r="A12418" t="s">
        <v>431</v>
      </c>
      <c r="B12418" t="s">
        <v>6</v>
      </c>
      <c r="C12418" t="s">
        <v>9</v>
      </c>
      <c r="D12418">
        <v>2690</v>
      </c>
      <c r="E12418">
        <v>2020</v>
      </c>
      <c r="F12418">
        <v>1</v>
      </c>
      <c r="G12418">
        <v>21934</v>
      </c>
      <c r="H12418" s="1">
        <v>0</v>
      </c>
      <c r="I12418">
        <v>12</v>
      </c>
      <c r="J12418">
        <f>IF($H12418=0,1,IF($I12418&lt;=1,2,0))</f>
        <v>1</v>
      </c>
      <c r="K12418">
        <v>0</v>
      </c>
      <c r="L12418">
        <f>IF(AND($J12418=0,$K12418=0),0,1)</f>
        <v>1</v>
      </c>
      <c r="M12418" t="s">
        <v>1078</v>
      </c>
    </row>
    <row r="12419" spans="1:13" x14ac:dyDescent="0.2">
      <c r="A12419" t="s">
        <v>431</v>
      </c>
      <c r="B12419" t="s">
        <v>6</v>
      </c>
      <c r="C12419" t="s">
        <v>9</v>
      </c>
      <c r="D12419">
        <v>2690</v>
      </c>
      <c r="E12419">
        <v>2020</v>
      </c>
      <c r="F12419">
        <v>3</v>
      </c>
      <c r="G12419">
        <v>23073</v>
      </c>
      <c r="H12419" s="1">
        <v>0</v>
      </c>
      <c r="I12419">
        <v>9</v>
      </c>
      <c r="J12419">
        <f>IF($H12419=0,1,IF($I12419&lt;=1,2,0))</f>
        <v>1</v>
      </c>
      <c r="K12419">
        <v>0</v>
      </c>
      <c r="L12419">
        <f>IF(AND($J12419=0,$K12419=0),0,1)</f>
        <v>1</v>
      </c>
      <c r="M12419" t="s">
        <v>1080</v>
      </c>
    </row>
    <row r="12420" spans="1:13" x14ac:dyDescent="0.2">
      <c r="A12420" t="s">
        <v>431</v>
      </c>
      <c r="B12420" t="s">
        <v>6</v>
      </c>
      <c r="C12420" t="s">
        <v>9</v>
      </c>
      <c r="D12420">
        <v>2690</v>
      </c>
      <c r="E12420">
        <v>2020</v>
      </c>
      <c r="F12420">
        <v>4</v>
      </c>
      <c r="G12420">
        <v>23074</v>
      </c>
      <c r="H12420" s="1">
        <v>0</v>
      </c>
      <c r="I12420">
        <v>9</v>
      </c>
      <c r="J12420">
        <f>IF($H12420=0,1,IF($I12420&lt;=1,2,0))</f>
        <v>1</v>
      </c>
      <c r="K12420">
        <v>0</v>
      </c>
      <c r="L12420">
        <f>IF(AND($J12420=0,$K12420=0),0,1)</f>
        <v>1</v>
      </c>
      <c r="M12420" t="s">
        <v>1081</v>
      </c>
    </row>
    <row r="12421" spans="1:13" x14ac:dyDescent="0.2">
      <c r="A12421" t="s">
        <v>431</v>
      </c>
      <c r="B12421" t="s">
        <v>6</v>
      </c>
      <c r="C12421" t="s">
        <v>9</v>
      </c>
      <c r="D12421">
        <v>2690</v>
      </c>
      <c r="E12421">
        <v>2020</v>
      </c>
      <c r="F12421">
        <v>2</v>
      </c>
      <c r="G12421">
        <v>21935</v>
      </c>
      <c r="H12421" s="1">
        <v>0</v>
      </c>
      <c r="I12421">
        <v>8</v>
      </c>
      <c r="J12421">
        <f>IF($H12421=0,1,IF($I12421&lt;=1,2,0))</f>
        <v>1</v>
      </c>
      <c r="K12421">
        <v>0</v>
      </c>
      <c r="L12421">
        <f>IF(AND($J12421=0,$K12421=0),0,1)</f>
        <v>1</v>
      </c>
      <c r="M12421" t="s">
        <v>1079</v>
      </c>
    </row>
    <row r="12422" spans="1:13" x14ac:dyDescent="0.2">
      <c r="A12422" t="s">
        <v>431</v>
      </c>
      <c r="B12422" t="s">
        <v>6</v>
      </c>
      <c r="C12422" t="s">
        <v>9</v>
      </c>
      <c r="D12422">
        <v>2720</v>
      </c>
      <c r="E12422">
        <v>2020</v>
      </c>
      <c r="F12422">
        <v>6</v>
      </c>
      <c r="G12422">
        <v>13509</v>
      </c>
      <c r="H12422" s="1">
        <v>0</v>
      </c>
      <c r="I12422">
        <v>15</v>
      </c>
      <c r="J12422">
        <f>IF($H12422=0,1,IF($I12422&lt;=1,2,0))</f>
        <v>1</v>
      </c>
      <c r="K12422">
        <v>0</v>
      </c>
      <c r="L12422">
        <f>IF(AND($J12422=0,$K12422=0),0,1)</f>
        <v>1</v>
      </c>
    </row>
    <row r="12423" spans="1:13" x14ac:dyDescent="0.2">
      <c r="A12423" t="s">
        <v>431</v>
      </c>
      <c r="B12423" t="s">
        <v>6</v>
      </c>
      <c r="C12423" t="s">
        <v>9</v>
      </c>
      <c r="D12423">
        <v>2720</v>
      </c>
      <c r="E12423">
        <v>2020</v>
      </c>
      <c r="F12423">
        <v>3</v>
      </c>
      <c r="G12423">
        <v>13505</v>
      </c>
      <c r="H12423" s="1">
        <v>0</v>
      </c>
      <c r="I12423">
        <v>14</v>
      </c>
      <c r="J12423">
        <f>IF($H12423=0,1,IF($I12423&lt;=1,2,0))</f>
        <v>1</v>
      </c>
      <c r="K12423">
        <v>0</v>
      </c>
      <c r="L12423">
        <f>IF(AND($J12423=0,$K12423=0),0,1)</f>
        <v>1</v>
      </c>
      <c r="M12423" t="s">
        <v>1060</v>
      </c>
    </row>
    <row r="12424" spans="1:13" x14ac:dyDescent="0.2">
      <c r="A12424" t="s">
        <v>431</v>
      </c>
      <c r="B12424" t="s">
        <v>6</v>
      </c>
      <c r="C12424" t="s">
        <v>9</v>
      </c>
      <c r="D12424">
        <v>2720</v>
      </c>
      <c r="E12424">
        <v>2020</v>
      </c>
      <c r="F12424">
        <v>9</v>
      </c>
      <c r="G12424">
        <v>22776</v>
      </c>
      <c r="H12424" s="1">
        <v>0</v>
      </c>
      <c r="I12424">
        <v>14</v>
      </c>
      <c r="J12424">
        <f>IF($H12424=0,1,IF($I12424&lt;=1,2,0))</f>
        <v>1</v>
      </c>
      <c r="K12424">
        <v>0</v>
      </c>
      <c r="L12424">
        <f>IF(AND($J12424=0,$K12424=0),0,1)</f>
        <v>1</v>
      </c>
    </row>
    <row r="12425" spans="1:13" x14ac:dyDescent="0.2">
      <c r="A12425" t="s">
        <v>431</v>
      </c>
      <c r="B12425" t="s">
        <v>6</v>
      </c>
      <c r="C12425" t="s">
        <v>9</v>
      </c>
      <c r="D12425">
        <v>2720</v>
      </c>
      <c r="E12425">
        <v>2020</v>
      </c>
      <c r="F12425">
        <v>11</v>
      </c>
      <c r="G12425">
        <v>22778</v>
      </c>
      <c r="H12425" s="1">
        <v>0</v>
      </c>
      <c r="I12425">
        <v>14</v>
      </c>
      <c r="J12425">
        <f>IF($H12425=0,1,IF($I12425&lt;=1,2,0))</f>
        <v>1</v>
      </c>
      <c r="K12425">
        <v>0</v>
      </c>
      <c r="L12425">
        <f>IF(AND($J12425=0,$K12425=0),0,1)</f>
        <v>1</v>
      </c>
    </row>
    <row r="12426" spans="1:13" x14ac:dyDescent="0.2">
      <c r="A12426" t="s">
        <v>431</v>
      </c>
      <c r="B12426" t="s">
        <v>6</v>
      </c>
      <c r="C12426" t="s">
        <v>9</v>
      </c>
      <c r="D12426">
        <v>2720</v>
      </c>
      <c r="E12426">
        <v>2020</v>
      </c>
      <c r="F12426">
        <v>4</v>
      </c>
      <c r="G12426">
        <v>13506</v>
      </c>
      <c r="H12426" s="1">
        <v>0</v>
      </c>
      <c r="I12426">
        <v>13</v>
      </c>
      <c r="J12426">
        <f>IF($H12426=0,1,IF($I12426&lt;=1,2,0))</f>
        <v>1</v>
      </c>
      <c r="K12426">
        <v>0</v>
      </c>
      <c r="L12426">
        <f>IF(AND($J12426=0,$K12426=0),0,1)</f>
        <v>1</v>
      </c>
      <c r="M12426" t="s">
        <v>1060</v>
      </c>
    </row>
    <row r="12427" spans="1:13" x14ac:dyDescent="0.2">
      <c r="A12427" t="s">
        <v>431</v>
      </c>
      <c r="B12427" t="s">
        <v>6</v>
      </c>
      <c r="C12427" t="s">
        <v>9</v>
      </c>
      <c r="D12427">
        <v>2720</v>
      </c>
      <c r="E12427">
        <v>2020</v>
      </c>
      <c r="F12427">
        <v>8</v>
      </c>
      <c r="G12427">
        <v>13512</v>
      </c>
      <c r="H12427" s="1">
        <v>0</v>
      </c>
      <c r="I12427">
        <v>13</v>
      </c>
      <c r="J12427">
        <f>IF($H12427=0,1,IF($I12427&lt;=1,2,0))</f>
        <v>1</v>
      </c>
      <c r="K12427">
        <v>0</v>
      </c>
      <c r="L12427">
        <f>IF(AND($J12427=0,$K12427=0),0,1)</f>
        <v>1</v>
      </c>
    </row>
    <row r="12428" spans="1:13" x14ac:dyDescent="0.2">
      <c r="A12428" t="s">
        <v>431</v>
      </c>
      <c r="B12428" t="s">
        <v>6</v>
      </c>
      <c r="C12428" t="s">
        <v>9</v>
      </c>
      <c r="D12428">
        <v>2720</v>
      </c>
      <c r="E12428">
        <v>2020</v>
      </c>
      <c r="F12428">
        <v>13</v>
      </c>
      <c r="G12428">
        <v>22780</v>
      </c>
      <c r="H12428" s="1">
        <v>0</v>
      </c>
      <c r="I12428">
        <v>13</v>
      </c>
      <c r="J12428">
        <f>IF($H12428=0,1,IF($I12428&lt;=1,2,0))</f>
        <v>1</v>
      </c>
      <c r="K12428">
        <v>0</v>
      </c>
      <c r="L12428">
        <f>IF(AND($J12428=0,$K12428=0),0,1)</f>
        <v>1</v>
      </c>
    </row>
    <row r="12429" spans="1:13" x14ac:dyDescent="0.2">
      <c r="A12429" t="s">
        <v>431</v>
      </c>
      <c r="B12429" t="s">
        <v>6</v>
      </c>
      <c r="C12429" t="s">
        <v>9</v>
      </c>
      <c r="D12429">
        <v>2720</v>
      </c>
      <c r="E12429">
        <v>2020</v>
      </c>
      <c r="F12429">
        <v>18</v>
      </c>
      <c r="G12429">
        <v>22785</v>
      </c>
      <c r="H12429" s="1">
        <v>0</v>
      </c>
      <c r="I12429">
        <v>13</v>
      </c>
      <c r="J12429">
        <f>IF($H12429=0,1,IF($I12429&lt;=1,2,0))</f>
        <v>1</v>
      </c>
      <c r="K12429">
        <v>0</v>
      </c>
      <c r="L12429">
        <f>IF(AND($J12429=0,$K12429=0),0,1)</f>
        <v>1</v>
      </c>
    </row>
    <row r="12430" spans="1:13" x14ac:dyDescent="0.2">
      <c r="A12430" t="s">
        <v>431</v>
      </c>
      <c r="B12430" t="s">
        <v>6</v>
      </c>
      <c r="C12430" t="s">
        <v>9</v>
      </c>
      <c r="D12430">
        <v>2720</v>
      </c>
      <c r="E12430">
        <v>2020</v>
      </c>
      <c r="F12430">
        <v>1</v>
      </c>
      <c r="G12430">
        <v>12954</v>
      </c>
      <c r="H12430" s="1">
        <v>0</v>
      </c>
      <c r="I12430">
        <v>12</v>
      </c>
      <c r="J12430">
        <f>IF($H12430=0,1,IF($I12430&lt;=1,2,0))</f>
        <v>1</v>
      </c>
      <c r="K12430">
        <v>0</v>
      </c>
      <c r="L12430">
        <f>IF(AND($J12430=0,$K12430=0),0,1)</f>
        <v>1</v>
      </c>
      <c r="M12430" t="s">
        <v>1060</v>
      </c>
    </row>
    <row r="12431" spans="1:13" x14ac:dyDescent="0.2">
      <c r="A12431" t="s">
        <v>431</v>
      </c>
      <c r="B12431" t="s">
        <v>6</v>
      </c>
      <c r="C12431" t="s">
        <v>9</v>
      </c>
      <c r="D12431">
        <v>2720</v>
      </c>
      <c r="E12431">
        <v>2020</v>
      </c>
      <c r="F12431">
        <v>2</v>
      </c>
      <c r="G12431">
        <v>13503</v>
      </c>
      <c r="H12431" s="1">
        <v>0</v>
      </c>
      <c r="I12431">
        <v>12</v>
      </c>
      <c r="J12431">
        <f>IF($H12431=0,1,IF($I12431&lt;=1,2,0))</f>
        <v>1</v>
      </c>
      <c r="K12431">
        <v>0</v>
      </c>
      <c r="L12431">
        <f>IF(AND($J12431=0,$K12431=0),0,1)</f>
        <v>1</v>
      </c>
      <c r="M12431" t="s">
        <v>1060</v>
      </c>
    </row>
    <row r="12432" spans="1:13" x14ac:dyDescent="0.2">
      <c r="A12432" t="s">
        <v>431</v>
      </c>
      <c r="B12432" t="s">
        <v>6</v>
      </c>
      <c r="C12432" t="s">
        <v>9</v>
      </c>
      <c r="D12432">
        <v>2720</v>
      </c>
      <c r="E12432">
        <v>2020</v>
      </c>
      <c r="F12432">
        <v>7</v>
      </c>
      <c r="G12432">
        <v>13510</v>
      </c>
      <c r="H12432" s="1">
        <v>0</v>
      </c>
      <c r="I12432">
        <v>12</v>
      </c>
      <c r="J12432">
        <f>IF($H12432=0,1,IF($I12432&lt;=1,2,0))</f>
        <v>1</v>
      </c>
      <c r="K12432">
        <v>0</v>
      </c>
      <c r="L12432">
        <f>IF(AND($J12432=0,$K12432=0),0,1)</f>
        <v>1</v>
      </c>
    </row>
    <row r="12433" spans="1:13" x14ac:dyDescent="0.2">
      <c r="A12433" t="s">
        <v>431</v>
      </c>
      <c r="B12433" t="s">
        <v>6</v>
      </c>
      <c r="C12433" t="s">
        <v>9</v>
      </c>
      <c r="D12433">
        <v>2720</v>
      </c>
      <c r="E12433">
        <v>2020</v>
      </c>
      <c r="F12433">
        <v>10</v>
      </c>
      <c r="G12433">
        <v>22777</v>
      </c>
      <c r="H12433" s="1">
        <v>0</v>
      </c>
      <c r="I12433">
        <v>12</v>
      </c>
      <c r="J12433">
        <f>IF($H12433=0,1,IF($I12433&lt;=1,2,0))</f>
        <v>1</v>
      </c>
      <c r="K12433">
        <v>0</v>
      </c>
      <c r="L12433">
        <f>IF(AND($J12433=0,$K12433=0),0,1)</f>
        <v>1</v>
      </c>
    </row>
    <row r="12434" spans="1:13" x14ac:dyDescent="0.2">
      <c r="A12434" t="s">
        <v>431</v>
      </c>
      <c r="B12434" t="s">
        <v>6</v>
      </c>
      <c r="C12434" t="s">
        <v>9</v>
      </c>
      <c r="D12434">
        <v>2720</v>
      </c>
      <c r="E12434">
        <v>2020</v>
      </c>
      <c r="F12434">
        <v>14</v>
      </c>
      <c r="G12434">
        <v>22781</v>
      </c>
      <c r="H12434" s="1">
        <v>0</v>
      </c>
      <c r="I12434">
        <v>12</v>
      </c>
      <c r="J12434">
        <f>IF($H12434=0,1,IF($I12434&lt;=1,2,0))</f>
        <v>1</v>
      </c>
      <c r="K12434">
        <v>0</v>
      </c>
      <c r="L12434">
        <f>IF(AND($J12434=0,$K12434=0),0,1)</f>
        <v>1</v>
      </c>
    </row>
    <row r="12435" spans="1:13" x14ac:dyDescent="0.2">
      <c r="A12435" t="s">
        <v>431</v>
      </c>
      <c r="B12435" t="s">
        <v>6</v>
      </c>
      <c r="C12435" t="s">
        <v>9</v>
      </c>
      <c r="D12435">
        <v>2720</v>
      </c>
      <c r="E12435">
        <v>2020</v>
      </c>
      <c r="F12435">
        <v>15</v>
      </c>
      <c r="G12435">
        <v>22782</v>
      </c>
      <c r="H12435" s="1">
        <v>0</v>
      </c>
      <c r="I12435">
        <v>12</v>
      </c>
      <c r="J12435">
        <f>IF($H12435=0,1,IF($I12435&lt;=1,2,0))</f>
        <v>1</v>
      </c>
      <c r="K12435">
        <v>0</v>
      </c>
      <c r="L12435">
        <f>IF(AND($J12435=0,$K12435=0),0,1)</f>
        <v>1</v>
      </c>
      <c r="M12435" t="s">
        <v>1083</v>
      </c>
    </row>
    <row r="12436" spans="1:13" x14ac:dyDescent="0.2">
      <c r="A12436" t="s">
        <v>431</v>
      </c>
      <c r="B12436" t="s">
        <v>6</v>
      </c>
      <c r="C12436" t="s">
        <v>9</v>
      </c>
      <c r="D12436">
        <v>2720</v>
      </c>
      <c r="E12436">
        <v>2020</v>
      </c>
      <c r="F12436">
        <v>23</v>
      </c>
      <c r="G12436">
        <v>23069</v>
      </c>
      <c r="H12436" s="1">
        <v>0</v>
      </c>
      <c r="I12436">
        <v>12</v>
      </c>
      <c r="J12436">
        <f>IF($H12436=0,1,IF($I12436&lt;=1,2,0))</f>
        <v>1</v>
      </c>
      <c r="K12436">
        <v>0</v>
      </c>
      <c r="L12436">
        <f>IF(AND($J12436=0,$K12436=0),0,1)</f>
        <v>1</v>
      </c>
      <c r="M12436" t="s">
        <v>1089</v>
      </c>
    </row>
    <row r="12437" spans="1:13" x14ac:dyDescent="0.2">
      <c r="A12437" t="s">
        <v>431</v>
      </c>
      <c r="B12437" t="s">
        <v>6</v>
      </c>
      <c r="C12437" t="s">
        <v>9</v>
      </c>
      <c r="D12437">
        <v>2720</v>
      </c>
      <c r="E12437">
        <v>2020</v>
      </c>
      <c r="F12437">
        <v>5</v>
      </c>
      <c r="G12437">
        <v>13508</v>
      </c>
      <c r="H12437" s="1">
        <v>0</v>
      </c>
      <c r="I12437">
        <v>11</v>
      </c>
      <c r="J12437">
        <f>IF($H12437=0,1,IF($I12437&lt;=1,2,0))</f>
        <v>1</v>
      </c>
      <c r="K12437">
        <v>0</v>
      </c>
      <c r="L12437">
        <f>IF(AND($J12437=0,$K12437=0),0,1)</f>
        <v>1</v>
      </c>
    </row>
    <row r="12438" spans="1:13" x14ac:dyDescent="0.2">
      <c r="A12438" t="s">
        <v>431</v>
      </c>
      <c r="B12438" t="s">
        <v>6</v>
      </c>
      <c r="C12438" t="s">
        <v>9</v>
      </c>
      <c r="D12438">
        <v>2720</v>
      </c>
      <c r="E12438">
        <v>2020</v>
      </c>
      <c r="F12438">
        <v>12</v>
      </c>
      <c r="G12438">
        <v>22779</v>
      </c>
      <c r="H12438" s="1">
        <v>0</v>
      </c>
      <c r="I12438">
        <v>10</v>
      </c>
      <c r="J12438">
        <f>IF($H12438=0,1,IF($I12438&lt;=1,2,0))</f>
        <v>1</v>
      </c>
      <c r="K12438">
        <v>0</v>
      </c>
      <c r="L12438">
        <f>IF(AND($J12438=0,$K12438=0),0,1)</f>
        <v>1</v>
      </c>
    </row>
    <row r="12439" spans="1:13" x14ac:dyDescent="0.2">
      <c r="A12439" t="s">
        <v>431</v>
      </c>
      <c r="B12439" t="s">
        <v>6</v>
      </c>
      <c r="C12439" t="s">
        <v>9</v>
      </c>
      <c r="D12439">
        <v>2720</v>
      </c>
      <c r="E12439">
        <v>2020</v>
      </c>
      <c r="F12439">
        <v>17</v>
      </c>
      <c r="G12439">
        <v>22784</v>
      </c>
      <c r="H12439" s="1">
        <v>0</v>
      </c>
      <c r="I12439">
        <v>10</v>
      </c>
      <c r="J12439">
        <f>IF($H12439=0,1,IF($I12439&lt;=1,2,0))</f>
        <v>1</v>
      </c>
      <c r="K12439">
        <v>0</v>
      </c>
      <c r="L12439">
        <f>IF(AND($J12439=0,$K12439=0),0,1)</f>
        <v>1</v>
      </c>
    </row>
    <row r="12440" spans="1:13" x14ac:dyDescent="0.2">
      <c r="A12440" t="s">
        <v>431</v>
      </c>
      <c r="B12440" t="s">
        <v>6</v>
      </c>
      <c r="C12440" t="s">
        <v>9</v>
      </c>
      <c r="D12440">
        <v>2720</v>
      </c>
      <c r="E12440">
        <v>2020</v>
      </c>
      <c r="F12440">
        <v>22</v>
      </c>
      <c r="G12440">
        <v>23068</v>
      </c>
      <c r="H12440" s="1">
        <v>0</v>
      </c>
      <c r="I12440">
        <v>9</v>
      </c>
      <c r="J12440">
        <f>IF($H12440=0,1,IF($I12440&lt;=1,2,0))</f>
        <v>1</v>
      </c>
      <c r="K12440">
        <v>0</v>
      </c>
      <c r="L12440">
        <f>IF(AND($J12440=0,$K12440=0),0,1)</f>
        <v>1</v>
      </c>
      <c r="M12440" t="s">
        <v>1088</v>
      </c>
    </row>
    <row r="12441" spans="1:13" x14ac:dyDescent="0.2">
      <c r="A12441" t="s">
        <v>431</v>
      </c>
      <c r="B12441" t="s">
        <v>6</v>
      </c>
      <c r="C12441" t="s">
        <v>9</v>
      </c>
      <c r="D12441">
        <v>2720</v>
      </c>
      <c r="E12441">
        <v>2020</v>
      </c>
      <c r="F12441">
        <v>24</v>
      </c>
      <c r="G12441">
        <v>23070</v>
      </c>
      <c r="H12441" s="1">
        <v>0</v>
      </c>
      <c r="I12441">
        <v>9</v>
      </c>
      <c r="J12441">
        <f>IF($H12441=0,1,IF($I12441&lt;=1,2,0))</f>
        <v>1</v>
      </c>
      <c r="K12441">
        <v>0</v>
      </c>
      <c r="L12441">
        <f>IF(AND($J12441=0,$K12441=0),0,1)</f>
        <v>1</v>
      </c>
      <c r="M12441" t="s">
        <v>1090</v>
      </c>
    </row>
    <row r="12442" spans="1:13" x14ac:dyDescent="0.2">
      <c r="A12442" t="s">
        <v>431</v>
      </c>
      <c r="B12442" t="s">
        <v>6</v>
      </c>
      <c r="C12442" t="s">
        <v>9</v>
      </c>
      <c r="D12442">
        <v>2720</v>
      </c>
      <c r="E12442">
        <v>2020</v>
      </c>
      <c r="F12442">
        <v>16</v>
      </c>
      <c r="G12442">
        <v>22783</v>
      </c>
      <c r="H12442" s="1">
        <v>0</v>
      </c>
      <c r="I12442">
        <v>8</v>
      </c>
      <c r="J12442">
        <f>IF($H12442=0,1,IF($I12442&lt;=1,2,0))</f>
        <v>1</v>
      </c>
      <c r="K12442">
        <v>0</v>
      </c>
      <c r="L12442">
        <f>IF(AND($J12442=0,$K12442=0),0,1)</f>
        <v>1</v>
      </c>
      <c r="M12442" t="s">
        <v>1084</v>
      </c>
    </row>
    <row r="12443" spans="1:13" x14ac:dyDescent="0.2">
      <c r="A12443" t="s">
        <v>431</v>
      </c>
      <c r="B12443" t="s">
        <v>6</v>
      </c>
      <c r="C12443" t="s">
        <v>9</v>
      </c>
      <c r="D12443">
        <v>2720</v>
      </c>
      <c r="E12443">
        <v>2020</v>
      </c>
      <c r="F12443">
        <v>21</v>
      </c>
      <c r="G12443">
        <v>23066</v>
      </c>
      <c r="H12443" s="1">
        <v>0</v>
      </c>
      <c r="I12443">
        <v>4</v>
      </c>
      <c r="J12443">
        <f>IF($H12443=0,1,IF($I12443&lt;=1,2,0))</f>
        <v>1</v>
      </c>
      <c r="K12443">
        <v>0</v>
      </c>
      <c r="L12443">
        <f>IF(AND($J12443=0,$K12443=0),0,1)</f>
        <v>1</v>
      </c>
      <c r="M12443" t="s">
        <v>1087</v>
      </c>
    </row>
    <row r="12444" spans="1:13" x14ac:dyDescent="0.2">
      <c r="A12444" t="s">
        <v>431</v>
      </c>
      <c r="B12444" t="s">
        <v>6</v>
      </c>
      <c r="C12444" t="s">
        <v>9</v>
      </c>
      <c r="D12444">
        <v>2720</v>
      </c>
      <c r="E12444">
        <v>2020</v>
      </c>
      <c r="F12444">
        <v>19</v>
      </c>
      <c r="G12444">
        <v>23064</v>
      </c>
      <c r="H12444" s="1">
        <v>0</v>
      </c>
      <c r="I12444">
        <v>1</v>
      </c>
      <c r="J12444">
        <f>IF($H12444=0,1,IF($I12444&lt;=1,2,0))</f>
        <v>1</v>
      </c>
      <c r="K12444">
        <v>0</v>
      </c>
      <c r="L12444">
        <f>IF(AND($J12444=0,$K12444=0),0,1)</f>
        <v>1</v>
      </c>
      <c r="M12444" t="s">
        <v>1085</v>
      </c>
    </row>
    <row r="12445" spans="1:13" x14ac:dyDescent="0.2">
      <c r="A12445" t="s">
        <v>431</v>
      </c>
      <c r="B12445" t="s">
        <v>6</v>
      </c>
      <c r="C12445" t="s">
        <v>9</v>
      </c>
      <c r="D12445">
        <v>2720</v>
      </c>
      <c r="E12445">
        <v>2020</v>
      </c>
      <c r="F12445">
        <v>20</v>
      </c>
      <c r="G12445">
        <v>23065</v>
      </c>
      <c r="H12445" s="1">
        <v>0</v>
      </c>
      <c r="I12445">
        <v>1</v>
      </c>
      <c r="J12445">
        <f>IF($H12445=0,1,IF($I12445&lt;=1,2,0))</f>
        <v>1</v>
      </c>
      <c r="K12445">
        <v>0</v>
      </c>
      <c r="L12445">
        <f>IF(AND($J12445=0,$K12445=0),0,1)</f>
        <v>1</v>
      </c>
      <c r="M12445" t="s">
        <v>1086</v>
      </c>
    </row>
    <row r="12446" spans="1:13" x14ac:dyDescent="0.2">
      <c r="A12446" t="s">
        <v>431</v>
      </c>
      <c r="B12446" t="s">
        <v>6</v>
      </c>
      <c r="C12446" t="s">
        <v>2</v>
      </c>
      <c r="D12446">
        <v>3301</v>
      </c>
      <c r="E12446">
        <v>2020</v>
      </c>
      <c r="F12446">
        <v>1</v>
      </c>
      <c r="G12446">
        <v>708</v>
      </c>
      <c r="H12446" s="1">
        <v>4</v>
      </c>
      <c r="I12446">
        <v>16</v>
      </c>
      <c r="J12446">
        <f>IF($H12446=0,1,IF($I12446&lt;=1,2,0))</f>
        <v>0</v>
      </c>
      <c r="K12446">
        <v>7</v>
      </c>
      <c r="L12446">
        <f>IF(AND($J12446=0,$K12446=0),0,1)</f>
        <v>1</v>
      </c>
      <c r="M12446" t="s">
        <v>1092</v>
      </c>
    </row>
    <row r="12447" spans="1:13" x14ac:dyDescent="0.2">
      <c r="A12447" t="s">
        <v>431</v>
      </c>
      <c r="B12447" t="s">
        <v>6</v>
      </c>
      <c r="C12447" t="s">
        <v>2</v>
      </c>
      <c r="D12447">
        <v>3327</v>
      </c>
      <c r="E12447">
        <v>2020</v>
      </c>
      <c r="F12447">
        <v>1</v>
      </c>
      <c r="G12447">
        <v>43</v>
      </c>
      <c r="H12447" s="1">
        <v>4</v>
      </c>
      <c r="I12447">
        <v>17</v>
      </c>
      <c r="J12447">
        <f>IF($H12447=0,1,IF($I12447&lt;=1,2,0))</f>
        <v>0</v>
      </c>
      <c r="K12447">
        <v>7</v>
      </c>
      <c r="L12447">
        <f>IF(AND($J12447=0,$K12447=0),0,1)</f>
        <v>1</v>
      </c>
      <c r="M12447" t="s">
        <v>1093</v>
      </c>
    </row>
    <row r="12448" spans="1:13" x14ac:dyDescent="0.2">
      <c r="A12448" t="s">
        <v>431</v>
      </c>
      <c r="B12448" t="s">
        <v>6</v>
      </c>
      <c r="C12448" t="s">
        <v>2</v>
      </c>
      <c r="D12448">
        <v>3360</v>
      </c>
      <c r="E12448">
        <v>2020</v>
      </c>
      <c r="F12448">
        <v>1</v>
      </c>
      <c r="G12448">
        <v>704</v>
      </c>
      <c r="H12448" s="1">
        <v>4</v>
      </c>
      <c r="I12448">
        <v>12</v>
      </c>
      <c r="J12448">
        <f>IF($H12448=0,1,IF($I12448&lt;=1,2,0))</f>
        <v>0</v>
      </c>
      <c r="K12448">
        <v>7</v>
      </c>
      <c r="L12448">
        <f>IF(AND($J12448=0,$K12448=0),0,1)</f>
        <v>1</v>
      </c>
      <c r="M12448" t="s">
        <v>1094</v>
      </c>
    </row>
    <row r="12449" spans="1:13" x14ac:dyDescent="0.2">
      <c r="A12449" t="s">
        <v>431</v>
      </c>
      <c r="B12449" t="s">
        <v>6</v>
      </c>
      <c r="C12449" t="s">
        <v>2</v>
      </c>
      <c r="D12449">
        <v>3391</v>
      </c>
      <c r="E12449">
        <v>2020</v>
      </c>
      <c r="F12449">
        <v>1</v>
      </c>
      <c r="G12449">
        <v>373</v>
      </c>
      <c r="H12449" s="1">
        <v>4</v>
      </c>
      <c r="I12449">
        <v>51</v>
      </c>
      <c r="J12449">
        <f>IF($H12449=0,1,IF($I12449&lt;=1,2,0))</f>
        <v>0</v>
      </c>
      <c r="K12449">
        <v>7</v>
      </c>
      <c r="L12449">
        <f>IF(AND($J12449=0,$K12449=0),0,1)</f>
        <v>1</v>
      </c>
      <c r="M12449" t="s">
        <v>452</v>
      </c>
    </row>
    <row r="12450" spans="1:13" x14ac:dyDescent="0.2">
      <c r="A12450" t="s">
        <v>431</v>
      </c>
      <c r="B12450" t="s">
        <v>6</v>
      </c>
      <c r="C12450" t="s">
        <v>2</v>
      </c>
      <c r="D12450">
        <v>3475</v>
      </c>
      <c r="E12450">
        <v>2020</v>
      </c>
      <c r="F12450">
        <v>1</v>
      </c>
      <c r="G12450">
        <v>702</v>
      </c>
      <c r="H12450" s="1">
        <v>4</v>
      </c>
      <c r="I12450">
        <v>10</v>
      </c>
      <c r="J12450">
        <f>IF($H12450=0,1,IF($I12450&lt;=1,2,0))</f>
        <v>0</v>
      </c>
      <c r="K12450">
        <v>7</v>
      </c>
      <c r="L12450">
        <f>IF(AND($J12450=0,$K12450=0),0,1)</f>
        <v>1</v>
      </c>
      <c r="M12450" t="s">
        <v>1095</v>
      </c>
    </row>
    <row r="12451" spans="1:13" x14ac:dyDescent="0.2">
      <c r="A12451" t="s">
        <v>431</v>
      </c>
      <c r="B12451" t="s">
        <v>6</v>
      </c>
      <c r="C12451" t="s">
        <v>2</v>
      </c>
      <c r="D12451">
        <v>3599</v>
      </c>
      <c r="E12451">
        <v>2020</v>
      </c>
      <c r="F12451">
        <v>1</v>
      </c>
      <c r="G12451">
        <v>40</v>
      </c>
      <c r="H12451" s="1">
        <v>4</v>
      </c>
      <c r="I12451">
        <v>15</v>
      </c>
      <c r="J12451">
        <f>IF($H12451=0,1,IF($I12451&lt;=1,2,0))</f>
        <v>0</v>
      </c>
      <c r="K12451">
        <v>7</v>
      </c>
      <c r="L12451">
        <f>IF(AND($J12451=0,$K12451=0),0,1)</f>
        <v>1</v>
      </c>
      <c r="M12451" t="s">
        <v>1093</v>
      </c>
    </row>
    <row r="12452" spans="1:13" x14ac:dyDescent="0.2">
      <c r="A12452" t="s">
        <v>431</v>
      </c>
      <c r="B12452" t="s">
        <v>6</v>
      </c>
      <c r="C12452" t="s">
        <v>2</v>
      </c>
      <c r="D12452">
        <v>3788</v>
      </c>
      <c r="E12452">
        <v>2020</v>
      </c>
      <c r="F12452">
        <v>1</v>
      </c>
      <c r="G12452">
        <v>582</v>
      </c>
      <c r="H12452" s="1">
        <v>4</v>
      </c>
      <c r="I12452">
        <v>10</v>
      </c>
      <c r="J12452">
        <f>IF($H12452=0,1,IF($I12452&lt;=1,2,0))</f>
        <v>0</v>
      </c>
      <c r="K12452">
        <v>7</v>
      </c>
      <c r="L12452">
        <f>IF(AND($J12452=0,$K12452=0),0,1)</f>
        <v>1</v>
      </c>
      <c r="M12452" t="s">
        <v>1093</v>
      </c>
    </row>
    <row r="12453" spans="1:13" x14ac:dyDescent="0.2">
      <c r="A12453" t="s">
        <v>431</v>
      </c>
      <c r="B12453" t="s">
        <v>6</v>
      </c>
      <c r="C12453" t="s">
        <v>9</v>
      </c>
      <c r="D12453">
        <v>3866</v>
      </c>
      <c r="E12453">
        <v>2020</v>
      </c>
      <c r="F12453">
        <v>1</v>
      </c>
      <c r="G12453">
        <v>20762</v>
      </c>
      <c r="H12453" s="1">
        <v>4</v>
      </c>
      <c r="I12453">
        <v>0</v>
      </c>
      <c r="J12453">
        <f>IF($H12453=0,1,IF($I12453&lt;=1,2,0))</f>
        <v>2</v>
      </c>
      <c r="K12453">
        <v>0</v>
      </c>
      <c r="L12453">
        <f>IF(AND($J12453=0,$K12453=0),0,1)</f>
        <v>1</v>
      </c>
    </row>
    <row r="12454" spans="1:13" x14ac:dyDescent="0.2">
      <c r="A12454" t="s">
        <v>431</v>
      </c>
      <c r="B12454" t="s">
        <v>6</v>
      </c>
      <c r="C12454" t="s">
        <v>2</v>
      </c>
      <c r="D12454">
        <v>3870</v>
      </c>
      <c r="E12454">
        <v>2020</v>
      </c>
      <c r="F12454">
        <v>1</v>
      </c>
      <c r="G12454">
        <v>433</v>
      </c>
      <c r="H12454" s="1">
        <v>4</v>
      </c>
      <c r="I12454">
        <v>11</v>
      </c>
      <c r="J12454">
        <f>IF($H12454=0,1,IF($I12454&lt;=1,2,0))</f>
        <v>0</v>
      </c>
      <c r="K12454">
        <v>7</v>
      </c>
      <c r="L12454">
        <f>IF(AND($J12454=0,$K12454=0),0,1)</f>
        <v>1</v>
      </c>
      <c r="M12454" t="s">
        <v>1093</v>
      </c>
    </row>
    <row r="12455" spans="1:13" x14ac:dyDescent="0.2">
      <c r="A12455" t="s">
        <v>431</v>
      </c>
      <c r="B12455" t="s">
        <v>6</v>
      </c>
      <c r="C12455" t="s">
        <v>2</v>
      </c>
      <c r="D12455">
        <v>3998</v>
      </c>
      <c r="E12455">
        <v>2020</v>
      </c>
      <c r="F12455">
        <v>4</v>
      </c>
      <c r="G12455">
        <v>975</v>
      </c>
      <c r="H12455" s="1" t="s">
        <v>1844</v>
      </c>
      <c r="I12455">
        <v>1</v>
      </c>
      <c r="J12455">
        <f>IF($H12455=0,1,IF($I12455&lt;=1,2,0))</f>
        <v>2</v>
      </c>
      <c r="K12455">
        <v>7</v>
      </c>
      <c r="L12455">
        <f>IF(AND($J12455=0,$K12455=0),0,1)</f>
        <v>1</v>
      </c>
    </row>
    <row r="12456" spans="1:13" x14ac:dyDescent="0.2">
      <c r="A12456" t="s">
        <v>431</v>
      </c>
      <c r="B12456" t="s">
        <v>6</v>
      </c>
      <c r="C12456" t="s">
        <v>11</v>
      </c>
      <c r="D12456">
        <v>5000</v>
      </c>
      <c r="E12456">
        <v>2020</v>
      </c>
      <c r="F12456">
        <v>1</v>
      </c>
      <c r="G12456">
        <v>12875</v>
      </c>
      <c r="H12456" s="1">
        <v>2</v>
      </c>
      <c r="I12456">
        <v>17</v>
      </c>
      <c r="J12456">
        <f>IF($H12456=0,1,IF($I12456&lt;=1,2,0))</f>
        <v>0</v>
      </c>
      <c r="K12456">
        <v>4</v>
      </c>
      <c r="L12456">
        <f>IF(AND($J12456=0,$K12456=0),0,1)</f>
        <v>1</v>
      </c>
      <c r="M12456" t="s">
        <v>458</v>
      </c>
    </row>
    <row r="12457" spans="1:13" x14ac:dyDescent="0.2">
      <c r="A12457" t="s">
        <v>431</v>
      </c>
      <c r="B12457" t="s">
        <v>6</v>
      </c>
      <c r="C12457" t="s">
        <v>11</v>
      </c>
      <c r="D12457">
        <v>5993</v>
      </c>
      <c r="E12457">
        <v>2020</v>
      </c>
      <c r="F12457">
        <v>1</v>
      </c>
      <c r="G12457">
        <v>12876</v>
      </c>
      <c r="H12457" s="1" t="s">
        <v>1827</v>
      </c>
      <c r="I12457">
        <v>11</v>
      </c>
      <c r="J12457">
        <f>IF($H12457=0,1,IF($I12457&lt;=1,2,0))</f>
        <v>0</v>
      </c>
      <c r="K12457">
        <v>4</v>
      </c>
      <c r="L12457">
        <f>IF(AND($J12457=0,$K12457=0),0,1)</f>
        <v>1</v>
      </c>
      <c r="M12457" t="s">
        <v>1097</v>
      </c>
    </row>
    <row r="12458" spans="1:13" x14ac:dyDescent="0.2">
      <c r="A12458" t="s">
        <v>431</v>
      </c>
      <c r="B12458" t="s">
        <v>6</v>
      </c>
      <c r="C12458" t="s">
        <v>11</v>
      </c>
      <c r="D12458">
        <v>6998</v>
      </c>
      <c r="E12458">
        <v>2020</v>
      </c>
      <c r="F12458">
        <v>9</v>
      </c>
      <c r="G12458">
        <v>14115</v>
      </c>
      <c r="H12458" s="1">
        <v>4</v>
      </c>
      <c r="I12458">
        <v>3</v>
      </c>
      <c r="J12458">
        <f>IF($H12458=0,1,IF($I12458&lt;=1,2,0))</f>
        <v>0</v>
      </c>
      <c r="K12458">
        <v>4</v>
      </c>
      <c r="L12458">
        <f>IF(AND($J12458=0,$K12458=0),0,1)</f>
        <v>1</v>
      </c>
      <c r="M12458" t="s">
        <v>459</v>
      </c>
    </row>
    <row r="12459" spans="1:13" x14ac:dyDescent="0.2">
      <c r="A12459" t="s">
        <v>431</v>
      </c>
      <c r="B12459" t="s">
        <v>6</v>
      </c>
      <c r="C12459" t="s">
        <v>11</v>
      </c>
      <c r="D12459">
        <v>6999</v>
      </c>
      <c r="E12459">
        <v>2020</v>
      </c>
      <c r="F12459">
        <v>22</v>
      </c>
      <c r="G12459">
        <v>22274</v>
      </c>
      <c r="H12459" s="1">
        <v>4</v>
      </c>
      <c r="I12459">
        <v>3</v>
      </c>
      <c r="J12459">
        <f>IF($H12459=0,1,IF($I12459&lt;=1,2,0))</f>
        <v>0</v>
      </c>
      <c r="K12459">
        <v>9</v>
      </c>
      <c r="L12459">
        <f>IF(AND($J12459=0,$K12459=0),0,1)</f>
        <v>1</v>
      </c>
    </row>
    <row r="12460" spans="1:13" x14ac:dyDescent="0.2">
      <c r="A12460" t="s">
        <v>431</v>
      </c>
      <c r="B12460" t="s">
        <v>6</v>
      </c>
      <c r="C12460" t="s">
        <v>11</v>
      </c>
      <c r="D12460">
        <v>6999</v>
      </c>
      <c r="E12460">
        <v>2020</v>
      </c>
      <c r="F12460">
        <v>34</v>
      </c>
      <c r="G12460">
        <v>24772</v>
      </c>
      <c r="H12460" s="1">
        <v>4</v>
      </c>
      <c r="I12460">
        <v>1</v>
      </c>
      <c r="J12460">
        <f>IF($H12460=0,1,IF($I12460&lt;=1,2,0))</f>
        <v>2</v>
      </c>
      <c r="K12460">
        <v>9</v>
      </c>
      <c r="L12460">
        <f>IF(AND($J12460=0,$K12460=0),0,1)</f>
        <v>1</v>
      </c>
    </row>
    <row r="12461" spans="1:13" x14ac:dyDescent="0.2">
      <c r="A12461" t="s">
        <v>431</v>
      </c>
      <c r="B12461" t="s">
        <v>6</v>
      </c>
      <c r="C12461" t="s">
        <v>11</v>
      </c>
      <c r="D12461">
        <v>6999</v>
      </c>
      <c r="E12461">
        <v>2020</v>
      </c>
      <c r="F12461">
        <v>21</v>
      </c>
      <c r="G12461">
        <v>22273</v>
      </c>
      <c r="H12461" s="1">
        <v>4</v>
      </c>
      <c r="I12461">
        <v>0</v>
      </c>
      <c r="J12461">
        <f>IF($H12461=0,1,IF($I12461&lt;=1,2,0))</f>
        <v>2</v>
      </c>
      <c r="K12461">
        <v>9</v>
      </c>
      <c r="L12461">
        <f>IF(AND($J12461=0,$K12461=0),0,1)</f>
        <v>1</v>
      </c>
    </row>
    <row r="12462" spans="1:13" x14ac:dyDescent="0.2">
      <c r="A12462" t="s">
        <v>431</v>
      </c>
      <c r="B12462" t="s">
        <v>6</v>
      </c>
      <c r="C12462" t="s">
        <v>11</v>
      </c>
      <c r="D12462">
        <v>9001</v>
      </c>
      <c r="E12462">
        <v>2020</v>
      </c>
      <c r="F12462">
        <v>1</v>
      </c>
      <c r="G12462">
        <v>22058</v>
      </c>
      <c r="H12462" s="1" t="s">
        <v>1823</v>
      </c>
      <c r="I12462">
        <v>1</v>
      </c>
      <c r="J12462">
        <f>IF($H12462=0,1,IF($I12462&lt;=1,2,0))</f>
        <v>2</v>
      </c>
      <c r="K12462">
        <v>5</v>
      </c>
      <c r="L12462">
        <f>IF(AND($J12462=0,$K12462=0),0,1)</f>
        <v>1</v>
      </c>
    </row>
    <row r="12463" spans="1:13" x14ac:dyDescent="0.2">
      <c r="A12463" t="s">
        <v>431</v>
      </c>
      <c r="B12463" t="s">
        <v>6</v>
      </c>
      <c r="C12463" t="s">
        <v>11</v>
      </c>
      <c r="D12463">
        <v>9001</v>
      </c>
      <c r="E12463">
        <v>2020</v>
      </c>
      <c r="F12463">
        <v>6</v>
      </c>
      <c r="G12463">
        <v>21547</v>
      </c>
      <c r="H12463" s="1" t="s">
        <v>1823</v>
      </c>
      <c r="I12463">
        <v>1</v>
      </c>
      <c r="J12463">
        <f>IF($H12463=0,1,IF($I12463&lt;=1,2,0))</f>
        <v>2</v>
      </c>
      <c r="K12463">
        <v>5</v>
      </c>
      <c r="L12463">
        <f>IF(AND($J12463=0,$K12463=0),0,1)</f>
        <v>1</v>
      </c>
    </row>
    <row r="12464" spans="1:13" x14ac:dyDescent="0.2">
      <c r="A12464" t="s">
        <v>431</v>
      </c>
      <c r="B12464" t="s">
        <v>6</v>
      </c>
      <c r="C12464" t="s">
        <v>11</v>
      </c>
      <c r="D12464">
        <v>9001</v>
      </c>
      <c r="E12464">
        <v>2020</v>
      </c>
      <c r="F12464">
        <v>8</v>
      </c>
      <c r="G12464">
        <v>23190</v>
      </c>
      <c r="H12464" s="1" t="s">
        <v>1823</v>
      </c>
      <c r="I12464">
        <v>1</v>
      </c>
      <c r="J12464">
        <f>IF($H12464=0,1,IF($I12464&lt;=1,2,0))</f>
        <v>2</v>
      </c>
      <c r="K12464">
        <v>5</v>
      </c>
      <c r="L12464">
        <f>IF(AND($J12464=0,$K12464=0),0,1)</f>
        <v>1</v>
      </c>
    </row>
    <row r="12465" spans="1:13" x14ac:dyDescent="0.2">
      <c r="A12465" t="s">
        <v>431</v>
      </c>
      <c r="B12465" t="s">
        <v>6</v>
      </c>
      <c r="C12465" t="s">
        <v>11</v>
      </c>
      <c r="D12465">
        <v>9001</v>
      </c>
      <c r="E12465">
        <v>2020</v>
      </c>
      <c r="F12465">
        <v>10</v>
      </c>
      <c r="G12465">
        <v>24478</v>
      </c>
      <c r="H12465" s="1" t="s">
        <v>1823</v>
      </c>
      <c r="I12465">
        <v>1</v>
      </c>
      <c r="J12465">
        <f>IF($H12465=0,1,IF($I12465&lt;=1,2,0))</f>
        <v>2</v>
      </c>
      <c r="K12465">
        <v>5</v>
      </c>
      <c r="L12465">
        <f>IF(AND($J12465=0,$K12465=0),0,1)</f>
        <v>1</v>
      </c>
    </row>
    <row r="12466" spans="1:13" x14ac:dyDescent="0.2">
      <c r="A12466" t="s">
        <v>431</v>
      </c>
      <c r="B12466" t="s">
        <v>6</v>
      </c>
      <c r="C12466" t="s">
        <v>11</v>
      </c>
      <c r="D12466">
        <v>9001</v>
      </c>
      <c r="E12466">
        <v>2020</v>
      </c>
      <c r="F12466">
        <v>5</v>
      </c>
      <c r="G12466">
        <v>15491</v>
      </c>
      <c r="H12466" s="1" t="s">
        <v>1823</v>
      </c>
      <c r="I12466">
        <v>0</v>
      </c>
      <c r="J12466">
        <f>IF($H12466=0,1,IF($I12466&lt;=1,2,0))</f>
        <v>2</v>
      </c>
      <c r="K12466">
        <v>5</v>
      </c>
      <c r="L12466">
        <f>IF(AND($J12466=0,$K12466=0),0,1)</f>
        <v>1</v>
      </c>
    </row>
    <row r="12467" spans="1:13" x14ac:dyDescent="0.2">
      <c r="A12467" t="s">
        <v>431</v>
      </c>
      <c r="B12467" t="s">
        <v>6</v>
      </c>
      <c r="C12467" t="s">
        <v>11</v>
      </c>
      <c r="D12467">
        <v>9001</v>
      </c>
      <c r="E12467">
        <v>2020</v>
      </c>
      <c r="F12467">
        <v>7</v>
      </c>
      <c r="G12467">
        <v>22223</v>
      </c>
      <c r="H12467" s="1" t="s">
        <v>1823</v>
      </c>
      <c r="I12467">
        <v>0</v>
      </c>
      <c r="J12467">
        <f>IF($H12467=0,1,IF($I12467&lt;=1,2,0))</f>
        <v>2</v>
      </c>
      <c r="K12467">
        <v>5</v>
      </c>
      <c r="L12467">
        <f>IF(AND($J12467=0,$K12467=0),0,1)</f>
        <v>1</v>
      </c>
    </row>
    <row r="12468" spans="1:13" x14ac:dyDescent="0.2">
      <c r="A12468" t="s">
        <v>431</v>
      </c>
      <c r="B12468" t="s">
        <v>6</v>
      </c>
      <c r="C12468" t="s">
        <v>11</v>
      </c>
      <c r="D12468">
        <v>9001</v>
      </c>
      <c r="E12468">
        <v>2020</v>
      </c>
      <c r="F12468">
        <v>11</v>
      </c>
      <c r="G12468">
        <v>24766</v>
      </c>
      <c r="H12468" s="1" t="s">
        <v>1823</v>
      </c>
      <c r="I12468">
        <v>0</v>
      </c>
      <c r="J12468">
        <f>IF($H12468=0,1,IF($I12468&lt;=1,2,0))</f>
        <v>2</v>
      </c>
      <c r="K12468">
        <v>5</v>
      </c>
      <c r="L12468">
        <f>IF(AND($J12468=0,$K12468=0),0,1)</f>
        <v>1</v>
      </c>
    </row>
    <row r="12469" spans="1:13" x14ac:dyDescent="0.2">
      <c r="A12469" t="s">
        <v>431</v>
      </c>
      <c r="B12469" t="s">
        <v>6</v>
      </c>
      <c r="C12469" t="s">
        <v>11</v>
      </c>
      <c r="D12469">
        <v>9001</v>
      </c>
      <c r="E12469">
        <v>2020</v>
      </c>
      <c r="F12469">
        <v>12</v>
      </c>
      <c r="G12469">
        <v>24878</v>
      </c>
      <c r="H12469" s="1" t="s">
        <v>1823</v>
      </c>
      <c r="I12469">
        <v>0</v>
      </c>
      <c r="J12469">
        <f>IF($H12469=0,1,IF($I12469&lt;=1,2,0))</f>
        <v>2</v>
      </c>
      <c r="K12469">
        <v>5</v>
      </c>
      <c r="L12469">
        <f>IF(AND($J12469=0,$K12469=0),0,1)</f>
        <v>1</v>
      </c>
    </row>
    <row r="12470" spans="1:13" x14ac:dyDescent="0.2">
      <c r="A12470" t="s">
        <v>431</v>
      </c>
      <c r="B12470" t="s">
        <v>6</v>
      </c>
      <c r="C12470" t="s">
        <v>11</v>
      </c>
      <c r="D12470">
        <v>9001</v>
      </c>
      <c r="E12470">
        <v>2020</v>
      </c>
      <c r="F12470">
        <v>13</v>
      </c>
      <c r="G12470">
        <v>25128</v>
      </c>
      <c r="H12470" s="1" t="s">
        <v>1823</v>
      </c>
      <c r="I12470">
        <v>0</v>
      </c>
      <c r="J12470">
        <f>IF($H12470=0,1,IF($I12470&lt;=1,2,0))</f>
        <v>2</v>
      </c>
      <c r="K12470">
        <v>5</v>
      </c>
      <c r="L12470">
        <f>IF(AND($J12470=0,$K12470=0),0,1)</f>
        <v>1</v>
      </c>
    </row>
    <row r="12471" spans="1:13" x14ac:dyDescent="0.2">
      <c r="A12471" t="s">
        <v>431</v>
      </c>
      <c r="B12471" t="s">
        <v>6</v>
      </c>
      <c r="C12471" t="s">
        <v>11</v>
      </c>
      <c r="D12471">
        <v>9067</v>
      </c>
      <c r="E12471">
        <v>2020</v>
      </c>
      <c r="F12471">
        <v>1</v>
      </c>
      <c r="G12471">
        <v>12199</v>
      </c>
      <c r="H12471" s="1">
        <v>4</v>
      </c>
      <c r="I12471">
        <v>8</v>
      </c>
      <c r="J12471">
        <f>IF($H12471=0,1,IF($I12471&lt;=1,2,0))</f>
        <v>0</v>
      </c>
      <c r="K12471">
        <v>5</v>
      </c>
      <c r="L12471">
        <f>IF(AND($J12471=0,$K12471=0),0,1)</f>
        <v>1</v>
      </c>
    </row>
    <row r="12472" spans="1:13" x14ac:dyDescent="0.2">
      <c r="A12472" t="s">
        <v>431</v>
      </c>
      <c r="B12472" t="s">
        <v>6</v>
      </c>
      <c r="C12472" t="s">
        <v>11</v>
      </c>
      <c r="D12472">
        <v>9999</v>
      </c>
      <c r="E12472">
        <v>2020</v>
      </c>
      <c r="F12472">
        <v>1</v>
      </c>
      <c r="G12472">
        <v>24850</v>
      </c>
      <c r="H12472" s="1">
        <v>4</v>
      </c>
      <c r="I12472">
        <v>54</v>
      </c>
      <c r="J12472">
        <f>IF($H12472=0,1,IF($I12472&lt;=1,2,0))</f>
        <v>0</v>
      </c>
      <c r="K12472">
        <v>5</v>
      </c>
      <c r="L12472">
        <f>IF(AND($J12472=0,$K12472=0),0,1)</f>
        <v>1</v>
      </c>
    </row>
    <row r="12473" spans="1:13" x14ac:dyDescent="0.2">
      <c r="A12473" t="s">
        <v>463</v>
      </c>
      <c r="B12473" t="s">
        <v>17</v>
      </c>
      <c r="C12473" t="s">
        <v>9</v>
      </c>
      <c r="D12473">
        <v>3333</v>
      </c>
      <c r="E12473">
        <v>2020</v>
      </c>
      <c r="F12473">
        <v>1</v>
      </c>
      <c r="G12473">
        <v>10815</v>
      </c>
      <c r="H12473" s="1">
        <v>3</v>
      </c>
      <c r="I12473">
        <v>1</v>
      </c>
      <c r="J12473">
        <f>IF($H12473=0,1,IF($I12473&lt;=1,2,0))</f>
        <v>2</v>
      </c>
      <c r="K12473">
        <v>0</v>
      </c>
      <c r="L12473">
        <f>IF(AND($J12473=0,$K12473=0),0,1)</f>
        <v>1</v>
      </c>
    </row>
    <row r="12474" spans="1:13" x14ac:dyDescent="0.2">
      <c r="A12474" t="s">
        <v>465</v>
      </c>
      <c r="B12474" t="s">
        <v>6</v>
      </c>
      <c r="C12474" t="s">
        <v>2</v>
      </c>
      <c r="D12474">
        <v>1025</v>
      </c>
      <c r="E12474">
        <v>2020</v>
      </c>
      <c r="F12474">
        <v>1</v>
      </c>
      <c r="G12474">
        <v>682</v>
      </c>
      <c r="H12474" s="1">
        <v>3</v>
      </c>
      <c r="I12474">
        <v>49</v>
      </c>
      <c r="J12474">
        <f>IF($H12474=0,1,IF($I12474&lt;=1,2,0))</f>
        <v>0</v>
      </c>
      <c r="K12474">
        <v>7</v>
      </c>
      <c r="L12474">
        <f>IF(AND($J12474=0,$K12474=0),0,1)</f>
        <v>1</v>
      </c>
    </row>
    <row r="12475" spans="1:13" x14ac:dyDescent="0.2">
      <c r="A12475" t="s">
        <v>465</v>
      </c>
      <c r="B12475" t="s">
        <v>6</v>
      </c>
      <c r="C12475" t="s">
        <v>2</v>
      </c>
      <c r="D12475">
        <v>3850</v>
      </c>
      <c r="E12475">
        <v>2020</v>
      </c>
      <c r="F12475">
        <v>1</v>
      </c>
      <c r="G12475">
        <v>435</v>
      </c>
      <c r="H12475" s="1">
        <v>4</v>
      </c>
      <c r="I12475">
        <v>20</v>
      </c>
      <c r="J12475">
        <f>IF($H12475=0,1,IF($I12475&lt;=1,2,0))</f>
        <v>0</v>
      </c>
      <c r="K12475">
        <v>7</v>
      </c>
      <c r="L12475">
        <f>IF(AND($J12475=0,$K12475=0),0,1)</f>
        <v>1</v>
      </c>
    </row>
    <row r="12476" spans="1:13" x14ac:dyDescent="0.2">
      <c r="A12476" t="s">
        <v>465</v>
      </c>
      <c r="B12476" t="s">
        <v>6</v>
      </c>
      <c r="C12476" t="s">
        <v>11</v>
      </c>
      <c r="D12476">
        <v>6020</v>
      </c>
      <c r="E12476">
        <v>2020</v>
      </c>
      <c r="F12476">
        <v>1</v>
      </c>
      <c r="G12476">
        <v>11693</v>
      </c>
      <c r="H12476" s="1">
        <v>3</v>
      </c>
      <c r="I12476">
        <v>18</v>
      </c>
      <c r="J12476">
        <f>IF($H12476=0,1,IF($I12476&lt;=1,2,0))</f>
        <v>0</v>
      </c>
      <c r="K12476">
        <v>4</v>
      </c>
      <c r="L12476">
        <f>IF(AND($J12476=0,$K12476=0),0,1)</f>
        <v>1</v>
      </c>
      <c r="M12476" t="s">
        <v>469</v>
      </c>
    </row>
    <row r="12477" spans="1:13" x14ac:dyDescent="0.2">
      <c r="A12477" t="s">
        <v>465</v>
      </c>
      <c r="B12477" t="s">
        <v>6</v>
      </c>
      <c r="C12477" t="s">
        <v>11</v>
      </c>
      <c r="D12477">
        <v>6020</v>
      </c>
      <c r="E12477">
        <v>2020</v>
      </c>
      <c r="F12477">
        <v>2</v>
      </c>
      <c r="G12477">
        <v>11130</v>
      </c>
      <c r="H12477" s="1">
        <v>3</v>
      </c>
      <c r="I12477">
        <v>15</v>
      </c>
      <c r="J12477">
        <f>IF($H12477=0,1,IF($I12477&lt;=1,2,0))</f>
        <v>0</v>
      </c>
      <c r="K12477">
        <v>4</v>
      </c>
      <c r="L12477">
        <f>IF(AND($J12477=0,$K12477=0),0,1)</f>
        <v>1</v>
      </c>
      <c r="M12477" t="s">
        <v>469</v>
      </c>
    </row>
    <row r="12478" spans="1:13" x14ac:dyDescent="0.2">
      <c r="A12478" t="s">
        <v>465</v>
      </c>
      <c r="B12478" t="s">
        <v>6</v>
      </c>
      <c r="C12478" t="s">
        <v>11</v>
      </c>
      <c r="D12478">
        <v>6800</v>
      </c>
      <c r="E12478">
        <v>2020</v>
      </c>
      <c r="F12478">
        <v>1</v>
      </c>
      <c r="G12478">
        <v>11131</v>
      </c>
      <c r="H12478" s="1">
        <v>3</v>
      </c>
      <c r="I12478">
        <v>16</v>
      </c>
      <c r="J12478">
        <f>IF($H12478=0,1,IF($I12478&lt;=1,2,0))</f>
        <v>0</v>
      </c>
      <c r="K12478">
        <v>4</v>
      </c>
      <c r="L12478">
        <f>IF(AND($J12478=0,$K12478=0),0,1)</f>
        <v>1</v>
      </c>
      <c r="M12478" t="s">
        <v>469</v>
      </c>
    </row>
    <row r="12479" spans="1:13" x14ac:dyDescent="0.2">
      <c r="A12479" t="s">
        <v>465</v>
      </c>
      <c r="B12479" t="s">
        <v>6</v>
      </c>
      <c r="C12479" t="s">
        <v>11</v>
      </c>
      <c r="D12479">
        <v>6990</v>
      </c>
      <c r="E12479">
        <v>2020</v>
      </c>
      <c r="F12479">
        <v>1</v>
      </c>
      <c r="G12479">
        <v>11132</v>
      </c>
      <c r="H12479" s="1">
        <v>3</v>
      </c>
      <c r="I12479">
        <v>7</v>
      </c>
      <c r="J12479">
        <f>IF($H12479=0,1,IF($I12479&lt;=1,2,0))</f>
        <v>0</v>
      </c>
      <c r="K12479">
        <v>4</v>
      </c>
      <c r="L12479">
        <f>IF(AND($J12479=0,$K12479=0),0,1)</f>
        <v>1</v>
      </c>
      <c r="M12479" t="s">
        <v>469</v>
      </c>
    </row>
    <row r="12480" spans="1:13" x14ac:dyDescent="0.2">
      <c r="A12480" t="s">
        <v>465</v>
      </c>
      <c r="B12480" t="s">
        <v>6</v>
      </c>
      <c r="C12480" t="s">
        <v>11</v>
      </c>
      <c r="D12480">
        <v>9040</v>
      </c>
      <c r="E12480">
        <v>2020</v>
      </c>
      <c r="F12480">
        <v>1</v>
      </c>
      <c r="G12480">
        <v>11133</v>
      </c>
      <c r="H12480" s="1">
        <v>1</v>
      </c>
      <c r="I12480">
        <v>0</v>
      </c>
      <c r="J12480">
        <f>IF($H12480=0,1,IF($I12480&lt;=1,2,0))</f>
        <v>2</v>
      </c>
      <c r="K12480">
        <v>5</v>
      </c>
      <c r="L12480">
        <f>IF(AND($J12480=0,$K12480=0),0,1)</f>
        <v>1</v>
      </c>
      <c r="M12480" t="s">
        <v>469</v>
      </c>
    </row>
    <row r="12481" spans="1:13" x14ac:dyDescent="0.2">
      <c r="A12481" t="s">
        <v>473</v>
      </c>
      <c r="B12481" t="s">
        <v>6</v>
      </c>
      <c r="C12481" t="s">
        <v>9</v>
      </c>
      <c r="D12481">
        <v>2916</v>
      </c>
      <c r="E12481">
        <v>2020</v>
      </c>
      <c r="F12481">
        <v>2</v>
      </c>
      <c r="G12481">
        <v>15502</v>
      </c>
      <c r="H12481" s="1">
        <v>0</v>
      </c>
      <c r="I12481">
        <v>11</v>
      </c>
      <c r="J12481">
        <f>IF($H12481=0,1,IF($I12481&lt;=1,2,0))</f>
        <v>1</v>
      </c>
      <c r="K12481">
        <v>0</v>
      </c>
      <c r="L12481">
        <f>IF(AND($J12481=0,$K12481=0),0,1)</f>
        <v>1</v>
      </c>
      <c r="M12481" t="s">
        <v>1100</v>
      </c>
    </row>
    <row r="12482" spans="1:13" x14ac:dyDescent="0.2">
      <c r="A12482" t="s">
        <v>473</v>
      </c>
      <c r="B12482" t="s">
        <v>6</v>
      </c>
      <c r="C12482" t="s">
        <v>9</v>
      </c>
      <c r="D12482">
        <v>2916</v>
      </c>
      <c r="E12482">
        <v>2020</v>
      </c>
      <c r="F12482">
        <v>1</v>
      </c>
      <c r="G12482">
        <v>15501</v>
      </c>
      <c r="H12482" s="1">
        <v>0</v>
      </c>
      <c r="I12482">
        <v>9</v>
      </c>
      <c r="J12482">
        <f>IF($H12482=0,1,IF($I12482&lt;=1,2,0))</f>
        <v>1</v>
      </c>
      <c r="K12482">
        <v>0</v>
      </c>
      <c r="L12482">
        <f>IF(AND($J12482=0,$K12482=0),0,1)</f>
        <v>1</v>
      </c>
      <c r="M12482" t="s">
        <v>1100</v>
      </c>
    </row>
    <row r="12483" spans="1:13" x14ac:dyDescent="0.2">
      <c r="A12483" t="s">
        <v>479</v>
      </c>
      <c r="B12483" t="s">
        <v>381</v>
      </c>
      <c r="C12483" t="s">
        <v>382</v>
      </c>
      <c r="D12483">
        <v>6310</v>
      </c>
      <c r="E12483">
        <v>2020</v>
      </c>
      <c r="F12483">
        <v>1</v>
      </c>
      <c r="G12483">
        <v>20641</v>
      </c>
      <c r="H12483" s="1">
        <v>3</v>
      </c>
      <c r="I12483">
        <v>12</v>
      </c>
      <c r="J12483">
        <f>IF($H12483=0,1,IF($I12483&lt;=1,2,0))</f>
        <v>0</v>
      </c>
      <c r="K12483">
        <v>6</v>
      </c>
      <c r="L12483">
        <f>IF(AND($J12483=0,$K12483=0),0,1)</f>
        <v>1</v>
      </c>
    </row>
    <row r="12484" spans="1:13" x14ac:dyDescent="0.2">
      <c r="A12484" t="s">
        <v>479</v>
      </c>
      <c r="B12484" t="s">
        <v>381</v>
      </c>
      <c r="C12484" t="s">
        <v>382</v>
      </c>
      <c r="D12484">
        <v>6800</v>
      </c>
      <c r="E12484">
        <v>2020</v>
      </c>
      <c r="F12484">
        <v>1</v>
      </c>
      <c r="G12484">
        <v>15578</v>
      </c>
      <c r="H12484" s="1">
        <v>0</v>
      </c>
      <c r="I12484">
        <v>148</v>
      </c>
      <c r="J12484">
        <f>IF($H12484=0,1,IF($I12484&lt;=1,2,0))</f>
        <v>1</v>
      </c>
      <c r="K12484">
        <v>6</v>
      </c>
      <c r="L12484">
        <f>IF(AND($J12484=0,$K12484=0),0,1)</f>
        <v>1</v>
      </c>
      <c r="M12484" t="s">
        <v>480</v>
      </c>
    </row>
    <row r="12485" spans="1:13" x14ac:dyDescent="0.2">
      <c r="A12485" t="s">
        <v>479</v>
      </c>
      <c r="B12485" t="s">
        <v>381</v>
      </c>
      <c r="C12485" t="s">
        <v>382</v>
      </c>
      <c r="D12485">
        <v>6804</v>
      </c>
      <c r="E12485">
        <v>2020</v>
      </c>
      <c r="F12485">
        <v>4</v>
      </c>
      <c r="G12485">
        <v>20048</v>
      </c>
      <c r="H12485" s="1">
        <v>4</v>
      </c>
      <c r="I12485">
        <v>23</v>
      </c>
      <c r="J12485">
        <f>IF($H12485=0,1,IF($I12485&lt;=1,2,0))</f>
        <v>0</v>
      </c>
      <c r="K12485">
        <v>6</v>
      </c>
      <c r="L12485">
        <f>IF(AND($J12485=0,$K12485=0),0,1)</f>
        <v>1</v>
      </c>
      <c r="M12485" t="s">
        <v>480</v>
      </c>
    </row>
    <row r="12486" spans="1:13" x14ac:dyDescent="0.2">
      <c r="A12486" t="s">
        <v>479</v>
      </c>
      <c r="B12486" t="s">
        <v>381</v>
      </c>
      <c r="C12486" t="s">
        <v>382</v>
      </c>
      <c r="D12486">
        <v>6804</v>
      </c>
      <c r="E12486">
        <v>2020</v>
      </c>
      <c r="F12486">
        <v>6</v>
      </c>
      <c r="G12486">
        <v>20050</v>
      </c>
      <c r="H12486" s="1">
        <v>4</v>
      </c>
      <c r="I12486">
        <v>23</v>
      </c>
      <c r="J12486">
        <f>IF($H12486=0,1,IF($I12486&lt;=1,2,0))</f>
        <v>0</v>
      </c>
      <c r="K12486">
        <v>6</v>
      </c>
      <c r="L12486">
        <f>IF(AND($J12486=0,$K12486=0),0,1)</f>
        <v>1</v>
      </c>
      <c r="M12486" t="s">
        <v>480</v>
      </c>
    </row>
    <row r="12487" spans="1:13" x14ac:dyDescent="0.2">
      <c r="A12487" t="s">
        <v>479</v>
      </c>
      <c r="B12487" t="s">
        <v>381</v>
      </c>
      <c r="C12487" t="s">
        <v>382</v>
      </c>
      <c r="D12487">
        <v>6804</v>
      </c>
      <c r="E12487">
        <v>2020</v>
      </c>
      <c r="F12487">
        <v>2</v>
      </c>
      <c r="G12487">
        <v>15580</v>
      </c>
      <c r="H12487" s="1">
        <v>4</v>
      </c>
      <c r="I12487">
        <v>22</v>
      </c>
      <c r="J12487">
        <f>IF($H12487=0,1,IF($I12487&lt;=1,2,0))</f>
        <v>0</v>
      </c>
      <c r="K12487">
        <v>6</v>
      </c>
      <c r="L12487">
        <f>IF(AND($J12487=0,$K12487=0),0,1)</f>
        <v>1</v>
      </c>
      <c r="M12487" t="s">
        <v>480</v>
      </c>
    </row>
    <row r="12488" spans="1:13" x14ac:dyDescent="0.2">
      <c r="A12488" t="s">
        <v>479</v>
      </c>
      <c r="B12488" t="s">
        <v>381</v>
      </c>
      <c r="C12488" t="s">
        <v>382</v>
      </c>
      <c r="D12488">
        <v>6804</v>
      </c>
      <c r="E12488">
        <v>2020</v>
      </c>
      <c r="F12488">
        <v>5</v>
      </c>
      <c r="G12488">
        <v>20049</v>
      </c>
      <c r="H12488" s="1">
        <v>4</v>
      </c>
      <c r="I12488">
        <v>21</v>
      </c>
      <c r="J12488">
        <f>IF($H12488=0,1,IF($I12488&lt;=1,2,0))</f>
        <v>0</v>
      </c>
      <c r="K12488">
        <v>6</v>
      </c>
      <c r="L12488">
        <f>IF(AND($J12488=0,$K12488=0),0,1)</f>
        <v>1</v>
      </c>
      <c r="M12488" t="s">
        <v>480</v>
      </c>
    </row>
    <row r="12489" spans="1:13" x14ac:dyDescent="0.2">
      <c r="A12489" t="s">
        <v>479</v>
      </c>
      <c r="B12489" t="s">
        <v>381</v>
      </c>
      <c r="C12489" t="s">
        <v>382</v>
      </c>
      <c r="D12489">
        <v>6804</v>
      </c>
      <c r="E12489">
        <v>2020</v>
      </c>
      <c r="F12489">
        <v>1</v>
      </c>
      <c r="G12489">
        <v>15579</v>
      </c>
      <c r="H12489" s="1">
        <v>4</v>
      </c>
      <c r="I12489">
        <v>20</v>
      </c>
      <c r="J12489">
        <f>IF($H12489=0,1,IF($I12489&lt;=1,2,0))</f>
        <v>0</v>
      </c>
      <c r="K12489">
        <v>6</v>
      </c>
      <c r="L12489">
        <f>IF(AND($J12489=0,$K12489=0),0,1)</f>
        <v>1</v>
      </c>
      <c r="M12489" t="s">
        <v>480</v>
      </c>
    </row>
    <row r="12490" spans="1:13" x14ac:dyDescent="0.2">
      <c r="A12490" t="s">
        <v>479</v>
      </c>
      <c r="B12490" t="s">
        <v>381</v>
      </c>
      <c r="C12490" t="s">
        <v>382</v>
      </c>
      <c r="D12490">
        <v>6804</v>
      </c>
      <c r="E12490">
        <v>2020</v>
      </c>
      <c r="F12490">
        <v>3</v>
      </c>
      <c r="G12490">
        <v>15581</v>
      </c>
      <c r="H12490" s="1">
        <v>4</v>
      </c>
      <c r="I12490">
        <v>20</v>
      </c>
      <c r="J12490">
        <f>IF($H12490=0,1,IF($I12490&lt;=1,2,0))</f>
        <v>0</v>
      </c>
      <c r="K12490">
        <v>6</v>
      </c>
      <c r="L12490">
        <f>IF(AND($J12490=0,$K12490=0),0,1)</f>
        <v>1</v>
      </c>
      <c r="M12490" t="s">
        <v>480</v>
      </c>
    </row>
    <row r="12491" spans="1:13" x14ac:dyDescent="0.2">
      <c r="A12491" t="s">
        <v>479</v>
      </c>
      <c r="B12491" t="s">
        <v>381</v>
      </c>
      <c r="C12491" t="s">
        <v>382</v>
      </c>
      <c r="D12491">
        <v>6804</v>
      </c>
      <c r="E12491">
        <v>2020</v>
      </c>
      <c r="F12491">
        <v>7</v>
      </c>
      <c r="G12491">
        <v>20051</v>
      </c>
      <c r="H12491" s="1">
        <v>4</v>
      </c>
      <c r="I12491">
        <v>19</v>
      </c>
      <c r="J12491">
        <f>IF($H12491=0,1,IF($I12491&lt;=1,2,0))</f>
        <v>0</v>
      </c>
      <c r="K12491">
        <v>6</v>
      </c>
      <c r="L12491">
        <f>IF(AND($J12491=0,$K12491=0),0,1)</f>
        <v>1</v>
      </c>
      <c r="M12491" t="s">
        <v>480</v>
      </c>
    </row>
    <row r="12492" spans="1:13" x14ac:dyDescent="0.2">
      <c r="A12492" t="s">
        <v>482</v>
      </c>
      <c r="B12492" t="s">
        <v>71</v>
      </c>
      <c r="C12492" t="s">
        <v>72</v>
      </c>
      <c r="D12492">
        <v>4200</v>
      </c>
      <c r="E12492">
        <v>2020</v>
      </c>
      <c r="F12492">
        <v>1</v>
      </c>
      <c r="G12492">
        <v>11354</v>
      </c>
      <c r="H12492" s="1">
        <v>3</v>
      </c>
      <c r="I12492">
        <v>45</v>
      </c>
      <c r="J12492">
        <f>IF($H12492=0,1,IF($I12492&lt;=1,2,0))</f>
        <v>0</v>
      </c>
      <c r="K12492">
        <v>4</v>
      </c>
      <c r="L12492">
        <f>IF(AND($J12492=0,$K12492=0),0,1)</f>
        <v>1</v>
      </c>
      <c r="M12492" t="s">
        <v>2004</v>
      </c>
    </row>
    <row r="12493" spans="1:13" x14ac:dyDescent="0.2">
      <c r="A12493" t="s">
        <v>483</v>
      </c>
      <c r="B12493" t="s">
        <v>71</v>
      </c>
      <c r="C12493" t="s">
        <v>72</v>
      </c>
      <c r="D12493">
        <v>3900</v>
      </c>
      <c r="E12493">
        <v>2020</v>
      </c>
      <c r="F12493">
        <v>15</v>
      </c>
      <c r="G12493">
        <v>22672</v>
      </c>
      <c r="H12493" s="1" t="s">
        <v>1827</v>
      </c>
      <c r="I12493">
        <v>2</v>
      </c>
      <c r="J12493">
        <f>IF($H12493=0,1,IF($I12493&lt;=1,2,0))</f>
        <v>0</v>
      </c>
      <c r="K12493">
        <v>9</v>
      </c>
      <c r="L12493">
        <f>IF(AND($J12493=0,$K12493=0),0,1)</f>
        <v>1</v>
      </c>
    </row>
    <row r="12494" spans="1:13" x14ac:dyDescent="0.2">
      <c r="A12494" t="s">
        <v>483</v>
      </c>
      <c r="B12494" t="s">
        <v>71</v>
      </c>
      <c r="C12494" t="s">
        <v>72</v>
      </c>
      <c r="D12494">
        <v>3900</v>
      </c>
      <c r="E12494">
        <v>2020</v>
      </c>
      <c r="F12494">
        <v>31</v>
      </c>
      <c r="G12494">
        <v>23282</v>
      </c>
      <c r="H12494" s="1" t="s">
        <v>1827</v>
      </c>
      <c r="I12494">
        <v>2</v>
      </c>
      <c r="J12494">
        <f>IF($H12494=0,1,IF($I12494&lt;=1,2,0))</f>
        <v>0</v>
      </c>
      <c r="K12494">
        <v>9</v>
      </c>
      <c r="L12494">
        <f>IF(AND($J12494=0,$K12494=0),0,1)</f>
        <v>1</v>
      </c>
    </row>
    <row r="12495" spans="1:13" x14ac:dyDescent="0.2">
      <c r="A12495" t="s">
        <v>483</v>
      </c>
      <c r="B12495" t="s">
        <v>71</v>
      </c>
      <c r="C12495" t="s">
        <v>72</v>
      </c>
      <c r="D12495">
        <v>3900</v>
      </c>
      <c r="E12495">
        <v>2020</v>
      </c>
      <c r="F12495">
        <v>1</v>
      </c>
      <c r="G12495">
        <v>22658</v>
      </c>
      <c r="H12495" s="1" t="s">
        <v>1827</v>
      </c>
      <c r="I12495">
        <v>0</v>
      </c>
      <c r="J12495">
        <f>IF($H12495=0,1,IF($I12495&lt;=1,2,0))</f>
        <v>2</v>
      </c>
      <c r="K12495">
        <v>9</v>
      </c>
      <c r="L12495">
        <f>IF(AND($J12495=0,$K12495=0),0,1)</f>
        <v>1</v>
      </c>
    </row>
    <row r="12496" spans="1:13" x14ac:dyDescent="0.2">
      <c r="A12496" t="s">
        <v>483</v>
      </c>
      <c r="B12496" t="s">
        <v>71</v>
      </c>
      <c r="C12496" t="s">
        <v>72</v>
      </c>
      <c r="D12496">
        <v>3900</v>
      </c>
      <c r="E12496">
        <v>2020</v>
      </c>
      <c r="F12496">
        <v>2</v>
      </c>
      <c r="G12496">
        <v>22659</v>
      </c>
      <c r="H12496" s="1" t="s">
        <v>1827</v>
      </c>
      <c r="I12496">
        <v>0</v>
      </c>
      <c r="J12496">
        <f>IF($H12496=0,1,IF($I12496&lt;=1,2,0))</f>
        <v>2</v>
      </c>
      <c r="K12496">
        <v>9</v>
      </c>
      <c r="L12496">
        <f>IF(AND($J12496=0,$K12496=0),0,1)</f>
        <v>1</v>
      </c>
    </row>
    <row r="12497" spans="1:12" x14ac:dyDescent="0.2">
      <c r="A12497" t="s">
        <v>483</v>
      </c>
      <c r="B12497" t="s">
        <v>71</v>
      </c>
      <c r="C12497" t="s">
        <v>72</v>
      </c>
      <c r="D12497">
        <v>3900</v>
      </c>
      <c r="E12497">
        <v>2020</v>
      </c>
      <c r="F12497">
        <v>3</v>
      </c>
      <c r="G12497">
        <v>22660</v>
      </c>
      <c r="H12497" s="1" t="s">
        <v>1827</v>
      </c>
      <c r="I12497">
        <v>0</v>
      </c>
      <c r="J12497">
        <f>IF($H12497=0,1,IF($I12497&lt;=1,2,0))</f>
        <v>2</v>
      </c>
      <c r="K12497">
        <v>9</v>
      </c>
      <c r="L12497">
        <f>IF(AND($J12497=0,$K12497=0),0,1)</f>
        <v>1</v>
      </c>
    </row>
    <row r="12498" spans="1:12" x14ac:dyDescent="0.2">
      <c r="A12498" t="s">
        <v>483</v>
      </c>
      <c r="B12498" t="s">
        <v>71</v>
      </c>
      <c r="C12498" t="s">
        <v>72</v>
      </c>
      <c r="D12498">
        <v>3900</v>
      </c>
      <c r="E12498">
        <v>2020</v>
      </c>
      <c r="F12498">
        <v>4</v>
      </c>
      <c r="G12498">
        <v>22661</v>
      </c>
      <c r="H12498" s="1" t="s">
        <v>1827</v>
      </c>
      <c r="I12498">
        <v>0</v>
      </c>
      <c r="J12498">
        <f>IF($H12498=0,1,IF($I12498&lt;=1,2,0))</f>
        <v>2</v>
      </c>
      <c r="K12498">
        <v>9</v>
      </c>
      <c r="L12498">
        <f>IF(AND($J12498=0,$K12498=0),0,1)</f>
        <v>1</v>
      </c>
    </row>
    <row r="12499" spans="1:12" x14ac:dyDescent="0.2">
      <c r="A12499" t="s">
        <v>483</v>
      </c>
      <c r="B12499" t="s">
        <v>71</v>
      </c>
      <c r="C12499" t="s">
        <v>72</v>
      </c>
      <c r="D12499">
        <v>3900</v>
      </c>
      <c r="E12499">
        <v>2020</v>
      </c>
      <c r="F12499">
        <v>5</v>
      </c>
      <c r="G12499">
        <v>22662</v>
      </c>
      <c r="H12499" s="1" t="s">
        <v>1827</v>
      </c>
      <c r="I12499">
        <v>0</v>
      </c>
      <c r="J12499">
        <f>IF($H12499=0,1,IF($I12499&lt;=1,2,0))</f>
        <v>2</v>
      </c>
      <c r="K12499">
        <v>9</v>
      </c>
      <c r="L12499">
        <f>IF(AND($J12499=0,$K12499=0),0,1)</f>
        <v>1</v>
      </c>
    </row>
    <row r="12500" spans="1:12" x14ac:dyDescent="0.2">
      <c r="A12500" t="s">
        <v>483</v>
      </c>
      <c r="B12500" t="s">
        <v>71</v>
      </c>
      <c r="C12500" t="s">
        <v>72</v>
      </c>
      <c r="D12500">
        <v>3900</v>
      </c>
      <c r="E12500">
        <v>2020</v>
      </c>
      <c r="F12500">
        <v>6</v>
      </c>
      <c r="G12500">
        <v>22663</v>
      </c>
      <c r="H12500" s="1" t="s">
        <v>1827</v>
      </c>
      <c r="I12500">
        <v>0</v>
      </c>
      <c r="J12500">
        <f>IF($H12500=0,1,IF($I12500&lt;=1,2,0))</f>
        <v>2</v>
      </c>
      <c r="K12500">
        <v>9</v>
      </c>
      <c r="L12500">
        <f>IF(AND($J12500=0,$K12500=0),0,1)</f>
        <v>1</v>
      </c>
    </row>
    <row r="12501" spans="1:12" x14ac:dyDescent="0.2">
      <c r="A12501" t="s">
        <v>483</v>
      </c>
      <c r="B12501" t="s">
        <v>71</v>
      </c>
      <c r="C12501" t="s">
        <v>72</v>
      </c>
      <c r="D12501">
        <v>3900</v>
      </c>
      <c r="E12501">
        <v>2020</v>
      </c>
      <c r="F12501">
        <v>7</v>
      </c>
      <c r="G12501">
        <v>22664</v>
      </c>
      <c r="H12501" s="1" t="s">
        <v>1827</v>
      </c>
      <c r="I12501">
        <v>0</v>
      </c>
      <c r="J12501">
        <f>IF($H12501=0,1,IF($I12501&lt;=1,2,0))</f>
        <v>2</v>
      </c>
      <c r="K12501">
        <v>9</v>
      </c>
      <c r="L12501">
        <f>IF(AND($J12501=0,$K12501=0),0,1)</f>
        <v>1</v>
      </c>
    </row>
    <row r="12502" spans="1:12" x14ac:dyDescent="0.2">
      <c r="A12502" t="s">
        <v>483</v>
      </c>
      <c r="B12502" t="s">
        <v>71</v>
      </c>
      <c r="C12502" t="s">
        <v>72</v>
      </c>
      <c r="D12502">
        <v>3900</v>
      </c>
      <c r="E12502">
        <v>2020</v>
      </c>
      <c r="F12502">
        <v>8</v>
      </c>
      <c r="G12502">
        <v>22665</v>
      </c>
      <c r="H12502" s="1" t="s">
        <v>1827</v>
      </c>
      <c r="I12502">
        <v>0</v>
      </c>
      <c r="J12502">
        <f>IF($H12502=0,1,IF($I12502&lt;=1,2,0))</f>
        <v>2</v>
      </c>
      <c r="K12502">
        <v>9</v>
      </c>
      <c r="L12502">
        <f>IF(AND($J12502=0,$K12502=0),0,1)</f>
        <v>1</v>
      </c>
    </row>
    <row r="12503" spans="1:12" x14ac:dyDescent="0.2">
      <c r="A12503" t="s">
        <v>483</v>
      </c>
      <c r="B12503" t="s">
        <v>71</v>
      </c>
      <c r="C12503" t="s">
        <v>72</v>
      </c>
      <c r="D12503">
        <v>3900</v>
      </c>
      <c r="E12503">
        <v>2020</v>
      </c>
      <c r="F12503">
        <v>9</v>
      </c>
      <c r="G12503">
        <v>22666</v>
      </c>
      <c r="H12503" s="1" t="s">
        <v>1827</v>
      </c>
      <c r="I12503">
        <v>0</v>
      </c>
      <c r="J12503">
        <f>IF($H12503=0,1,IF($I12503&lt;=1,2,0))</f>
        <v>2</v>
      </c>
      <c r="K12503">
        <v>9</v>
      </c>
      <c r="L12503">
        <f>IF(AND($J12503=0,$K12503=0),0,1)</f>
        <v>1</v>
      </c>
    </row>
    <row r="12504" spans="1:12" x14ac:dyDescent="0.2">
      <c r="A12504" t="s">
        <v>483</v>
      </c>
      <c r="B12504" t="s">
        <v>71</v>
      </c>
      <c r="C12504" t="s">
        <v>72</v>
      </c>
      <c r="D12504">
        <v>3900</v>
      </c>
      <c r="E12504">
        <v>2020</v>
      </c>
      <c r="F12504">
        <v>10</v>
      </c>
      <c r="G12504">
        <v>22667</v>
      </c>
      <c r="H12504" s="1" t="s">
        <v>1827</v>
      </c>
      <c r="I12504">
        <v>0</v>
      </c>
      <c r="J12504">
        <f>IF($H12504=0,1,IF($I12504&lt;=1,2,0))</f>
        <v>2</v>
      </c>
      <c r="K12504">
        <v>9</v>
      </c>
      <c r="L12504">
        <f>IF(AND($J12504=0,$K12504=0),0,1)</f>
        <v>1</v>
      </c>
    </row>
    <row r="12505" spans="1:12" x14ac:dyDescent="0.2">
      <c r="A12505" t="s">
        <v>483</v>
      </c>
      <c r="B12505" t="s">
        <v>71</v>
      </c>
      <c r="C12505" t="s">
        <v>72</v>
      </c>
      <c r="D12505">
        <v>3900</v>
      </c>
      <c r="E12505">
        <v>2020</v>
      </c>
      <c r="F12505">
        <v>11</v>
      </c>
      <c r="G12505">
        <v>22668</v>
      </c>
      <c r="H12505" s="1" t="s">
        <v>1827</v>
      </c>
      <c r="I12505">
        <v>0</v>
      </c>
      <c r="J12505">
        <f>IF($H12505=0,1,IF($I12505&lt;=1,2,0))</f>
        <v>2</v>
      </c>
      <c r="K12505">
        <v>9</v>
      </c>
      <c r="L12505">
        <f>IF(AND($J12505=0,$K12505=0),0,1)</f>
        <v>1</v>
      </c>
    </row>
    <row r="12506" spans="1:12" x14ac:dyDescent="0.2">
      <c r="A12506" t="s">
        <v>483</v>
      </c>
      <c r="B12506" t="s">
        <v>71</v>
      </c>
      <c r="C12506" t="s">
        <v>72</v>
      </c>
      <c r="D12506">
        <v>3900</v>
      </c>
      <c r="E12506">
        <v>2020</v>
      </c>
      <c r="F12506">
        <v>12</v>
      </c>
      <c r="G12506">
        <v>22669</v>
      </c>
      <c r="H12506" s="1" t="s">
        <v>1827</v>
      </c>
      <c r="I12506">
        <v>0</v>
      </c>
      <c r="J12506">
        <f>IF($H12506=0,1,IF($I12506&lt;=1,2,0))</f>
        <v>2</v>
      </c>
      <c r="K12506">
        <v>9</v>
      </c>
      <c r="L12506">
        <f>IF(AND($J12506=0,$K12506=0),0,1)</f>
        <v>1</v>
      </c>
    </row>
    <row r="12507" spans="1:12" x14ac:dyDescent="0.2">
      <c r="A12507" t="s">
        <v>483</v>
      </c>
      <c r="B12507" t="s">
        <v>71</v>
      </c>
      <c r="C12507" t="s">
        <v>72</v>
      </c>
      <c r="D12507">
        <v>3900</v>
      </c>
      <c r="E12507">
        <v>2020</v>
      </c>
      <c r="F12507">
        <v>13</v>
      </c>
      <c r="G12507">
        <v>22670</v>
      </c>
      <c r="H12507" s="1" t="s">
        <v>1827</v>
      </c>
      <c r="I12507">
        <v>0</v>
      </c>
      <c r="J12507">
        <f>IF($H12507=0,1,IF($I12507&lt;=1,2,0))</f>
        <v>2</v>
      </c>
      <c r="K12507">
        <v>9</v>
      </c>
      <c r="L12507">
        <f>IF(AND($J12507=0,$K12507=0),0,1)</f>
        <v>1</v>
      </c>
    </row>
    <row r="12508" spans="1:12" x14ac:dyDescent="0.2">
      <c r="A12508" t="s">
        <v>483</v>
      </c>
      <c r="B12508" t="s">
        <v>71</v>
      </c>
      <c r="C12508" t="s">
        <v>72</v>
      </c>
      <c r="D12508">
        <v>3900</v>
      </c>
      <c r="E12508">
        <v>2020</v>
      </c>
      <c r="F12508">
        <v>14</v>
      </c>
      <c r="G12508">
        <v>22671</v>
      </c>
      <c r="H12508" s="1" t="s">
        <v>1827</v>
      </c>
      <c r="I12508">
        <v>0</v>
      </c>
      <c r="J12508">
        <f>IF($H12508=0,1,IF($I12508&lt;=1,2,0))</f>
        <v>2</v>
      </c>
      <c r="K12508">
        <v>9</v>
      </c>
      <c r="L12508">
        <f>IF(AND($J12508=0,$K12508=0),0,1)</f>
        <v>1</v>
      </c>
    </row>
    <row r="12509" spans="1:12" x14ac:dyDescent="0.2">
      <c r="A12509" t="s">
        <v>483</v>
      </c>
      <c r="B12509" t="s">
        <v>71</v>
      </c>
      <c r="C12509" t="s">
        <v>72</v>
      </c>
      <c r="D12509">
        <v>3900</v>
      </c>
      <c r="E12509">
        <v>2020</v>
      </c>
      <c r="F12509">
        <v>16</v>
      </c>
      <c r="G12509">
        <v>22673</v>
      </c>
      <c r="H12509" s="1" t="s">
        <v>1827</v>
      </c>
      <c r="I12509">
        <v>0</v>
      </c>
      <c r="J12509">
        <f>IF($H12509=0,1,IF($I12509&lt;=1,2,0))</f>
        <v>2</v>
      </c>
      <c r="K12509">
        <v>9</v>
      </c>
      <c r="L12509">
        <f>IF(AND($J12509=0,$K12509=0),0,1)</f>
        <v>1</v>
      </c>
    </row>
    <row r="12510" spans="1:12" x14ac:dyDescent="0.2">
      <c r="A12510" t="s">
        <v>483</v>
      </c>
      <c r="B12510" t="s">
        <v>71</v>
      </c>
      <c r="C12510" t="s">
        <v>72</v>
      </c>
      <c r="D12510">
        <v>3900</v>
      </c>
      <c r="E12510">
        <v>2020</v>
      </c>
      <c r="F12510">
        <v>17</v>
      </c>
      <c r="G12510">
        <v>22674</v>
      </c>
      <c r="H12510" s="1" t="s">
        <v>1827</v>
      </c>
      <c r="I12510">
        <v>0</v>
      </c>
      <c r="J12510">
        <f>IF($H12510=0,1,IF($I12510&lt;=1,2,0))</f>
        <v>2</v>
      </c>
      <c r="K12510">
        <v>9</v>
      </c>
      <c r="L12510">
        <f>IF(AND($J12510=0,$K12510=0),0,1)</f>
        <v>1</v>
      </c>
    </row>
    <row r="12511" spans="1:12" x14ac:dyDescent="0.2">
      <c r="A12511" t="s">
        <v>483</v>
      </c>
      <c r="B12511" t="s">
        <v>71</v>
      </c>
      <c r="C12511" t="s">
        <v>72</v>
      </c>
      <c r="D12511">
        <v>3900</v>
      </c>
      <c r="E12511">
        <v>2020</v>
      </c>
      <c r="F12511">
        <v>18</v>
      </c>
      <c r="G12511">
        <v>22675</v>
      </c>
      <c r="H12511" s="1" t="s">
        <v>1827</v>
      </c>
      <c r="I12511">
        <v>0</v>
      </c>
      <c r="J12511">
        <f>IF($H12511=0,1,IF($I12511&lt;=1,2,0))</f>
        <v>2</v>
      </c>
      <c r="K12511">
        <v>9</v>
      </c>
      <c r="L12511">
        <f>IF(AND($J12511=0,$K12511=0),0,1)</f>
        <v>1</v>
      </c>
    </row>
    <row r="12512" spans="1:12" x14ac:dyDescent="0.2">
      <c r="A12512" t="s">
        <v>483</v>
      </c>
      <c r="B12512" t="s">
        <v>71</v>
      </c>
      <c r="C12512" t="s">
        <v>72</v>
      </c>
      <c r="D12512">
        <v>3900</v>
      </c>
      <c r="E12512">
        <v>2020</v>
      </c>
      <c r="F12512">
        <v>19</v>
      </c>
      <c r="G12512">
        <v>22676</v>
      </c>
      <c r="H12512" s="1" t="s">
        <v>1827</v>
      </c>
      <c r="I12512">
        <v>0</v>
      </c>
      <c r="J12512">
        <f>IF($H12512=0,1,IF($I12512&lt;=1,2,0))</f>
        <v>2</v>
      </c>
      <c r="K12512">
        <v>9</v>
      </c>
      <c r="L12512">
        <f>IF(AND($J12512=0,$K12512=0),0,1)</f>
        <v>1</v>
      </c>
    </row>
    <row r="12513" spans="1:13" x14ac:dyDescent="0.2">
      <c r="A12513" t="s">
        <v>483</v>
      </c>
      <c r="B12513" t="s">
        <v>71</v>
      </c>
      <c r="C12513" t="s">
        <v>72</v>
      </c>
      <c r="D12513">
        <v>3900</v>
      </c>
      <c r="E12513">
        <v>2020</v>
      </c>
      <c r="F12513">
        <v>20</v>
      </c>
      <c r="G12513">
        <v>22677</v>
      </c>
      <c r="H12513" s="1" t="s">
        <v>1827</v>
      </c>
      <c r="I12513">
        <v>0</v>
      </c>
      <c r="J12513">
        <f>IF($H12513=0,1,IF($I12513&lt;=1,2,0))</f>
        <v>2</v>
      </c>
      <c r="K12513">
        <v>9</v>
      </c>
      <c r="L12513">
        <f>IF(AND($J12513=0,$K12513=0),0,1)</f>
        <v>1</v>
      </c>
    </row>
    <row r="12514" spans="1:13" x14ac:dyDescent="0.2">
      <c r="A12514" t="s">
        <v>483</v>
      </c>
      <c r="B12514" t="s">
        <v>71</v>
      </c>
      <c r="C12514" t="s">
        <v>72</v>
      </c>
      <c r="D12514">
        <v>3900</v>
      </c>
      <c r="E12514">
        <v>2020</v>
      </c>
      <c r="F12514">
        <v>21</v>
      </c>
      <c r="G12514">
        <v>22678</v>
      </c>
      <c r="H12514" s="1" t="s">
        <v>1827</v>
      </c>
      <c r="I12514">
        <v>0</v>
      </c>
      <c r="J12514">
        <f>IF($H12514=0,1,IF($I12514&lt;=1,2,0))</f>
        <v>2</v>
      </c>
      <c r="K12514">
        <v>9</v>
      </c>
      <c r="L12514">
        <f>IF(AND($J12514=0,$K12514=0),0,1)</f>
        <v>1</v>
      </c>
    </row>
    <row r="12515" spans="1:13" x14ac:dyDescent="0.2">
      <c r="A12515" t="s">
        <v>483</v>
      </c>
      <c r="B12515" t="s">
        <v>71</v>
      </c>
      <c r="C12515" t="s">
        <v>72</v>
      </c>
      <c r="D12515">
        <v>3900</v>
      </c>
      <c r="E12515">
        <v>2020</v>
      </c>
      <c r="F12515">
        <v>22</v>
      </c>
      <c r="G12515">
        <v>22679</v>
      </c>
      <c r="H12515" s="1" t="s">
        <v>1827</v>
      </c>
      <c r="I12515">
        <v>0</v>
      </c>
      <c r="J12515">
        <f>IF($H12515=0,1,IF($I12515&lt;=1,2,0))</f>
        <v>2</v>
      </c>
      <c r="K12515">
        <v>9</v>
      </c>
      <c r="L12515">
        <f>IF(AND($J12515=0,$K12515=0),0,1)</f>
        <v>1</v>
      </c>
    </row>
    <row r="12516" spans="1:13" x14ac:dyDescent="0.2">
      <c r="A12516" t="s">
        <v>483</v>
      </c>
      <c r="B12516" t="s">
        <v>71</v>
      </c>
      <c r="C12516" t="s">
        <v>72</v>
      </c>
      <c r="D12516">
        <v>3900</v>
      </c>
      <c r="E12516">
        <v>2020</v>
      </c>
      <c r="F12516">
        <v>23</v>
      </c>
      <c r="G12516">
        <v>22680</v>
      </c>
      <c r="H12516" s="1" t="s">
        <v>1827</v>
      </c>
      <c r="I12516">
        <v>0</v>
      </c>
      <c r="J12516">
        <f>IF($H12516=0,1,IF($I12516&lt;=1,2,0))</f>
        <v>2</v>
      </c>
      <c r="K12516">
        <v>9</v>
      </c>
      <c r="L12516">
        <f>IF(AND($J12516=0,$K12516=0),0,1)</f>
        <v>1</v>
      </c>
    </row>
    <row r="12517" spans="1:13" x14ac:dyDescent="0.2">
      <c r="A12517" t="s">
        <v>483</v>
      </c>
      <c r="B12517" t="s">
        <v>71</v>
      </c>
      <c r="C12517" t="s">
        <v>72</v>
      </c>
      <c r="D12517">
        <v>3900</v>
      </c>
      <c r="E12517">
        <v>2020</v>
      </c>
      <c r="F12517">
        <v>24</v>
      </c>
      <c r="G12517">
        <v>22681</v>
      </c>
      <c r="H12517" s="1" t="s">
        <v>1827</v>
      </c>
      <c r="I12517">
        <v>0</v>
      </c>
      <c r="J12517">
        <f>IF($H12517=0,1,IF($I12517&lt;=1,2,0))</f>
        <v>2</v>
      </c>
      <c r="K12517">
        <v>9</v>
      </c>
      <c r="L12517">
        <f>IF(AND($J12517=0,$K12517=0),0,1)</f>
        <v>1</v>
      </c>
    </row>
    <row r="12518" spans="1:13" x14ac:dyDescent="0.2">
      <c r="A12518" t="s">
        <v>483</v>
      </c>
      <c r="B12518" t="s">
        <v>71</v>
      </c>
      <c r="C12518" t="s">
        <v>72</v>
      </c>
      <c r="D12518">
        <v>3900</v>
      </c>
      <c r="E12518">
        <v>2020</v>
      </c>
      <c r="F12518">
        <v>25</v>
      </c>
      <c r="G12518">
        <v>22682</v>
      </c>
      <c r="H12518" s="1" t="s">
        <v>1827</v>
      </c>
      <c r="I12518">
        <v>0</v>
      </c>
      <c r="J12518">
        <f>IF($H12518=0,1,IF($I12518&lt;=1,2,0))</f>
        <v>2</v>
      </c>
      <c r="K12518">
        <v>9</v>
      </c>
      <c r="L12518">
        <f>IF(AND($J12518=0,$K12518=0),0,1)</f>
        <v>1</v>
      </c>
    </row>
    <row r="12519" spans="1:13" x14ac:dyDescent="0.2">
      <c r="A12519" t="s">
        <v>483</v>
      </c>
      <c r="B12519" t="s">
        <v>71</v>
      </c>
      <c r="C12519" t="s">
        <v>72</v>
      </c>
      <c r="D12519">
        <v>3900</v>
      </c>
      <c r="E12519">
        <v>2020</v>
      </c>
      <c r="F12519">
        <v>26</v>
      </c>
      <c r="G12519">
        <v>22683</v>
      </c>
      <c r="H12519" s="1" t="s">
        <v>1827</v>
      </c>
      <c r="I12519">
        <v>0</v>
      </c>
      <c r="J12519">
        <f>IF($H12519=0,1,IF($I12519&lt;=1,2,0))</f>
        <v>2</v>
      </c>
      <c r="K12519">
        <v>9</v>
      </c>
      <c r="L12519">
        <f>IF(AND($J12519=0,$K12519=0),0,1)</f>
        <v>1</v>
      </c>
    </row>
    <row r="12520" spans="1:13" x14ac:dyDescent="0.2">
      <c r="A12520" t="s">
        <v>483</v>
      </c>
      <c r="B12520" t="s">
        <v>71</v>
      </c>
      <c r="C12520" t="s">
        <v>72</v>
      </c>
      <c r="D12520">
        <v>3900</v>
      </c>
      <c r="E12520">
        <v>2020</v>
      </c>
      <c r="F12520">
        <v>27</v>
      </c>
      <c r="G12520">
        <v>22684</v>
      </c>
      <c r="H12520" s="1" t="s">
        <v>1827</v>
      </c>
      <c r="I12520">
        <v>0</v>
      </c>
      <c r="J12520">
        <f>IF($H12520=0,1,IF($I12520&lt;=1,2,0))</f>
        <v>2</v>
      </c>
      <c r="K12520">
        <v>9</v>
      </c>
      <c r="L12520">
        <f>IF(AND($J12520=0,$K12520=0),0,1)</f>
        <v>1</v>
      </c>
    </row>
    <row r="12521" spans="1:13" x14ac:dyDescent="0.2">
      <c r="A12521" t="s">
        <v>483</v>
      </c>
      <c r="B12521" t="s">
        <v>71</v>
      </c>
      <c r="C12521" t="s">
        <v>72</v>
      </c>
      <c r="D12521">
        <v>3900</v>
      </c>
      <c r="E12521">
        <v>2020</v>
      </c>
      <c r="F12521">
        <v>28</v>
      </c>
      <c r="G12521">
        <v>22685</v>
      </c>
      <c r="H12521" s="1" t="s">
        <v>1827</v>
      </c>
      <c r="I12521">
        <v>0</v>
      </c>
      <c r="J12521">
        <f>IF($H12521=0,1,IF($I12521&lt;=1,2,0))</f>
        <v>2</v>
      </c>
      <c r="K12521">
        <v>9</v>
      </c>
      <c r="L12521">
        <f>IF(AND($J12521=0,$K12521=0),0,1)</f>
        <v>1</v>
      </c>
    </row>
    <row r="12522" spans="1:13" x14ac:dyDescent="0.2">
      <c r="A12522" t="s">
        <v>483</v>
      </c>
      <c r="B12522" t="s">
        <v>71</v>
      </c>
      <c r="C12522" t="s">
        <v>72</v>
      </c>
      <c r="D12522">
        <v>3900</v>
      </c>
      <c r="E12522">
        <v>2020</v>
      </c>
      <c r="F12522">
        <v>29</v>
      </c>
      <c r="G12522">
        <v>22686</v>
      </c>
      <c r="H12522" s="1" t="s">
        <v>1827</v>
      </c>
      <c r="I12522">
        <v>0</v>
      </c>
      <c r="J12522">
        <f>IF($H12522=0,1,IF($I12522&lt;=1,2,0))</f>
        <v>2</v>
      </c>
      <c r="K12522">
        <v>9</v>
      </c>
      <c r="L12522">
        <f>IF(AND($J12522=0,$K12522=0),0,1)</f>
        <v>1</v>
      </c>
    </row>
    <row r="12523" spans="1:13" x14ac:dyDescent="0.2">
      <c r="A12523" t="s">
        <v>483</v>
      </c>
      <c r="B12523" t="s">
        <v>71</v>
      </c>
      <c r="C12523" t="s">
        <v>72</v>
      </c>
      <c r="D12523">
        <v>3900</v>
      </c>
      <c r="E12523">
        <v>2020</v>
      </c>
      <c r="F12523">
        <v>30</v>
      </c>
      <c r="G12523">
        <v>22687</v>
      </c>
      <c r="H12523" s="1" t="s">
        <v>1827</v>
      </c>
      <c r="I12523">
        <v>0</v>
      </c>
      <c r="J12523">
        <f>IF($H12523=0,1,IF($I12523&lt;=1,2,0))</f>
        <v>2</v>
      </c>
      <c r="K12523">
        <v>9</v>
      </c>
      <c r="L12523">
        <f>IF(AND($J12523=0,$K12523=0),0,1)</f>
        <v>1</v>
      </c>
    </row>
    <row r="12524" spans="1:13" x14ac:dyDescent="0.2">
      <c r="A12524" t="s">
        <v>483</v>
      </c>
      <c r="B12524" t="s">
        <v>71</v>
      </c>
      <c r="C12524" t="s">
        <v>72</v>
      </c>
      <c r="D12524">
        <v>3999</v>
      </c>
      <c r="E12524">
        <v>2020</v>
      </c>
      <c r="F12524">
        <v>1</v>
      </c>
      <c r="G12524">
        <v>11370</v>
      </c>
      <c r="H12524" s="1" t="s">
        <v>221</v>
      </c>
      <c r="I12524">
        <v>5</v>
      </c>
      <c r="J12524">
        <f>IF($H12524=0,1,IF($I12524&lt;=1,2,0))</f>
        <v>0</v>
      </c>
      <c r="K12524">
        <v>9</v>
      </c>
      <c r="L12524">
        <f>IF(AND($J12524=0,$K12524=0),0,1)</f>
        <v>1</v>
      </c>
    </row>
    <row r="12525" spans="1:13" x14ac:dyDescent="0.2">
      <c r="A12525" t="s">
        <v>483</v>
      </c>
      <c r="B12525" t="s">
        <v>71</v>
      </c>
      <c r="C12525" t="s">
        <v>72</v>
      </c>
      <c r="D12525">
        <v>4007</v>
      </c>
      <c r="E12525">
        <v>2020</v>
      </c>
      <c r="F12525">
        <v>1</v>
      </c>
      <c r="G12525">
        <v>11387</v>
      </c>
      <c r="H12525" s="1">
        <v>3</v>
      </c>
      <c r="I12525">
        <v>56</v>
      </c>
      <c r="J12525">
        <f>IF($H12525=0,1,IF($I12525&lt;=1,2,0))</f>
        <v>0</v>
      </c>
      <c r="K12525">
        <v>1</v>
      </c>
      <c r="L12525">
        <f>IF(AND($J12525=0,$K12525=0),0,1)</f>
        <v>1</v>
      </c>
    </row>
    <row r="12526" spans="1:13" x14ac:dyDescent="0.2">
      <c r="A12526" t="s">
        <v>483</v>
      </c>
      <c r="B12526" t="s">
        <v>71</v>
      </c>
      <c r="C12526" t="s">
        <v>72</v>
      </c>
      <c r="D12526">
        <v>4007</v>
      </c>
      <c r="E12526">
        <v>2020</v>
      </c>
      <c r="F12526" t="s">
        <v>84</v>
      </c>
      <c r="G12526">
        <v>22292</v>
      </c>
      <c r="H12526" s="1">
        <v>3</v>
      </c>
      <c r="I12526">
        <v>3</v>
      </c>
      <c r="J12526">
        <f>IF($H12526=0,1,IF($I12526&lt;=1,2,0))</f>
        <v>0</v>
      </c>
      <c r="K12526">
        <v>1</v>
      </c>
      <c r="L12526">
        <f>IF(AND($J12526=0,$K12526=0),0,1)</f>
        <v>1</v>
      </c>
      <c r="M12526" t="s">
        <v>85</v>
      </c>
    </row>
    <row r="12527" spans="1:13" x14ac:dyDescent="0.2">
      <c r="A12527" t="s">
        <v>483</v>
      </c>
      <c r="B12527" t="s">
        <v>71</v>
      </c>
      <c r="C12527" t="s">
        <v>72</v>
      </c>
      <c r="D12527">
        <v>4101</v>
      </c>
      <c r="E12527">
        <v>2020</v>
      </c>
      <c r="F12527">
        <v>1</v>
      </c>
      <c r="G12527">
        <v>11419</v>
      </c>
      <c r="H12527" s="1">
        <v>3</v>
      </c>
      <c r="I12527">
        <v>115</v>
      </c>
      <c r="J12527">
        <f>IF($H12527=0,1,IF($I12527&lt;=1,2,0))</f>
        <v>0</v>
      </c>
      <c r="K12527">
        <v>1</v>
      </c>
      <c r="L12527">
        <f>IF(AND($J12527=0,$K12527=0),0,1)</f>
        <v>1</v>
      </c>
    </row>
    <row r="12528" spans="1:13" x14ac:dyDescent="0.2">
      <c r="A12528" t="s">
        <v>483</v>
      </c>
      <c r="B12528" t="s">
        <v>71</v>
      </c>
      <c r="C12528" t="s">
        <v>72</v>
      </c>
      <c r="D12528">
        <v>4106</v>
      </c>
      <c r="E12528">
        <v>2020</v>
      </c>
      <c r="F12528" t="s">
        <v>87</v>
      </c>
      <c r="G12528">
        <v>21886</v>
      </c>
      <c r="H12528" s="1">
        <v>3</v>
      </c>
      <c r="I12528">
        <v>1</v>
      </c>
      <c r="J12528">
        <f>IF($H12528=0,1,IF($I12528&lt;=1,2,0))</f>
        <v>2</v>
      </c>
      <c r="K12528">
        <v>0</v>
      </c>
      <c r="L12528">
        <f>IF(AND($J12528=0,$K12528=0),0,1)</f>
        <v>1</v>
      </c>
      <c r="M12528" t="s">
        <v>85</v>
      </c>
    </row>
    <row r="12529" spans="1:13" x14ac:dyDescent="0.2">
      <c r="A12529" t="s">
        <v>483</v>
      </c>
      <c r="B12529" t="s">
        <v>71</v>
      </c>
      <c r="C12529" t="s">
        <v>72</v>
      </c>
      <c r="D12529">
        <v>4111</v>
      </c>
      <c r="E12529">
        <v>2020</v>
      </c>
      <c r="F12529">
        <v>1</v>
      </c>
      <c r="G12529">
        <v>11443</v>
      </c>
      <c r="H12529" s="1">
        <v>0</v>
      </c>
      <c r="I12529">
        <v>98</v>
      </c>
      <c r="J12529">
        <f>IF($H12529=0,1,IF($I12529&lt;=1,2,0))</f>
        <v>1</v>
      </c>
      <c r="K12529">
        <v>1</v>
      </c>
      <c r="L12529">
        <f>IF(AND($J12529=0,$K12529=0),0,1)</f>
        <v>1</v>
      </c>
    </row>
    <row r="12530" spans="1:13" x14ac:dyDescent="0.2">
      <c r="A12530" t="s">
        <v>483</v>
      </c>
      <c r="B12530" t="s">
        <v>71</v>
      </c>
      <c r="C12530" t="s">
        <v>72</v>
      </c>
      <c r="D12530">
        <v>4150</v>
      </c>
      <c r="E12530">
        <v>2020</v>
      </c>
      <c r="F12530" t="s">
        <v>489</v>
      </c>
      <c r="G12530">
        <v>25142</v>
      </c>
      <c r="H12530" s="1">
        <v>0</v>
      </c>
      <c r="I12530">
        <v>55</v>
      </c>
      <c r="J12530">
        <f>IF($H12530=0,1,IF($I12530&lt;=1,2,0))</f>
        <v>1</v>
      </c>
      <c r="K12530">
        <v>0</v>
      </c>
      <c r="L12530">
        <f>IF(AND($J12530=0,$K12530=0),0,1)</f>
        <v>1</v>
      </c>
      <c r="M12530" t="s">
        <v>1103</v>
      </c>
    </row>
    <row r="12531" spans="1:13" x14ac:dyDescent="0.2">
      <c r="A12531" t="s">
        <v>483</v>
      </c>
      <c r="B12531" t="s">
        <v>71</v>
      </c>
      <c r="C12531" t="s">
        <v>72</v>
      </c>
      <c r="D12531">
        <v>4199</v>
      </c>
      <c r="E12531">
        <v>2020</v>
      </c>
      <c r="F12531">
        <v>1</v>
      </c>
      <c r="G12531">
        <v>22052</v>
      </c>
      <c r="H12531" s="1">
        <v>0</v>
      </c>
      <c r="I12531">
        <v>149</v>
      </c>
      <c r="J12531">
        <f>IF($H12531=0,1,IF($I12531&lt;=1,2,0))</f>
        <v>1</v>
      </c>
      <c r="K12531">
        <v>0</v>
      </c>
      <c r="L12531">
        <f>IF(AND($J12531=0,$K12531=0),0,1)</f>
        <v>1</v>
      </c>
    </row>
    <row r="12532" spans="1:13" x14ac:dyDescent="0.2">
      <c r="A12532" t="s">
        <v>483</v>
      </c>
      <c r="B12532" t="s">
        <v>71</v>
      </c>
      <c r="C12532" t="s">
        <v>72</v>
      </c>
      <c r="D12532">
        <v>4206</v>
      </c>
      <c r="E12532">
        <v>2020</v>
      </c>
      <c r="F12532">
        <v>1</v>
      </c>
      <c r="G12532">
        <v>13870</v>
      </c>
      <c r="H12532" s="1">
        <v>0</v>
      </c>
      <c r="I12532">
        <v>32</v>
      </c>
      <c r="J12532">
        <f>IF($H12532=0,1,IF($I12532&lt;=1,2,0))</f>
        <v>1</v>
      </c>
      <c r="K12532">
        <v>0</v>
      </c>
      <c r="L12532">
        <f>IF(AND($J12532=0,$K12532=0),0,1)</f>
        <v>1</v>
      </c>
    </row>
    <row r="12533" spans="1:13" x14ac:dyDescent="0.2">
      <c r="A12533" t="s">
        <v>483</v>
      </c>
      <c r="B12533" t="s">
        <v>71</v>
      </c>
      <c r="C12533" t="s">
        <v>72</v>
      </c>
      <c r="D12533">
        <v>4399</v>
      </c>
      <c r="E12533">
        <v>2020</v>
      </c>
      <c r="F12533">
        <v>1</v>
      </c>
      <c r="G12533">
        <v>22053</v>
      </c>
      <c r="H12533" s="1">
        <v>0</v>
      </c>
      <c r="I12533">
        <v>55</v>
      </c>
      <c r="J12533">
        <f>IF($H12533=0,1,IF($I12533&lt;=1,2,0))</f>
        <v>1</v>
      </c>
      <c r="K12533">
        <v>0</v>
      </c>
      <c r="L12533">
        <f>IF(AND($J12533=0,$K12533=0),0,1)</f>
        <v>1</v>
      </c>
    </row>
    <row r="12534" spans="1:13" x14ac:dyDescent="0.2">
      <c r="A12534" t="s">
        <v>483</v>
      </c>
      <c r="B12534" t="s">
        <v>71</v>
      </c>
      <c r="C12534" t="s">
        <v>72</v>
      </c>
      <c r="D12534">
        <v>4502</v>
      </c>
      <c r="E12534">
        <v>2020</v>
      </c>
      <c r="F12534">
        <v>1</v>
      </c>
      <c r="G12534">
        <v>15479</v>
      </c>
      <c r="H12534" s="1">
        <v>0</v>
      </c>
      <c r="I12534">
        <v>78</v>
      </c>
      <c r="J12534">
        <f>IF($H12534=0,1,IF($I12534&lt;=1,2,0))</f>
        <v>1</v>
      </c>
      <c r="K12534">
        <v>0</v>
      </c>
      <c r="L12534">
        <f>IF(AND($J12534=0,$K12534=0),0,1)</f>
        <v>1</v>
      </c>
      <c r="M12534" t="s">
        <v>1107</v>
      </c>
    </row>
    <row r="12535" spans="1:13" x14ac:dyDescent="0.2">
      <c r="A12535" t="s">
        <v>483</v>
      </c>
      <c r="B12535" t="s">
        <v>71</v>
      </c>
      <c r="C12535" t="s">
        <v>72</v>
      </c>
      <c r="D12535">
        <v>4520</v>
      </c>
      <c r="E12535">
        <v>2020</v>
      </c>
      <c r="F12535">
        <v>1</v>
      </c>
      <c r="G12535">
        <v>11543</v>
      </c>
      <c r="H12535" s="1">
        <v>3</v>
      </c>
      <c r="I12535">
        <v>24</v>
      </c>
      <c r="J12535">
        <f>IF($H12535=0,1,IF($I12535&lt;=1,2,0))</f>
        <v>0</v>
      </c>
      <c r="K12535">
        <v>1</v>
      </c>
      <c r="L12535">
        <f>IF(AND($J12535=0,$K12535=0),0,1)</f>
        <v>1</v>
      </c>
    </row>
    <row r="12536" spans="1:13" x14ac:dyDescent="0.2">
      <c r="A12536" t="s">
        <v>483</v>
      </c>
      <c r="B12536" t="s">
        <v>71</v>
      </c>
      <c r="C12536" t="s">
        <v>72</v>
      </c>
      <c r="D12536">
        <v>4523</v>
      </c>
      <c r="E12536">
        <v>2020</v>
      </c>
      <c r="F12536">
        <v>2</v>
      </c>
      <c r="G12536">
        <v>11557</v>
      </c>
      <c r="H12536" s="1">
        <v>3</v>
      </c>
      <c r="I12536">
        <v>87</v>
      </c>
      <c r="J12536">
        <f>IF($H12536=0,1,IF($I12536&lt;=1,2,0))</f>
        <v>0</v>
      </c>
      <c r="K12536">
        <v>1</v>
      </c>
      <c r="L12536">
        <f>IF(AND($J12536=0,$K12536=0),0,1)</f>
        <v>1</v>
      </c>
    </row>
    <row r="12537" spans="1:13" x14ac:dyDescent="0.2">
      <c r="A12537" t="s">
        <v>483</v>
      </c>
      <c r="B12537" t="s">
        <v>71</v>
      </c>
      <c r="C12537" t="s">
        <v>72</v>
      </c>
      <c r="D12537">
        <v>4523</v>
      </c>
      <c r="E12537">
        <v>2020</v>
      </c>
      <c r="F12537">
        <v>1</v>
      </c>
      <c r="G12537">
        <v>11553</v>
      </c>
      <c r="H12537" s="1">
        <v>3</v>
      </c>
      <c r="I12537">
        <v>22</v>
      </c>
      <c r="J12537">
        <f>IF($H12537=0,1,IF($I12537&lt;=1,2,0))</f>
        <v>0</v>
      </c>
      <c r="K12537">
        <v>1</v>
      </c>
      <c r="L12537">
        <f>IF(AND($J12537=0,$K12537=0),0,1)</f>
        <v>1</v>
      </c>
    </row>
    <row r="12538" spans="1:13" x14ac:dyDescent="0.2">
      <c r="A12538" t="s">
        <v>483</v>
      </c>
      <c r="B12538" t="s">
        <v>71</v>
      </c>
      <c r="C12538" t="s">
        <v>72</v>
      </c>
      <c r="D12538">
        <v>4599</v>
      </c>
      <c r="E12538">
        <v>2020</v>
      </c>
      <c r="F12538">
        <v>1</v>
      </c>
      <c r="G12538">
        <v>11575</v>
      </c>
      <c r="H12538" s="1">
        <v>0</v>
      </c>
      <c r="I12538">
        <v>78</v>
      </c>
      <c r="J12538">
        <f>IF($H12538=0,1,IF($I12538&lt;=1,2,0))</f>
        <v>1</v>
      </c>
      <c r="K12538">
        <v>0</v>
      </c>
      <c r="L12538">
        <f>IF(AND($J12538=0,$K12538=0),0,1)</f>
        <v>1</v>
      </c>
      <c r="M12538" t="s">
        <v>1110</v>
      </c>
    </row>
    <row r="12539" spans="1:13" x14ac:dyDescent="0.2">
      <c r="A12539" t="s">
        <v>483</v>
      </c>
      <c r="B12539" t="s">
        <v>71</v>
      </c>
      <c r="C12539" t="s">
        <v>72</v>
      </c>
      <c r="D12539">
        <v>4701</v>
      </c>
      <c r="E12539">
        <v>2020</v>
      </c>
      <c r="F12539">
        <v>1</v>
      </c>
      <c r="G12539">
        <v>11580</v>
      </c>
      <c r="H12539" s="1">
        <v>3</v>
      </c>
      <c r="I12539">
        <v>65</v>
      </c>
      <c r="J12539">
        <f>IF($H12539=0,1,IF($I12539&lt;=1,2,0))</f>
        <v>0</v>
      </c>
      <c r="K12539">
        <v>1</v>
      </c>
      <c r="L12539">
        <f>IF(AND($J12539=0,$K12539=0),0,1)</f>
        <v>1</v>
      </c>
    </row>
    <row r="12540" spans="1:13" x14ac:dyDescent="0.2">
      <c r="A12540" t="s">
        <v>483</v>
      </c>
      <c r="B12540" t="s">
        <v>71</v>
      </c>
      <c r="C12540" t="s">
        <v>72</v>
      </c>
      <c r="D12540">
        <v>4709</v>
      </c>
      <c r="E12540">
        <v>2020</v>
      </c>
      <c r="F12540">
        <v>1</v>
      </c>
      <c r="G12540">
        <v>21452</v>
      </c>
      <c r="H12540" s="1">
        <v>3</v>
      </c>
      <c r="I12540">
        <v>38</v>
      </c>
      <c r="J12540">
        <f>IF($H12540=0,1,IF($I12540&lt;=1,2,0))</f>
        <v>0</v>
      </c>
      <c r="K12540">
        <v>1</v>
      </c>
      <c r="L12540">
        <f>IF(AND($J12540=0,$K12540=0),0,1)</f>
        <v>1</v>
      </c>
    </row>
    <row r="12541" spans="1:13" x14ac:dyDescent="0.2">
      <c r="A12541" t="s">
        <v>483</v>
      </c>
      <c r="B12541" t="s">
        <v>71</v>
      </c>
      <c r="C12541" t="s">
        <v>72</v>
      </c>
      <c r="D12541">
        <v>4798</v>
      </c>
      <c r="E12541">
        <v>2020</v>
      </c>
      <c r="F12541">
        <v>1</v>
      </c>
      <c r="G12541">
        <v>15487</v>
      </c>
      <c r="H12541" s="1">
        <v>0</v>
      </c>
      <c r="I12541">
        <v>65</v>
      </c>
      <c r="J12541">
        <f>IF($H12541=0,1,IF($I12541&lt;=1,2,0))</f>
        <v>1</v>
      </c>
      <c r="K12541">
        <v>0</v>
      </c>
      <c r="L12541">
        <f>IF(AND($J12541=0,$K12541=0),0,1)</f>
        <v>1</v>
      </c>
      <c r="M12541" t="s">
        <v>1112</v>
      </c>
    </row>
    <row r="12542" spans="1:13" x14ac:dyDescent="0.2">
      <c r="A12542" t="s">
        <v>483</v>
      </c>
      <c r="B12542" t="s">
        <v>71</v>
      </c>
      <c r="C12542" t="s">
        <v>72</v>
      </c>
      <c r="D12542">
        <v>4799</v>
      </c>
      <c r="E12542">
        <v>2020</v>
      </c>
      <c r="F12542">
        <v>1</v>
      </c>
      <c r="G12542">
        <v>11594</v>
      </c>
      <c r="H12542" s="1">
        <v>0</v>
      </c>
      <c r="I12542">
        <v>67</v>
      </c>
      <c r="J12542">
        <f>IF($H12542=0,1,IF($I12542&lt;=1,2,0))</f>
        <v>1</v>
      </c>
      <c r="K12542">
        <v>0</v>
      </c>
      <c r="L12542">
        <f>IF(AND($J12542=0,$K12542=0),0,1)</f>
        <v>1</v>
      </c>
      <c r="M12542" t="s">
        <v>1110</v>
      </c>
    </row>
    <row r="12543" spans="1:13" x14ac:dyDescent="0.2">
      <c r="A12543" t="s">
        <v>483</v>
      </c>
      <c r="B12543" t="s">
        <v>71</v>
      </c>
      <c r="C12543" t="s">
        <v>72</v>
      </c>
      <c r="D12543">
        <v>4900</v>
      </c>
      <c r="E12543">
        <v>2020</v>
      </c>
      <c r="F12543">
        <v>31</v>
      </c>
      <c r="G12543">
        <v>23055</v>
      </c>
      <c r="H12543" s="1" t="s">
        <v>1827</v>
      </c>
      <c r="I12543">
        <v>11</v>
      </c>
      <c r="J12543">
        <f>IF($H12543=0,1,IF($I12543&lt;=1,2,0))</f>
        <v>0</v>
      </c>
      <c r="K12543">
        <v>9</v>
      </c>
      <c r="L12543">
        <f>IF(AND($J12543=0,$K12543=0),0,1)</f>
        <v>1</v>
      </c>
    </row>
    <row r="12544" spans="1:13" x14ac:dyDescent="0.2">
      <c r="A12544" t="s">
        <v>483</v>
      </c>
      <c r="B12544" t="s">
        <v>71</v>
      </c>
      <c r="C12544" t="s">
        <v>72</v>
      </c>
      <c r="D12544">
        <v>4900</v>
      </c>
      <c r="E12544">
        <v>2020</v>
      </c>
      <c r="F12544">
        <v>11</v>
      </c>
      <c r="G12544">
        <v>22698</v>
      </c>
      <c r="H12544" s="1" t="s">
        <v>1827</v>
      </c>
      <c r="I12544">
        <v>2</v>
      </c>
      <c r="J12544">
        <f>IF($H12544=0,1,IF($I12544&lt;=1,2,0))</f>
        <v>0</v>
      </c>
      <c r="K12544">
        <v>9</v>
      </c>
      <c r="L12544">
        <f>IF(AND($J12544=0,$K12544=0),0,1)</f>
        <v>1</v>
      </c>
    </row>
    <row r="12545" spans="1:12" x14ac:dyDescent="0.2">
      <c r="A12545" t="s">
        <v>483</v>
      </c>
      <c r="B12545" t="s">
        <v>71</v>
      </c>
      <c r="C12545" t="s">
        <v>72</v>
      </c>
      <c r="D12545">
        <v>4900</v>
      </c>
      <c r="E12545">
        <v>2020</v>
      </c>
      <c r="F12545">
        <v>30</v>
      </c>
      <c r="G12545">
        <v>22717</v>
      </c>
      <c r="H12545" s="1" t="s">
        <v>1827</v>
      </c>
      <c r="I12545">
        <v>2</v>
      </c>
      <c r="J12545">
        <f>IF($H12545=0,1,IF($I12545&lt;=1,2,0))</f>
        <v>0</v>
      </c>
      <c r="K12545">
        <v>9</v>
      </c>
      <c r="L12545">
        <f>IF(AND($J12545=0,$K12545=0),0,1)</f>
        <v>1</v>
      </c>
    </row>
    <row r="12546" spans="1:12" x14ac:dyDescent="0.2">
      <c r="A12546" t="s">
        <v>483</v>
      </c>
      <c r="B12546" t="s">
        <v>71</v>
      </c>
      <c r="C12546" t="s">
        <v>72</v>
      </c>
      <c r="D12546">
        <v>4900</v>
      </c>
      <c r="E12546">
        <v>2020</v>
      </c>
      <c r="F12546">
        <v>1</v>
      </c>
      <c r="G12546">
        <v>22688</v>
      </c>
      <c r="H12546" s="1" t="s">
        <v>1827</v>
      </c>
      <c r="I12546">
        <v>1</v>
      </c>
      <c r="J12546">
        <f>IF($H12546=0,1,IF($I12546&lt;=1,2,0))</f>
        <v>2</v>
      </c>
      <c r="K12546">
        <v>9</v>
      </c>
      <c r="L12546">
        <f>IF(AND($J12546=0,$K12546=0),0,1)</f>
        <v>1</v>
      </c>
    </row>
    <row r="12547" spans="1:12" x14ac:dyDescent="0.2">
      <c r="A12547" t="s">
        <v>483</v>
      </c>
      <c r="B12547" t="s">
        <v>71</v>
      </c>
      <c r="C12547" t="s">
        <v>72</v>
      </c>
      <c r="D12547">
        <v>4900</v>
      </c>
      <c r="E12547">
        <v>2020</v>
      </c>
      <c r="F12547">
        <v>12</v>
      </c>
      <c r="G12547">
        <v>22699</v>
      </c>
      <c r="H12547" s="1" t="s">
        <v>1827</v>
      </c>
      <c r="I12547">
        <v>1</v>
      </c>
      <c r="J12547">
        <f>IF($H12547=0,1,IF($I12547&lt;=1,2,0))</f>
        <v>2</v>
      </c>
      <c r="K12547">
        <v>9</v>
      </c>
      <c r="L12547">
        <f>IF(AND($J12547=0,$K12547=0),0,1)</f>
        <v>1</v>
      </c>
    </row>
    <row r="12548" spans="1:12" x14ac:dyDescent="0.2">
      <c r="A12548" t="s">
        <v>483</v>
      </c>
      <c r="B12548" t="s">
        <v>71</v>
      </c>
      <c r="C12548" t="s">
        <v>72</v>
      </c>
      <c r="D12548">
        <v>4900</v>
      </c>
      <c r="E12548">
        <v>2020</v>
      </c>
      <c r="F12548">
        <v>13</v>
      </c>
      <c r="G12548">
        <v>22700</v>
      </c>
      <c r="H12548" s="1" t="s">
        <v>1827</v>
      </c>
      <c r="I12548">
        <v>1</v>
      </c>
      <c r="J12548">
        <f>IF($H12548=0,1,IF($I12548&lt;=1,2,0))</f>
        <v>2</v>
      </c>
      <c r="K12548">
        <v>9</v>
      </c>
      <c r="L12548">
        <f>IF(AND($J12548=0,$K12548=0),0,1)</f>
        <v>1</v>
      </c>
    </row>
    <row r="12549" spans="1:12" x14ac:dyDescent="0.2">
      <c r="A12549" t="s">
        <v>483</v>
      </c>
      <c r="B12549" t="s">
        <v>71</v>
      </c>
      <c r="C12549" t="s">
        <v>72</v>
      </c>
      <c r="D12549">
        <v>4900</v>
      </c>
      <c r="E12549">
        <v>2020</v>
      </c>
      <c r="F12549">
        <v>2</v>
      </c>
      <c r="G12549">
        <v>22689</v>
      </c>
      <c r="H12549" s="1" t="s">
        <v>1827</v>
      </c>
      <c r="I12549">
        <v>0</v>
      </c>
      <c r="J12549">
        <f>IF($H12549=0,1,IF($I12549&lt;=1,2,0))</f>
        <v>2</v>
      </c>
      <c r="K12549">
        <v>9</v>
      </c>
      <c r="L12549">
        <f>IF(AND($J12549=0,$K12549=0),0,1)</f>
        <v>1</v>
      </c>
    </row>
    <row r="12550" spans="1:12" x14ac:dyDescent="0.2">
      <c r="A12550" t="s">
        <v>483</v>
      </c>
      <c r="B12550" t="s">
        <v>71</v>
      </c>
      <c r="C12550" t="s">
        <v>72</v>
      </c>
      <c r="D12550">
        <v>4900</v>
      </c>
      <c r="E12550">
        <v>2020</v>
      </c>
      <c r="F12550">
        <v>3</v>
      </c>
      <c r="G12550">
        <v>22690</v>
      </c>
      <c r="H12550" s="1" t="s">
        <v>1827</v>
      </c>
      <c r="I12550">
        <v>0</v>
      </c>
      <c r="J12550">
        <f>IF($H12550=0,1,IF($I12550&lt;=1,2,0))</f>
        <v>2</v>
      </c>
      <c r="K12550">
        <v>9</v>
      </c>
      <c r="L12550">
        <f>IF(AND($J12550=0,$K12550=0),0,1)</f>
        <v>1</v>
      </c>
    </row>
    <row r="12551" spans="1:12" x14ac:dyDescent="0.2">
      <c r="A12551" t="s">
        <v>483</v>
      </c>
      <c r="B12551" t="s">
        <v>71</v>
      </c>
      <c r="C12551" t="s">
        <v>72</v>
      </c>
      <c r="D12551">
        <v>4900</v>
      </c>
      <c r="E12551">
        <v>2020</v>
      </c>
      <c r="F12551">
        <v>4</v>
      </c>
      <c r="G12551">
        <v>22691</v>
      </c>
      <c r="H12551" s="1" t="s">
        <v>1827</v>
      </c>
      <c r="I12551">
        <v>0</v>
      </c>
      <c r="J12551">
        <f>IF($H12551=0,1,IF($I12551&lt;=1,2,0))</f>
        <v>2</v>
      </c>
      <c r="K12551">
        <v>9</v>
      </c>
      <c r="L12551">
        <f>IF(AND($J12551=0,$K12551=0),0,1)</f>
        <v>1</v>
      </c>
    </row>
    <row r="12552" spans="1:12" x14ac:dyDescent="0.2">
      <c r="A12552" t="s">
        <v>483</v>
      </c>
      <c r="B12552" t="s">
        <v>71</v>
      </c>
      <c r="C12552" t="s">
        <v>72</v>
      </c>
      <c r="D12552">
        <v>4900</v>
      </c>
      <c r="E12552">
        <v>2020</v>
      </c>
      <c r="F12552">
        <v>5</v>
      </c>
      <c r="G12552">
        <v>22692</v>
      </c>
      <c r="H12552" s="1" t="s">
        <v>1827</v>
      </c>
      <c r="I12552">
        <v>0</v>
      </c>
      <c r="J12552">
        <f>IF($H12552=0,1,IF($I12552&lt;=1,2,0))</f>
        <v>2</v>
      </c>
      <c r="K12552">
        <v>9</v>
      </c>
      <c r="L12552">
        <f>IF(AND($J12552=0,$K12552=0),0,1)</f>
        <v>1</v>
      </c>
    </row>
    <row r="12553" spans="1:12" x14ac:dyDescent="0.2">
      <c r="A12553" t="s">
        <v>483</v>
      </c>
      <c r="B12553" t="s">
        <v>71</v>
      </c>
      <c r="C12553" t="s">
        <v>72</v>
      </c>
      <c r="D12553">
        <v>4900</v>
      </c>
      <c r="E12553">
        <v>2020</v>
      </c>
      <c r="F12553">
        <v>6</v>
      </c>
      <c r="G12553">
        <v>22693</v>
      </c>
      <c r="H12553" s="1" t="s">
        <v>1827</v>
      </c>
      <c r="I12553">
        <v>0</v>
      </c>
      <c r="J12553">
        <f>IF($H12553=0,1,IF($I12553&lt;=1,2,0))</f>
        <v>2</v>
      </c>
      <c r="K12553">
        <v>9</v>
      </c>
      <c r="L12553">
        <f>IF(AND($J12553=0,$K12553=0),0,1)</f>
        <v>1</v>
      </c>
    </row>
    <row r="12554" spans="1:12" x14ac:dyDescent="0.2">
      <c r="A12554" t="s">
        <v>483</v>
      </c>
      <c r="B12554" t="s">
        <v>71</v>
      </c>
      <c r="C12554" t="s">
        <v>72</v>
      </c>
      <c r="D12554">
        <v>4900</v>
      </c>
      <c r="E12554">
        <v>2020</v>
      </c>
      <c r="F12554">
        <v>7</v>
      </c>
      <c r="G12554">
        <v>22694</v>
      </c>
      <c r="H12554" s="1" t="s">
        <v>1827</v>
      </c>
      <c r="I12554">
        <v>0</v>
      </c>
      <c r="J12554">
        <f>IF($H12554=0,1,IF($I12554&lt;=1,2,0))</f>
        <v>2</v>
      </c>
      <c r="K12554">
        <v>9</v>
      </c>
      <c r="L12554">
        <f>IF(AND($J12554=0,$K12554=0),0,1)</f>
        <v>1</v>
      </c>
    </row>
    <row r="12555" spans="1:12" x14ac:dyDescent="0.2">
      <c r="A12555" t="s">
        <v>483</v>
      </c>
      <c r="B12555" t="s">
        <v>71</v>
      </c>
      <c r="C12555" t="s">
        <v>72</v>
      </c>
      <c r="D12555">
        <v>4900</v>
      </c>
      <c r="E12555">
        <v>2020</v>
      </c>
      <c r="F12555">
        <v>8</v>
      </c>
      <c r="G12555">
        <v>22695</v>
      </c>
      <c r="H12555" s="1" t="s">
        <v>1827</v>
      </c>
      <c r="I12555">
        <v>0</v>
      </c>
      <c r="J12555">
        <f>IF($H12555=0,1,IF($I12555&lt;=1,2,0))</f>
        <v>2</v>
      </c>
      <c r="K12555">
        <v>9</v>
      </c>
      <c r="L12555">
        <f>IF(AND($J12555=0,$K12555=0),0,1)</f>
        <v>1</v>
      </c>
    </row>
    <row r="12556" spans="1:12" x14ac:dyDescent="0.2">
      <c r="A12556" t="s">
        <v>483</v>
      </c>
      <c r="B12556" t="s">
        <v>71</v>
      </c>
      <c r="C12556" t="s">
        <v>72</v>
      </c>
      <c r="D12556">
        <v>4900</v>
      </c>
      <c r="E12556">
        <v>2020</v>
      </c>
      <c r="F12556">
        <v>9</v>
      </c>
      <c r="G12556">
        <v>22696</v>
      </c>
      <c r="H12556" s="1" t="s">
        <v>1827</v>
      </c>
      <c r="I12556">
        <v>0</v>
      </c>
      <c r="J12556">
        <f>IF($H12556=0,1,IF($I12556&lt;=1,2,0))</f>
        <v>2</v>
      </c>
      <c r="K12556">
        <v>9</v>
      </c>
      <c r="L12556">
        <f>IF(AND($J12556=0,$K12556=0),0,1)</f>
        <v>1</v>
      </c>
    </row>
    <row r="12557" spans="1:12" x14ac:dyDescent="0.2">
      <c r="A12557" t="s">
        <v>483</v>
      </c>
      <c r="B12557" t="s">
        <v>71</v>
      </c>
      <c r="C12557" t="s">
        <v>72</v>
      </c>
      <c r="D12557">
        <v>4900</v>
      </c>
      <c r="E12557">
        <v>2020</v>
      </c>
      <c r="F12557">
        <v>10</v>
      </c>
      <c r="G12557">
        <v>22697</v>
      </c>
      <c r="H12557" s="1" t="s">
        <v>1827</v>
      </c>
      <c r="I12557">
        <v>0</v>
      </c>
      <c r="J12557">
        <f>IF($H12557=0,1,IF($I12557&lt;=1,2,0))</f>
        <v>2</v>
      </c>
      <c r="K12557">
        <v>9</v>
      </c>
      <c r="L12557">
        <f>IF(AND($J12557=0,$K12557=0),0,1)</f>
        <v>1</v>
      </c>
    </row>
    <row r="12558" spans="1:12" x14ac:dyDescent="0.2">
      <c r="A12558" t="s">
        <v>483</v>
      </c>
      <c r="B12558" t="s">
        <v>71</v>
      </c>
      <c r="C12558" t="s">
        <v>72</v>
      </c>
      <c r="D12558">
        <v>4900</v>
      </c>
      <c r="E12558">
        <v>2020</v>
      </c>
      <c r="F12558">
        <v>14</v>
      </c>
      <c r="G12558">
        <v>22701</v>
      </c>
      <c r="H12558" s="1" t="s">
        <v>1827</v>
      </c>
      <c r="I12558">
        <v>0</v>
      </c>
      <c r="J12558">
        <f>IF($H12558=0,1,IF($I12558&lt;=1,2,0))</f>
        <v>2</v>
      </c>
      <c r="K12558">
        <v>9</v>
      </c>
      <c r="L12558">
        <f>IF(AND($J12558=0,$K12558=0),0,1)</f>
        <v>1</v>
      </c>
    </row>
    <row r="12559" spans="1:12" x14ac:dyDescent="0.2">
      <c r="A12559" t="s">
        <v>483</v>
      </c>
      <c r="B12559" t="s">
        <v>71</v>
      </c>
      <c r="C12559" t="s">
        <v>72</v>
      </c>
      <c r="D12559">
        <v>4900</v>
      </c>
      <c r="E12559">
        <v>2020</v>
      </c>
      <c r="F12559">
        <v>15</v>
      </c>
      <c r="G12559">
        <v>22702</v>
      </c>
      <c r="H12559" s="1" t="s">
        <v>1827</v>
      </c>
      <c r="I12559">
        <v>0</v>
      </c>
      <c r="J12559">
        <f>IF($H12559=0,1,IF($I12559&lt;=1,2,0))</f>
        <v>2</v>
      </c>
      <c r="K12559">
        <v>9</v>
      </c>
      <c r="L12559">
        <f>IF(AND($J12559=0,$K12559=0),0,1)</f>
        <v>1</v>
      </c>
    </row>
    <row r="12560" spans="1:12" x14ac:dyDescent="0.2">
      <c r="A12560" t="s">
        <v>483</v>
      </c>
      <c r="B12560" t="s">
        <v>71</v>
      </c>
      <c r="C12560" t="s">
        <v>72</v>
      </c>
      <c r="D12560">
        <v>4900</v>
      </c>
      <c r="E12560">
        <v>2020</v>
      </c>
      <c r="F12560">
        <v>16</v>
      </c>
      <c r="G12560">
        <v>22703</v>
      </c>
      <c r="H12560" s="1" t="s">
        <v>1827</v>
      </c>
      <c r="I12560">
        <v>0</v>
      </c>
      <c r="J12560">
        <f>IF($H12560=0,1,IF($I12560&lt;=1,2,0))</f>
        <v>2</v>
      </c>
      <c r="K12560">
        <v>9</v>
      </c>
      <c r="L12560">
        <f>IF(AND($J12560=0,$K12560=0),0,1)</f>
        <v>1</v>
      </c>
    </row>
    <row r="12561" spans="1:13" x14ac:dyDescent="0.2">
      <c r="A12561" t="s">
        <v>483</v>
      </c>
      <c r="B12561" t="s">
        <v>71</v>
      </c>
      <c r="C12561" t="s">
        <v>72</v>
      </c>
      <c r="D12561">
        <v>4900</v>
      </c>
      <c r="E12561">
        <v>2020</v>
      </c>
      <c r="F12561">
        <v>17</v>
      </c>
      <c r="G12561">
        <v>22704</v>
      </c>
      <c r="H12561" s="1" t="s">
        <v>1827</v>
      </c>
      <c r="I12561">
        <v>0</v>
      </c>
      <c r="J12561">
        <f>IF($H12561=0,1,IF($I12561&lt;=1,2,0))</f>
        <v>2</v>
      </c>
      <c r="K12561">
        <v>9</v>
      </c>
      <c r="L12561">
        <f>IF(AND($J12561=0,$K12561=0),0,1)</f>
        <v>1</v>
      </c>
    </row>
    <row r="12562" spans="1:13" x14ac:dyDescent="0.2">
      <c r="A12562" t="s">
        <v>483</v>
      </c>
      <c r="B12562" t="s">
        <v>71</v>
      </c>
      <c r="C12562" t="s">
        <v>72</v>
      </c>
      <c r="D12562">
        <v>4900</v>
      </c>
      <c r="E12562">
        <v>2020</v>
      </c>
      <c r="F12562">
        <v>18</v>
      </c>
      <c r="G12562">
        <v>22705</v>
      </c>
      <c r="H12562" s="1" t="s">
        <v>1827</v>
      </c>
      <c r="I12562">
        <v>0</v>
      </c>
      <c r="J12562">
        <f>IF($H12562=0,1,IF($I12562&lt;=1,2,0))</f>
        <v>2</v>
      </c>
      <c r="K12562">
        <v>9</v>
      </c>
      <c r="L12562">
        <f>IF(AND($J12562=0,$K12562=0),0,1)</f>
        <v>1</v>
      </c>
    </row>
    <row r="12563" spans="1:13" x14ac:dyDescent="0.2">
      <c r="A12563" t="s">
        <v>483</v>
      </c>
      <c r="B12563" t="s">
        <v>71</v>
      </c>
      <c r="C12563" t="s">
        <v>72</v>
      </c>
      <c r="D12563">
        <v>4900</v>
      </c>
      <c r="E12563">
        <v>2020</v>
      </c>
      <c r="F12563">
        <v>19</v>
      </c>
      <c r="G12563">
        <v>22706</v>
      </c>
      <c r="H12563" s="1" t="s">
        <v>1827</v>
      </c>
      <c r="I12563">
        <v>0</v>
      </c>
      <c r="J12563">
        <f>IF($H12563=0,1,IF($I12563&lt;=1,2,0))</f>
        <v>2</v>
      </c>
      <c r="K12563">
        <v>9</v>
      </c>
      <c r="L12563">
        <f>IF(AND($J12563=0,$K12563=0),0,1)</f>
        <v>1</v>
      </c>
    </row>
    <row r="12564" spans="1:13" x14ac:dyDescent="0.2">
      <c r="A12564" t="s">
        <v>483</v>
      </c>
      <c r="B12564" t="s">
        <v>71</v>
      </c>
      <c r="C12564" t="s">
        <v>72</v>
      </c>
      <c r="D12564">
        <v>4900</v>
      </c>
      <c r="E12564">
        <v>2020</v>
      </c>
      <c r="F12564">
        <v>20</v>
      </c>
      <c r="G12564">
        <v>22707</v>
      </c>
      <c r="H12564" s="1" t="s">
        <v>1827</v>
      </c>
      <c r="I12564">
        <v>0</v>
      </c>
      <c r="J12564">
        <f>IF($H12564=0,1,IF($I12564&lt;=1,2,0))</f>
        <v>2</v>
      </c>
      <c r="K12564">
        <v>9</v>
      </c>
      <c r="L12564">
        <f>IF(AND($J12564=0,$K12564=0),0,1)</f>
        <v>1</v>
      </c>
    </row>
    <row r="12565" spans="1:13" x14ac:dyDescent="0.2">
      <c r="A12565" t="s">
        <v>483</v>
      </c>
      <c r="B12565" t="s">
        <v>71</v>
      </c>
      <c r="C12565" t="s">
        <v>72</v>
      </c>
      <c r="D12565">
        <v>4900</v>
      </c>
      <c r="E12565">
        <v>2020</v>
      </c>
      <c r="F12565">
        <v>21</v>
      </c>
      <c r="G12565">
        <v>22708</v>
      </c>
      <c r="H12565" s="1" t="s">
        <v>1827</v>
      </c>
      <c r="I12565">
        <v>0</v>
      </c>
      <c r="J12565">
        <f>IF($H12565=0,1,IF($I12565&lt;=1,2,0))</f>
        <v>2</v>
      </c>
      <c r="K12565">
        <v>9</v>
      </c>
      <c r="L12565">
        <f>IF(AND($J12565=0,$K12565=0),0,1)</f>
        <v>1</v>
      </c>
    </row>
    <row r="12566" spans="1:13" x14ac:dyDescent="0.2">
      <c r="A12566" t="s">
        <v>483</v>
      </c>
      <c r="B12566" t="s">
        <v>71</v>
      </c>
      <c r="C12566" t="s">
        <v>72</v>
      </c>
      <c r="D12566">
        <v>4900</v>
      </c>
      <c r="E12566">
        <v>2020</v>
      </c>
      <c r="F12566">
        <v>22</v>
      </c>
      <c r="G12566">
        <v>22709</v>
      </c>
      <c r="H12566" s="1" t="s">
        <v>1827</v>
      </c>
      <c r="I12566">
        <v>0</v>
      </c>
      <c r="J12566">
        <f>IF($H12566=0,1,IF($I12566&lt;=1,2,0))</f>
        <v>2</v>
      </c>
      <c r="K12566">
        <v>9</v>
      </c>
      <c r="L12566">
        <f>IF(AND($J12566=0,$K12566=0),0,1)</f>
        <v>1</v>
      </c>
    </row>
    <row r="12567" spans="1:13" x14ac:dyDescent="0.2">
      <c r="A12567" t="s">
        <v>483</v>
      </c>
      <c r="B12567" t="s">
        <v>71</v>
      </c>
      <c r="C12567" t="s">
        <v>72</v>
      </c>
      <c r="D12567">
        <v>4900</v>
      </c>
      <c r="E12567">
        <v>2020</v>
      </c>
      <c r="F12567">
        <v>23</v>
      </c>
      <c r="G12567">
        <v>22710</v>
      </c>
      <c r="H12567" s="1" t="s">
        <v>1827</v>
      </c>
      <c r="I12567">
        <v>0</v>
      </c>
      <c r="J12567">
        <f>IF($H12567=0,1,IF($I12567&lt;=1,2,0))</f>
        <v>2</v>
      </c>
      <c r="K12567">
        <v>9</v>
      </c>
      <c r="L12567">
        <f>IF(AND($J12567=0,$K12567=0),0,1)</f>
        <v>1</v>
      </c>
    </row>
    <row r="12568" spans="1:13" x14ac:dyDescent="0.2">
      <c r="A12568" t="s">
        <v>483</v>
      </c>
      <c r="B12568" t="s">
        <v>71</v>
      </c>
      <c r="C12568" t="s">
        <v>72</v>
      </c>
      <c r="D12568">
        <v>4900</v>
      </c>
      <c r="E12568">
        <v>2020</v>
      </c>
      <c r="F12568">
        <v>24</v>
      </c>
      <c r="G12568">
        <v>22711</v>
      </c>
      <c r="H12568" s="1" t="s">
        <v>1827</v>
      </c>
      <c r="I12568">
        <v>0</v>
      </c>
      <c r="J12568">
        <f>IF($H12568=0,1,IF($I12568&lt;=1,2,0))</f>
        <v>2</v>
      </c>
      <c r="K12568">
        <v>9</v>
      </c>
      <c r="L12568">
        <f>IF(AND($J12568=0,$K12568=0),0,1)</f>
        <v>1</v>
      </c>
    </row>
    <row r="12569" spans="1:13" x14ac:dyDescent="0.2">
      <c r="A12569" t="s">
        <v>483</v>
      </c>
      <c r="B12569" t="s">
        <v>71</v>
      </c>
      <c r="C12569" t="s">
        <v>72</v>
      </c>
      <c r="D12569">
        <v>4900</v>
      </c>
      <c r="E12569">
        <v>2020</v>
      </c>
      <c r="F12569">
        <v>25</v>
      </c>
      <c r="G12569">
        <v>22712</v>
      </c>
      <c r="H12569" s="1" t="s">
        <v>1827</v>
      </c>
      <c r="I12569">
        <v>0</v>
      </c>
      <c r="J12569">
        <f>IF($H12569=0,1,IF($I12569&lt;=1,2,0))</f>
        <v>2</v>
      </c>
      <c r="K12569">
        <v>9</v>
      </c>
      <c r="L12569">
        <f>IF(AND($J12569=0,$K12569=0),0,1)</f>
        <v>1</v>
      </c>
    </row>
    <row r="12570" spans="1:13" x14ac:dyDescent="0.2">
      <c r="A12570" t="s">
        <v>483</v>
      </c>
      <c r="B12570" t="s">
        <v>71</v>
      </c>
      <c r="C12570" t="s">
        <v>72</v>
      </c>
      <c r="D12570">
        <v>4900</v>
      </c>
      <c r="E12570">
        <v>2020</v>
      </c>
      <c r="F12570">
        <v>26</v>
      </c>
      <c r="G12570">
        <v>22713</v>
      </c>
      <c r="H12570" s="1" t="s">
        <v>1827</v>
      </c>
      <c r="I12570">
        <v>0</v>
      </c>
      <c r="J12570">
        <f>IF($H12570=0,1,IF($I12570&lt;=1,2,0))</f>
        <v>2</v>
      </c>
      <c r="K12570">
        <v>9</v>
      </c>
      <c r="L12570">
        <f>IF(AND($J12570=0,$K12570=0),0,1)</f>
        <v>1</v>
      </c>
    </row>
    <row r="12571" spans="1:13" x14ac:dyDescent="0.2">
      <c r="A12571" t="s">
        <v>483</v>
      </c>
      <c r="B12571" t="s">
        <v>71</v>
      </c>
      <c r="C12571" t="s">
        <v>72</v>
      </c>
      <c r="D12571">
        <v>4900</v>
      </c>
      <c r="E12571">
        <v>2020</v>
      </c>
      <c r="F12571">
        <v>27</v>
      </c>
      <c r="G12571">
        <v>22714</v>
      </c>
      <c r="H12571" s="1" t="s">
        <v>1827</v>
      </c>
      <c r="I12571">
        <v>0</v>
      </c>
      <c r="J12571">
        <f>IF($H12571=0,1,IF($I12571&lt;=1,2,0))</f>
        <v>2</v>
      </c>
      <c r="K12571">
        <v>9</v>
      </c>
      <c r="L12571">
        <f>IF(AND($J12571=0,$K12571=0),0,1)</f>
        <v>1</v>
      </c>
    </row>
    <row r="12572" spans="1:13" x14ac:dyDescent="0.2">
      <c r="A12572" t="s">
        <v>483</v>
      </c>
      <c r="B12572" t="s">
        <v>71</v>
      </c>
      <c r="C12572" t="s">
        <v>72</v>
      </c>
      <c r="D12572">
        <v>4900</v>
      </c>
      <c r="E12572">
        <v>2020</v>
      </c>
      <c r="F12572">
        <v>28</v>
      </c>
      <c r="G12572">
        <v>22715</v>
      </c>
      <c r="H12572" s="1" t="s">
        <v>1827</v>
      </c>
      <c r="I12572">
        <v>0</v>
      </c>
      <c r="J12572">
        <f>IF($H12572=0,1,IF($I12572&lt;=1,2,0))</f>
        <v>2</v>
      </c>
      <c r="K12572">
        <v>9</v>
      </c>
      <c r="L12572">
        <f>IF(AND($J12572=0,$K12572=0),0,1)</f>
        <v>1</v>
      </c>
    </row>
    <row r="12573" spans="1:13" x14ac:dyDescent="0.2">
      <c r="A12573" t="s">
        <v>483</v>
      </c>
      <c r="B12573" t="s">
        <v>71</v>
      </c>
      <c r="C12573" t="s">
        <v>72</v>
      </c>
      <c r="D12573">
        <v>4900</v>
      </c>
      <c r="E12573">
        <v>2020</v>
      </c>
      <c r="F12573">
        <v>29</v>
      </c>
      <c r="G12573">
        <v>22716</v>
      </c>
      <c r="H12573" s="1" t="s">
        <v>1827</v>
      </c>
      <c r="I12573">
        <v>0</v>
      </c>
      <c r="J12573">
        <f>IF($H12573=0,1,IF($I12573&lt;=1,2,0))</f>
        <v>2</v>
      </c>
      <c r="K12573">
        <v>9</v>
      </c>
      <c r="L12573">
        <f>IF(AND($J12573=0,$K12573=0),0,1)</f>
        <v>1</v>
      </c>
    </row>
    <row r="12574" spans="1:13" x14ac:dyDescent="0.2">
      <c r="A12574" t="s">
        <v>483</v>
      </c>
      <c r="B12574" t="s">
        <v>71</v>
      </c>
      <c r="C12574" t="s">
        <v>72</v>
      </c>
      <c r="D12574">
        <v>4999</v>
      </c>
      <c r="E12574">
        <v>2020</v>
      </c>
      <c r="F12574">
        <v>1</v>
      </c>
      <c r="G12574">
        <v>11597</v>
      </c>
      <c r="H12574" s="1" t="s">
        <v>221</v>
      </c>
      <c r="I12574">
        <v>93</v>
      </c>
      <c r="J12574">
        <f>IF($H12574=0,1,IF($I12574&lt;=1,2,0))</f>
        <v>0</v>
      </c>
      <c r="K12574">
        <v>9</v>
      </c>
      <c r="L12574">
        <f>IF(AND($J12574=0,$K12574=0),0,1)</f>
        <v>1</v>
      </c>
    </row>
    <row r="12575" spans="1:13" x14ac:dyDescent="0.2">
      <c r="A12575" t="s">
        <v>483</v>
      </c>
      <c r="B12575" t="s">
        <v>71</v>
      </c>
      <c r="C12575" t="s">
        <v>72</v>
      </c>
      <c r="D12575">
        <v>6613</v>
      </c>
      <c r="E12575">
        <v>2020</v>
      </c>
      <c r="F12575" t="s">
        <v>84</v>
      </c>
      <c r="G12575">
        <v>21898</v>
      </c>
      <c r="H12575" s="1">
        <v>4.5</v>
      </c>
      <c r="I12575">
        <v>1</v>
      </c>
      <c r="J12575">
        <f>IF($H12575=0,1,IF($I12575&lt;=1,2,0))</f>
        <v>2</v>
      </c>
      <c r="K12575">
        <v>0</v>
      </c>
      <c r="L12575">
        <f>IF(AND($J12575=0,$K12575=0),0,1)</f>
        <v>1</v>
      </c>
      <c r="M12575" t="s">
        <v>85</v>
      </c>
    </row>
    <row r="12576" spans="1:13" x14ac:dyDescent="0.2">
      <c r="A12576" t="s">
        <v>483</v>
      </c>
      <c r="B12576" t="s">
        <v>71</v>
      </c>
      <c r="C12576" t="s">
        <v>72</v>
      </c>
      <c r="D12576">
        <v>9101</v>
      </c>
      <c r="E12576">
        <v>2020</v>
      </c>
      <c r="F12576">
        <v>18</v>
      </c>
      <c r="G12576">
        <v>22735</v>
      </c>
      <c r="H12576" s="1" t="s">
        <v>1828</v>
      </c>
      <c r="I12576">
        <v>3</v>
      </c>
      <c r="J12576">
        <f>IF($H12576=0,1,IF($I12576&lt;=1,2,0))</f>
        <v>0</v>
      </c>
      <c r="K12576">
        <v>5</v>
      </c>
      <c r="L12576">
        <f>IF(AND($J12576=0,$K12576=0),0,1)</f>
        <v>1</v>
      </c>
    </row>
    <row r="12577" spans="1:12" x14ac:dyDescent="0.2">
      <c r="A12577" t="s">
        <v>483</v>
      </c>
      <c r="B12577" t="s">
        <v>71</v>
      </c>
      <c r="C12577" t="s">
        <v>72</v>
      </c>
      <c r="D12577">
        <v>9101</v>
      </c>
      <c r="E12577">
        <v>2020</v>
      </c>
      <c r="F12577">
        <v>8</v>
      </c>
      <c r="G12577">
        <v>22725</v>
      </c>
      <c r="H12577" s="1" t="s">
        <v>1828</v>
      </c>
      <c r="I12577">
        <v>2</v>
      </c>
      <c r="J12577">
        <f>IF($H12577=0,1,IF($I12577&lt;=1,2,0))</f>
        <v>0</v>
      </c>
      <c r="K12577">
        <v>5</v>
      </c>
      <c r="L12577">
        <f>IF(AND($J12577=0,$K12577=0),0,1)</f>
        <v>1</v>
      </c>
    </row>
    <row r="12578" spans="1:12" x14ac:dyDescent="0.2">
      <c r="A12578" t="s">
        <v>483</v>
      </c>
      <c r="B12578" t="s">
        <v>71</v>
      </c>
      <c r="C12578" t="s">
        <v>72</v>
      </c>
      <c r="D12578">
        <v>9101</v>
      </c>
      <c r="E12578">
        <v>2020</v>
      </c>
      <c r="F12578">
        <v>10</v>
      </c>
      <c r="G12578">
        <v>22727</v>
      </c>
      <c r="H12578" s="1" t="s">
        <v>1828</v>
      </c>
      <c r="I12578">
        <v>2</v>
      </c>
      <c r="J12578">
        <f>IF($H12578=0,1,IF($I12578&lt;=1,2,0))</f>
        <v>0</v>
      </c>
      <c r="K12578">
        <v>5</v>
      </c>
      <c r="L12578">
        <f>IF(AND($J12578=0,$K12578=0),0,1)</f>
        <v>1</v>
      </c>
    </row>
    <row r="12579" spans="1:12" x14ac:dyDescent="0.2">
      <c r="A12579" t="s">
        <v>483</v>
      </c>
      <c r="B12579" t="s">
        <v>71</v>
      </c>
      <c r="C12579" t="s">
        <v>72</v>
      </c>
      <c r="D12579">
        <v>9101</v>
      </c>
      <c r="E12579">
        <v>2020</v>
      </c>
      <c r="F12579">
        <v>16</v>
      </c>
      <c r="G12579">
        <v>22733</v>
      </c>
      <c r="H12579" s="1" t="s">
        <v>1828</v>
      </c>
      <c r="I12579">
        <v>2</v>
      </c>
      <c r="J12579">
        <f>IF($H12579=0,1,IF($I12579&lt;=1,2,0))</f>
        <v>0</v>
      </c>
      <c r="K12579">
        <v>5</v>
      </c>
      <c r="L12579">
        <f>IF(AND($J12579=0,$K12579=0),0,1)</f>
        <v>1</v>
      </c>
    </row>
    <row r="12580" spans="1:12" x14ac:dyDescent="0.2">
      <c r="A12580" t="s">
        <v>483</v>
      </c>
      <c r="B12580" t="s">
        <v>71</v>
      </c>
      <c r="C12580" t="s">
        <v>72</v>
      </c>
      <c r="D12580">
        <v>9101</v>
      </c>
      <c r="E12580">
        <v>2020</v>
      </c>
      <c r="F12580">
        <v>27</v>
      </c>
      <c r="G12580">
        <v>22744</v>
      </c>
      <c r="H12580" s="1" t="s">
        <v>1828</v>
      </c>
      <c r="I12580">
        <v>2</v>
      </c>
      <c r="J12580">
        <f>IF($H12580=0,1,IF($I12580&lt;=1,2,0))</f>
        <v>0</v>
      </c>
      <c r="K12580">
        <v>5</v>
      </c>
      <c r="L12580">
        <f>IF(AND($J12580=0,$K12580=0),0,1)</f>
        <v>1</v>
      </c>
    </row>
    <row r="12581" spans="1:12" x14ac:dyDescent="0.2">
      <c r="A12581" t="s">
        <v>483</v>
      </c>
      <c r="B12581" t="s">
        <v>71</v>
      </c>
      <c r="C12581" t="s">
        <v>72</v>
      </c>
      <c r="D12581">
        <v>9101</v>
      </c>
      <c r="E12581">
        <v>2020</v>
      </c>
      <c r="F12581">
        <v>1</v>
      </c>
      <c r="G12581">
        <v>22718</v>
      </c>
      <c r="H12581" s="1" t="s">
        <v>1828</v>
      </c>
      <c r="I12581">
        <v>1</v>
      </c>
      <c r="J12581">
        <f>IF($H12581=0,1,IF($I12581&lt;=1,2,0))</f>
        <v>2</v>
      </c>
      <c r="K12581">
        <v>5</v>
      </c>
      <c r="L12581">
        <f>IF(AND($J12581=0,$K12581=0),0,1)</f>
        <v>1</v>
      </c>
    </row>
    <row r="12582" spans="1:12" x14ac:dyDescent="0.2">
      <c r="A12582" t="s">
        <v>483</v>
      </c>
      <c r="B12582" t="s">
        <v>71</v>
      </c>
      <c r="C12582" t="s">
        <v>72</v>
      </c>
      <c r="D12582">
        <v>9101</v>
      </c>
      <c r="E12582">
        <v>2020</v>
      </c>
      <c r="F12582">
        <v>9</v>
      </c>
      <c r="G12582">
        <v>22726</v>
      </c>
      <c r="H12582" s="1" t="s">
        <v>1828</v>
      </c>
      <c r="I12582">
        <v>1</v>
      </c>
      <c r="J12582">
        <f>IF($H12582=0,1,IF($I12582&lt;=1,2,0))</f>
        <v>2</v>
      </c>
      <c r="K12582">
        <v>5</v>
      </c>
      <c r="L12582">
        <f>IF(AND($J12582=0,$K12582=0),0,1)</f>
        <v>1</v>
      </c>
    </row>
    <row r="12583" spans="1:12" x14ac:dyDescent="0.2">
      <c r="A12583" t="s">
        <v>483</v>
      </c>
      <c r="B12583" t="s">
        <v>71</v>
      </c>
      <c r="C12583" t="s">
        <v>72</v>
      </c>
      <c r="D12583">
        <v>9101</v>
      </c>
      <c r="E12583">
        <v>2020</v>
      </c>
      <c r="F12583">
        <v>11</v>
      </c>
      <c r="G12583">
        <v>22728</v>
      </c>
      <c r="H12583" s="1" t="s">
        <v>1828</v>
      </c>
      <c r="I12583">
        <v>1</v>
      </c>
      <c r="J12583">
        <f>IF($H12583=0,1,IF($I12583&lt;=1,2,0))</f>
        <v>2</v>
      </c>
      <c r="K12583">
        <v>5</v>
      </c>
      <c r="L12583">
        <f>IF(AND($J12583=0,$K12583=0),0,1)</f>
        <v>1</v>
      </c>
    </row>
    <row r="12584" spans="1:12" x14ac:dyDescent="0.2">
      <c r="A12584" t="s">
        <v>483</v>
      </c>
      <c r="B12584" t="s">
        <v>71</v>
      </c>
      <c r="C12584" t="s">
        <v>72</v>
      </c>
      <c r="D12584">
        <v>9101</v>
      </c>
      <c r="E12584">
        <v>2020</v>
      </c>
      <c r="F12584">
        <v>12</v>
      </c>
      <c r="G12584">
        <v>22729</v>
      </c>
      <c r="H12584" s="1" t="s">
        <v>1828</v>
      </c>
      <c r="I12584">
        <v>1</v>
      </c>
      <c r="J12584">
        <f>IF($H12584=0,1,IF($I12584&lt;=1,2,0))</f>
        <v>2</v>
      </c>
      <c r="K12584">
        <v>5</v>
      </c>
      <c r="L12584">
        <f>IF(AND($J12584=0,$K12584=0),0,1)</f>
        <v>1</v>
      </c>
    </row>
    <row r="12585" spans="1:12" x14ac:dyDescent="0.2">
      <c r="A12585" t="s">
        <v>483</v>
      </c>
      <c r="B12585" t="s">
        <v>71</v>
      </c>
      <c r="C12585" t="s">
        <v>72</v>
      </c>
      <c r="D12585">
        <v>9101</v>
      </c>
      <c r="E12585">
        <v>2020</v>
      </c>
      <c r="F12585">
        <v>22</v>
      </c>
      <c r="G12585">
        <v>22739</v>
      </c>
      <c r="H12585" s="1" t="s">
        <v>1828</v>
      </c>
      <c r="I12585">
        <v>1</v>
      </c>
      <c r="J12585">
        <f>IF($H12585=0,1,IF($I12585&lt;=1,2,0))</f>
        <v>2</v>
      </c>
      <c r="K12585">
        <v>5</v>
      </c>
      <c r="L12585">
        <f>IF(AND($J12585=0,$K12585=0),0,1)</f>
        <v>1</v>
      </c>
    </row>
    <row r="12586" spans="1:12" x14ac:dyDescent="0.2">
      <c r="A12586" t="s">
        <v>483</v>
      </c>
      <c r="B12586" t="s">
        <v>71</v>
      </c>
      <c r="C12586" t="s">
        <v>72</v>
      </c>
      <c r="D12586">
        <v>9101</v>
      </c>
      <c r="E12586">
        <v>2020</v>
      </c>
      <c r="F12586">
        <v>24</v>
      </c>
      <c r="G12586">
        <v>22741</v>
      </c>
      <c r="H12586" s="1" t="s">
        <v>1828</v>
      </c>
      <c r="I12586">
        <v>1</v>
      </c>
      <c r="J12586">
        <f>IF($H12586=0,1,IF($I12586&lt;=1,2,0))</f>
        <v>2</v>
      </c>
      <c r="K12586">
        <v>5</v>
      </c>
      <c r="L12586">
        <f>IF(AND($J12586=0,$K12586=0),0,1)</f>
        <v>1</v>
      </c>
    </row>
    <row r="12587" spans="1:12" x14ac:dyDescent="0.2">
      <c r="A12587" t="s">
        <v>483</v>
      </c>
      <c r="B12587" t="s">
        <v>71</v>
      </c>
      <c r="C12587" t="s">
        <v>72</v>
      </c>
      <c r="D12587">
        <v>9101</v>
      </c>
      <c r="E12587">
        <v>2020</v>
      </c>
      <c r="F12587">
        <v>29</v>
      </c>
      <c r="G12587">
        <v>22746</v>
      </c>
      <c r="H12587" s="1" t="s">
        <v>1828</v>
      </c>
      <c r="I12587">
        <v>1</v>
      </c>
      <c r="J12587">
        <f>IF($H12587=0,1,IF($I12587&lt;=1,2,0))</f>
        <v>2</v>
      </c>
      <c r="K12587">
        <v>5</v>
      </c>
      <c r="L12587">
        <f>IF(AND($J12587=0,$K12587=0),0,1)</f>
        <v>1</v>
      </c>
    </row>
    <row r="12588" spans="1:12" x14ac:dyDescent="0.2">
      <c r="A12588" t="s">
        <v>483</v>
      </c>
      <c r="B12588" t="s">
        <v>71</v>
      </c>
      <c r="C12588" t="s">
        <v>72</v>
      </c>
      <c r="D12588">
        <v>9101</v>
      </c>
      <c r="E12588">
        <v>2020</v>
      </c>
      <c r="F12588">
        <v>2</v>
      </c>
      <c r="G12588">
        <v>22719</v>
      </c>
      <c r="H12588" s="1" t="s">
        <v>1828</v>
      </c>
      <c r="I12588">
        <v>0</v>
      </c>
      <c r="J12588">
        <f>IF($H12588=0,1,IF($I12588&lt;=1,2,0))</f>
        <v>2</v>
      </c>
      <c r="K12588">
        <v>5</v>
      </c>
      <c r="L12588">
        <f>IF(AND($J12588=0,$K12588=0),0,1)</f>
        <v>1</v>
      </c>
    </row>
    <row r="12589" spans="1:12" x14ac:dyDescent="0.2">
      <c r="A12589" t="s">
        <v>483</v>
      </c>
      <c r="B12589" t="s">
        <v>71</v>
      </c>
      <c r="C12589" t="s">
        <v>72</v>
      </c>
      <c r="D12589">
        <v>9101</v>
      </c>
      <c r="E12589">
        <v>2020</v>
      </c>
      <c r="F12589">
        <v>3</v>
      </c>
      <c r="G12589">
        <v>22720</v>
      </c>
      <c r="H12589" s="1" t="s">
        <v>1828</v>
      </c>
      <c r="I12589">
        <v>0</v>
      </c>
      <c r="J12589">
        <f>IF($H12589=0,1,IF($I12589&lt;=1,2,0))</f>
        <v>2</v>
      </c>
      <c r="K12589">
        <v>5</v>
      </c>
      <c r="L12589">
        <f>IF(AND($J12589=0,$K12589=0),0,1)</f>
        <v>1</v>
      </c>
    </row>
    <row r="12590" spans="1:12" x14ac:dyDescent="0.2">
      <c r="A12590" t="s">
        <v>483</v>
      </c>
      <c r="B12590" t="s">
        <v>71</v>
      </c>
      <c r="C12590" t="s">
        <v>72</v>
      </c>
      <c r="D12590">
        <v>9101</v>
      </c>
      <c r="E12590">
        <v>2020</v>
      </c>
      <c r="F12590">
        <v>4</v>
      </c>
      <c r="G12590">
        <v>22721</v>
      </c>
      <c r="H12590" s="1" t="s">
        <v>1828</v>
      </c>
      <c r="I12590">
        <v>0</v>
      </c>
      <c r="J12590">
        <f>IF($H12590=0,1,IF($I12590&lt;=1,2,0))</f>
        <v>2</v>
      </c>
      <c r="K12590">
        <v>5</v>
      </c>
      <c r="L12590">
        <f>IF(AND($J12590=0,$K12590=0),0,1)</f>
        <v>1</v>
      </c>
    </row>
    <row r="12591" spans="1:12" x14ac:dyDescent="0.2">
      <c r="A12591" t="s">
        <v>483</v>
      </c>
      <c r="B12591" t="s">
        <v>71</v>
      </c>
      <c r="C12591" t="s">
        <v>72</v>
      </c>
      <c r="D12591">
        <v>9101</v>
      </c>
      <c r="E12591">
        <v>2020</v>
      </c>
      <c r="F12591">
        <v>5</v>
      </c>
      <c r="G12591">
        <v>22722</v>
      </c>
      <c r="H12591" s="1" t="s">
        <v>1828</v>
      </c>
      <c r="I12591">
        <v>0</v>
      </c>
      <c r="J12591">
        <f>IF($H12591=0,1,IF($I12591&lt;=1,2,0))</f>
        <v>2</v>
      </c>
      <c r="K12591">
        <v>5</v>
      </c>
      <c r="L12591">
        <f>IF(AND($J12591=0,$K12591=0),0,1)</f>
        <v>1</v>
      </c>
    </row>
    <row r="12592" spans="1:12" x14ac:dyDescent="0.2">
      <c r="A12592" t="s">
        <v>483</v>
      </c>
      <c r="B12592" t="s">
        <v>71</v>
      </c>
      <c r="C12592" t="s">
        <v>72</v>
      </c>
      <c r="D12592">
        <v>9101</v>
      </c>
      <c r="E12592">
        <v>2020</v>
      </c>
      <c r="F12592">
        <v>6</v>
      </c>
      <c r="G12592">
        <v>22723</v>
      </c>
      <c r="H12592" s="1" t="s">
        <v>1828</v>
      </c>
      <c r="I12592">
        <v>0</v>
      </c>
      <c r="J12592">
        <f>IF($H12592=0,1,IF($I12592&lt;=1,2,0))</f>
        <v>2</v>
      </c>
      <c r="K12592">
        <v>5</v>
      </c>
      <c r="L12592">
        <f>IF(AND($J12592=0,$K12592=0),0,1)</f>
        <v>1</v>
      </c>
    </row>
    <row r="12593" spans="1:13" x14ac:dyDescent="0.2">
      <c r="A12593" t="s">
        <v>483</v>
      </c>
      <c r="B12593" t="s">
        <v>71</v>
      </c>
      <c r="C12593" t="s">
        <v>72</v>
      </c>
      <c r="D12593">
        <v>9101</v>
      </c>
      <c r="E12593">
        <v>2020</v>
      </c>
      <c r="F12593">
        <v>7</v>
      </c>
      <c r="G12593">
        <v>22724</v>
      </c>
      <c r="H12593" s="1" t="s">
        <v>1828</v>
      </c>
      <c r="I12593">
        <v>0</v>
      </c>
      <c r="J12593">
        <f>IF($H12593=0,1,IF($I12593&lt;=1,2,0))</f>
        <v>2</v>
      </c>
      <c r="K12593">
        <v>5</v>
      </c>
      <c r="L12593">
        <f>IF(AND($J12593=0,$K12593=0),0,1)</f>
        <v>1</v>
      </c>
    </row>
    <row r="12594" spans="1:13" x14ac:dyDescent="0.2">
      <c r="A12594" t="s">
        <v>483</v>
      </c>
      <c r="B12594" t="s">
        <v>71</v>
      </c>
      <c r="C12594" t="s">
        <v>72</v>
      </c>
      <c r="D12594">
        <v>9101</v>
      </c>
      <c r="E12594">
        <v>2020</v>
      </c>
      <c r="F12594">
        <v>13</v>
      </c>
      <c r="G12594">
        <v>22730</v>
      </c>
      <c r="H12594" s="1" t="s">
        <v>1828</v>
      </c>
      <c r="I12594">
        <v>0</v>
      </c>
      <c r="J12594">
        <f>IF($H12594=0,1,IF($I12594&lt;=1,2,0))</f>
        <v>2</v>
      </c>
      <c r="K12594">
        <v>5</v>
      </c>
      <c r="L12594">
        <f>IF(AND($J12594=0,$K12594=0),0,1)</f>
        <v>1</v>
      </c>
    </row>
    <row r="12595" spans="1:13" x14ac:dyDescent="0.2">
      <c r="A12595" t="s">
        <v>483</v>
      </c>
      <c r="B12595" t="s">
        <v>71</v>
      </c>
      <c r="C12595" t="s">
        <v>72</v>
      </c>
      <c r="D12595">
        <v>9101</v>
      </c>
      <c r="E12595">
        <v>2020</v>
      </c>
      <c r="F12595">
        <v>14</v>
      </c>
      <c r="G12595">
        <v>22731</v>
      </c>
      <c r="H12595" s="1" t="s">
        <v>1828</v>
      </c>
      <c r="I12595">
        <v>0</v>
      </c>
      <c r="J12595">
        <f>IF($H12595=0,1,IF($I12595&lt;=1,2,0))</f>
        <v>2</v>
      </c>
      <c r="K12595">
        <v>5</v>
      </c>
      <c r="L12595">
        <f>IF(AND($J12595=0,$K12595=0),0,1)</f>
        <v>1</v>
      </c>
    </row>
    <row r="12596" spans="1:13" x14ac:dyDescent="0.2">
      <c r="A12596" t="s">
        <v>483</v>
      </c>
      <c r="B12596" t="s">
        <v>71</v>
      </c>
      <c r="C12596" t="s">
        <v>72</v>
      </c>
      <c r="D12596">
        <v>9101</v>
      </c>
      <c r="E12596">
        <v>2020</v>
      </c>
      <c r="F12596">
        <v>15</v>
      </c>
      <c r="G12596">
        <v>22732</v>
      </c>
      <c r="H12596" s="1" t="s">
        <v>1828</v>
      </c>
      <c r="I12596">
        <v>0</v>
      </c>
      <c r="J12596">
        <f>IF($H12596=0,1,IF($I12596&lt;=1,2,0))</f>
        <v>2</v>
      </c>
      <c r="K12596">
        <v>5</v>
      </c>
      <c r="L12596">
        <f>IF(AND($J12596=0,$K12596=0),0,1)</f>
        <v>1</v>
      </c>
    </row>
    <row r="12597" spans="1:13" x14ac:dyDescent="0.2">
      <c r="A12597" t="s">
        <v>483</v>
      </c>
      <c r="B12597" t="s">
        <v>71</v>
      </c>
      <c r="C12597" t="s">
        <v>72</v>
      </c>
      <c r="D12597">
        <v>9101</v>
      </c>
      <c r="E12597">
        <v>2020</v>
      </c>
      <c r="F12597">
        <v>17</v>
      </c>
      <c r="G12597">
        <v>22734</v>
      </c>
      <c r="H12597" s="1" t="s">
        <v>1828</v>
      </c>
      <c r="I12597">
        <v>0</v>
      </c>
      <c r="J12597">
        <f>IF($H12597=0,1,IF($I12597&lt;=1,2,0))</f>
        <v>2</v>
      </c>
      <c r="K12597">
        <v>5</v>
      </c>
      <c r="L12597">
        <f>IF(AND($J12597=0,$K12597=0),0,1)</f>
        <v>1</v>
      </c>
    </row>
    <row r="12598" spans="1:13" x14ac:dyDescent="0.2">
      <c r="A12598" t="s">
        <v>483</v>
      </c>
      <c r="B12598" t="s">
        <v>71</v>
      </c>
      <c r="C12598" t="s">
        <v>72</v>
      </c>
      <c r="D12598">
        <v>9101</v>
      </c>
      <c r="E12598">
        <v>2020</v>
      </c>
      <c r="F12598">
        <v>19</v>
      </c>
      <c r="G12598">
        <v>22736</v>
      </c>
      <c r="H12598" s="1" t="s">
        <v>1828</v>
      </c>
      <c r="I12598">
        <v>0</v>
      </c>
      <c r="J12598">
        <f>IF($H12598=0,1,IF($I12598&lt;=1,2,0))</f>
        <v>2</v>
      </c>
      <c r="K12598">
        <v>5</v>
      </c>
      <c r="L12598">
        <f>IF(AND($J12598=0,$K12598=0),0,1)</f>
        <v>1</v>
      </c>
    </row>
    <row r="12599" spans="1:13" x14ac:dyDescent="0.2">
      <c r="A12599" t="s">
        <v>483</v>
      </c>
      <c r="B12599" t="s">
        <v>71</v>
      </c>
      <c r="C12599" t="s">
        <v>72</v>
      </c>
      <c r="D12599">
        <v>9101</v>
      </c>
      <c r="E12599">
        <v>2020</v>
      </c>
      <c r="F12599">
        <v>20</v>
      </c>
      <c r="G12599">
        <v>22737</v>
      </c>
      <c r="H12599" s="1" t="s">
        <v>1828</v>
      </c>
      <c r="I12599">
        <v>0</v>
      </c>
      <c r="J12599">
        <f>IF($H12599=0,1,IF($I12599&lt;=1,2,0))</f>
        <v>2</v>
      </c>
      <c r="K12599">
        <v>5</v>
      </c>
      <c r="L12599">
        <f>IF(AND($J12599=0,$K12599=0),0,1)</f>
        <v>1</v>
      </c>
    </row>
    <row r="12600" spans="1:13" x14ac:dyDescent="0.2">
      <c r="A12600" t="s">
        <v>483</v>
      </c>
      <c r="B12600" t="s">
        <v>71</v>
      </c>
      <c r="C12600" t="s">
        <v>72</v>
      </c>
      <c r="D12600">
        <v>9101</v>
      </c>
      <c r="E12600">
        <v>2020</v>
      </c>
      <c r="F12600">
        <v>21</v>
      </c>
      <c r="G12600">
        <v>22738</v>
      </c>
      <c r="H12600" s="1" t="s">
        <v>1828</v>
      </c>
      <c r="I12600">
        <v>0</v>
      </c>
      <c r="J12600">
        <f>IF($H12600=0,1,IF($I12600&lt;=1,2,0))</f>
        <v>2</v>
      </c>
      <c r="K12600">
        <v>5</v>
      </c>
      <c r="L12600">
        <f>IF(AND($J12600=0,$K12600=0),0,1)</f>
        <v>1</v>
      </c>
    </row>
    <row r="12601" spans="1:13" x14ac:dyDescent="0.2">
      <c r="A12601" t="s">
        <v>483</v>
      </c>
      <c r="B12601" t="s">
        <v>71</v>
      </c>
      <c r="C12601" t="s">
        <v>72</v>
      </c>
      <c r="D12601">
        <v>9101</v>
      </c>
      <c r="E12601">
        <v>2020</v>
      </c>
      <c r="F12601">
        <v>23</v>
      </c>
      <c r="G12601">
        <v>22740</v>
      </c>
      <c r="H12601" s="1" t="s">
        <v>1828</v>
      </c>
      <c r="I12601">
        <v>0</v>
      </c>
      <c r="J12601">
        <f>IF($H12601=0,1,IF($I12601&lt;=1,2,0))</f>
        <v>2</v>
      </c>
      <c r="K12601">
        <v>5</v>
      </c>
      <c r="L12601">
        <f>IF(AND($J12601=0,$K12601=0),0,1)</f>
        <v>1</v>
      </c>
    </row>
    <row r="12602" spans="1:13" x14ac:dyDescent="0.2">
      <c r="A12602" t="s">
        <v>483</v>
      </c>
      <c r="B12602" t="s">
        <v>71</v>
      </c>
      <c r="C12602" t="s">
        <v>72</v>
      </c>
      <c r="D12602">
        <v>9101</v>
      </c>
      <c r="E12602">
        <v>2020</v>
      </c>
      <c r="F12602">
        <v>25</v>
      </c>
      <c r="G12602">
        <v>22742</v>
      </c>
      <c r="H12602" s="1" t="s">
        <v>1828</v>
      </c>
      <c r="I12602">
        <v>0</v>
      </c>
      <c r="J12602">
        <f>IF($H12602=0,1,IF($I12602&lt;=1,2,0))</f>
        <v>2</v>
      </c>
      <c r="K12602">
        <v>5</v>
      </c>
      <c r="L12602">
        <f>IF(AND($J12602=0,$K12602=0),0,1)</f>
        <v>1</v>
      </c>
    </row>
    <row r="12603" spans="1:13" x14ac:dyDescent="0.2">
      <c r="A12603" t="s">
        <v>483</v>
      </c>
      <c r="B12603" t="s">
        <v>71</v>
      </c>
      <c r="C12603" t="s">
        <v>72</v>
      </c>
      <c r="D12603">
        <v>9101</v>
      </c>
      <c r="E12603">
        <v>2020</v>
      </c>
      <c r="F12603">
        <v>26</v>
      </c>
      <c r="G12603">
        <v>22743</v>
      </c>
      <c r="H12603" s="1" t="s">
        <v>1828</v>
      </c>
      <c r="I12603">
        <v>0</v>
      </c>
      <c r="J12603">
        <f>IF($H12603=0,1,IF($I12603&lt;=1,2,0))</f>
        <v>2</v>
      </c>
      <c r="K12603">
        <v>5</v>
      </c>
      <c r="L12603">
        <f>IF(AND($J12603=0,$K12603=0),0,1)</f>
        <v>1</v>
      </c>
    </row>
    <row r="12604" spans="1:13" x14ac:dyDescent="0.2">
      <c r="A12604" t="s">
        <v>483</v>
      </c>
      <c r="B12604" t="s">
        <v>71</v>
      </c>
      <c r="C12604" t="s">
        <v>72</v>
      </c>
      <c r="D12604">
        <v>9101</v>
      </c>
      <c r="E12604">
        <v>2020</v>
      </c>
      <c r="F12604">
        <v>28</v>
      </c>
      <c r="G12604">
        <v>22745</v>
      </c>
      <c r="H12604" s="1" t="s">
        <v>1828</v>
      </c>
      <c r="I12604">
        <v>0</v>
      </c>
      <c r="J12604">
        <f>IF($H12604=0,1,IF($I12604&lt;=1,2,0))</f>
        <v>2</v>
      </c>
      <c r="K12604">
        <v>5</v>
      </c>
      <c r="L12604">
        <f>IF(AND($J12604=0,$K12604=0),0,1)</f>
        <v>1</v>
      </c>
    </row>
    <row r="12605" spans="1:13" x14ac:dyDescent="0.2">
      <c r="A12605" t="s">
        <v>483</v>
      </c>
      <c r="B12605" t="s">
        <v>71</v>
      </c>
      <c r="C12605" t="s">
        <v>72</v>
      </c>
      <c r="D12605">
        <v>9101</v>
      </c>
      <c r="E12605">
        <v>2020</v>
      </c>
      <c r="F12605">
        <v>30</v>
      </c>
      <c r="G12605">
        <v>22747</v>
      </c>
      <c r="H12605" s="1" t="s">
        <v>1828</v>
      </c>
      <c r="I12605">
        <v>0</v>
      </c>
      <c r="J12605">
        <f>IF($H12605=0,1,IF($I12605&lt;=1,2,0))</f>
        <v>2</v>
      </c>
      <c r="K12605">
        <v>5</v>
      </c>
      <c r="L12605">
        <f>IF(AND($J12605=0,$K12605=0),0,1)</f>
        <v>1</v>
      </c>
    </row>
    <row r="12606" spans="1:13" x14ac:dyDescent="0.2">
      <c r="A12606" t="s">
        <v>498</v>
      </c>
      <c r="B12606" t="s">
        <v>381</v>
      </c>
      <c r="C12606" t="s">
        <v>382</v>
      </c>
      <c r="D12606">
        <v>6004</v>
      </c>
      <c r="E12606">
        <v>2020</v>
      </c>
      <c r="F12606">
        <v>1</v>
      </c>
      <c r="G12606">
        <v>15584</v>
      </c>
      <c r="H12606" s="1">
        <v>1.5</v>
      </c>
      <c r="I12606">
        <v>16</v>
      </c>
      <c r="J12606">
        <f>IF($H12606=0,1,IF($I12606&lt;=1,2,0))</f>
        <v>0</v>
      </c>
      <c r="K12606">
        <v>6</v>
      </c>
      <c r="L12606">
        <f>IF(AND($J12606=0,$K12606=0),0,1)</f>
        <v>1</v>
      </c>
      <c r="M12606" t="s">
        <v>2005</v>
      </c>
    </row>
    <row r="12607" spans="1:13" x14ac:dyDescent="0.2">
      <c r="A12607" t="s">
        <v>498</v>
      </c>
      <c r="B12607" t="s">
        <v>381</v>
      </c>
      <c r="C12607" t="s">
        <v>382</v>
      </c>
      <c r="D12607">
        <v>6006</v>
      </c>
      <c r="E12607">
        <v>2020</v>
      </c>
      <c r="F12607">
        <v>1</v>
      </c>
      <c r="G12607">
        <v>20627</v>
      </c>
      <c r="H12607" s="1">
        <v>3</v>
      </c>
      <c r="I12607">
        <v>33</v>
      </c>
      <c r="J12607">
        <f>IF($H12607=0,1,IF($I12607&lt;=1,2,0))</f>
        <v>0</v>
      </c>
      <c r="K12607">
        <v>6</v>
      </c>
      <c r="L12607">
        <f>IF(AND($J12607=0,$K12607=0),0,1)</f>
        <v>1</v>
      </c>
    </row>
    <row r="12608" spans="1:13" x14ac:dyDescent="0.2">
      <c r="A12608" t="s">
        <v>498</v>
      </c>
      <c r="B12608" t="s">
        <v>381</v>
      </c>
      <c r="C12608" t="s">
        <v>382</v>
      </c>
      <c r="D12608">
        <v>6006</v>
      </c>
      <c r="E12608">
        <v>2020</v>
      </c>
      <c r="F12608">
        <v>2</v>
      </c>
      <c r="G12608">
        <v>22375</v>
      </c>
      <c r="H12608" s="1">
        <v>3</v>
      </c>
      <c r="I12608">
        <v>21</v>
      </c>
      <c r="J12608">
        <f>IF($H12608=0,1,IF($I12608&lt;=1,2,0))</f>
        <v>0</v>
      </c>
      <c r="K12608">
        <v>6</v>
      </c>
      <c r="L12608">
        <f>IF(AND($J12608=0,$K12608=0),0,1)</f>
        <v>1</v>
      </c>
    </row>
    <row r="12609" spans="1:13" x14ac:dyDescent="0.2">
      <c r="A12609" t="s">
        <v>498</v>
      </c>
      <c r="B12609" t="s">
        <v>381</v>
      </c>
      <c r="C12609" t="s">
        <v>382</v>
      </c>
      <c r="D12609">
        <v>6016</v>
      </c>
      <c r="E12609">
        <v>2020</v>
      </c>
      <c r="F12609">
        <v>1</v>
      </c>
      <c r="G12609">
        <v>15585</v>
      </c>
      <c r="H12609" s="1">
        <v>3</v>
      </c>
      <c r="I12609">
        <v>50</v>
      </c>
      <c r="J12609">
        <f>IF($H12609=0,1,IF($I12609&lt;=1,2,0))</f>
        <v>0</v>
      </c>
      <c r="K12609">
        <v>6</v>
      </c>
      <c r="L12609">
        <f>IF(AND($J12609=0,$K12609=0),0,1)</f>
        <v>1</v>
      </c>
    </row>
    <row r="12610" spans="1:13" x14ac:dyDescent="0.2">
      <c r="A12610" t="s">
        <v>498</v>
      </c>
      <c r="B12610" t="s">
        <v>381</v>
      </c>
      <c r="C12610" t="s">
        <v>382</v>
      </c>
      <c r="D12610">
        <v>6016</v>
      </c>
      <c r="E12610">
        <v>2020</v>
      </c>
      <c r="F12610" t="s">
        <v>59</v>
      </c>
      <c r="G12610">
        <v>15586</v>
      </c>
      <c r="H12610" s="1">
        <v>0</v>
      </c>
      <c r="I12610">
        <v>0</v>
      </c>
      <c r="J12610">
        <f>IF($H12610=0,1,IF($I12610&lt;=1,2,0))</f>
        <v>1</v>
      </c>
      <c r="K12610">
        <v>6</v>
      </c>
      <c r="L12610">
        <f>IF(AND($J12610=0,$K12610=0),0,1)</f>
        <v>1</v>
      </c>
      <c r="M12610" t="s">
        <v>384</v>
      </c>
    </row>
    <row r="12611" spans="1:13" x14ac:dyDescent="0.2">
      <c r="A12611" t="s">
        <v>498</v>
      </c>
      <c r="B12611" t="s">
        <v>381</v>
      </c>
      <c r="C12611" t="s">
        <v>382</v>
      </c>
      <c r="D12611">
        <v>6017</v>
      </c>
      <c r="E12611">
        <v>2020</v>
      </c>
      <c r="F12611">
        <v>1</v>
      </c>
      <c r="G12611">
        <v>15587</v>
      </c>
      <c r="H12611" s="1">
        <v>3</v>
      </c>
      <c r="I12611">
        <v>13</v>
      </c>
      <c r="J12611">
        <f>IF($H12611=0,1,IF($I12611&lt;=1,2,0))</f>
        <v>0</v>
      </c>
      <c r="K12611">
        <v>6</v>
      </c>
      <c r="L12611">
        <f>IF(AND($J12611=0,$K12611=0),0,1)</f>
        <v>1</v>
      </c>
      <c r="M12611" t="s">
        <v>500</v>
      </c>
    </row>
    <row r="12612" spans="1:13" x14ac:dyDescent="0.2">
      <c r="A12612" t="s">
        <v>498</v>
      </c>
      <c r="B12612" t="s">
        <v>381</v>
      </c>
      <c r="C12612" t="s">
        <v>382</v>
      </c>
      <c r="D12612">
        <v>6017</v>
      </c>
      <c r="E12612">
        <v>2020</v>
      </c>
      <c r="F12612" t="s">
        <v>59</v>
      </c>
      <c r="G12612">
        <v>15588</v>
      </c>
      <c r="H12612" s="1">
        <v>0</v>
      </c>
      <c r="I12612">
        <v>0</v>
      </c>
      <c r="J12612">
        <f>IF($H12612=0,1,IF($I12612&lt;=1,2,0))</f>
        <v>1</v>
      </c>
      <c r="K12612">
        <v>6</v>
      </c>
      <c r="L12612">
        <f>IF(AND($J12612=0,$K12612=0),0,1)</f>
        <v>1</v>
      </c>
      <c r="M12612" t="s">
        <v>384</v>
      </c>
    </row>
    <row r="12613" spans="1:13" x14ac:dyDescent="0.2">
      <c r="A12613" t="s">
        <v>498</v>
      </c>
      <c r="B12613" t="s">
        <v>381</v>
      </c>
      <c r="C12613" t="s">
        <v>382</v>
      </c>
      <c r="D12613">
        <v>6018</v>
      </c>
      <c r="E12613">
        <v>2020</v>
      </c>
      <c r="F12613">
        <v>1</v>
      </c>
      <c r="G12613">
        <v>15589</v>
      </c>
      <c r="H12613" s="1">
        <v>3</v>
      </c>
      <c r="I12613">
        <v>84</v>
      </c>
      <c r="J12613">
        <f>IF($H12613=0,1,IF($I12613&lt;=1,2,0))</f>
        <v>0</v>
      </c>
      <c r="K12613">
        <v>6</v>
      </c>
      <c r="L12613">
        <f>IF(AND($J12613=0,$K12613=0),0,1)</f>
        <v>1</v>
      </c>
      <c r="M12613" t="s">
        <v>1113</v>
      </c>
    </row>
    <row r="12614" spans="1:13" x14ac:dyDescent="0.2">
      <c r="A12614" t="s">
        <v>498</v>
      </c>
      <c r="B12614" t="s">
        <v>381</v>
      </c>
      <c r="C12614" t="s">
        <v>382</v>
      </c>
      <c r="D12614">
        <v>6018</v>
      </c>
      <c r="E12614">
        <v>2020</v>
      </c>
      <c r="F12614" t="s">
        <v>59</v>
      </c>
      <c r="G12614">
        <v>15590</v>
      </c>
      <c r="H12614" s="1">
        <v>0</v>
      </c>
      <c r="I12614">
        <v>0</v>
      </c>
      <c r="J12614">
        <f>IF($H12614=0,1,IF($I12614&lt;=1,2,0))</f>
        <v>1</v>
      </c>
      <c r="K12614">
        <v>6</v>
      </c>
      <c r="L12614">
        <f>IF(AND($J12614=0,$K12614=0),0,1)</f>
        <v>1</v>
      </c>
      <c r="M12614" t="s">
        <v>384</v>
      </c>
    </row>
    <row r="12615" spans="1:13" x14ac:dyDescent="0.2">
      <c r="A12615" t="s">
        <v>498</v>
      </c>
      <c r="B12615" t="s">
        <v>381</v>
      </c>
      <c r="C12615" t="s">
        <v>382</v>
      </c>
      <c r="D12615">
        <v>6021</v>
      </c>
      <c r="E12615">
        <v>2020</v>
      </c>
      <c r="F12615">
        <v>1</v>
      </c>
      <c r="G12615">
        <v>15591</v>
      </c>
      <c r="H12615" s="1">
        <v>3</v>
      </c>
      <c r="I12615">
        <v>7</v>
      </c>
      <c r="J12615">
        <f>IF($H12615=0,1,IF($I12615&lt;=1,2,0))</f>
        <v>0</v>
      </c>
      <c r="K12615">
        <v>6</v>
      </c>
      <c r="L12615">
        <f>IF(AND($J12615=0,$K12615=0),0,1)</f>
        <v>1</v>
      </c>
    </row>
    <row r="12616" spans="1:13" x14ac:dyDescent="0.2">
      <c r="A12616" t="s">
        <v>498</v>
      </c>
      <c r="B12616" t="s">
        <v>381</v>
      </c>
      <c r="C12616" t="s">
        <v>382</v>
      </c>
      <c r="D12616">
        <v>6022</v>
      </c>
      <c r="E12616">
        <v>2020</v>
      </c>
      <c r="F12616">
        <v>1</v>
      </c>
      <c r="G12616">
        <v>15592</v>
      </c>
      <c r="H12616" s="1">
        <v>3</v>
      </c>
      <c r="I12616">
        <v>33</v>
      </c>
      <c r="J12616">
        <f>IF($H12616=0,1,IF($I12616&lt;=1,2,0))</f>
        <v>0</v>
      </c>
      <c r="K12616">
        <v>6</v>
      </c>
      <c r="L12616">
        <f>IF(AND($J12616=0,$K12616=0),0,1)</f>
        <v>1</v>
      </c>
    </row>
    <row r="12617" spans="1:13" x14ac:dyDescent="0.2">
      <c r="A12617" t="s">
        <v>498</v>
      </c>
      <c r="B12617" t="s">
        <v>381</v>
      </c>
      <c r="C12617" t="s">
        <v>382</v>
      </c>
      <c r="D12617">
        <v>6022</v>
      </c>
      <c r="E12617">
        <v>2020</v>
      </c>
      <c r="F12617" t="s">
        <v>59</v>
      </c>
      <c r="G12617">
        <v>15593</v>
      </c>
      <c r="H12617" s="1">
        <v>0</v>
      </c>
      <c r="I12617">
        <v>0</v>
      </c>
      <c r="J12617">
        <f>IF($H12617=0,1,IF($I12617&lt;=1,2,0))</f>
        <v>1</v>
      </c>
      <c r="K12617">
        <v>6</v>
      </c>
      <c r="L12617">
        <f>IF(AND($J12617=0,$K12617=0),0,1)</f>
        <v>1</v>
      </c>
      <c r="M12617" t="s">
        <v>384</v>
      </c>
    </row>
    <row r="12618" spans="1:13" x14ac:dyDescent="0.2">
      <c r="A12618" t="s">
        <v>498</v>
      </c>
      <c r="B12618" t="s">
        <v>381</v>
      </c>
      <c r="C12618" t="s">
        <v>382</v>
      </c>
      <c r="D12618">
        <v>6039</v>
      </c>
      <c r="E12618">
        <v>2020</v>
      </c>
      <c r="F12618">
        <v>1</v>
      </c>
      <c r="G12618">
        <v>15594</v>
      </c>
      <c r="H12618" s="1">
        <v>3</v>
      </c>
      <c r="I12618">
        <v>22</v>
      </c>
      <c r="J12618">
        <f>IF($H12618=0,1,IF($I12618&lt;=1,2,0))</f>
        <v>0</v>
      </c>
      <c r="K12618">
        <v>6</v>
      </c>
      <c r="L12618">
        <f>IF(AND($J12618=0,$K12618=0),0,1)</f>
        <v>1</v>
      </c>
    </row>
    <row r="12619" spans="1:13" x14ac:dyDescent="0.2">
      <c r="A12619" t="s">
        <v>498</v>
      </c>
      <c r="B12619" t="s">
        <v>381</v>
      </c>
      <c r="C12619" t="s">
        <v>382</v>
      </c>
      <c r="D12619">
        <v>6040</v>
      </c>
      <c r="E12619">
        <v>2020</v>
      </c>
      <c r="F12619">
        <v>1</v>
      </c>
      <c r="G12619">
        <v>15595</v>
      </c>
      <c r="H12619" s="1">
        <v>3</v>
      </c>
      <c r="I12619">
        <v>22</v>
      </c>
      <c r="J12619">
        <f>IF($H12619=0,1,IF($I12619&lt;=1,2,0))</f>
        <v>0</v>
      </c>
      <c r="K12619">
        <v>6</v>
      </c>
      <c r="L12619">
        <f>IF(AND($J12619=0,$K12619=0),0,1)</f>
        <v>1</v>
      </c>
    </row>
    <row r="12620" spans="1:13" x14ac:dyDescent="0.2">
      <c r="A12620" t="s">
        <v>498</v>
      </c>
      <c r="B12620" t="s">
        <v>381</v>
      </c>
      <c r="C12620" t="s">
        <v>382</v>
      </c>
      <c r="D12620">
        <v>6041</v>
      </c>
      <c r="E12620">
        <v>2020</v>
      </c>
      <c r="F12620">
        <v>1</v>
      </c>
      <c r="G12620">
        <v>15596</v>
      </c>
      <c r="H12620" s="1">
        <v>3</v>
      </c>
      <c r="I12620">
        <v>20</v>
      </c>
      <c r="J12620">
        <f>IF($H12620=0,1,IF($I12620&lt;=1,2,0))</f>
        <v>0</v>
      </c>
      <c r="K12620">
        <v>6</v>
      </c>
      <c r="L12620">
        <f>IF(AND($J12620=0,$K12620=0),0,1)</f>
        <v>1</v>
      </c>
      <c r="M12620" t="s">
        <v>502</v>
      </c>
    </row>
    <row r="12621" spans="1:13" x14ac:dyDescent="0.2">
      <c r="A12621" t="s">
        <v>498</v>
      </c>
      <c r="B12621" t="s">
        <v>381</v>
      </c>
      <c r="C12621" t="s">
        <v>382</v>
      </c>
      <c r="D12621">
        <v>6042</v>
      </c>
      <c r="E12621">
        <v>2020</v>
      </c>
      <c r="F12621">
        <v>1</v>
      </c>
      <c r="G12621">
        <v>15597</v>
      </c>
      <c r="H12621" s="1">
        <v>3</v>
      </c>
      <c r="I12621">
        <v>9</v>
      </c>
      <c r="J12621">
        <f>IF($H12621=0,1,IF($I12621&lt;=1,2,0))</f>
        <v>0</v>
      </c>
      <c r="K12621">
        <v>6</v>
      </c>
      <c r="L12621">
        <f>IF(AND($J12621=0,$K12621=0),0,1)</f>
        <v>1</v>
      </c>
    </row>
    <row r="12622" spans="1:13" x14ac:dyDescent="0.2">
      <c r="A12622" t="s">
        <v>498</v>
      </c>
      <c r="B12622" t="s">
        <v>381</v>
      </c>
      <c r="C12622" t="s">
        <v>382</v>
      </c>
      <c r="D12622">
        <v>6043</v>
      </c>
      <c r="E12622">
        <v>2020</v>
      </c>
      <c r="F12622">
        <v>1</v>
      </c>
      <c r="G12622">
        <v>15598</v>
      </c>
      <c r="H12622" s="1">
        <v>3</v>
      </c>
      <c r="I12622">
        <v>39</v>
      </c>
      <c r="J12622">
        <f>IF($H12622=0,1,IF($I12622&lt;=1,2,0))</f>
        <v>0</v>
      </c>
      <c r="K12622">
        <v>6</v>
      </c>
      <c r="L12622">
        <f>IF(AND($J12622=0,$K12622=0),0,1)</f>
        <v>1</v>
      </c>
      <c r="M12622" t="s">
        <v>503</v>
      </c>
    </row>
    <row r="12623" spans="1:13" x14ac:dyDescent="0.2">
      <c r="A12623" t="s">
        <v>498</v>
      </c>
      <c r="B12623" t="s">
        <v>381</v>
      </c>
      <c r="C12623" t="s">
        <v>382</v>
      </c>
      <c r="D12623">
        <v>6043</v>
      </c>
      <c r="E12623">
        <v>2020</v>
      </c>
      <c r="F12623" t="s">
        <v>59</v>
      </c>
      <c r="G12623">
        <v>15601</v>
      </c>
      <c r="H12623" s="1">
        <v>0</v>
      </c>
      <c r="I12623">
        <v>0</v>
      </c>
      <c r="J12623">
        <f>IF($H12623=0,1,IF($I12623&lt;=1,2,0))</f>
        <v>1</v>
      </c>
      <c r="K12623">
        <v>6</v>
      </c>
      <c r="L12623">
        <f>IF(AND($J12623=0,$K12623=0),0,1)</f>
        <v>1</v>
      </c>
      <c r="M12623" t="s">
        <v>384</v>
      </c>
    </row>
    <row r="12624" spans="1:13" x14ac:dyDescent="0.2">
      <c r="A12624" t="s">
        <v>498</v>
      </c>
      <c r="B12624" t="s">
        <v>381</v>
      </c>
      <c r="C12624" t="s">
        <v>382</v>
      </c>
      <c r="D12624">
        <v>6045</v>
      </c>
      <c r="E12624">
        <v>2020</v>
      </c>
      <c r="F12624">
        <v>2</v>
      </c>
      <c r="G12624">
        <v>15604</v>
      </c>
      <c r="H12624" s="1">
        <v>3</v>
      </c>
      <c r="I12624">
        <v>34</v>
      </c>
      <c r="J12624">
        <f>IF($H12624=0,1,IF($I12624&lt;=1,2,0))</f>
        <v>0</v>
      </c>
      <c r="K12624">
        <v>6</v>
      </c>
      <c r="L12624">
        <f>IF(AND($J12624=0,$K12624=0),0,1)</f>
        <v>1</v>
      </c>
      <c r="M12624" t="s">
        <v>519</v>
      </c>
    </row>
    <row r="12625" spans="1:13" x14ac:dyDescent="0.2">
      <c r="A12625" t="s">
        <v>498</v>
      </c>
      <c r="B12625" t="s">
        <v>381</v>
      </c>
      <c r="C12625" t="s">
        <v>382</v>
      </c>
      <c r="D12625">
        <v>6045</v>
      </c>
      <c r="E12625">
        <v>2020</v>
      </c>
      <c r="F12625">
        <v>1</v>
      </c>
      <c r="G12625">
        <v>15602</v>
      </c>
      <c r="H12625" s="1">
        <v>3</v>
      </c>
      <c r="I12625">
        <v>30</v>
      </c>
      <c r="J12625">
        <f>IF($H12625=0,1,IF($I12625&lt;=1,2,0))</f>
        <v>0</v>
      </c>
      <c r="K12625">
        <v>6</v>
      </c>
      <c r="L12625">
        <f>IF(AND($J12625=0,$K12625=0),0,1)</f>
        <v>1</v>
      </c>
      <c r="M12625" t="s">
        <v>519</v>
      </c>
    </row>
    <row r="12626" spans="1:13" x14ac:dyDescent="0.2">
      <c r="A12626" t="s">
        <v>498</v>
      </c>
      <c r="B12626" t="s">
        <v>381</v>
      </c>
      <c r="C12626" t="s">
        <v>382</v>
      </c>
      <c r="D12626">
        <v>6045</v>
      </c>
      <c r="E12626">
        <v>2020</v>
      </c>
      <c r="F12626" t="s">
        <v>59</v>
      </c>
      <c r="G12626">
        <v>15603</v>
      </c>
      <c r="H12626" s="1">
        <v>0</v>
      </c>
      <c r="I12626">
        <v>0</v>
      </c>
      <c r="J12626">
        <f>IF($H12626=0,1,IF($I12626&lt;=1,2,0))</f>
        <v>1</v>
      </c>
      <c r="K12626">
        <v>6</v>
      </c>
      <c r="L12626">
        <f>IF(AND($J12626=0,$K12626=0),0,1)</f>
        <v>1</v>
      </c>
      <c r="M12626" t="s">
        <v>384</v>
      </c>
    </row>
    <row r="12627" spans="1:13" x14ac:dyDescent="0.2">
      <c r="A12627" t="s">
        <v>498</v>
      </c>
      <c r="B12627" t="s">
        <v>381</v>
      </c>
      <c r="C12627" t="s">
        <v>382</v>
      </c>
      <c r="D12627">
        <v>6045</v>
      </c>
      <c r="E12627">
        <v>2020</v>
      </c>
      <c r="F12627" t="s">
        <v>60</v>
      </c>
      <c r="G12627">
        <v>15605</v>
      </c>
      <c r="H12627" s="1">
        <v>0</v>
      </c>
      <c r="I12627">
        <v>0</v>
      </c>
      <c r="J12627">
        <f>IF($H12627=0,1,IF($I12627&lt;=1,2,0))</f>
        <v>1</v>
      </c>
      <c r="K12627">
        <v>6</v>
      </c>
      <c r="L12627">
        <f>IF(AND($J12627=0,$K12627=0),0,1)</f>
        <v>1</v>
      </c>
      <c r="M12627" t="s">
        <v>384</v>
      </c>
    </row>
    <row r="12628" spans="1:13" x14ac:dyDescent="0.2">
      <c r="A12628" t="s">
        <v>498</v>
      </c>
      <c r="B12628" t="s">
        <v>381</v>
      </c>
      <c r="C12628" t="s">
        <v>382</v>
      </c>
      <c r="D12628">
        <v>6046</v>
      </c>
      <c r="E12628">
        <v>2020</v>
      </c>
      <c r="F12628">
        <v>1</v>
      </c>
      <c r="G12628">
        <v>15929</v>
      </c>
      <c r="H12628" s="1">
        <v>1.5</v>
      </c>
      <c r="I12628">
        <v>13</v>
      </c>
      <c r="J12628">
        <f>IF($H12628=0,1,IF($I12628&lt;=1,2,0))</f>
        <v>0</v>
      </c>
      <c r="K12628">
        <v>6</v>
      </c>
      <c r="L12628">
        <f>IF(AND($J12628=0,$K12628=0),0,1)</f>
        <v>1</v>
      </c>
      <c r="M12628" t="s">
        <v>1114</v>
      </c>
    </row>
    <row r="12629" spans="1:13" x14ac:dyDescent="0.2">
      <c r="A12629" t="s">
        <v>498</v>
      </c>
      <c r="B12629" t="s">
        <v>381</v>
      </c>
      <c r="C12629" t="s">
        <v>382</v>
      </c>
      <c r="D12629">
        <v>6051</v>
      </c>
      <c r="E12629">
        <v>2020</v>
      </c>
      <c r="F12629">
        <v>1</v>
      </c>
      <c r="G12629">
        <v>15622</v>
      </c>
      <c r="H12629" s="1">
        <v>1.5</v>
      </c>
      <c r="I12629">
        <v>27</v>
      </c>
      <c r="J12629">
        <f>IF($H12629=0,1,IF($I12629&lt;=1,2,0))</f>
        <v>0</v>
      </c>
      <c r="K12629">
        <v>6</v>
      </c>
      <c r="L12629">
        <f>IF(AND($J12629=0,$K12629=0),0,1)</f>
        <v>1</v>
      </c>
      <c r="M12629" t="s">
        <v>1115</v>
      </c>
    </row>
    <row r="12630" spans="1:13" x14ac:dyDescent="0.2">
      <c r="A12630" t="s">
        <v>498</v>
      </c>
      <c r="B12630" t="s">
        <v>381</v>
      </c>
      <c r="C12630" t="s">
        <v>382</v>
      </c>
      <c r="D12630">
        <v>6053</v>
      </c>
      <c r="E12630">
        <v>2020</v>
      </c>
      <c r="F12630">
        <v>1</v>
      </c>
      <c r="G12630">
        <v>15623</v>
      </c>
      <c r="H12630" s="1">
        <v>3</v>
      </c>
      <c r="I12630">
        <v>36</v>
      </c>
      <c r="J12630">
        <f>IF($H12630=0,1,IF($I12630&lt;=1,2,0))</f>
        <v>0</v>
      </c>
      <c r="K12630">
        <v>6</v>
      </c>
      <c r="L12630">
        <f>IF(AND($J12630=0,$K12630=0),0,1)</f>
        <v>1</v>
      </c>
    </row>
    <row r="12631" spans="1:13" x14ac:dyDescent="0.2">
      <c r="A12631" t="s">
        <v>498</v>
      </c>
      <c r="B12631" t="s">
        <v>381</v>
      </c>
      <c r="C12631" t="s">
        <v>382</v>
      </c>
      <c r="D12631">
        <v>6061</v>
      </c>
      <c r="E12631">
        <v>2020</v>
      </c>
      <c r="F12631">
        <v>1</v>
      </c>
      <c r="G12631">
        <v>15625</v>
      </c>
      <c r="H12631" s="1">
        <v>3</v>
      </c>
      <c r="I12631">
        <v>23</v>
      </c>
      <c r="J12631">
        <f>IF($H12631=0,1,IF($I12631&lt;=1,2,0))</f>
        <v>0</v>
      </c>
      <c r="K12631">
        <v>6</v>
      </c>
      <c r="L12631">
        <f>IF(AND($J12631=0,$K12631=0),0,1)</f>
        <v>1</v>
      </c>
    </row>
    <row r="12632" spans="1:13" x14ac:dyDescent="0.2">
      <c r="A12632" t="s">
        <v>498</v>
      </c>
      <c r="B12632" t="s">
        <v>381</v>
      </c>
      <c r="C12632" t="s">
        <v>382</v>
      </c>
      <c r="D12632">
        <v>6065</v>
      </c>
      <c r="E12632">
        <v>2020</v>
      </c>
      <c r="F12632">
        <v>1</v>
      </c>
      <c r="G12632">
        <v>15626</v>
      </c>
      <c r="H12632" s="1">
        <v>3</v>
      </c>
      <c r="I12632">
        <v>24</v>
      </c>
      <c r="J12632">
        <f>IF($H12632=0,1,IF($I12632&lt;=1,2,0))</f>
        <v>0</v>
      </c>
      <c r="K12632">
        <v>6</v>
      </c>
      <c r="L12632">
        <f>IF(AND($J12632=0,$K12632=0),0,1)</f>
        <v>1</v>
      </c>
    </row>
    <row r="12633" spans="1:13" x14ac:dyDescent="0.2">
      <c r="A12633" t="s">
        <v>498</v>
      </c>
      <c r="B12633" t="s">
        <v>381</v>
      </c>
      <c r="C12633" t="s">
        <v>382</v>
      </c>
      <c r="D12633">
        <v>6065</v>
      </c>
      <c r="E12633">
        <v>2020</v>
      </c>
      <c r="F12633" t="s">
        <v>59</v>
      </c>
      <c r="G12633">
        <v>15627</v>
      </c>
      <c r="H12633" s="1">
        <v>0</v>
      </c>
      <c r="I12633">
        <v>0</v>
      </c>
      <c r="J12633">
        <f>IF($H12633=0,1,IF($I12633&lt;=1,2,0))</f>
        <v>1</v>
      </c>
      <c r="K12633">
        <v>6</v>
      </c>
      <c r="L12633">
        <f>IF(AND($J12633=0,$K12633=0),0,1)</f>
        <v>1</v>
      </c>
      <c r="M12633" t="s">
        <v>384</v>
      </c>
    </row>
    <row r="12634" spans="1:13" x14ac:dyDescent="0.2">
      <c r="A12634" t="s">
        <v>498</v>
      </c>
      <c r="B12634" t="s">
        <v>381</v>
      </c>
      <c r="C12634" t="s">
        <v>382</v>
      </c>
      <c r="D12634">
        <v>6068</v>
      </c>
      <c r="E12634">
        <v>2020</v>
      </c>
      <c r="F12634">
        <v>1</v>
      </c>
      <c r="G12634">
        <v>15628</v>
      </c>
      <c r="H12634" s="1">
        <v>3</v>
      </c>
      <c r="I12634">
        <v>24</v>
      </c>
      <c r="J12634">
        <f>IF($H12634=0,1,IF($I12634&lt;=1,2,0))</f>
        <v>0</v>
      </c>
      <c r="K12634">
        <v>6</v>
      </c>
      <c r="L12634">
        <f>IF(AND($J12634=0,$K12634=0),0,1)</f>
        <v>1</v>
      </c>
    </row>
    <row r="12635" spans="1:13" x14ac:dyDescent="0.2">
      <c r="A12635" t="s">
        <v>498</v>
      </c>
      <c r="B12635" t="s">
        <v>381</v>
      </c>
      <c r="C12635" t="s">
        <v>382</v>
      </c>
      <c r="D12635">
        <v>6068</v>
      </c>
      <c r="E12635">
        <v>2020</v>
      </c>
      <c r="F12635" t="s">
        <v>59</v>
      </c>
      <c r="G12635">
        <v>15629</v>
      </c>
      <c r="H12635" s="1">
        <v>0</v>
      </c>
      <c r="I12635">
        <v>0</v>
      </c>
      <c r="J12635">
        <f>IF($H12635=0,1,IF($I12635&lt;=1,2,0))</f>
        <v>1</v>
      </c>
      <c r="K12635">
        <v>6</v>
      </c>
      <c r="L12635">
        <f>IF(AND($J12635=0,$K12635=0),0,1)</f>
        <v>1</v>
      </c>
      <c r="M12635" t="s">
        <v>384</v>
      </c>
    </row>
    <row r="12636" spans="1:13" x14ac:dyDescent="0.2">
      <c r="A12636" t="s">
        <v>498</v>
      </c>
      <c r="B12636" t="s">
        <v>381</v>
      </c>
      <c r="C12636" t="s">
        <v>382</v>
      </c>
      <c r="D12636">
        <v>6071</v>
      </c>
      <c r="E12636">
        <v>2020</v>
      </c>
      <c r="F12636">
        <v>1</v>
      </c>
      <c r="G12636">
        <v>15630</v>
      </c>
      <c r="H12636" s="1">
        <v>3</v>
      </c>
      <c r="I12636">
        <v>14</v>
      </c>
      <c r="J12636">
        <f>IF($H12636=0,1,IF($I12636&lt;=1,2,0))</f>
        <v>0</v>
      </c>
      <c r="K12636">
        <v>6</v>
      </c>
      <c r="L12636">
        <f>IF(AND($J12636=0,$K12636=0),0,1)</f>
        <v>1</v>
      </c>
    </row>
    <row r="12637" spans="1:13" x14ac:dyDescent="0.2">
      <c r="A12637" t="s">
        <v>498</v>
      </c>
      <c r="B12637" t="s">
        <v>381</v>
      </c>
      <c r="C12637" t="s">
        <v>382</v>
      </c>
      <c r="D12637">
        <v>6071</v>
      </c>
      <c r="E12637">
        <v>2020</v>
      </c>
      <c r="F12637" t="s">
        <v>59</v>
      </c>
      <c r="G12637">
        <v>15631</v>
      </c>
      <c r="H12637" s="1">
        <v>0</v>
      </c>
      <c r="I12637">
        <v>0</v>
      </c>
      <c r="J12637">
        <f>IF($H12637=0,1,IF($I12637&lt;=1,2,0))</f>
        <v>1</v>
      </c>
      <c r="K12637">
        <v>6</v>
      </c>
      <c r="L12637">
        <f>IF(AND($J12637=0,$K12637=0),0,1)</f>
        <v>1</v>
      </c>
      <c r="M12637" t="s">
        <v>384</v>
      </c>
    </row>
    <row r="12638" spans="1:13" x14ac:dyDescent="0.2">
      <c r="A12638" t="s">
        <v>498</v>
      </c>
      <c r="B12638" t="s">
        <v>381</v>
      </c>
      <c r="C12638" t="s">
        <v>382</v>
      </c>
      <c r="D12638">
        <v>6072</v>
      </c>
      <c r="E12638">
        <v>2020</v>
      </c>
      <c r="F12638">
        <v>1</v>
      </c>
      <c r="G12638">
        <v>15632</v>
      </c>
      <c r="H12638" s="1">
        <v>3</v>
      </c>
      <c r="I12638">
        <v>27</v>
      </c>
      <c r="J12638">
        <f>IF($H12638=0,1,IF($I12638&lt;=1,2,0))</f>
        <v>0</v>
      </c>
      <c r="K12638">
        <v>6</v>
      </c>
      <c r="L12638">
        <f>IF(AND($J12638=0,$K12638=0),0,1)</f>
        <v>1</v>
      </c>
    </row>
    <row r="12639" spans="1:13" x14ac:dyDescent="0.2">
      <c r="A12639" t="s">
        <v>498</v>
      </c>
      <c r="B12639" t="s">
        <v>381</v>
      </c>
      <c r="C12639" t="s">
        <v>382</v>
      </c>
      <c r="D12639">
        <v>6072</v>
      </c>
      <c r="E12639">
        <v>2020</v>
      </c>
      <c r="F12639" t="s">
        <v>59</v>
      </c>
      <c r="G12639">
        <v>15633</v>
      </c>
      <c r="H12639" s="1">
        <v>0</v>
      </c>
      <c r="I12639">
        <v>0</v>
      </c>
      <c r="J12639">
        <f>IF($H12639=0,1,IF($I12639&lt;=1,2,0))</f>
        <v>1</v>
      </c>
      <c r="K12639">
        <v>6</v>
      </c>
      <c r="L12639">
        <f>IF(AND($J12639=0,$K12639=0),0,1)</f>
        <v>1</v>
      </c>
      <c r="M12639" t="s">
        <v>384</v>
      </c>
    </row>
    <row r="12640" spans="1:13" x14ac:dyDescent="0.2">
      <c r="A12640" t="s">
        <v>498</v>
      </c>
      <c r="B12640" t="s">
        <v>381</v>
      </c>
      <c r="C12640" t="s">
        <v>382</v>
      </c>
      <c r="D12640">
        <v>6086</v>
      </c>
      <c r="E12640">
        <v>2020</v>
      </c>
      <c r="F12640">
        <v>1</v>
      </c>
      <c r="G12640">
        <v>15634</v>
      </c>
      <c r="H12640" s="1">
        <v>3</v>
      </c>
      <c r="I12640">
        <v>4</v>
      </c>
      <c r="J12640">
        <f>IF($H12640=0,1,IF($I12640&lt;=1,2,0))</f>
        <v>0</v>
      </c>
      <c r="K12640">
        <v>6</v>
      </c>
      <c r="L12640">
        <f>IF(AND($J12640=0,$K12640=0),0,1)</f>
        <v>1</v>
      </c>
    </row>
    <row r="12641" spans="1:13" x14ac:dyDescent="0.2">
      <c r="A12641" t="s">
        <v>498</v>
      </c>
      <c r="B12641" t="s">
        <v>381</v>
      </c>
      <c r="C12641" t="s">
        <v>382</v>
      </c>
      <c r="D12641">
        <v>6087</v>
      </c>
      <c r="E12641">
        <v>2020</v>
      </c>
      <c r="F12641">
        <v>1</v>
      </c>
      <c r="G12641">
        <v>15923</v>
      </c>
      <c r="H12641" s="1">
        <v>3</v>
      </c>
      <c r="I12641">
        <v>6</v>
      </c>
      <c r="J12641">
        <f>IF($H12641=0,1,IF($I12641&lt;=1,2,0))</f>
        <v>0</v>
      </c>
      <c r="K12641">
        <v>6</v>
      </c>
      <c r="L12641">
        <f>IF(AND($J12641=0,$K12641=0),0,1)</f>
        <v>1</v>
      </c>
    </row>
    <row r="12642" spans="1:13" x14ac:dyDescent="0.2">
      <c r="A12642" t="s">
        <v>498</v>
      </c>
      <c r="B12642" t="s">
        <v>381</v>
      </c>
      <c r="C12642" t="s">
        <v>382</v>
      </c>
      <c r="D12642">
        <v>6095</v>
      </c>
      <c r="E12642">
        <v>2020</v>
      </c>
      <c r="F12642">
        <v>1</v>
      </c>
      <c r="G12642">
        <v>15635</v>
      </c>
      <c r="H12642" s="1">
        <v>3</v>
      </c>
      <c r="I12642">
        <v>9</v>
      </c>
      <c r="J12642">
        <f>IF($H12642=0,1,IF($I12642&lt;=1,2,0))</f>
        <v>0</v>
      </c>
      <c r="K12642">
        <v>6</v>
      </c>
      <c r="L12642">
        <f>IF(AND($J12642=0,$K12642=0),0,1)</f>
        <v>1</v>
      </c>
    </row>
    <row r="12643" spans="1:13" x14ac:dyDescent="0.2">
      <c r="A12643" t="s">
        <v>498</v>
      </c>
      <c r="B12643" t="s">
        <v>381</v>
      </c>
      <c r="C12643" t="s">
        <v>382</v>
      </c>
      <c r="D12643">
        <v>6098</v>
      </c>
      <c r="E12643">
        <v>2020</v>
      </c>
      <c r="F12643">
        <v>1</v>
      </c>
      <c r="G12643">
        <v>15636</v>
      </c>
      <c r="H12643" s="1">
        <v>3</v>
      </c>
      <c r="I12643">
        <v>18</v>
      </c>
      <c r="J12643">
        <f>IF($H12643=0,1,IF($I12643&lt;=1,2,0))</f>
        <v>0</v>
      </c>
      <c r="K12643">
        <v>6</v>
      </c>
      <c r="L12643">
        <f>IF(AND($J12643=0,$K12643=0),0,1)</f>
        <v>1</v>
      </c>
      <c r="M12643" t="s">
        <v>1116</v>
      </c>
    </row>
    <row r="12644" spans="1:13" x14ac:dyDescent="0.2">
      <c r="A12644" t="s">
        <v>498</v>
      </c>
      <c r="B12644" t="s">
        <v>381</v>
      </c>
      <c r="C12644" t="s">
        <v>382</v>
      </c>
      <c r="D12644">
        <v>6114</v>
      </c>
      <c r="E12644">
        <v>2020</v>
      </c>
      <c r="F12644">
        <v>1</v>
      </c>
      <c r="G12644">
        <v>15637</v>
      </c>
      <c r="H12644" s="1">
        <v>3</v>
      </c>
      <c r="I12644">
        <v>25</v>
      </c>
      <c r="J12644">
        <f>IF($H12644=0,1,IF($I12644&lt;=1,2,0))</f>
        <v>0</v>
      </c>
      <c r="K12644">
        <v>6</v>
      </c>
      <c r="L12644">
        <f>IF(AND($J12644=0,$K12644=0),0,1)</f>
        <v>1</v>
      </c>
    </row>
    <row r="12645" spans="1:13" x14ac:dyDescent="0.2">
      <c r="A12645" t="s">
        <v>498</v>
      </c>
      <c r="B12645" t="s">
        <v>381</v>
      </c>
      <c r="C12645" t="s">
        <v>382</v>
      </c>
      <c r="D12645">
        <v>6116</v>
      </c>
      <c r="E12645">
        <v>2020</v>
      </c>
      <c r="F12645">
        <v>1</v>
      </c>
      <c r="G12645">
        <v>15638</v>
      </c>
      <c r="H12645" s="1">
        <v>3</v>
      </c>
      <c r="I12645">
        <v>14</v>
      </c>
      <c r="J12645">
        <f>IF($H12645=0,1,IF($I12645&lt;=1,2,0))</f>
        <v>0</v>
      </c>
      <c r="K12645">
        <v>6</v>
      </c>
      <c r="L12645">
        <f>IF(AND($J12645=0,$K12645=0),0,1)</f>
        <v>1</v>
      </c>
      <c r="M12645" t="s">
        <v>1117</v>
      </c>
    </row>
    <row r="12646" spans="1:13" x14ac:dyDescent="0.2">
      <c r="A12646" t="s">
        <v>498</v>
      </c>
      <c r="B12646" t="s">
        <v>381</v>
      </c>
      <c r="C12646" t="s">
        <v>382</v>
      </c>
      <c r="D12646">
        <v>6116</v>
      </c>
      <c r="E12646">
        <v>2020</v>
      </c>
      <c r="F12646" t="s">
        <v>59</v>
      </c>
      <c r="G12646">
        <v>15639</v>
      </c>
      <c r="H12646" s="1">
        <v>0</v>
      </c>
      <c r="I12646">
        <v>0</v>
      </c>
      <c r="J12646">
        <f>IF($H12646=0,1,IF($I12646&lt;=1,2,0))</f>
        <v>1</v>
      </c>
      <c r="K12646">
        <v>6</v>
      </c>
      <c r="L12646">
        <f>IF(AND($J12646=0,$K12646=0),0,1)</f>
        <v>1</v>
      </c>
      <c r="M12646" t="s">
        <v>384</v>
      </c>
    </row>
    <row r="12647" spans="1:13" x14ac:dyDescent="0.2">
      <c r="A12647" t="s">
        <v>498</v>
      </c>
      <c r="B12647" t="s">
        <v>381</v>
      </c>
      <c r="C12647" t="s">
        <v>382</v>
      </c>
      <c r="D12647">
        <v>6122</v>
      </c>
      <c r="E12647">
        <v>2020</v>
      </c>
      <c r="F12647">
        <v>1</v>
      </c>
      <c r="G12647">
        <v>15667</v>
      </c>
      <c r="H12647" s="1">
        <v>3</v>
      </c>
      <c r="I12647">
        <v>9</v>
      </c>
      <c r="J12647">
        <f>IF($H12647=0,1,IF($I12647&lt;=1,2,0))</f>
        <v>0</v>
      </c>
      <c r="K12647">
        <v>6</v>
      </c>
      <c r="L12647">
        <f>IF(AND($J12647=0,$K12647=0),0,1)</f>
        <v>1</v>
      </c>
    </row>
    <row r="12648" spans="1:13" x14ac:dyDescent="0.2">
      <c r="A12648" t="s">
        <v>498</v>
      </c>
      <c r="B12648" t="s">
        <v>381</v>
      </c>
      <c r="C12648" t="s">
        <v>382</v>
      </c>
      <c r="D12648">
        <v>6128</v>
      </c>
      <c r="E12648">
        <v>2020</v>
      </c>
      <c r="F12648">
        <v>1</v>
      </c>
      <c r="G12648">
        <v>15668</v>
      </c>
      <c r="H12648" s="1">
        <v>1.5</v>
      </c>
      <c r="I12648">
        <v>35</v>
      </c>
      <c r="J12648">
        <f>IF($H12648=0,1,IF($I12648&lt;=1,2,0))</f>
        <v>0</v>
      </c>
      <c r="K12648">
        <v>6</v>
      </c>
      <c r="L12648">
        <f>IF(AND($J12648=0,$K12648=0),0,1)</f>
        <v>1</v>
      </c>
      <c r="M12648" t="s">
        <v>1118</v>
      </c>
    </row>
    <row r="12649" spans="1:13" x14ac:dyDescent="0.2">
      <c r="A12649" t="s">
        <v>498</v>
      </c>
      <c r="B12649" t="s">
        <v>381</v>
      </c>
      <c r="C12649" t="s">
        <v>382</v>
      </c>
      <c r="D12649">
        <v>6129</v>
      </c>
      <c r="E12649">
        <v>2020</v>
      </c>
      <c r="F12649">
        <v>1</v>
      </c>
      <c r="G12649">
        <v>15669</v>
      </c>
      <c r="H12649" s="1">
        <v>3</v>
      </c>
      <c r="I12649">
        <v>20</v>
      </c>
      <c r="J12649">
        <f>IF($H12649=0,1,IF($I12649&lt;=1,2,0))</f>
        <v>0</v>
      </c>
      <c r="K12649">
        <v>6</v>
      </c>
      <c r="L12649">
        <f>IF(AND($J12649=0,$K12649=0),0,1)</f>
        <v>1</v>
      </c>
    </row>
    <row r="12650" spans="1:13" x14ac:dyDescent="0.2">
      <c r="A12650" t="s">
        <v>498</v>
      </c>
      <c r="B12650" t="s">
        <v>381</v>
      </c>
      <c r="C12650" t="s">
        <v>382</v>
      </c>
      <c r="D12650">
        <v>6131</v>
      </c>
      <c r="E12650">
        <v>2020</v>
      </c>
      <c r="F12650">
        <v>1</v>
      </c>
      <c r="G12650">
        <v>15670</v>
      </c>
      <c r="H12650" s="1">
        <v>1.5</v>
      </c>
      <c r="I12650">
        <v>19</v>
      </c>
      <c r="J12650">
        <f>IF($H12650=0,1,IF($I12650&lt;=1,2,0))</f>
        <v>0</v>
      </c>
      <c r="K12650">
        <v>6</v>
      </c>
      <c r="L12650">
        <f>IF(AND($J12650=0,$K12650=0),0,1)</f>
        <v>1</v>
      </c>
      <c r="M12650" t="s">
        <v>2006</v>
      </c>
    </row>
    <row r="12651" spans="1:13" x14ac:dyDescent="0.2">
      <c r="A12651" t="s">
        <v>498</v>
      </c>
      <c r="B12651" t="s">
        <v>381</v>
      </c>
      <c r="C12651" t="s">
        <v>382</v>
      </c>
      <c r="D12651">
        <v>6137</v>
      </c>
      <c r="E12651">
        <v>2020</v>
      </c>
      <c r="F12651">
        <v>1</v>
      </c>
      <c r="G12651">
        <v>15671</v>
      </c>
      <c r="H12651" s="1">
        <v>3</v>
      </c>
      <c r="I12651">
        <v>36</v>
      </c>
      <c r="J12651">
        <f>IF($H12651=0,1,IF($I12651&lt;=1,2,0))</f>
        <v>0</v>
      </c>
      <c r="K12651">
        <v>6</v>
      </c>
      <c r="L12651">
        <f>IF(AND($J12651=0,$K12651=0),0,1)</f>
        <v>1</v>
      </c>
    </row>
    <row r="12652" spans="1:13" x14ac:dyDescent="0.2">
      <c r="A12652" t="s">
        <v>498</v>
      </c>
      <c r="B12652" t="s">
        <v>381</v>
      </c>
      <c r="C12652" t="s">
        <v>382</v>
      </c>
      <c r="D12652">
        <v>6143</v>
      </c>
      <c r="E12652">
        <v>2020</v>
      </c>
      <c r="F12652">
        <v>1</v>
      </c>
      <c r="G12652">
        <v>15672</v>
      </c>
      <c r="H12652" s="1">
        <v>3</v>
      </c>
      <c r="I12652">
        <v>12</v>
      </c>
      <c r="J12652">
        <f>IF($H12652=0,1,IF($I12652&lt;=1,2,0))</f>
        <v>0</v>
      </c>
      <c r="K12652">
        <v>6</v>
      </c>
      <c r="L12652">
        <f>IF(AND($J12652=0,$K12652=0),0,1)</f>
        <v>1</v>
      </c>
    </row>
    <row r="12653" spans="1:13" x14ac:dyDescent="0.2">
      <c r="A12653" t="s">
        <v>498</v>
      </c>
      <c r="B12653" t="s">
        <v>381</v>
      </c>
      <c r="C12653" t="s">
        <v>382</v>
      </c>
      <c r="D12653">
        <v>6173</v>
      </c>
      <c r="E12653">
        <v>2020</v>
      </c>
      <c r="F12653">
        <v>1</v>
      </c>
      <c r="G12653">
        <v>15673</v>
      </c>
      <c r="H12653" s="1">
        <v>3</v>
      </c>
      <c r="I12653">
        <v>25</v>
      </c>
      <c r="J12653">
        <f>IF($H12653=0,1,IF($I12653&lt;=1,2,0))</f>
        <v>0</v>
      </c>
      <c r="K12653">
        <v>6</v>
      </c>
      <c r="L12653">
        <f>IF(AND($J12653=0,$K12653=0),0,1)</f>
        <v>1</v>
      </c>
    </row>
    <row r="12654" spans="1:13" x14ac:dyDescent="0.2">
      <c r="A12654" t="s">
        <v>498</v>
      </c>
      <c r="B12654" t="s">
        <v>381</v>
      </c>
      <c r="C12654" t="s">
        <v>382</v>
      </c>
      <c r="D12654">
        <v>6192</v>
      </c>
      <c r="E12654">
        <v>2020</v>
      </c>
      <c r="F12654">
        <v>1</v>
      </c>
      <c r="G12654">
        <v>15717</v>
      </c>
      <c r="H12654" s="1">
        <v>1.5</v>
      </c>
      <c r="I12654">
        <v>17</v>
      </c>
      <c r="J12654">
        <f>IF($H12654=0,1,IF($I12654&lt;=1,2,0))</f>
        <v>0</v>
      </c>
      <c r="K12654">
        <v>6</v>
      </c>
      <c r="L12654">
        <f>IF(AND($J12654=0,$K12654=0),0,1)</f>
        <v>1</v>
      </c>
      <c r="M12654" t="s">
        <v>1114</v>
      </c>
    </row>
    <row r="12655" spans="1:13" x14ac:dyDescent="0.2">
      <c r="A12655" t="s">
        <v>498</v>
      </c>
      <c r="B12655" t="s">
        <v>381</v>
      </c>
      <c r="C12655" t="s">
        <v>382</v>
      </c>
      <c r="D12655">
        <v>6209</v>
      </c>
      <c r="E12655">
        <v>2020</v>
      </c>
      <c r="F12655">
        <v>1</v>
      </c>
      <c r="G12655">
        <v>15718</v>
      </c>
      <c r="H12655" s="1">
        <v>3</v>
      </c>
      <c r="I12655">
        <v>20</v>
      </c>
      <c r="J12655">
        <f>IF($H12655=0,1,IF($I12655&lt;=1,2,0))</f>
        <v>0</v>
      </c>
      <c r="K12655">
        <v>6</v>
      </c>
      <c r="L12655">
        <f>IF(AND($J12655=0,$K12655=0),0,1)</f>
        <v>1</v>
      </c>
    </row>
    <row r="12656" spans="1:13" x14ac:dyDescent="0.2">
      <c r="A12656" t="s">
        <v>498</v>
      </c>
      <c r="B12656" t="s">
        <v>381</v>
      </c>
      <c r="C12656" t="s">
        <v>382</v>
      </c>
      <c r="D12656">
        <v>6259</v>
      </c>
      <c r="E12656">
        <v>2020</v>
      </c>
      <c r="F12656">
        <v>1</v>
      </c>
      <c r="G12656">
        <v>15727</v>
      </c>
      <c r="H12656" s="1">
        <v>3</v>
      </c>
      <c r="I12656">
        <v>16</v>
      </c>
      <c r="J12656">
        <f>IF($H12656=0,1,IF($I12656&lt;=1,2,0))</f>
        <v>0</v>
      </c>
      <c r="K12656">
        <v>6</v>
      </c>
      <c r="L12656">
        <f>IF(AND($J12656=0,$K12656=0),0,1)</f>
        <v>1</v>
      </c>
    </row>
    <row r="12657" spans="1:13" x14ac:dyDescent="0.2">
      <c r="A12657" t="s">
        <v>498</v>
      </c>
      <c r="B12657" t="s">
        <v>381</v>
      </c>
      <c r="C12657" t="s">
        <v>382</v>
      </c>
      <c r="D12657">
        <v>6285</v>
      </c>
      <c r="E12657">
        <v>2020</v>
      </c>
      <c r="F12657">
        <v>1</v>
      </c>
      <c r="G12657">
        <v>15728</v>
      </c>
      <c r="H12657" s="1">
        <v>3</v>
      </c>
      <c r="I12657">
        <v>19</v>
      </c>
      <c r="J12657">
        <f>IF($H12657=0,1,IF($I12657&lt;=1,2,0))</f>
        <v>0</v>
      </c>
      <c r="K12657">
        <v>6</v>
      </c>
      <c r="L12657">
        <f>IF(AND($J12657=0,$K12657=0),0,1)</f>
        <v>1</v>
      </c>
    </row>
    <row r="12658" spans="1:13" x14ac:dyDescent="0.2">
      <c r="A12658" t="s">
        <v>498</v>
      </c>
      <c r="B12658" t="s">
        <v>381</v>
      </c>
      <c r="C12658" t="s">
        <v>382</v>
      </c>
      <c r="D12658">
        <v>6301</v>
      </c>
      <c r="E12658">
        <v>2020</v>
      </c>
      <c r="F12658">
        <v>1</v>
      </c>
      <c r="G12658">
        <v>20417</v>
      </c>
      <c r="H12658" s="1">
        <v>3</v>
      </c>
      <c r="I12658">
        <v>28</v>
      </c>
      <c r="J12658">
        <f>IF($H12658=0,1,IF($I12658&lt;=1,2,0))</f>
        <v>0</v>
      </c>
      <c r="K12658">
        <v>6</v>
      </c>
      <c r="L12658">
        <f>IF(AND($J12658=0,$K12658=0),0,1)</f>
        <v>1</v>
      </c>
    </row>
    <row r="12659" spans="1:13" x14ac:dyDescent="0.2">
      <c r="A12659" t="s">
        <v>498</v>
      </c>
      <c r="B12659" t="s">
        <v>381</v>
      </c>
      <c r="C12659" t="s">
        <v>382</v>
      </c>
      <c r="D12659">
        <v>6301</v>
      </c>
      <c r="E12659">
        <v>2020</v>
      </c>
      <c r="F12659" t="s">
        <v>59</v>
      </c>
      <c r="G12659">
        <v>15729</v>
      </c>
      <c r="H12659" s="1">
        <v>0</v>
      </c>
      <c r="I12659">
        <v>0</v>
      </c>
      <c r="J12659">
        <f>IF($H12659=0,1,IF($I12659&lt;=1,2,0))</f>
        <v>1</v>
      </c>
      <c r="K12659">
        <v>6</v>
      </c>
      <c r="L12659">
        <f>IF(AND($J12659=0,$K12659=0),0,1)</f>
        <v>1</v>
      </c>
      <c r="M12659" t="s">
        <v>384</v>
      </c>
    </row>
    <row r="12660" spans="1:13" x14ac:dyDescent="0.2">
      <c r="A12660" t="s">
        <v>498</v>
      </c>
      <c r="B12660" t="s">
        <v>381</v>
      </c>
      <c r="C12660" t="s">
        <v>382</v>
      </c>
      <c r="D12660">
        <v>6327</v>
      </c>
      <c r="E12660">
        <v>2020</v>
      </c>
      <c r="F12660">
        <v>1</v>
      </c>
      <c r="G12660">
        <v>15730</v>
      </c>
      <c r="H12660" s="1">
        <v>3</v>
      </c>
      <c r="I12660">
        <v>11</v>
      </c>
      <c r="J12660">
        <f>IF($H12660=0,1,IF($I12660&lt;=1,2,0))</f>
        <v>0</v>
      </c>
      <c r="K12660">
        <v>6</v>
      </c>
      <c r="L12660">
        <f>IF(AND($J12660=0,$K12660=0),0,1)</f>
        <v>1</v>
      </c>
    </row>
    <row r="12661" spans="1:13" x14ac:dyDescent="0.2">
      <c r="A12661" t="s">
        <v>498</v>
      </c>
      <c r="B12661" t="s">
        <v>381</v>
      </c>
      <c r="C12661" t="s">
        <v>382</v>
      </c>
      <c r="D12661">
        <v>6335</v>
      </c>
      <c r="E12661">
        <v>2020</v>
      </c>
      <c r="F12661">
        <v>1</v>
      </c>
      <c r="G12661">
        <v>15731</v>
      </c>
      <c r="H12661" s="1">
        <v>3</v>
      </c>
      <c r="I12661">
        <v>15</v>
      </c>
      <c r="J12661">
        <f>IF($H12661=0,1,IF($I12661&lt;=1,2,0))</f>
        <v>0</v>
      </c>
      <c r="K12661">
        <v>6</v>
      </c>
      <c r="L12661">
        <f>IF(AND($J12661=0,$K12661=0),0,1)</f>
        <v>1</v>
      </c>
    </row>
    <row r="12662" spans="1:13" x14ac:dyDescent="0.2">
      <c r="A12662" t="s">
        <v>498</v>
      </c>
      <c r="B12662" t="s">
        <v>381</v>
      </c>
      <c r="C12662" t="s">
        <v>382</v>
      </c>
      <c r="D12662">
        <v>6346</v>
      </c>
      <c r="E12662">
        <v>2020</v>
      </c>
      <c r="F12662">
        <v>1</v>
      </c>
      <c r="G12662">
        <v>15733</v>
      </c>
      <c r="H12662" s="1">
        <v>3</v>
      </c>
      <c r="I12662">
        <v>30</v>
      </c>
      <c r="J12662">
        <f>IF($H12662=0,1,IF($I12662&lt;=1,2,0))</f>
        <v>0</v>
      </c>
      <c r="K12662">
        <v>6</v>
      </c>
      <c r="L12662">
        <f>IF(AND($J12662=0,$K12662=0),0,1)</f>
        <v>1</v>
      </c>
      <c r="M12662" t="s">
        <v>510</v>
      </c>
    </row>
    <row r="12663" spans="1:13" x14ac:dyDescent="0.2">
      <c r="A12663" t="s">
        <v>498</v>
      </c>
      <c r="B12663" t="s">
        <v>381</v>
      </c>
      <c r="C12663" t="s">
        <v>382</v>
      </c>
      <c r="D12663">
        <v>6348</v>
      </c>
      <c r="E12663">
        <v>2020</v>
      </c>
      <c r="F12663">
        <v>1</v>
      </c>
      <c r="G12663">
        <v>15734</v>
      </c>
      <c r="H12663" s="1">
        <v>1.5</v>
      </c>
      <c r="I12663">
        <v>16</v>
      </c>
      <c r="J12663">
        <f>IF($H12663=0,1,IF($I12663&lt;=1,2,0))</f>
        <v>0</v>
      </c>
      <c r="K12663">
        <v>6</v>
      </c>
      <c r="L12663">
        <f>IF(AND($J12663=0,$K12663=0),0,1)</f>
        <v>1</v>
      </c>
      <c r="M12663" t="s">
        <v>1119</v>
      </c>
    </row>
    <row r="12664" spans="1:13" x14ac:dyDescent="0.2">
      <c r="A12664" t="s">
        <v>498</v>
      </c>
      <c r="B12664" t="s">
        <v>381</v>
      </c>
      <c r="C12664" t="s">
        <v>382</v>
      </c>
      <c r="D12664">
        <v>6349</v>
      </c>
      <c r="E12664">
        <v>2020</v>
      </c>
      <c r="F12664">
        <v>1</v>
      </c>
      <c r="G12664">
        <v>15735</v>
      </c>
      <c r="H12664" s="1">
        <v>3</v>
      </c>
      <c r="I12664">
        <v>14</v>
      </c>
      <c r="J12664">
        <f>IF($H12664=0,1,IF($I12664&lt;=1,2,0))</f>
        <v>0</v>
      </c>
      <c r="K12664">
        <v>6</v>
      </c>
      <c r="L12664">
        <f>IF(AND($J12664=0,$K12664=0),0,1)</f>
        <v>1</v>
      </c>
    </row>
    <row r="12665" spans="1:13" x14ac:dyDescent="0.2">
      <c r="A12665" t="s">
        <v>498</v>
      </c>
      <c r="B12665" t="s">
        <v>381</v>
      </c>
      <c r="C12665" t="s">
        <v>382</v>
      </c>
      <c r="D12665">
        <v>6359</v>
      </c>
      <c r="E12665">
        <v>2020</v>
      </c>
      <c r="F12665">
        <v>1</v>
      </c>
      <c r="G12665">
        <v>15737</v>
      </c>
      <c r="H12665" s="1">
        <v>3</v>
      </c>
      <c r="I12665">
        <v>25</v>
      </c>
      <c r="J12665">
        <f>IF($H12665=0,1,IF($I12665&lt;=1,2,0))</f>
        <v>0</v>
      </c>
      <c r="K12665">
        <v>6</v>
      </c>
      <c r="L12665">
        <f>IF(AND($J12665=0,$K12665=0),0,1)</f>
        <v>1</v>
      </c>
    </row>
    <row r="12666" spans="1:13" x14ac:dyDescent="0.2">
      <c r="A12666" t="s">
        <v>498</v>
      </c>
      <c r="B12666" t="s">
        <v>381</v>
      </c>
      <c r="C12666" t="s">
        <v>382</v>
      </c>
      <c r="D12666">
        <v>6374</v>
      </c>
      <c r="E12666">
        <v>2020</v>
      </c>
      <c r="F12666">
        <v>1</v>
      </c>
      <c r="G12666">
        <v>15739</v>
      </c>
      <c r="H12666" s="1">
        <v>3</v>
      </c>
      <c r="I12666">
        <v>25</v>
      </c>
      <c r="J12666">
        <f>IF($H12666=0,1,IF($I12666&lt;=1,2,0))</f>
        <v>0</v>
      </c>
      <c r="K12666">
        <v>6</v>
      </c>
      <c r="L12666">
        <f>IF(AND($J12666=0,$K12666=0),0,1)</f>
        <v>1</v>
      </c>
    </row>
    <row r="12667" spans="1:13" x14ac:dyDescent="0.2">
      <c r="A12667" t="s">
        <v>498</v>
      </c>
      <c r="B12667" t="s">
        <v>381</v>
      </c>
      <c r="C12667" t="s">
        <v>382</v>
      </c>
      <c r="D12667">
        <v>6375</v>
      </c>
      <c r="E12667">
        <v>2020</v>
      </c>
      <c r="F12667">
        <v>1</v>
      </c>
      <c r="G12667">
        <v>15740</v>
      </c>
      <c r="H12667" s="1">
        <v>1.5</v>
      </c>
      <c r="I12667">
        <v>26</v>
      </c>
      <c r="J12667">
        <f>IF($H12667=0,1,IF($I12667&lt;=1,2,0))</f>
        <v>0</v>
      </c>
      <c r="K12667">
        <v>6</v>
      </c>
      <c r="L12667">
        <f>IF(AND($J12667=0,$K12667=0),0,1)</f>
        <v>1</v>
      </c>
      <c r="M12667" t="s">
        <v>1120</v>
      </c>
    </row>
    <row r="12668" spans="1:13" x14ac:dyDescent="0.2">
      <c r="A12668" t="s">
        <v>498</v>
      </c>
      <c r="B12668" t="s">
        <v>381</v>
      </c>
      <c r="C12668" t="s">
        <v>382</v>
      </c>
      <c r="D12668">
        <v>6388</v>
      </c>
      <c r="E12668">
        <v>2020</v>
      </c>
      <c r="F12668">
        <v>1</v>
      </c>
      <c r="G12668">
        <v>15741</v>
      </c>
      <c r="H12668" s="1">
        <v>3</v>
      </c>
      <c r="I12668">
        <v>16</v>
      </c>
      <c r="J12668">
        <f>IF($H12668=0,1,IF($I12668&lt;=1,2,0))</f>
        <v>0</v>
      </c>
      <c r="K12668">
        <v>6</v>
      </c>
      <c r="L12668">
        <f>IF(AND($J12668=0,$K12668=0),0,1)</f>
        <v>1</v>
      </c>
    </row>
    <row r="12669" spans="1:13" x14ac:dyDescent="0.2">
      <c r="A12669" t="s">
        <v>498</v>
      </c>
      <c r="B12669" t="s">
        <v>381</v>
      </c>
      <c r="C12669" t="s">
        <v>382</v>
      </c>
      <c r="D12669">
        <v>6391</v>
      </c>
      <c r="E12669">
        <v>2020</v>
      </c>
      <c r="F12669">
        <v>1</v>
      </c>
      <c r="G12669">
        <v>15742</v>
      </c>
      <c r="H12669" s="1">
        <v>3</v>
      </c>
      <c r="I12669">
        <v>20</v>
      </c>
      <c r="J12669">
        <f>IF($H12669=0,1,IF($I12669&lt;=1,2,0))</f>
        <v>0</v>
      </c>
      <c r="K12669">
        <v>6</v>
      </c>
      <c r="L12669">
        <f>IF(AND($J12669=0,$K12669=0),0,1)</f>
        <v>1</v>
      </c>
      <c r="M12669" t="s">
        <v>1121</v>
      </c>
    </row>
    <row r="12670" spans="1:13" x14ac:dyDescent="0.2">
      <c r="A12670" t="s">
        <v>498</v>
      </c>
      <c r="B12670" t="s">
        <v>381</v>
      </c>
      <c r="C12670" t="s">
        <v>382</v>
      </c>
      <c r="D12670">
        <v>6394</v>
      </c>
      <c r="E12670">
        <v>2020</v>
      </c>
      <c r="F12670">
        <v>1</v>
      </c>
      <c r="G12670">
        <v>15743</v>
      </c>
      <c r="H12670" s="1">
        <v>3</v>
      </c>
      <c r="I12670">
        <v>17</v>
      </c>
      <c r="J12670">
        <f>IF($H12670=0,1,IF($I12670&lt;=1,2,0))</f>
        <v>0</v>
      </c>
      <c r="K12670">
        <v>6</v>
      </c>
      <c r="L12670">
        <f>IF(AND($J12670=0,$K12670=0),0,1)</f>
        <v>1</v>
      </c>
    </row>
    <row r="12671" spans="1:13" x14ac:dyDescent="0.2">
      <c r="A12671" t="s">
        <v>498</v>
      </c>
      <c r="B12671" t="s">
        <v>381</v>
      </c>
      <c r="C12671" t="s">
        <v>382</v>
      </c>
      <c r="D12671">
        <v>6430</v>
      </c>
      <c r="E12671">
        <v>2020</v>
      </c>
      <c r="F12671">
        <v>1</v>
      </c>
      <c r="G12671">
        <v>15744</v>
      </c>
      <c r="H12671" s="1">
        <v>3</v>
      </c>
      <c r="I12671">
        <v>22</v>
      </c>
      <c r="J12671">
        <f>IF($H12671=0,1,IF($I12671&lt;=1,2,0))</f>
        <v>0</v>
      </c>
      <c r="K12671">
        <v>6</v>
      </c>
      <c r="L12671">
        <f>IF(AND($J12671=0,$K12671=0),0,1)</f>
        <v>1</v>
      </c>
    </row>
    <row r="12672" spans="1:13" x14ac:dyDescent="0.2">
      <c r="A12672" t="s">
        <v>498</v>
      </c>
      <c r="B12672" t="s">
        <v>381</v>
      </c>
      <c r="C12672" t="s">
        <v>382</v>
      </c>
      <c r="D12672">
        <v>6489</v>
      </c>
      <c r="E12672">
        <v>2020</v>
      </c>
      <c r="F12672">
        <v>1</v>
      </c>
      <c r="G12672">
        <v>15745</v>
      </c>
      <c r="H12672" s="1">
        <v>3</v>
      </c>
      <c r="I12672">
        <v>17</v>
      </c>
      <c r="J12672">
        <f>IF($H12672=0,1,IF($I12672&lt;=1,2,0))</f>
        <v>0</v>
      </c>
      <c r="K12672">
        <v>6</v>
      </c>
      <c r="L12672">
        <f>IF(AND($J12672=0,$K12672=0),0,1)</f>
        <v>1</v>
      </c>
    </row>
    <row r="12673" spans="1:13" x14ac:dyDescent="0.2">
      <c r="A12673" t="s">
        <v>498</v>
      </c>
      <c r="B12673" t="s">
        <v>381</v>
      </c>
      <c r="C12673" t="s">
        <v>382</v>
      </c>
      <c r="D12673">
        <v>6490</v>
      </c>
      <c r="E12673">
        <v>2020</v>
      </c>
      <c r="F12673">
        <v>1</v>
      </c>
      <c r="G12673">
        <v>15746</v>
      </c>
      <c r="H12673" s="1">
        <v>3</v>
      </c>
      <c r="I12673">
        <v>13</v>
      </c>
      <c r="J12673">
        <f>IF($H12673=0,1,IF($I12673&lt;=1,2,0))</f>
        <v>0</v>
      </c>
      <c r="K12673">
        <v>6</v>
      </c>
      <c r="L12673">
        <f>IF(AND($J12673=0,$K12673=0),0,1)</f>
        <v>1</v>
      </c>
    </row>
    <row r="12674" spans="1:13" x14ac:dyDescent="0.2">
      <c r="A12674" t="s">
        <v>498</v>
      </c>
      <c r="B12674" t="s">
        <v>381</v>
      </c>
      <c r="C12674" t="s">
        <v>382</v>
      </c>
      <c r="D12674">
        <v>6509</v>
      </c>
      <c r="E12674">
        <v>2020</v>
      </c>
      <c r="F12674">
        <v>1</v>
      </c>
      <c r="G12674">
        <v>20820</v>
      </c>
      <c r="H12674" s="1">
        <v>1.5</v>
      </c>
      <c r="I12674">
        <v>22</v>
      </c>
      <c r="J12674">
        <f>IF($H12674=0,1,IF($I12674&lt;=1,2,0))</f>
        <v>0</v>
      </c>
      <c r="K12674">
        <v>6</v>
      </c>
      <c r="L12674">
        <f>IF(AND($J12674=0,$K12674=0),0,1)</f>
        <v>1</v>
      </c>
      <c r="M12674" t="s">
        <v>1119</v>
      </c>
    </row>
    <row r="12675" spans="1:13" x14ac:dyDescent="0.2">
      <c r="A12675" t="s">
        <v>498</v>
      </c>
      <c r="B12675" t="s">
        <v>381</v>
      </c>
      <c r="C12675" t="s">
        <v>382</v>
      </c>
      <c r="D12675">
        <v>6511</v>
      </c>
      <c r="E12675">
        <v>2020</v>
      </c>
      <c r="F12675">
        <v>1</v>
      </c>
      <c r="G12675">
        <v>15747</v>
      </c>
      <c r="H12675" s="1">
        <v>1.5</v>
      </c>
      <c r="I12675">
        <v>30</v>
      </c>
      <c r="J12675">
        <f>IF($H12675=0,1,IF($I12675&lt;=1,2,0))</f>
        <v>0</v>
      </c>
      <c r="K12675">
        <v>6</v>
      </c>
      <c r="L12675">
        <f>IF(AND($J12675=0,$K12675=0),0,1)</f>
        <v>1</v>
      </c>
      <c r="M12675" t="s">
        <v>1119</v>
      </c>
    </row>
    <row r="12676" spans="1:13" x14ac:dyDescent="0.2">
      <c r="A12676" t="s">
        <v>498</v>
      </c>
      <c r="B12676" t="s">
        <v>381</v>
      </c>
      <c r="C12676" t="s">
        <v>382</v>
      </c>
      <c r="D12676">
        <v>6518</v>
      </c>
      <c r="E12676">
        <v>2020</v>
      </c>
      <c r="F12676">
        <v>1</v>
      </c>
      <c r="G12676">
        <v>15748</v>
      </c>
      <c r="H12676" s="1">
        <v>3</v>
      </c>
      <c r="I12676">
        <v>14</v>
      </c>
      <c r="J12676">
        <f>IF($H12676=0,1,IF($I12676&lt;=1,2,0))</f>
        <v>0</v>
      </c>
      <c r="K12676">
        <v>6</v>
      </c>
      <c r="L12676">
        <f>IF(AND($J12676=0,$K12676=0),0,1)</f>
        <v>1</v>
      </c>
      <c r="M12676" t="s">
        <v>514</v>
      </c>
    </row>
    <row r="12677" spans="1:13" x14ac:dyDescent="0.2">
      <c r="A12677" t="s">
        <v>498</v>
      </c>
      <c r="B12677" t="s">
        <v>381</v>
      </c>
      <c r="C12677" t="s">
        <v>382</v>
      </c>
      <c r="D12677">
        <v>6523</v>
      </c>
      <c r="E12677">
        <v>2020</v>
      </c>
      <c r="F12677">
        <v>1</v>
      </c>
      <c r="G12677">
        <v>20821</v>
      </c>
      <c r="H12677" s="1">
        <v>1.5</v>
      </c>
      <c r="I12677">
        <v>18</v>
      </c>
      <c r="J12677">
        <f>IF($H12677=0,1,IF($I12677&lt;=1,2,0))</f>
        <v>0</v>
      </c>
      <c r="K12677">
        <v>6</v>
      </c>
      <c r="L12677">
        <f>IF(AND($J12677=0,$K12677=0),0,1)</f>
        <v>1</v>
      </c>
      <c r="M12677" t="s">
        <v>1122</v>
      </c>
    </row>
    <row r="12678" spans="1:13" x14ac:dyDescent="0.2">
      <c r="A12678" t="s">
        <v>498</v>
      </c>
      <c r="B12678" t="s">
        <v>381</v>
      </c>
      <c r="C12678" t="s">
        <v>382</v>
      </c>
      <c r="D12678">
        <v>6531</v>
      </c>
      <c r="E12678">
        <v>2020</v>
      </c>
      <c r="F12678">
        <v>1</v>
      </c>
      <c r="G12678">
        <v>20822</v>
      </c>
      <c r="H12678" s="1">
        <v>3</v>
      </c>
      <c r="I12678">
        <v>26</v>
      </c>
      <c r="J12678">
        <f>IF($H12678=0,1,IF($I12678&lt;=1,2,0))</f>
        <v>0</v>
      </c>
      <c r="K12678">
        <v>6</v>
      </c>
      <c r="L12678">
        <f>IF(AND($J12678=0,$K12678=0),0,1)</f>
        <v>1</v>
      </c>
    </row>
    <row r="12679" spans="1:13" x14ac:dyDescent="0.2">
      <c r="A12679" t="s">
        <v>498</v>
      </c>
      <c r="B12679" t="s">
        <v>381</v>
      </c>
      <c r="C12679" t="s">
        <v>382</v>
      </c>
      <c r="D12679">
        <v>6538</v>
      </c>
      <c r="E12679">
        <v>2020</v>
      </c>
      <c r="F12679">
        <v>1</v>
      </c>
      <c r="G12679">
        <v>15750</v>
      </c>
      <c r="H12679" s="1">
        <v>3</v>
      </c>
      <c r="I12679">
        <v>18</v>
      </c>
      <c r="J12679">
        <f>IF($H12679=0,1,IF($I12679&lt;=1,2,0))</f>
        <v>0</v>
      </c>
      <c r="K12679">
        <v>6</v>
      </c>
      <c r="L12679">
        <f>IF(AND($J12679=0,$K12679=0),0,1)</f>
        <v>1</v>
      </c>
      <c r="M12679" t="s">
        <v>1123</v>
      </c>
    </row>
    <row r="12680" spans="1:13" x14ac:dyDescent="0.2">
      <c r="A12680" t="s">
        <v>498</v>
      </c>
      <c r="B12680" t="s">
        <v>381</v>
      </c>
      <c r="C12680" t="s">
        <v>382</v>
      </c>
      <c r="D12680">
        <v>6549</v>
      </c>
      <c r="E12680">
        <v>2020</v>
      </c>
      <c r="F12680">
        <v>1</v>
      </c>
      <c r="G12680">
        <v>15751</v>
      </c>
      <c r="H12680" s="1">
        <v>3</v>
      </c>
      <c r="I12680">
        <v>10</v>
      </c>
      <c r="J12680">
        <f>IF($H12680=0,1,IF($I12680&lt;=1,2,0))</f>
        <v>0</v>
      </c>
      <c r="K12680">
        <v>6</v>
      </c>
      <c r="L12680">
        <f>IF(AND($J12680=0,$K12680=0),0,1)</f>
        <v>1</v>
      </c>
      <c r="M12680" t="s">
        <v>1124</v>
      </c>
    </row>
    <row r="12681" spans="1:13" x14ac:dyDescent="0.2">
      <c r="A12681" t="s">
        <v>498</v>
      </c>
      <c r="B12681" t="s">
        <v>381</v>
      </c>
      <c r="C12681" t="s">
        <v>382</v>
      </c>
      <c r="D12681">
        <v>6571</v>
      </c>
      <c r="E12681">
        <v>2020</v>
      </c>
      <c r="F12681">
        <v>1</v>
      </c>
      <c r="G12681">
        <v>15749</v>
      </c>
      <c r="H12681" s="1">
        <v>3</v>
      </c>
      <c r="I12681">
        <v>10</v>
      </c>
      <c r="J12681">
        <f>IF($H12681=0,1,IF($I12681&lt;=1,2,0))</f>
        <v>0</v>
      </c>
      <c r="K12681">
        <v>6</v>
      </c>
      <c r="L12681">
        <f>IF(AND($J12681=0,$K12681=0),0,1)</f>
        <v>1</v>
      </c>
    </row>
    <row r="12682" spans="1:13" x14ac:dyDescent="0.2">
      <c r="A12682" t="s">
        <v>498</v>
      </c>
      <c r="B12682" t="s">
        <v>381</v>
      </c>
      <c r="C12682" t="s">
        <v>382</v>
      </c>
      <c r="D12682">
        <v>6602</v>
      </c>
      <c r="E12682">
        <v>2020</v>
      </c>
      <c r="F12682">
        <v>1</v>
      </c>
      <c r="G12682">
        <v>20815</v>
      </c>
      <c r="H12682" s="1">
        <v>3</v>
      </c>
      <c r="I12682">
        <v>32</v>
      </c>
      <c r="J12682">
        <f>IF($H12682=0,1,IF($I12682&lt;=1,2,0))</f>
        <v>0</v>
      </c>
      <c r="K12682">
        <v>6</v>
      </c>
      <c r="L12682">
        <f>IF(AND($J12682=0,$K12682=0),0,1)</f>
        <v>1</v>
      </c>
      <c r="M12682" t="s">
        <v>1123</v>
      </c>
    </row>
    <row r="12683" spans="1:13" x14ac:dyDescent="0.2">
      <c r="A12683" t="s">
        <v>498</v>
      </c>
      <c r="B12683" t="s">
        <v>381</v>
      </c>
      <c r="C12683" t="s">
        <v>382</v>
      </c>
      <c r="D12683">
        <v>6602</v>
      </c>
      <c r="E12683">
        <v>2020</v>
      </c>
      <c r="F12683" t="s">
        <v>59</v>
      </c>
      <c r="G12683">
        <v>20817</v>
      </c>
      <c r="H12683" s="1">
        <v>0</v>
      </c>
      <c r="I12683">
        <v>0</v>
      </c>
      <c r="J12683">
        <f>IF($H12683=0,1,IF($I12683&lt;=1,2,0))</f>
        <v>1</v>
      </c>
      <c r="K12683">
        <v>6</v>
      </c>
      <c r="L12683">
        <f>IF(AND($J12683=0,$K12683=0),0,1)</f>
        <v>1</v>
      </c>
      <c r="M12683" t="s">
        <v>384</v>
      </c>
    </row>
    <row r="12684" spans="1:13" x14ac:dyDescent="0.2">
      <c r="A12684" t="s">
        <v>498</v>
      </c>
      <c r="B12684" t="s">
        <v>381</v>
      </c>
      <c r="C12684" t="s">
        <v>382</v>
      </c>
      <c r="D12684">
        <v>6604</v>
      </c>
      <c r="E12684">
        <v>2020</v>
      </c>
      <c r="F12684">
        <v>1</v>
      </c>
      <c r="G12684">
        <v>15752</v>
      </c>
      <c r="H12684" s="1">
        <v>3</v>
      </c>
      <c r="I12684">
        <v>17</v>
      </c>
      <c r="J12684">
        <f>IF($H12684=0,1,IF($I12684&lt;=1,2,0))</f>
        <v>0</v>
      </c>
      <c r="K12684">
        <v>6</v>
      </c>
      <c r="L12684">
        <f>IF(AND($J12684=0,$K12684=0),0,1)</f>
        <v>1</v>
      </c>
      <c r="M12684" t="s">
        <v>1125</v>
      </c>
    </row>
    <row r="12685" spans="1:13" x14ac:dyDescent="0.2">
      <c r="A12685" t="s">
        <v>498</v>
      </c>
      <c r="B12685" t="s">
        <v>381</v>
      </c>
      <c r="C12685" t="s">
        <v>382</v>
      </c>
      <c r="D12685">
        <v>6614</v>
      </c>
      <c r="E12685">
        <v>2020</v>
      </c>
      <c r="F12685">
        <v>1</v>
      </c>
      <c r="G12685">
        <v>15924</v>
      </c>
      <c r="H12685" s="1">
        <v>3</v>
      </c>
      <c r="I12685">
        <v>25</v>
      </c>
      <c r="J12685">
        <f>IF($H12685=0,1,IF($I12685&lt;=1,2,0))</f>
        <v>0</v>
      </c>
      <c r="K12685">
        <v>6</v>
      </c>
      <c r="L12685">
        <f>IF(AND($J12685=0,$K12685=0),0,1)</f>
        <v>1</v>
      </c>
      <c r="M12685" t="s">
        <v>1125</v>
      </c>
    </row>
    <row r="12686" spans="1:13" x14ac:dyDescent="0.2">
      <c r="A12686" t="s">
        <v>498</v>
      </c>
      <c r="B12686" t="s">
        <v>381</v>
      </c>
      <c r="C12686" t="s">
        <v>382</v>
      </c>
      <c r="D12686">
        <v>6614</v>
      </c>
      <c r="E12686">
        <v>2020</v>
      </c>
      <c r="F12686" t="s">
        <v>59</v>
      </c>
      <c r="G12686">
        <v>15925</v>
      </c>
      <c r="H12686" s="1">
        <v>0</v>
      </c>
      <c r="I12686">
        <v>0</v>
      </c>
      <c r="J12686">
        <f>IF($H12686=0,1,IF($I12686&lt;=1,2,0))</f>
        <v>1</v>
      </c>
      <c r="K12686">
        <v>6</v>
      </c>
      <c r="L12686">
        <f>IF(AND($J12686=0,$K12686=0),0,1)</f>
        <v>1</v>
      </c>
      <c r="M12686" t="s">
        <v>384</v>
      </c>
    </row>
    <row r="12687" spans="1:13" x14ac:dyDescent="0.2">
      <c r="A12687" t="s">
        <v>498</v>
      </c>
      <c r="B12687" t="s">
        <v>381</v>
      </c>
      <c r="C12687" t="s">
        <v>382</v>
      </c>
      <c r="D12687">
        <v>6616</v>
      </c>
      <c r="E12687">
        <v>2020</v>
      </c>
      <c r="F12687">
        <v>1</v>
      </c>
      <c r="G12687">
        <v>15753</v>
      </c>
      <c r="H12687" s="1">
        <v>3</v>
      </c>
      <c r="I12687">
        <v>19</v>
      </c>
      <c r="J12687">
        <f>IF($H12687=0,1,IF($I12687&lt;=1,2,0))</f>
        <v>0</v>
      </c>
      <c r="K12687">
        <v>6</v>
      </c>
      <c r="L12687">
        <f>IF(AND($J12687=0,$K12687=0),0,1)</f>
        <v>1</v>
      </c>
      <c r="M12687" t="s">
        <v>1125</v>
      </c>
    </row>
    <row r="12688" spans="1:13" x14ac:dyDescent="0.2">
      <c r="A12688" t="s">
        <v>498</v>
      </c>
      <c r="B12688" t="s">
        <v>381</v>
      </c>
      <c r="C12688" t="s">
        <v>382</v>
      </c>
      <c r="D12688">
        <v>6616</v>
      </c>
      <c r="E12688">
        <v>2020</v>
      </c>
      <c r="F12688" t="s">
        <v>59</v>
      </c>
      <c r="G12688">
        <v>15754</v>
      </c>
      <c r="H12688" s="1">
        <v>0</v>
      </c>
      <c r="I12688">
        <v>0</v>
      </c>
      <c r="J12688">
        <f>IF($H12688=0,1,IF($I12688&lt;=1,2,0))</f>
        <v>1</v>
      </c>
      <c r="K12688">
        <v>6</v>
      </c>
      <c r="L12688">
        <f>IF(AND($J12688=0,$K12688=0),0,1)</f>
        <v>1</v>
      </c>
      <c r="M12688" t="s">
        <v>384</v>
      </c>
    </row>
    <row r="12689" spans="1:13" x14ac:dyDescent="0.2">
      <c r="A12689" t="s">
        <v>498</v>
      </c>
      <c r="B12689" t="s">
        <v>381</v>
      </c>
      <c r="C12689" t="s">
        <v>382</v>
      </c>
      <c r="D12689">
        <v>6656</v>
      </c>
      <c r="E12689">
        <v>2020</v>
      </c>
      <c r="F12689">
        <v>1</v>
      </c>
      <c r="G12689">
        <v>15756</v>
      </c>
      <c r="H12689" s="1">
        <v>3</v>
      </c>
      <c r="I12689">
        <v>8</v>
      </c>
      <c r="J12689">
        <f>IF($H12689=0,1,IF($I12689&lt;=1,2,0))</f>
        <v>0</v>
      </c>
      <c r="K12689">
        <v>6</v>
      </c>
      <c r="L12689">
        <f>IF(AND($J12689=0,$K12689=0),0,1)</f>
        <v>1</v>
      </c>
    </row>
    <row r="12690" spans="1:13" x14ac:dyDescent="0.2">
      <c r="A12690" t="s">
        <v>498</v>
      </c>
      <c r="B12690" t="s">
        <v>381</v>
      </c>
      <c r="C12690" t="s">
        <v>382</v>
      </c>
      <c r="D12690">
        <v>6680</v>
      </c>
      <c r="E12690">
        <v>2020</v>
      </c>
      <c r="F12690">
        <v>1</v>
      </c>
      <c r="G12690">
        <v>15755</v>
      </c>
      <c r="H12690" s="1">
        <v>3</v>
      </c>
      <c r="I12690">
        <v>13</v>
      </c>
      <c r="J12690">
        <f>IF($H12690=0,1,IF($I12690&lt;=1,2,0))</f>
        <v>0</v>
      </c>
      <c r="K12690">
        <v>6</v>
      </c>
      <c r="L12690">
        <f>IF(AND($J12690=0,$K12690=0),0,1)</f>
        <v>1</v>
      </c>
    </row>
    <row r="12691" spans="1:13" x14ac:dyDescent="0.2">
      <c r="A12691" t="s">
        <v>498</v>
      </c>
      <c r="B12691" t="s">
        <v>381</v>
      </c>
      <c r="C12691" t="s">
        <v>382</v>
      </c>
      <c r="D12691">
        <v>6745</v>
      </c>
      <c r="E12691">
        <v>2020</v>
      </c>
      <c r="F12691">
        <v>1</v>
      </c>
      <c r="G12691">
        <v>15757</v>
      </c>
      <c r="H12691" s="1">
        <v>1.5</v>
      </c>
      <c r="I12691">
        <v>13</v>
      </c>
      <c r="J12691">
        <f>IF($H12691=0,1,IF($I12691&lt;=1,2,0))</f>
        <v>0</v>
      </c>
      <c r="K12691">
        <v>6</v>
      </c>
      <c r="L12691">
        <f>IF(AND($J12691=0,$K12691=0),0,1)</f>
        <v>1</v>
      </c>
      <c r="M12691" t="s">
        <v>1126</v>
      </c>
    </row>
    <row r="12692" spans="1:13" x14ac:dyDescent="0.2">
      <c r="A12692" t="s">
        <v>498</v>
      </c>
      <c r="B12692" t="s">
        <v>381</v>
      </c>
      <c r="C12692" t="s">
        <v>382</v>
      </c>
      <c r="D12692">
        <v>6751</v>
      </c>
      <c r="E12692">
        <v>2020</v>
      </c>
      <c r="F12692">
        <v>1</v>
      </c>
      <c r="G12692">
        <v>15758</v>
      </c>
      <c r="H12692" s="1">
        <v>3</v>
      </c>
      <c r="I12692">
        <v>21</v>
      </c>
      <c r="J12692">
        <f>IF($H12692=0,1,IF($I12692&lt;=1,2,0))</f>
        <v>0</v>
      </c>
      <c r="K12692">
        <v>6</v>
      </c>
      <c r="L12692">
        <f>IF(AND($J12692=0,$K12692=0),0,1)</f>
        <v>1</v>
      </c>
    </row>
    <row r="12693" spans="1:13" x14ac:dyDescent="0.2">
      <c r="A12693" t="s">
        <v>498</v>
      </c>
      <c r="B12693" t="s">
        <v>381</v>
      </c>
      <c r="C12693" t="s">
        <v>382</v>
      </c>
      <c r="D12693">
        <v>6751</v>
      </c>
      <c r="E12693">
        <v>2020</v>
      </c>
      <c r="F12693" t="s">
        <v>59</v>
      </c>
      <c r="G12693">
        <v>15759</v>
      </c>
      <c r="H12693" s="1">
        <v>0</v>
      </c>
      <c r="I12693">
        <v>0</v>
      </c>
      <c r="J12693">
        <f>IF($H12693=0,1,IF($I12693&lt;=1,2,0))</f>
        <v>1</v>
      </c>
      <c r="K12693">
        <v>6</v>
      </c>
      <c r="L12693">
        <f>IF(AND($J12693=0,$K12693=0),0,1)</f>
        <v>1</v>
      </c>
      <c r="M12693" t="s">
        <v>384</v>
      </c>
    </row>
    <row r="12694" spans="1:13" x14ac:dyDescent="0.2">
      <c r="A12694" t="s">
        <v>498</v>
      </c>
      <c r="B12694" t="s">
        <v>381</v>
      </c>
      <c r="C12694" t="s">
        <v>382</v>
      </c>
      <c r="D12694">
        <v>6771</v>
      </c>
      <c r="E12694">
        <v>2020</v>
      </c>
      <c r="F12694">
        <v>1</v>
      </c>
      <c r="G12694">
        <v>15928</v>
      </c>
      <c r="H12694" s="1">
        <v>3</v>
      </c>
      <c r="I12694">
        <v>7</v>
      </c>
      <c r="J12694">
        <f>IF($H12694=0,1,IF($I12694&lt;=1,2,0))</f>
        <v>0</v>
      </c>
      <c r="K12694">
        <v>6</v>
      </c>
      <c r="L12694">
        <f>IF(AND($J12694=0,$K12694=0),0,1)</f>
        <v>1</v>
      </c>
    </row>
    <row r="12695" spans="1:13" x14ac:dyDescent="0.2">
      <c r="A12695" t="s">
        <v>498</v>
      </c>
      <c r="B12695" t="s">
        <v>381</v>
      </c>
      <c r="C12695" t="s">
        <v>382</v>
      </c>
      <c r="D12695">
        <v>6772</v>
      </c>
      <c r="E12695">
        <v>2020</v>
      </c>
      <c r="F12695">
        <v>1</v>
      </c>
      <c r="G12695">
        <v>22368</v>
      </c>
      <c r="H12695" s="1">
        <v>3</v>
      </c>
      <c r="I12695">
        <v>11</v>
      </c>
      <c r="J12695">
        <f>IF($H12695=0,1,IF($I12695&lt;=1,2,0))</f>
        <v>0</v>
      </c>
      <c r="K12695">
        <v>6</v>
      </c>
      <c r="L12695">
        <f>IF(AND($J12695=0,$K12695=0),0,1)</f>
        <v>1</v>
      </c>
    </row>
    <row r="12696" spans="1:13" x14ac:dyDescent="0.2">
      <c r="A12696" t="s">
        <v>498</v>
      </c>
      <c r="B12696" t="s">
        <v>381</v>
      </c>
      <c r="C12696" t="s">
        <v>382</v>
      </c>
      <c r="D12696">
        <v>6775</v>
      </c>
      <c r="E12696">
        <v>2020</v>
      </c>
      <c r="F12696">
        <v>1</v>
      </c>
      <c r="G12696">
        <v>15760</v>
      </c>
      <c r="H12696" s="1">
        <v>3</v>
      </c>
      <c r="I12696">
        <v>4</v>
      </c>
      <c r="J12696">
        <f>IF($H12696=0,1,IF($I12696&lt;=1,2,0))</f>
        <v>0</v>
      </c>
      <c r="K12696">
        <v>6</v>
      </c>
      <c r="L12696">
        <f>IF(AND($J12696=0,$K12696=0),0,1)</f>
        <v>1</v>
      </c>
    </row>
    <row r="12697" spans="1:13" x14ac:dyDescent="0.2">
      <c r="A12697" t="s">
        <v>498</v>
      </c>
      <c r="B12697" t="s">
        <v>381</v>
      </c>
      <c r="C12697" t="s">
        <v>382</v>
      </c>
      <c r="D12697">
        <v>6792</v>
      </c>
      <c r="E12697">
        <v>2020</v>
      </c>
      <c r="F12697">
        <v>1</v>
      </c>
      <c r="G12697">
        <v>17319</v>
      </c>
      <c r="H12697" s="1">
        <v>3</v>
      </c>
      <c r="I12697">
        <v>15</v>
      </c>
      <c r="J12697">
        <f>IF($H12697=0,1,IF($I12697&lt;=1,2,0))</f>
        <v>0</v>
      </c>
      <c r="K12697">
        <v>6</v>
      </c>
      <c r="L12697">
        <f>IF(AND($J12697=0,$K12697=0),0,1)</f>
        <v>1</v>
      </c>
    </row>
    <row r="12698" spans="1:13" x14ac:dyDescent="0.2">
      <c r="A12698" t="s">
        <v>498</v>
      </c>
      <c r="B12698" t="s">
        <v>381</v>
      </c>
      <c r="C12698" t="s">
        <v>382</v>
      </c>
      <c r="D12698">
        <v>6796</v>
      </c>
      <c r="E12698">
        <v>2020</v>
      </c>
      <c r="F12698">
        <v>1</v>
      </c>
      <c r="G12698">
        <v>15761</v>
      </c>
      <c r="H12698" s="1">
        <v>3</v>
      </c>
      <c r="I12698">
        <v>6</v>
      </c>
      <c r="J12698">
        <f>IF($H12698=0,1,IF($I12698&lt;=1,2,0))</f>
        <v>0</v>
      </c>
      <c r="K12698">
        <v>6</v>
      </c>
      <c r="L12698">
        <f>IF(AND($J12698=0,$K12698=0),0,1)</f>
        <v>1</v>
      </c>
    </row>
    <row r="12699" spans="1:13" x14ac:dyDescent="0.2">
      <c r="A12699" t="s">
        <v>498</v>
      </c>
      <c r="B12699" t="s">
        <v>381</v>
      </c>
      <c r="C12699" t="s">
        <v>382</v>
      </c>
      <c r="D12699">
        <v>6798</v>
      </c>
      <c r="E12699">
        <v>2020</v>
      </c>
      <c r="F12699">
        <v>1</v>
      </c>
      <c r="G12699">
        <v>15762</v>
      </c>
      <c r="H12699" s="1">
        <v>3</v>
      </c>
      <c r="I12699">
        <v>21</v>
      </c>
      <c r="J12699">
        <f>IF($H12699=0,1,IF($I12699&lt;=1,2,0))</f>
        <v>0</v>
      </c>
      <c r="K12699">
        <v>6</v>
      </c>
      <c r="L12699">
        <f>IF(AND($J12699=0,$K12699=0),0,1)</f>
        <v>1</v>
      </c>
    </row>
    <row r="12700" spans="1:13" x14ac:dyDescent="0.2">
      <c r="A12700" t="s">
        <v>498</v>
      </c>
      <c r="B12700" t="s">
        <v>381</v>
      </c>
      <c r="C12700" t="s">
        <v>382</v>
      </c>
      <c r="D12700">
        <v>6802</v>
      </c>
      <c r="E12700">
        <v>2020</v>
      </c>
      <c r="F12700">
        <v>1</v>
      </c>
      <c r="G12700">
        <v>15764</v>
      </c>
      <c r="H12700" s="1">
        <v>3</v>
      </c>
      <c r="I12700">
        <v>14</v>
      </c>
      <c r="J12700">
        <f>IF($H12700=0,1,IF($I12700&lt;=1,2,0))</f>
        <v>0</v>
      </c>
      <c r="K12700">
        <v>6</v>
      </c>
      <c r="L12700">
        <f>IF(AND($J12700=0,$K12700=0),0,1)</f>
        <v>1</v>
      </c>
    </row>
    <row r="12701" spans="1:13" x14ac:dyDescent="0.2">
      <c r="A12701" t="s">
        <v>498</v>
      </c>
      <c r="B12701" t="s">
        <v>381</v>
      </c>
      <c r="C12701" t="s">
        <v>382</v>
      </c>
      <c r="D12701">
        <v>6802</v>
      </c>
      <c r="E12701">
        <v>2020</v>
      </c>
      <c r="F12701" t="s">
        <v>59</v>
      </c>
      <c r="G12701">
        <v>15765</v>
      </c>
      <c r="H12701" s="1">
        <v>0</v>
      </c>
      <c r="I12701">
        <v>0</v>
      </c>
      <c r="J12701">
        <f>IF($H12701=0,1,IF($I12701&lt;=1,2,0))</f>
        <v>1</v>
      </c>
      <c r="K12701">
        <v>6</v>
      </c>
      <c r="L12701">
        <f>IF(AND($J12701=0,$K12701=0),0,1)</f>
        <v>1</v>
      </c>
      <c r="M12701" t="s">
        <v>384</v>
      </c>
    </row>
    <row r="12702" spans="1:13" x14ac:dyDescent="0.2">
      <c r="A12702" t="s">
        <v>498</v>
      </c>
      <c r="B12702" t="s">
        <v>381</v>
      </c>
      <c r="C12702" t="s">
        <v>382</v>
      </c>
      <c r="D12702">
        <v>6820</v>
      </c>
      <c r="E12702">
        <v>2020</v>
      </c>
      <c r="F12702">
        <v>1</v>
      </c>
      <c r="G12702">
        <v>15766</v>
      </c>
      <c r="H12702" s="1">
        <v>3</v>
      </c>
      <c r="I12702">
        <v>38</v>
      </c>
      <c r="J12702">
        <f>IF($H12702=0,1,IF($I12702&lt;=1,2,0))</f>
        <v>0</v>
      </c>
      <c r="K12702">
        <v>6</v>
      </c>
      <c r="L12702">
        <f>IF(AND($J12702=0,$K12702=0),0,1)</f>
        <v>1</v>
      </c>
    </row>
    <row r="12703" spans="1:13" x14ac:dyDescent="0.2">
      <c r="A12703" t="s">
        <v>498</v>
      </c>
      <c r="B12703" t="s">
        <v>381</v>
      </c>
      <c r="C12703" t="s">
        <v>382</v>
      </c>
      <c r="D12703">
        <v>6827</v>
      </c>
      <c r="E12703">
        <v>2020</v>
      </c>
      <c r="F12703">
        <v>1</v>
      </c>
      <c r="G12703">
        <v>15767</v>
      </c>
      <c r="H12703" s="1">
        <v>3</v>
      </c>
      <c r="I12703">
        <v>34</v>
      </c>
      <c r="J12703">
        <f>IF($H12703=0,1,IF($I12703&lt;=1,2,0))</f>
        <v>0</v>
      </c>
      <c r="K12703">
        <v>6</v>
      </c>
      <c r="L12703">
        <f>IF(AND($J12703=0,$K12703=0),0,1)</f>
        <v>1</v>
      </c>
      <c r="M12703" t="s">
        <v>508</v>
      </c>
    </row>
    <row r="12704" spans="1:13" x14ac:dyDescent="0.2">
      <c r="A12704" t="s">
        <v>498</v>
      </c>
      <c r="B12704" t="s">
        <v>381</v>
      </c>
      <c r="C12704" t="s">
        <v>382</v>
      </c>
      <c r="D12704">
        <v>6827</v>
      </c>
      <c r="E12704">
        <v>2020</v>
      </c>
      <c r="F12704">
        <v>3</v>
      </c>
      <c r="G12704">
        <v>15769</v>
      </c>
      <c r="H12704" s="1">
        <v>3</v>
      </c>
      <c r="I12704">
        <v>21</v>
      </c>
      <c r="J12704">
        <f>IF($H12704=0,1,IF($I12704&lt;=1,2,0))</f>
        <v>0</v>
      </c>
      <c r="K12704">
        <v>6</v>
      </c>
      <c r="L12704">
        <f>IF(AND($J12704=0,$K12704=0),0,1)</f>
        <v>1</v>
      </c>
      <c r="M12704" t="s">
        <v>508</v>
      </c>
    </row>
    <row r="12705" spans="1:13" x14ac:dyDescent="0.2">
      <c r="A12705" t="s">
        <v>498</v>
      </c>
      <c r="B12705" t="s">
        <v>381</v>
      </c>
      <c r="C12705" t="s">
        <v>382</v>
      </c>
      <c r="D12705">
        <v>6827</v>
      </c>
      <c r="E12705">
        <v>2020</v>
      </c>
      <c r="F12705">
        <v>2</v>
      </c>
      <c r="G12705">
        <v>15768</v>
      </c>
      <c r="H12705" s="1">
        <v>3</v>
      </c>
      <c r="I12705">
        <v>17</v>
      </c>
      <c r="J12705">
        <f>IF($H12705=0,1,IF($I12705&lt;=1,2,0))</f>
        <v>0</v>
      </c>
      <c r="K12705">
        <v>6</v>
      </c>
      <c r="L12705">
        <f>IF(AND($J12705=0,$K12705=0),0,1)</f>
        <v>1</v>
      </c>
      <c r="M12705" t="s">
        <v>508</v>
      </c>
    </row>
    <row r="12706" spans="1:13" x14ac:dyDescent="0.2">
      <c r="A12706" t="s">
        <v>498</v>
      </c>
      <c r="B12706" t="s">
        <v>381</v>
      </c>
      <c r="C12706" t="s">
        <v>382</v>
      </c>
      <c r="D12706">
        <v>6827</v>
      </c>
      <c r="E12706">
        <v>2020</v>
      </c>
      <c r="F12706" t="s">
        <v>59</v>
      </c>
      <c r="G12706">
        <v>15770</v>
      </c>
      <c r="H12706" s="1">
        <v>0</v>
      </c>
      <c r="I12706">
        <v>0</v>
      </c>
      <c r="J12706">
        <f>IF($H12706=0,1,IF($I12706&lt;=1,2,0))</f>
        <v>1</v>
      </c>
      <c r="K12706">
        <v>6</v>
      </c>
      <c r="L12706">
        <f>IF(AND($J12706=0,$K12706=0),0,1)</f>
        <v>1</v>
      </c>
      <c r="M12706" t="s">
        <v>384</v>
      </c>
    </row>
    <row r="12707" spans="1:13" x14ac:dyDescent="0.2">
      <c r="A12707" t="s">
        <v>498</v>
      </c>
      <c r="B12707" t="s">
        <v>381</v>
      </c>
      <c r="C12707" t="s">
        <v>382</v>
      </c>
      <c r="D12707">
        <v>6827</v>
      </c>
      <c r="E12707">
        <v>2020</v>
      </c>
      <c r="F12707" t="s">
        <v>60</v>
      </c>
      <c r="G12707">
        <v>15771</v>
      </c>
      <c r="H12707" s="1">
        <v>0</v>
      </c>
      <c r="I12707">
        <v>0</v>
      </c>
      <c r="J12707">
        <f>IF($H12707=0,1,IF($I12707&lt;=1,2,0))</f>
        <v>1</v>
      </c>
      <c r="K12707">
        <v>6</v>
      </c>
      <c r="L12707">
        <f>IF(AND($J12707=0,$K12707=0),0,1)</f>
        <v>1</v>
      </c>
      <c r="M12707" t="s">
        <v>384</v>
      </c>
    </row>
    <row r="12708" spans="1:13" x14ac:dyDescent="0.2">
      <c r="A12708" t="s">
        <v>498</v>
      </c>
      <c r="B12708" t="s">
        <v>381</v>
      </c>
      <c r="C12708" t="s">
        <v>382</v>
      </c>
      <c r="D12708">
        <v>6827</v>
      </c>
      <c r="E12708">
        <v>2020</v>
      </c>
      <c r="F12708" t="s">
        <v>77</v>
      </c>
      <c r="G12708">
        <v>15772</v>
      </c>
      <c r="H12708" s="1">
        <v>0</v>
      </c>
      <c r="I12708">
        <v>0</v>
      </c>
      <c r="J12708">
        <f>IF($H12708=0,1,IF($I12708&lt;=1,2,0))</f>
        <v>1</v>
      </c>
      <c r="K12708">
        <v>6</v>
      </c>
      <c r="L12708">
        <f>IF(AND($J12708=0,$K12708=0),0,1)</f>
        <v>1</v>
      </c>
      <c r="M12708" t="s">
        <v>384</v>
      </c>
    </row>
    <row r="12709" spans="1:13" x14ac:dyDescent="0.2">
      <c r="A12709" t="s">
        <v>498</v>
      </c>
      <c r="B12709" t="s">
        <v>381</v>
      </c>
      <c r="C12709" t="s">
        <v>382</v>
      </c>
      <c r="D12709">
        <v>6848</v>
      </c>
      <c r="E12709">
        <v>2020</v>
      </c>
      <c r="F12709">
        <v>1</v>
      </c>
      <c r="G12709">
        <v>15773</v>
      </c>
      <c r="H12709" s="1">
        <v>1.5</v>
      </c>
      <c r="I12709">
        <v>15</v>
      </c>
      <c r="J12709">
        <f>IF($H12709=0,1,IF($I12709&lt;=1,2,0))</f>
        <v>0</v>
      </c>
      <c r="K12709">
        <v>6</v>
      </c>
      <c r="L12709">
        <f>IF(AND($J12709=0,$K12709=0),0,1)</f>
        <v>1</v>
      </c>
      <c r="M12709" t="s">
        <v>1122</v>
      </c>
    </row>
    <row r="12710" spans="1:13" x14ac:dyDescent="0.2">
      <c r="A12710" t="s">
        <v>498</v>
      </c>
      <c r="B12710" t="s">
        <v>381</v>
      </c>
      <c r="C12710" t="s">
        <v>382</v>
      </c>
      <c r="D12710">
        <v>6898</v>
      </c>
      <c r="E12710">
        <v>2020</v>
      </c>
      <c r="F12710">
        <v>1</v>
      </c>
      <c r="G12710">
        <v>15774</v>
      </c>
      <c r="H12710" s="1">
        <v>3</v>
      </c>
      <c r="I12710">
        <v>23</v>
      </c>
      <c r="J12710">
        <f>IF($H12710=0,1,IF($I12710&lt;=1,2,0))</f>
        <v>0</v>
      </c>
      <c r="K12710">
        <v>6</v>
      </c>
      <c r="L12710">
        <f>IF(AND($J12710=0,$K12710=0),0,1)</f>
        <v>1</v>
      </c>
    </row>
    <row r="12711" spans="1:13" x14ac:dyDescent="0.2">
      <c r="A12711" t="s">
        <v>498</v>
      </c>
      <c r="B12711" t="s">
        <v>381</v>
      </c>
      <c r="C12711" t="s">
        <v>382</v>
      </c>
      <c r="D12711">
        <v>6905</v>
      </c>
      <c r="E12711">
        <v>2020</v>
      </c>
      <c r="F12711">
        <v>1</v>
      </c>
      <c r="G12711">
        <v>15775</v>
      </c>
      <c r="H12711" s="1">
        <v>1.5</v>
      </c>
      <c r="I12711">
        <v>17</v>
      </c>
      <c r="J12711">
        <f>IF($H12711=0,1,IF($I12711&lt;=1,2,0))</f>
        <v>0</v>
      </c>
      <c r="K12711">
        <v>6</v>
      </c>
      <c r="L12711">
        <f>IF(AND($J12711=0,$K12711=0),0,1)</f>
        <v>1</v>
      </c>
      <c r="M12711" t="s">
        <v>1127</v>
      </c>
    </row>
    <row r="12712" spans="1:13" x14ac:dyDescent="0.2">
      <c r="A12712" t="s">
        <v>498</v>
      </c>
      <c r="B12712" t="s">
        <v>381</v>
      </c>
      <c r="C12712" t="s">
        <v>382</v>
      </c>
      <c r="D12712">
        <v>6906</v>
      </c>
      <c r="E12712">
        <v>2020</v>
      </c>
      <c r="F12712">
        <v>1</v>
      </c>
      <c r="G12712">
        <v>15930</v>
      </c>
      <c r="H12712" s="1">
        <v>1.5</v>
      </c>
      <c r="I12712">
        <v>35</v>
      </c>
      <c r="J12712">
        <f>IF($H12712=0,1,IF($I12712&lt;=1,2,0))</f>
        <v>0</v>
      </c>
      <c r="K12712">
        <v>6</v>
      </c>
      <c r="L12712">
        <f>IF(AND($J12712=0,$K12712=0),0,1)</f>
        <v>1</v>
      </c>
      <c r="M12712" t="s">
        <v>1122</v>
      </c>
    </row>
    <row r="12713" spans="1:13" x14ac:dyDescent="0.2">
      <c r="A12713" t="s">
        <v>498</v>
      </c>
      <c r="B12713" t="s">
        <v>381</v>
      </c>
      <c r="C12713" t="s">
        <v>382</v>
      </c>
      <c r="D12713">
        <v>6914</v>
      </c>
      <c r="E12713">
        <v>2020</v>
      </c>
      <c r="F12713">
        <v>1</v>
      </c>
      <c r="G12713">
        <v>15776</v>
      </c>
      <c r="H12713" s="1">
        <v>3</v>
      </c>
      <c r="I12713">
        <v>22</v>
      </c>
      <c r="J12713">
        <f>IF($H12713=0,1,IF($I12713&lt;=1,2,0))</f>
        <v>0</v>
      </c>
      <c r="K12713">
        <v>6</v>
      </c>
      <c r="L12713">
        <f>IF(AND($J12713=0,$K12713=0),0,1)</f>
        <v>1</v>
      </c>
    </row>
    <row r="12714" spans="1:13" x14ac:dyDescent="0.2">
      <c r="A12714" t="s">
        <v>498</v>
      </c>
      <c r="B12714" t="s">
        <v>381</v>
      </c>
      <c r="C12714" t="s">
        <v>382</v>
      </c>
      <c r="D12714">
        <v>6921</v>
      </c>
      <c r="E12714">
        <v>2020</v>
      </c>
      <c r="F12714">
        <v>1</v>
      </c>
      <c r="G12714">
        <v>15777</v>
      </c>
      <c r="H12714" s="1">
        <v>3</v>
      </c>
      <c r="I12714">
        <v>13</v>
      </c>
      <c r="J12714">
        <f>IF($H12714=0,1,IF($I12714&lt;=1,2,0))</f>
        <v>0</v>
      </c>
      <c r="K12714">
        <v>6</v>
      </c>
      <c r="L12714">
        <f>IF(AND($J12714=0,$K12714=0),0,1)</f>
        <v>1</v>
      </c>
    </row>
    <row r="12715" spans="1:13" x14ac:dyDescent="0.2">
      <c r="A12715" t="s">
        <v>498</v>
      </c>
      <c r="B12715" t="s">
        <v>381</v>
      </c>
      <c r="C12715" t="s">
        <v>382</v>
      </c>
      <c r="D12715">
        <v>6935</v>
      </c>
      <c r="E12715">
        <v>2020</v>
      </c>
      <c r="F12715">
        <v>1</v>
      </c>
      <c r="G12715">
        <v>15778</v>
      </c>
      <c r="H12715" s="1">
        <v>3</v>
      </c>
      <c r="I12715">
        <v>10</v>
      </c>
      <c r="J12715">
        <f>IF($H12715=0,1,IF($I12715&lt;=1,2,0))</f>
        <v>0</v>
      </c>
      <c r="K12715">
        <v>6</v>
      </c>
      <c r="L12715">
        <f>IF(AND($J12715=0,$K12715=0),0,1)</f>
        <v>1</v>
      </c>
    </row>
    <row r="12716" spans="1:13" x14ac:dyDescent="0.2">
      <c r="A12716" t="s">
        <v>498</v>
      </c>
      <c r="B12716" t="s">
        <v>381</v>
      </c>
      <c r="C12716" t="s">
        <v>382</v>
      </c>
      <c r="D12716">
        <v>6946</v>
      </c>
      <c r="E12716">
        <v>2020</v>
      </c>
      <c r="F12716">
        <v>1</v>
      </c>
      <c r="G12716">
        <v>15779</v>
      </c>
      <c r="H12716" s="1">
        <v>1.5</v>
      </c>
      <c r="I12716">
        <v>21</v>
      </c>
      <c r="J12716">
        <f>IF($H12716=0,1,IF($I12716&lt;=1,2,0))</f>
        <v>0</v>
      </c>
      <c r="K12716">
        <v>6</v>
      </c>
      <c r="L12716">
        <f>IF(AND($J12716=0,$K12716=0),0,1)</f>
        <v>1</v>
      </c>
      <c r="M12716" t="s">
        <v>1122</v>
      </c>
    </row>
    <row r="12717" spans="1:13" x14ac:dyDescent="0.2">
      <c r="A12717" t="s">
        <v>498</v>
      </c>
      <c r="B12717" t="s">
        <v>381</v>
      </c>
      <c r="C12717" t="s">
        <v>382</v>
      </c>
      <c r="D12717">
        <v>6950</v>
      </c>
      <c r="E12717">
        <v>2020</v>
      </c>
      <c r="F12717">
        <v>2</v>
      </c>
      <c r="G12717">
        <v>15781</v>
      </c>
      <c r="H12717" s="1">
        <v>3</v>
      </c>
      <c r="I12717">
        <v>10</v>
      </c>
      <c r="J12717">
        <f>IF($H12717=0,1,IF($I12717&lt;=1,2,0))</f>
        <v>0</v>
      </c>
      <c r="K12717">
        <v>6</v>
      </c>
      <c r="L12717">
        <f>IF(AND($J12717=0,$K12717=0),0,1)</f>
        <v>1</v>
      </c>
    </row>
    <row r="12718" spans="1:13" x14ac:dyDescent="0.2">
      <c r="A12718" t="s">
        <v>498</v>
      </c>
      <c r="B12718" t="s">
        <v>381</v>
      </c>
      <c r="C12718" t="s">
        <v>382</v>
      </c>
      <c r="D12718">
        <v>6950</v>
      </c>
      <c r="E12718">
        <v>2020</v>
      </c>
      <c r="F12718">
        <v>1</v>
      </c>
      <c r="G12718">
        <v>15780</v>
      </c>
      <c r="H12718" s="1">
        <v>3</v>
      </c>
      <c r="I12718">
        <v>6</v>
      </c>
      <c r="J12718">
        <f>IF($H12718=0,1,IF($I12718&lt;=1,2,0))</f>
        <v>0</v>
      </c>
      <c r="K12718">
        <v>6</v>
      </c>
      <c r="L12718">
        <f>IF(AND($J12718=0,$K12718=0),0,1)</f>
        <v>1</v>
      </c>
    </row>
    <row r="12719" spans="1:13" x14ac:dyDescent="0.2">
      <c r="A12719" t="s">
        <v>498</v>
      </c>
      <c r="B12719" t="s">
        <v>381</v>
      </c>
      <c r="C12719" t="s">
        <v>382</v>
      </c>
      <c r="D12719">
        <v>8085</v>
      </c>
      <c r="E12719">
        <v>2020</v>
      </c>
      <c r="F12719">
        <v>1</v>
      </c>
      <c r="G12719">
        <v>15783</v>
      </c>
      <c r="H12719" s="1">
        <v>1.5</v>
      </c>
      <c r="I12719">
        <v>9</v>
      </c>
      <c r="J12719">
        <f>IF($H12719=0,1,IF($I12719&lt;=1,2,0))</f>
        <v>0</v>
      </c>
      <c r="K12719">
        <v>6</v>
      </c>
      <c r="L12719">
        <f>IF(AND($J12719=0,$K12719=0),0,1)</f>
        <v>1</v>
      </c>
    </row>
    <row r="12720" spans="1:13" x14ac:dyDescent="0.2">
      <c r="A12720" t="s">
        <v>498</v>
      </c>
      <c r="B12720" t="s">
        <v>381</v>
      </c>
      <c r="C12720" t="s">
        <v>382</v>
      </c>
      <c r="D12720">
        <v>8095</v>
      </c>
      <c r="E12720">
        <v>2020</v>
      </c>
      <c r="F12720">
        <v>1</v>
      </c>
      <c r="G12720">
        <v>20784</v>
      </c>
      <c r="H12720" s="1">
        <v>3</v>
      </c>
      <c r="I12720">
        <v>6</v>
      </c>
      <c r="J12720">
        <f>IF($H12720=0,1,IF($I12720&lt;=1,2,0))</f>
        <v>0</v>
      </c>
      <c r="K12720">
        <v>6</v>
      </c>
      <c r="L12720">
        <f>IF(AND($J12720=0,$K12720=0),0,1)</f>
        <v>1</v>
      </c>
    </row>
    <row r="12721" spans="1:13" x14ac:dyDescent="0.2">
      <c r="A12721" t="s">
        <v>498</v>
      </c>
      <c r="B12721" t="s">
        <v>381</v>
      </c>
      <c r="C12721" t="s">
        <v>382</v>
      </c>
      <c r="D12721">
        <v>8099</v>
      </c>
      <c r="E12721">
        <v>2020</v>
      </c>
      <c r="F12721">
        <v>1</v>
      </c>
      <c r="G12721">
        <v>20819</v>
      </c>
      <c r="H12721" s="1">
        <v>3</v>
      </c>
      <c r="I12721">
        <v>17</v>
      </c>
      <c r="J12721">
        <f>IF($H12721=0,1,IF($I12721&lt;=1,2,0))</f>
        <v>0</v>
      </c>
      <c r="K12721">
        <v>6</v>
      </c>
      <c r="L12721">
        <f>IF(AND($J12721=0,$K12721=0),0,1)</f>
        <v>1</v>
      </c>
      <c r="M12721" t="s">
        <v>519</v>
      </c>
    </row>
    <row r="12722" spans="1:13" x14ac:dyDescent="0.2">
      <c r="A12722" t="s">
        <v>498</v>
      </c>
      <c r="B12722" t="s">
        <v>381</v>
      </c>
      <c r="C12722" t="s">
        <v>382</v>
      </c>
      <c r="D12722">
        <v>8104</v>
      </c>
      <c r="E12722">
        <v>2020</v>
      </c>
      <c r="F12722">
        <v>1</v>
      </c>
      <c r="G12722">
        <v>15784</v>
      </c>
      <c r="H12722" s="1">
        <v>3</v>
      </c>
      <c r="I12722">
        <v>3</v>
      </c>
      <c r="J12722">
        <f>IF($H12722=0,1,IF($I12722&lt;=1,2,0))</f>
        <v>0</v>
      </c>
      <c r="K12722">
        <v>6</v>
      </c>
      <c r="L12722">
        <f>IF(AND($J12722=0,$K12722=0),0,1)</f>
        <v>1</v>
      </c>
    </row>
    <row r="12723" spans="1:13" x14ac:dyDescent="0.2">
      <c r="A12723" t="s">
        <v>498</v>
      </c>
      <c r="B12723" t="s">
        <v>381</v>
      </c>
      <c r="C12723" t="s">
        <v>382</v>
      </c>
      <c r="D12723">
        <v>8147</v>
      </c>
      <c r="E12723">
        <v>2020</v>
      </c>
      <c r="F12723">
        <v>1</v>
      </c>
      <c r="G12723">
        <v>15785</v>
      </c>
      <c r="H12723" s="1">
        <v>3</v>
      </c>
      <c r="I12723">
        <v>27</v>
      </c>
      <c r="J12723">
        <f>IF($H12723=0,1,IF($I12723&lt;=1,2,0))</f>
        <v>0</v>
      </c>
      <c r="K12723">
        <v>6</v>
      </c>
      <c r="L12723">
        <f>IF(AND($J12723=0,$K12723=0),0,1)</f>
        <v>1</v>
      </c>
      <c r="M12723" t="s">
        <v>519</v>
      </c>
    </row>
    <row r="12724" spans="1:13" x14ac:dyDescent="0.2">
      <c r="A12724" t="s">
        <v>498</v>
      </c>
      <c r="B12724" t="s">
        <v>381</v>
      </c>
      <c r="C12724" t="s">
        <v>382</v>
      </c>
      <c r="D12724">
        <v>8166</v>
      </c>
      <c r="E12724">
        <v>2020</v>
      </c>
      <c r="F12724">
        <v>1</v>
      </c>
      <c r="G12724">
        <v>15786</v>
      </c>
      <c r="H12724" s="1">
        <v>3</v>
      </c>
      <c r="I12724">
        <v>9</v>
      </c>
      <c r="J12724">
        <f>IF($H12724=0,1,IF($I12724&lt;=1,2,0))</f>
        <v>0</v>
      </c>
      <c r="K12724">
        <v>6</v>
      </c>
      <c r="L12724">
        <f>IF(AND($J12724=0,$K12724=0),0,1)</f>
        <v>1</v>
      </c>
    </row>
    <row r="12725" spans="1:13" x14ac:dyDescent="0.2">
      <c r="A12725" t="s">
        <v>498</v>
      </c>
      <c r="B12725" t="s">
        <v>381</v>
      </c>
      <c r="C12725" t="s">
        <v>382</v>
      </c>
      <c r="D12725">
        <v>8189</v>
      </c>
      <c r="E12725">
        <v>2020</v>
      </c>
      <c r="F12725">
        <v>1</v>
      </c>
      <c r="G12725">
        <v>15787</v>
      </c>
      <c r="H12725" s="1">
        <v>3</v>
      </c>
      <c r="I12725">
        <v>16</v>
      </c>
      <c r="J12725">
        <f>IF($H12725=0,1,IF($I12725&lt;=1,2,0))</f>
        <v>0</v>
      </c>
      <c r="K12725">
        <v>6</v>
      </c>
      <c r="L12725">
        <f>IF(AND($J12725=0,$K12725=0),0,1)</f>
        <v>1</v>
      </c>
    </row>
    <row r="12726" spans="1:13" x14ac:dyDescent="0.2">
      <c r="A12726" t="s">
        <v>498</v>
      </c>
      <c r="B12726" t="s">
        <v>381</v>
      </c>
      <c r="C12726" t="s">
        <v>382</v>
      </c>
      <c r="D12726">
        <v>8210</v>
      </c>
      <c r="E12726">
        <v>2020</v>
      </c>
      <c r="F12726">
        <v>1</v>
      </c>
      <c r="G12726">
        <v>15794</v>
      </c>
      <c r="H12726" s="1">
        <v>1.5</v>
      </c>
      <c r="I12726">
        <v>10</v>
      </c>
      <c r="J12726">
        <f>IF($H12726=0,1,IF($I12726&lt;=1,2,0))</f>
        <v>0</v>
      </c>
      <c r="K12726">
        <v>6</v>
      </c>
      <c r="L12726">
        <f>IF(AND($J12726=0,$K12726=0),0,1)</f>
        <v>1</v>
      </c>
      <c r="M12726" t="s">
        <v>499</v>
      </c>
    </row>
    <row r="12727" spans="1:13" x14ac:dyDescent="0.2">
      <c r="A12727" t="s">
        <v>498</v>
      </c>
      <c r="B12727" t="s">
        <v>381</v>
      </c>
      <c r="C12727" t="s">
        <v>382</v>
      </c>
      <c r="D12727">
        <v>8210</v>
      </c>
      <c r="E12727">
        <v>2020</v>
      </c>
      <c r="F12727">
        <v>2</v>
      </c>
      <c r="G12727">
        <v>15795</v>
      </c>
      <c r="H12727" s="1">
        <v>1.5</v>
      </c>
      <c r="I12727">
        <v>8</v>
      </c>
      <c r="J12727">
        <f>IF($H12727=0,1,IF($I12727&lt;=1,2,0))</f>
        <v>0</v>
      </c>
      <c r="K12727">
        <v>6</v>
      </c>
      <c r="L12727">
        <f>IF(AND($J12727=0,$K12727=0),0,1)</f>
        <v>1</v>
      </c>
      <c r="M12727" t="s">
        <v>499</v>
      </c>
    </row>
    <row r="12728" spans="1:13" x14ac:dyDescent="0.2">
      <c r="A12728" t="s">
        <v>498</v>
      </c>
      <c r="B12728" t="s">
        <v>381</v>
      </c>
      <c r="C12728" t="s">
        <v>382</v>
      </c>
      <c r="D12728">
        <v>8246</v>
      </c>
      <c r="E12728">
        <v>2020</v>
      </c>
      <c r="F12728">
        <v>1</v>
      </c>
      <c r="G12728">
        <v>15796</v>
      </c>
      <c r="H12728" s="1">
        <v>3</v>
      </c>
      <c r="I12728">
        <v>6</v>
      </c>
      <c r="J12728">
        <f>IF($H12728=0,1,IF($I12728&lt;=1,2,0))</f>
        <v>0</v>
      </c>
      <c r="K12728">
        <v>6</v>
      </c>
      <c r="L12728">
        <f>IF(AND($J12728=0,$K12728=0),0,1)</f>
        <v>1</v>
      </c>
    </row>
    <row r="12729" spans="1:13" x14ac:dyDescent="0.2">
      <c r="A12729" t="s">
        <v>498</v>
      </c>
      <c r="B12729" t="s">
        <v>381</v>
      </c>
      <c r="C12729" t="s">
        <v>382</v>
      </c>
      <c r="D12729">
        <v>8260</v>
      </c>
      <c r="E12729">
        <v>2020</v>
      </c>
      <c r="F12729">
        <v>1</v>
      </c>
      <c r="G12729">
        <v>15797</v>
      </c>
      <c r="H12729" s="1">
        <v>3</v>
      </c>
      <c r="I12729">
        <v>25</v>
      </c>
      <c r="J12729">
        <f>IF($H12729=0,1,IF($I12729&lt;=1,2,0))</f>
        <v>0</v>
      </c>
      <c r="K12729">
        <v>6</v>
      </c>
      <c r="L12729">
        <f>IF(AND($J12729=0,$K12729=0),0,1)</f>
        <v>1</v>
      </c>
      <c r="M12729" t="s">
        <v>508</v>
      </c>
    </row>
    <row r="12730" spans="1:13" x14ac:dyDescent="0.2">
      <c r="A12730" t="s">
        <v>498</v>
      </c>
      <c r="B12730" t="s">
        <v>381</v>
      </c>
      <c r="C12730" t="s">
        <v>382</v>
      </c>
      <c r="D12730">
        <v>8345</v>
      </c>
      <c r="E12730">
        <v>2020</v>
      </c>
      <c r="F12730">
        <v>1</v>
      </c>
      <c r="G12730">
        <v>15798</v>
      </c>
      <c r="H12730" s="1">
        <v>3</v>
      </c>
      <c r="I12730">
        <v>6</v>
      </c>
      <c r="J12730">
        <f>IF($H12730=0,1,IF($I12730&lt;=1,2,0))</f>
        <v>0</v>
      </c>
      <c r="K12730">
        <v>6</v>
      </c>
      <c r="L12730">
        <f>IF(AND($J12730=0,$K12730=0),0,1)</f>
        <v>1</v>
      </c>
      <c r="M12730" t="s">
        <v>1117</v>
      </c>
    </row>
    <row r="12731" spans="1:13" x14ac:dyDescent="0.2">
      <c r="A12731" t="s">
        <v>498</v>
      </c>
      <c r="B12731" t="s">
        <v>381</v>
      </c>
      <c r="C12731" t="s">
        <v>382</v>
      </c>
      <c r="D12731">
        <v>8350</v>
      </c>
      <c r="E12731">
        <v>2020</v>
      </c>
      <c r="F12731">
        <v>1</v>
      </c>
      <c r="G12731">
        <v>15799</v>
      </c>
      <c r="H12731" s="1">
        <v>3</v>
      </c>
      <c r="I12731">
        <v>18</v>
      </c>
      <c r="J12731">
        <f>IF($H12731=0,1,IF($I12731&lt;=1,2,0))</f>
        <v>0</v>
      </c>
      <c r="K12731">
        <v>6</v>
      </c>
      <c r="L12731">
        <f>IF(AND($J12731=0,$K12731=0),0,1)</f>
        <v>1</v>
      </c>
    </row>
    <row r="12732" spans="1:13" x14ac:dyDescent="0.2">
      <c r="A12732" t="s">
        <v>498</v>
      </c>
      <c r="B12732" t="s">
        <v>381</v>
      </c>
      <c r="C12732" t="s">
        <v>382</v>
      </c>
      <c r="D12732">
        <v>8415</v>
      </c>
      <c r="E12732">
        <v>2020</v>
      </c>
      <c r="F12732">
        <v>1</v>
      </c>
      <c r="G12732">
        <v>15927</v>
      </c>
      <c r="H12732" s="1">
        <v>3</v>
      </c>
      <c r="I12732">
        <v>16</v>
      </c>
      <c r="J12732">
        <f>IF($H12732=0,1,IF($I12732&lt;=1,2,0))</f>
        <v>0</v>
      </c>
      <c r="K12732">
        <v>6</v>
      </c>
      <c r="L12732">
        <f>IF(AND($J12732=0,$K12732=0),0,1)</f>
        <v>1</v>
      </c>
    </row>
    <row r="12733" spans="1:13" x14ac:dyDescent="0.2">
      <c r="A12733" t="s">
        <v>498</v>
      </c>
      <c r="B12733" t="s">
        <v>381</v>
      </c>
      <c r="C12733" t="s">
        <v>382</v>
      </c>
      <c r="D12733">
        <v>8488</v>
      </c>
      <c r="E12733">
        <v>2020</v>
      </c>
      <c r="F12733">
        <v>1</v>
      </c>
      <c r="G12733">
        <v>15800</v>
      </c>
      <c r="H12733" s="1">
        <v>3</v>
      </c>
      <c r="I12733">
        <v>22</v>
      </c>
      <c r="J12733">
        <f>IF($H12733=0,1,IF($I12733&lt;=1,2,0))</f>
        <v>0</v>
      </c>
      <c r="K12733">
        <v>6</v>
      </c>
      <c r="L12733">
        <f>IF(AND($J12733=0,$K12733=0),0,1)</f>
        <v>1</v>
      </c>
      <c r="M12733" t="s">
        <v>514</v>
      </c>
    </row>
    <row r="12734" spans="1:13" x14ac:dyDescent="0.2">
      <c r="A12734" t="s">
        <v>498</v>
      </c>
      <c r="B12734" t="s">
        <v>381</v>
      </c>
      <c r="C12734" t="s">
        <v>382</v>
      </c>
      <c r="D12734">
        <v>8507</v>
      </c>
      <c r="E12734">
        <v>2020</v>
      </c>
      <c r="F12734">
        <v>1</v>
      </c>
      <c r="G12734">
        <v>15801</v>
      </c>
      <c r="H12734" s="1">
        <v>3</v>
      </c>
      <c r="I12734">
        <v>23</v>
      </c>
      <c r="J12734">
        <f>IF($H12734=0,1,IF($I12734&lt;=1,2,0))</f>
        <v>0</v>
      </c>
      <c r="K12734">
        <v>6</v>
      </c>
      <c r="L12734">
        <f>IF(AND($J12734=0,$K12734=0),0,1)</f>
        <v>1</v>
      </c>
    </row>
    <row r="12735" spans="1:13" x14ac:dyDescent="0.2">
      <c r="A12735" t="s">
        <v>498</v>
      </c>
      <c r="B12735" t="s">
        <v>381</v>
      </c>
      <c r="C12735" t="s">
        <v>382</v>
      </c>
      <c r="D12735">
        <v>8508</v>
      </c>
      <c r="E12735">
        <v>2020</v>
      </c>
      <c r="F12735">
        <v>1</v>
      </c>
      <c r="G12735">
        <v>15802</v>
      </c>
      <c r="H12735" s="1">
        <v>3</v>
      </c>
      <c r="I12735">
        <v>3</v>
      </c>
      <c r="J12735">
        <f>IF($H12735=0,1,IF($I12735&lt;=1,2,0))</f>
        <v>0</v>
      </c>
      <c r="K12735">
        <v>6</v>
      </c>
      <c r="L12735">
        <f>IF(AND($J12735=0,$K12735=0),0,1)</f>
        <v>1</v>
      </c>
    </row>
    <row r="12736" spans="1:13" x14ac:dyDescent="0.2">
      <c r="A12736" t="s">
        <v>498</v>
      </c>
      <c r="B12736" t="s">
        <v>381</v>
      </c>
      <c r="C12736" t="s">
        <v>382</v>
      </c>
      <c r="D12736">
        <v>8560</v>
      </c>
      <c r="E12736">
        <v>2020</v>
      </c>
      <c r="F12736">
        <v>1</v>
      </c>
      <c r="G12736">
        <v>15803</v>
      </c>
      <c r="H12736" s="1">
        <v>3</v>
      </c>
      <c r="I12736">
        <v>15</v>
      </c>
      <c r="J12736">
        <f>IF($H12736=0,1,IF($I12736&lt;=1,2,0))</f>
        <v>0</v>
      </c>
      <c r="K12736">
        <v>6</v>
      </c>
      <c r="L12736">
        <f>IF(AND($J12736=0,$K12736=0),0,1)</f>
        <v>1</v>
      </c>
      <c r="M12736" t="s">
        <v>1128</v>
      </c>
    </row>
    <row r="12737" spans="1:13" x14ac:dyDescent="0.2">
      <c r="A12737" t="s">
        <v>498</v>
      </c>
      <c r="B12737" t="s">
        <v>381</v>
      </c>
      <c r="C12737" t="s">
        <v>382</v>
      </c>
      <c r="D12737">
        <v>8675</v>
      </c>
      <c r="E12737">
        <v>2020</v>
      </c>
      <c r="F12737">
        <v>1</v>
      </c>
      <c r="G12737">
        <v>15804</v>
      </c>
      <c r="H12737" s="1">
        <v>3</v>
      </c>
      <c r="I12737">
        <v>25</v>
      </c>
      <c r="J12737">
        <f>IF($H12737=0,1,IF($I12737&lt;=1,2,0))</f>
        <v>0</v>
      </c>
      <c r="K12737">
        <v>6</v>
      </c>
      <c r="L12737">
        <f>IF(AND($J12737=0,$K12737=0),0,1)</f>
        <v>1</v>
      </c>
      <c r="M12737" t="s">
        <v>1113</v>
      </c>
    </row>
    <row r="12738" spans="1:13" x14ac:dyDescent="0.2">
      <c r="A12738" t="s">
        <v>498</v>
      </c>
      <c r="B12738" t="s">
        <v>381</v>
      </c>
      <c r="C12738" t="s">
        <v>382</v>
      </c>
      <c r="D12738">
        <v>8689</v>
      </c>
      <c r="E12738">
        <v>2020</v>
      </c>
      <c r="F12738">
        <v>1</v>
      </c>
      <c r="G12738">
        <v>15805</v>
      </c>
      <c r="H12738" s="1">
        <v>3</v>
      </c>
      <c r="I12738">
        <v>25</v>
      </c>
      <c r="J12738">
        <f>IF($H12738=0,1,IF($I12738&lt;=1,2,0))</f>
        <v>0</v>
      </c>
      <c r="K12738">
        <v>6</v>
      </c>
      <c r="L12738">
        <f>IF(AND($J12738=0,$K12738=0),0,1)</f>
        <v>1</v>
      </c>
    </row>
    <row r="12739" spans="1:13" x14ac:dyDescent="0.2">
      <c r="A12739" t="s">
        <v>498</v>
      </c>
      <c r="B12739" t="s">
        <v>381</v>
      </c>
      <c r="C12739" t="s">
        <v>382</v>
      </c>
      <c r="D12739">
        <v>8812</v>
      </c>
      <c r="E12739">
        <v>2020</v>
      </c>
      <c r="F12739">
        <v>1</v>
      </c>
      <c r="G12739">
        <v>20726</v>
      </c>
      <c r="H12739" s="1">
        <v>3</v>
      </c>
      <c r="I12739">
        <v>20</v>
      </c>
      <c r="J12739">
        <f>IF($H12739=0,1,IF($I12739&lt;=1,2,0))</f>
        <v>0</v>
      </c>
      <c r="K12739">
        <v>6</v>
      </c>
      <c r="L12739">
        <f>IF(AND($J12739=0,$K12739=0),0,1)</f>
        <v>1</v>
      </c>
    </row>
    <row r="12740" spans="1:13" x14ac:dyDescent="0.2">
      <c r="A12740" t="s">
        <v>498</v>
      </c>
      <c r="B12740" t="s">
        <v>381</v>
      </c>
      <c r="C12740" t="s">
        <v>382</v>
      </c>
      <c r="D12740">
        <v>8822</v>
      </c>
      <c r="E12740">
        <v>2020</v>
      </c>
      <c r="F12740">
        <v>1</v>
      </c>
      <c r="G12740">
        <v>15806</v>
      </c>
      <c r="H12740" s="1">
        <v>3</v>
      </c>
      <c r="I12740">
        <v>16</v>
      </c>
      <c r="J12740">
        <f>IF($H12740=0,1,IF($I12740&lt;=1,2,0))</f>
        <v>0</v>
      </c>
      <c r="K12740">
        <v>6</v>
      </c>
      <c r="L12740">
        <f>IF(AND($J12740=0,$K12740=0),0,1)</f>
        <v>1</v>
      </c>
    </row>
    <row r="12741" spans="1:13" x14ac:dyDescent="0.2">
      <c r="A12741" t="s">
        <v>498</v>
      </c>
      <c r="B12741" t="s">
        <v>381</v>
      </c>
      <c r="C12741" t="s">
        <v>382</v>
      </c>
      <c r="D12741">
        <v>8842</v>
      </c>
      <c r="E12741">
        <v>2020</v>
      </c>
      <c r="F12741">
        <v>1</v>
      </c>
      <c r="G12741">
        <v>15922</v>
      </c>
      <c r="H12741" s="1">
        <v>1.5</v>
      </c>
      <c r="I12741">
        <v>9</v>
      </c>
      <c r="J12741">
        <f>IF($H12741=0,1,IF($I12741&lt;=1,2,0))</f>
        <v>0</v>
      </c>
      <c r="K12741">
        <v>6</v>
      </c>
      <c r="L12741">
        <f>IF(AND($J12741=0,$K12741=0),0,1)</f>
        <v>1</v>
      </c>
      <c r="M12741" t="s">
        <v>1120</v>
      </c>
    </row>
    <row r="12742" spans="1:13" x14ac:dyDescent="0.2">
      <c r="A12742" t="s">
        <v>498</v>
      </c>
      <c r="B12742" t="s">
        <v>381</v>
      </c>
      <c r="C12742" t="s">
        <v>382</v>
      </c>
      <c r="D12742">
        <v>8876</v>
      </c>
      <c r="E12742">
        <v>2020</v>
      </c>
      <c r="F12742">
        <v>1</v>
      </c>
      <c r="G12742">
        <v>15807</v>
      </c>
      <c r="H12742" s="1">
        <v>1.5</v>
      </c>
      <c r="I12742">
        <v>14</v>
      </c>
      <c r="J12742">
        <f>IF($H12742=0,1,IF($I12742&lt;=1,2,0))</f>
        <v>0</v>
      </c>
      <c r="K12742">
        <v>6</v>
      </c>
      <c r="L12742">
        <f>IF(AND($J12742=0,$K12742=0),0,1)</f>
        <v>1</v>
      </c>
      <c r="M12742" t="s">
        <v>1119</v>
      </c>
    </row>
    <row r="12743" spans="1:13" x14ac:dyDescent="0.2">
      <c r="A12743" t="s">
        <v>522</v>
      </c>
      <c r="B12743" t="s">
        <v>17</v>
      </c>
      <c r="C12743" t="s">
        <v>9</v>
      </c>
      <c r="D12743">
        <v>3101</v>
      </c>
      <c r="E12743">
        <v>2020</v>
      </c>
      <c r="F12743">
        <v>1</v>
      </c>
      <c r="G12743">
        <v>11959</v>
      </c>
      <c r="H12743" s="1">
        <v>3</v>
      </c>
      <c r="I12743">
        <v>0</v>
      </c>
      <c r="J12743">
        <f>IF($H12743=0,1,IF($I12743&lt;=1,2,0))</f>
        <v>2</v>
      </c>
      <c r="K12743">
        <v>0</v>
      </c>
      <c r="L12743">
        <f>IF(AND($J12743=0,$K12743=0),0,1)</f>
        <v>1</v>
      </c>
      <c r="M12743" t="s">
        <v>181</v>
      </c>
    </row>
    <row r="12744" spans="1:13" x14ac:dyDescent="0.2">
      <c r="A12744" t="s">
        <v>1129</v>
      </c>
      <c r="B12744" t="s">
        <v>17</v>
      </c>
      <c r="C12744" t="s">
        <v>9</v>
      </c>
      <c r="D12744">
        <v>1101</v>
      </c>
      <c r="E12744">
        <v>2020</v>
      </c>
      <c r="F12744">
        <v>1</v>
      </c>
      <c r="G12744">
        <v>11960</v>
      </c>
      <c r="H12744" s="1">
        <v>4</v>
      </c>
      <c r="I12744">
        <v>1</v>
      </c>
      <c r="J12744">
        <f>IF($H12744=0,1,IF($I12744&lt;=1,2,0))</f>
        <v>2</v>
      </c>
      <c r="K12744">
        <v>0</v>
      </c>
      <c r="L12744">
        <f>IF(AND($J12744=0,$K12744=0),0,1)</f>
        <v>1</v>
      </c>
      <c r="M12744" t="s">
        <v>918</v>
      </c>
    </row>
    <row r="12745" spans="1:13" x14ac:dyDescent="0.2">
      <c r="A12745" t="s">
        <v>1129</v>
      </c>
      <c r="B12745" t="s">
        <v>17</v>
      </c>
      <c r="C12745" t="s">
        <v>9</v>
      </c>
      <c r="D12745">
        <v>1101</v>
      </c>
      <c r="E12745">
        <v>2020</v>
      </c>
      <c r="F12745">
        <v>2</v>
      </c>
      <c r="G12745">
        <v>11961</v>
      </c>
      <c r="H12745" s="1">
        <v>4</v>
      </c>
      <c r="I12745">
        <v>0</v>
      </c>
      <c r="J12745">
        <f>IF($H12745=0,1,IF($I12745&lt;=1,2,0))</f>
        <v>2</v>
      </c>
      <c r="K12745">
        <v>0</v>
      </c>
      <c r="L12745">
        <f>IF(AND($J12745=0,$K12745=0),0,1)</f>
        <v>1</v>
      </c>
      <c r="M12745" t="s">
        <v>919</v>
      </c>
    </row>
    <row r="12746" spans="1:13" x14ac:dyDescent="0.2">
      <c r="A12746" t="s">
        <v>1129</v>
      </c>
      <c r="B12746" t="s">
        <v>17</v>
      </c>
      <c r="C12746" t="s">
        <v>9</v>
      </c>
      <c r="D12746">
        <v>2101</v>
      </c>
      <c r="E12746">
        <v>2020</v>
      </c>
      <c r="F12746">
        <v>1</v>
      </c>
      <c r="G12746">
        <v>11989</v>
      </c>
      <c r="H12746" s="1">
        <v>4</v>
      </c>
      <c r="I12746">
        <v>3</v>
      </c>
      <c r="J12746">
        <f>IF($H12746=0,1,IF($I12746&lt;=1,2,0))</f>
        <v>0</v>
      </c>
      <c r="K12746">
        <v>2</v>
      </c>
      <c r="L12746">
        <f>IF(AND($J12746=0,$K12746=0),0,1)</f>
        <v>1</v>
      </c>
      <c r="M12746" t="s">
        <v>918</v>
      </c>
    </row>
    <row r="12747" spans="1:13" x14ac:dyDescent="0.2">
      <c r="A12747" t="s">
        <v>524</v>
      </c>
      <c r="B12747" t="s">
        <v>6</v>
      </c>
      <c r="C12747" t="s">
        <v>11</v>
      </c>
      <c r="D12747">
        <v>4999</v>
      </c>
      <c r="E12747">
        <v>2020</v>
      </c>
      <c r="F12747">
        <v>2</v>
      </c>
      <c r="G12747">
        <v>22243</v>
      </c>
      <c r="H12747" s="1">
        <v>4</v>
      </c>
      <c r="I12747">
        <v>1</v>
      </c>
      <c r="J12747">
        <f>IF($H12747=0,1,IF($I12747&lt;=1,2,0))</f>
        <v>2</v>
      </c>
      <c r="K12747">
        <v>9</v>
      </c>
      <c r="L12747">
        <f>IF(AND($J12747=0,$K12747=0),0,1)</f>
        <v>1</v>
      </c>
    </row>
    <row r="12748" spans="1:13" x14ac:dyDescent="0.2">
      <c r="A12748" t="s">
        <v>524</v>
      </c>
      <c r="B12748" t="s">
        <v>6</v>
      </c>
      <c r="C12748" t="s">
        <v>11</v>
      </c>
      <c r="D12748">
        <v>4999</v>
      </c>
      <c r="E12748">
        <v>2020</v>
      </c>
      <c r="F12748">
        <v>1</v>
      </c>
      <c r="G12748">
        <v>22242</v>
      </c>
      <c r="H12748" s="1">
        <v>4</v>
      </c>
      <c r="I12748">
        <v>0</v>
      </c>
      <c r="J12748">
        <f>IF($H12748=0,1,IF($I12748&lt;=1,2,0))</f>
        <v>2</v>
      </c>
      <c r="K12748">
        <v>9</v>
      </c>
      <c r="L12748">
        <f>IF(AND($J12748=0,$K12748=0),0,1)</f>
        <v>1</v>
      </c>
    </row>
    <row r="12749" spans="1:13" x14ac:dyDescent="0.2">
      <c r="A12749" t="s">
        <v>525</v>
      </c>
      <c r="B12749" t="s">
        <v>17</v>
      </c>
      <c r="C12749" t="s">
        <v>21</v>
      </c>
      <c r="D12749">
        <v>3993</v>
      </c>
      <c r="E12749">
        <v>2020</v>
      </c>
      <c r="F12749">
        <v>1</v>
      </c>
      <c r="G12749">
        <v>10842</v>
      </c>
      <c r="H12749" s="1">
        <v>3</v>
      </c>
      <c r="I12749">
        <v>0</v>
      </c>
      <c r="J12749">
        <f>IF($H12749=0,1,IF($I12749&lt;=1,2,0))</f>
        <v>2</v>
      </c>
      <c r="K12749">
        <v>0</v>
      </c>
      <c r="L12749">
        <f>IF(AND($J12749=0,$K12749=0),0,1)</f>
        <v>1</v>
      </c>
      <c r="M12749" t="s">
        <v>1130</v>
      </c>
    </row>
    <row r="12750" spans="1:13" x14ac:dyDescent="0.2">
      <c r="A12750" t="s">
        <v>525</v>
      </c>
      <c r="B12750" t="s">
        <v>17</v>
      </c>
      <c r="C12750" t="s">
        <v>21</v>
      </c>
      <c r="D12750">
        <v>3993</v>
      </c>
      <c r="E12750">
        <v>2020</v>
      </c>
      <c r="F12750">
        <v>2</v>
      </c>
      <c r="G12750">
        <v>10824</v>
      </c>
      <c r="H12750" s="1">
        <v>3</v>
      </c>
      <c r="I12750">
        <v>0</v>
      </c>
      <c r="J12750">
        <f>IF($H12750=0,1,IF($I12750&lt;=1,2,0))</f>
        <v>2</v>
      </c>
      <c r="K12750">
        <v>0</v>
      </c>
      <c r="L12750">
        <f>IF(AND($J12750=0,$K12750=0),0,1)</f>
        <v>1</v>
      </c>
      <c r="M12750" t="s">
        <v>1130</v>
      </c>
    </row>
    <row r="12751" spans="1:13" x14ac:dyDescent="0.2">
      <c r="A12751" t="s">
        <v>525</v>
      </c>
      <c r="B12751" t="s">
        <v>17</v>
      </c>
      <c r="C12751" t="s">
        <v>21</v>
      </c>
      <c r="D12751">
        <v>3993</v>
      </c>
      <c r="E12751">
        <v>2020</v>
      </c>
      <c r="F12751">
        <v>3</v>
      </c>
      <c r="G12751">
        <v>10825</v>
      </c>
      <c r="H12751" s="1">
        <v>3</v>
      </c>
      <c r="I12751">
        <v>0</v>
      </c>
      <c r="J12751">
        <f>IF($H12751=0,1,IF($I12751&lt;=1,2,0))</f>
        <v>2</v>
      </c>
      <c r="K12751">
        <v>0</v>
      </c>
      <c r="L12751">
        <f>IF(AND($J12751=0,$K12751=0),0,1)</f>
        <v>1</v>
      </c>
      <c r="M12751" t="s">
        <v>1130</v>
      </c>
    </row>
    <row r="12752" spans="1:13" x14ac:dyDescent="0.2">
      <c r="A12752" t="s">
        <v>525</v>
      </c>
      <c r="B12752" t="s">
        <v>17</v>
      </c>
      <c r="C12752" t="s">
        <v>21</v>
      </c>
      <c r="D12752">
        <v>3993</v>
      </c>
      <c r="E12752">
        <v>2020</v>
      </c>
      <c r="F12752">
        <v>4</v>
      </c>
      <c r="G12752">
        <v>10843</v>
      </c>
      <c r="H12752" s="1">
        <v>3</v>
      </c>
      <c r="I12752">
        <v>0</v>
      </c>
      <c r="J12752">
        <f>IF($H12752=0,1,IF($I12752&lt;=1,2,0))</f>
        <v>2</v>
      </c>
      <c r="K12752">
        <v>0</v>
      </c>
      <c r="L12752">
        <f>IF(AND($J12752=0,$K12752=0),0,1)</f>
        <v>1</v>
      </c>
      <c r="M12752" t="s">
        <v>1130</v>
      </c>
    </row>
    <row r="12753" spans="1:13" x14ac:dyDescent="0.2">
      <c r="A12753" t="s">
        <v>525</v>
      </c>
      <c r="B12753" t="s">
        <v>17</v>
      </c>
      <c r="C12753" t="s">
        <v>21</v>
      </c>
      <c r="D12753">
        <v>3993</v>
      </c>
      <c r="E12753">
        <v>2020</v>
      </c>
      <c r="F12753">
        <v>5</v>
      </c>
      <c r="G12753">
        <v>10826</v>
      </c>
      <c r="H12753" s="1">
        <v>3</v>
      </c>
      <c r="I12753">
        <v>0</v>
      </c>
      <c r="J12753">
        <f>IF($H12753=0,1,IF($I12753&lt;=1,2,0))</f>
        <v>2</v>
      </c>
      <c r="K12753">
        <v>0</v>
      </c>
      <c r="L12753">
        <f>IF(AND($J12753=0,$K12753=0),0,1)</f>
        <v>1</v>
      </c>
      <c r="M12753" t="s">
        <v>1130</v>
      </c>
    </row>
    <row r="12754" spans="1:13" x14ac:dyDescent="0.2">
      <c r="A12754" t="s">
        <v>525</v>
      </c>
      <c r="B12754" t="s">
        <v>17</v>
      </c>
      <c r="C12754" t="s">
        <v>21</v>
      </c>
      <c r="D12754">
        <v>3993</v>
      </c>
      <c r="E12754">
        <v>2020</v>
      </c>
      <c r="F12754">
        <v>6</v>
      </c>
      <c r="G12754">
        <v>10827</v>
      </c>
      <c r="H12754" s="1">
        <v>3</v>
      </c>
      <c r="I12754">
        <v>0</v>
      </c>
      <c r="J12754">
        <f>IF($H12754=0,1,IF($I12754&lt;=1,2,0))</f>
        <v>2</v>
      </c>
      <c r="K12754">
        <v>0</v>
      </c>
      <c r="L12754">
        <f>IF(AND($J12754=0,$K12754=0),0,1)</f>
        <v>1</v>
      </c>
      <c r="M12754" t="s">
        <v>1130</v>
      </c>
    </row>
    <row r="12755" spans="1:13" x14ac:dyDescent="0.2">
      <c r="A12755" t="s">
        <v>525</v>
      </c>
      <c r="B12755" t="s">
        <v>17</v>
      </c>
      <c r="C12755" t="s">
        <v>11</v>
      </c>
      <c r="D12755">
        <v>4019</v>
      </c>
      <c r="E12755">
        <v>2020</v>
      </c>
      <c r="F12755">
        <v>1</v>
      </c>
      <c r="G12755">
        <v>17324</v>
      </c>
      <c r="H12755" s="1">
        <v>3</v>
      </c>
      <c r="I12755">
        <v>1</v>
      </c>
      <c r="J12755">
        <f>IF($H12755=0,1,IF($I12755&lt;=1,2,0))</f>
        <v>2</v>
      </c>
      <c r="K12755">
        <v>0</v>
      </c>
      <c r="L12755">
        <f>IF(AND($J12755=0,$K12755=0),0,1)</f>
        <v>1</v>
      </c>
      <c r="M12755" t="s">
        <v>1131</v>
      </c>
    </row>
    <row r="12756" spans="1:13" x14ac:dyDescent="0.2">
      <c r="A12756" t="s">
        <v>525</v>
      </c>
      <c r="B12756" t="s">
        <v>17</v>
      </c>
      <c r="C12756" t="s">
        <v>9</v>
      </c>
      <c r="D12756">
        <v>4997</v>
      </c>
      <c r="E12756">
        <v>2020</v>
      </c>
      <c r="F12756">
        <v>1</v>
      </c>
      <c r="G12756">
        <v>15251</v>
      </c>
      <c r="H12756" s="1">
        <v>3</v>
      </c>
      <c r="I12756">
        <v>7</v>
      </c>
      <c r="J12756">
        <f>IF($H12756=0,1,IF($I12756&lt;=1,2,0))</f>
        <v>0</v>
      </c>
      <c r="K12756">
        <v>9</v>
      </c>
      <c r="L12756">
        <f>IF(AND($J12756=0,$K12756=0),0,1)</f>
        <v>1</v>
      </c>
      <c r="M12756" t="s">
        <v>530</v>
      </c>
    </row>
    <row r="12757" spans="1:13" x14ac:dyDescent="0.2">
      <c r="A12757" t="s">
        <v>525</v>
      </c>
      <c r="B12757" t="s">
        <v>17</v>
      </c>
      <c r="C12757" t="s">
        <v>11</v>
      </c>
      <c r="D12757">
        <v>9101</v>
      </c>
      <c r="E12757">
        <v>2020</v>
      </c>
      <c r="F12757">
        <v>1</v>
      </c>
      <c r="G12757">
        <v>10062</v>
      </c>
      <c r="H12757" s="1">
        <v>3</v>
      </c>
      <c r="I12757">
        <v>0</v>
      </c>
      <c r="J12757">
        <f>IF($H12757=0,1,IF($I12757&lt;=1,2,0))</f>
        <v>2</v>
      </c>
      <c r="K12757">
        <v>5</v>
      </c>
      <c r="L12757">
        <f>IF(AND($J12757=0,$K12757=0),0,1)</f>
        <v>1</v>
      </c>
      <c r="M12757" t="s">
        <v>530</v>
      </c>
    </row>
    <row r="12758" spans="1:13" x14ac:dyDescent="0.2">
      <c r="A12758" t="s">
        <v>525</v>
      </c>
      <c r="B12758" t="s">
        <v>17</v>
      </c>
      <c r="C12758" t="s">
        <v>11</v>
      </c>
      <c r="D12758">
        <v>9101</v>
      </c>
      <c r="E12758">
        <v>2020</v>
      </c>
      <c r="F12758">
        <v>2</v>
      </c>
      <c r="G12758">
        <v>10063</v>
      </c>
      <c r="H12758" s="1">
        <v>3</v>
      </c>
      <c r="I12758">
        <v>0</v>
      </c>
      <c r="J12758">
        <f>IF($H12758=0,1,IF($I12758&lt;=1,2,0))</f>
        <v>2</v>
      </c>
      <c r="K12758">
        <v>5</v>
      </c>
      <c r="L12758">
        <f>IF(AND($J12758=0,$K12758=0),0,1)</f>
        <v>1</v>
      </c>
      <c r="M12758" t="s">
        <v>530</v>
      </c>
    </row>
    <row r="12759" spans="1:13" x14ac:dyDescent="0.2">
      <c r="A12759" t="s">
        <v>525</v>
      </c>
      <c r="B12759" t="s">
        <v>17</v>
      </c>
      <c r="C12759" t="s">
        <v>11</v>
      </c>
      <c r="D12759">
        <v>9103</v>
      </c>
      <c r="E12759">
        <v>2020</v>
      </c>
      <c r="F12759">
        <v>1</v>
      </c>
      <c r="G12759">
        <v>10064</v>
      </c>
      <c r="H12759" s="1">
        <v>3</v>
      </c>
      <c r="I12759">
        <v>0</v>
      </c>
      <c r="J12759">
        <f>IF($H12759=0,1,IF($I12759&lt;=1,2,0))</f>
        <v>2</v>
      </c>
      <c r="K12759">
        <v>5</v>
      </c>
      <c r="L12759">
        <f>IF(AND($J12759=0,$K12759=0),0,1)</f>
        <v>1</v>
      </c>
      <c r="M12759" t="s">
        <v>530</v>
      </c>
    </row>
    <row r="12760" spans="1:13" x14ac:dyDescent="0.2">
      <c r="A12760" t="s">
        <v>533</v>
      </c>
      <c r="B12760" t="s">
        <v>6</v>
      </c>
      <c r="C12760" t="s">
        <v>11</v>
      </c>
      <c r="D12760">
        <v>4999</v>
      </c>
      <c r="E12760">
        <v>2020</v>
      </c>
      <c r="F12760">
        <v>1</v>
      </c>
      <c r="G12760">
        <v>25019</v>
      </c>
      <c r="H12760" s="1">
        <v>3</v>
      </c>
      <c r="I12760">
        <v>1</v>
      </c>
      <c r="J12760">
        <f>IF($H12760=0,1,IF($I12760&lt;=1,2,0))</f>
        <v>2</v>
      </c>
      <c r="K12760">
        <v>9</v>
      </c>
      <c r="L12760">
        <f>IF(AND($J12760=0,$K12760=0),0,1)</f>
        <v>1</v>
      </c>
    </row>
    <row r="12761" spans="1:13" x14ac:dyDescent="0.2">
      <c r="A12761" t="s">
        <v>538</v>
      </c>
      <c r="B12761" t="s">
        <v>17</v>
      </c>
      <c r="C12761" t="s">
        <v>21</v>
      </c>
      <c r="D12761">
        <v>3309</v>
      </c>
      <c r="E12761">
        <v>2020</v>
      </c>
      <c r="F12761">
        <v>1</v>
      </c>
      <c r="G12761">
        <v>11649</v>
      </c>
      <c r="H12761" s="1">
        <v>3</v>
      </c>
      <c r="I12761">
        <v>1</v>
      </c>
      <c r="J12761">
        <f>IF($H12761=0,1,IF($I12761&lt;=1,2,0))</f>
        <v>2</v>
      </c>
      <c r="K12761">
        <v>0</v>
      </c>
      <c r="L12761">
        <f>IF(AND($J12761=0,$K12761=0),0,1)</f>
        <v>1</v>
      </c>
      <c r="M12761" t="s">
        <v>1137</v>
      </c>
    </row>
    <row r="12762" spans="1:13" x14ac:dyDescent="0.2">
      <c r="A12762" t="s">
        <v>538</v>
      </c>
      <c r="B12762" t="s">
        <v>17</v>
      </c>
      <c r="C12762" t="s">
        <v>21</v>
      </c>
      <c r="D12762">
        <v>3997</v>
      </c>
      <c r="E12762">
        <v>2020</v>
      </c>
      <c r="F12762">
        <v>3</v>
      </c>
      <c r="G12762">
        <v>13837</v>
      </c>
      <c r="H12762" s="1">
        <v>3</v>
      </c>
      <c r="I12762">
        <v>1</v>
      </c>
      <c r="J12762">
        <f>IF($H12762=0,1,IF($I12762&lt;=1,2,0))</f>
        <v>2</v>
      </c>
      <c r="K12762">
        <v>9</v>
      </c>
      <c r="L12762">
        <f>IF(AND($J12762=0,$K12762=0),0,1)</f>
        <v>1</v>
      </c>
    </row>
    <row r="12763" spans="1:13" x14ac:dyDescent="0.2">
      <c r="A12763" t="s">
        <v>538</v>
      </c>
      <c r="B12763" t="s">
        <v>17</v>
      </c>
      <c r="C12763" t="s">
        <v>21</v>
      </c>
      <c r="D12763">
        <v>3997</v>
      </c>
      <c r="E12763">
        <v>2020</v>
      </c>
      <c r="F12763">
        <v>1</v>
      </c>
      <c r="G12763">
        <v>13833</v>
      </c>
      <c r="H12763" s="1">
        <v>3</v>
      </c>
      <c r="I12763">
        <v>0</v>
      </c>
      <c r="J12763">
        <f>IF($H12763=0,1,IF($I12763&lt;=1,2,0))</f>
        <v>2</v>
      </c>
      <c r="K12763">
        <v>9</v>
      </c>
      <c r="L12763">
        <f>IF(AND($J12763=0,$K12763=0),0,1)</f>
        <v>1</v>
      </c>
    </row>
    <row r="12764" spans="1:13" x14ac:dyDescent="0.2">
      <c r="A12764" t="s">
        <v>538</v>
      </c>
      <c r="B12764" t="s">
        <v>17</v>
      </c>
      <c r="C12764" t="s">
        <v>21</v>
      </c>
      <c r="D12764">
        <v>3997</v>
      </c>
      <c r="E12764">
        <v>2020</v>
      </c>
      <c r="F12764">
        <v>2</v>
      </c>
      <c r="G12764">
        <v>13834</v>
      </c>
      <c r="H12764" s="1">
        <v>3</v>
      </c>
      <c r="I12764">
        <v>0</v>
      </c>
      <c r="J12764">
        <f>IF($H12764=0,1,IF($I12764&lt;=1,2,0))</f>
        <v>2</v>
      </c>
      <c r="K12764">
        <v>9</v>
      </c>
      <c r="L12764">
        <f>IF(AND($J12764=0,$K12764=0),0,1)</f>
        <v>1</v>
      </c>
    </row>
    <row r="12765" spans="1:13" x14ac:dyDescent="0.2">
      <c r="A12765" t="s">
        <v>538</v>
      </c>
      <c r="B12765" t="s">
        <v>17</v>
      </c>
      <c r="C12765" t="s">
        <v>21</v>
      </c>
      <c r="D12765">
        <v>3997</v>
      </c>
      <c r="E12765">
        <v>2020</v>
      </c>
      <c r="F12765">
        <v>4</v>
      </c>
      <c r="G12765">
        <v>13835</v>
      </c>
      <c r="H12765" s="1">
        <v>3</v>
      </c>
      <c r="I12765">
        <v>0</v>
      </c>
      <c r="J12765">
        <f>IF($H12765=0,1,IF($I12765&lt;=1,2,0))</f>
        <v>2</v>
      </c>
      <c r="K12765">
        <v>9</v>
      </c>
      <c r="L12765">
        <f>IF(AND($J12765=0,$K12765=0),0,1)</f>
        <v>1</v>
      </c>
    </row>
    <row r="12766" spans="1:13" x14ac:dyDescent="0.2">
      <c r="A12766" t="s">
        <v>538</v>
      </c>
      <c r="B12766" t="s">
        <v>17</v>
      </c>
      <c r="C12766" t="s">
        <v>21</v>
      </c>
      <c r="D12766">
        <v>3997</v>
      </c>
      <c r="E12766">
        <v>2020</v>
      </c>
      <c r="F12766">
        <v>5</v>
      </c>
      <c r="G12766">
        <v>13836</v>
      </c>
      <c r="H12766" s="1">
        <v>3</v>
      </c>
      <c r="I12766">
        <v>0</v>
      </c>
      <c r="J12766">
        <f>IF($H12766=0,1,IF($I12766&lt;=1,2,0))</f>
        <v>2</v>
      </c>
      <c r="K12766">
        <v>9</v>
      </c>
      <c r="L12766">
        <f>IF(AND($J12766=0,$K12766=0),0,1)</f>
        <v>1</v>
      </c>
    </row>
    <row r="12767" spans="1:13" x14ac:dyDescent="0.2">
      <c r="A12767" t="s">
        <v>538</v>
      </c>
      <c r="B12767" t="s">
        <v>17</v>
      </c>
      <c r="C12767" t="s">
        <v>21</v>
      </c>
      <c r="D12767">
        <v>3998</v>
      </c>
      <c r="E12767">
        <v>2020</v>
      </c>
      <c r="F12767">
        <v>20</v>
      </c>
      <c r="G12767">
        <v>822</v>
      </c>
      <c r="H12767" s="1">
        <v>3</v>
      </c>
      <c r="I12767">
        <v>1</v>
      </c>
      <c r="J12767">
        <f>IF($H12767=0,1,IF($I12767&lt;=1,2,0))</f>
        <v>2</v>
      </c>
      <c r="K12767">
        <v>9</v>
      </c>
      <c r="L12767">
        <f>IF(AND($J12767=0,$K12767=0),0,1)</f>
        <v>1</v>
      </c>
    </row>
    <row r="12768" spans="1:13" x14ac:dyDescent="0.2">
      <c r="A12768" t="s">
        <v>538</v>
      </c>
      <c r="B12768" t="s">
        <v>17</v>
      </c>
      <c r="C12768" t="s">
        <v>21</v>
      </c>
      <c r="D12768">
        <v>3998</v>
      </c>
      <c r="E12768">
        <v>2020</v>
      </c>
      <c r="F12768">
        <v>1</v>
      </c>
      <c r="G12768">
        <v>13838</v>
      </c>
      <c r="H12768" s="1">
        <v>3</v>
      </c>
      <c r="I12768">
        <v>0</v>
      </c>
      <c r="J12768">
        <f>IF($H12768=0,1,IF($I12768&lt;=1,2,0))</f>
        <v>2</v>
      </c>
      <c r="K12768">
        <v>9</v>
      </c>
      <c r="L12768">
        <f>IF(AND($J12768=0,$K12768=0),0,1)</f>
        <v>1</v>
      </c>
    </row>
    <row r="12769" spans="1:13" x14ac:dyDescent="0.2">
      <c r="A12769" t="s">
        <v>538</v>
      </c>
      <c r="B12769" t="s">
        <v>17</v>
      </c>
      <c r="C12769" t="s">
        <v>21</v>
      </c>
      <c r="D12769">
        <v>3998</v>
      </c>
      <c r="E12769">
        <v>2020</v>
      </c>
      <c r="F12769">
        <v>2</v>
      </c>
      <c r="G12769">
        <v>13839</v>
      </c>
      <c r="H12769" s="1">
        <v>3</v>
      </c>
      <c r="I12769">
        <v>0</v>
      </c>
      <c r="J12769">
        <f>IF($H12769=0,1,IF($I12769&lt;=1,2,0))</f>
        <v>2</v>
      </c>
      <c r="K12769">
        <v>9</v>
      </c>
      <c r="L12769">
        <f>IF(AND($J12769=0,$K12769=0),0,1)</f>
        <v>1</v>
      </c>
    </row>
    <row r="12770" spans="1:13" x14ac:dyDescent="0.2">
      <c r="A12770" t="s">
        <v>538</v>
      </c>
      <c r="B12770" t="s">
        <v>17</v>
      </c>
      <c r="C12770" t="s">
        <v>21</v>
      </c>
      <c r="D12770">
        <v>3998</v>
      </c>
      <c r="E12770">
        <v>2020</v>
      </c>
      <c r="F12770">
        <v>3</v>
      </c>
      <c r="G12770">
        <v>13842</v>
      </c>
      <c r="H12770" s="1">
        <v>3</v>
      </c>
      <c r="I12770">
        <v>0</v>
      </c>
      <c r="J12770">
        <f>IF($H12770=0,1,IF($I12770&lt;=1,2,0))</f>
        <v>2</v>
      </c>
      <c r="K12770">
        <v>9</v>
      </c>
      <c r="L12770">
        <f>IF(AND($J12770=0,$K12770=0),0,1)</f>
        <v>1</v>
      </c>
    </row>
    <row r="12771" spans="1:13" x14ac:dyDescent="0.2">
      <c r="A12771" t="s">
        <v>538</v>
      </c>
      <c r="B12771" t="s">
        <v>17</v>
      </c>
      <c r="C12771" t="s">
        <v>21</v>
      </c>
      <c r="D12771">
        <v>3998</v>
      </c>
      <c r="E12771">
        <v>2020</v>
      </c>
      <c r="F12771">
        <v>4</v>
      </c>
      <c r="G12771">
        <v>13840</v>
      </c>
      <c r="H12771" s="1">
        <v>3</v>
      </c>
      <c r="I12771">
        <v>0</v>
      </c>
      <c r="J12771">
        <f>IF($H12771=0,1,IF($I12771&lt;=1,2,0))</f>
        <v>2</v>
      </c>
      <c r="K12771">
        <v>9</v>
      </c>
      <c r="L12771">
        <f>IF(AND($J12771=0,$K12771=0),0,1)</f>
        <v>1</v>
      </c>
    </row>
    <row r="12772" spans="1:13" x14ac:dyDescent="0.2">
      <c r="A12772" t="s">
        <v>538</v>
      </c>
      <c r="B12772" t="s">
        <v>17</v>
      </c>
      <c r="C12772" t="s">
        <v>21</v>
      </c>
      <c r="D12772">
        <v>3998</v>
      </c>
      <c r="E12772">
        <v>2020</v>
      </c>
      <c r="F12772">
        <v>5</v>
      </c>
      <c r="G12772">
        <v>13841</v>
      </c>
      <c r="H12772" s="1">
        <v>3</v>
      </c>
      <c r="I12772">
        <v>0</v>
      </c>
      <c r="J12772">
        <f>IF($H12772=0,1,IF($I12772&lt;=1,2,0))</f>
        <v>2</v>
      </c>
      <c r="K12772">
        <v>9</v>
      </c>
      <c r="L12772">
        <f>IF(AND($J12772=0,$K12772=0),0,1)</f>
        <v>1</v>
      </c>
    </row>
    <row r="12773" spans="1:13" x14ac:dyDescent="0.2">
      <c r="A12773" t="s">
        <v>544</v>
      </c>
      <c r="B12773" t="s">
        <v>6</v>
      </c>
      <c r="C12773" t="s">
        <v>183</v>
      </c>
      <c r="D12773">
        <v>100</v>
      </c>
      <c r="E12773">
        <v>2020</v>
      </c>
      <c r="F12773" t="s">
        <v>87</v>
      </c>
      <c r="G12773">
        <v>22330</v>
      </c>
      <c r="H12773" s="1">
        <v>0</v>
      </c>
      <c r="I12773">
        <v>8</v>
      </c>
      <c r="J12773">
        <f>IF($H12773=0,1,IF($I12773&lt;=1,2,0))</f>
        <v>1</v>
      </c>
      <c r="K12773">
        <v>6</v>
      </c>
      <c r="L12773">
        <f>IF(AND($J12773=0,$K12773=0),0,1)</f>
        <v>1</v>
      </c>
    </row>
    <row r="12774" spans="1:13" x14ac:dyDescent="0.2">
      <c r="A12774" t="s">
        <v>545</v>
      </c>
      <c r="B12774" t="s">
        <v>133</v>
      </c>
      <c r="C12774" t="s">
        <v>21</v>
      </c>
      <c r="D12774">
        <v>3901</v>
      </c>
      <c r="E12774">
        <v>2020</v>
      </c>
      <c r="F12774">
        <v>6</v>
      </c>
      <c r="G12774">
        <v>24915</v>
      </c>
      <c r="H12774" s="1" t="s">
        <v>1827</v>
      </c>
      <c r="I12774">
        <v>3</v>
      </c>
      <c r="J12774">
        <f>IF($H12774=0,1,IF($I12774&lt;=1,2,0))</f>
        <v>0</v>
      </c>
      <c r="K12774">
        <v>9</v>
      </c>
      <c r="L12774">
        <f>IF(AND($J12774=0,$K12774=0),0,1)</f>
        <v>1</v>
      </c>
    </row>
    <row r="12775" spans="1:13" x14ac:dyDescent="0.2">
      <c r="A12775" t="s">
        <v>545</v>
      </c>
      <c r="B12775" t="s">
        <v>133</v>
      </c>
      <c r="C12775" t="s">
        <v>21</v>
      </c>
      <c r="D12775">
        <v>3901</v>
      </c>
      <c r="E12775">
        <v>2020</v>
      </c>
      <c r="F12775">
        <v>2</v>
      </c>
      <c r="G12775">
        <v>24556</v>
      </c>
      <c r="H12775" s="1" t="s">
        <v>1827</v>
      </c>
      <c r="I12775">
        <v>2</v>
      </c>
      <c r="J12775">
        <f>IF($H12775=0,1,IF($I12775&lt;=1,2,0))</f>
        <v>0</v>
      </c>
      <c r="K12775">
        <v>9</v>
      </c>
      <c r="L12775">
        <f>IF(AND($J12775=0,$K12775=0),0,1)</f>
        <v>1</v>
      </c>
    </row>
    <row r="12776" spans="1:13" x14ac:dyDescent="0.2">
      <c r="A12776" t="s">
        <v>545</v>
      </c>
      <c r="B12776" t="s">
        <v>133</v>
      </c>
      <c r="C12776" t="s">
        <v>21</v>
      </c>
      <c r="D12776">
        <v>3901</v>
      </c>
      <c r="E12776">
        <v>2020</v>
      </c>
      <c r="F12776">
        <v>7</v>
      </c>
      <c r="G12776">
        <v>25035</v>
      </c>
      <c r="H12776" s="1" t="s">
        <v>1827</v>
      </c>
      <c r="I12776">
        <v>2</v>
      </c>
      <c r="J12776">
        <f>IF($H12776=0,1,IF($I12776&lt;=1,2,0))</f>
        <v>0</v>
      </c>
      <c r="K12776">
        <v>9</v>
      </c>
      <c r="L12776">
        <f>IF(AND($J12776=0,$K12776=0),0,1)</f>
        <v>1</v>
      </c>
    </row>
    <row r="12777" spans="1:13" x14ac:dyDescent="0.2">
      <c r="A12777" t="s">
        <v>545</v>
      </c>
      <c r="B12777" t="s">
        <v>133</v>
      </c>
      <c r="C12777" t="s">
        <v>21</v>
      </c>
      <c r="D12777">
        <v>3901</v>
      </c>
      <c r="E12777">
        <v>2020</v>
      </c>
      <c r="F12777">
        <v>1</v>
      </c>
      <c r="G12777">
        <v>24553</v>
      </c>
      <c r="H12777" s="1" t="s">
        <v>1827</v>
      </c>
      <c r="I12777">
        <v>1</v>
      </c>
      <c r="J12777">
        <f>IF($H12777=0,1,IF($I12777&lt;=1,2,0))</f>
        <v>2</v>
      </c>
      <c r="K12777">
        <v>9</v>
      </c>
      <c r="L12777">
        <f>IF(AND($J12777=0,$K12777=0),0,1)</f>
        <v>1</v>
      </c>
    </row>
    <row r="12778" spans="1:13" x14ac:dyDescent="0.2">
      <c r="A12778" t="s">
        <v>545</v>
      </c>
      <c r="B12778" t="s">
        <v>133</v>
      </c>
      <c r="C12778" t="s">
        <v>21</v>
      </c>
      <c r="D12778">
        <v>3901</v>
      </c>
      <c r="E12778">
        <v>2020</v>
      </c>
      <c r="F12778">
        <v>3</v>
      </c>
      <c r="G12778">
        <v>24704</v>
      </c>
      <c r="H12778" s="1" t="s">
        <v>1827</v>
      </c>
      <c r="I12778">
        <v>1</v>
      </c>
      <c r="J12778">
        <f>IF($H12778=0,1,IF($I12778&lt;=1,2,0))</f>
        <v>2</v>
      </c>
      <c r="K12778">
        <v>9</v>
      </c>
      <c r="L12778">
        <f>IF(AND($J12778=0,$K12778=0),0,1)</f>
        <v>1</v>
      </c>
    </row>
    <row r="12779" spans="1:13" x14ac:dyDescent="0.2">
      <c r="A12779" t="s">
        <v>545</v>
      </c>
      <c r="B12779" t="s">
        <v>133</v>
      </c>
      <c r="C12779" t="s">
        <v>21</v>
      </c>
      <c r="D12779">
        <v>3901</v>
      </c>
      <c r="E12779">
        <v>2020</v>
      </c>
      <c r="F12779">
        <v>4</v>
      </c>
      <c r="G12779">
        <v>24705</v>
      </c>
      <c r="H12779" s="1" t="s">
        <v>1827</v>
      </c>
      <c r="I12779">
        <v>1</v>
      </c>
      <c r="J12779">
        <f>IF($H12779=0,1,IF($I12779&lt;=1,2,0))</f>
        <v>2</v>
      </c>
      <c r="K12779">
        <v>9</v>
      </c>
      <c r="L12779">
        <f>IF(AND($J12779=0,$K12779=0),0,1)</f>
        <v>1</v>
      </c>
    </row>
    <row r="12780" spans="1:13" x14ac:dyDescent="0.2">
      <c r="A12780" t="s">
        <v>545</v>
      </c>
      <c r="B12780" t="s">
        <v>133</v>
      </c>
      <c r="C12780" t="s">
        <v>21</v>
      </c>
      <c r="D12780">
        <v>3901</v>
      </c>
      <c r="E12780">
        <v>2020</v>
      </c>
      <c r="F12780">
        <v>5</v>
      </c>
      <c r="G12780">
        <v>24834</v>
      </c>
      <c r="H12780" s="1" t="s">
        <v>1827</v>
      </c>
      <c r="I12780">
        <v>1</v>
      </c>
      <c r="J12780">
        <f>IF($H12780=0,1,IF($I12780&lt;=1,2,0))</f>
        <v>2</v>
      </c>
      <c r="K12780">
        <v>9</v>
      </c>
      <c r="L12780">
        <f>IF(AND($J12780=0,$K12780=0),0,1)</f>
        <v>1</v>
      </c>
    </row>
    <row r="12781" spans="1:13" x14ac:dyDescent="0.2">
      <c r="A12781" t="s">
        <v>545</v>
      </c>
      <c r="B12781" t="s">
        <v>133</v>
      </c>
      <c r="C12781" t="s">
        <v>21</v>
      </c>
      <c r="D12781">
        <v>3997</v>
      </c>
      <c r="E12781">
        <v>2020</v>
      </c>
      <c r="F12781">
        <v>1</v>
      </c>
      <c r="G12781">
        <v>976</v>
      </c>
      <c r="H12781" s="1" t="s">
        <v>1827</v>
      </c>
      <c r="I12781">
        <v>1</v>
      </c>
      <c r="J12781">
        <f>IF($H12781=0,1,IF($I12781&lt;=1,2,0))</f>
        <v>2</v>
      </c>
      <c r="K12781">
        <v>9</v>
      </c>
      <c r="L12781">
        <f>IF(AND($J12781=0,$K12781=0),0,1)</f>
        <v>1</v>
      </c>
    </row>
    <row r="12782" spans="1:13" x14ac:dyDescent="0.2">
      <c r="A12782" t="s">
        <v>545</v>
      </c>
      <c r="B12782" t="s">
        <v>133</v>
      </c>
      <c r="C12782" t="s">
        <v>21</v>
      </c>
      <c r="D12782">
        <v>3999</v>
      </c>
      <c r="E12782">
        <v>2020</v>
      </c>
      <c r="F12782">
        <v>1</v>
      </c>
      <c r="G12782">
        <v>25016</v>
      </c>
      <c r="H12782" s="1">
        <v>4</v>
      </c>
      <c r="I12782">
        <v>1</v>
      </c>
      <c r="J12782">
        <f>IF($H12782=0,1,IF($I12782&lt;=1,2,0))</f>
        <v>2</v>
      </c>
      <c r="K12782">
        <v>9</v>
      </c>
      <c r="L12782">
        <f>IF(AND($J12782=0,$K12782=0),0,1)</f>
        <v>1</v>
      </c>
    </row>
    <row r="12783" spans="1:13" x14ac:dyDescent="0.2">
      <c r="A12783" t="s">
        <v>545</v>
      </c>
      <c r="B12783" t="s">
        <v>133</v>
      </c>
      <c r="C12783" t="s">
        <v>11</v>
      </c>
      <c r="D12783">
        <v>5300</v>
      </c>
      <c r="E12783">
        <v>2020</v>
      </c>
      <c r="F12783">
        <v>1</v>
      </c>
      <c r="G12783">
        <v>12054</v>
      </c>
      <c r="H12783" s="1">
        <v>3</v>
      </c>
      <c r="I12783">
        <v>19</v>
      </c>
      <c r="J12783">
        <f>IF($H12783=0,1,IF($I12783&lt;=1,2,0))</f>
        <v>0</v>
      </c>
      <c r="K12783">
        <v>4</v>
      </c>
      <c r="L12783">
        <f>IF(AND($J12783=0,$K12783=0),0,1)</f>
        <v>1</v>
      </c>
      <c r="M12783" t="s">
        <v>1139</v>
      </c>
    </row>
    <row r="12784" spans="1:13" x14ac:dyDescent="0.2">
      <c r="A12784" t="s">
        <v>545</v>
      </c>
      <c r="B12784" t="s">
        <v>133</v>
      </c>
      <c r="C12784" t="s">
        <v>11</v>
      </c>
      <c r="D12784">
        <v>5320</v>
      </c>
      <c r="E12784">
        <v>2020</v>
      </c>
      <c r="F12784">
        <v>1</v>
      </c>
      <c r="G12784">
        <v>12055</v>
      </c>
      <c r="H12784" s="1">
        <v>3</v>
      </c>
      <c r="I12784">
        <v>37</v>
      </c>
      <c r="J12784">
        <f>IF($H12784=0,1,IF($I12784&lt;=1,2,0))</f>
        <v>0</v>
      </c>
      <c r="K12784">
        <v>4</v>
      </c>
      <c r="L12784">
        <f>IF(AND($J12784=0,$K12784=0),0,1)</f>
        <v>1</v>
      </c>
      <c r="M12784" t="s">
        <v>1138</v>
      </c>
    </row>
    <row r="12785" spans="1:13" x14ac:dyDescent="0.2">
      <c r="A12785" t="s">
        <v>545</v>
      </c>
      <c r="B12785" t="s">
        <v>133</v>
      </c>
      <c r="C12785" t="s">
        <v>11</v>
      </c>
      <c r="D12785">
        <v>5510</v>
      </c>
      <c r="E12785">
        <v>2020</v>
      </c>
      <c r="F12785">
        <v>1</v>
      </c>
      <c r="G12785">
        <v>12058</v>
      </c>
      <c r="H12785" s="1" t="s">
        <v>1827</v>
      </c>
      <c r="I12785">
        <v>9</v>
      </c>
      <c r="J12785">
        <f>IF($H12785=0,1,IF($I12785&lt;=1,2,0))</f>
        <v>0</v>
      </c>
      <c r="K12785">
        <v>4</v>
      </c>
      <c r="L12785">
        <f>IF(AND($J12785=0,$K12785=0),0,1)</f>
        <v>1</v>
      </c>
      <c r="M12785" t="s">
        <v>550</v>
      </c>
    </row>
    <row r="12786" spans="1:13" x14ac:dyDescent="0.2">
      <c r="A12786" t="s">
        <v>545</v>
      </c>
      <c r="B12786" t="s">
        <v>133</v>
      </c>
      <c r="C12786" t="s">
        <v>11</v>
      </c>
      <c r="D12786">
        <v>9903</v>
      </c>
      <c r="E12786">
        <v>2020</v>
      </c>
      <c r="F12786">
        <v>1</v>
      </c>
      <c r="G12786">
        <v>24732</v>
      </c>
      <c r="H12786" s="1">
        <v>3</v>
      </c>
      <c r="I12786">
        <v>2</v>
      </c>
      <c r="J12786">
        <f>IF($H12786=0,1,IF($I12786&lt;=1,2,0))</f>
        <v>0</v>
      </c>
      <c r="K12786">
        <v>5</v>
      </c>
      <c r="L12786">
        <f>IF(AND($J12786=0,$K12786=0),0,1)</f>
        <v>1</v>
      </c>
      <c r="M12786" t="s">
        <v>471</v>
      </c>
    </row>
    <row r="12787" spans="1:13" x14ac:dyDescent="0.2">
      <c r="A12787" t="s">
        <v>552</v>
      </c>
      <c r="B12787" t="s">
        <v>17</v>
      </c>
      <c r="C12787" t="s">
        <v>9</v>
      </c>
      <c r="D12787">
        <v>1309</v>
      </c>
      <c r="E12787">
        <v>2020</v>
      </c>
      <c r="F12787">
        <v>1</v>
      </c>
      <c r="G12787">
        <v>10761</v>
      </c>
      <c r="H12787" s="1">
        <v>4</v>
      </c>
      <c r="I12787">
        <v>1</v>
      </c>
      <c r="J12787">
        <f>IF($H12787=0,1,IF($I12787&lt;=1,2,0))</f>
        <v>2</v>
      </c>
      <c r="K12787">
        <v>0</v>
      </c>
      <c r="L12787">
        <f>IF(AND($J12787=0,$K12787=0),0,1)</f>
        <v>1</v>
      </c>
    </row>
    <row r="12788" spans="1:13" x14ac:dyDescent="0.2">
      <c r="A12788" t="s">
        <v>552</v>
      </c>
      <c r="B12788" t="s">
        <v>17</v>
      </c>
      <c r="C12788" t="s">
        <v>9</v>
      </c>
      <c r="D12788">
        <v>2301</v>
      </c>
      <c r="E12788">
        <v>2020</v>
      </c>
      <c r="F12788">
        <v>1</v>
      </c>
      <c r="G12788">
        <v>15319</v>
      </c>
      <c r="H12788" s="1">
        <v>4</v>
      </c>
      <c r="I12788">
        <v>0</v>
      </c>
      <c r="J12788">
        <f>IF($H12788=0,1,IF($I12788&lt;=1,2,0))</f>
        <v>2</v>
      </c>
      <c r="K12788">
        <v>0</v>
      </c>
      <c r="L12788">
        <f>IF(AND($J12788=0,$K12788=0),0,1)</f>
        <v>1</v>
      </c>
    </row>
    <row r="12789" spans="1:13" x14ac:dyDescent="0.2">
      <c r="A12789" t="s">
        <v>552</v>
      </c>
      <c r="B12789" t="s">
        <v>17</v>
      </c>
      <c r="C12789" t="s">
        <v>11</v>
      </c>
      <c r="D12789">
        <v>8008</v>
      </c>
      <c r="E12789">
        <v>2020</v>
      </c>
      <c r="F12789">
        <v>1</v>
      </c>
      <c r="G12789">
        <v>13110</v>
      </c>
      <c r="H12789" s="1">
        <v>0</v>
      </c>
      <c r="I12789">
        <v>17</v>
      </c>
      <c r="J12789">
        <f>IF($H12789=0,1,IF($I12789&lt;=1,2,0))</f>
        <v>1</v>
      </c>
      <c r="K12789">
        <v>0</v>
      </c>
      <c r="L12789">
        <f>IF(AND($J12789=0,$K12789=0),0,1)</f>
        <v>1</v>
      </c>
    </row>
    <row r="12790" spans="1:13" x14ac:dyDescent="0.2">
      <c r="A12790" t="s">
        <v>556</v>
      </c>
      <c r="B12790" t="s">
        <v>71</v>
      </c>
      <c r="C12790" t="s">
        <v>72</v>
      </c>
      <c r="D12790">
        <v>1008</v>
      </c>
      <c r="E12790">
        <v>2020</v>
      </c>
      <c r="F12790">
        <v>4</v>
      </c>
      <c r="G12790">
        <v>10239</v>
      </c>
      <c r="H12790" s="1">
        <v>1</v>
      </c>
      <c r="I12790">
        <v>1</v>
      </c>
      <c r="J12790">
        <f>IF($H12790=0,1,IF($I12790&lt;=1,2,0))</f>
        <v>2</v>
      </c>
      <c r="K12790">
        <v>0</v>
      </c>
      <c r="L12790">
        <f>IF(AND($J12790=0,$K12790=0),0,1)</f>
        <v>1</v>
      </c>
      <c r="M12790" t="s">
        <v>558</v>
      </c>
    </row>
    <row r="12791" spans="1:13" x14ac:dyDescent="0.2">
      <c r="A12791" t="s">
        <v>556</v>
      </c>
      <c r="B12791" t="s">
        <v>71</v>
      </c>
      <c r="C12791" t="s">
        <v>72</v>
      </c>
      <c r="D12791">
        <v>1008</v>
      </c>
      <c r="E12791">
        <v>2020</v>
      </c>
      <c r="F12791">
        <v>6</v>
      </c>
      <c r="G12791">
        <v>10241</v>
      </c>
      <c r="H12791" s="1">
        <v>1</v>
      </c>
      <c r="I12791">
        <v>0</v>
      </c>
      <c r="J12791">
        <f>IF($H12791=0,1,IF($I12791&lt;=1,2,0))</f>
        <v>2</v>
      </c>
      <c r="K12791">
        <v>0</v>
      </c>
      <c r="L12791">
        <f>IF(AND($J12791=0,$K12791=0),0,1)</f>
        <v>1</v>
      </c>
      <c r="M12791" t="s">
        <v>558</v>
      </c>
    </row>
    <row r="12792" spans="1:13" x14ac:dyDescent="0.2">
      <c r="A12792" t="s">
        <v>556</v>
      </c>
      <c r="B12792" t="s">
        <v>71</v>
      </c>
      <c r="C12792" t="s">
        <v>72</v>
      </c>
      <c r="D12792">
        <v>3100</v>
      </c>
      <c r="E12792">
        <v>2020</v>
      </c>
      <c r="F12792" t="s">
        <v>59</v>
      </c>
      <c r="G12792">
        <v>21403</v>
      </c>
      <c r="H12792" s="1">
        <v>0</v>
      </c>
      <c r="I12792">
        <v>52</v>
      </c>
      <c r="J12792">
        <f>IF($H12792=0,1,IF($I12792&lt;=1,2,0))</f>
        <v>1</v>
      </c>
      <c r="K12792">
        <v>0</v>
      </c>
      <c r="L12792">
        <f>IF(AND($J12792=0,$K12792=0),0,1)</f>
        <v>1</v>
      </c>
    </row>
    <row r="12793" spans="1:13" x14ac:dyDescent="0.2">
      <c r="A12793" t="s">
        <v>556</v>
      </c>
      <c r="B12793" t="s">
        <v>71</v>
      </c>
      <c r="C12793" t="s">
        <v>72</v>
      </c>
      <c r="D12793">
        <v>3301</v>
      </c>
      <c r="E12793">
        <v>2020</v>
      </c>
      <c r="F12793" t="s">
        <v>59</v>
      </c>
      <c r="G12793">
        <v>22399</v>
      </c>
      <c r="H12793" s="1">
        <v>0</v>
      </c>
      <c r="I12793">
        <v>1</v>
      </c>
      <c r="J12793">
        <f>IF($H12793=0,1,IF($I12793&lt;=1,2,0))</f>
        <v>1</v>
      </c>
      <c r="K12793">
        <v>0</v>
      </c>
      <c r="L12793">
        <f>IF(AND($J12793=0,$K12793=0),0,1)</f>
        <v>1</v>
      </c>
    </row>
    <row r="12794" spans="1:13" x14ac:dyDescent="0.2">
      <c r="A12794" t="s">
        <v>556</v>
      </c>
      <c r="B12794" t="s">
        <v>71</v>
      </c>
      <c r="C12794" t="s">
        <v>72</v>
      </c>
      <c r="D12794">
        <v>3900</v>
      </c>
      <c r="E12794">
        <v>2020</v>
      </c>
      <c r="F12794">
        <v>16</v>
      </c>
      <c r="G12794">
        <v>10302</v>
      </c>
      <c r="H12794" s="1" t="s">
        <v>1827</v>
      </c>
      <c r="I12794">
        <v>2</v>
      </c>
      <c r="J12794">
        <f>IF($H12794=0,1,IF($I12794&lt;=1,2,0))</f>
        <v>0</v>
      </c>
      <c r="K12794">
        <v>9</v>
      </c>
      <c r="L12794">
        <f>IF(AND($J12794=0,$K12794=0),0,1)</f>
        <v>1</v>
      </c>
    </row>
    <row r="12795" spans="1:13" x14ac:dyDescent="0.2">
      <c r="A12795" t="s">
        <v>556</v>
      </c>
      <c r="B12795" t="s">
        <v>71</v>
      </c>
      <c r="C12795" t="s">
        <v>72</v>
      </c>
      <c r="D12795">
        <v>3900</v>
      </c>
      <c r="E12795">
        <v>2020</v>
      </c>
      <c r="F12795">
        <v>13</v>
      </c>
      <c r="G12795">
        <v>10299</v>
      </c>
      <c r="H12795" s="1" t="s">
        <v>1827</v>
      </c>
      <c r="I12795">
        <v>1</v>
      </c>
      <c r="J12795">
        <f>IF($H12795=0,1,IF($I12795&lt;=1,2,0))</f>
        <v>2</v>
      </c>
      <c r="K12795">
        <v>9</v>
      </c>
      <c r="L12795">
        <f>IF(AND($J12795=0,$K12795=0),0,1)</f>
        <v>1</v>
      </c>
    </row>
    <row r="12796" spans="1:13" x14ac:dyDescent="0.2">
      <c r="A12796" t="s">
        <v>556</v>
      </c>
      <c r="B12796" t="s">
        <v>71</v>
      </c>
      <c r="C12796" t="s">
        <v>72</v>
      </c>
      <c r="D12796">
        <v>3900</v>
      </c>
      <c r="E12796">
        <v>2020</v>
      </c>
      <c r="F12796">
        <v>1</v>
      </c>
      <c r="G12796">
        <v>10286</v>
      </c>
      <c r="H12796" s="1" t="s">
        <v>1827</v>
      </c>
      <c r="I12796">
        <v>0</v>
      </c>
      <c r="J12796">
        <f>IF($H12796=0,1,IF($I12796&lt;=1,2,0))</f>
        <v>2</v>
      </c>
      <c r="K12796">
        <v>9</v>
      </c>
      <c r="L12796">
        <f>IF(AND($J12796=0,$K12796=0),0,1)</f>
        <v>1</v>
      </c>
    </row>
    <row r="12797" spans="1:13" x14ac:dyDescent="0.2">
      <c r="A12797" t="s">
        <v>556</v>
      </c>
      <c r="B12797" t="s">
        <v>71</v>
      </c>
      <c r="C12797" t="s">
        <v>72</v>
      </c>
      <c r="D12797">
        <v>3900</v>
      </c>
      <c r="E12797">
        <v>2020</v>
      </c>
      <c r="F12797">
        <v>2</v>
      </c>
      <c r="G12797">
        <v>10287</v>
      </c>
      <c r="H12797" s="1" t="s">
        <v>1827</v>
      </c>
      <c r="I12797">
        <v>0</v>
      </c>
      <c r="J12797">
        <f>IF($H12797=0,1,IF($I12797&lt;=1,2,0))</f>
        <v>2</v>
      </c>
      <c r="K12797">
        <v>9</v>
      </c>
      <c r="L12797">
        <f>IF(AND($J12797=0,$K12797=0),0,1)</f>
        <v>1</v>
      </c>
    </row>
    <row r="12798" spans="1:13" x14ac:dyDescent="0.2">
      <c r="A12798" t="s">
        <v>556</v>
      </c>
      <c r="B12798" t="s">
        <v>71</v>
      </c>
      <c r="C12798" t="s">
        <v>72</v>
      </c>
      <c r="D12798">
        <v>3900</v>
      </c>
      <c r="E12798">
        <v>2020</v>
      </c>
      <c r="F12798">
        <v>3</v>
      </c>
      <c r="G12798">
        <v>10288</v>
      </c>
      <c r="H12798" s="1" t="s">
        <v>1827</v>
      </c>
      <c r="I12798">
        <v>0</v>
      </c>
      <c r="J12798">
        <f>IF($H12798=0,1,IF($I12798&lt;=1,2,0))</f>
        <v>2</v>
      </c>
      <c r="K12798">
        <v>9</v>
      </c>
      <c r="L12798">
        <f>IF(AND($J12798=0,$K12798=0),0,1)</f>
        <v>1</v>
      </c>
    </row>
    <row r="12799" spans="1:13" x14ac:dyDescent="0.2">
      <c r="A12799" t="s">
        <v>556</v>
      </c>
      <c r="B12799" t="s">
        <v>71</v>
      </c>
      <c r="C12799" t="s">
        <v>72</v>
      </c>
      <c r="D12799">
        <v>3900</v>
      </c>
      <c r="E12799">
        <v>2020</v>
      </c>
      <c r="F12799">
        <v>4</v>
      </c>
      <c r="G12799">
        <v>10290</v>
      </c>
      <c r="H12799" s="1" t="s">
        <v>1827</v>
      </c>
      <c r="I12799">
        <v>0</v>
      </c>
      <c r="J12799">
        <f>IF($H12799=0,1,IF($I12799&lt;=1,2,0))</f>
        <v>2</v>
      </c>
      <c r="K12799">
        <v>9</v>
      </c>
      <c r="L12799">
        <f>IF(AND($J12799=0,$K12799=0),0,1)</f>
        <v>1</v>
      </c>
    </row>
    <row r="12800" spans="1:13" x14ac:dyDescent="0.2">
      <c r="A12800" t="s">
        <v>556</v>
      </c>
      <c r="B12800" t="s">
        <v>71</v>
      </c>
      <c r="C12800" t="s">
        <v>72</v>
      </c>
      <c r="D12800">
        <v>3900</v>
      </c>
      <c r="E12800">
        <v>2020</v>
      </c>
      <c r="F12800">
        <v>5</v>
      </c>
      <c r="G12800">
        <v>10291</v>
      </c>
      <c r="H12800" s="1" t="s">
        <v>1827</v>
      </c>
      <c r="I12800">
        <v>0</v>
      </c>
      <c r="J12800">
        <f>IF($H12800=0,1,IF($I12800&lt;=1,2,0))</f>
        <v>2</v>
      </c>
      <c r="K12800">
        <v>9</v>
      </c>
      <c r="L12800">
        <f>IF(AND($J12800=0,$K12800=0),0,1)</f>
        <v>1</v>
      </c>
    </row>
    <row r="12801" spans="1:12" x14ac:dyDescent="0.2">
      <c r="A12801" t="s">
        <v>556</v>
      </c>
      <c r="B12801" t="s">
        <v>71</v>
      </c>
      <c r="C12801" t="s">
        <v>72</v>
      </c>
      <c r="D12801">
        <v>3900</v>
      </c>
      <c r="E12801">
        <v>2020</v>
      </c>
      <c r="F12801">
        <v>6</v>
      </c>
      <c r="G12801">
        <v>10292</v>
      </c>
      <c r="H12801" s="1" t="s">
        <v>1827</v>
      </c>
      <c r="I12801">
        <v>0</v>
      </c>
      <c r="J12801">
        <f>IF($H12801=0,1,IF($I12801&lt;=1,2,0))</f>
        <v>2</v>
      </c>
      <c r="K12801">
        <v>9</v>
      </c>
      <c r="L12801">
        <f>IF(AND($J12801=0,$K12801=0),0,1)</f>
        <v>1</v>
      </c>
    </row>
    <row r="12802" spans="1:12" x14ac:dyDescent="0.2">
      <c r="A12802" t="s">
        <v>556</v>
      </c>
      <c r="B12802" t="s">
        <v>71</v>
      </c>
      <c r="C12802" t="s">
        <v>72</v>
      </c>
      <c r="D12802">
        <v>3900</v>
      </c>
      <c r="E12802">
        <v>2020</v>
      </c>
      <c r="F12802">
        <v>7</v>
      </c>
      <c r="G12802">
        <v>10293</v>
      </c>
      <c r="H12802" s="1" t="s">
        <v>1827</v>
      </c>
      <c r="I12802">
        <v>0</v>
      </c>
      <c r="J12802">
        <f>IF($H12802=0,1,IF($I12802&lt;=1,2,0))</f>
        <v>2</v>
      </c>
      <c r="K12802">
        <v>9</v>
      </c>
      <c r="L12802">
        <f>IF(AND($J12802=0,$K12802=0),0,1)</f>
        <v>1</v>
      </c>
    </row>
    <row r="12803" spans="1:12" x14ac:dyDescent="0.2">
      <c r="A12803" t="s">
        <v>556</v>
      </c>
      <c r="B12803" t="s">
        <v>71</v>
      </c>
      <c r="C12803" t="s">
        <v>72</v>
      </c>
      <c r="D12803">
        <v>3900</v>
      </c>
      <c r="E12803">
        <v>2020</v>
      </c>
      <c r="F12803">
        <v>8</v>
      </c>
      <c r="G12803">
        <v>10294</v>
      </c>
      <c r="H12803" s="1" t="s">
        <v>1827</v>
      </c>
      <c r="I12803">
        <v>0</v>
      </c>
      <c r="J12803">
        <f>IF($H12803=0,1,IF($I12803&lt;=1,2,0))</f>
        <v>2</v>
      </c>
      <c r="K12803">
        <v>9</v>
      </c>
      <c r="L12803">
        <f>IF(AND($J12803=0,$K12803=0),0,1)</f>
        <v>1</v>
      </c>
    </row>
    <row r="12804" spans="1:12" x14ac:dyDescent="0.2">
      <c r="A12804" t="s">
        <v>556</v>
      </c>
      <c r="B12804" t="s">
        <v>71</v>
      </c>
      <c r="C12804" t="s">
        <v>72</v>
      </c>
      <c r="D12804">
        <v>3900</v>
      </c>
      <c r="E12804">
        <v>2020</v>
      </c>
      <c r="F12804">
        <v>9</v>
      </c>
      <c r="G12804">
        <v>10295</v>
      </c>
      <c r="H12804" s="1" t="s">
        <v>1827</v>
      </c>
      <c r="I12804">
        <v>0</v>
      </c>
      <c r="J12804">
        <f>IF($H12804=0,1,IF($I12804&lt;=1,2,0))</f>
        <v>2</v>
      </c>
      <c r="K12804">
        <v>9</v>
      </c>
      <c r="L12804">
        <f>IF(AND($J12804=0,$K12804=0),0,1)</f>
        <v>1</v>
      </c>
    </row>
    <row r="12805" spans="1:12" x14ac:dyDescent="0.2">
      <c r="A12805" t="s">
        <v>556</v>
      </c>
      <c r="B12805" t="s">
        <v>71</v>
      </c>
      <c r="C12805" t="s">
        <v>72</v>
      </c>
      <c r="D12805">
        <v>3900</v>
      </c>
      <c r="E12805">
        <v>2020</v>
      </c>
      <c r="F12805">
        <v>10</v>
      </c>
      <c r="G12805">
        <v>10296</v>
      </c>
      <c r="H12805" s="1" t="s">
        <v>1827</v>
      </c>
      <c r="I12805">
        <v>0</v>
      </c>
      <c r="J12805">
        <f>IF($H12805=0,1,IF($I12805&lt;=1,2,0))</f>
        <v>2</v>
      </c>
      <c r="K12805">
        <v>9</v>
      </c>
      <c r="L12805">
        <f>IF(AND($J12805=0,$K12805=0),0,1)</f>
        <v>1</v>
      </c>
    </row>
    <row r="12806" spans="1:12" x14ac:dyDescent="0.2">
      <c r="A12806" t="s">
        <v>556</v>
      </c>
      <c r="B12806" t="s">
        <v>71</v>
      </c>
      <c r="C12806" t="s">
        <v>72</v>
      </c>
      <c r="D12806">
        <v>3900</v>
      </c>
      <c r="E12806">
        <v>2020</v>
      </c>
      <c r="F12806">
        <v>11</v>
      </c>
      <c r="G12806">
        <v>10297</v>
      </c>
      <c r="H12806" s="1" t="s">
        <v>1827</v>
      </c>
      <c r="I12806">
        <v>0</v>
      </c>
      <c r="J12806">
        <f>IF($H12806=0,1,IF($I12806&lt;=1,2,0))</f>
        <v>2</v>
      </c>
      <c r="K12806">
        <v>9</v>
      </c>
      <c r="L12806">
        <f>IF(AND($J12806=0,$K12806=0),0,1)</f>
        <v>1</v>
      </c>
    </row>
    <row r="12807" spans="1:12" x14ac:dyDescent="0.2">
      <c r="A12807" t="s">
        <v>556</v>
      </c>
      <c r="B12807" t="s">
        <v>71</v>
      </c>
      <c r="C12807" t="s">
        <v>72</v>
      </c>
      <c r="D12807">
        <v>3900</v>
      </c>
      <c r="E12807">
        <v>2020</v>
      </c>
      <c r="F12807">
        <v>12</v>
      </c>
      <c r="G12807">
        <v>10298</v>
      </c>
      <c r="H12807" s="1" t="s">
        <v>1827</v>
      </c>
      <c r="I12807">
        <v>0</v>
      </c>
      <c r="J12807">
        <f>IF($H12807=0,1,IF($I12807&lt;=1,2,0))</f>
        <v>2</v>
      </c>
      <c r="K12807">
        <v>9</v>
      </c>
      <c r="L12807">
        <f>IF(AND($J12807=0,$K12807=0),0,1)</f>
        <v>1</v>
      </c>
    </row>
    <row r="12808" spans="1:12" x14ac:dyDescent="0.2">
      <c r="A12808" t="s">
        <v>556</v>
      </c>
      <c r="B12808" t="s">
        <v>71</v>
      </c>
      <c r="C12808" t="s">
        <v>72</v>
      </c>
      <c r="D12808">
        <v>3900</v>
      </c>
      <c r="E12808">
        <v>2020</v>
      </c>
      <c r="F12808">
        <v>14</v>
      </c>
      <c r="G12808">
        <v>10300</v>
      </c>
      <c r="H12808" s="1" t="s">
        <v>1827</v>
      </c>
      <c r="I12808">
        <v>0</v>
      </c>
      <c r="J12808">
        <f>IF($H12808=0,1,IF($I12808&lt;=1,2,0))</f>
        <v>2</v>
      </c>
      <c r="K12808">
        <v>9</v>
      </c>
      <c r="L12808">
        <f>IF(AND($J12808=0,$K12808=0),0,1)</f>
        <v>1</v>
      </c>
    </row>
    <row r="12809" spans="1:12" x14ac:dyDescent="0.2">
      <c r="A12809" t="s">
        <v>556</v>
      </c>
      <c r="B12809" t="s">
        <v>71</v>
      </c>
      <c r="C12809" t="s">
        <v>72</v>
      </c>
      <c r="D12809">
        <v>3900</v>
      </c>
      <c r="E12809">
        <v>2020</v>
      </c>
      <c r="F12809">
        <v>15</v>
      </c>
      <c r="G12809">
        <v>10301</v>
      </c>
      <c r="H12809" s="1" t="s">
        <v>1827</v>
      </c>
      <c r="I12809">
        <v>0</v>
      </c>
      <c r="J12809">
        <f>IF($H12809=0,1,IF($I12809&lt;=1,2,0))</f>
        <v>2</v>
      </c>
      <c r="K12809">
        <v>9</v>
      </c>
      <c r="L12809">
        <f>IF(AND($J12809=0,$K12809=0),0,1)</f>
        <v>1</v>
      </c>
    </row>
    <row r="12810" spans="1:12" x14ac:dyDescent="0.2">
      <c r="A12810" t="s">
        <v>556</v>
      </c>
      <c r="B12810" t="s">
        <v>71</v>
      </c>
      <c r="C12810" t="s">
        <v>72</v>
      </c>
      <c r="D12810">
        <v>3900</v>
      </c>
      <c r="E12810">
        <v>2020</v>
      </c>
      <c r="F12810">
        <v>17</v>
      </c>
      <c r="G12810">
        <v>10303</v>
      </c>
      <c r="H12810" s="1" t="s">
        <v>1827</v>
      </c>
      <c r="I12810">
        <v>0</v>
      </c>
      <c r="J12810">
        <f>IF($H12810=0,1,IF($I12810&lt;=1,2,0))</f>
        <v>2</v>
      </c>
      <c r="K12810">
        <v>9</v>
      </c>
      <c r="L12810">
        <f>IF(AND($J12810=0,$K12810=0),0,1)</f>
        <v>1</v>
      </c>
    </row>
    <row r="12811" spans="1:12" x14ac:dyDescent="0.2">
      <c r="A12811" t="s">
        <v>556</v>
      </c>
      <c r="B12811" t="s">
        <v>71</v>
      </c>
      <c r="C12811" t="s">
        <v>72</v>
      </c>
      <c r="D12811">
        <v>3900</v>
      </c>
      <c r="E12811">
        <v>2020</v>
      </c>
      <c r="F12811">
        <v>18</v>
      </c>
      <c r="G12811">
        <v>10304</v>
      </c>
      <c r="H12811" s="1" t="s">
        <v>1827</v>
      </c>
      <c r="I12811">
        <v>0</v>
      </c>
      <c r="J12811">
        <f>IF($H12811=0,1,IF($I12811&lt;=1,2,0))</f>
        <v>2</v>
      </c>
      <c r="K12811">
        <v>9</v>
      </c>
      <c r="L12811">
        <f>IF(AND($J12811=0,$K12811=0),0,1)</f>
        <v>1</v>
      </c>
    </row>
    <row r="12812" spans="1:12" x14ac:dyDescent="0.2">
      <c r="A12812" t="s">
        <v>556</v>
      </c>
      <c r="B12812" t="s">
        <v>71</v>
      </c>
      <c r="C12812" t="s">
        <v>72</v>
      </c>
      <c r="D12812">
        <v>3900</v>
      </c>
      <c r="E12812">
        <v>2020</v>
      </c>
      <c r="F12812">
        <v>19</v>
      </c>
      <c r="G12812">
        <v>10305</v>
      </c>
      <c r="H12812" s="1" t="s">
        <v>1827</v>
      </c>
      <c r="I12812">
        <v>0</v>
      </c>
      <c r="J12812">
        <f>IF($H12812=0,1,IF($I12812&lt;=1,2,0))</f>
        <v>2</v>
      </c>
      <c r="K12812">
        <v>9</v>
      </c>
      <c r="L12812">
        <f>IF(AND($J12812=0,$K12812=0),0,1)</f>
        <v>1</v>
      </c>
    </row>
    <row r="12813" spans="1:12" x14ac:dyDescent="0.2">
      <c r="A12813" t="s">
        <v>556</v>
      </c>
      <c r="B12813" t="s">
        <v>71</v>
      </c>
      <c r="C12813" t="s">
        <v>72</v>
      </c>
      <c r="D12813">
        <v>3900</v>
      </c>
      <c r="E12813">
        <v>2020</v>
      </c>
      <c r="F12813">
        <v>20</v>
      </c>
      <c r="G12813">
        <v>10306</v>
      </c>
      <c r="H12813" s="1" t="s">
        <v>1827</v>
      </c>
      <c r="I12813">
        <v>0</v>
      </c>
      <c r="J12813">
        <f>IF($H12813=0,1,IF($I12813&lt;=1,2,0))</f>
        <v>2</v>
      </c>
      <c r="K12813">
        <v>9</v>
      </c>
      <c r="L12813">
        <f>IF(AND($J12813=0,$K12813=0),0,1)</f>
        <v>1</v>
      </c>
    </row>
    <row r="12814" spans="1:12" x14ac:dyDescent="0.2">
      <c r="A12814" t="s">
        <v>556</v>
      </c>
      <c r="B12814" t="s">
        <v>71</v>
      </c>
      <c r="C12814" t="s">
        <v>72</v>
      </c>
      <c r="D12814">
        <v>3998</v>
      </c>
      <c r="E12814">
        <v>2020</v>
      </c>
      <c r="F12814">
        <v>6</v>
      </c>
      <c r="G12814">
        <v>10345</v>
      </c>
      <c r="H12814" s="1" t="s">
        <v>1827</v>
      </c>
      <c r="I12814">
        <v>3</v>
      </c>
      <c r="J12814">
        <f>IF($H12814=0,1,IF($I12814&lt;=1,2,0))</f>
        <v>0</v>
      </c>
      <c r="K12814">
        <v>9</v>
      </c>
      <c r="L12814">
        <f>IF(AND($J12814=0,$K12814=0),0,1)</f>
        <v>1</v>
      </c>
    </row>
    <row r="12815" spans="1:12" x14ac:dyDescent="0.2">
      <c r="A12815" t="s">
        <v>556</v>
      </c>
      <c r="B12815" t="s">
        <v>71</v>
      </c>
      <c r="C12815" t="s">
        <v>72</v>
      </c>
      <c r="D12815">
        <v>3998</v>
      </c>
      <c r="E12815">
        <v>2020</v>
      </c>
      <c r="F12815">
        <v>18</v>
      </c>
      <c r="G12815">
        <v>10357</v>
      </c>
      <c r="H12815" s="1" t="s">
        <v>1827</v>
      </c>
      <c r="I12815">
        <v>2</v>
      </c>
      <c r="J12815">
        <f>IF($H12815=0,1,IF($I12815&lt;=1,2,0))</f>
        <v>0</v>
      </c>
      <c r="K12815">
        <v>9</v>
      </c>
      <c r="L12815">
        <f>IF(AND($J12815=0,$K12815=0),0,1)</f>
        <v>1</v>
      </c>
    </row>
    <row r="12816" spans="1:12" x14ac:dyDescent="0.2">
      <c r="A12816" t="s">
        <v>556</v>
      </c>
      <c r="B12816" t="s">
        <v>71</v>
      </c>
      <c r="C12816" t="s">
        <v>72</v>
      </c>
      <c r="D12816">
        <v>3998</v>
      </c>
      <c r="E12816">
        <v>2020</v>
      </c>
      <c r="F12816">
        <v>19</v>
      </c>
      <c r="G12816">
        <v>10358</v>
      </c>
      <c r="H12816" s="1" t="s">
        <v>1827</v>
      </c>
      <c r="I12816">
        <v>2</v>
      </c>
      <c r="J12816">
        <f>IF($H12816=0,1,IF($I12816&lt;=1,2,0))</f>
        <v>0</v>
      </c>
      <c r="K12816">
        <v>9</v>
      </c>
      <c r="L12816">
        <f>IF(AND($J12816=0,$K12816=0),0,1)</f>
        <v>1</v>
      </c>
    </row>
    <row r="12817" spans="1:12" x14ac:dyDescent="0.2">
      <c r="A12817" t="s">
        <v>556</v>
      </c>
      <c r="B12817" t="s">
        <v>71</v>
      </c>
      <c r="C12817" t="s">
        <v>72</v>
      </c>
      <c r="D12817">
        <v>3998</v>
      </c>
      <c r="E12817">
        <v>2020</v>
      </c>
      <c r="F12817">
        <v>1</v>
      </c>
      <c r="G12817">
        <v>10340</v>
      </c>
      <c r="H12817" s="1" t="s">
        <v>1827</v>
      </c>
      <c r="I12817">
        <v>0</v>
      </c>
      <c r="J12817">
        <f>IF($H12817=0,1,IF($I12817&lt;=1,2,0))</f>
        <v>2</v>
      </c>
      <c r="K12817">
        <v>9</v>
      </c>
      <c r="L12817">
        <f>IF(AND($J12817=0,$K12817=0),0,1)</f>
        <v>1</v>
      </c>
    </row>
    <row r="12818" spans="1:12" x14ac:dyDescent="0.2">
      <c r="A12818" t="s">
        <v>556</v>
      </c>
      <c r="B12818" t="s">
        <v>71</v>
      </c>
      <c r="C12818" t="s">
        <v>72</v>
      </c>
      <c r="D12818">
        <v>3998</v>
      </c>
      <c r="E12818">
        <v>2020</v>
      </c>
      <c r="F12818">
        <v>2</v>
      </c>
      <c r="G12818">
        <v>10341</v>
      </c>
      <c r="H12818" s="1" t="s">
        <v>1827</v>
      </c>
      <c r="I12818">
        <v>0</v>
      </c>
      <c r="J12818">
        <f>IF($H12818=0,1,IF($I12818&lt;=1,2,0))</f>
        <v>2</v>
      </c>
      <c r="K12818">
        <v>9</v>
      </c>
      <c r="L12818">
        <f>IF(AND($J12818=0,$K12818=0),0,1)</f>
        <v>1</v>
      </c>
    </row>
    <row r="12819" spans="1:12" x14ac:dyDescent="0.2">
      <c r="A12819" t="s">
        <v>556</v>
      </c>
      <c r="B12819" t="s">
        <v>71</v>
      </c>
      <c r="C12819" t="s">
        <v>72</v>
      </c>
      <c r="D12819">
        <v>3998</v>
      </c>
      <c r="E12819">
        <v>2020</v>
      </c>
      <c r="F12819">
        <v>3</v>
      </c>
      <c r="G12819">
        <v>10342</v>
      </c>
      <c r="H12819" s="1" t="s">
        <v>1827</v>
      </c>
      <c r="I12819">
        <v>0</v>
      </c>
      <c r="J12819">
        <f>IF($H12819=0,1,IF($I12819&lt;=1,2,0))</f>
        <v>2</v>
      </c>
      <c r="K12819">
        <v>9</v>
      </c>
      <c r="L12819">
        <f>IF(AND($J12819=0,$K12819=0),0,1)</f>
        <v>1</v>
      </c>
    </row>
    <row r="12820" spans="1:12" x14ac:dyDescent="0.2">
      <c r="A12820" t="s">
        <v>556</v>
      </c>
      <c r="B12820" t="s">
        <v>71</v>
      </c>
      <c r="C12820" t="s">
        <v>72</v>
      </c>
      <c r="D12820">
        <v>3998</v>
      </c>
      <c r="E12820">
        <v>2020</v>
      </c>
      <c r="F12820">
        <v>4</v>
      </c>
      <c r="G12820">
        <v>10343</v>
      </c>
      <c r="H12820" s="1" t="s">
        <v>1827</v>
      </c>
      <c r="I12820">
        <v>0</v>
      </c>
      <c r="J12820">
        <f>IF($H12820=0,1,IF($I12820&lt;=1,2,0))</f>
        <v>2</v>
      </c>
      <c r="K12820">
        <v>9</v>
      </c>
      <c r="L12820">
        <f>IF(AND($J12820=0,$K12820=0),0,1)</f>
        <v>1</v>
      </c>
    </row>
    <row r="12821" spans="1:12" x14ac:dyDescent="0.2">
      <c r="A12821" t="s">
        <v>556</v>
      </c>
      <c r="B12821" t="s">
        <v>71</v>
      </c>
      <c r="C12821" t="s">
        <v>72</v>
      </c>
      <c r="D12821">
        <v>3998</v>
      </c>
      <c r="E12821">
        <v>2020</v>
      </c>
      <c r="F12821">
        <v>5</v>
      </c>
      <c r="G12821">
        <v>10344</v>
      </c>
      <c r="H12821" s="1" t="s">
        <v>1827</v>
      </c>
      <c r="I12821">
        <v>0</v>
      </c>
      <c r="J12821">
        <f>IF($H12821=0,1,IF($I12821&lt;=1,2,0))</f>
        <v>2</v>
      </c>
      <c r="K12821">
        <v>9</v>
      </c>
      <c r="L12821">
        <f>IF(AND($J12821=0,$K12821=0),0,1)</f>
        <v>1</v>
      </c>
    </row>
    <row r="12822" spans="1:12" x14ac:dyDescent="0.2">
      <c r="A12822" t="s">
        <v>556</v>
      </c>
      <c r="B12822" t="s">
        <v>71</v>
      </c>
      <c r="C12822" t="s">
        <v>72</v>
      </c>
      <c r="D12822">
        <v>3998</v>
      </c>
      <c r="E12822">
        <v>2020</v>
      </c>
      <c r="F12822">
        <v>7</v>
      </c>
      <c r="G12822">
        <v>10346</v>
      </c>
      <c r="H12822" s="1" t="s">
        <v>1827</v>
      </c>
      <c r="I12822">
        <v>0</v>
      </c>
      <c r="J12822">
        <f>IF($H12822=0,1,IF($I12822&lt;=1,2,0))</f>
        <v>2</v>
      </c>
      <c r="K12822">
        <v>9</v>
      </c>
      <c r="L12822">
        <f>IF(AND($J12822=0,$K12822=0),0,1)</f>
        <v>1</v>
      </c>
    </row>
    <row r="12823" spans="1:12" x14ac:dyDescent="0.2">
      <c r="A12823" t="s">
        <v>556</v>
      </c>
      <c r="B12823" t="s">
        <v>71</v>
      </c>
      <c r="C12823" t="s">
        <v>72</v>
      </c>
      <c r="D12823">
        <v>3998</v>
      </c>
      <c r="E12823">
        <v>2020</v>
      </c>
      <c r="F12823">
        <v>8</v>
      </c>
      <c r="G12823">
        <v>10347</v>
      </c>
      <c r="H12823" s="1" t="s">
        <v>1827</v>
      </c>
      <c r="I12823">
        <v>0</v>
      </c>
      <c r="J12823">
        <f>IF($H12823=0,1,IF($I12823&lt;=1,2,0))</f>
        <v>2</v>
      </c>
      <c r="K12823">
        <v>9</v>
      </c>
      <c r="L12823">
        <f>IF(AND($J12823=0,$K12823=0),0,1)</f>
        <v>1</v>
      </c>
    </row>
    <row r="12824" spans="1:12" x14ac:dyDescent="0.2">
      <c r="A12824" t="s">
        <v>556</v>
      </c>
      <c r="B12824" t="s">
        <v>71</v>
      </c>
      <c r="C12824" t="s">
        <v>72</v>
      </c>
      <c r="D12824">
        <v>3998</v>
      </c>
      <c r="E12824">
        <v>2020</v>
      </c>
      <c r="F12824">
        <v>9</v>
      </c>
      <c r="G12824">
        <v>10348</v>
      </c>
      <c r="H12824" s="1" t="s">
        <v>1827</v>
      </c>
      <c r="I12824">
        <v>0</v>
      </c>
      <c r="J12824">
        <f>IF($H12824=0,1,IF($I12824&lt;=1,2,0))</f>
        <v>2</v>
      </c>
      <c r="K12824">
        <v>9</v>
      </c>
      <c r="L12824">
        <f>IF(AND($J12824=0,$K12824=0),0,1)</f>
        <v>1</v>
      </c>
    </row>
    <row r="12825" spans="1:12" x14ac:dyDescent="0.2">
      <c r="A12825" t="s">
        <v>556</v>
      </c>
      <c r="B12825" t="s">
        <v>71</v>
      </c>
      <c r="C12825" t="s">
        <v>72</v>
      </c>
      <c r="D12825">
        <v>3998</v>
      </c>
      <c r="E12825">
        <v>2020</v>
      </c>
      <c r="F12825">
        <v>10</v>
      </c>
      <c r="G12825">
        <v>10349</v>
      </c>
      <c r="H12825" s="1" t="s">
        <v>1827</v>
      </c>
      <c r="I12825">
        <v>0</v>
      </c>
      <c r="J12825">
        <f>IF($H12825=0,1,IF($I12825&lt;=1,2,0))</f>
        <v>2</v>
      </c>
      <c r="K12825">
        <v>9</v>
      </c>
      <c r="L12825">
        <f>IF(AND($J12825=0,$K12825=0),0,1)</f>
        <v>1</v>
      </c>
    </row>
    <row r="12826" spans="1:12" x14ac:dyDescent="0.2">
      <c r="A12826" t="s">
        <v>556</v>
      </c>
      <c r="B12826" t="s">
        <v>71</v>
      </c>
      <c r="C12826" t="s">
        <v>72</v>
      </c>
      <c r="D12826">
        <v>3998</v>
      </c>
      <c r="E12826">
        <v>2020</v>
      </c>
      <c r="F12826">
        <v>11</v>
      </c>
      <c r="G12826">
        <v>10350</v>
      </c>
      <c r="H12826" s="1" t="s">
        <v>1827</v>
      </c>
      <c r="I12826">
        <v>0</v>
      </c>
      <c r="J12826">
        <f>IF($H12826=0,1,IF($I12826&lt;=1,2,0))</f>
        <v>2</v>
      </c>
      <c r="K12826">
        <v>9</v>
      </c>
      <c r="L12826">
        <f>IF(AND($J12826=0,$K12826=0),0,1)</f>
        <v>1</v>
      </c>
    </row>
    <row r="12827" spans="1:12" x14ac:dyDescent="0.2">
      <c r="A12827" t="s">
        <v>556</v>
      </c>
      <c r="B12827" t="s">
        <v>71</v>
      </c>
      <c r="C12827" t="s">
        <v>72</v>
      </c>
      <c r="D12827">
        <v>3998</v>
      </c>
      <c r="E12827">
        <v>2020</v>
      </c>
      <c r="F12827">
        <v>12</v>
      </c>
      <c r="G12827">
        <v>10351</v>
      </c>
      <c r="H12827" s="1" t="s">
        <v>1827</v>
      </c>
      <c r="I12827">
        <v>0</v>
      </c>
      <c r="J12827">
        <f>IF($H12827=0,1,IF($I12827&lt;=1,2,0))</f>
        <v>2</v>
      </c>
      <c r="K12827">
        <v>9</v>
      </c>
      <c r="L12827">
        <f>IF(AND($J12827=0,$K12827=0),0,1)</f>
        <v>1</v>
      </c>
    </row>
    <row r="12828" spans="1:12" x14ac:dyDescent="0.2">
      <c r="A12828" t="s">
        <v>556</v>
      </c>
      <c r="B12828" t="s">
        <v>71</v>
      </c>
      <c r="C12828" t="s">
        <v>72</v>
      </c>
      <c r="D12828">
        <v>3998</v>
      </c>
      <c r="E12828">
        <v>2020</v>
      </c>
      <c r="F12828">
        <v>13</v>
      </c>
      <c r="G12828">
        <v>10352</v>
      </c>
      <c r="H12828" s="1" t="s">
        <v>1827</v>
      </c>
      <c r="I12828">
        <v>0</v>
      </c>
      <c r="J12828">
        <f>IF($H12828=0,1,IF($I12828&lt;=1,2,0))</f>
        <v>2</v>
      </c>
      <c r="K12828">
        <v>9</v>
      </c>
      <c r="L12828">
        <f>IF(AND($J12828=0,$K12828=0),0,1)</f>
        <v>1</v>
      </c>
    </row>
    <row r="12829" spans="1:12" x14ac:dyDescent="0.2">
      <c r="A12829" t="s">
        <v>556</v>
      </c>
      <c r="B12829" t="s">
        <v>71</v>
      </c>
      <c r="C12829" t="s">
        <v>72</v>
      </c>
      <c r="D12829">
        <v>3998</v>
      </c>
      <c r="E12829">
        <v>2020</v>
      </c>
      <c r="F12829">
        <v>14</v>
      </c>
      <c r="G12829">
        <v>10353</v>
      </c>
      <c r="H12829" s="1" t="s">
        <v>1827</v>
      </c>
      <c r="I12829">
        <v>0</v>
      </c>
      <c r="J12829">
        <f>IF($H12829=0,1,IF($I12829&lt;=1,2,0))</f>
        <v>2</v>
      </c>
      <c r="K12829">
        <v>9</v>
      </c>
      <c r="L12829">
        <f>IF(AND($J12829=0,$K12829=0),0,1)</f>
        <v>1</v>
      </c>
    </row>
    <row r="12830" spans="1:12" x14ac:dyDescent="0.2">
      <c r="A12830" t="s">
        <v>556</v>
      </c>
      <c r="B12830" t="s">
        <v>71</v>
      </c>
      <c r="C12830" t="s">
        <v>72</v>
      </c>
      <c r="D12830">
        <v>3998</v>
      </c>
      <c r="E12830">
        <v>2020</v>
      </c>
      <c r="F12830">
        <v>15</v>
      </c>
      <c r="G12830">
        <v>10354</v>
      </c>
      <c r="H12830" s="1" t="s">
        <v>1827</v>
      </c>
      <c r="I12830">
        <v>0</v>
      </c>
      <c r="J12830">
        <f>IF($H12830=0,1,IF($I12830&lt;=1,2,0))</f>
        <v>2</v>
      </c>
      <c r="K12830">
        <v>9</v>
      </c>
      <c r="L12830">
        <f>IF(AND($J12830=0,$K12830=0),0,1)</f>
        <v>1</v>
      </c>
    </row>
    <row r="12831" spans="1:12" x14ac:dyDescent="0.2">
      <c r="A12831" t="s">
        <v>556</v>
      </c>
      <c r="B12831" t="s">
        <v>71</v>
      </c>
      <c r="C12831" t="s">
        <v>72</v>
      </c>
      <c r="D12831">
        <v>3998</v>
      </c>
      <c r="E12831">
        <v>2020</v>
      </c>
      <c r="F12831">
        <v>16</v>
      </c>
      <c r="G12831">
        <v>10355</v>
      </c>
      <c r="H12831" s="1" t="s">
        <v>1827</v>
      </c>
      <c r="I12831">
        <v>0</v>
      </c>
      <c r="J12831">
        <f>IF($H12831=0,1,IF($I12831&lt;=1,2,0))</f>
        <v>2</v>
      </c>
      <c r="K12831">
        <v>9</v>
      </c>
      <c r="L12831">
        <f>IF(AND($J12831=0,$K12831=0),0,1)</f>
        <v>1</v>
      </c>
    </row>
    <row r="12832" spans="1:12" x14ac:dyDescent="0.2">
      <c r="A12832" t="s">
        <v>556</v>
      </c>
      <c r="B12832" t="s">
        <v>71</v>
      </c>
      <c r="C12832" t="s">
        <v>72</v>
      </c>
      <c r="D12832">
        <v>3998</v>
      </c>
      <c r="E12832">
        <v>2020</v>
      </c>
      <c r="F12832">
        <v>17</v>
      </c>
      <c r="G12832">
        <v>10356</v>
      </c>
      <c r="H12832" s="1" t="s">
        <v>1827</v>
      </c>
      <c r="I12832">
        <v>0</v>
      </c>
      <c r="J12832">
        <f>IF($H12832=0,1,IF($I12832&lt;=1,2,0))</f>
        <v>2</v>
      </c>
      <c r="K12832">
        <v>9</v>
      </c>
      <c r="L12832">
        <f>IF(AND($J12832=0,$K12832=0),0,1)</f>
        <v>1</v>
      </c>
    </row>
    <row r="12833" spans="1:12" x14ac:dyDescent="0.2">
      <c r="A12833" t="s">
        <v>556</v>
      </c>
      <c r="B12833" t="s">
        <v>71</v>
      </c>
      <c r="C12833" t="s">
        <v>72</v>
      </c>
      <c r="D12833">
        <v>3998</v>
      </c>
      <c r="E12833">
        <v>2020</v>
      </c>
      <c r="F12833">
        <v>20</v>
      </c>
      <c r="G12833">
        <v>10359</v>
      </c>
      <c r="H12833" s="1" t="s">
        <v>1827</v>
      </c>
      <c r="I12833">
        <v>0</v>
      </c>
      <c r="J12833">
        <f>IF($H12833=0,1,IF($I12833&lt;=1,2,0))</f>
        <v>2</v>
      </c>
      <c r="K12833">
        <v>9</v>
      </c>
      <c r="L12833">
        <f>IF(AND($J12833=0,$K12833=0),0,1)</f>
        <v>1</v>
      </c>
    </row>
    <row r="12834" spans="1:12" x14ac:dyDescent="0.2">
      <c r="A12834" t="s">
        <v>556</v>
      </c>
      <c r="B12834" t="s">
        <v>71</v>
      </c>
      <c r="C12834" t="s">
        <v>72</v>
      </c>
      <c r="D12834">
        <v>3999</v>
      </c>
      <c r="E12834">
        <v>2020</v>
      </c>
      <c r="F12834">
        <v>1</v>
      </c>
      <c r="G12834">
        <v>10248</v>
      </c>
      <c r="H12834" s="1" t="s">
        <v>1837</v>
      </c>
      <c r="I12834">
        <v>0</v>
      </c>
      <c r="J12834">
        <f>IF($H12834=0,1,IF($I12834&lt;=1,2,0))</f>
        <v>2</v>
      </c>
      <c r="K12834">
        <v>9</v>
      </c>
      <c r="L12834">
        <f>IF(AND($J12834=0,$K12834=0),0,1)</f>
        <v>1</v>
      </c>
    </row>
    <row r="12835" spans="1:12" x14ac:dyDescent="0.2">
      <c r="A12835" t="s">
        <v>556</v>
      </c>
      <c r="B12835" t="s">
        <v>71</v>
      </c>
      <c r="C12835" t="s">
        <v>72</v>
      </c>
      <c r="D12835">
        <v>4212</v>
      </c>
      <c r="E12835">
        <v>2020</v>
      </c>
      <c r="F12835">
        <v>2</v>
      </c>
      <c r="G12835">
        <v>21438</v>
      </c>
      <c r="H12835" s="1">
        <v>3</v>
      </c>
      <c r="I12835">
        <v>1</v>
      </c>
      <c r="J12835">
        <f>IF($H12835=0,1,IF($I12835&lt;=1,2,0))</f>
        <v>2</v>
      </c>
      <c r="K12835">
        <v>0</v>
      </c>
      <c r="L12835">
        <f>IF(AND($J12835=0,$K12835=0),0,1)</f>
        <v>1</v>
      </c>
    </row>
    <row r="12836" spans="1:12" x14ac:dyDescent="0.2">
      <c r="A12836" t="s">
        <v>556</v>
      </c>
      <c r="B12836" t="s">
        <v>71</v>
      </c>
      <c r="C12836" t="s">
        <v>72</v>
      </c>
      <c r="D12836">
        <v>4400</v>
      </c>
      <c r="E12836">
        <v>2020</v>
      </c>
      <c r="F12836">
        <v>1</v>
      </c>
      <c r="G12836">
        <v>10254</v>
      </c>
      <c r="H12836" s="1">
        <v>0</v>
      </c>
      <c r="I12836">
        <v>13</v>
      </c>
      <c r="J12836">
        <f>IF($H12836=0,1,IF($I12836&lt;=1,2,0))</f>
        <v>1</v>
      </c>
      <c r="K12836">
        <v>0</v>
      </c>
      <c r="L12836">
        <f>IF(AND($J12836=0,$K12836=0),0,1)</f>
        <v>1</v>
      </c>
    </row>
    <row r="12837" spans="1:12" x14ac:dyDescent="0.2">
      <c r="A12837" t="s">
        <v>556</v>
      </c>
      <c r="B12837" t="s">
        <v>71</v>
      </c>
      <c r="C12837" t="s">
        <v>72</v>
      </c>
      <c r="D12837">
        <v>4998</v>
      </c>
      <c r="E12837">
        <v>2020</v>
      </c>
      <c r="F12837">
        <v>18</v>
      </c>
      <c r="G12837">
        <v>10482</v>
      </c>
      <c r="H12837" s="1" t="s">
        <v>1827</v>
      </c>
      <c r="I12837">
        <v>3</v>
      </c>
      <c r="J12837">
        <f>IF($H12837=0,1,IF($I12837&lt;=1,2,0))</f>
        <v>0</v>
      </c>
      <c r="K12837">
        <v>9</v>
      </c>
      <c r="L12837">
        <f>IF(AND($J12837=0,$K12837=0),0,1)</f>
        <v>1</v>
      </c>
    </row>
    <row r="12838" spans="1:12" x14ac:dyDescent="0.2">
      <c r="A12838" t="s">
        <v>556</v>
      </c>
      <c r="B12838" t="s">
        <v>71</v>
      </c>
      <c r="C12838" t="s">
        <v>72</v>
      </c>
      <c r="D12838">
        <v>4998</v>
      </c>
      <c r="E12838">
        <v>2020</v>
      </c>
      <c r="F12838">
        <v>1</v>
      </c>
      <c r="G12838">
        <v>10465</v>
      </c>
      <c r="H12838" s="1" t="s">
        <v>1827</v>
      </c>
      <c r="I12838">
        <v>1</v>
      </c>
      <c r="J12838">
        <f>IF($H12838=0,1,IF($I12838&lt;=1,2,0))</f>
        <v>2</v>
      </c>
      <c r="K12838">
        <v>9</v>
      </c>
      <c r="L12838">
        <f>IF(AND($J12838=0,$K12838=0),0,1)</f>
        <v>1</v>
      </c>
    </row>
    <row r="12839" spans="1:12" x14ac:dyDescent="0.2">
      <c r="A12839" t="s">
        <v>556</v>
      </c>
      <c r="B12839" t="s">
        <v>71</v>
      </c>
      <c r="C12839" t="s">
        <v>72</v>
      </c>
      <c r="D12839">
        <v>4998</v>
      </c>
      <c r="E12839">
        <v>2020</v>
      </c>
      <c r="F12839">
        <v>6</v>
      </c>
      <c r="G12839">
        <v>10470</v>
      </c>
      <c r="H12839" s="1" t="s">
        <v>1827</v>
      </c>
      <c r="I12839">
        <v>1</v>
      </c>
      <c r="J12839">
        <f>IF($H12839=0,1,IF($I12839&lt;=1,2,0))</f>
        <v>2</v>
      </c>
      <c r="K12839">
        <v>9</v>
      </c>
      <c r="L12839">
        <f>IF(AND($J12839=0,$K12839=0),0,1)</f>
        <v>1</v>
      </c>
    </row>
    <row r="12840" spans="1:12" x14ac:dyDescent="0.2">
      <c r="A12840" t="s">
        <v>556</v>
      </c>
      <c r="B12840" t="s">
        <v>71</v>
      </c>
      <c r="C12840" t="s">
        <v>72</v>
      </c>
      <c r="D12840">
        <v>4998</v>
      </c>
      <c r="E12840">
        <v>2020</v>
      </c>
      <c r="F12840">
        <v>14</v>
      </c>
      <c r="G12840">
        <v>10478</v>
      </c>
      <c r="H12840" s="1" t="s">
        <v>1827</v>
      </c>
      <c r="I12840">
        <v>1</v>
      </c>
      <c r="J12840">
        <f>IF($H12840=0,1,IF($I12840&lt;=1,2,0))</f>
        <v>2</v>
      </c>
      <c r="K12840">
        <v>9</v>
      </c>
      <c r="L12840">
        <f>IF(AND($J12840=0,$K12840=0),0,1)</f>
        <v>1</v>
      </c>
    </row>
    <row r="12841" spans="1:12" x14ac:dyDescent="0.2">
      <c r="A12841" t="s">
        <v>556</v>
      </c>
      <c r="B12841" t="s">
        <v>71</v>
      </c>
      <c r="C12841" t="s">
        <v>72</v>
      </c>
      <c r="D12841">
        <v>4998</v>
      </c>
      <c r="E12841">
        <v>2020</v>
      </c>
      <c r="F12841">
        <v>20</v>
      </c>
      <c r="G12841">
        <v>24884</v>
      </c>
      <c r="H12841" s="1" t="s">
        <v>1827</v>
      </c>
      <c r="I12841">
        <v>1</v>
      </c>
      <c r="J12841">
        <f>IF($H12841=0,1,IF($I12841&lt;=1,2,0))</f>
        <v>2</v>
      </c>
      <c r="K12841">
        <v>9</v>
      </c>
      <c r="L12841">
        <f>IF(AND($J12841=0,$K12841=0),0,1)</f>
        <v>1</v>
      </c>
    </row>
    <row r="12842" spans="1:12" x14ac:dyDescent="0.2">
      <c r="A12842" t="s">
        <v>556</v>
      </c>
      <c r="B12842" t="s">
        <v>71</v>
      </c>
      <c r="C12842" t="s">
        <v>72</v>
      </c>
      <c r="D12842">
        <v>4998</v>
      </c>
      <c r="E12842">
        <v>2020</v>
      </c>
      <c r="F12842">
        <v>2</v>
      </c>
      <c r="G12842">
        <v>10466</v>
      </c>
      <c r="H12842" s="1" t="s">
        <v>1827</v>
      </c>
      <c r="I12842">
        <v>0</v>
      </c>
      <c r="J12842">
        <f>IF($H12842=0,1,IF($I12842&lt;=1,2,0))</f>
        <v>2</v>
      </c>
      <c r="K12842">
        <v>9</v>
      </c>
      <c r="L12842">
        <f>IF(AND($J12842=0,$K12842=0),0,1)</f>
        <v>1</v>
      </c>
    </row>
    <row r="12843" spans="1:12" x14ac:dyDescent="0.2">
      <c r="A12843" t="s">
        <v>556</v>
      </c>
      <c r="B12843" t="s">
        <v>71</v>
      </c>
      <c r="C12843" t="s">
        <v>72</v>
      </c>
      <c r="D12843">
        <v>4998</v>
      </c>
      <c r="E12843">
        <v>2020</v>
      </c>
      <c r="F12843">
        <v>3</v>
      </c>
      <c r="G12843">
        <v>10467</v>
      </c>
      <c r="H12843" s="1" t="s">
        <v>1827</v>
      </c>
      <c r="I12843">
        <v>0</v>
      </c>
      <c r="J12843">
        <f>IF($H12843=0,1,IF($I12843&lt;=1,2,0))</f>
        <v>2</v>
      </c>
      <c r="K12843">
        <v>9</v>
      </c>
      <c r="L12843">
        <f>IF(AND($J12843=0,$K12843=0),0,1)</f>
        <v>1</v>
      </c>
    </row>
    <row r="12844" spans="1:12" x14ac:dyDescent="0.2">
      <c r="A12844" t="s">
        <v>556</v>
      </c>
      <c r="B12844" t="s">
        <v>71</v>
      </c>
      <c r="C12844" t="s">
        <v>72</v>
      </c>
      <c r="D12844">
        <v>4998</v>
      </c>
      <c r="E12844">
        <v>2020</v>
      </c>
      <c r="F12844">
        <v>4</v>
      </c>
      <c r="G12844">
        <v>10468</v>
      </c>
      <c r="H12844" s="1" t="s">
        <v>1827</v>
      </c>
      <c r="I12844">
        <v>0</v>
      </c>
      <c r="J12844">
        <f>IF($H12844=0,1,IF($I12844&lt;=1,2,0))</f>
        <v>2</v>
      </c>
      <c r="K12844">
        <v>9</v>
      </c>
      <c r="L12844">
        <f>IF(AND($J12844=0,$K12844=0),0,1)</f>
        <v>1</v>
      </c>
    </row>
    <row r="12845" spans="1:12" x14ac:dyDescent="0.2">
      <c r="A12845" t="s">
        <v>556</v>
      </c>
      <c r="B12845" t="s">
        <v>71</v>
      </c>
      <c r="C12845" t="s">
        <v>72</v>
      </c>
      <c r="D12845">
        <v>4998</v>
      </c>
      <c r="E12845">
        <v>2020</v>
      </c>
      <c r="F12845">
        <v>5</v>
      </c>
      <c r="G12845">
        <v>10469</v>
      </c>
      <c r="H12845" s="1" t="s">
        <v>1827</v>
      </c>
      <c r="I12845">
        <v>0</v>
      </c>
      <c r="J12845">
        <f>IF($H12845=0,1,IF($I12845&lt;=1,2,0))</f>
        <v>2</v>
      </c>
      <c r="K12845">
        <v>9</v>
      </c>
      <c r="L12845">
        <f>IF(AND($J12845=0,$K12845=0),0,1)</f>
        <v>1</v>
      </c>
    </row>
    <row r="12846" spans="1:12" x14ac:dyDescent="0.2">
      <c r="A12846" t="s">
        <v>556</v>
      </c>
      <c r="B12846" t="s">
        <v>71</v>
      </c>
      <c r="C12846" t="s">
        <v>72</v>
      </c>
      <c r="D12846">
        <v>4998</v>
      </c>
      <c r="E12846">
        <v>2020</v>
      </c>
      <c r="F12846">
        <v>7</v>
      </c>
      <c r="G12846">
        <v>10471</v>
      </c>
      <c r="H12846" s="1" t="s">
        <v>1827</v>
      </c>
      <c r="I12846">
        <v>0</v>
      </c>
      <c r="J12846">
        <f>IF($H12846=0,1,IF($I12846&lt;=1,2,0))</f>
        <v>2</v>
      </c>
      <c r="K12846">
        <v>9</v>
      </c>
      <c r="L12846">
        <f>IF(AND($J12846=0,$K12846=0),0,1)</f>
        <v>1</v>
      </c>
    </row>
    <row r="12847" spans="1:12" x14ac:dyDescent="0.2">
      <c r="A12847" t="s">
        <v>556</v>
      </c>
      <c r="B12847" t="s">
        <v>71</v>
      </c>
      <c r="C12847" t="s">
        <v>72</v>
      </c>
      <c r="D12847">
        <v>4998</v>
      </c>
      <c r="E12847">
        <v>2020</v>
      </c>
      <c r="F12847">
        <v>8</v>
      </c>
      <c r="G12847">
        <v>10472</v>
      </c>
      <c r="H12847" s="1" t="s">
        <v>1827</v>
      </c>
      <c r="I12847">
        <v>0</v>
      </c>
      <c r="J12847">
        <f>IF($H12847=0,1,IF($I12847&lt;=1,2,0))</f>
        <v>2</v>
      </c>
      <c r="K12847">
        <v>9</v>
      </c>
      <c r="L12847">
        <f>IF(AND($J12847=0,$K12847=0),0,1)</f>
        <v>1</v>
      </c>
    </row>
    <row r="12848" spans="1:12" x14ac:dyDescent="0.2">
      <c r="A12848" t="s">
        <v>556</v>
      </c>
      <c r="B12848" t="s">
        <v>71</v>
      </c>
      <c r="C12848" t="s">
        <v>72</v>
      </c>
      <c r="D12848">
        <v>4998</v>
      </c>
      <c r="E12848">
        <v>2020</v>
      </c>
      <c r="F12848">
        <v>9</v>
      </c>
      <c r="G12848">
        <v>10473</v>
      </c>
      <c r="H12848" s="1" t="s">
        <v>1827</v>
      </c>
      <c r="I12848">
        <v>0</v>
      </c>
      <c r="J12848">
        <f>IF($H12848=0,1,IF($I12848&lt;=1,2,0))</f>
        <v>2</v>
      </c>
      <c r="K12848">
        <v>9</v>
      </c>
      <c r="L12848">
        <f>IF(AND($J12848=0,$K12848=0),0,1)</f>
        <v>1</v>
      </c>
    </row>
    <row r="12849" spans="1:12" x14ac:dyDescent="0.2">
      <c r="A12849" t="s">
        <v>556</v>
      </c>
      <c r="B12849" t="s">
        <v>71</v>
      </c>
      <c r="C12849" t="s">
        <v>72</v>
      </c>
      <c r="D12849">
        <v>4998</v>
      </c>
      <c r="E12849">
        <v>2020</v>
      </c>
      <c r="F12849">
        <v>10</v>
      </c>
      <c r="G12849">
        <v>10474</v>
      </c>
      <c r="H12849" s="1" t="s">
        <v>1827</v>
      </c>
      <c r="I12849">
        <v>0</v>
      </c>
      <c r="J12849">
        <f>IF($H12849=0,1,IF($I12849&lt;=1,2,0))</f>
        <v>2</v>
      </c>
      <c r="K12849">
        <v>9</v>
      </c>
      <c r="L12849">
        <f>IF(AND($J12849=0,$K12849=0),0,1)</f>
        <v>1</v>
      </c>
    </row>
    <row r="12850" spans="1:12" x14ac:dyDescent="0.2">
      <c r="A12850" t="s">
        <v>556</v>
      </c>
      <c r="B12850" t="s">
        <v>71</v>
      </c>
      <c r="C12850" t="s">
        <v>72</v>
      </c>
      <c r="D12850">
        <v>4998</v>
      </c>
      <c r="E12850">
        <v>2020</v>
      </c>
      <c r="F12850">
        <v>11</v>
      </c>
      <c r="G12850">
        <v>10475</v>
      </c>
      <c r="H12850" s="1" t="s">
        <v>1827</v>
      </c>
      <c r="I12850">
        <v>0</v>
      </c>
      <c r="J12850">
        <f>IF($H12850=0,1,IF($I12850&lt;=1,2,0))</f>
        <v>2</v>
      </c>
      <c r="K12850">
        <v>9</v>
      </c>
      <c r="L12850">
        <f>IF(AND($J12850=0,$K12850=0),0,1)</f>
        <v>1</v>
      </c>
    </row>
    <row r="12851" spans="1:12" x14ac:dyDescent="0.2">
      <c r="A12851" t="s">
        <v>556</v>
      </c>
      <c r="B12851" t="s">
        <v>71</v>
      </c>
      <c r="C12851" t="s">
        <v>72</v>
      </c>
      <c r="D12851">
        <v>4998</v>
      </c>
      <c r="E12851">
        <v>2020</v>
      </c>
      <c r="F12851">
        <v>12</v>
      </c>
      <c r="G12851">
        <v>10476</v>
      </c>
      <c r="H12851" s="1" t="s">
        <v>1827</v>
      </c>
      <c r="I12851">
        <v>0</v>
      </c>
      <c r="J12851">
        <f>IF($H12851=0,1,IF($I12851&lt;=1,2,0))</f>
        <v>2</v>
      </c>
      <c r="K12851">
        <v>9</v>
      </c>
      <c r="L12851">
        <f>IF(AND($J12851=0,$K12851=0),0,1)</f>
        <v>1</v>
      </c>
    </row>
    <row r="12852" spans="1:12" x14ac:dyDescent="0.2">
      <c r="A12852" t="s">
        <v>556</v>
      </c>
      <c r="B12852" t="s">
        <v>71</v>
      </c>
      <c r="C12852" t="s">
        <v>72</v>
      </c>
      <c r="D12852">
        <v>4998</v>
      </c>
      <c r="E12852">
        <v>2020</v>
      </c>
      <c r="F12852">
        <v>13</v>
      </c>
      <c r="G12852">
        <v>10477</v>
      </c>
      <c r="H12852" s="1" t="s">
        <v>1827</v>
      </c>
      <c r="I12852">
        <v>0</v>
      </c>
      <c r="J12852">
        <f>IF($H12852=0,1,IF($I12852&lt;=1,2,0))</f>
        <v>2</v>
      </c>
      <c r="K12852">
        <v>9</v>
      </c>
      <c r="L12852">
        <f>IF(AND($J12852=0,$K12852=0),0,1)</f>
        <v>1</v>
      </c>
    </row>
    <row r="12853" spans="1:12" x14ac:dyDescent="0.2">
      <c r="A12853" t="s">
        <v>556</v>
      </c>
      <c r="B12853" t="s">
        <v>71</v>
      </c>
      <c r="C12853" t="s">
        <v>72</v>
      </c>
      <c r="D12853">
        <v>4998</v>
      </c>
      <c r="E12853">
        <v>2020</v>
      </c>
      <c r="F12853">
        <v>15</v>
      </c>
      <c r="G12853">
        <v>10479</v>
      </c>
      <c r="H12853" s="1" t="s">
        <v>1827</v>
      </c>
      <c r="I12853">
        <v>0</v>
      </c>
      <c r="J12853">
        <f>IF($H12853=0,1,IF($I12853&lt;=1,2,0))</f>
        <v>2</v>
      </c>
      <c r="K12853">
        <v>9</v>
      </c>
      <c r="L12853">
        <f>IF(AND($J12853=0,$K12853=0),0,1)</f>
        <v>1</v>
      </c>
    </row>
    <row r="12854" spans="1:12" x14ac:dyDescent="0.2">
      <c r="A12854" t="s">
        <v>556</v>
      </c>
      <c r="B12854" t="s">
        <v>71</v>
      </c>
      <c r="C12854" t="s">
        <v>72</v>
      </c>
      <c r="D12854">
        <v>4998</v>
      </c>
      <c r="E12854">
        <v>2020</v>
      </c>
      <c r="F12854">
        <v>16</v>
      </c>
      <c r="G12854">
        <v>10480</v>
      </c>
      <c r="H12854" s="1" t="s">
        <v>1827</v>
      </c>
      <c r="I12854">
        <v>0</v>
      </c>
      <c r="J12854">
        <f>IF($H12854=0,1,IF($I12854&lt;=1,2,0))</f>
        <v>2</v>
      </c>
      <c r="K12854">
        <v>9</v>
      </c>
      <c r="L12854">
        <f>IF(AND($J12854=0,$K12854=0),0,1)</f>
        <v>1</v>
      </c>
    </row>
    <row r="12855" spans="1:12" x14ac:dyDescent="0.2">
      <c r="A12855" t="s">
        <v>556</v>
      </c>
      <c r="B12855" t="s">
        <v>71</v>
      </c>
      <c r="C12855" t="s">
        <v>72</v>
      </c>
      <c r="D12855">
        <v>4998</v>
      </c>
      <c r="E12855">
        <v>2020</v>
      </c>
      <c r="F12855">
        <v>17</v>
      </c>
      <c r="G12855">
        <v>10481</v>
      </c>
      <c r="H12855" s="1" t="s">
        <v>1827</v>
      </c>
      <c r="I12855">
        <v>0</v>
      </c>
      <c r="J12855">
        <f>IF($H12855=0,1,IF($I12855&lt;=1,2,0))</f>
        <v>2</v>
      </c>
      <c r="K12855">
        <v>9</v>
      </c>
      <c r="L12855">
        <f>IF(AND($J12855=0,$K12855=0),0,1)</f>
        <v>1</v>
      </c>
    </row>
    <row r="12856" spans="1:12" x14ac:dyDescent="0.2">
      <c r="A12856" t="s">
        <v>556</v>
      </c>
      <c r="B12856" t="s">
        <v>71</v>
      </c>
      <c r="C12856" t="s">
        <v>72</v>
      </c>
      <c r="D12856">
        <v>4998</v>
      </c>
      <c r="E12856">
        <v>2020</v>
      </c>
      <c r="F12856">
        <v>19</v>
      </c>
      <c r="G12856">
        <v>10483</v>
      </c>
      <c r="H12856" s="1" t="s">
        <v>1827</v>
      </c>
      <c r="I12856">
        <v>0</v>
      </c>
      <c r="J12856">
        <f>IF($H12856=0,1,IF($I12856&lt;=1,2,0))</f>
        <v>2</v>
      </c>
      <c r="K12856">
        <v>9</v>
      </c>
      <c r="L12856">
        <f>IF(AND($J12856=0,$K12856=0),0,1)</f>
        <v>1</v>
      </c>
    </row>
    <row r="12857" spans="1:12" x14ac:dyDescent="0.2">
      <c r="A12857" t="s">
        <v>556</v>
      </c>
      <c r="B12857" t="s">
        <v>71</v>
      </c>
      <c r="C12857" t="s">
        <v>72</v>
      </c>
      <c r="D12857">
        <v>4999</v>
      </c>
      <c r="E12857">
        <v>2020</v>
      </c>
      <c r="F12857">
        <v>1</v>
      </c>
      <c r="G12857">
        <v>10484</v>
      </c>
      <c r="H12857" s="1">
        <v>1</v>
      </c>
      <c r="I12857">
        <v>5</v>
      </c>
      <c r="J12857">
        <f>IF($H12857=0,1,IF($I12857&lt;=1,2,0))</f>
        <v>0</v>
      </c>
      <c r="K12857">
        <v>9</v>
      </c>
      <c r="L12857">
        <f>IF(AND($J12857=0,$K12857=0),0,1)</f>
        <v>1</v>
      </c>
    </row>
    <row r="12858" spans="1:12" x14ac:dyDescent="0.2">
      <c r="A12858" t="s">
        <v>556</v>
      </c>
      <c r="B12858" t="s">
        <v>71</v>
      </c>
      <c r="C12858" t="s">
        <v>72</v>
      </c>
      <c r="D12858">
        <v>8020</v>
      </c>
      <c r="E12858">
        <v>2020</v>
      </c>
      <c r="F12858">
        <v>13</v>
      </c>
      <c r="G12858">
        <v>10458</v>
      </c>
      <c r="H12858" s="1" t="s">
        <v>1827</v>
      </c>
      <c r="I12858">
        <v>1</v>
      </c>
      <c r="J12858">
        <f>IF($H12858=0,1,IF($I12858&lt;=1,2,0))</f>
        <v>2</v>
      </c>
      <c r="K12858">
        <v>0</v>
      </c>
      <c r="L12858">
        <f>IF(AND($J12858=0,$K12858=0),0,1)</f>
        <v>1</v>
      </c>
    </row>
    <row r="12859" spans="1:12" x14ac:dyDescent="0.2">
      <c r="A12859" t="s">
        <v>556</v>
      </c>
      <c r="B12859" t="s">
        <v>71</v>
      </c>
      <c r="C12859" t="s">
        <v>72</v>
      </c>
      <c r="D12859">
        <v>8020</v>
      </c>
      <c r="E12859">
        <v>2020</v>
      </c>
      <c r="F12859">
        <v>14</v>
      </c>
      <c r="G12859">
        <v>10459</v>
      </c>
      <c r="H12859" s="1" t="s">
        <v>1827</v>
      </c>
      <c r="I12859">
        <v>1</v>
      </c>
      <c r="J12859">
        <f>IF($H12859=0,1,IF($I12859&lt;=1,2,0))</f>
        <v>2</v>
      </c>
      <c r="K12859">
        <v>0</v>
      </c>
      <c r="L12859">
        <f>IF(AND($J12859=0,$K12859=0),0,1)</f>
        <v>1</v>
      </c>
    </row>
    <row r="12860" spans="1:12" x14ac:dyDescent="0.2">
      <c r="A12860" t="s">
        <v>556</v>
      </c>
      <c r="B12860" t="s">
        <v>71</v>
      </c>
      <c r="C12860" t="s">
        <v>72</v>
      </c>
      <c r="D12860">
        <v>8020</v>
      </c>
      <c r="E12860">
        <v>2020</v>
      </c>
      <c r="F12860">
        <v>1</v>
      </c>
      <c r="G12860">
        <v>10445</v>
      </c>
      <c r="H12860" s="1" t="s">
        <v>1827</v>
      </c>
      <c r="I12860">
        <v>0</v>
      </c>
      <c r="J12860">
        <f>IF($H12860=0,1,IF($I12860&lt;=1,2,0))</f>
        <v>2</v>
      </c>
      <c r="K12860">
        <v>0</v>
      </c>
      <c r="L12860">
        <f>IF(AND($J12860=0,$K12860=0),0,1)</f>
        <v>1</v>
      </c>
    </row>
    <row r="12861" spans="1:12" x14ac:dyDescent="0.2">
      <c r="A12861" t="s">
        <v>556</v>
      </c>
      <c r="B12861" t="s">
        <v>71</v>
      </c>
      <c r="C12861" t="s">
        <v>72</v>
      </c>
      <c r="D12861">
        <v>8020</v>
      </c>
      <c r="E12861">
        <v>2020</v>
      </c>
      <c r="F12861">
        <v>2</v>
      </c>
      <c r="G12861">
        <v>10446</v>
      </c>
      <c r="H12861" s="1" t="s">
        <v>1827</v>
      </c>
      <c r="I12861">
        <v>0</v>
      </c>
      <c r="J12861">
        <f>IF($H12861=0,1,IF($I12861&lt;=1,2,0))</f>
        <v>2</v>
      </c>
      <c r="K12861">
        <v>0</v>
      </c>
      <c r="L12861">
        <f>IF(AND($J12861=0,$K12861=0),0,1)</f>
        <v>1</v>
      </c>
    </row>
    <row r="12862" spans="1:12" x14ac:dyDescent="0.2">
      <c r="A12862" t="s">
        <v>556</v>
      </c>
      <c r="B12862" t="s">
        <v>71</v>
      </c>
      <c r="C12862" t="s">
        <v>72</v>
      </c>
      <c r="D12862">
        <v>8020</v>
      </c>
      <c r="E12862">
        <v>2020</v>
      </c>
      <c r="F12862">
        <v>3</v>
      </c>
      <c r="G12862">
        <v>10447</v>
      </c>
      <c r="H12862" s="1" t="s">
        <v>1827</v>
      </c>
      <c r="I12862">
        <v>0</v>
      </c>
      <c r="J12862">
        <f>IF($H12862=0,1,IF($I12862&lt;=1,2,0))</f>
        <v>2</v>
      </c>
      <c r="K12862">
        <v>0</v>
      </c>
      <c r="L12862">
        <f>IF(AND($J12862=0,$K12862=0),0,1)</f>
        <v>1</v>
      </c>
    </row>
    <row r="12863" spans="1:12" x14ac:dyDescent="0.2">
      <c r="A12863" t="s">
        <v>556</v>
      </c>
      <c r="B12863" t="s">
        <v>71</v>
      </c>
      <c r="C12863" t="s">
        <v>72</v>
      </c>
      <c r="D12863">
        <v>8020</v>
      </c>
      <c r="E12863">
        <v>2020</v>
      </c>
      <c r="F12863">
        <v>4</v>
      </c>
      <c r="G12863">
        <v>10448</v>
      </c>
      <c r="H12863" s="1" t="s">
        <v>1827</v>
      </c>
      <c r="I12863">
        <v>0</v>
      </c>
      <c r="J12863">
        <f>IF($H12863=0,1,IF($I12863&lt;=1,2,0))</f>
        <v>2</v>
      </c>
      <c r="K12863">
        <v>0</v>
      </c>
      <c r="L12863">
        <f>IF(AND($J12863=0,$K12863=0),0,1)</f>
        <v>1</v>
      </c>
    </row>
    <row r="12864" spans="1:12" x14ac:dyDescent="0.2">
      <c r="A12864" t="s">
        <v>556</v>
      </c>
      <c r="B12864" t="s">
        <v>71</v>
      </c>
      <c r="C12864" t="s">
        <v>72</v>
      </c>
      <c r="D12864">
        <v>8020</v>
      </c>
      <c r="E12864">
        <v>2020</v>
      </c>
      <c r="F12864">
        <v>5</v>
      </c>
      <c r="G12864">
        <v>10449</v>
      </c>
      <c r="H12864" s="1" t="s">
        <v>1827</v>
      </c>
      <c r="I12864">
        <v>0</v>
      </c>
      <c r="J12864">
        <f>IF($H12864=0,1,IF($I12864&lt;=1,2,0))</f>
        <v>2</v>
      </c>
      <c r="K12864">
        <v>0</v>
      </c>
      <c r="L12864">
        <f>IF(AND($J12864=0,$K12864=0),0,1)</f>
        <v>1</v>
      </c>
    </row>
    <row r="12865" spans="1:12" x14ac:dyDescent="0.2">
      <c r="A12865" t="s">
        <v>556</v>
      </c>
      <c r="B12865" t="s">
        <v>71</v>
      </c>
      <c r="C12865" t="s">
        <v>72</v>
      </c>
      <c r="D12865">
        <v>8020</v>
      </c>
      <c r="E12865">
        <v>2020</v>
      </c>
      <c r="F12865">
        <v>6</v>
      </c>
      <c r="G12865">
        <v>10450</v>
      </c>
      <c r="H12865" s="1" t="s">
        <v>1827</v>
      </c>
      <c r="I12865">
        <v>0</v>
      </c>
      <c r="J12865">
        <f>IF($H12865=0,1,IF($I12865&lt;=1,2,0))</f>
        <v>2</v>
      </c>
      <c r="K12865">
        <v>0</v>
      </c>
      <c r="L12865">
        <f>IF(AND($J12865=0,$K12865=0),0,1)</f>
        <v>1</v>
      </c>
    </row>
    <row r="12866" spans="1:12" x14ac:dyDescent="0.2">
      <c r="A12866" t="s">
        <v>556</v>
      </c>
      <c r="B12866" t="s">
        <v>71</v>
      </c>
      <c r="C12866" t="s">
        <v>72</v>
      </c>
      <c r="D12866">
        <v>8020</v>
      </c>
      <c r="E12866">
        <v>2020</v>
      </c>
      <c r="F12866">
        <v>7</v>
      </c>
      <c r="G12866">
        <v>10451</v>
      </c>
      <c r="H12866" s="1" t="s">
        <v>1827</v>
      </c>
      <c r="I12866">
        <v>0</v>
      </c>
      <c r="J12866">
        <f>IF($H12866=0,1,IF($I12866&lt;=1,2,0))</f>
        <v>2</v>
      </c>
      <c r="K12866">
        <v>0</v>
      </c>
      <c r="L12866">
        <f>IF(AND($J12866=0,$K12866=0),0,1)</f>
        <v>1</v>
      </c>
    </row>
    <row r="12867" spans="1:12" x14ac:dyDescent="0.2">
      <c r="A12867" t="s">
        <v>556</v>
      </c>
      <c r="B12867" t="s">
        <v>71</v>
      </c>
      <c r="C12867" t="s">
        <v>72</v>
      </c>
      <c r="D12867">
        <v>8020</v>
      </c>
      <c r="E12867">
        <v>2020</v>
      </c>
      <c r="F12867">
        <v>8</v>
      </c>
      <c r="G12867">
        <v>10452</v>
      </c>
      <c r="H12867" s="1" t="s">
        <v>1827</v>
      </c>
      <c r="I12867">
        <v>0</v>
      </c>
      <c r="J12867">
        <f>IF($H12867=0,1,IF($I12867&lt;=1,2,0))</f>
        <v>2</v>
      </c>
      <c r="K12867">
        <v>0</v>
      </c>
      <c r="L12867">
        <f>IF(AND($J12867=0,$K12867=0),0,1)</f>
        <v>1</v>
      </c>
    </row>
    <row r="12868" spans="1:12" x14ac:dyDescent="0.2">
      <c r="A12868" t="s">
        <v>556</v>
      </c>
      <c r="B12868" t="s">
        <v>71</v>
      </c>
      <c r="C12868" t="s">
        <v>72</v>
      </c>
      <c r="D12868">
        <v>8020</v>
      </c>
      <c r="E12868">
        <v>2020</v>
      </c>
      <c r="F12868">
        <v>9</v>
      </c>
      <c r="G12868">
        <v>10453</v>
      </c>
      <c r="H12868" s="1" t="s">
        <v>1827</v>
      </c>
      <c r="I12868">
        <v>0</v>
      </c>
      <c r="J12868">
        <f>IF($H12868=0,1,IF($I12868&lt;=1,2,0))</f>
        <v>2</v>
      </c>
      <c r="K12868">
        <v>0</v>
      </c>
      <c r="L12868">
        <f>IF(AND($J12868=0,$K12868=0),0,1)</f>
        <v>1</v>
      </c>
    </row>
    <row r="12869" spans="1:12" x14ac:dyDescent="0.2">
      <c r="A12869" t="s">
        <v>556</v>
      </c>
      <c r="B12869" t="s">
        <v>71</v>
      </c>
      <c r="C12869" t="s">
        <v>72</v>
      </c>
      <c r="D12869">
        <v>8020</v>
      </c>
      <c r="E12869">
        <v>2020</v>
      </c>
      <c r="F12869">
        <v>10</v>
      </c>
      <c r="G12869">
        <v>10455</v>
      </c>
      <c r="H12869" s="1" t="s">
        <v>1827</v>
      </c>
      <c r="I12869">
        <v>0</v>
      </c>
      <c r="J12869">
        <f>IF($H12869=0,1,IF($I12869&lt;=1,2,0))</f>
        <v>2</v>
      </c>
      <c r="K12869">
        <v>0</v>
      </c>
      <c r="L12869">
        <f>IF(AND($J12869=0,$K12869=0),0,1)</f>
        <v>1</v>
      </c>
    </row>
    <row r="12870" spans="1:12" x14ac:dyDescent="0.2">
      <c r="A12870" t="s">
        <v>556</v>
      </c>
      <c r="B12870" t="s">
        <v>71</v>
      </c>
      <c r="C12870" t="s">
        <v>72</v>
      </c>
      <c r="D12870">
        <v>8020</v>
      </c>
      <c r="E12870">
        <v>2020</v>
      </c>
      <c r="F12870">
        <v>11</v>
      </c>
      <c r="G12870">
        <v>10456</v>
      </c>
      <c r="H12870" s="1" t="s">
        <v>1827</v>
      </c>
      <c r="I12870">
        <v>0</v>
      </c>
      <c r="J12870">
        <f>IF($H12870=0,1,IF($I12870&lt;=1,2,0))</f>
        <v>2</v>
      </c>
      <c r="K12870">
        <v>0</v>
      </c>
      <c r="L12870">
        <f>IF(AND($J12870=0,$K12870=0),0,1)</f>
        <v>1</v>
      </c>
    </row>
    <row r="12871" spans="1:12" x14ac:dyDescent="0.2">
      <c r="A12871" t="s">
        <v>556</v>
      </c>
      <c r="B12871" t="s">
        <v>71</v>
      </c>
      <c r="C12871" t="s">
        <v>72</v>
      </c>
      <c r="D12871">
        <v>8020</v>
      </c>
      <c r="E12871">
        <v>2020</v>
      </c>
      <c r="F12871">
        <v>12</v>
      </c>
      <c r="G12871">
        <v>10457</v>
      </c>
      <c r="H12871" s="1" t="s">
        <v>1827</v>
      </c>
      <c r="I12871">
        <v>0</v>
      </c>
      <c r="J12871">
        <f>IF($H12871=0,1,IF($I12871&lt;=1,2,0))</f>
        <v>2</v>
      </c>
      <c r="K12871">
        <v>0</v>
      </c>
      <c r="L12871">
        <f>IF(AND($J12871=0,$K12871=0),0,1)</f>
        <v>1</v>
      </c>
    </row>
    <row r="12872" spans="1:12" x14ac:dyDescent="0.2">
      <c r="A12872" t="s">
        <v>556</v>
      </c>
      <c r="B12872" t="s">
        <v>71</v>
      </c>
      <c r="C12872" t="s">
        <v>72</v>
      </c>
      <c r="D12872">
        <v>8020</v>
      </c>
      <c r="E12872">
        <v>2020</v>
      </c>
      <c r="F12872">
        <v>15</v>
      </c>
      <c r="G12872">
        <v>10460</v>
      </c>
      <c r="H12872" s="1" t="s">
        <v>1827</v>
      </c>
      <c r="I12872">
        <v>0</v>
      </c>
      <c r="J12872">
        <f>IF($H12872=0,1,IF($I12872&lt;=1,2,0))</f>
        <v>2</v>
      </c>
      <c r="K12872">
        <v>0</v>
      </c>
      <c r="L12872">
        <f>IF(AND($J12872=0,$K12872=0),0,1)</f>
        <v>1</v>
      </c>
    </row>
    <row r="12873" spans="1:12" x14ac:dyDescent="0.2">
      <c r="A12873" t="s">
        <v>556</v>
      </c>
      <c r="B12873" t="s">
        <v>71</v>
      </c>
      <c r="C12873" t="s">
        <v>72</v>
      </c>
      <c r="D12873">
        <v>8020</v>
      </c>
      <c r="E12873">
        <v>2020</v>
      </c>
      <c r="F12873">
        <v>16</v>
      </c>
      <c r="G12873">
        <v>10461</v>
      </c>
      <c r="H12873" s="1" t="s">
        <v>1827</v>
      </c>
      <c r="I12873">
        <v>0</v>
      </c>
      <c r="J12873">
        <f>IF($H12873=0,1,IF($I12873&lt;=1,2,0))</f>
        <v>2</v>
      </c>
      <c r="K12873">
        <v>0</v>
      </c>
      <c r="L12873">
        <f>IF(AND($J12873=0,$K12873=0),0,1)</f>
        <v>1</v>
      </c>
    </row>
    <row r="12874" spans="1:12" x14ac:dyDescent="0.2">
      <c r="A12874" t="s">
        <v>556</v>
      </c>
      <c r="B12874" t="s">
        <v>71</v>
      </c>
      <c r="C12874" t="s">
        <v>72</v>
      </c>
      <c r="D12874">
        <v>8020</v>
      </c>
      <c r="E12874">
        <v>2020</v>
      </c>
      <c r="F12874">
        <v>17</v>
      </c>
      <c r="G12874">
        <v>10462</v>
      </c>
      <c r="H12874" s="1" t="s">
        <v>1827</v>
      </c>
      <c r="I12874">
        <v>0</v>
      </c>
      <c r="J12874">
        <f>IF($H12874=0,1,IF($I12874&lt;=1,2,0))</f>
        <v>2</v>
      </c>
      <c r="K12874">
        <v>0</v>
      </c>
      <c r="L12874">
        <f>IF(AND($J12874=0,$K12874=0),0,1)</f>
        <v>1</v>
      </c>
    </row>
    <row r="12875" spans="1:12" x14ac:dyDescent="0.2">
      <c r="A12875" t="s">
        <v>556</v>
      </c>
      <c r="B12875" t="s">
        <v>71</v>
      </c>
      <c r="C12875" t="s">
        <v>72</v>
      </c>
      <c r="D12875">
        <v>8020</v>
      </c>
      <c r="E12875">
        <v>2020</v>
      </c>
      <c r="F12875">
        <v>18</v>
      </c>
      <c r="G12875">
        <v>10463</v>
      </c>
      <c r="H12875" s="1" t="s">
        <v>1827</v>
      </c>
      <c r="I12875">
        <v>0</v>
      </c>
      <c r="J12875">
        <f>IF($H12875=0,1,IF($I12875&lt;=1,2,0))</f>
        <v>2</v>
      </c>
      <c r="K12875">
        <v>0</v>
      </c>
      <c r="L12875">
        <f>IF(AND($J12875=0,$K12875=0),0,1)</f>
        <v>1</v>
      </c>
    </row>
    <row r="12876" spans="1:12" x14ac:dyDescent="0.2">
      <c r="A12876" t="s">
        <v>556</v>
      </c>
      <c r="B12876" t="s">
        <v>71</v>
      </c>
      <c r="C12876" t="s">
        <v>72</v>
      </c>
      <c r="D12876">
        <v>8020</v>
      </c>
      <c r="E12876">
        <v>2020</v>
      </c>
      <c r="F12876">
        <v>19</v>
      </c>
      <c r="G12876">
        <v>10464</v>
      </c>
      <c r="H12876" s="1" t="s">
        <v>1827</v>
      </c>
      <c r="I12876">
        <v>0</v>
      </c>
      <c r="J12876">
        <f>IF($H12876=0,1,IF($I12876&lt;=1,2,0))</f>
        <v>2</v>
      </c>
      <c r="K12876">
        <v>0</v>
      </c>
      <c r="L12876">
        <f>IF(AND($J12876=0,$K12876=0),0,1)</f>
        <v>1</v>
      </c>
    </row>
    <row r="12877" spans="1:12" x14ac:dyDescent="0.2">
      <c r="A12877" t="s">
        <v>556</v>
      </c>
      <c r="B12877" t="s">
        <v>71</v>
      </c>
      <c r="C12877" t="s">
        <v>72</v>
      </c>
      <c r="D12877">
        <v>9000</v>
      </c>
      <c r="E12877">
        <v>2020</v>
      </c>
      <c r="F12877">
        <v>1</v>
      </c>
      <c r="G12877">
        <v>10423</v>
      </c>
      <c r="H12877" s="1" t="s">
        <v>1828</v>
      </c>
      <c r="I12877">
        <v>6</v>
      </c>
      <c r="J12877">
        <f>IF($H12877=0,1,IF($I12877&lt;=1,2,0))</f>
        <v>0</v>
      </c>
      <c r="K12877">
        <v>5</v>
      </c>
      <c r="L12877">
        <f>IF(AND($J12877=0,$K12877=0),0,1)</f>
        <v>1</v>
      </c>
    </row>
    <row r="12878" spans="1:12" x14ac:dyDescent="0.2">
      <c r="A12878" t="s">
        <v>556</v>
      </c>
      <c r="B12878" t="s">
        <v>71</v>
      </c>
      <c r="C12878" t="s">
        <v>72</v>
      </c>
      <c r="D12878">
        <v>9000</v>
      </c>
      <c r="E12878">
        <v>2020</v>
      </c>
      <c r="F12878">
        <v>6</v>
      </c>
      <c r="G12878">
        <v>10428</v>
      </c>
      <c r="H12878" s="1" t="s">
        <v>1828</v>
      </c>
      <c r="I12878">
        <v>4</v>
      </c>
      <c r="J12878">
        <f>IF($H12878=0,1,IF($I12878&lt;=1,2,0))</f>
        <v>0</v>
      </c>
      <c r="K12878">
        <v>5</v>
      </c>
      <c r="L12878">
        <f>IF(AND($J12878=0,$K12878=0),0,1)</f>
        <v>1</v>
      </c>
    </row>
    <row r="12879" spans="1:12" x14ac:dyDescent="0.2">
      <c r="A12879" t="s">
        <v>556</v>
      </c>
      <c r="B12879" t="s">
        <v>71</v>
      </c>
      <c r="C12879" t="s">
        <v>72</v>
      </c>
      <c r="D12879">
        <v>9000</v>
      </c>
      <c r="E12879">
        <v>2020</v>
      </c>
      <c r="F12879">
        <v>2</v>
      </c>
      <c r="G12879">
        <v>10424</v>
      </c>
      <c r="H12879" s="1" t="s">
        <v>1828</v>
      </c>
      <c r="I12879">
        <v>3</v>
      </c>
      <c r="J12879">
        <f>IF($H12879=0,1,IF($I12879&lt;=1,2,0))</f>
        <v>0</v>
      </c>
      <c r="K12879">
        <v>5</v>
      </c>
      <c r="L12879">
        <f>IF(AND($J12879=0,$K12879=0),0,1)</f>
        <v>1</v>
      </c>
    </row>
    <row r="12880" spans="1:12" x14ac:dyDescent="0.2">
      <c r="A12880" t="s">
        <v>556</v>
      </c>
      <c r="B12880" t="s">
        <v>71</v>
      </c>
      <c r="C12880" t="s">
        <v>72</v>
      </c>
      <c r="D12880">
        <v>9000</v>
      </c>
      <c r="E12880">
        <v>2020</v>
      </c>
      <c r="F12880">
        <v>4</v>
      </c>
      <c r="G12880">
        <v>10426</v>
      </c>
      <c r="H12880" s="1" t="s">
        <v>1828</v>
      </c>
      <c r="I12880">
        <v>3</v>
      </c>
      <c r="J12880">
        <f>IF($H12880=0,1,IF($I12880&lt;=1,2,0))</f>
        <v>0</v>
      </c>
      <c r="K12880">
        <v>5</v>
      </c>
      <c r="L12880">
        <f>IF(AND($J12880=0,$K12880=0),0,1)</f>
        <v>1</v>
      </c>
    </row>
    <row r="12881" spans="1:12" x14ac:dyDescent="0.2">
      <c r="A12881" t="s">
        <v>556</v>
      </c>
      <c r="B12881" t="s">
        <v>71</v>
      </c>
      <c r="C12881" t="s">
        <v>72</v>
      </c>
      <c r="D12881">
        <v>9000</v>
      </c>
      <c r="E12881">
        <v>2020</v>
      </c>
      <c r="F12881">
        <v>7</v>
      </c>
      <c r="G12881">
        <v>10429</v>
      </c>
      <c r="H12881" s="1" t="s">
        <v>1828</v>
      </c>
      <c r="I12881">
        <v>3</v>
      </c>
      <c r="J12881">
        <f>IF($H12881=0,1,IF($I12881&lt;=1,2,0))</f>
        <v>0</v>
      </c>
      <c r="K12881">
        <v>5</v>
      </c>
      <c r="L12881">
        <f>IF(AND($J12881=0,$K12881=0),0,1)</f>
        <v>1</v>
      </c>
    </row>
    <row r="12882" spans="1:12" x14ac:dyDescent="0.2">
      <c r="A12882" t="s">
        <v>556</v>
      </c>
      <c r="B12882" t="s">
        <v>71</v>
      </c>
      <c r="C12882" t="s">
        <v>72</v>
      </c>
      <c r="D12882">
        <v>9000</v>
      </c>
      <c r="E12882">
        <v>2020</v>
      </c>
      <c r="F12882">
        <v>9</v>
      </c>
      <c r="G12882">
        <v>10431</v>
      </c>
      <c r="H12882" s="1" t="s">
        <v>1828</v>
      </c>
      <c r="I12882">
        <v>3</v>
      </c>
      <c r="J12882">
        <f>IF($H12882=0,1,IF($I12882&lt;=1,2,0))</f>
        <v>0</v>
      </c>
      <c r="K12882">
        <v>5</v>
      </c>
      <c r="L12882">
        <f>IF(AND($J12882=0,$K12882=0),0,1)</f>
        <v>1</v>
      </c>
    </row>
    <row r="12883" spans="1:12" x14ac:dyDescent="0.2">
      <c r="A12883" t="s">
        <v>556</v>
      </c>
      <c r="B12883" t="s">
        <v>71</v>
      </c>
      <c r="C12883" t="s">
        <v>72</v>
      </c>
      <c r="D12883">
        <v>9000</v>
      </c>
      <c r="E12883">
        <v>2020</v>
      </c>
      <c r="F12883">
        <v>12</v>
      </c>
      <c r="G12883">
        <v>10435</v>
      </c>
      <c r="H12883" s="1" t="s">
        <v>1828</v>
      </c>
      <c r="I12883">
        <v>3</v>
      </c>
      <c r="J12883">
        <f>IF($H12883=0,1,IF($I12883&lt;=1,2,0))</f>
        <v>0</v>
      </c>
      <c r="K12883">
        <v>5</v>
      </c>
      <c r="L12883">
        <f>IF(AND($J12883=0,$K12883=0),0,1)</f>
        <v>1</v>
      </c>
    </row>
    <row r="12884" spans="1:12" x14ac:dyDescent="0.2">
      <c r="A12884" t="s">
        <v>556</v>
      </c>
      <c r="B12884" t="s">
        <v>71</v>
      </c>
      <c r="C12884" t="s">
        <v>72</v>
      </c>
      <c r="D12884">
        <v>9000</v>
      </c>
      <c r="E12884">
        <v>2020</v>
      </c>
      <c r="F12884">
        <v>17</v>
      </c>
      <c r="G12884">
        <v>10440</v>
      </c>
      <c r="H12884" s="1" t="s">
        <v>1828</v>
      </c>
      <c r="I12884">
        <v>3</v>
      </c>
      <c r="J12884">
        <f>IF($H12884=0,1,IF($I12884&lt;=1,2,0))</f>
        <v>0</v>
      </c>
      <c r="K12884">
        <v>5</v>
      </c>
      <c r="L12884">
        <f>IF(AND($J12884=0,$K12884=0),0,1)</f>
        <v>1</v>
      </c>
    </row>
    <row r="12885" spans="1:12" x14ac:dyDescent="0.2">
      <c r="A12885" t="s">
        <v>556</v>
      </c>
      <c r="B12885" t="s">
        <v>71</v>
      </c>
      <c r="C12885" t="s">
        <v>72</v>
      </c>
      <c r="D12885">
        <v>9000</v>
      </c>
      <c r="E12885">
        <v>2020</v>
      </c>
      <c r="F12885">
        <v>18</v>
      </c>
      <c r="G12885">
        <v>10441</v>
      </c>
      <c r="H12885" s="1" t="s">
        <v>1828</v>
      </c>
      <c r="I12885">
        <v>3</v>
      </c>
      <c r="J12885">
        <f>IF($H12885=0,1,IF($I12885&lt;=1,2,0))</f>
        <v>0</v>
      </c>
      <c r="K12885">
        <v>5</v>
      </c>
      <c r="L12885">
        <f>IF(AND($J12885=0,$K12885=0),0,1)</f>
        <v>1</v>
      </c>
    </row>
    <row r="12886" spans="1:12" x14ac:dyDescent="0.2">
      <c r="A12886" t="s">
        <v>556</v>
      </c>
      <c r="B12886" t="s">
        <v>71</v>
      </c>
      <c r="C12886" t="s">
        <v>72</v>
      </c>
      <c r="D12886">
        <v>9000</v>
      </c>
      <c r="E12886">
        <v>2020</v>
      </c>
      <c r="F12886">
        <v>8</v>
      </c>
      <c r="G12886">
        <v>10430</v>
      </c>
      <c r="H12886" s="1" t="s">
        <v>1828</v>
      </c>
      <c r="I12886">
        <v>2</v>
      </c>
      <c r="J12886">
        <f>IF($H12886=0,1,IF($I12886&lt;=1,2,0))</f>
        <v>0</v>
      </c>
      <c r="K12886">
        <v>5</v>
      </c>
      <c r="L12886">
        <f>IF(AND($J12886=0,$K12886=0),0,1)</f>
        <v>1</v>
      </c>
    </row>
    <row r="12887" spans="1:12" x14ac:dyDescent="0.2">
      <c r="A12887" t="s">
        <v>556</v>
      </c>
      <c r="B12887" t="s">
        <v>71</v>
      </c>
      <c r="C12887" t="s">
        <v>72</v>
      </c>
      <c r="D12887">
        <v>9000</v>
      </c>
      <c r="E12887">
        <v>2020</v>
      </c>
      <c r="F12887">
        <v>13</v>
      </c>
      <c r="G12887">
        <v>10436</v>
      </c>
      <c r="H12887" s="1" t="s">
        <v>1828</v>
      </c>
      <c r="I12887">
        <v>2</v>
      </c>
      <c r="J12887">
        <f>IF($H12887=0,1,IF($I12887&lt;=1,2,0))</f>
        <v>0</v>
      </c>
      <c r="K12887">
        <v>5</v>
      </c>
      <c r="L12887">
        <f>IF(AND($J12887=0,$K12887=0),0,1)</f>
        <v>1</v>
      </c>
    </row>
    <row r="12888" spans="1:12" x14ac:dyDescent="0.2">
      <c r="A12888" t="s">
        <v>556</v>
      </c>
      <c r="B12888" t="s">
        <v>71</v>
      </c>
      <c r="C12888" t="s">
        <v>72</v>
      </c>
      <c r="D12888">
        <v>9000</v>
      </c>
      <c r="E12888">
        <v>2020</v>
      </c>
      <c r="F12888">
        <v>3</v>
      </c>
      <c r="G12888">
        <v>10425</v>
      </c>
      <c r="H12888" s="1" t="s">
        <v>1828</v>
      </c>
      <c r="I12888">
        <v>1</v>
      </c>
      <c r="J12888">
        <f>IF($H12888=0,1,IF($I12888&lt;=1,2,0))</f>
        <v>2</v>
      </c>
      <c r="K12888">
        <v>5</v>
      </c>
      <c r="L12888">
        <f>IF(AND($J12888=0,$K12888=0),0,1)</f>
        <v>1</v>
      </c>
    </row>
    <row r="12889" spans="1:12" x14ac:dyDescent="0.2">
      <c r="A12889" t="s">
        <v>556</v>
      </c>
      <c r="B12889" t="s">
        <v>71</v>
      </c>
      <c r="C12889" t="s">
        <v>72</v>
      </c>
      <c r="D12889">
        <v>9000</v>
      </c>
      <c r="E12889">
        <v>2020</v>
      </c>
      <c r="F12889">
        <v>15</v>
      </c>
      <c r="G12889">
        <v>10438</v>
      </c>
      <c r="H12889" s="1" t="s">
        <v>1828</v>
      </c>
      <c r="I12889">
        <v>1</v>
      </c>
      <c r="J12889">
        <f>IF($H12889=0,1,IF($I12889&lt;=1,2,0))</f>
        <v>2</v>
      </c>
      <c r="K12889">
        <v>5</v>
      </c>
      <c r="L12889">
        <f>IF(AND($J12889=0,$K12889=0),0,1)</f>
        <v>1</v>
      </c>
    </row>
    <row r="12890" spans="1:12" x14ac:dyDescent="0.2">
      <c r="A12890" t="s">
        <v>556</v>
      </c>
      <c r="B12890" t="s">
        <v>71</v>
      </c>
      <c r="C12890" t="s">
        <v>72</v>
      </c>
      <c r="D12890">
        <v>9000</v>
      </c>
      <c r="E12890">
        <v>2020</v>
      </c>
      <c r="F12890">
        <v>16</v>
      </c>
      <c r="G12890">
        <v>10439</v>
      </c>
      <c r="H12890" s="1" t="s">
        <v>1828</v>
      </c>
      <c r="I12890">
        <v>1</v>
      </c>
      <c r="J12890">
        <f>IF($H12890=0,1,IF($I12890&lt;=1,2,0))</f>
        <v>2</v>
      </c>
      <c r="K12890">
        <v>5</v>
      </c>
      <c r="L12890">
        <f>IF(AND($J12890=0,$K12890=0),0,1)</f>
        <v>1</v>
      </c>
    </row>
    <row r="12891" spans="1:12" x14ac:dyDescent="0.2">
      <c r="A12891" t="s">
        <v>556</v>
      </c>
      <c r="B12891" t="s">
        <v>71</v>
      </c>
      <c r="C12891" t="s">
        <v>72</v>
      </c>
      <c r="D12891">
        <v>9000</v>
      </c>
      <c r="E12891">
        <v>2020</v>
      </c>
      <c r="F12891">
        <v>5</v>
      </c>
      <c r="G12891">
        <v>10427</v>
      </c>
      <c r="H12891" s="1" t="s">
        <v>1828</v>
      </c>
      <c r="I12891">
        <v>0</v>
      </c>
      <c r="J12891">
        <f>IF($H12891=0,1,IF($I12891&lt;=1,2,0))</f>
        <v>2</v>
      </c>
      <c r="K12891">
        <v>5</v>
      </c>
      <c r="L12891">
        <f>IF(AND($J12891=0,$K12891=0),0,1)</f>
        <v>1</v>
      </c>
    </row>
    <row r="12892" spans="1:12" x14ac:dyDescent="0.2">
      <c r="A12892" t="s">
        <v>556</v>
      </c>
      <c r="B12892" t="s">
        <v>71</v>
      </c>
      <c r="C12892" t="s">
        <v>72</v>
      </c>
      <c r="D12892">
        <v>9000</v>
      </c>
      <c r="E12892">
        <v>2020</v>
      </c>
      <c r="F12892">
        <v>10</v>
      </c>
      <c r="G12892">
        <v>10433</v>
      </c>
      <c r="H12892" s="1" t="s">
        <v>1828</v>
      </c>
      <c r="I12892">
        <v>0</v>
      </c>
      <c r="J12892">
        <f>IF($H12892=0,1,IF($I12892&lt;=1,2,0))</f>
        <v>2</v>
      </c>
      <c r="K12892">
        <v>5</v>
      </c>
      <c r="L12892">
        <f>IF(AND($J12892=0,$K12892=0),0,1)</f>
        <v>1</v>
      </c>
    </row>
    <row r="12893" spans="1:12" x14ac:dyDescent="0.2">
      <c r="A12893" t="s">
        <v>556</v>
      </c>
      <c r="B12893" t="s">
        <v>71</v>
      </c>
      <c r="C12893" t="s">
        <v>72</v>
      </c>
      <c r="D12893">
        <v>9000</v>
      </c>
      <c r="E12893">
        <v>2020</v>
      </c>
      <c r="F12893">
        <v>14</v>
      </c>
      <c r="G12893">
        <v>10437</v>
      </c>
      <c r="H12893" s="1" t="s">
        <v>1828</v>
      </c>
      <c r="I12893">
        <v>0</v>
      </c>
      <c r="J12893">
        <f>IF($H12893=0,1,IF($I12893&lt;=1,2,0))</f>
        <v>2</v>
      </c>
      <c r="K12893">
        <v>5</v>
      </c>
      <c r="L12893">
        <f>IF(AND($J12893=0,$K12893=0),0,1)</f>
        <v>1</v>
      </c>
    </row>
    <row r="12894" spans="1:12" x14ac:dyDescent="0.2">
      <c r="A12894" t="s">
        <v>556</v>
      </c>
      <c r="B12894" t="s">
        <v>71</v>
      </c>
      <c r="C12894" t="s">
        <v>72</v>
      </c>
      <c r="D12894">
        <v>9000</v>
      </c>
      <c r="E12894">
        <v>2020</v>
      </c>
      <c r="F12894">
        <v>19</v>
      </c>
      <c r="G12894">
        <v>10442</v>
      </c>
      <c r="H12894" s="1" t="s">
        <v>1828</v>
      </c>
      <c r="I12894">
        <v>0</v>
      </c>
      <c r="J12894">
        <f>IF($H12894=0,1,IF($I12894&lt;=1,2,0))</f>
        <v>2</v>
      </c>
      <c r="K12894">
        <v>5</v>
      </c>
      <c r="L12894">
        <f>IF(AND($J12894=0,$K12894=0),0,1)</f>
        <v>1</v>
      </c>
    </row>
    <row r="12895" spans="1:12" x14ac:dyDescent="0.2">
      <c r="A12895" t="s">
        <v>556</v>
      </c>
      <c r="B12895" t="s">
        <v>71</v>
      </c>
      <c r="C12895" t="s">
        <v>72</v>
      </c>
      <c r="D12895">
        <v>9500</v>
      </c>
      <c r="E12895">
        <v>2020</v>
      </c>
      <c r="F12895">
        <v>1</v>
      </c>
      <c r="G12895">
        <v>10266</v>
      </c>
      <c r="H12895" s="1">
        <v>0</v>
      </c>
      <c r="I12895">
        <v>26</v>
      </c>
      <c r="J12895">
        <f>IF($H12895=0,1,IF($I12895&lt;=1,2,0))</f>
        <v>1</v>
      </c>
      <c r="K12895">
        <v>5</v>
      </c>
      <c r="L12895">
        <f>IF(AND($J12895=0,$K12895=0),0,1)</f>
        <v>1</v>
      </c>
    </row>
    <row r="12896" spans="1:12" x14ac:dyDescent="0.2">
      <c r="A12896" t="s">
        <v>556</v>
      </c>
      <c r="B12896" t="s">
        <v>71</v>
      </c>
      <c r="C12896" t="s">
        <v>72</v>
      </c>
      <c r="D12896">
        <v>9800</v>
      </c>
      <c r="E12896">
        <v>2020</v>
      </c>
      <c r="F12896">
        <v>1</v>
      </c>
      <c r="G12896">
        <v>10485</v>
      </c>
      <c r="H12896" s="1" t="s">
        <v>1838</v>
      </c>
      <c r="I12896">
        <v>0</v>
      </c>
      <c r="J12896">
        <f>IF($H12896=0,1,IF($I12896&lt;=1,2,0))</f>
        <v>2</v>
      </c>
      <c r="K12896">
        <v>5</v>
      </c>
      <c r="L12896">
        <f>IF(AND($J12896=0,$K12896=0),0,1)</f>
        <v>1</v>
      </c>
    </row>
    <row r="12897" spans="1:13" x14ac:dyDescent="0.2">
      <c r="A12897" t="s">
        <v>1146</v>
      </c>
      <c r="B12897" t="s">
        <v>1</v>
      </c>
      <c r="C12897" t="s">
        <v>2</v>
      </c>
      <c r="D12897">
        <v>1111</v>
      </c>
      <c r="E12897">
        <v>2020</v>
      </c>
      <c r="F12897">
        <v>1</v>
      </c>
      <c r="G12897">
        <v>823</v>
      </c>
      <c r="H12897" s="1">
        <v>1.5</v>
      </c>
      <c r="I12897">
        <v>5</v>
      </c>
      <c r="J12897">
        <f>IF($H12897=0,1,IF($I12897&lt;=1,2,0))</f>
        <v>0</v>
      </c>
      <c r="K12897">
        <v>7</v>
      </c>
      <c r="L12897">
        <f>IF(AND($J12897=0,$K12897=0),0,1)</f>
        <v>1</v>
      </c>
      <c r="M12897" t="s">
        <v>1147</v>
      </c>
    </row>
    <row r="12898" spans="1:13" x14ac:dyDescent="0.2">
      <c r="A12898" t="s">
        <v>1146</v>
      </c>
      <c r="B12898" t="s">
        <v>1</v>
      </c>
      <c r="C12898" t="s">
        <v>2</v>
      </c>
      <c r="D12898">
        <v>2222</v>
      </c>
      <c r="E12898">
        <v>2020</v>
      </c>
      <c r="F12898">
        <v>1</v>
      </c>
      <c r="G12898">
        <v>824</v>
      </c>
      <c r="H12898" s="1">
        <v>1.5</v>
      </c>
      <c r="I12898">
        <v>5</v>
      </c>
      <c r="J12898">
        <f>IF($H12898=0,1,IF($I12898&lt;=1,2,0))</f>
        <v>0</v>
      </c>
      <c r="K12898">
        <v>7</v>
      </c>
      <c r="L12898">
        <f>IF(AND($J12898=0,$K12898=0),0,1)</f>
        <v>1</v>
      </c>
      <c r="M12898" t="s">
        <v>1148</v>
      </c>
    </row>
    <row r="12899" spans="1:13" x14ac:dyDescent="0.2">
      <c r="A12899" t="s">
        <v>562</v>
      </c>
      <c r="B12899" t="s">
        <v>17</v>
      </c>
      <c r="C12899" t="s">
        <v>9</v>
      </c>
      <c r="D12899">
        <v>1401</v>
      </c>
      <c r="E12899">
        <v>2020</v>
      </c>
      <c r="F12899">
        <v>1</v>
      </c>
      <c r="G12899">
        <v>10934</v>
      </c>
      <c r="H12899" s="1">
        <v>1</v>
      </c>
      <c r="I12899">
        <v>1</v>
      </c>
      <c r="J12899">
        <f>IF($H12899=0,1,IF($I12899&lt;=1,2,0))</f>
        <v>2</v>
      </c>
      <c r="K12899">
        <v>8</v>
      </c>
      <c r="L12899">
        <f>IF(AND($J12899=0,$K12899=0),0,1)</f>
        <v>1</v>
      </c>
      <c r="M12899" t="s">
        <v>563</v>
      </c>
    </row>
    <row r="12900" spans="1:13" x14ac:dyDescent="0.2">
      <c r="A12900" t="s">
        <v>562</v>
      </c>
      <c r="B12900" t="s">
        <v>17</v>
      </c>
      <c r="C12900" t="s">
        <v>9</v>
      </c>
      <c r="D12900">
        <v>1403</v>
      </c>
      <c r="E12900">
        <v>2020</v>
      </c>
      <c r="F12900">
        <v>1</v>
      </c>
      <c r="G12900">
        <v>10935</v>
      </c>
      <c r="H12900" s="1">
        <v>1</v>
      </c>
      <c r="I12900">
        <v>2</v>
      </c>
      <c r="J12900">
        <f>IF($H12900=0,1,IF($I12900&lt;=1,2,0))</f>
        <v>0</v>
      </c>
      <c r="K12900">
        <v>8</v>
      </c>
      <c r="L12900">
        <f>IF(AND($J12900=0,$K12900=0),0,1)</f>
        <v>1</v>
      </c>
      <c r="M12900" t="s">
        <v>564</v>
      </c>
    </row>
    <row r="12901" spans="1:13" x14ac:dyDescent="0.2">
      <c r="A12901" t="s">
        <v>562</v>
      </c>
      <c r="B12901" t="s">
        <v>17</v>
      </c>
      <c r="C12901" t="s">
        <v>9</v>
      </c>
      <c r="D12901">
        <v>1403</v>
      </c>
      <c r="E12901">
        <v>2020</v>
      </c>
      <c r="F12901">
        <v>3</v>
      </c>
      <c r="G12901">
        <v>10938</v>
      </c>
      <c r="H12901" s="1">
        <v>1</v>
      </c>
      <c r="I12901">
        <v>2</v>
      </c>
      <c r="J12901">
        <f>IF($H12901=0,1,IF($I12901&lt;=1,2,0))</f>
        <v>0</v>
      </c>
      <c r="K12901">
        <v>8</v>
      </c>
      <c r="L12901">
        <f>IF(AND($J12901=0,$K12901=0),0,1)</f>
        <v>1</v>
      </c>
      <c r="M12901" t="s">
        <v>564</v>
      </c>
    </row>
    <row r="12902" spans="1:13" x14ac:dyDescent="0.2">
      <c r="A12902" t="s">
        <v>562</v>
      </c>
      <c r="B12902" t="s">
        <v>17</v>
      </c>
      <c r="C12902" t="s">
        <v>9</v>
      </c>
      <c r="D12902">
        <v>1405</v>
      </c>
      <c r="E12902">
        <v>2020</v>
      </c>
      <c r="F12902">
        <v>1</v>
      </c>
      <c r="G12902">
        <v>10939</v>
      </c>
      <c r="H12902" s="1">
        <v>1</v>
      </c>
      <c r="I12902">
        <v>1</v>
      </c>
      <c r="J12902">
        <f>IF($H12902=0,1,IF($I12902&lt;=1,2,0))</f>
        <v>2</v>
      </c>
      <c r="K12902">
        <v>8</v>
      </c>
      <c r="L12902">
        <f>IF(AND($J12902=0,$K12902=0),0,1)</f>
        <v>1</v>
      </c>
      <c r="M12902" t="s">
        <v>564</v>
      </c>
    </row>
    <row r="12903" spans="1:13" x14ac:dyDescent="0.2">
      <c r="A12903" t="s">
        <v>562</v>
      </c>
      <c r="B12903" t="s">
        <v>17</v>
      </c>
      <c r="C12903" t="s">
        <v>9</v>
      </c>
      <c r="D12903">
        <v>1407</v>
      </c>
      <c r="E12903">
        <v>2020</v>
      </c>
      <c r="F12903">
        <v>1</v>
      </c>
      <c r="G12903">
        <v>11072</v>
      </c>
      <c r="H12903" s="1">
        <v>1</v>
      </c>
      <c r="I12903">
        <v>0</v>
      </c>
      <c r="J12903">
        <f>IF($H12903=0,1,IF($I12903&lt;=1,2,0))</f>
        <v>2</v>
      </c>
      <c r="K12903">
        <v>8</v>
      </c>
      <c r="L12903">
        <f>IF(AND($J12903=0,$K12903=0),0,1)</f>
        <v>1</v>
      </c>
      <c r="M12903" t="s">
        <v>564</v>
      </c>
    </row>
    <row r="12904" spans="1:13" x14ac:dyDescent="0.2">
      <c r="A12904" t="s">
        <v>562</v>
      </c>
      <c r="B12904" t="s">
        <v>17</v>
      </c>
      <c r="C12904" t="s">
        <v>9</v>
      </c>
      <c r="D12904">
        <v>1409</v>
      </c>
      <c r="E12904">
        <v>2020</v>
      </c>
      <c r="F12904">
        <v>1</v>
      </c>
      <c r="G12904">
        <v>10941</v>
      </c>
      <c r="H12904" s="1">
        <v>1</v>
      </c>
      <c r="I12904">
        <v>0</v>
      </c>
      <c r="J12904">
        <f>IF($H12904=0,1,IF($I12904&lt;=1,2,0))</f>
        <v>2</v>
      </c>
      <c r="K12904">
        <v>8</v>
      </c>
      <c r="L12904">
        <f>IF(AND($J12904=0,$K12904=0),0,1)</f>
        <v>1</v>
      </c>
      <c r="M12904" t="s">
        <v>564</v>
      </c>
    </row>
    <row r="12905" spans="1:13" x14ac:dyDescent="0.2">
      <c r="A12905" t="s">
        <v>562</v>
      </c>
      <c r="B12905" t="s">
        <v>17</v>
      </c>
      <c r="C12905" t="s">
        <v>9</v>
      </c>
      <c r="D12905">
        <v>1409</v>
      </c>
      <c r="E12905">
        <v>2020</v>
      </c>
      <c r="F12905">
        <v>2</v>
      </c>
      <c r="G12905">
        <v>10942</v>
      </c>
      <c r="H12905" s="1">
        <v>1</v>
      </c>
      <c r="I12905">
        <v>0</v>
      </c>
      <c r="J12905">
        <f>IF($H12905=0,1,IF($I12905&lt;=1,2,0))</f>
        <v>2</v>
      </c>
      <c r="K12905">
        <v>8</v>
      </c>
      <c r="L12905">
        <f>IF(AND($J12905=0,$K12905=0),0,1)</f>
        <v>1</v>
      </c>
      <c r="M12905" t="s">
        <v>564</v>
      </c>
    </row>
    <row r="12906" spans="1:13" x14ac:dyDescent="0.2">
      <c r="A12906" t="s">
        <v>562</v>
      </c>
      <c r="B12906" t="s">
        <v>17</v>
      </c>
      <c r="C12906" t="s">
        <v>9</v>
      </c>
      <c r="D12906">
        <v>1409</v>
      </c>
      <c r="E12906">
        <v>2020</v>
      </c>
      <c r="F12906">
        <v>3</v>
      </c>
      <c r="G12906">
        <v>10943</v>
      </c>
      <c r="H12906" s="1">
        <v>1</v>
      </c>
      <c r="I12906">
        <v>0</v>
      </c>
      <c r="J12906">
        <f>IF($H12906=0,1,IF($I12906&lt;=1,2,0))</f>
        <v>2</v>
      </c>
      <c r="K12906">
        <v>8</v>
      </c>
      <c r="L12906">
        <f>IF(AND($J12906=0,$K12906=0),0,1)</f>
        <v>1</v>
      </c>
      <c r="M12906" t="s">
        <v>564</v>
      </c>
    </row>
    <row r="12907" spans="1:13" x14ac:dyDescent="0.2">
      <c r="A12907" t="s">
        <v>562</v>
      </c>
      <c r="B12907" t="s">
        <v>17</v>
      </c>
      <c r="C12907" t="s">
        <v>9</v>
      </c>
      <c r="D12907">
        <v>1411</v>
      </c>
      <c r="E12907">
        <v>2020</v>
      </c>
      <c r="F12907">
        <v>1</v>
      </c>
      <c r="G12907">
        <v>11145</v>
      </c>
      <c r="H12907" s="1">
        <v>1</v>
      </c>
      <c r="I12907">
        <v>0</v>
      </c>
      <c r="J12907">
        <f>IF($H12907=0,1,IF($I12907&lt;=1,2,0))</f>
        <v>2</v>
      </c>
      <c r="K12907">
        <v>8</v>
      </c>
      <c r="L12907">
        <f>IF(AND($J12907=0,$K12907=0),0,1)</f>
        <v>1</v>
      </c>
      <c r="M12907" t="s">
        <v>564</v>
      </c>
    </row>
    <row r="12908" spans="1:13" x14ac:dyDescent="0.2">
      <c r="A12908" t="s">
        <v>562</v>
      </c>
      <c r="B12908" t="s">
        <v>17</v>
      </c>
      <c r="C12908" t="s">
        <v>9</v>
      </c>
      <c r="D12908">
        <v>1413</v>
      </c>
      <c r="E12908">
        <v>2020</v>
      </c>
      <c r="F12908">
        <v>1</v>
      </c>
      <c r="G12908">
        <v>10945</v>
      </c>
      <c r="H12908" s="1">
        <v>1</v>
      </c>
      <c r="I12908">
        <v>1</v>
      </c>
      <c r="J12908">
        <f>IF($H12908=0,1,IF($I12908&lt;=1,2,0))</f>
        <v>2</v>
      </c>
      <c r="K12908">
        <v>8</v>
      </c>
      <c r="L12908">
        <f>IF(AND($J12908=0,$K12908=0),0,1)</f>
        <v>1</v>
      </c>
      <c r="M12908" t="s">
        <v>564</v>
      </c>
    </row>
    <row r="12909" spans="1:13" x14ac:dyDescent="0.2">
      <c r="A12909" t="s">
        <v>562</v>
      </c>
      <c r="B12909" t="s">
        <v>17</v>
      </c>
      <c r="C12909" t="s">
        <v>9</v>
      </c>
      <c r="D12909">
        <v>1415</v>
      </c>
      <c r="E12909">
        <v>2020</v>
      </c>
      <c r="F12909">
        <v>1</v>
      </c>
      <c r="G12909">
        <v>11071</v>
      </c>
      <c r="H12909" s="1">
        <v>1</v>
      </c>
      <c r="I12909">
        <v>0</v>
      </c>
      <c r="J12909">
        <f>IF($H12909=0,1,IF($I12909&lt;=1,2,0))</f>
        <v>2</v>
      </c>
      <c r="K12909">
        <v>8</v>
      </c>
      <c r="L12909">
        <f>IF(AND($J12909=0,$K12909=0),0,1)</f>
        <v>1</v>
      </c>
      <c r="M12909" t="s">
        <v>564</v>
      </c>
    </row>
    <row r="12910" spans="1:13" x14ac:dyDescent="0.2">
      <c r="A12910" t="s">
        <v>562</v>
      </c>
      <c r="B12910" t="s">
        <v>17</v>
      </c>
      <c r="C12910" t="s">
        <v>9</v>
      </c>
      <c r="D12910">
        <v>1417</v>
      </c>
      <c r="E12910">
        <v>2020</v>
      </c>
      <c r="F12910">
        <v>1</v>
      </c>
      <c r="G12910">
        <v>10946</v>
      </c>
      <c r="H12910" s="1">
        <v>1</v>
      </c>
      <c r="I12910">
        <v>1</v>
      </c>
      <c r="J12910">
        <f>IF($H12910=0,1,IF($I12910&lt;=1,2,0))</f>
        <v>2</v>
      </c>
      <c r="K12910">
        <v>8</v>
      </c>
      <c r="L12910">
        <f>IF(AND($J12910=0,$K12910=0),0,1)</f>
        <v>1</v>
      </c>
      <c r="M12910" t="s">
        <v>564</v>
      </c>
    </row>
    <row r="12911" spans="1:13" x14ac:dyDescent="0.2">
      <c r="A12911" t="s">
        <v>562</v>
      </c>
      <c r="B12911" t="s">
        <v>17</v>
      </c>
      <c r="C12911" t="s">
        <v>9</v>
      </c>
      <c r="D12911">
        <v>1419</v>
      </c>
      <c r="E12911">
        <v>2020</v>
      </c>
      <c r="F12911">
        <v>1</v>
      </c>
      <c r="G12911">
        <v>10947</v>
      </c>
      <c r="H12911" s="1">
        <v>1</v>
      </c>
      <c r="I12911">
        <v>1</v>
      </c>
      <c r="J12911">
        <f>IF($H12911=0,1,IF($I12911&lt;=1,2,0))</f>
        <v>2</v>
      </c>
      <c r="K12911">
        <v>8</v>
      </c>
      <c r="L12911">
        <f>IF(AND($J12911=0,$K12911=0),0,1)</f>
        <v>1</v>
      </c>
      <c r="M12911" t="s">
        <v>564</v>
      </c>
    </row>
    <row r="12912" spans="1:13" x14ac:dyDescent="0.2">
      <c r="A12912" t="s">
        <v>562</v>
      </c>
      <c r="B12912" t="s">
        <v>17</v>
      </c>
      <c r="C12912" t="s">
        <v>9</v>
      </c>
      <c r="D12912">
        <v>1421</v>
      </c>
      <c r="E12912">
        <v>2020</v>
      </c>
      <c r="F12912">
        <v>1</v>
      </c>
      <c r="G12912">
        <v>10948</v>
      </c>
      <c r="H12912" s="1">
        <v>1</v>
      </c>
      <c r="I12912">
        <v>0</v>
      </c>
      <c r="J12912">
        <f>IF($H12912=0,1,IF($I12912&lt;=1,2,0))</f>
        <v>2</v>
      </c>
      <c r="K12912">
        <v>8</v>
      </c>
      <c r="L12912">
        <f>IF(AND($J12912=0,$K12912=0),0,1)</f>
        <v>1</v>
      </c>
      <c r="M12912" t="s">
        <v>564</v>
      </c>
    </row>
    <row r="12913" spans="1:13" x14ac:dyDescent="0.2">
      <c r="A12913" t="s">
        <v>562</v>
      </c>
      <c r="B12913" t="s">
        <v>17</v>
      </c>
      <c r="C12913" t="s">
        <v>9</v>
      </c>
      <c r="D12913">
        <v>1423</v>
      </c>
      <c r="E12913">
        <v>2020</v>
      </c>
      <c r="F12913">
        <v>1</v>
      </c>
      <c r="G12913">
        <v>10949</v>
      </c>
      <c r="H12913" s="1">
        <v>1</v>
      </c>
      <c r="I12913">
        <v>0</v>
      </c>
      <c r="J12913">
        <f>IF($H12913=0,1,IF($I12913&lt;=1,2,0))</f>
        <v>2</v>
      </c>
      <c r="K12913">
        <v>8</v>
      </c>
      <c r="L12913">
        <f>IF(AND($J12913=0,$K12913=0),0,1)</f>
        <v>1</v>
      </c>
      <c r="M12913" t="s">
        <v>564</v>
      </c>
    </row>
    <row r="12914" spans="1:13" x14ac:dyDescent="0.2">
      <c r="A12914" t="s">
        <v>562</v>
      </c>
      <c r="B12914" t="s">
        <v>17</v>
      </c>
      <c r="C12914" t="s">
        <v>9</v>
      </c>
      <c r="D12914">
        <v>1425</v>
      </c>
      <c r="E12914">
        <v>2020</v>
      </c>
      <c r="F12914">
        <v>2</v>
      </c>
      <c r="G12914">
        <v>10959</v>
      </c>
      <c r="H12914" s="1">
        <v>1</v>
      </c>
      <c r="I12914">
        <v>18</v>
      </c>
      <c r="J12914">
        <f>IF($H12914=0,1,IF($I12914&lt;=1,2,0))</f>
        <v>0</v>
      </c>
      <c r="K12914">
        <v>8</v>
      </c>
      <c r="L12914">
        <f>IF(AND($J12914=0,$K12914=0),0,1)</f>
        <v>1</v>
      </c>
      <c r="M12914" t="s">
        <v>1149</v>
      </c>
    </row>
    <row r="12915" spans="1:13" x14ac:dyDescent="0.2">
      <c r="A12915" t="s">
        <v>562</v>
      </c>
      <c r="B12915" t="s">
        <v>17</v>
      </c>
      <c r="C12915" t="s">
        <v>9</v>
      </c>
      <c r="D12915">
        <v>1425</v>
      </c>
      <c r="E12915">
        <v>2020</v>
      </c>
      <c r="F12915">
        <v>1</v>
      </c>
      <c r="G12915">
        <v>10956</v>
      </c>
      <c r="H12915" s="1">
        <v>1</v>
      </c>
      <c r="I12915">
        <v>14</v>
      </c>
      <c r="J12915">
        <f>IF($H12915=0,1,IF($I12915&lt;=1,2,0))</f>
        <v>0</v>
      </c>
      <c r="K12915">
        <v>8</v>
      </c>
      <c r="L12915">
        <f>IF(AND($J12915=0,$K12915=0),0,1)</f>
        <v>1</v>
      </c>
      <c r="M12915" t="s">
        <v>1149</v>
      </c>
    </row>
    <row r="12916" spans="1:13" x14ac:dyDescent="0.2">
      <c r="A12916" t="s">
        <v>562</v>
      </c>
      <c r="B12916" t="s">
        <v>17</v>
      </c>
      <c r="C12916" t="s">
        <v>9</v>
      </c>
      <c r="D12916">
        <v>1425</v>
      </c>
      <c r="E12916">
        <v>2020</v>
      </c>
      <c r="F12916">
        <v>3</v>
      </c>
      <c r="G12916">
        <v>10960</v>
      </c>
      <c r="H12916" s="1">
        <v>1</v>
      </c>
      <c r="I12916">
        <v>5</v>
      </c>
      <c r="J12916">
        <f>IF($H12916=0,1,IF($I12916&lt;=1,2,0))</f>
        <v>0</v>
      </c>
      <c r="K12916">
        <v>8</v>
      </c>
      <c r="L12916">
        <f>IF(AND($J12916=0,$K12916=0),0,1)</f>
        <v>1</v>
      </c>
      <c r="M12916" t="s">
        <v>1149</v>
      </c>
    </row>
    <row r="12917" spans="1:13" x14ac:dyDescent="0.2">
      <c r="A12917" t="s">
        <v>562</v>
      </c>
      <c r="B12917" t="s">
        <v>17</v>
      </c>
      <c r="C12917" t="s">
        <v>9</v>
      </c>
      <c r="D12917">
        <v>1427</v>
      </c>
      <c r="E12917">
        <v>2020</v>
      </c>
      <c r="F12917">
        <v>1</v>
      </c>
      <c r="G12917">
        <v>11068</v>
      </c>
      <c r="H12917" s="1">
        <v>1</v>
      </c>
      <c r="I12917">
        <v>1</v>
      </c>
      <c r="J12917">
        <f>IF($H12917=0,1,IF($I12917&lt;=1,2,0))</f>
        <v>2</v>
      </c>
      <c r="K12917">
        <v>8</v>
      </c>
      <c r="L12917">
        <f>IF(AND($J12917=0,$K12917=0),0,1)</f>
        <v>1</v>
      </c>
      <c r="M12917" t="s">
        <v>564</v>
      </c>
    </row>
    <row r="12918" spans="1:13" x14ac:dyDescent="0.2">
      <c r="A12918" t="s">
        <v>562</v>
      </c>
      <c r="B12918" t="s">
        <v>17</v>
      </c>
      <c r="C12918" t="s">
        <v>9</v>
      </c>
      <c r="D12918">
        <v>1429</v>
      </c>
      <c r="E12918">
        <v>2020</v>
      </c>
      <c r="F12918">
        <v>1</v>
      </c>
      <c r="G12918">
        <v>10961</v>
      </c>
      <c r="H12918" s="1">
        <v>1</v>
      </c>
      <c r="I12918">
        <v>0</v>
      </c>
      <c r="J12918">
        <f>IF($H12918=0,1,IF($I12918&lt;=1,2,0))</f>
        <v>2</v>
      </c>
      <c r="K12918">
        <v>8</v>
      </c>
      <c r="L12918">
        <f>IF(AND($J12918=0,$K12918=0),0,1)</f>
        <v>1</v>
      </c>
      <c r="M12918" t="s">
        <v>564</v>
      </c>
    </row>
    <row r="12919" spans="1:13" x14ac:dyDescent="0.2">
      <c r="A12919" t="s">
        <v>562</v>
      </c>
      <c r="B12919" t="s">
        <v>17</v>
      </c>
      <c r="C12919" t="s">
        <v>9</v>
      </c>
      <c r="D12919">
        <v>1431</v>
      </c>
      <c r="E12919">
        <v>2020</v>
      </c>
      <c r="F12919">
        <v>1</v>
      </c>
      <c r="G12919">
        <v>11069</v>
      </c>
      <c r="H12919" s="1">
        <v>1</v>
      </c>
      <c r="I12919">
        <v>0</v>
      </c>
      <c r="J12919">
        <f>IF($H12919=0,1,IF($I12919&lt;=1,2,0))</f>
        <v>2</v>
      </c>
      <c r="K12919">
        <v>8</v>
      </c>
      <c r="L12919">
        <f>IF(AND($J12919=0,$K12919=0),0,1)</f>
        <v>1</v>
      </c>
      <c r="M12919" t="s">
        <v>564</v>
      </c>
    </row>
    <row r="12920" spans="1:13" x14ac:dyDescent="0.2">
      <c r="A12920" t="s">
        <v>562</v>
      </c>
      <c r="B12920" t="s">
        <v>17</v>
      </c>
      <c r="C12920" t="s">
        <v>9</v>
      </c>
      <c r="D12920">
        <v>1433</v>
      </c>
      <c r="E12920">
        <v>2020</v>
      </c>
      <c r="F12920">
        <v>1</v>
      </c>
      <c r="G12920">
        <v>11070</v>
      </c>
      <c r="H12920" s="1">
        <v>1</v>
      </c>
      <c r="I12920">
        <v>0</v>
      </c>
      <c r="J12920">
        <f>IF($H12920=0,1,IF($I12920&lt;=1,2,0))</f>
        <v>2</v>
      </c>
      <c r="K12920">
        <v>8</v>
      </c>
      <c r="L12920">
        <f>IF(AND($J12920=0,$K12920=0),0,1)</f>
        <v>1</v>
      </c>
      <c r="M12920" t="s">
        <v>564</v>
      </c>
    </row>
    <row r="12921" spans="1:13" x14ac:dyDescent="0.2">
      <c r="A12921" t="s">
        <v>562</v>
      </c>
      <c r="B12921" t="s">
        <v>17</v>
      </c>
      <c r="C12921" t="s">
        <v>9</v>
      </c>
      <c r="D12921">
        <v>1435</v>
      </c>
      <c r="E12921">
        <v>2020</v>
      </c>
      <c r="F12921">
        <v>1</v>
      </c>
      <c r="G12921">
        <v>10964</v>
      </c>
      <c r="H12921" s="1">
        <v>1</v>
      </c>
      <c r="I12921">
        <v>2</v>
      </c>
      <c r="J12921">
        <f>IF($H12921=0,1,IF($I12921&lt;=1,2,0))</f>
        <v>0</v>
      </c>
      <c r="K12921">
        <v>8</v>
      </c>
      <c r="L12921">
        <f>IF(AND($J12921=0,$K12921=0),0,1)</f>
        <v>1</v>
      </c>
      <c r="M12921" t="s">
        <v>564</v>
      </c>
    </row>
    <row r="12922" spans="1:13" x14ac:dyDescent="0.2">
      <c r="A12922" t="s">
        <v>562</v>
      </c>
      <c r="B12922" t="s">
        <v>17</v>
      </c>
      <c r="C12922" t="s">
        <v>9</v>
      </c>
      <c r="D12922">
        <v>1435</v>
      </c>
      <c r="E12922">
        <v>2020</v>
      </c>
      <c r="F12922">
        <v>2</v>
      </c>
      <c r="G12922">
        <v>10966</v>
      </c>
      <c r="H12922" s="1">
        <v>1</v>
      </c>
      <c r="I12922">
        <v>2</v>
      </c>
      <c r="J12922">
        <f>IF($H12922=0,1,IF($I12922&lt;=1,2,0))</f>
        <v>0</v>
      </c>
      <c r="K12922">
        <v>8</v>
      </c>
      <c r="L12922">
        <f>IF(AND($J12922=0,$K12922=0),0,1)</f>
        <v>1</v>
      </c>
      <c r="M12922" t="s">
        <v>564</v>
      </c>
    </row>
    <row r="12923" spans="1:13" x14ac:dyDescent="0.2">
      <c r="A12923" t="s">
        <v>562</v>
      </c>
      <c r="B12923" t="s">
        <v>17</v>
      </c>
      <c r="C12923" t="s">
        <v>9</v>
      </c>
      <c r="D12923">
        <v>1435</v>
      </c>
      <c r="E12923">
        <v>2020</v>
      </c>
      <c r="F12923">
        <v>3</v>
      </c>
      <c r="G12923">
        <v>10968</v>
      </c>
      <c r="H12923" s="1">
        <v>1</v>
      </c>
      <c r="I12923">
        <v>1</v>
      </c>
      <c r="J12923">
        <f>IF($H12923=0,1,IF($I12923&lt;=1,2,0))</f>
        <v>2</v>
      </c>
      <c r="K12923">
        <v>8</v>
      </c>
      <c r="L12923">
        <f>IF(AND($J12923=0,$K12923=0),0,1)</f>
        <v>1</v>
      </c>
      <c r="M12923" t="s">
        <v>564</v>
      </c>
    </row>
    <row r="12924" spans="1:13" x14ac:dyDescent="0.2">
      <c r="A12924" t="s">
        <v>562</v>
      </c>
      <c r="B12924" t="s">
        <v>17</v>
      </c>
      <c r="C12924" t="s">
        <v>9</v>
      </c>
      <c r="D12924">
        <v>1437</v>
      </c>
      <c r="E12924">
        <v>2020</v>
      </c>
      <c r="F12924">
        <v>1</v>
      </c>
      <c r="G12924">
        <v>10970</v>
      </c>
      <c r="H12924" s="1">
        <v>1</v>
      </c>
      <c r="I12924">
        <v>2</v>
      </c>
      <c r="J12924">
        <f>IF($H12924=0,1,IF($I12924&lt;=1,2,0))</f>
        <v>0</v>
      </c>
      <c r="K12924">
        <v>8</v>
      </c>
      <c r="L12924">
        <f>IF(AND($J12924=0,$K12924=0),0,1)</f>
        <v>1</v>
      </c>
      <c r="M12924" t="s">
        <v>564</v>
      </c>
    </row>
    <row r="12925" spans="1:13" x14ac:dyDescent="0.2">
      <c r="A12925" t="s">
        <v>562</v>
      </c>
      <c r="B12925" t="s">
        <v>17</v>
      </c>
      <c r="C12925" t="s">
        <v>9</v>
      </c>
      <c r="D12925">
        <v>1437</v>
      </c>
      <c r="E12925">
        <v>2020</v>
      </c>
      <c r="F12925">
        <v>2</v>
      </c>
      <c r="G12925">
        <v>10971</v>
      </c>
      <c r="H12925" s="1">
        <v>1</v>
      </c>
      <c r="I12925">
        <v>1</v>
      </c>
      <c r="J12925">
        <f>IF($H12925=0,1,IF($I12925&lt;=1,2,0))</f>
        <v>2</v>
      </c>
      <c r="K12925">
        <v>8</v>
      </c>
      <c r="L12925">
        <f>IF(AND($J12925=0,$K12925=0),0,1)</f>
        <v>1</v>
      </c>
      <c r="M12925" t="s">
        <v>564</v>
      </c>
    </row>
    <row r="12926" spans="1:13" x14ac:dyDescent="0.2">
      <c r="A12926" t="s">
        <v>562</v>
      </c>
      <c r="B12926" t="s">
        <v>17</v>
      </c>
      <c r="C12926" t="s">
        <v>9</v>
      </c>
      <c r="D12926">
        <v>1437</v>
      </c>
      <c r="E12926">
        <v>2020</v>
      </c>
      <c r="F12926">
        <v>5</v>
      </c>
      <c r="G12926">
        <v>10973</v>
      </c>
      <c r="H12926" s="1">
        <v>1</v>
      </c>
      <c r="I12926">
        <v>1</v>
      </c>
      <c r="J12926">
        <f>IF($H12926=0,1,IF($I12926&lt;=1,2,0))</f>
        <v>2</v>
      </c>
      <c r="K12926">
        <v>8</v>
      </c>
      <c r="L12926">
        <f>IF(AND($J12926=0,$K12926=0),0,1)</f>
        <v>1</v>
      </c>
      <c r="M12926" t="s">
        <v>564</v>
      </c>
    </row>
    <row r="12927" spans="1:13" x14ac:dyDescent="0.2">
      <c r="A12927" t="s">
        <v>562</v>
      </c>
      <c r="B12927" t="s">
        <v>17</v>
      </c>
      <c r="C12927" t="s">
        <v>9</v>
      </c>
      <c r="D12927">
        <v>1437</v>
      </c>
      <c r="E12927">
        <v>2020</v>
      </c>
      <c r="F12927">
        <v>6</v>
      </c>
      <c r="G12927">
        <v>10974</v>
      </c>
      <c r="H12927" s="1">
        <v>1</v>
      </c>
      <c r="I12927">
        <v>1</v>
      </c>
      <c r="J12927">
        <f>IF($H12927=0,1,IF($I12927&lt;=1,2,0))</f>
        <v>2</v>
      </c>
      <c r="K12927">
        <v>8</v>
      </c>
      <c r="L12927">
        <f>IF(AND($J12927=0,$K12927=0),0,1)</f>
        <v>1</v>
      </c>
      <c r="M12927" t="s">
        <v>564</v>
      </c>
    </row>
    <row r="12928" spans="1:13" x14ac:dyDescent="0.2">
      <c r="A12928" t="s">
        <v>562</v>
      </c>
      <c r="B12928" t="s">
        <v>17</v>
      </c>
      <c r="C12928" t="s">
        <v>9</v>
      </c>
      <c r="D12928">
        <v>1437</v>
      </c>
      <c r="E12928">
        <v>2020</v>
      </c>
      <c r="F12928">
        <v>4</v>
      </c>
      <c r="G12928">
        <v>10972</v>
      </c>
      <c r="H12928" s="1">
        <v>1</v>
      </c>
      <c r="I12928">
        <v>0</v>
      </c>
      <c r="J12928">
        <f>IF($H12928=0,1,IF($I12928&lt;=1,2,0))</f>
        <v>2</v>
      </c>
      <c r="K12928">
        <v>8</v>
      </c>
      <c r="L12928">
        <f>IF(AND($J12928=0,$K12928=0),0,1)</f>
        <v>1</v>
      </c>
      <c r="M12928" t="s">
        <v>564</v>
      </c>
    </row>
    <row r="12929" spans="1:13" x14ac:dyDescent="0.2">
      <c r="A12929" t="s">
        <v>562</v>
      </c>
      <c r="B12929" t="s">
        <v>17</v>
      </c>
      <c r="C12929" t="s">
        <v>9</v>
      </c>
      <c r="D12929">
        <v>1443</v>
      </c>
      <c r="E12929">
        <v>2020</v>
      </c>
      <c r="F12929">
        <v>2</v>
      </c>
      <c r="G12929">
        <v>11008</v>
      </c>
      <c r="H12929" s="1">
        <v>1</v>
      </c>
      <c r="I12929">
        <v>1</v>
      </c>
      <c r="J12929">
        <f>IF($H12929=0,1,IF($I12929&lt;=1,2,0))</f>
        <v>2</v>
      </c>
      <c r="K12929">
        <v>8</v>
      </c>
      <c r="L12929">
        <f>IF(AND($J12929=0,$K12929=0),0,1)</f>
        <v>1</v>
      </c>
      <c r="M12929" t="s">
        <v>564</v>
      </c>
    </row>
    <row r="12930" spans="1:13" x14ac:dyDescent="0.2">
      <c r="A12930" t="s">
        <v>562</v>
      </c>
      <c r="B12930" t="s">
        <v>17</v>
      </c>
      <c r="C12930" t="s">
        <v>9</v>
      </c>
      <c r="D12930">
        <v>1445</v>
      </c>
      <c r="E12930">
        <v>2020</v>
      </c>
      <c r="F12930">
        <v>1</v>
      </c>
      <c r="G12930">
        <v>11146</v>
      </c>
      <c r="H12930" s="1">
        <v>1</v>
      </c>
      <c r="I12930">
        <v>1</v>
      </c>
      <c r="J12930">
        <f>IF($H12930=0,1,IF($I12930&lt;=1,2,0))</f>
        <v>2</v>
      </c>
      <c r="K12930">
        <v>8</v>
      </c>
      <c r="L12930">
        <f>IF(AND($J12930=0,$K12930=0),0,1)</f>
        <v>1</v>
      </c>
      <c r="M12930" t="s">
        <v>564</v>
      </c>
    </row>
    <row r="12931" spans="1:13" x14ac:dyDescent="0.2">
      <c r="A12931" t="s">
        <v>562</v>
      </c>
      <c r="B12931" t="s">
        <v>17</v>
      </c>
      <c r="C12931" t="s">
        <v>9</v>
      </c>
      <c r="D12931">
        <v>1447</v>
      </c>
      <c r="E12931">
        <v>2020</v>
      </c>
      <c r="F12931">
        <v>1</v>
      </c>
      <c r="G12931">
        <v>11010</v>
      </c>
      <c r="H12931" s="1">
        <v>1</v>
      </c>
      <c r="I12931">
        <v>4</v>
      </c>
      <c r="J12931">
        <f>IF($H12931=0,1,IF($I12931&lt;=1,2,0))</f>
        <v>0</v>
      </c>
      <c r="K12931">
        <v>8</v>
      </c>
      <c r="L12931">
        <f>IF(AND($J12931=0,$K12931=0),0,1)</f>
        <v>1</v>
      </c>
      <c r="M12931" t="s">
        <v>564</v>
      </c>
    </row>
    <row r="12932" spans="1:13" x14ac:dyDescent="0.2">
      <c r="A12932" t="s">
        <v>562</v>
      </c>
      <c r="B12932" t="s">
        <v>17</v>
      </c>
      <c r="C12932" t="s">
        <v>9</v>
      </c>
      <c r="D12932">
        <v>1447</v>
      </c>
      <c r="E12932">
        <v>2020</v>
      </c>
      <c r="F12932">
        <v>2</v>
      </c>
      <c r="G12932">
        <v>11011</v>
      </c>
      <c r="H12932" s="1">
        <v>1</v>
      </c>
      <c r="I12932">
        <v>0</v>
      </c>
      <c r="J12932">
        <f>IF($H12932=0,1,IF($I12932&lt;=1,2,0))</f>
        <v>2</v>
      </c>
      <c r="K12932">
        <v>8</v>
      </c>
      <c r="L12932">
        <f>IF(AND($J12932=0,$K12932=0),0,1)</f>
        <v>1</v>
      </c>
    </row>
    <row r="12933" spans="1:13" x14ac:dyDescent="0.2">
      <c r="A12933" t="s">
        <v>562</v>
      </c>
      <c r="B12933" t="s">
        <v>17</v>
      </c>
      <c r="C12933" t="s">
        <v>9</v>
      </c>
      <c r="D12933">
        <v>1449</v>
      </c>
      <c r="E12933">
        <v>2020</v>
      </c>
      <c r="F12933">
        <v>1</v>
      </c>
      <c r="G12933">
        <v>11012</v>
      </c>
      <c r="H12933" s="1">
        <v>1</v>
      </c>
      <c r="I12933">
        <v>1</v>
      </c>
      <c r="J12933">
        <f>IF($H12933=0,1,IF($I12933&lt;=1,2,0))</f>
        <v>2</v>
      </c>
      <c r="K12933">
        <v>8</v>
      </c>
      <c r="L12933">
        <f>IF(AND($J12933=0,$K12933=0),0,1)</f>
        <v>1</v>
      </c>
      <c r="M12933" t="s">
        <v>564</v>
      </c>
    </row>
    <row r="12934" spans="1:13" x14ac:dyDescent="0.2">
      <c r="A12934" t="s">
        <v>562</v>
      </c>
      <c r="B12934" t="s">
        <v>17</v>
      </c>
      <c r="C12934" t="s">
        <v>9</v>
      </c>
      <c r="D12934">
        <v>1449</v>
      </c>
      <c r="E12934">
        <v>2020</v>
      </c>
      <c r="F12934">
        <v>2</v>
      </c>
      <c r="G12934">
        <v>11013</v>
      </c>
      <c r="H12934" s="1">
        <v>1</v>
      </c>
      <c r="I12934">
        <v>0</v>
      </c>
      <c r="J12934">
        <f>IF($H12934=0,1,IF($I12934&lt;=1,2,0))</f>
        <v>2</v>
      </c>
      <c r="K12934">
        <v>8</v>
      </c>
      <c r="L12934">
        <f>IF(AND($J12934=0,$K12934=0),0,1)</f>
        <v>1</v>
      </c>
      <c r="M12934" t="s">
        <v>564</v>
      </c>
    </row>
    <row r="12935" spans="1:13" x14ac:dyDescent="0.2">
      <c r="A12935" t="s">
        <v>562</v>
      </c>
      <c r="B12935" t="s">
        <v>17</v>
      </c>
      <c r="C12935" t="s">
        <v>9</v>
      </c>
      <c r="D12935">
        <v>1451</v>
      </c>
      <c r="E12935">
        <v>2020</v>
      </c>
      <c r="F12935">
        <v>2</v>
      </c>
      <c r="G12935">
        <v>11019</v>
      </c>
      <c r="H12935" s="1">
        <v>1</v>
      </c>
      <c r="I12935">
        <v>2</v>
      </c>
      <c r="J12935">
        <f>IF($H12935=0,1,IF($I12935&lt;=1,2,0))</f>
        <v>0</v>
      </c>
      <c r="K12935">
        <v>8</v>
      </c>
      <c r="L12935">
        <f>IF(AND($J12935=0,$K12935=0),0,1)</f>
        <v>1</v>
      </c>
      <c r="M12935" t="s">
        <v>564</v>
      </c>
    </row>
    <row r="12936" spans="1:13" x14ac:dyDescent="0.2">
      <c r="A12936" t="s">
        <v>562</v>
      </c>
      <c r="B12936" t="s">
        <v>17</v>
      </c>
      <c r="C12936" t="s">
        <v>9</v>
      </c>
      <c r="D12936">
        <v>1451</v>
      </c>
      <c r="E12936">
        <v>2020</v>
      </c>
      <c r="F12936">
        <v>1</v>
      </c>
      <c r="G12936">
        <v>11018</v>
      </c>
      <c r="H12936" s="1">
        <v>1</v>
      </c>
      <c r="I12936">
        <v>0</v>
      </c>
      <c r="J12936">
        <f>IF($H12936=0,1,IF($I12936&lt;=1,2,0))</f>
        <v>2</v>
      </c>
      <c r="K12936">
        <v>8</v>
      </c>
      <c r="L12936">
        <f>IF(AND($J12936=0,$K12936=0),0,1)</f>
        <v>1</v>
      </c>
      <c r="M12936" t="s">
        <v>564</v>
      </c>
    </row>
    <row r="12937" spans="1:13" x14ac:dyDescent="0.2">
      <c r="A12937" t="s">
        <v>562</v>
      </c>
      <c r="B12937" t="s">
        <v>17</v>
      </c>
      <c r="C12937" t="s">
        <v>9</v>
      </c>
      <c r="D12937">
        <v>1451</v>
      </c>
      <c r="E12937">
        <v>2020</v>
      </c>
      <c r="F12937">
        <v>3</v>
      </c>
      <c r="G12937">
        <v>11020</v>
      </c>
      <c r="H12937" s="1">
        <v>1</v>
      </c>
      <c r="I12937">
        <v>0</v>
      </c>
      <c r="J12937">
        <f>IF($H12937=0,1,IF($I12937&lt;=1,2,0))</f>
        <v>2</v>
      </c>
      <c r="K12937">
        <v>8</v>
      </c>
      <c r="L12937">
        <f>IF(AND($J12937=0,$K12937=0),0,1)</f>
        <v>1</v>
      </c>
    </row>
    <row r="12938" spans="1:13" x14ac:dyDescent="0.2">
      <c r="A12938" t="s">
        <v>562</v>
      </c>
      <c r="B12938" t="s">
        <v>17</v>
      </c>
      <c r="C12938" t="s">
        <v>9</v>
      </c>
      <c r="D12938">
        <v>1453</v>
      </c>
      <c r="E12938">
        <v>2020</v>
      </c>
      <c r="F12938">
        <v>1</v>
      </c>
      <c r="G12938">
        <v>11014</v>
      </c>
      <c r="H12938" s="1">
        <v>1</v>
      </c>
      <c r="I12938">
        <v>4</v>
      </c>
      <c r="J12938">
        <f>IF($H12938=0,1,IF($I12938&lt;=1,2,0))</f>
        <v>0</v>
      </c>
      <c r="K12938">
        <v>8</v>
      </c>
      <c r="L12938">
        <f>IF(AND($J12938=0,$K12938=0),0,1)</f>
        <v>1</v>
      </c>
      <c r="M12938" t="s">
        <v>564</v>
      </c>
    </row>
    <row r="12939" spans="1:13" x14ac:dyDescent="0.2">
      <c r="A12939" t="s">
        <v>562</v>
      </c>
      <c r="B12939" t="s">
        <v>17</v>
      </c>
      <c r="C12939" t="s">
        <v>9</v>
      </c>
      <c r="D12939">
        <v>1453</v>
      </c>
      <c r="E12939">
        <v>2020</v>
      </c>
      <c r="F12939">
        <v>2</v>
      </c>
      <c r="G12939">
        <v>11015</v>
      </c>
      <c r="H12939" s="1">
        <v>1</v>
      </c>
      <c r="I12939">
        <v>1</v>
      </c>
      <c r="J12939">
        <f>IF($H12939=0,1,IF($I12939&lt;=1,2,0))</f>
        <v>2</v>
      </c>
      <c r="K12939">
        <v>8</v>
      </c>
      <c r="L12939">
        <f>IF(AND($J12939=0,$K12939=0),0,1)</f>
        <v>1</v>
      </c>
      <c r="M12939" t="s">
        <v>564</v>
      </c>
    </row>
    <row r="12940" spans="1:13" x14ac:dyDescent="0.2">
      <c r="A12940" t="s">
        <v>562</v>
      </c>
      <c r="B12940" t="s">
        <v>17</v>
      </c>
      <c r="C12940" t="s">
        <v>9</v>
      </c>
      <c r="D12940">
        <v>1453</v>
      </c>
      <c r="E12940">
        <v>2020</v>
      </c>
      <c r="F12940">
        <v>4</v>
      </c>
      <c r="G12940">
        <v>11016</v>
      </c>
      <c r="H12940" s="1">
        <v>1</v>
      </c>
      <c r="I12940">
        <v>0</v>
      </c>
      <c r="J12940">
        <f>IF($H12940=0,1,IF($I12940&lt;=1,2,0))</f>
        <v>2</v>
      </c>
      <c r="K12940">
        <v>8</v>
      </c>
      <c r="L12940">
        <f>IF(AND($J12940=0,$K12940=0),0,1)</f>
        <v>1</v>
      </c>
      <c r="M12940" t="s">
        <v>564</v>
      </c>
    </row>
    <row r="12941" spans="1:13" x14ac:dyDescent="0.2">
      <c r="A12941" t="s">
        <v>562</v>
      </c>
      <c r="B12941" t="s">
        <v>17</v>
      </c>
      <c r="C12941" t="s">
        <v>9</v>
      </c>
      <c r="D12941">
        <v>1455</v>
      </c>
      <c r="E12941">
        <v>2020</v>
      </c>
      <c r="F12941">
        <v>1</v>
      </c>
      <c r="G12941">
        <v>11017</v>
      </c>
      <c r="H12941" s="1">
        <v>1</v>
      </c>
      <c r="I12941">
        <v>1</v>
      </c>
      <c r="J12941">
        <f>IF($H12941=0,1,IF($I12941&lt;=1,2,0))</f>
        <v>2</v>
      </c>
      <c r="K12941">
        <v>8</v>
      </c>
      <c r="L12941">
        <f>IF(AND($J12941=0,$K12941=0),0,1)</f>
        <v>1</v>
      </c>
      <c r="M12941" t="s">
        <v>564</v>
      </c>
    </row>
    <row r="12942" spans="1:13" x14ac:dyDescent="0.2">
      <c r="A12942" t="s">
        <v>562</v>
      </c>
      <c r="B12942" t="s">
        <v>17</v>
      </c>
      <c r="C12942" t="s">
        <v>9</v>
      </c>
      <c r="D12942">
        <v>1457</v>
      </c>
      <c r="E12942">
        <v>2020</v>
      </c>
      <c r="F12942">
        <v>1</v>
      </c>
      <c r="G12942">
        <v>11021</v>
      </c>
      <c r="H12942" s="1">
        <v>1</v>
      </c>
      <c r="I12942">
        <v>1</v>
      </c>
      <c r="J12942">
        <f>IF($H12942=0,1,IF($I12942&lt;=1,2,0))</f>
        <v>2</v>
      </c>
      <c r="K12942">
        <v>8</v>
      </c>
      <c r="L12942">
        <f>IF(AND($J12942=0,$K12942=0),0,1)</f>
        <v>1</v>
      </c>
      <c r="M12942" t="s">
        <v>564</v>
      </c>
    </row>
    <row r="12943" spans="1:13" x14ac:dyDescent="0.2">
      <c r="A12943" t="s">
        <v>562</v>
      </c>
      <c r="B12943" t="s">
        <v>17</v>
      </c>
      <c r="C12943" t="s">
        <v>9</v>
      </c>
      <c r="D12943">
        <v>1459</v>
      </c>
      <c r="E12943">
        <v>2020</v>
      </c>
      <c r="F12943">
        <v>1</v>
      </c>
      <c r="G12943">
        <v>11023</v>
      </c>
      <c r="H12943" s="1">
        <v>1</v>
      </c>
      <c r="I12943">
        <v>2</v>
      </c>
      <c r="J12943">
        <f>IF($H12943=0,1,IF($I12943&lt;=1,2,0))</f>
        <v>0</v>
      </c>
      <c r="K12943">
        <v>8</v>
      </c>
      <c r="L12943">
        <f>IF(AND($J12943=0,$K12943=0),0,1)</f>
        <v>1</v>
      </c>
      <c r="M12943" t="s">
        <v>564</v>
      </c>
    </row>
    <row r="12944" spans="1:13" x14ac:dyDescent="0.2">
      <c r="A12944" t="s">
        <v>562</v>
      </c>
      <c r="B12944" t="s">
        <v>17</v>
      </c>
      <c r="C12944" t="s">
        <v>9</v>
      </c>
      <c r="D12944">
        <v>1461</v>
      </c>
      <c r="E12944">
        <v>2020</v>
      </c>
      <c r="F12944">
        <v>1</v>
      </c>
      <c r="G12944">
        <v>11024</v>
      </c>
      <c r="H12944" s="1">
        <v>1</v>
      </c>
      <c r="I12944">
        <v>7</v>
      </c>
      <c r="J12944">
        <f>IF($H12944=0,1,IF($I12944&lt;=1,2,0))</f>
        <v>0</v>
      </c>
      <c r="K12944">
        <v>8</v>
      </c>
      <c r="L12944">
        <f>IF(AND($J12944=0,$K12944=0),0,1)</f>
        <v>1</v>
      </c>
      <c r="M12944" t="s">
        <v>564</v>
      </c>
    </row>
    <row r="12945" spans="1:13" x14ac:dyDescent="0.2">
      <c r="A12945" t="s">
        <v>562</v>
      </c>
      <c r="B12945" t="s">
        <v>17</v>
      </c>
      <c r="C12945" t="s">
        <v>21</v>
      </c>
      <c r="D12945">
        <v>1531</v>
      </c>
      <c r="E12945">
        <v>2020</v>
      </c>
      <c r="F12945">
        <v>3</v>
      </c>
      <c r="G12945">
        <v>11034</v>
      </c>
      <c r="H12945" s="1">
        <v>1</v>
      </c>
      <c r="I12945">
        <v>0</v>
      </c>
      <c r="J12945">
        <f>IF($H12945=0,1,IF($I12945&lt;=1,2,0))</f>
        <v>2</v>
      </c>
      <c r="K12945">
        <v>0</v>
      </c>
      <c r="L12945">
        <f>IF(AND($J12945=0,$K12945=0),0,1)</f>
        <v>1</v>
      </c>
      <c r="M12945" t="s">
        <v>567</v>
      </c>
    </row>
    <row r="12946" spans="1:13" x14ac:dyDescent="0.2">
      <c r="A12946" t="s">
        <v>562</v>
      </c>
      <c r="B12946" t="s">
        <v>17</v>
      </c>
      <c r="C12946" t="s">
        <v>21</v>
      </c>
      <c r="D12946">
        <v>1531</v>
      </c>
      <c r="E12946">
        <v>2020</v>
      </c>
      <c r="F12946">
        <v>6</v>
      </c>
      <c r="G12946">
        <v>11036</v>
      </c>
      <c r="H12946" s="1">
        <v>1</v>
      </c>
      <c r="I12946">
        <v>0</v>
      </c>
      <c r="J12946">
        <f>IF($H12946=0,1,IF($I12946&lt;=1,2,0))</f>
        <v>2</v>
      </c>
      <c r="K12946">
        <v>0</v>
      </c>
      <c r="L12946">
        <f>IF(AND($J12946=0,$K12946=0),0,1)</f>
        <v>1</v>
      </c>
      <c r="M12946" t="s">
        <v>567</v>
      </c>
    </row>
    <row r="12947" spans="1:13" x14ac:dyDescent="0.2">
      <c r="A12947" t="s">
        <v>562</v>
      </c>
      <c r="B12947" t="s">
        <v>17</v>
      </c>
      <c r="C12947" t="s">
        <v>21</v>
      </c>
      <c r="D12947">
        <v>1531</v>
      </c>
      <c r="E12947">
        <v>2020</v>
      </c>
      <c r="F12947">
        <v>8</v>
      </c>
      <c r="G12947">
        <v>11038</v>
      </c>
      <c r="H12947" s="1">
        <v>1</v>
      </c>
      <c r="I12947">
        <v>0</v>
      </c>
      <c r="J12947">
        <f>IF($H12947=0,1,IF($I12947&lt;=1,2,0))</f>
        <v>2</v>
      </c>
      <c r="K12947">
        <v>0</v>
      </c>
      <c r="L12947">
        <f>IF(AND($J12947=0,$K12947=0),0,1)</f>
        <v>1</v>
      </c>
      <c r="M12947" t="s">
        <v>567</v>
      </c>
    </row>
    <row r="12948" spans="1:13" x14ac:dyDescent="0.2">
      <c r="A12948" t="s">
        <v>562</v>
      </c>
      <c r="B12948" t="s">
        <v>17</v>
      </c>
      <c r="C12948" t="s">
        <v>21</v>
      </c>
      <c r="D12948">
        <v>1531</v>
      </c>
      <c r="E12948">
        <v>2020</v>
      </c>
      <c r="F12948">
        <v>9</v>
      </c>
      <c r="G12948">
        <v>11039</v>
      </c>
      <c r="H12948" s="1">
        <v>1</v>
      </c>
      <c r="I12948">
        <v>0</v>
      </c>
      <c r="J12948">
        <f>IF($H12948=0,1,IF($I12948&lt;=1,2,0))</f>
        <v>2</v>
      </c>
      <c r="K12948">
        <v>0</v>
      </c>
      <c r="L12948">
        <f>IF(AND($J12948=0,$K12948=0),0,1)</f>
        <v>1</v>
      </c>
      <c r="M12948" t="s">
        <v>567</v>
      </c>
    </row>
    <row r="12949" spans="1:13" x14ac:dyDescent="0.2">
      <c r="A12949" t="s">
        <v>562</v>
      </c>
      <c r="B12949" t="s">
        <v>17</v>
      </c>
      <c r="C12949" t="s">
        <v>21</v>
      </c>
      <c r="D12949">
        <v>1531</v>
      </c>
      <c r="E12949">
        <v>2020</v>
      </c>
      <c r="F12949">
        <v>12</v>
      </c>
      <c r="G12949">
        <v>11041</v>
      </c>
      <c r="H12949" s="1">
        <v>1</v>
      </c>
      <c r="I12949">
        <v>0</v>
      </c>
      <c r="J12949">
        <f>IF($H12949=0,1,IF($I12949&lt;=1,2,0))</f>
        <v>2</v>
      </c>
      <c r="K12949">
        <v>0</v>
      </c>
      <c r="L12949">
        <f>IF(AND($J12949=0,$K12949=0),0,1)</f>
        <v>1</v>
      </c>
      <c r="M12949" t="s">
        <v>567</v>
      </c>
    </row>
    <row r="12950" spans="1:13" x14ac:dyDescent="0.2">
      <c r="A12950" t="s">
        <v>562</v>
      </c>
      <c r="B12950" t="s">
        <v>17</v>
      </c>
      <c r="C12950" t="s">
        <v>21</v>
      </c>
      <c r="D12950">
        <v>1531</v>
      </c>
      <c r="E12950">
        <v>2020</v>
      </c>
      <c r="F12950">
        <v>13</v>
      </c>
      <c r="G12950">
        <v>11042</v>
      </c>
      <c r="H12950" s="1">
        <v>1</v>
      </c>
      <c r="I12950">
        <v>0</v>
      </c>
      <c r="J12950">
        <f>IF($H12950=0,1,IF($I12950&lt;=1,2,0))</f>
        <v>2</v>
      </c>
      <c r="K12950">
        <v>0</v>
      </c>
      <c r="L12950">
        <f>IF(AND($J12950=0,$K12950=0),0,1)</f>
        <v>1</v>
      </c>
      <c r="M12950" t="s">
        <v>567</v>
      </c>
    </row>
    <row r="12951" spans="1:13" x14ac:dyDescent="0.2">
      <c r="A12951" t="s">
        <v>562</v>
      </c>
      <c r="B12951" t="s">
        <v>17</v>
      </c>
      <c r="C12951" t="s">
        <v>21</v>
      </c>
      <c r="D12951">
        <v>1531</v>
      </c>
      <c r="E12951">
        <v>2020</v>
      </c>
      <c r="F12951">
        <v>18</v>
      </c>
      <c r="G12951">
        <v>11046</v>
      </c>
      <c r="H12951" s="1">
        <v>1</v>
      </c>
      <c r="I12951">
        <v>0</v>
      </c>
      <c r="J12951">
        <f>IF($H12951=0,1,IF($I12951&lt;=1,2,0))</f>
        <v>2</v>
      </c>
      <c r="K12951">
        <v>0</v>
      </c>
      <c r="L12951">
        <f>IF(AND($J12951=0,$K12951=0),0,1)</f>
        <v>1</v>
      </c>
      <c r="M12951" t="s">
        <v>567</v>
      </c>
    </row>
    <row r="12952" spans="1:13" x14ac:dyDescent="0.2">
      <c r="A12952" t="s">
        <v>562</v>
      </c>
      <c r="B12952" t="s">
        <v>17</v>
      </c>
      <c r="C12952" t="s">
        <v>21</v>
      </c>
      <c r="D12952">
        <v>1531</v>
      </c>
      <c r="E12952">
        <v>2020</v>
      </c>
      <c r="F12952">
        <v>21</v>
      </c>
      <c r="G12952">
        <v>11048</v>
      </c>
      <c r="H12952" s="1">
        <v>1</v>
      </c>
      <c r="I12952">
        <v>0</v>
      </c>
      <c r="J12952">
        <f>IF($H12952=0,1,IF($I12952&lt;=1,2,0))</f>
        <v>2</v>
      </c>
      <c r="K12952">
        <v>0</v>
      </c>
      <c r="L12952">
        <f>IF(AND($J12952=0,$K12952=0),0,1)</f>
        <v>1</v>
      </c>
      <c r="M12952" t="s">
        <v>567</v>
      </c>
    </row>
    <row r="12953" spans="1:13" x14ac:dyDescent="0.2">
      <c r="A12953" t="s">
        <v>562</v>
      </c>
      <c r="B12953" t="s">
        <v>17</v>
      </c>
      <c r="C12953" t="s">
        <v>21</v>
      </c>
      <c r="D12953">
        <v>1531</v>
      </c>
      <c r="E12953">
        <v>2020</v>
      </c>
      <c r="F12953">
        <v>22</v>
      </c>
      <c r="G12953">
        <v>11049</v>
      </c>
      <c r="H12953" s="1">
        <v>1</v>
      </c>
      <c r="I12953">
        <v>0</v>
      </c>
      <c r="J12953">
        <f>IF($H12953=0,1,IF($I12953&lt;=1,2,0))</f>
        <v>2</v>
      </c>
      <c r="K12953">
        <v>0</v>
      </c>
      <c r="L12953">
        <f>IF(AND($J12953=0,$K12953=0),0,1)</f>
        <v>1</v>
      </c>
    </row>
    <row r="12954" spans="1:13" x14ac:dyDescent="0.2">
      <c r="A12954" t="s">
        <v>562</v>
      </c>
      <c r="B12954" t="s">
        <v>17</v>
      </c>
      <c r="C12954" t="s">
        <v>21</v>
      </c>
      <c r="D12954">
        <v>1541</v>
      </c>
      <c r="E12954">
        <v>2020</v>
      </c>
      <c r="F12954">
        <v>2</v>
      </c>
      <c r="G12954">
        <v>11051</v>
      </c>
      <c r="H12954" s="1">
        <v>1</v>
      </c>
      <c r="I12954">
        <v>0</v>
      </c>
      <c r="J12954">
        <f>IF($H12954=0,1,IF($I12954&lt;=1,2,0))</f>
        <v>2</v>
      </c>
      <c r="K12954">
        <v>0</v>
      </c>
      <c r="L12954">
        <f>IF(AND($J12954=0,$K12954=0),0,1)</f>
        <v>1</v>
      </c>
      <c r="M12954" t="s">
        <v>567</v>
      </c>
    </row>
    <row r="12955" spans="1:13" x14ac:dyDescent="0.2">
      <c r="A12955" t="s">
        <v>562</v>
      </c>
      <c r="B12955" t="s">
        <v>17</v>
      </c>
      <c r="C12955" t="s">
        <v>21</v>
      </c>
      <c r="D12955">
        <v>1541</v>
      </c>
      <c r="E12955">
        <v>2020</v>
      </c>
      <c r="F12955">
        <v>3</v>
      </c>
      <c r="G12955">
        <v>11052</v>
      </c>
      <c r="H12955" s="1">
        <v>1</v>
      </c>
      <c r="I12955">
        <v>0</v>
      </c>
      <c r="J12955">
        <f>IF($H12955=0,1,IF($I12955&lt;=1,2,0))</f>
        <v>2</v>
      </c>
      <c r="K12955">
        <v>0</v>
      </c>
      <c r="L12955">
        <f>IF(AND($J12955=0,$K12955=0),0,1)</f>
        <v>1</v>
      </c>
      <c r="M12955" t="s">
        <v>567</v>
      </c>
    </row>
    <row r="12956" spans="1:13" x14ac:dyDescent="0.2">
      <c r="A12956" t="s">
        <v>562</v>
      </c>
      <c r="B12956" t="s">
        <v>17</v>
      </c>
      <c r="C12956" t="s">
        <v>21</v>
      </c>
      <c r="D12956">
        <v>1541</v>
      </c>
      <c r="E12956">
        <v>2020</v>
      </c>
      <c r="F12956">
        <v>5</v>
      </c>
      <c r="G12956">
        <v>11054</v>
      </c>
      <c r="H12956" s="1">
        <v>1</v>
      </c>
      <c r="I12956">
        <v>0</v>
      </c>
      <c r="J12956">
        <f>IF($H12956=0,1,IF($I12956&lt;=1,2,0))</f>
        <v>2</v>
      </c>
      <c r="K12956">
        <v>0</v>
      </c>
      <c r="L12956">
        <f>IF(AND($J12956=0,$K12956=0),0,1)</f>
        <v>1</v>
      </c>
      <c r="M12956" t="s">
        <v>567</v>
      </c>
    </row>
    <row r="12957" spans="1:13" x14ac:dyDescent="0.2">
      <c r="A12957" t="s">
        <v>562</v>
      </c>
      <c r="B12957" t="s">
        <v>17</v>
      </c>
      <c r="C12957" t="s">
        <v>21</v>
      </c>
      <c r="D12957">
        <v>1541</v>
      </c>
      <c r="E12957">
        <v>2020</v>
      </c>
      <c r="F12957">
        <v>7</v>
      </c>
      <c r="G12957">
        <v>11056</v>
      </c>
      <c r="H12957" s="1">
        <v>1</v>
      </c>
      <c r="I12957">
        <v>0</v>
      </c>
      <c r="J12957">
        <f>IF($H12957=0,1,IF($I12957&lt;=1,2,0))</f>
        <v>2</v>
      </c>
      <c r="K12957">
        <v>0</v>
      </c>
      <c r="L12957">
        <f>IF(AND($J12957=0,$K12957=0),0,1)</f>
        <v>1</v>
      </c>
      <c r="M12957" t="s">
        <v>567</v>
      </c>
    </row>
    <row r="12958" spans="1:13" x14ac:dyDescent="0.2">
      <c r="A12958" t="s">
        <v>562</v>
      </c>
      <c r="B12958" t="s">
        <v>17</v>
      </c>
      <c r="C12958" t="s">
        <v>21</v>
      </c>
      <c r="D12958">
        <v>1541</v>
      </c>
      <c r="E12958">
        <v>2020</v>
      </c>
      <c r="F12958">
        <v>10</v>
      </c>
      <c r="G12958">
        <v>11061</v>
      </c>
      <c r="H12958" s="1">
        <v>1</v>
      </c>
      <c r="I12958">
        <v>0</v>
      </c>
      <c r="J12958">
        <f>IF($H12958=0,1,IF($I12958&lt;=1,2,0))</f>
        <v>2</v>
      </c>
      <c r="K12958">
        <v>0</v>
      </c>
      <c r="L12958">
        <f>IF(AND($J12958=0,$K12958=0),0,1)</f>
        <v>1</v>
      </c>
      <c r="M12958" t="s">
        <v>567</v>
      </c>
    </row>
    <row r="12959" spans="1:13" x14ac:dyDescent="0.2">
      <c r="A12959" t="s">
        <v>562</v>
      </c>
      <c r="B12959" t="s">
        <v>17</v>
      </c>
      <c r="C12959" t="s">
        <v>21</v>
      </c>
      <c r="D12959">
        <v>1551</v>
      </c>
      <c r="E12959">
        <v>2020</v>
      </c>
      <c r="F12959">
        <v>4</v>
      </c>
      <c r="G12959">
        <v>11065</v>
      </c>
      <c r="H12959" s="1">
        <v>1</v>
      </c>
      <c r="I12959">
        <v>1</v>
      </c>
      <c r="J12959">
        <f>IF($H12959=0,1,IF($I12959&lt;=1,2,0))</f>
        <v>2</v>
      </c>
      <c r="K12959">
        <v>0</v>
      </c>
      <c r="L12959">
        <f>IF(AND($J12959=0,$K12959=0),0,1)</f>
        <v>1</v>
      </c>
      <c r="M12959" t="s">
        <v>566</v>
      </c>
    </row>
    <row r="12960" spans="1:13" x14ac:dyDescent="0.2">
      <c r="A12960" t="s">
        <v>562</v>
      </c>
      <c r="B12960" t="s">
        <v>17</v>
      </c>
      <c r="C12960" t="s">
        <v>21</v>
      </c>
      <c r="D12960">
        <v>1551</v>
      </c>
      <c r="E12960">
        <v>2020</v>
      </c>
      <c r="F12960">
        <v>6</v>
      </c>
      <c r="G12960">
        <v>11067</v>
      </c>
      <c r="H12960" s="1">
        <v>1</v>
      </c>
      <c r="I12960">
        <v>1</v>
      </c>
      <c r="J12960">
        <f>IF($H12960=0,1,IF($I12960&lt;=1,2,0))</f>
        <v>2</v>
      </c>
      <c r="K12960">
        <v>0</v>
      </c>
      <c r="L12960">
        <f>IF(AND($J12960=0,$K12960=0),0,1)</f>
        <v>1</v>
      </c>
      <c r="M12960" t="s">
        <v>567</v>
      </c>
    </row>
    <row r="12961" spans="1:13" x14ac:dyDescent="0.2">
      <c r="A12961" t="s">
        <v>562</v>
      </c>
      <c r="B12961" t="s">
        <v>17</v>
      </c>
      <c r="C12961" t="s">
        <v>21</v>
      </c>
      <c r="D12961">
        <v>1551</v>
      </c>
      <c r="E12961">
        <v>2020</v>
      </c>
      <c r="F12961">
        <v>1</v>
      </c>
      <c r="G12961">
        <v>11062</v>
      </c>
      <c r="H12961" s="1">
        <v>1</v>
      </c>
      <c r="I12961">
        <v>0</v>
      </c>
      <c r="J12961">
        <f>IF($H12961=0,1,IF($I12961&lt;=1,2,0))</f>
        <v>2</v>
      </c>
      <c r="K12961">
        <v>0</v>
      </c>
      <c r="L12961">
        <f>IF(AND($J12961=0,$K12961=0),0,1)</f>
        <v>1</v>
      </c>
      <c r="M12961" t="s">
        <v>566</v>
      </c>
    </row>
    <row r="12962" spans="1:13" x14ac:dyDescent="0.2">
      <c r="A12962" t="s">
        <v>568</v>
      </c>
      <c r="B12962" t="s">
        <v>17</v>
      </c>
      <c r="C12962" t="s">
        <v>11</v>
      </c>
      <c r="D12962">
        <v>6990</v>
      </c>
      <c r="E12962">
        <v>2020</v>
      </c>
      <c r="F12962">
        <v>1</v>
      </c>
      <c r="G12962">
        <v>10225</v>
      </c>
      <c r="H12962" s="1">
        <v>4</v>
      </c>
      <c r="I12962">
        <v>0</v>
      </c>
      <c r="J12962">
        <f>IF($H12962=0,1,IF($I12962&lt;=1,2,0))</f>
        <v>2</v>
      </c>
      <c r="K12962">
        <v>0</v>
      </c>
      <c r="L12962">
        <f>IF(AND($J12962=0,$K12962=0),0,1)</f>
        <v>1</v>
      </c>
      <c r="M12962" t="s">
        <v>2008</v>
      </c>
    </row>
    <row r="12963" spans="1:13" x14ac:dyDescent="0.2">
      <c r="A12963" t="s">
        <v>568</v>
      </c>
      <c r="B12963" t="s">
        <v>17</v>
      </c>
      <c r="C12963" t="s">
        <v>11</v>
      </c>
      <c r="D12963">
        <v>6999</v>
      </c>
      <c r="E12963">
        <v>2020</v>
      </c>
      <c r="F12963">
        <v>1</v>
      </c>
      <c r="G12963">
        <v>10261</v>
      </c>
      <c r="H12963" s="1">
        <v>4</v>
      </c>
      <c r="I12963">
        <v>1</v>
      </c>
      <c r="J12963">
        <f>IF($H12963=0,1,IF($I12963&lt;=1,2,0))</f>
        <v>2</v>
      </c>
      <c r="K12963">
        <v>9</v>
      </c>
      <c r="L12963">
        <f>IF(AND($J12963=0,$K12963=0),0,1)</f>
        <v>1</v>
      </c>
    </row>
    <row r="12964" spans="1:13" x14ac:dyDescent="0.2">
      <c r="A12964" t="s">
        <v>569</v>
      </c>
      <c r="B12964" t="s">
        <v>71</v>
      </c>
      <c r="C12964" t="s">
        <v>72</v>
      </c>
      <c r="D12964">
        <v>3900</v>
      </c>
      <c r="E12964">
        <v>2020</v>
      </c>
      <c r="F12964">
        <v>7</v>
      </c>
      <c r="G12964">
        <v>25138</v>
      </c>
      <c r="H12964" s="1" t="s">
        <v>1830</v>
      </c>
      <c r="I12964">
        <v>1</v>
      </c>
      <c r="J12964">
        <f>IF($H12964=0,1,IF($I12964&lt;=1,2,0))</f>
        <v>2</v>
      </c>
      <c r="K12964">
        <v>9</v>
      </c>
      <c r="L12964">
        <f>IF(AND($J12964=0,$K12964=0),0,1)</f>
        <v>1</v>
      </c>
    </row>
    <row r="12965" spans="1:13" x14ac:dyDescent="0.2">
      <c r="A12965" t="s">
        <v>569</v>
      </c>
      <c r="B12965" t="s">
        <v>71</v>
      </c>
      <c r="C12965" t="s">
        <v>72</v>
      </c>
      <c r="D12965">
        <v>3900</v>
      </c>
      <c r="E12965">
        <v>2020</v>
      </c>
      <c r="F12965">
        <v>2</v>
      </c>
      <c r="G12965">
        <v>12516</v>
      </c>
      <c r="H12965" s="1" t="s">
        <v>1830</v>
      </c>
      <c r="I12965">
        <v>0</v>
      </c>
      <c r="J12965">
        <f>IF($H12965=0,1,IF($I12965&lt;=1,2,0))</f>
        <v>2</v>
      </c>
      <c r="K12965">
        <v>9</v>
      </c>
      <c r="L12965">
        <f>IF(AND($J12965=0,$K12965=0),0,1)</f>
        <v>1</v>
      </c>
    </row>
    <row r="12966" spans="1:13" x14ac:dyDescent="0.2">
      <c r="A12966" t="s">
        <v>569</v>
      </c>
      <c r="B12966" t="s">
        <v>71</v>
      </c>
      <c r="C12966" t="s">
        <v>72</v>
      </c>
      <c r="D12966">
        <v>3900</v>
      </c>
      <c r="E12966">
        <v>2020</v>
      </c>
      <c r="F12966">
        <v>3</v>
      </c>
      <c r="G12966">
        <v>12517</v>
      </c>
      <c r="H12966" s="1" t="s">
        <v>1830</v>
      </c>
      <c r="I12966">
        <v>0</v>
      </c>
      <c r="J12966">
        <f>IF($H12966=0,1,IF($I12966&lt;=1,2,0))</f>
        <v>2</v>
      </c>
      <c r="K12966">
        <v>9</v>
      </c>
      <c r="L12966">
        <f>IF(AND($J12966=0,$K12966=0),0,1)</f>
        <v>1</v>
      </c>
    </row>
    <row r="12967" spans="1:13" x14ac:dyDescent="0.2">
      <c r="A12967" t="s">
        <v>569</v>
      </c>
      <c r="B12967" t="s">
        <v>71</v>
      </c>
      <c r="C12967" t="s">
        <v>72</v>
      </c>
      <c r="D12967">
        <v>3900</v>
      </c>
      <c r="E12967">
        <v>2020</v>
      </c>
      <c r="F12967">
        <v>4</v>
      </c>
      <c r="G12967">
        <v>22837</v>
      </c>
      <c r="H12967" s="1" t="s">
        <v>1830</v>
      </c>
      <c r="I12967">
        <v>0</v>
      </c>
      <c r="J12967">
        <f>IF($H12967=0,1,IF($I12967&lt;=1,2,0))</f>
        <v>2</v>
      </c>
      <c r="K12967">
        <v>9</v>
      </c>
      <c r="L12967">
        <f>IF(AND($J12967=0,$K12967=0),0,1)</f>
        <v>1</v>
      </c>
    </row>
    <row r="12968" spans="1:13" x14ac:dyDescent="0.2">
      <c r="A12968" t="s">
        <v>569</v>
      </c>
      <c r="B12968" t="s">
        <v>71</v>
      </c>
      <c r="C12968" t="s">
        <v>72</v>
      </c>
      <c r="D12968">
        <v>3900</v>
      </c>
      <c r="E12968">
        <v>2020</v>
      </c>
      <c r="F12968">
        <v>12</v>
      </c>
      <c r="G12968">
        <v>12518</v>
      </c>
      <c r="H12968" s="1" t="s">
        <v>1830</v>
      </c>
      <c r="I12968">
        <v>0</v>
      </c>
      <c r="J12968">
        <f>IF($H12968=0,1,IF($I12968&lt;=1,2,0))</f>
        <v>2</v>
      </c>
      <c r="K12968">
        <v>9</v>
      </c>
      <c r="L12968">
        <f>IF(AND($J12968=0,$K12968=0),0,1)</f>
        <v>1</v>
      </c>
    </row>
    <row r="12969" spans="1:13" x14ac:dyDescent="0.2">
      <c r="A12969" t="s">
        <v>569</v>
      </c>
      <c r="B12969" t="s">
        <v>71</v>
      </c>
      <c r="C12969" t="s">
        <v>72</v>
      </c>
      <c r="D12969">
        <v>6273</v>
      </c>
      <c r="E12969">
        <v>2020</v>
      </c>
      <c r="F12969">
        <v>2</v>
      </c>
      <c r="G12969">
        <v>12498</v>
      </c>
      <c r="H12969" s="1" t="s">
        <v>1836</v>
      </c>
      <c r="I12969">
        <v>1</v>
      </c>
      <c r="J12969">
        <f>IF($H12969=0,1,IF($I12969&lt;=1,2,0))</f>
        <v>2</v>
      </c>
      <c r="K12969">
        <v>0</v>
      </c>
      <c r="L12969">
        <f>IF(AND($J12969=0,$K12969=0),0,1)</f>
        <v>1</v>
      </c>
    </row>
    <row r="12970" spans="1:13" x14ac:dyDescent="0.2">
      <c r="A12970" t="s">
        <v>569</v>
      </c>
      <c r="B12970" t="s">
        <v>71</v>
      </c>
      <c r="C12970" t="s">
        <v>72</v>
      </c>
      <c r="D12970">
        <v>6273</v>
      </c>
      <c r="E12970">
        <v>2020</v>
      </c>
      <c r="F12970">
        <v>4</v>
      </c>
      <c r="G12970">
        <v>22836</v>
      </c>
      <c r="H12970" s="1" t="s">
        <v>1836</v>
      </c>
      <c r="I12970">
        <v>1</v>
      </c>
      <c r="J12970">
        <f>IF($H12970=0,1,IF($I12970&lt;=1,2,0))</f>
        <v>2</v>
      </c>
      <c r="K12970">
        <v>0</v>
      </c>
      <c r="L12970">
        <f>IF(AND($J12970=0,$K12970=0),0,1)</f>
        <v>1</v>
      </c>
    </row>
    <row r="12971" spans="1:13" x14ac:dyDescent="0.2">
      <c r="A12971" t="s">
        <v>569</v>
      </c>
      <c r="B12971" t="s">
        <v>71</v>
      </c>
      <c r="C12971" t="s">
        <v>72</v>
      </c>
      <c r="D12971">
        <v>6273</v>
      </c>
      <c r="E12971">
        <v>2020</v>
      </c>
      <c r="F12971">
        <v>7</v>
      </c>
      <c r="G12971">
        <v>12503</v>
      </c>
      <c r="H12971" s="1" t="s">
        <v>1836</v>
      </c>
      <c r="I12971">
        <v>1</v>
      </c>
      <c r="J12971">
        <f>IF($H12971=0,1,IF($I12971&lt;=1,2,0))</f>
        <v>2</v>
      </c>
      <c r="K12971">
        <v>0</v>
      </c>
      <c r="L12971">
        <f>IF(AND($J12971=0,$K12971=0),0,1)</f>
        <v>1</v>
      </c>
    </row>
    <row r="12972" spans="1:13" x14ac:dyDescent="0.2">
      <c r="A12972" t="s">
        <v>569</v>
      </c>
      <c r="B12972" t="s">
        <v>71</v>
      </c>
      <c r="C12972" t="s">
        <v>72</v>
      </c>
      <c r="D12972">
        <v>6273</v>
      </c>
      <c r="E12972">
        <v>2020</v>
      </c>
      <c r="F12972">
        <v>8</v>
      </c>
      <c r="G12972">
        <v>12499</v>
      </c>
      <c r="H12972" s="1" t="s">
        <v>1836</v>
      </c>
      <c r="I12972">
        <v>1</v>
      </c>
      <c r="J12972">
        <f>IF($H12972=0,1,IF($I12972&lt;=1,2,0))</f>
        <v>2</v>
      </c>
      <c r="K12972">
        <v>0</v>
      </c>
      <c r="L12972">
        <f>IF(AND($J12972=0,$K12972=0),0,1)</f>
        <v>1</v>
      </c>
    </row>
    <row r="12973" spans="1:13" x14ac:dyDescent="0.2">
      <c r="A12973" t="s">
        <v>569</v>
      </c>
      <c r="B12973" t="s">
        <v>71</v>
      </c>
      <c r="C12973" t="s">
        <v>72</v>
      </c>
      <c r="D12973">
        <v>6273</v>
      </c>
      <c r="E12973">
        <v>2020</v>
      </c>
      <c r="F12973">
        <v>1</v>
      </c>
      <c r="G12973">
        <v>12497</v>
      </c>
      <c r="H12973" s="1" t="s">
        <v>1836</v>
      </c>
      <c r="I12973">
        <v>0</v>
      </c>
      <c r="J12973">
        <f>IF($H12973=0,1,IF($I12973&lt;=1,2,0))</f>
        <v>2</v>
      </c>
      <c r="K12973">
        <v>0</v>
      </c>
      <c r="L12973">
        <f>IF(AND($J12973=0,$K12973=0),0,1)</f>
        <v>1</v>
      </c>
    </row>
    <row r="12974" spans="1:13" x14ac:dyDescent="0.2">
      <c r="A12974" t="s">
        <v>569</v>
      </c>
      <c r="B12974" t="s">
        <v>71</v>
      </c>
      <c r="C12974" t="s">
        <v>72</v>
      </c>
      <c r="D12974">
        <v>6273</v>
      </c>
      <c r="E12974">
        <v>2020</v>
      </c>
      <c r="F12974">
        <v>9</v>
      </c>
      <c r="G12974">
        <v>12500</v>
      </c>
      <c r="H12974" s="1" t="s">
        <v>1836</v>
      </c>
      <c r="I12974">
        <v>0</v>
      </c>
      <c r="J12974">
        <f>IF($H12974=0,1,IF($I12974&lt;=1,2,0))</f>
        <v>2</v>
      </c>
      <c r="K12974">
        <v>0</v>
      </c>
      <c r="L12974">
        <f>IF(AND($J12974=0,$K12974=0),0,1)</f>
        <v>1</v>
      </c>
    </row>
    <row r="12975" spans="1:13" x14ac:dyDescent="0.2">
      <c r="A12975" t="s">
        <v>569</v>
      </c>
      <c r="B12975" t="s">
        <v>71</v>
      </c>
      <c r="C12975" t="s">
        <v>72</v>
      </c>
      <c r="D12975">
        <v>9301</v>
      </c>
      <c r="E12975">
        <v>2020</v>
      </c>
      <c r="F12975">
        <v>12</v>
      </c>
      <c r="G12975">
        <v>12513</v>
      </c>
      <c r="H12975" s="1" t="s">
        <v>1829</v>
      </c>
      <c r="I12975">
        <v>4</v>
      </c>
      <c r="J12975">
        <f>IF($H12975=0,1,IF($I12975&lt;=1,2,0))</f>
        <v>0</v>
      </c>
      <c r="K12975">
        <v>5</v>
      </c>
      <c r="L12975">
        <f>IF(AND($J12975=0,$K12975=0),0,1)</f>
        <v>1</v>
      </c>
    </row>
    <row r="12976" spans="1:13" x14ac:dyDescent="0.2">
      <c r="A12976" t="s">
        <v>569</v>
      </c>
      <c r="B12976" t="s">
        <v>71</v>
      </c>
      <c r="C12976" t="s">
        <v>72</v>
      </c>
      <c r="D12976">
        <v>9301</v>
      </c>
      <c r="E12976">
        <v>2020</v>
      </c>
      <c r="F12976">
        <v>13</v>
      </c>
      <c r="G12976">
        <v>12514</v>
      </c>
      <c r="H12976" s="1" t="s">
        <v>1829</v>
      </c>
      <c r="I12976">
        <v>3</v>
      </c>
      <c r="J12976">
        <f>IF($H12976=0,1,IF($I12976&lt;=1,2,0))</f>
        <v>0</v>
      </c>
      <c r="K12976">
        <v>5</v>
      </c>
      <c r="L12976">
        <f>IF(AND($J12976=0,$K12976=0),0,1)</f>
        <v>1</v>
      </c>
    </row>
    <row r="12977" spans="1:13" x14ac:dyDescent="0.2">
      <c r="A12977" t="s">
        <v>569</v>
      </c>
      <c r="B12977" t="s">
        <v>71</v>
      </c>
      <c r="C12977" t="s">
        <v>72</v>
      </c>
      <c r="D12977">
        <v>9301</v>
      </c>
      <c r="E12977">
        <v>2020</v>
      </c>
      <c r="F12977">
        <v>3</v>
      </c>
      <c r="G12977">
        <v>12507</v>
      </c>
      <c r="H12977" s="1" t="s">
        <v>1829</v>
      </c>
      <c r="I12977">
        <v>2</v>
      </c>
      <c r="J12977">
        <f>IF($H12977=0,1,IF($I12977&lt;=1,2,0))</f>
        <v>0</v>
      </c>
      <c r="K12977">
        <v>5</v>
      </c>
      <c r="L12977">
        <f>IF(AND($J12977=0,$K12977=0),0,1)</f>
        <v>1</v>
      </c>
    </row>
    <row r="12978" spans="1:13" x14ac:dyDescent="0.2">
      <c r="A12978" t="s">
        <v>569</v>
      </c>
      <c r="B12978" t="s">
        <v>71</v>
      </c>
      <c r="C12978" t="s">
        <v>72</v>
      </c>
      <c r="D12978">
        <v>9301</v>
      </c>
      <c r="E12978">
        <v>2020</v>
      </c>
      <c r="F12978">
        <v>7</v>
      </c>
      <c r="G12978">
        <v>12510</v>
      </c>
      <c r="H12978" s="1" t="s">
        <v>1829</v>
      </c>
      <c r="I12978">
        <v>2</v>
      </c>
      <c r="J12978">
        <f>IF($H12978=0,1,IF($I12978&lt;=1,2,0))</f>
        <v>0</v>
      </c>
      <c r="K12978">
        <v>5</v>
      </c>
      <c r="L12978">
        <f>IF(AND($J12978=0,$K12978=0),0,1)</f>
        <v>1</v>
      </c>
    </row>
    <row r="12979" spans="1:13" x14ac:dyDescent="0.2">
      <c r="A12979" t="s">
        <v>569</v>
      </c>
      <c r="B12979" t="s">
        <v>71</v>
      </c>
      <c r="C12979" t="s">
        <v>72</v>
      </c>
      <c r="D12979">
        <v>9301</v>
      </c>
      <c r="E12979">
        <v>2020</v>
      </c>
      <c r="F12979">
        <v>1</v>
      </c>
      <c r="G12979">
        <v>22877</v>
      </c>
      <c r="H12979" s="1" t="s">
        <v>1829</v>
      </c>
      <c r="I12979">
        <v>1</v>
      </c>
      <c r="J12979">
        <f>IF($H12979=0,1,IF($I12979&lt;=1,2,0))</f>
        <v>2</v>
      </c>
      <c r="K12979">
        <v>5</v>
      </c>
      <c r="L12979">
        <f>IF(AND($J12979=0,$K12979=0),0,1)</f>
        <v>1</v>
      </c>
    </row>
    <row r="12980" spans="1:13" x14ac:dyDescent="0.2">
      <c r="A12980" t="s">
        <v>569</v>
      </c>
      <c r="B12980" t="s">
        <v>71</v>
      </c>
      <c r="C12980" t="s">
        <v>72</v>
      </c>
      <c r="D12980">
        <v>9301</v>
      </c>
      <c r="E12980">
        <v>2020</v>
      </c>
      <c r="F12980">
        <v>2</v>
      </c>
      <c r="G12980">
        <v>22876</v>
      </c>
      <c r="H12980" s="1" t="s">
        <v>1829</v>
      </c>
      <c r="I12980">
        <v>1</v>
      </c>
      <c r="J12980">
        <f>IF($H12980=0,1,IF($I12980&lt;=1,2,0))</f>
        <v>2</v>
      </c>
      <c r="K12980">
        <v>5</v>
      </c>
      <c r="L12980">
        <f>IF(AND($J12980=0,$K12980=0),0,1)</f>
        <v>1</v>
      </c>
    </row>
    <row r="12981" spans="1:13" x14ac:dyDescent="0.2">
      <c r="A12981" t="s">
        <v>569</v>
      </c>
      <c r="B12981" t="s">
        <v>71</v>
      </c>
      <c r="C12981" t="s">
        <v>72</v>
      </c>
      <c r="D12981">
        <v>9301</v>
      </c>
      <c r="E12981">
        <v>2020</v>
      </c>
      <c r="F12981">
        <v>6</v>
      </c>
      <c r="G12981">
        <v>12508</v>
      </c>
      <c r="H12981" s="1" t="s">
        <v>1829</v>
      </c>
      <c r="I12981">
        <v>1</v>
      </c>
      <c r="J12981">
        <f>IF($H12981=0,1,IF($I12981&lt;=1,2,0))</f>
        <v>2</v>
      </c>
      <c r="K12981">
        <v>5</v>
      </c>
      <c r="L12981">
        <f>IF(AND($J12981=0,$K12981=0),0,1)</f>
        <v>1</v>
      </c>
    </row>
    <row r="12982" spans="1:13" x14ac:dyDescent="0.2">
      <c r="A12982" t="s">
        <v>569</v>
      </c>
      <c r="B12982" t="s">
        <v>71</v>
      </c>
      <c r="C12982" t="s">
        <v>72</v>
      </c>
      <c r="D12982">
        <v>9301</v>
      </c>
      <c r="E12982">
        <v>2020</v>
      </c>
      <c r="F12982">
        <v>8</v>
      </c>
      <c r="G12982">
        <v>12511</v>
      </c>
      <c r="H12982" s="1" t="s">
        <v>1829</v>
      </c>
      <c r="I12982">
        <v>1</v>
      </c>
      <c r="J12982">
        <f>IF($H12982=0,1,IF($I12982&lt;=1,2,0))</f>
        <v>2</v>
      </c>
      <c r="K12982">
        <v>5</v>
      </c>
      <c r="L12982">
        <f>IF(AND($J12982=0,$K12982=0),0,1)</f>
        <v>1</v>
      </c>
    </row>
    <row r="12983" spans="1:13" x14ac:dyDescent="0.2">
      <c r="A12983" t="s">
        <v>569</v>
      </c>
      <c r="B12983" t="s">
        <v>71</v>
      </c>
      <c r="C12983" t="s">
        <v>72</v>
      </c>
      <c r="D12983">
        <v>9301</v>
      </c>
      <c r="E12983">
        <v>2020</v>
      </c>
      <c r="F12983">
        <v>9</v>
      </c>
      <c r="G12983">
        <v>12512</v>
      </c>
      <c r="H12983" s="1" t="s">
        <v>1829</v>
      </c>
      <c r="I12983">
        <v>1</v>
      </c>
      <c r="J12983">
        <f>IF($H12983=0,1,IF($I12983&lt;=1,2,0))</f>
        <v>2</v>
      </c>
      <c r="K12983">
        <v>5</v>
      </c>
      <c r="L12983">
        <f>IF(AND($J12983=0,$K12983=0),0,1)</f>
        <v>1</v>
      </c>
    </row>
    <row r="12984" spans="1:13" x14ac:dyDescent="0.2">
      <c r="A12984" t="s">
        <v>569</v>
      </c>
      <c r="B12984" t="s">
        <v>71</v>
      </c>
      <c r="C12984" t="s">
        <v>72</v>
      </c>
      <c r="D12984">
        <v>9301</v>
      </c>
      <c r="E12984">
        <v>2020</v>
      </c>
      <c r="F12984">
        <v>5</v>
      </c>
      <c r="G12984">
        <v>22878</v>
      </c>
      <c r="H12984" s="1" t="s">
        <v>1829</v>
      </c>
      <c r="I12984">
        <v>0</v>
      </c>
      <c r="J12984">
        <f>IF($H12984=0,1,IF($I12984&lt;=1,2,0))</f>
        <v>2</v>
      </c>
      <c r="K12984">
        <v>5</v>
      </c>
      <c r="L12984">
        <f>IF(AND($J12984=0,$K12984=0),0,1)</f>
        <v>1</v>
      </c>
    </row>
    <row r="12985" spans="1:13" x14ac:dyDescent="0.2">
      <c r="A12985" t="s">
        <v>570</v>
      </c>
      <c r="B12985" t="s">
        <v>17</v>
      </c>
      <c r="C12985" t="s">
        <v>2</v>
      </c>
      <c r="D12985">
        <v>1001</v>
      </c>
      <c r="E12985">
        <v>2020</v>
      </c>
      <c r="F12985">
        <v>2</v>
      </c>
      <c r="G12985">
        <v>556</v>
      </c>
      <c r="H12985" s="1">
        <v>3</v>
      </c>
      <c r="I12985">
        <v>16</v>
      </c>
      <c r="J12985">
        <f>IF($H12985=0,1,IF($I12985&lt;=1,2,0))</f>
        <v>0</v>
      </c>
      <c r="K12985">
        <v>7</v>
      </c>
      <c r="L12985">
        <f>IF(AND($J12985=0,$K12985=0),0,1)</f>
        <v>1</v>
      </c>
      <c r="M12985" t="s">
        <v>1152</v>
      </c>
    </row>
    <row r="12986" spans="1:13" x14ac:dyDescent="0.2">
      <c r="A12986" t="s">
        <v>570</v>
      </c>
      <c r="B12986" t="s">
        <v>17</v>
      </c>
      <c r="C12986" t="s">
        <v>2</v>
      </c>
      <c r="D12986">
        <v>1001</v>
      </c>
      <c r="E12986">
        <v>2020</v>
      </c>
      <c r="F12986">
        <v>1</v>
      </c>
      <c r="G12986">
        <v>555</v>
      </c>
      <c r="H12986" s="1">
        <v>3</v>
      </c>
      <c r="I12986">
        <v>15</v>
      </c>
      <c r="J12986">
        <f>IF($H12986=0,1,IF($I12986&lt;=1,2,0))</f>
        <v>0</v>
      </c>
      <c r="K12986">
        <v>7</v>
      </c>
      <c r="L12986">
        <f>IF(AND($J12986=0,$K12986=0),0,1)</f>
        <v>1</v>
      </c>
    </row>
    <row r="12987" spans="1:13" x14ac:dyDescent="0.2">
      <c r="A12987" t="s">
        <v>570</v>
      </c>
      <c r="B12987" t="s">
        <v>17</v>
      </c>
      <c r="C12987" t="s">
        <v>2</v>
      </c>
      <c r="D12987">
        <v>1501</v>
      </c>
      <c r="E12987">
        <v>2020</v>
      </c>
      <c r="F12987">
        <v>2</v>
      </c>
      <c r="G12987">
        <v>558</v>
      </c>
      <c r="H12987" s="1">
        <v>2</v>
      </c>
      <c r="I12987">
        <v>30</v>
      </c>
      <c r="J12987">
        <f>IF($H12987=0,1,IF($I12987&lt;=1,2,0))</f>
        <v>0</v>
      </c>
      <c r="K12987">
        <v>7</v>
      </c>
      <c r="L12987">
        <f>IF(AND($J12987=0,$K12987=0),0,1)</f>
        <v>1</v>
      </c>
      <c r="M12987" t="s">
        <v>572</v>
      </c>
    </row>
    <row r="12988" spans="1:13" x14ac:dyDescent="0.2">
      <c r="A12988" t="s">
        <v>570</v>
      </c>
      <c r="B12988" t="s">
        <v>17</v>
      </c>
      <c r="C12988" t="s">
        <v>2</v>
      </c>
      <c r="D12988">
        <v>1501</v>
      </c>
      <c r="E12988">
        <v>2020</v>
      </c>
      <c r="F12988">
        <v>1</v>
      </c>
      <c r="G12988">
        <v>557</v>
      </c>
      <c r="H12988" s="1">
        <v>2</v>
      </c>
      <c r="I12988">
        <v>18</v>
      </c>
      <c r="J12988">
        <f>IF($H12988=0,1,IF($I12988&lt;=1,2,0))</f>
        <v>0</v>
      </c>
      <c r="K12988">
        <v>7</v>
      </c>
      <c r="L12988">
        <f>IF(AND($J12988=0,$K12988=0),0,1)</f>
        <v>1</v>
      </c>
      <c r="M12988" t="s">
        <v>572</v>
      </c>
    </row>
    <row r="12989" spans="1:13" x14ac:dyDescent="0.2">
      <c r="A12989" t="s">
        <v>570</v>
      </c>
      <c r="B12989" t="s">
        <v>17</v>
      </c>
      <c r="C12989" t="s">
        <v>9</v>
      </c>
      <c r="D12989">
        <v>1518</v>
      </c>
      <c r="E12989">
        <v>2020</v>
      </c>
      <c r="F12989">
        <v>1</v>
      </c>
      <c r="G12989">
        <v>10986</v>
      </c>
      <c r="H12989" s="1">
        <v>1</v>
      </c>
      <c r="I12989">
        <v>1</v>
      </c>
      <c r="J12989">
        <f>IF($H12989=0,1,IF($I12989&lt;=1,2,0))</f>
        <v>2</v>
      </c>
      <c r="K12989">
        <v>0</v>
      </c>
      <c r="L12989">
        <f>IF(AND($J12989=0,$K12989=0),0,1)</f>
        <v>1</v>
      </c>
    </row>
    <row r="12990" spans="1:13" x14ac:dyDescent="0.2">
      <c r="A12990" t="s">
        <v>570</v>
      </c>
      <c r="B12990" t="s">
        <v>17</v>
      </c>
      <c r="C12990" t="s">
        <v>2</v>
      </c>
      <c r="D12990">
        <v>3139</v>
      </c>
      <c r="E12990">
        <v>2020</v>
      </c>
      <c r="F12990">
        <v>1</v>
      </c>
      <c r="G12990">
        <v>561</v>
      </c>
      <c r="H12990" s="1">
        <v>3</v>
      </c>
      <c r="I12990">
        <v>8</v>
      </c>
      <c r="J12990">
        <f>IF($H12990=0,1,IF($I12990&lt;=1,2,0))</f>
        <v>0</v>
      </c>
      <c r="K12990">
        <v>7</v>
      </c>
      <c r="L12990">
        <f>IF(AND($J12990=0,$K12990=0),0,1)</f>
        <v>1</v>
      </c>
    </row>
    <row r="12991" spans="1:13" x14ac:dyDescent="0.2">
      <c r="A12991" t="s">
        <v>570</v>
      </c>
      <c r="B12991" t="s">
        <v>17</v>
      </c>
      <c r="C12991" t="s">
        <v>2</v>
      </c>
      <c r="D12991">
        <v>3140</v>
      </c>
      <c r="E12991">
        <v>2020</v>
      </c>
      <c r="F12991">
        <v>1</v>
      </c>
      <c r="G12991">
        <v>562</v>
      </c>
      <c r="H12991" s="1">
        <v>3</v>
      </c>
      <c r="I12991">
        <v>6</v>
      </c>
      <c r="J12991">
        <f>IF($H12991=0,1,IF($I12991&lt;=1,2,0))</f>
        <v>0</v>
      </c>
      <c r="K12991">
        <v>7</v>
      </c>
      <c r="L12991">
        <f>IF(AND($J12991=0,$K12991=0),0,1)</f>
        <v>1</v>
      </c>
    </row>
    <row r="12992" spans="1:13" x14ac:dyDescent="0.2">
      <c r="A12992" t="s">
        <v>570</v>
      </c>
      <c r="B12992" t="s">
        <v>17</v>
      </c>
      <c r="C12992" t="s">
        <v>2</v>
      </c>
      <c r="D12992">
        <v>3990</v>
      </c>
      <c r="E12992">
        <v>2020</v>
      </c>
      <c r="F12992">
        <v>1</v>
      </c>
      <c r="G12992">
        <v>563</v>
      </c>
      <c r="H12992" s="1">
        <v>3</v>
      </c>
      <c r="I12992">
        <v>1</v>
      </c>
      <c r="J12992">
        <f>IF($H12992=0,1,IF($I12992&lt;=1,2,0))</f>
        <v>2</v>
      </c>
      <c r="K12992">
        <v>7</v>
      </c>
      <c r="L12992">
        <f>IF(AND($J12992=0,$K12992=0),0,1)</f>
        <v>1</v>
      </c>
    </row>
    <row r="12993" spans="1:12" x14ac:dyDescent="0.2">
      <c r="A12993" t="s">
        <v>570</v>
      </c>
      <c r="B12993" t="s">
        <v>17</v>
      </c>
      <c r="C12993" t="s">
        <v>2</v>
      </c>
      <c r="D12993">
        <v>3991</v>
      </c>
      <c r="E12993">
        <v>2020</v>
      </c>
      <c r="F12993">
        <v>1</v>
      </c>
      <c r="G12993">
        <v>565</v>
      </c>
      <c r="H12993" s="1">
        <v>3</v>
      </c>
      <c r="I12993">
        <v>0</v>
      </c>
      <c r="J12993">
        <f>IF($H12993=0,1,IF($I12993&lt;=1,2,0))</f>
        <v>2</v>
      </c>
      <c r="K12993">
        <v>7</v>
      </c>
      <c r="L12993">
        <f>IF(AND($J12993=0,$K12993=0),0,1)</f>
        <v>1</v>
      </c>
    </row>
    <row r="12994" spans="1:12" x14ac:dyDescent="0.2">
      <c r="A12994" t="s">
        <v>570</v>
      </c>
      <c r="B12994" t="s">
        <v>17</v>
      </c>
      <c r="C12994" t="s">
        <v>2</v>
      </c>
      <c r="D12994">
        <v>3992</v>
      </c>
      <c r="E12994">
        <v>2020</v>
      </c>
      <c r="F12994">
        <v>1</v>
      </c>
      <c r="G12994">
        <v>564</v>
      </c>
      <c r="H12994" s="1">
        <v>4</v>
      </c>
      <c r="I12994">
        <v>2</v>
      </c>
      <c r="J12994">
        <f>IF($H12994=0,1,IF($I12994&lt;=1,2,0))</f>
        <v>0</v>
      </c>
      <c r="K12994">
        <v>7</v>
      </c>
      <c r="L12994">
        <f>IF(AND($J12994=0,$K12994=0),0,1)</f>
        <v>1</v>
      </c>
    </row>
    <row r="12995" spans="1:12" x14ac:dyDescent="0.2">
      <c r="A12995" t="s">
        <v>570</v>
      </c>
      <c r="B12995" t="s">
        <v>17</v>
      </c>
      <c r="C12995" t="s">
        <v>9</v>
      </c>
      <c r="D12995">
        <v>3995</v>
      </c>
      <c r="E12995">
        <v>2020</v>
      </c>
      <c r="F12995">
        <v>4</v>
      </c>
      <c r="G12995">
        <v>24485</v>
      </c>
      <c r="H12995" s="1" t="s">
        <v>1833</v>
      </c>
      <c r="I12995">
        <v>1</v>
      </c>
      <c r="J12995">
        <f>IF($H12995=0,1,IF($I12995&lt;=1,2,0))</f>
        <v>2</v>
      </c>
      <c r="K12995">
        <v>0</v>
      </c>
      <c r="L12995">
        <f>IF(AND($J12995=0,$K12995=0),0,1)</f>
        <v>1</v>
      </c>
    </row>
    <row r="12996" spans="1:12" x14ac:dyDescent="0.2">
      <c r="A12996" t="s">
        <v>570</v>
      </c>
      <c r="B12996" t="s">
        <v>17</v>
      </c>
      <c r="C12996" t="s">
        <v>9</v>
      </c>
      <c r="D12996">
        <v>3995</v>
      </c>
      <c r="E12996">
        <v>2020</v>
      </c>
      <c r="F12996">
        <v>2</v>
      </c>
      <c r="G12996">
        <v>11096</v>
      </c>
      <c r="H12996" s="1" t="s">
        <v>1833</v>
      </c>
      <c r="I12996">
        <v>0</v>
      </c>
      <c r="J12996">
        <f>IF($H12996=0,1,IF($I12996&lt;=1,2,0))</f>
        <v>2</v>
      </c>
      <c r="K12996">
        <v>0</v>
      </c>
      <c r="L12996">
        <f>IF(AND($J12996=0,$K12996=0),0,1)</f>
        <v>1</v>
      </c>
    </row>
    <row r="12997" spans="1:12" x14ac:dyDescent="0.2">
      <c r="A12997" t="s">
        <v>570</v>
      </c>
      <c r="B12997" t="s">
        <v>17</v>
      </c>
      <c r="C12997" t="s">
        <v>9</v>
      </c>
      <c r="D12997">
        <v>3995</v>
      </c>
      <c r="E12997">
        <v>2020</v>
      </c>
      <c r="F12997">
        <v>3</v>
      </c>
      <c r="G12997">
        <v>11097</v>
      </c>
      <c r="H12997" s="1" t="s">
        <v>1833</v>
      </c>
      <c r="I12997">
        <v>0</v>
      </c>
      <c r="J12997">
        <f>IF($H12997=0,1,IF($I12997&lt;=1,2,0))</f>
        <v>2</v>
      </c>
      <c r="K12997">
        <v>0</v>
      </c>
      <c r="L12997">
        <f>IF(AND($J12997=0,$K12997=0),0,1)</f>
        <v>1</v>
      </c>
    </row>
    <row r="12998" spans="1:12" x14ac:dyDescent="0.2">
      <c r="A12998" t="s">
        <v>570</v>
      </c>
      <c r="B12998" t="s">
        <v>17</v>
      </c>
      <c r="C12998" t="s">
        <v>9</v>
      </c>
      <c r="D12998">
        <v>3995</v>
      </c>
      <c r="E12998">
        <v>2020</v>
      </c>
      <c r="F12998">
        <v>5</v>
      </c>
      <c r="G12998">
        <v>11098</v>
      </c>
      <c r="H12998" s="1" t="s">
        <v>1833</v>
      </c>
      <c r="I12998">
        <v>0</v>
      </c>
      <c r="J12998">
        <f>IF($H12998=0,1,IF($I12998&lt;=1,2,0))</f>
        <v>2</v>
      </c>
      <c r="K12998">
        <v>0</v>
      </c>
      <c r="L12998">
        <f>IF(AND($J12998=0,$K12998=0),0,1)</f>
        <v>1</v>
      </c>
    </row>
    <row r="12999" spans="1:12" x14ac:dyDescent="0.2">
      <c r="A12999" t="s">
        <v>570</v>
      </c>
      <c r="B12999" t="s">
        <v>17</v>
      </c>
      <c r="C12999" t="s">
        <v>9</v>
      </c>
      <c r="D12999">
        <v>3995</v>
      </c>
      <c r="E12999">
        <v>2020</v>
      </c>
      <c r="F12999">
        <v>9</v>
      </c>
      <c r="G12999">
        <v>11099</v>
      </c>
      <c r="H12999" s="1" t="s">
        <v>1833</v>
      </c>
      <c r="I12999">
        <v>0</v>
      </c>
      <c r="J12999">
        <f>IF($H12999=0,1,IF($I12999&lt;=1,2,0))</f>
        <v>2</v>
      </c>
      <c r="K12999">
        <v>0</v>
      </c>
      <c r="L12999">
        <f>IF(AND($J12999=0,$K12999=0),0,1)</f>
        <v>1</v>
      </c>
    </row>
    <row r="13000" spans="1:12" x14ac:dyDescent="0.2">
      <c r="A13000" t="s">
        <v>570</v>
      </c>
      <c r="B13000" t="s">
        <v>17</v>
      </c>
      <c r="C13000" t="s">
        <v>9</v>
      </c>
      <c r="D13000">
        <v>3995</v>
      </c>
      <c r="E13000">
        <v>2020</v>
      </c>
      <c r="F13000">
        <v>10</v>
      </c>
      <c r="G13000">
        <v>11100</v>
      </c>
      <c r="H13000" s="1" t="s">
        <v>1833</v>
      </c>
      <c r="I13000">
        <v>0</v>
      </c>
      <c r="J13000">
        <f>IF($H13000=0,1,IF($I13000&lt;=1,2,0))</f>
        <v>2</v>
      </c>
      <c r="K13000">
        <v>0</v>
      </c>
      <c r="L13000">
        <f>IF(AND($J13000=0,$K13000=0),0,1)</f>
        <v>1</v>
      </c>
    </row>
    <row r="13001" spans="1:12" x14ac:dyDescent="0.2">
      <c r="A13001" t="s">
        <v>570</v>
      </c>
      <c r="B13001" t="s">
        <v>17</v>
      </c>
      <c r="C13001" t="s">
        <v>9</v>
      </c>
      <c r="D13001">
        <v>3995</v>
      </c>
      <c r="E13001">
        <v>2020</v>
      </c>
      <c r="F13001">
        <v>11</v>
      </c>
      <c r="G13001">
        <v>11101</v>
      </c>
      <c r="H13001" s="1" t="s">
        <v>1833</v>
      </c>
      <c r="I13001">
        <v>0</v>
      </c>
      <c r="J13001">
        <f>IF($H13001=0,1,IF($I13001&lt;=1,2,0))</f>
        <v>2</v>
      </c>
      <c r="K13001">
        <v>0</v>
      </c>
      <c r="L13001">
        <f>IF(AND($J13001=0,$K13001=0),0,1)</f>
        <v>1</v>
      </c>
    </row>
    <row r="13002" spans="1:12" x14ac:dyDescent="0.2">
      <c r="A13002" t="s">
        <v>570</v>
      </c>
      <c r="B13002" t="s">
        <v>17</v>
      </c>
      <c r="C13002" t="s">
        <v>9</v>
      </c>
      <c r="D13002">
        <v>3995</v>
      </c>
      <c r="E13002">
        <v>2020</v>
      </c>
      <c r="F13002">
        <v>15</v>
      </c>
      <c r="G13002">
        <v>11102</v>
      </c>
      <c r="H13002" s="1" t="s">
        <v>1833</v>
      </c>
      <c r="I13002">
        <v>0</v>
      </c>
      <c r="J13002">
        <f>IF($H13002=0,1,IF($I13002&lt;=1,2,0))</f>
        <v>2</v>
      </c>
      <c r="K13002">
        <v>0</v>
      </c>
      <c r="L13002">
        <f>IF(AND($J13002=0,$K13002=0),0,1)</f>
        <v>1</v>
      </c>
    </row>
    <row r="13003" spans="1:12" x14ac:dyDescent="0.2">
      <c r="A13003" t="s">
        <v>570</v>
      </c>
      <c r="B13003" t="s">
        <v>17</v>
      </c>
      <c r="C13003" t="s">
        <v>9</v>
      </c>
      <c r="D13003">
        <v>3995</v>
      </c>
      <c r="E13003">
        <v>2020</v>
      </c>
      <c r="F13003">
        <v>17</v>
      </c>
      <c r="G13003">
        <v>11103</v>
      </c>
      <c r="H13003" s="1" t="s">
        <v>1833</v>
      </c>
      <c r="I13003">
        <v>0</v>
      </c>
      <c r="J13003">
        <f>IF($H13003=0,1,IF($I13003&lt;=1,2,0))</f>
        <v>2</v>
      </c>
      <c r="K13003">
        <v>0</v>
      </c>
      <c r="L13003">
        <f>IF(AND($J13003=0,$K13003=0),0,1)</f>
        <v>1</v>
      </c>
    </row>
    <row r="13004" spans="1:12" x14ac:dyDescent="0.2">
      <c r="A13004" t="s">
        <v>570</v>
      </c>
      <c r="B13004" t="s">
        <v>17</v>
      </c>
      <c r="C13004" t="s">
        <v>9</v>
      </c>
      <c r="D13004">
        <v>3995</v>
      </c>
      <c r="E13004">
        <v>2020</v>
      </c>
      <c r="F13004">
        <v>18</v>
      </c>
      <c r="G13004">
        <v>11104</v>
      </c>
      <c r="H13004" s="1" t="s">
        <v>1833</v>
      </c>
      <c r="I13004">
        <v>0</v>
      </c>
      <c r="J13004">
        <f>IF($H13004=0,1,IF($I13004&lt;=1,2,0))</f>
        <v>2</v>
      </c>
      <c r="K13004">
        <v>0</v>
      </c>
      <c r="L13004">
        <f>IF(AND($J13004=0,$K13004=0),0,1)</f>
        <v>1</v>
      </c>
    </row>
    <row r="13005" spans="1:12" x14ac:dyDescent="0.2">
      <c r="A13005" t="s">
        <v>570</v>
      </c>
      <c r="B13005" t="s">
        <v>17</v>
      </c>
      <c r="C13005" t="s">
        <v>9</v>
      </c>
      <c r="D13005">
        <v>3995</v>
      </c>
      <c r="E13005">
        <v>2020</v>
      </c>
      <c r="F13005">
        <v>19</v>
      </c>
      <c r="G13005">
        <v>11105</v>
      </c>
      <c r="H13005" s="1" t="s">
        <v>1833</v>
      </c>
      <c r="I13005">
        <v>0</v>
      </c>
      <c r="J13005">
        <f>IF($H13005=0,1,IF($I13005&lt;=1,2,0))</f>
        <v>2</v>
      </c>
      <c r="K13005">
        <v>0</v>
      </c>
      <c r="L13005">
        <f>IF(AND($J13005=0,$K13005=0),0,1)</f>
        <v>1</v>
      </c>
    </row>
    <row r="13006" spans="1:12" x14ac:dyDescent="0.2">
      <c r="A13006" t="s">
        <v>570</v>
      </c>
      <c r="B13006" t="s">
        <v>17</v>
      </c>
      <c r="C13006" t="s">
        <v>9</v>
      </c>
      <c r="D13006">
        <v>3995</v>
      </c>
      <c r="E13006">
        <v>2020</v>
      </c>
      <c r="F13006">
        <v>20</v>
      </c>
      <c r="G13006">
        <v>11106</v>
      </c>
      <c r="H13006" s="1" t="s">
        <v>1833</v>
      </c>
      <c r="I13006">
        <v>0</v>
      </c>
      <c r="J13006">
        <f>IF($H13006=0,1,IF($I13006&lt;=1,2,0))</f>
        <v>2</v>
      </c>
      <c r="K13006">
        <v>0</v>
      </c>
      <c r="L13006">
        <f>IF(AND($J13006=0,$K13006=0),0,1)</f>
        <v>1</v>
      </c>
    </row>
    <row r="13007" spans="1:12" x14ac:dyDescent="0.2">
      <c r="A13007" t="s">
        <v>570</v>
      </c>
      <c r="B13007" t="s">
        <v>17</v>
      </c>
      <c r="C13007" t="s">
        <v>9</v>
      </c>
      <c r="D13007">
        <v>3995</v>
      </c>
      <c r="E13007">
        <v>2020</v>
      </c>
      <c r="F13007">
        <v>21</v>
      </c>
      <c r="G13007">
        <v>11107</v>
      </c>
      <c r="H13007" s="1" t="s">
        <v>1833</v>
      </c>
      <c r="I13007">
        <v>0</v>
      </c>
      <c r="J13007">
        <f>IF($H13007=0,1,IF($I13007&lt;=1,2,0))</f>
        <v>2</v>
      </c>
      <c r="K13007">
        <v>0</v>
      </c>
      <c r="L13007">
        <f>IF(AND($J13007=0,$K13007=0),0,1)</f>
        <v>1</v>
      </c>
    </row>
    <row r="13008" spans="1:12" x14ac:dyDescent="0.2">
      <c r="A13008" t="s">
        <v>570</v>
      </c>
      <c r="B13008" t="s">
        <v>17</v>
      </c>
      <c r="C13008" t="s">
        <v>21</v>
      </c>
      <c r="D13008">
        <v>3998</v>
      </c>
      <c r="E13008">
        <v>2020</v>
      </c>
      <c r="F13008">
        <v>19</v>
      </c>
      <c r="G13008">
        <v>11119</v>
      </c>
      <c r="H13008" s="1" t="s">
        <v>1833</v>
      </c>
      <c r="I13008">
        <v>1</v>
      </c>
      <c r="J13008">
        <f>IF($H13008=0,1,IF($I13008&lt;=1,2,0))</f>
        <v>2</v>
      </c>
      <c r="K13008">
        <v>9</v>
      </c>
      <c r="L13008">
        <f>IF(AND($J13008=0,$K13008=0),0,1)</f>
        <v>1</v>
      </c>
    </row>
    <row r="13009" spans="1:12" x14ac:dyDescent="0.2">
      <c r="A13009" t="s">
        <v>570</v>
      </c>
      <c r="B13009" t="s">
        <v>17</v>
      </c>
      <c r="C13009" t="s">
        <v>21</v>
      </c>
      <c r="D13009">
        <v>3998</v>
      </c>
      <c r="E13009">
        <v>2020</v>
      </c>
      <c r="F13009">
        <v>20</v>
      </c>
      <c r="G13009">
        <v>11120</v>
      </c>
      <c r="H13009" s="1" t="s">
        <v>1833</v>
      </c>
      <c r="I13009">
        <v>1</v>
      </c>
      <c r="J13009">
        <f>IF($H13009=0,1,IF($I13009&lt;=1,2,0))</f>
        <v>2</v>
      </c>
      <c r="K13009">
        <v>9</v>
      </c>
      <c r="L13009">
        <f>IF(AND($J13009=0,$K13009=0),0,1)</f>
        <v>1</v>
      </c>
    </row>
    <row r="13010" spans="1:12" x14ac:dyDescent="0.2">
      <c r="A13010" t="s">
        <v>570</v>
      </c>
      <c r="B13010" t="s">
        <v>17</v>
      </c>
      <c r="C13010" t="s">
        <v>21</v>
      </c>
      <c r="D13010">
        <v>3998</v>
      </c>
      <c r="E13010">
        <v>2020</v>
      </c>
      <c r="F13010">
        <v>22</v>
      </c>
      <c r="G13010">
        <v>22366</v>
      </c>
      <c r="H13010" s="1" t="s">
        <v>1833</v>
      </c>
      <c r="I13010">
        <v>1</v>
      </c>
      <c r="J13010">
        <f>IF($H13010=0,1,IF($I13010&lt;=1,2,0))</f>
        <v>2</v>
      </c>
      <c r="K13010">
        <v>9</v>
      </c>
      <c r="L13010">
        <f>IF(AND($J13010=0,$K13010=0),0,1)</f>
        <v>1</v>
      </c>
    </row>
    <row r="13011" spans="1:12" x14ac:dyDescent="0.2">
      <c r="A13011" t="s">
        <v>570</v>
      </c>
      <c r="B13011" t="s">
        <v>17</v>
      </c>
      <c r="C13011" t="s">
        <v>21</v>
      </c>
      <c r="D13011">
        <v>3998</v>
      </c>
      <c r="E13011">
        <v>2020</v>
      </c>
      <c r="F13011">
        <v>2</v>
      </c>
      <c r="G13011">
        <v>11108</v>
      </c>
      <c r="H13011" s="1" t="s">
        <v>1833</v>
      </c>
      <c r="I13011">
        <v>0</v>
      </c>
      <c r="J13011">
        <f>IF($H13011=0,1,IF($I13011&lt;=1,2,0))</f>
        <v>2</v>
      </c>
      <c r="K13011">
        <v>9</v>
      </c>
      <c r="L13011">
        <f>IF(AND($J13011=0,$K13011=0),0,1)</f>
        <v>1</v>
      </c>
    </row>
    <row r="13012" spans="1:12" x14ac:dyDescent="0.2">
      <c r="A13012" t="s">
        <v>570</v>
      </c>
      <c r="B13012" t="s">
        <v>17</v>
      </c>
      <c r="C13012" t="s">
        <v>21</v>
      </c>
      <c r="D13012">
        <v>3998</v>
      </c>
      <c r="E13012">
        <v>2020</v>
      </c>
      <c r="F13012">
        <v>3</v>
      </c>
      <c r="G13012">
        <v>11109</v>
      </c>
      <c r="H13012" s="1" t="s">
        <v>1833</v>
      </c>
      <c r="I13012">
        <v>0</v>
      </c>
      <c r="J13012">
        <f>IF($H13012=0,1,IF($I13012&lt;=1,2,0))</f>
        <v>2</v>
      </c>
      <c r="K13012">
        <v>9</v>
      </c>
      <c r="L13012">
        <f>IF(AND($J13012=0,$K13012=0),0,1)</f>
        <v>1</v>
      </c>
    </row>
    <row r="13013" spans="1:12" x14ac:dyDescent="0.2">
      <c r="A13013" t="s">
        <v>570</v>
      </c>
      <c r="B13013" t="s">
        <v>17</v>
      </c>
      <c r="C13013" t="s">
        <v>21</v>
      </c>
      <c r="D13013">
        <v>3998</v>
      </c>
      <c r="E13013">
        <v>2020</v>
      </c>
      <c r="F13013">
        <v>4</v>
      </c>
      <c r="G13013">
        <v>11110</v>
      </c>
      <c r="H13013" s="1" t="s">
        <v>1833</v>
      </c>
      <c r="I13013">
        <v>0</v>
      </c>
      <c r="J13013">
        <f>IF($H13013=0,1,IF($I13013&lt;=1,2,0))</f>
        <v>2</v>
      </c>
      <c r="K13013">
        <v>9</v>
      </c>
      <c r="L13013">
        <f>IF(AND($J13013=0,$K13013=0),0,1)</f>
        <v>1</v>
      </c>
    </row>
    <row r="13014" spans="1:12" x14ac:dyDescent="0.2">
      <c r="A13014" t="s">
        <v>570</v>
      </c>
      <c r="B13014" t="s">
        <v>17</v>
      </c>
      <c r="C13014" t="s">
        <v>21</v>
      </c>
      <c r="D13014">
        <v>3998</v>
      </c>
      <c r="E13014">
        <v>2020</v>
      </c>
      <c r="F13014">
        <v>5</v>
      </c>
      <c r="G13014">
        <v>11111</v>
      </c>
      <c r="H13014" s="1" t="s">
        <v>1833</v>
      </c>
      <c r="I13014">
        <v>0</v>
      </c>
      <c r="J13014">
        <f>IF($H13014=0,1,IF($I13014&lt;=1,2,0))</f>
        <v>2</v>
      </c>
      <c r="K13014">
        <v>9</v>
      </c>
      <c r="L13014">
        <f>IF(AND($J13014=0,$K13014=0),0,1)</f>
        <v>1</v>
      </c>
    </row>
    <row r="13015" spans="1:12" x14ac:dyDescent="0.2">
      <c r="A13015" t="s">
        <v>570</v>
      </c>
      <c r="B13015" t="s">
        <v>17</v>
      </c>
      <c r="C13015" t="s">
        <v>21</v>
      </c>
      <c r="D13015">
        <v>3998</v>
      </c>
      <c r="E13015">
        <v>2020</v>
      </c>
      <c r="F13015">
        <v>9</v>
      </c>
      <c r="G13015">
        <v>11112</v>
      </c>
      <c r="H13015" s="1" t="s">
        <v>1833</v>
      </c>
      <c r="I13015">
        <v>0</v>
      </c>
      <c r="J13015">
        <f>IF($H13015=0,1,IF($I13015&lt;=1,2,0))</f>
        <v>2</v>
      </c>
      <c r="K13015">
        <v>9</v>
      </c>
      <c r="L13015">
        <f>IF(AND($J13015=0,$K13015=0),0,1)</f>
        <v>1</v>
      </c>
    </row>
    <row r="13016" spans="1:12" x14ac:dyDescent="0.2">
      <c r="A13016" t="s">
        <v>570</v>
      </c>
      <c r="B13016" t="s">
        <v>17</v>
      </c>
      <c r="C13016" t="s">
        <v>21</v>
      </c>
      <c r="D13016">
        <v>3998</v>
      </c>
      <c r="E13016">
        <v>2020</v>
      </c>
      <c r="F13016">
        <v>10</v>
      </c>
      <c r="G13016">
        <v>11113</v>
      </c>
      <c r="H13016" s="1" t="s">
        <v>1833</v>
      </c>
      <c r="I13016">
        <v>0</v>
      </c>
      <c r="J13016">
        <f>IF($H13016=0,1,IF($I13016&lt;=1,2,0))</f>
        <v>2</v>
      </c>
      <c r="K13016">
        <v>9</v>
      </c>
      <c r="L13016">
        <f>IF(AND($J13016=0,$K13016=0),0,1)</f>
        <v>1</v>
      </c>
    </row>
    <row r="13017" spans="1:12" x14ac:dyDescent="0.2">
      <c r="A13017" t="s">
        <v>570</v>
      </c>
      <c r="B13017" t="s">
        <v>17</v>
      </c>
      <c r="C13017" t="s">
        <v>21</v>
      </c>
      <c r="D13017">
        <v>3998</v>
      </c>
      <c r="E13017">
        <v>2020</v>
      </c>
      <c r="F13017">
        <v>11</v>
      </c>
      <c r="G13017">
        <v>11114</v>
      </c>
      <c r="H13017" s="1" t="s">
        <v>1833</v>
      </c>
      <c r="I13017">
        <v>0</v>
      </c>
      <c r="J13017">
        <f>IF($H13017=0,1,IF($I13017&lt;=1,2,0))</f>
        <v>2</v>
      </c>
      <c r="K13017">
        <v>9</v>
      </c>
      <c r="L13017">
        <f>IF(AND($J13017=0,$K13017=0),0,1)</f>
        <v>1</v>
      </c>
    </row>
    <row r="13018" spans="1:12" x14ac:dyDescent="0.2">
      <c r="A13018" t="s">
        <v>570</v>
      </c>
      <c r="B13018" t="s">
        <v>17</v>
      </c>
      <c r="C13018" t="s">
        <v>21</v>
      </c>
      <c r="D13018">
        <v>3998</v>
      </c>
      <c r="E13018">
        <v>2020</v>
      </c>
      <c r="F13018">
        <v>12</v>
      </c>
      <c r="G13018">
        <v>11115</v>
      </c>
      <c r="H13018" s="1" t="s">
        <v>1833</v>
      </c>
      <c r="I13018">
        <v>0</v>
      </c>
      <c r="J13018">
        <f>IF($H13018=0,1,IF($I13018&lt;=1,2,0))</f>
        <v>2</v>
      </c>
      <c r="K13018">
        <v>9</v>
      </c>
      <c r="L13018">
        <f>IF(AND($J13018=0,$K13018=0),0,1)</f>
        <v>1</v>
      </c>
    </row>
    <row r="13019" spans="1:12" x14ac:dyDescent="0.2">
      <c r="A13019" t="s">
        <v>570</v>
      </c>
      <c r="B13019" t="s">
        <v>17</v>
      </c>
      <c r="C13019" t="s">
        <v>21</v>
      </c>
      <c r="D13019">
        <v>3998</v>
      </c>
      <c r="E13019">
        <v>2020</v>
      </c>
      <c r="F13019">
        <v>15</v>
      </c>
      <c r="G13019">
        <v>11116</v>
      </c>
      <c r="H13019" s="1" t="s">
        <v>1833</v>
      </c>
      <c r="I13019">
        <v>0</v>
      </c>
      <c r="J13019">
        <f>IF($H13019=0,1,IF($I13019&lt;=1,2,0))</f>
        <v>2</v>
      </c>
      <c r="K13019">
        <v>9</v>
      </c>
      <c r="L13019">
        <f>IF(AND($J13019=0,$K13019=0),0,1)</f>
        <v>1</v>
      </c>
    </row>
    <row r="13020" spans="1:12" x14ac:dyDescent="0.2">
      <c r="A13020" t="s">
        <v>570</v>
      </c>
      <c r="B13020" t="s">
        <v>17</v>
      </c>
      <c r="C13020" t="s">
        <v>21</v>
      </c>
      <c r="D13020">
        <v>3998</v>
      </c>
      <c r="E13020">
        <v>2020</v>
      </c>
      <c r="F13020">
        <v>17</v>
      </c>
      <c r="G13020">
        <v>11117</v>
      </c>
      <c r="H13020" s="1" t="s">
        <v>1833</v>
      </c>
      <c r="I13020">
        <v>0</v>
      </c>
      <c r="J13020">
        <f>IF($H13020=0,1,IF($I13020&lt;=1,2,0))</f>
        <v>2</v>
      </c>
      <c r="K13020">
        <v>9</v>
      </c>
      <c r="L13020">
        <f>IF(AND($J13020=0,$K13020=0),0,1)</f>
        <v>1</v>
      </c>
    </row>
    <row r="13021" spans="1:12" x14ac:dyDescent="0.2">
      <c r="A13021" t="s">
        <v>570</v>
      </c>
      <c r="B13021" t="s">
        <v>17</v>
      </c>
      <c r="C13021" t="s">
        <v>21</v>
      </c>
      <c r="D13021">
        <v>3998</v>
      </c>
      <c r="E13021">
        <v>2020</v>
      </c>
      <c r="F13021">
        <v>18</v>
      </c>
      <c r="G13021">
        <v>11118</v>
      </c>
      <c r="H13021" s="1" t="s">
        <v>1833</v>
      </c>
      <c r="I13021">
        <v>0</v>
      </c>
      <c r="J13021">
        <f>IF($H13021=0,1,IF($I13021&lt;=1,2,0))</f>
        <v>2</v>
      </c>
      <c r="K13021">
        <v>9</v>
      </c>
      <c r="L13021">
        <f>IF(AND($J13021=0,$K13021=0),0,1)</f>
        <v>1</v>
      </c>
    </row>
    <row r="13022" spans="1:12" x14ac:dyDescent="0.2">
      <c r="A13022" t="s">
        <v>570</v>
      </c>
      <c r="B13022" t="s">
        <v>17</v>
      </c>
      <c r="C13022" t="s">
        <v>21</v>
      </c>
      <c r="D13022">
        <v>3998</v>
      </c>
      <c r="E13022">
        <v>2020</v>
      </c>
      <c r="F13022">
        <v>21</v>
      </c>
      <c r="G13022">
        <v>11121</v>
      </c>
      <c r="H13022" s="1" t="s">
        <v>1833</v>
      </c>
      <c r="I13022">
        <v>0</v>
      </c>
      <c r="J13022">
        <f>IF($H13022=0,1,IF($I13022&lt;=1,2,0))</f>
        <v>2</v>
      </c>
      <c r="K13022">
        <v>9</v>
      </c>
      <c r="L13022">
        <f>IF(AND($J13022=0,$K13022=0),0,1)</f>
        <v>1</v>
      </c>
    </row>
    <row r="13023" spans="1:12" x14ac:dyDescent="0.2">
      <c r="A13023" t="s">
        <v>570</v>
      </c>
      <c r="B13023" t="s">
        <v>17</v>
      </c>
      <c r="C13023" t="s">
        <v>9</v>
      </c>
      <c r="D13023">
        <v>4998</v>
      </c>
      <c r="E13023">
        <v>2020</v>
      </c>
      <c r="F13023">
        <v>1</v>
      </c>
      <c r="G13023">
        <v>11139</v>
      </c>
      <c r="H13023" s="1" t="s">
        <v>1827</v>
      </c>
      <c r="I13023">
        <v>1</v>
      </c>
      <c r="J13023">
        <f>IF($H13023=0,1,IF($I13023&lt;=1,2,0))</f>
        <v>2</v>
      </c>
      <c r="K13023">
        <v>9</v>
      </c>
      <c r="L13023">
        <f>IF(AND($J13023=0,$K13023=0),0,1)</f>
        <v>1</v>
      </c>
    </row>
    <row r="13024" spans="1:12" x14ac:dyDescent="0.2">
      <c r="A13024" t="s">
        <v>570</v>
      </c>
      <c r="B13024" t="s">
        <v>17</v>
      </c>
      <c r="C13024" t="s">
        <v>11</v>
      </c>
      <c r="D13024">
        <v>6290</v>
      </c>
      <c r="E13024">
        <v>2020</v>
      </c>
      <c r="F13024">
        <v>1</v>
      </c>
      <c r="G13024">
        <v>11144</v>
      </c>
      <c r="H13024" s="1">
        <v>1</v>
      </c>
      <c r="I13024">
        <v>0</v>
      </c>
      <c r="J13024">
        <f>IF($H13024=0,1,IF($I13024&lt;=1,2,0))</f>
        <v>2</v>
      </c>
      <c r="K13024">
        <v>0</v>
      </c>
      <c r="L13024">
        <f>IF(AND($J13024=0,$K13024=0),0,1)</f>
        <v>1</v>
      </c>
    </row>
    <row r="13025" spans="1:12" x14ac:dyDescent="0.2">
      <c r="A13025" t="s">
        <v>570</v>
      </c>
      <c r="B13025" t="s">
        <v>17</v>
      </c>
      <c r="C13025" t="s">
        <v>11</v>
      </c>
      <c r="D13025">
        <v>8097</v>
      </c>
      <c r="E13025">
        <v>2020</v>
      </c>
      <c r="F13025">
        <v>2</v>
      </c>
      <c r="G13025">
        <v>11147</v>
      </c>
      <c r="H13025" s="1">
        <v>3</v>
      </c>
      <c r="I13025">
        <v>0</v>
      </c>
      <c r="J13025">
        <f>IF($H13025=0,1,IF($I13025&lt;=1,2,0))</f>
        <v>2</v>
      </c>
      <c r="K13025">
        <v>0</v>
      </c>
      <c r="L13025">
        <f>IF(AND($J13025=0,$K13025=0),0,1)</f>
        <v>1</v>
      </c>
    </row>
    <row r="13026" spans="1:12" x14ac:dyDescent="0.2">
      <c r="A13026" t="s">
        <v>570</v>
      </c>
      <c r="B13026" t="s">
        <v>17</v>
      </c>
      <c r="C13026" t="s">
        <v>11</v>
      </c>
      <c r="D13026">
        <v>8097</v>
      </c>
      <c r="E13026">
        <v>2020</v>
      </c>
      <c r="F13026">
        <v>3</v>
      </c>
      <c r="G13026">
        <v>11148</v>
      </c>
      <c r="H13026" s="1">
        <v>3</v>
      </c>
      <c r="I13026">
        <v>0</v>
      </c>
      <c r="J13026">
        <f>IF($H13026=0,1,IF($I13026&lt;=1,2,0))</f>
        <v>2</v>
      </c>
      <c r="K13026">
        <v>0</v>
      </c>
      <c r="L13026">
        <f>IF(AND($J13026=0,$K13026=0),0,1)</f>
        <v>1</v>
      </c>
    </row>
    <row r="13027" spans="1:12" x14ac:dyDescent="0.2">
      <c r="A13027" t="s">
        <v>570</v>
      </c>
      <c r="B13027" t="s">
        <v>17</v>
      </c>
      <c r="C13027" t="s">
        <v>11</v>
      </c>
      <c r="D13027">
        <v>8097</v>
      </c>
      <c r="E13027">
        <v>2020</v>
      </c>
      <c r="F13027">
        <v>4</v>
      </c>
      <c r="G13027">
        <v>11149</v>
      </c>
      <c r="H13027" s="1">
        <v>3</v>
      </c>
      <c r="I13027">
        <v>0</v>
      </c>
      <c r="J13027">
        <f>IF($H13027=0,1,IF($I13027&lt;=1,2,0))</f>
        <v>2</v>
      </c>
      <c r="K13027">
        <v>0</v>
      </c>
      <c r="L13027">
        <f>IF(AND($J13027=0,$K13027=0),0,1)</f>
        <v>1</v>
      </c>
    </row>
    <row r="13028" spans="1:12" x14ac:dyDescent="0.2">
      <c r="A13028" t="s">
        <v>570</v>
      </c>
      <c r="B13028" t="s">
        <v>17</v>
      </c>
      <c r="C13028" t="s">
        <v>11</v>
      </c>
      <c r="D13028">
        <v>8097</v>
      </c>
      <c r="E13028">
        <v>2020</v>
      </c>
      <c r="F13028">
        <v>8</v>
      </c>
      <c r="G13028">
        <v>11150</v>
      </c>
      <c r="H13028" s="1">
        <v>3</v>
      </c>
      <c r="I13028">
        <v>0</v>
      </c>
      <c r="J13028">
        <f>IF($H13028=0,1,IF($I13028&lt;=1,2,0))</f>
        <v>2</v>
      </c>
      <c r="K13028">
        <v>0</v>
      </c>
      <c r="L13028">
        <f>IF(AND($J13028=0,$K13028=0),0,1)</f>
        <v>1</v>
      </c>
    </row>
    <row r="13029" spans="1:12" x14ac:dyDescent="0.2">
      <c r="A13029" t="s">
        <v>570</v>
      </c>
      <c r="B13029" t="s">
        <v>17</v>
      </c>
      <c r="C13029" t="s">
        <v>11</v>
      </c>
      <c r="D13029">
        <v>8097</v>
      </c>
      <c r="E13029">
        <v>2020</v>
      </c>
      <c r="F13029">
        <v>9</v>
      </c>
      <c r="G13029">
        <v>11151</v>
      </c>
      <c r="H13029" s="1">
        <v>3</v>
      </c>
      <c r="I13029">
        <v>0</v>
      </c>
      <c r="J13029">
        <f>IF($H13029=0,1,IF($I13029&lt;=1,2,0))</f>
        <v>2</v>
      </c>
      <c r="K13029">
        <v>0</v>
      </c>
      <c r="L13029">
        <f>IF(AND($J13029=0,$K13029=0),0,1)</f>
        <v>1</v>
      </c>
    </row>
    <row r="13030" spans="1:12" x14ac:dyDescent="0.2">
      <c r="A13030" t="s">
        <v>570</v>
      </c>
      <c r="B13030" t="s">
        <v>17</v>
      </c>
      <c r="C13030" t="s">
        <v>11</v>
      </c>
      <c r="D13030">
        <v>8097</v>
      </c>
      <c r="E13030">
        <v>2020</v>
      </c>
      <c r="F13030">
        <v>13</v>
      </c>
      <c r="G13030">
        <v>11152</v>
      </c>
      <c r="H13030" s="1">
        <v>3</v>
      </c>
      <c r="I13030">
        <v>0</v>
      </c>
      <c r="J13030">
        <f>IF($H13030=0,1,IF($I13030&lt;=1,2,0))</f>
        <v>2</v>
      </c>
      <c r="K13030">
        <v>0</v>
      </c>
      <c r="L13030">
        <f>IF(AND($J13030=0,$K13030=0),0,1)</f>
        <v>1</v>
      </c>
    </row>
    <row r="13031" spans="1:12" x14ac:dyDescent="0.2">
      <c r="A13031" t="s">
        <v>570</v>
      </c>
      <c r="B13031" t="s">
        <v>17</v>
      </c>
      <c r="C13031" t="s">
        <v>11</v>
      </c>
      <c r="D13031">
        <v>8097</v>
      </c>
      <c r="E13031">
        <v>2020</v>
      </c>
      <c r="F13031">
        <v>14</v>
      </c>
      <c r="G13031">
        <v>11153</v>
      </c>
      <c r="H13031" s="1">
        <v>3</v>
      </c>
      <c r="I13031">
        <v>0</v>
      </c>
      <c r="J13031">
        <f>IF($H13031=0,1,IF($I13031&lt;=1,2,0))</f>
        <v>2</v>
      </c>
      <c r="K13031">
        <v>0</v>
      </c>
      <c r="L13031">
        <f>IF(AND($J13031=0,$K13031=0),0,1)</f>
        <v>1</v>
      </c>
    </row>
    <row r="13032" spans="1:12" x14ac:dyDescent="0.2">
      <c r="A13032" t="s">
        <v>570</v>
      </c>
      <c r="B13032" t="s">
        <v>17</v>
      </c>
      <c r="C13032" t="s">
        <v>11</v>
      </c>
      <c r="D13032">
        <v>8097</v>
      </c>
      <c r="E13032">
        <v>2020</v>
      </c>
      <c r="F13032">
        <v>15</v>
      </c>
      <c r="G13032">
        <v>11154</v>
      </c>
      <c r="H13032" s="1">
        <v>3</v>
      </c>
      <c r="I13032">
        <v>0</v>
      </c>
      <c r="J13032">
        <f>IF($H13032=0,1,IF($I13032&lt;=1,2,0))</f>
        <v>2</v>
      </c>
      <c r="K13032">
        <v>0</v>
      </c>
      <c r="L13032">
        <f>IF(AND($J13032=0,$K13032=0),0,1)</f>
        <v>1</v>
      </c>
    </row>
    <row r="13033" spans="1:12" x14ac:dyDescent="0.2">
      <c r="A13033" t="s">
        <v>570</v>
      </c>
      <c r="B13033" t="s">
        <v>17</v>
      </c>
      <c r="C13033" t="s">
        <v>11</v>
      </c>
      <c r="D13033">
        <v>8500</v>
      </c>
      <c r="E13033">
        <v>2020</v>
      </c>
      <c r="F13033">
        <v>1</v>
      </c>
      <c r="G13033">
        <v>22256</v>
      </c>
      <c r="H13033" s="1">
        <v>3</v>
      </c>
      <c r="I13033">
        <v>1</v>
      </c>
      <c r="J13033">
        <f>IF($H13033=0,1,IF($I13033&lt;=1,2,0))</f>
        <v>2</v>
      </c>
      <c r="K13033">
        <v>0</v>
      </c>
      <c r="L13033">
        <f>IF(AND($J13033=0,$K13033=0),0,1)</f>
        <v>1</v>
      </c>
    </row>
    <row r="13034" spans="1:12" x14ac:dyDescent="0.2">
      <c r="A13034" t="s">
        <v>570</v>
      </c>
      <c r="B13034" t="s">
        <v>17</v>
      </c>
      <c r="C13034" t="s">
        <v>11</v>
      </c>
      <c r="D13034">
        <v>8500</v>
      </c>
      <c r="E13034">
        <v>2020</v>
      </c>
      <c r="F13034">
        <v>3</v>
      </c>
      <c r="G13034">
        <v>11156</v>
      </c>
      <c r="H13034" s="1">
        <v>3</v>
      </c>
      <c r="I13034">
        <v>1</v>
      </c>
      <c r="J13034">
        <f>IF($H13034=0,1,IF($I13034&lt;=1,2,0))</f>
        <v>2</v>
      </c>
      <c r="K13034">
        <v>0</v>
      </c>
      <c r="L13034">
        <f>IF(AND($J13034=0,$K13034=0),0,1)</f>
        <v>1</v>
      </c>
    </row>
    <row r="13035" spans="1:12" x14ac:dyDescent="0.2">
      <c r="A13035" t="s">
        <v>570</v>
      </c>
      <c r="B13035" t="s">
        <v>17</v>
      </c>
      <c r="C13035" t="s">
        <v>11</v>
      </c>
      <c r="D13035">
        <v>8500</v>
      </c>
      <c r="E13035">
        <v>2020</v>
      </c>
      <c r="F13035">
        <v>2</v>
      </c>
      <c r="G13035">
        <v>11155</v>
      </c>
      <c r="H13035" s="1">
        <v>3</v>
      </c>
      <c r="I13035">
        <v>0</v>
      </c>
      <c r="J13035">
        <f>IF($H13035=0,1,IF($I13035&lt;=1,2,0))</f>
        <v>2</v>
      </c>
      <c r="K13035">
        <v>0</v>
      </c>
      <c r="L13035">
        <f>IF(AND($J13035=0,$K13035=0),0,1)</f>
        <v>1</v>
      </c>
    </row>
    <row r="13036" spans="1:12" x14ac:dyDescent="0.2">
      <c r="A13036" t="s">
        <v>570</v>
      </c>
      <c r="B13036" t="s">
        <v>17</v>
      </c>
      <c r="C13036" t="s">
        <v>11</v>
      </c>
      <c r="D13036">
        <v>8500</v>
      </c>
      <c r="E13036">
        <v>2020</v>
      </c>
      <c r="F13036">
        <v>4</v>
      </c>
      <c r="G13036">
        <v>11157</v>
      </c>
      <c r="H13036" s="1">
        <v>3</v>
      </c>
      <c r="I13036">
        <v>0</v>
      </c>
      <c r="J13036">
        <f>IF($H13036=0,1,IF($I13036&lt;=1,2,0))</f>
        <v>2</v>
      </c>
      <c r="K13036">
        <v>0</v>
      </c>
      <c r="L13036">
        <f>IF(AND($J13036=0,$K13036=0),0,1)</f>
        <v>1</v>
      </c>
    </row>
    <row r="13037" spans="1:12" x14ac:dyDescent="0.2">
      <c r="A13037" t="s">
        <v>570</v>
      </c>
      <c r="B13037" t="s">
        <v>17</v>
      </c>
      <c r="C13037" t="s">
        <v>11</v>
      </c>
      <c r="D13037">
        <v>8500</v>
      </c>
      <c r="E13037">
        <v>2020</v>
      </c>
      <c r="F13037">
        <v>8</v>
      </c>
      <c r="G13037">
        <v>11158</v>
      </c>
      <c r="H13037" s="1">
        <v>3</v>
      </c>
      <c r="I13037">
        <v>0</v>
      </c>
      <c r="J13037">
        <f>IF($H13037=0,1,IF($I13037&lt;=1,2,0))</f>
        <v>2</v>
      </c>
      <c r="K13037">
        <v>0</v>
      </c>
      <c r="L13037">
        <f>IF(AND($J13037=0,$K13037=0),0,1)</f>
        <v>1</v>
      </c>
    </row>
    <row r="13038" spans="1:12" x14ac:dyDescent="0.2">
      <c r="A13038" t="s">
        <v>570</v>
      </c>
      <c r="B13038" t="s">
        <v>17</v>
      </c>
      <c r="C13038" t="s">
        <v>11</v>
      </c>
      <c r="D13038">
        <v>8500</v>
      </c>
      <c r="E13038">
        <v>2020</v>
      </c>
      <c r="F13038">
        <v>9</v>
      </c>
      <c r="G13038">
        <v>11159</v>
      </c>
      <c r="H13038" s="1">
        <v>3</v>
      </c>
      <c r="I13038">
        <v>0</v>
      </c>
      <c r="J13038">
        <f>IF($H13038=0,1,IF($I13038&lt;=1,2,0))</f>
        <v>2</v>
      </c>
      <c r="K13038">
        <v>0</v>
      </c>
      <c r="L13038">
        <f>IF(AND($J13038=0,$K13038=0),0,1)</f>
        <v>1</v>
      </c>
    </row>
    <row r="13039" spans="1:12" x14ac:dyDescent="0.2">
      <c r="A13039" t="s">
        <v>570</v>
      </c>
      <c r="B13039" t="s">
        <v>17</v>
      </c>
      <c r="C13039" t="s">
        <v>11</v>
      </c>
      <c r="D13039">
        <v>8500</v>
      </c>
      <c r="E13039">
        <v>2020</v>
      </c>
      <c r="F13039">
        <v>13</v>
      </c>
      <c r="G13039">
        <v>11160</v>
      </c>
      <c r="H13039" s="1">
        <v>3</v>
      </c>
      <c r="I13039">
        <v>0</v>
      </c>
      <c r="J13039">
        <f>IF($H13039=0,1,IF($I13039&lt;=1,2,0))</f>
        <v>2</v>
      </c>
      <c r="K13039">
        <v>0</v>
      </c>
      <c r="L13039">
        <f>IF(AND($J13039=0,$K13039=0),0,1)</f>
        <v>1</v>
      </c>
    </row>
    <row r="13040" spans="1:12" x14ac:dyDescent="0.2">
      <c r="A13040" t="s">
        <v>570</v>
      </c>
      <c r="B13040" t="s">
        <v>17</v>
      </c>
      <c r="C13040" t="s">
        <v>11</v>
      </c>
      <c r="D13040">
        <v>8500</v>
      </c>
      <c r="E13040">
        <v>2020</v>
      </c>
      <c r="F13040">
        <v>14</v>
      </c>
      <c r="G13040">
        <v>11161</v>
      </c>
      <c r="H13040" s="1">
        <v>3</v>
      </c>
      <c r="I13040">
        <v>0</v>
      </c>
      <c r="J13040">
        <f>IF($H13040=0,1,IF($I13040&lt;=1,2,0))</f>
        <v>2</v>
      </c>
      <c r="K13040">
        <v>0</v>
      </c>
      <c r="L13040">
        <f>IF(AND($J13040=0,$K13040=0),0,1)</f>
        <v>1</v>
      </c>
    </row>
    <row r="13041" spans="1:13" x14ac:dyDescent="0.2">
      <c r="A13041" t="s">
        <v>570</v>
      </c>
      <c r="B13041" t="s">
        <v>17</v>
      </c>
      <c r="C13041" t="s">
        <v>11</v>
      </c>
      <c r="D13041">
        <v>8500</v>
      </c>
      <c r="E13041">
        <v>2020</v>
      </c>
      <c r="F13041">
        <v>15</v>
      </c>
      <c r="G13041">
        <v>11162</v>
      </c>
      <c r="H13041" s="1">
        <v>3</v>
      </c>
      <c r="I13041">
        <v>0</v>
      </c>
      <c r="J13041">
        <f>IF($H13041=0,1,IF($I13041&lt;=1,2,0))</f>
        <v>2</v>
      </c>
      <c r="K13041">
        <v>0</v>
      </c>
      <c r="L13041">
        <f>IF(AND($J13041=0,$K13041=0),0,1)</f>
        <v>1</v>
      </c>
    </row>
    <row r="13042" spans="1:13" x14ac:dyDescent="0.2">
      <c r="A13042" t="s">
        <v>576</v>
      </c>
      <c r="B13042" t="s">
        <v>1</v>
      </c>
      <c r="C13042" t="s">
        <v>2</v>
      </c>
      <c r="D13042">
        <v>2001</v>
      </c>
      <c r="E13042">
        <v>2020</v>
      </c>
      <c r="F13042">
        <v>1</v>
      </c>
      <c r="G13042">
        <v>122</v>
      </c>
      <c r="H13042" s="1">
        <v>3</v>
      </c>
      <c r="I13042">
        <v>0</v>
      </c>
      <c r="J13042">
        <f>IF($H13042=0,1,IF($I13042&lt;=1,2,0))</f>
        <v>2</v>
      </c>
      <c r="K13042">
        <v>7</v>
      </c>
      <c r="L13042">
        <f>IF(AND($J13042=0,$K13042=0),0,1)</f>
        <v>1</v>
      </c>
      <c r="M13042" t="s">
        <v>1154</v>
      </c>
    </row>
    <row r="13043" spans="1:13" x14ac:dyDescent="0.2">
      <c r="A13043" t="s">
        <v>576</v>
      </c>
      <c r="B13043" t="s">
        <v>1</v>
      </c>
      <c r="C13043" t="s">
        <v>2</v>
      </c>
      <c r="D13043">
        <v>2002</v>
      </c>
      <c r="E13043">
        <v>2020</v>
      </c>
      <c r="F13043">
        <v>1</v>
      </c>
      <c r="G13043">
        <v>674</v>
      </c>
      <c r="H13043" s="1">
        <v>4</v>
      </c>
      <c r="I13043">
        <v>10</v>
      </c>
      <c r="J13043">
        <f>IF($H13043=0,1,IF($I13043&lt;=1,2,0))</f>
        <v>0</v>
      </c>
      <c r="K13043">
        <v>7</v>
      </c>
      <c r="L13043">
        <f>IF(AND($J13043=0,$K13043=0),0,1)</f>
        <v>1</v>
      </c>
    </row>
    <row r="13044" spans="1:13" x14ac:dyDescent="0.2">
      <c r="A13044" t="s">
        <v>576</v>
      </c>
      <c r="B13044" t="s">
        <v>1</v>
      </c>
      <c r="C13044" t="s">
        <v>2</v>
      </c>
      <c r="D13044">
        <v>3099</v>
      </c>
      <c r="E13044">
        <v>2020</v>
      </c>
      <c r="F13044">
        <v>3</v>
      </c>
      <c r="G13044">
        <v>126</v>
      </c>
      <c r="H13044" s="1" t="s">
        <v>1823</v>
      </c>
      <c r="I13044">
        <v>2</v>
      </c>
      <c r="J13044">
        <f>IF($H13044=0,1,IF($I13044&lt;=1,2,0))</f>
        <v>0</v>
      </c>
      <c r="K13044">
        <v>7</v>
      </c>
      <c r="L13044">
        <f>IF(AND($J13044=0,$K13044=0),0,1)</f>
        <v>1</v>
      </c>
      <c r="M13044" t="s">
        <v>471</v>
      </c>
    </row>
    <row r="13045" spans="1:13" x14ac:dyDescent="0.2">
      <c r="A13045" t="s">
        <v>576</v>
      </c>
      <c r="B13045" t="s">
        <v>1</v>
      </c>
      <c r="C13045" t="s">
        <v>2</v>
      </c>
      <c r="D13045">
        <v>3099</v>
      </c>
      <c r="E13045">
        <v>2020</v>
      </c>
      <c r="F13045">
        <v>1</v>
      </c>
      <c r="G13045">
        <v>124</v>
      </c>
      <c r="H13045" s="1" t="s">
        <v>1823</v>
      </c>
      <c r="I13045">
        <v>1</v>
      </c>
      <c r="J13045">
        <f>IF($H13045=0,1,IF($I13045&lt;=1,2,0))</f>
        <v>2</v>
      </c>
      <c r="K13045">
        <v>7</v>
      </c>
      <c r="L13045">
        <f>IF(AND($J13045=0,$K13045=0),0,1)</f>
        <v>1</v>
      </c>
      <c r="M13045" t="s">
        <v>471</v>
      </c>
    </row>
    <row r="13046" spans="1:13" x14ac:dyDescent="0.2">
      <c r="A13046" t="s">
        <v>576</v>
      </c>
      <c r="B13046" t="s">
        <v>1</v>
      </c>
      <c r="C13046" t="s">
        <v>2</v>
      </c>
      <c r="D13046">
        <v>3099</v>
      </c>
      <c r="E13046">
        <v>2020</v>
      </c>
      <c r="F13046">
        <v>7</v>
      </c>
      <c r="G13046">
        <v>968</v>
      </c>
      <c r="H13046" s="1" t="s">
        <v>1823</v>
      </c>
      <c r="I13046">
        <v>1</v>
      </c>
      <c r="J13046">
        <f>IF($H13046=0,1,IF($I13046&lt;=1,2,0))</f>
        <v>2</v>
      </c>
      <c r="K13046">
        <v>7</v>
      </c>
      <c r="L13046">
        <f>IF(AND($J13046=0,$K13046=0),0,1)</f>
        <v>1</v>
      </c>
    </row>
    <row r="13047" spans="1:13" x14ac:dyDescent="0.2">
      <c r="A13047" t="s">
        <v>576</v>
      </c>
      <c r="B13047" t="s">
        <v>1</v>
      </c>
      <c r="C13047" t="s">
        <v>2</v>
      </c>
      <c r="D13047">
        <v>3099</v>
      </c>
      <c r="E13047">
        <v>2020</v>
      </c>
      <c r="F13047">
        <v>2</v>
      </c>
      <c r="G13047">
        <v>125</v>
      </c>
      <c r="H13047" s="1" t="s">
        <v>1823</v>
      </c>
      <c r="I13047">
        <v>0</v>
      </c>
      <c r="J13047">
        <f>IF($H13047=0,1,IF($I13047&lt;=1,2,0))</f>
        <v>2</v>
      </c>
      <c r="K13047">
        <v>7</v>
      </c>
      <c r="L13047">
        <f>IF(AND($J13047=0,$K13047=0),0,1)</f>
        <v>1</v>
      </c>
      <c r="M13047" t="s">
        <v>471</v>
      </c>
    </row>
    <row r="13048" spans="1:13" x14ac:dyDescent="0.2">
      <c r="A13048" t="s">
        <v>576</v>
      </c>
      <c r="B13048" t="s">
        <v>1</v>
      </c>
      <c r="C13048" t="s">
        <v>2</v>
      </c>
      <c r="D13048">
        <v>3099</v>
      </c>
      <c r="E13048">
        <v>2020</v>
      </c>
      <c r="F13048">
        <v>4</v>
      </c>
      <c r="G13048">
        <v>127</v>
      </c>
      <c r="H13048" s="1" t="s">
        <v>1823</v>
      </c>
      <c r="I13048">
        <v>0</v>
      </c>
      <c r="J13048">
        <f>IF($H13048=0,1,IF($I13048&lt;=1,2,0))</f>
        <v>2</v>
      </c>
      <c r="K13048">
        <v>7</v>
      </c>
      <c r="L13048">
        <f>IF(AND($J13048=0,$K13048=0),0,1)</f>
        <v>1</v>
      </c>
      <c r="M13048" t="s">
        <v>471</v>
      </c>
    </row>
    <row r="13049" spans="1:13" x14ac:dyDescent="0.2">
      <c r="A13049" t="s">
        <v>576</v>
      </c>
      <c r="B13049" t="s">
        <v>1</v>
      </c>
      <c r="C13049" t="s">
        <v>2</v>
      </c>
      <c r="D13049">
        <v>3099</v>
      </c>
      <c r="E13049">
        <v>2020</v>
      </c>
      <c r="F13049">
        <v>5</v>
      </c>
      <c r="G13049">
        <v>128</v>
      </c>
      <c r="H13049" s="1" t="s">
        <v>1823</v>
      </c>
      <c r="I13049">
        <v>0</v>
      </c>
      <c r="J13049">
        <f>IF($H13049=0,1,IF($I13049&lt;=1,2,0))</f>
        <v>2</v>
      </c>
      <c r="K13049">
        <v>7</v>
      </c>
      <c r="L13049">
        <f>IF(AND($J13049=0,$K13049=0),0,1)</f>
        <v>1</v>
      </c>
      <c r="M13049" t="s">
        <v>471</v>
      </c>
    </row>
    <row r="13050" spans="1:13" x14ac:dyDescent="0.2">
      <c r="A13050" t="s">
        <v>576</v>
      </c>
      <c r="B13050" t="s">
        <v>1</v>
      </c>
      <c r="C13050" t="s">
        <v>2</v>
      </c>
      <c r="D13050">
        <v>3099</v>
      </c>
      <c r="E13050">
        <v>2020</v>
      </c>
      <c r="F13050">
        <v>6</v>
      </c>
      <c r="G13050">
        <v>129</v>
      </c>
      <c r="H13050" s="1" t="s">
        <v>1823</v>
      </c>
      <c r="I13050">
        <v>0</v>
      </c>
      <c r="J13050">
        <f>IF($H13050=0,1,IF($I13050&lt;=1,2,0))</f>
        <v>2</v>
      </c>
      <c r="K13050">
        <v>7</v>
      </c>
      <c r="L13050">
        <f>IF(AND($J13050=0,$K13050=0),0,1)</f>
        <v>1</v>
      </c>
      <c r="M13050" t="s">
        <v>471</v>
      </c>
    </row>
    <row r="13051" spans="1:13" x14ac:dyDescent="0.2">
      <c r="A13051" t="s">
        <v>576</v>
      </c>
      <c r="B13051" t="s">
        <v>1</v>
      </c>
      <c r="C13051" t="s">
        <v>2</v>
      </c>
      <c r="D13051">
        <v>3376</v>
      </c>
      <c r="E13051">
        <v>2020</v>
      </c>
      <c r="F13051">
        <v>1</v>
      </c>
      <c r="G13051">
        <v>130</v>
      </c>
      <c r="H13051" s="1">
        <v>4</v>
      </c>
      <c r="I13051">
        <v>13</v>
      </c>
      <c r="J13051">
        <f>IF($H13051=0,1,IF($I13051&lt;=1,2,0))</f>
        <v>0</v>
      </c>
      <c r="K13051">
        <v>7</v>
      </c>
      <c r="L13051">
        <f>IF(AND($J13051=0,$K13051=0),0,1)</f>
        <v>1</v>
      </c>
      <c r="M13051" t="s">
        <v>471</v>
      </c>
    </row>
    <row r="13052" spans="1:13" x14ac:dyDescent="0.2">
      <c r="A13052" t="s">
        <v>576</v>
      </c>
      <c r="B13052" t="s">
        <v>1</v>
      </c>
      <c r="C13052" t="s">
        <v>2</v>
      </c>
      <c r="D13052">
        <v>3377</v>
      </c>
      <c r="E13052">
        <v>2020</v>
      </c>
      <c r="F13052">
        <v>1</v>
      </c>
      <c r="G13052">
        <v>131</v>
      </c>
      <c r="H13052" s="1">
        <v>4</v>
      </c>
      <c r="I13052">
        <v>10</v>
      </c>
      <c r="J13052">
        <f>IF($H13052=0,1,IF($I13052&lt;=1,2,0))</f>
        <v>0</v>
      </c>
      <c r="K13052">
        <v>7</v>
      </c>
      <c r="L13052">
        <f>IF(AND($J13052=0,$K13052=0),0,1)</f>
        <v>1</v>
      </c>
      <c r="M13052" t="s">
        <v>1155</v>
      </c>
    </row>
    <row r="13053" spans="1:13" x14ac:dyDescent="0.2">
      <c r="A13053" t="s">
        <v>576</v>
      </c>
      <c r="B13053" t="s">
        <v>1</v>
      </c>
      <c r="C13053" t="s">
        <v>2</v>
      </c>
      <c r="D13053">
        <v>3387</v>
      </c>
      <c r="E13053">
        <v>2020</v>
      </c>
      <c r="F13053">
        <v>1</v>
      </c>
      <c r="G13053">
        <v>132</v>
      </c>
      <c r="H13053" s="1">
        <v>4</v>
      </c>
      <c r="I13053">
        <v>21</v>
      </c>
      <c r="J13053">
        <f>IF($H13053=0,1,IF($I13053&lt;=1,2,0))</f>
        <v>0</v>
      </c>
      <c r="K13053">
        <v>7</v>
      </c>
      <c r="L13053">
        <f>IF(AND($J13053=0,$K13053=0),0,1)</f>
        <v>1</v>
      </c>
      <c r="M13053" t="s">
        <v>471</v>
      </c>
    </row>
    <row r="13054" spans="1:13" x14ac:dyDescent="0.2">
      <c r="A13054" t="s">
        <v>576</v>
      </c>
      <c r="B13054" t="s">
        <v>1</v>
      </c>
      <c r="C13054" t="s">
        <v>2</v>
      </c>
      <c r="D13054">
        <v>3593</v>
      </c>
      <c r="E13054">
        <v>2020</v>
      </c>
      <c r="F13054">
        <v>1</v>
      </c>
      <c r="G13054">
        <v>133</v>
      </c>
      <c r="H13054" s="1">
        <v>4</v>
      </c>
      <c r="I13054">
        <v>12</v>
      </c>
      <c r="J13054">
        <f>IF($H13054=0,1,IF($I13054&lt;=1,2,0))</f>
        <v>0</v>
      </c>
      <c r="K13054">
        <v>7</v>
      </c>
      <c r="L13054">
        <f>IF(AND($J13054=0,$K13054=0),0,1)</f>
        <v>1</v>
      </c>
    </row>
    <row r="13055" spans="1:13" x14ac:dyDescent="0.2">
      <c r="A13055" t="s">
        <v>576</v>
      </c>
      <c r="B13055" t="s">
        <v>1</v>
      </c>
      <c r="C13055" t="s">
        <v>2</v>
      </c>
      <c r="D13055">
        <v>3593</v>
      </c>
      <c r="E13055">
        <v>2020</v>
      </c>
      <c r="F13055">
        <v>2</v>
      </c>
      <c r="G13055">
        <v>134</v>
      </c>
      <c r="H13055" s="1">
        <v>4</v>
      </c>
      <c r="I13055">
        <v>12</v>
      </c>
      <c r="J13055">
        <f>IF($H13055=0,1,IF($I13055&lt;=1,2,0))</f>
        <v>0</v>
      </c>
      <c r="K13055">
        <v>7</v>
      </c>
      <c r="L13055">
        <f>IF(AND($J13055=0,$K13055=0),0,1)</f>
        <v>1</v>
      </c>
    </row>
    <row r="13056" spans="1:13" x14ac:dyDescent="0.2">
      <c r="A13056" t="s">
        <v>576</v>
      </c>
      <c r="B13056" t="s">
        <v>1</v>
      </c>
      <c r="C13056" t="s">
        <v>2</v>
      </c>
      <c r="D13056">
        <v>3593</v>
      </c>
      <c r="E13056">
        <v>2020</v>
      </c>
      <c r="F13056">
        <v>3</v>
      </c>
      <c r="G13056">
        <v>135</v>
      </c>
      <c r="H13056" s="1">
        <v>4</v>
      </c>
      <c r="I13056">
        <v>12</v>
      </c>
      <c r="J13056">
        <f>IF($H13056=0,1,IF($I13056&lt;=1,2,0))</f>
        <v>0</v>
      </c>
      <c r="K13056">
        <v>7</v>
      </c>
      <c r="L13056">
        <f>IF(AND($J13056=0,$K13056=0),0,1)</f>
        <v>1</v>
      </c>
    </row>
    <row r="13057" spans="1:13" x14ac:dyDescent="0.2">
      <c r="A13057" t="s">
        <v>1156</v>
      </c>
      <c r="B13057" t="s">
        <v>381</v>
      </c>
      <c r="C13057" t="s">
        <v>382</v>
      </c>
      <c r="D13057">
        <v>4050</v>
      </c>
      <c r="E13057">
        <v>2020</v>
      </c>
      <c r="F13057">
        <v>1</v>
      </c>
      <c r="G13057">
        <v>16021</v>
      </c>
      <c r="H13057" s="1">
        <v>1.5</v>
      </c>
      <c r="I13057">
        <v>11</v>
      </c>
      <c r="J13057">
        <f>IF($H13057=0,1,IF($I13057&lt;=1,2,0))</f>
        <v>0</v>
      </c>
      <c r="K13057">
        <v>6</v>
      </c>
      <c r="L13057">
        <f>IF(AND($J13057=0,$K13057=0),0,1)</f>
        <v>1</v>
      </c>
      <c r="M13057" t="s">
        <v>1157</v>
      </c>
    </row>
    <row r="13058" spans="1:13" x14ac:dyDescent="0.2">
      <c r="A13058" t="s">
        <v>1156</v>
      </c>
      <c r="B13058" t="s">
        <v>381</v>
      </c>
      <c r="C13058" t="s">
        <v>382</v>
      </c>
      <c r="D13058">
        <v>6102</v>
      </c>
      <c r="E13058">
        <v>2020</v>
      </c>
      <c r="F13058">
        <v>1</v>
      </c>
      <c r="G13058">
        <v>21522</v>
      </c>
      <c r="H13058" s="1">
        <v>3</v>
      </c>
      <c r="I13058">
        <v>11</v>
      </c>
      <c r="J13058">
        <f>IF($H13058=0,1,IF($I13058&lt;=1,2,0))</f>
        <v>0</v>
      </c>
      <c r="K13058">
        <v>6</v>
      </c>
      <c r="L13058">
        <f>IF(AND($J13058=0,$K13058=0),0,1)</f>
        <v>1</v>
      </c>
    </row>
    <row r="13059" spans="1:13" x14ac:dyDescent="0.2">
      <c r="A13059" t="s">
        <v>1156</v>
      </c>
      <c r="B13059" t="s">
        <v>381</v>
      </c>
      <c r="C13059" t="s">
        <v>382</v>
      </c>
      <c r="D13059">
        <v>6102</v>
      </c>
      <c r="E13059">
        <v>2020</v>
      </c>
      <c r="F13059" t="s">
        <v>59</v>
      </c>
      <c r="G13059">
        <v>21523</v>
      </c>
      <c r="H13059" s="1">
        <v>0</v>
      </c>
      <c r="I13059">
        <v>0</v>
      </c>
      <c r="J13059">
        <f>IF($H13059=0,1,IF($I13059&lt;=1,2,0))</f>
        <v>1</v>
      </c>
      <c r="K13059">
        <v>6</v>
      </c>
      <c r="L13059">
        <f>IF(AND($J13059=0,$K13059=0),0,1)</f>
        <v>1</v>
      </c>
      <c r="M13059" t="s">
        <v>384</v>
      </c>
    </row>
    <row r="13060" spans="1:13" x14ac:dyDescent="0.2">
      <c r="A13060" t="s">
        <v>1156</v>
      </c>
      <c r="B13060" t="s">
        <v>381</v>
      </c>
      <c r="C13060" t="s">
        <v>382</v>
      </c>
      <c r="D13060">
        <v>6104</v>
      </c>
      <c r="E13060">
        <v>2020</v>
      </c>
      <c r="F13060">
        <v>1</v>
      </c>
      <c r="G13060">
        <v>16024</v>
      </c>
      <c r="H13060" s="1">
        <v>3</v>
      </c>
      <c r="I13060">
        <v>12</v>
      </c>
      <c r="J13060">
        <f>IF($H13060=0,1,IF($I13060&lt;=1,2,0))</f>
        <v>0</v>
      </c>
      <c r="K13060">
        <v>6</v>
      </c>
      <c r="L13060">
        <f>IF(AND($J13060=0,$K13060=0),0,1)</f>
        <v>1</v>
      </c>
      <c r="M13060" t="s">
        <v>1157</v>
      </c>
    </row>
    <row r="13061" spans="1:13" x14ac:dyDescent="0.2">
      <c r="A13061" t="s">
        <v>1156</v>
      </c>
      <c r="B13061" t="s">
        <v>381</v>
      </c>
      <c r="C13061" t="s">
        <v>382</v>
      </c>
      <c r="D13061">
        <v>6104</v>
      </c>
      <c r="E13061">
        <v>2020</v>
      </c>
      <c r="F13061" t="s">
        <v>59</v>
      </c>
      <c r="G13061">
        <v>16025</v>
      </c>
      <c r="H13061" s="1">
        <v>0</v>
      </c>
      <c r="I13061">
        <v>0</v>
      </c>
      <c r="J13061">
        <f>IF($H13061=0,1,IF($I13061&lt;=1,2,0))</f>
        <v>1</v>
      </c>
      <c r="K13061">
        <v>6</v>
      </c>
      <c r="L13061">
        <f>IF(AND($J13061=0,$K13061=0),0,1)</f>
        <v>1</v>
      </c>
      <c r="M13061" t="s">
        <v>384</v>
      </c>
    </row>
    <row r="13062" spans="1:13" x14ac:dyDescent="0.2">
      <c r="A13062" t="s">
        <v>1156</v>
      </c>
      <c r="B13062" t="s">
        <v>381</v>
      </c>
      <c r="C13062" t="s">
        <v>382</v>
      </c>
      <c r="D13062">
        <v>6110</v>
      </c>
      <c r="E13062">
        <v>2020</v>
      </c>
      <c r="F13062">
        <v>1</v>
      </c>
      <c r="G13062">
        <v>16031</v>
      </c>
      <c r="H13062" s="1">
        <v>1.5</v>
      </c>
      <c r="I13062">
        <v>7</v>
      </c>
      <c r="J13062">
        <f>IF($H13062=0,1,IF($I13062&lt;=1,2,0))</f>
        <v>0</v>
      </c>
      <c r="K13062">
        <v>6</v>
      </c>
      <c r="L13062">
        <f>IF(AND($J13062=0,$K13062=0),0,1)</f>
        <v>1</v>
      </c>
      <c r="M13062" t="s">
        <v>1157</v>
      </c>
    </row>
    <row r="13063" spans="1:13" x14ac:dyDescent="0.2">
      <c r="A13063" t="s">
        <v>1156</v>
      </c>
      <c r="B13063" t="s">
        <v>381</v>
      </c>
      <c r="C13063" t="s">
        <v>382</v>
      </c>
      <c r="D13063">
        <v>6110</v>
      </c>
      <c r="E13063">
        <v>2020</v>
      </c>
      <c r="F13063" t="s">
        <v>59</v>
      </c>
      <c r="G13063">
        <v>16032</v>
      </c>
      <c r="H13063" s="1">
        <v>0</v>
      </c>
      <c r="I13063">
        <v>0</v>
      </c>
      <c r="J13063">
        <f>IF($H13063=0,1,IF($I13063&lt;=1,2,0))</f>
        <v>1</v>
      </c>
      <c r="K13063">
        <v>6</v>
      </c>
      <c r="L13063">
        <f>IF(AND($J13063=0,$K13063=0),0,1)</f>
        <v>1</v>
      </c>
      <c r="M13063" t="s">
        <v>384</v>
      </c>
    </row>
    <row r="13064" spans="1:13" x14ac:dyDescent="0.2">
      <c r="A13064" t="s">
        <v>1156</v>
      </c>
      <c r="B13064" t="s">
        <v>381</v>
      </c>
      <c r="C13064" t="s">
        <v>382</v>
      </c>
      <c r="D13064">
        <v>6205</v>
      </c>
      <c r="E13064">
        <v>2020</v>
      </c>
      <c r="F13064">
        <v>1</v>
      </c>
      <c r="G13064">
        <v>16034</v>
      </c>
      <c r="H13064" s="1">
        <v>3</v>
      </c>
      <c r="I13064">
        <v>10</v>
      </c>
      <c r="J13064">
        <f>IF($H13064=0,1,IF($I13064&lt;=1,2,0))</f>
        <v>0</v>
      </c>
      <c r="K13064">
        <v>6</v>
      </c>
      <c r="L13064">
        <f>IF(AND($J13064=0,$K13064=0),0,1)</f>
        <v>1</v>
      </c>
      <c r="M13064" t="s">
        <v>1157</v>
      </c>
    </row>
    <row r="13065" spans="1:13" x14ac:dyDescent="0.2">
      <c r="A13065" t="s">
        <v>580</v>
      </c>
      <c r="B13065" t="s">
        <v>581</v>
      </c>
      <c r="C13065" t="s">
        <v>7</v>
      </c>
      <c r="D13065">
        <v>1005</v>
      </c>
      <c r="E13065">
        <v>2020</v>
      </c>
      <c r="F13065">
        <v>13</v>
      </c>
      <c r="G13065">
        <v>15697</v>
      </c>
      <c r="H13065" s="1" t="s">
        <v>1831</v>
      </c>
      <c r="I13065">
        <v>1</v>
      </c>
      <c r="J13065">
        <f>IF($H13065=0,1,IF($I13065&lt;=1,2,0))</f>
        <v>2</v>
      </c>
      <c r="K13065">
        <v>0</v>
      </c>
      <c r="L13065">
        <f>IF(AND($J13065=0,$K13065=0),0,1)</f>
        <v>1</v>
      </c>
      <c r="M13065" t="s">
        <v>1165</v>
      </c>
    </row>
    <row r="13066" spans="1:13" x14ac:dyDescent="0.2">
      <c r="A13066" t="s">
        <v>580</v>
      </c>
      <c r="B13066" t="s">
        <v>581</v>
      </c>
      <c r="C13066" t="s">
        <v>7</v>
      </c>
      <c r="D13066">
        <v>1005</v>
      </c>
      <c r="E13066">
        <v>2020</v>
      </c>
      <c r="F13066">
        <v>17</v>
      </c>
      <c r="G13066">
        <v>15700</v>
      </c>
      <c r="H13066" s="1" t="s">
        <v>1831</v>
      </c>
      <c r="I13066">
        <v>1</v>
      </c>
      <c r="J13066">
        <f>IF($H13066=0,1,IF($I13066&lt;=1,2,0))</f>
        <v>2</v>
      </c>
      <c r="K13066">
        <v>0</v>
      </c>
      <c r="L13066">
        <f>IF(AND($J13066=0,$K13066=0),0,1)</f>
        <v>1</v>
      </c>
      <c r="M13066" t="s">
        <v>1165</v>
      </c>
    </row>
    <row r="13067" spans="1:13" x14ac:dyDescent="0.2">
      <c r="A13067" t="s">
        <v>580</v>
      </c>
      <c r="B13067" t="s">
        <v>581</v>
      </c>
      <c r="C13067" t="s">
        <v>7</v>
      </c>
      <c r="D13067">
        <v>1005</v>
      </c>
      <c r="E13067">
        <v>2020</v>
      </c>
      <c r="F13067">
        <v>7</v>
      </c>
      <c r="G13067">
        <v>15692</v>
      </c>
      <c r="H13067" s="1" t="s">
        <v>1831</v>
      </c>
      <c r="I13067">
        <v>0</v>
      </c>
      <c r="J13067">
        <f>IF($H13067=0,1,IF($I13067&lt;=1,2,0))</f>
        <v>2</v>
      </c>
      <c r="K13067">
        <v>0</v>
      </c>
      <c r="L13067">
        <f>IF(AND($J13067=0,$K13067=0),0,1)</f>
        <v>1</v>
      </c>
      <c r="M13067" t="s">
        <v>1165</v>
      </c>
    </row>
    <row r="13068" spans="1:13" x14ac:dyDescent="0.2">
      <c r="A13068" t="s">
        <v>580</v>
      </c>
      <c r="B13068" t="s">
        <v>581</v>
      </c>
      <c r="C13068" t="s">
        <v>7</v>
      </c>
      <c r="D13068">
        <v>1005</v>
      </c>
      <c r="E13068">
        <v>2020</v>
      </c>
      <c r="F13068">
        <v>12</v>
      </c>
      <c r="G13068">
        <v>15696</v>
      </c>
      <c r="H13068" s="1" t="s">
        <v>1831</v>
      </c>
      <c r="I13068">
        <v>0</v>
      </c>
      <c r="J13068">
        <f>IF($H13068=0,1,IF($I13068&lt;=1,2,0))</f>
        <v>2</v>
      </c>
      <c r="K13068">
        <v>0</v>
      </c>
      <c r="L13068">
        <f>IF(AND($J13068=0,$K13068=0),0,1)</f>
        <v>1</v>
      </c>
      <c r="M13068" t="s">
        <v>1165</v>
      </c>
    </row>
    <row r="13069" spans="1:13" x14ac:dyDescent="0.2">
      <c r="A13069" t="s">
        <v>580</v>
      </c>
      <c r="B13069" t="s">
        <v>581</v>
      </c>
      <c r="C13069" t="s">
        <v>7</v>
      </c>
      <c r="D13069">
        <v>1005</v>
      </c>
      <c r="E13069">
        <v>2020</v>
      </c>
      <c r="F13069">
        <v>32</v>
      </c>
      <c r="G13069">
        <v>15712</v>
      </c>
      <c r="H13069" s="1" t="s">
        <v>1831</v>
      </c>
      <c r="I13069">
        <v>0</v>
      </c>
      <c r="J13069">
        <f>IF($H13069=0,1,IF($I13069&lt;=1,2,0))</f>
        <v>2</v>
      </c>
      <c r="K13069">
        <v>0</v>
      </c>
      <c r="L13069">
        <f>IF(AND($J13069=0,$K13069=0),0,1)</f>
        <v>1</v>
      </c>
      <c r="M13069" t="s">
        <v>1165</v>
      </c>
    </row>
    <row r="13070" spans="1:13" x14ac:dyDescent="0.2">
      <c r="A13070" t="s">
        <v>580</v>
      </c>
      <c r="B13070" t="s">
        <v>581</v>
      </c>
      <c r="C13070" t="s">
        <v>7</v>
      </c>
      <c r="D13070">
        <v>1005</v>
      </c>
      <c r="E13070">
        <v>2020</v>
      </c>
      <c r="F13070">
        <v>35</v>
      </c>
      <c r="G13070">
        <v>15714</v>
      </c>
      <c r="H13070" s="1" t="s">
        <v>1831</v>
      </c>
      <c r="I13070">
        <v>0</v>
      </c>
      <c r="J13070">
        <f>IF($H13070=0,1,IF($I13070&lt;=1,2,0))</f>
        <v>2</v>
      </c>
      <c r="K13070">
        <v>0</v>
      </c>
      <c r="L13070">
        <f>IF(AND($J13070=0,$K13070=0),0,1)</f>
        <v>1</v>
      </c>
      <c r="M13070" t="s">
        <v>1165</v>
      </c>
    </row>
    <row r="13071" spans="1:13" x14ac:dyDescent="0.2">
      <c r="A13071" t="s">
        <v>580</v>
      </c>
      <c r="B13071" t="s">
        <v>581</v>
      </c>
      <c r="C13071" t="s">
        <v>2</v>
      </c>
      <c r="D13071">
        <v>1105</v>
      </c>
      <c r="E13071">
        <v>2020</v>
      </c>
      <c r="F13071">
        <v>2</v>
      </c>
      <c r="G13071">
        <v>709</v>
      </c>
      <c r="H13071" s="1">
        <v>1</v>
      </c>
      <c r="I13071">
        <v>8</v>
      </c>
      <c r="J13071">
        <f>IF($H13071=0,1,IF($I13071&lt;=1,2,0))</f>
        <v>0</v>
      </c>
      <c r="K13071">
        <v>7</v>
      </c>
      <c r="L13071">
        <f>IF(AND($J13071=0,$K13071=0),0,1)</f>
        <v>1</v>
      </c>
      <c r="M13071" t="s">
        <v>1166</v>
      </c>
    </row>
    <row r="13072" spans="1:13" x14ac:dyDescent="0.2">
      <c r="A13072" t="s">
        <v>580</v>
      </c>
      <c r="B13072" t="s">
        <v>581</v>
      </c>
      <c r="C13072" t="s">
        <v>2</v>
      </c>
      <c r="D13072">
        <v>1105</v>
      </c>
      <c r="E13072">
        <v>2020</v>
      </c>
      <c r="F13072">
        <v>3</v>
      </c>
      <c r="G13072">
        <v>710</v>
      </c>
      <c r="H13072" s="1">
        <v>1</v>
      </c>
      <c r="I13072">
        <v>7</v>
      </c>
      <c r="J13072">
        <f>IF($H13072=0,1,IF($I13072&lt;=1,2,0))</f>
        <v>0</v>
      </c>
      <c r="K13072">
        <v>7</v>
      </c>
      <c r="L13072">
        <f>IF(AND($J13072=0,$K13072=0),0,1)</f>
        <v>1</v>
      </c>
      <c r="M13072" t="s">
        <v>1167</v>
      </c>
    </row>
    <row r="13073" spans="1:13" x14ac:dyDescent="0.2">
      <c r="A13073" t="s">
        <v>580</v>
      </c>
      <c r="B13073" t="s">
        <v>581</v>
      </c>
      <c r="C13073" t="s">
        <v>2</v>
      </c>
      <c r="D13073">
        <v>1105</v>
      </c>
      <c r="E13073">
        <v>2020</v>
      </c>
      <c r="F13073">
        <v>1</v>
      </c>
      <c r="G13073">
        <v>382</v>
      </c>
      <c r="H13073" s="1">
        <v>1</v>
      </c>
      <c r="I13073">
        <v>6</v>
      </c>
      <c r="J13073">
        <f>IF($H13073=0,1,IF($I13073&lt;=1,2,0))</f>
        <v>0</v>
      </c>
      <c r="K13073">
        <v>7</v>
      </c>
      <c r="L13073">
        <f>IF(AND($J13073=0,$K13073=0),0,1)</f>
        <v>1</v>
      </c>
      <c r="M13073" t="s">
        <v>1166</v>
      </c>
    </row>
    <row r="13074" spans="1:13" x14ac:dyDescent="0.2">
      <c r="A13074" t="s">
        <v>580</v>
      </c>
      <c r="B13074" t="s">
        <v>581</v>
      </c>
      <c r="C13074" t="s">
        <v>2</v>
      </c>
      <c r="D13074">
        <v>1105</v>
      </c>
      <c r="E13074">
        <v>2020</v>
      </c>
      <c r="F13074">
        <v>4</v>
      </c>
      <c r="G13074">
        <v>711</v>
      </c>
      <c r="H13074" s="1">
        <v>1</v>
      </c>
      <c r="I13074">
        <v>6</v>
      </c>
      <c r="J13074">
        <f>IF($H13074=0,1,IF($I13074&lt;=1,2,0))</f>
        <v>0</v>
      </c>
      <c r="K13074">
        <v>7</v>
      </c>
      <c r="L13074">
        <f>IF(AND($J13074=0,$K13074=0),0,1)</f>
        <v>1</v>
      </c>
      <c r="M13074" t="s">
        <v>1167</v>
      </c>
    </row>
    <row r="13075" spans="1:13" x14ac:dyDescent="0.2">
      <c r="A13075" t="s">
        <v>580</v>
      </c>
      <c r="B13075" t="s">
        <v>581</v>
      </c>
      <c r="C13075" t="s">
        <v>2</v>
      </c>
      <c r="D13075">
        <v>1520</v>
      </c>
      <c r="E13075">
        <v>2020</v>
      </c>
      <c r="F13075">
        <v>1</v>
      </c>
      <c r="G13075">
        <v>717</v>
      </c>
      <c r="H13075" s="1">
        <v>1</v>
      </c>
      <c r="I13075">
        <v>17</v>
      </c>
      <c r="J13075">
        <f>IF($H13075=0,1,IF($I13075&lt;=1,2,0))</f>
        <v>0</v>
      </c>
      <c r="K13075">
        <v>7</v>
      </c>
      <c r="L13075">
        <f>IF(AND($J13075=0,$K13075=0),0,1)</f>
        <v>1</v>
      </c>
      <c r="M13075" t="s">
        <v>1168</v>
      </c>
    </row>
    <row r="13076" spans="1:13" x14ac:dyDescent="0.2">
      <c r="A13076" t="s">
        <v>580</v>
      </c>
      <c r="B13076" t="s">
        <v>581</v>
      </c>
      <c r="C13076" t="s">
        <v>2</v>
      </c>
      <c r="D13076">
        <v>1520</v>
      </c>
      <c r="E13076">
        <v>2020</v>
      </c>
      <c r="F13076">
        <v>4</v>
      </c>
      <c r="G13076">
        <v>720</v>
      </c>
      <c r="H13076" s="1">
        <v>1</v>
      </c>
      <c r="I13076">
        <v>15</v>
      </c>
      <c r="J13076">
        <f>IF($H13076=0,1,IF($I13076&lt;=1,2,0))</f>
        <v>0</v>
      </c>
      <c r="K13076">
        <v>7</v>
      </c>
      <c r="L13076">
        <f>IF(AND($J13076=0,$K13076=0),0,1)</f>
        <v>1</v>
      </c>
      <c r="M13076" t="s">
        <v>1168</v>
      </c>
    </row>
    <row r="13077" spans="1:13" x14ac:dyDescent="0.2">
      <c r="A13077" t="s">
        <v>580</v>
      </c>
      <c r="B13077" t="s">
        <v>581</v>
      </c>
      <c r="C13077" t="s">
        <v>2</v>
      </c>
      <c r="D13077">
        <v>1520</v>
      </c>
      <c r="E13077">
        <v>2020</v>
      </c>
      <c r="F13077">
        <v>2</v>
      </c>
      <c r="G13077">
        <v>718</v>
      </c>
      <c r="H13077" s="1">
        <v>1</v>
      </c>
      <c r="I13077">
        <v>14</v>
      </c>
      <c r="J13077">
        <f>IF($H13077=0,1,IF($I13077&lt;=1,2,0))</f>
        <v>0</v>
      </c>
      <c r="K13077">
        <v>7</v>
      </c>
      <c r="L13077">
        <f>IF(AND($J13077=0,$K13077=0),0,1)</f>
        <v>1</v>
      </c>
      <c r="M13077" t="s">
        <v>1168</v>
      </c>
    </row>
    <row r="13078" spans="1:13" x14ac:dyDescent="0.2">
      <c r="A13078" t="s">
        <v>580</v>
      </c>
      <c r="B13078" t="s">
        <v>581</v>
      </c>
      <c r="C13078" t="s">
        <v>2</v>
      </c>
      <c r="D13078">
        <v>1520</v>
      </c>
      <c r="E13078">
        <v>2020</v>
      </c>
      <c r="F13078">
        <v>3</v>
      </c>
      <c r="G13078">
        <v>719</v>
      </c>
      <c r="H13078" s="1">
        <v>1</v>
      </c>
      <c r="I13078">
        <v>14</v>
      </c>
      <c r="J13078">
        <f>IF($H13078=0,1,IF($I13078&lt;=1,2,0))</f>
        <v>0</v>
      </c>
      <c r="K13078">
        <v>7</v>
      </c>
      <c r="L13078">
        <f>IF(AND($J13078=0,$K13078=0),0,1)</f>
        <v>1</v>
      </c>
      <c r="M13078" t="s">
        <v>1168</v>
      </c>
    </row>
    <row r="13079" spans="1:13" x14ac:dyDescent="0.2">
      <c r="A13079" t="s">
        <v>580</v>
      </c>
      <c r="B13079" t="s">
        <v>581</v>
      </c>
      <c r="C13079" t="s">
        <v>2</v>
      </c>
      <c r="D13079">
        <v>1532</v>
      </c>
      <c r="E13079">
        <v>2020</v>
      </c>
      <c r="F13079">
        <v>1</v>
      </c>
      <c r="G13079">
        <v>385</v>
      </c>
      <c r="H13079" s="1">
        <v>1</v>
      </c>
      <c r="I13079">
        <v>11</v>
      </c>
      <c r="J13079">
        <f>IF($H13079=0,1,IF($I13079&lt;=1,2,0))</f>
        <v>0</v>
      </c>
      <c r="K13079">
        <v>7</v>
      </c>
      <c r="L13079">
        <f>IF(AND($J13079=0,$K13079=0),0,1)</f>
        <v>1</v>
      </c>
      <c r="M13079" t="s">
        <v>1166</v>
      </c>
    </row>
    <row r="13080" spans="1:13" x14ac:dyDescent="0.2">
      <c r="A13080" t="s">
        <v>580</v>
      </c>
      <c r="B13080" t="s">
        <v>581</v>
      </c>
      <c r="C13080" t="s">
        <v>2</v>
      </c>
      <c r="D13080">
        <v>1532</v>
      </c>
      <c r="E13080">
        <v>2020</v>
      </c>
      <c r="F13080">
        <v>2</v>
      </c>
      <c r="G13080">
        <v>386</v>
      </c>
      <c r="H13080" s="1">
        <v>1</v>
      </c>
      <c r="I13080">
        <v>9</v>
      </c>
      <c r="J13080">
        <f>IF($H13080=0,1,IF($I13080&lt;=1,2,0))</f>
        <v>0</v>
      </c>
      <c r="K13080">
        <v>7</v>
      </c>
      <c r="L13080">
        <f>IF(AND($J13080=0,$K13080=0),0,1)</f>
        <v>1</v>
      </c>
      <c r="M13080" t="s">
        <v>1166</v>
      </c>
    </row>
    <row r="13081" spans="1:13" x14ac:dyDescent="0.2">
      <c r="A13081" t="s">
        <v>580</v>
      </c>
      <c r="B13081" t="s">
        <v>581</v>
      </c>
      <c r="C13081" t="s">
        <v>2</v>
      </c>
      <c r="D13081">
        <v>1693</v>
      </c>
      <c r="E13081">
        <v>2020</v>
      </c>
      <c r="F13081">
        <v>3</v>
      </c>
      <c r="G13081">
        <v>394</v>
      </c>
      <c r="H13081" s="1">
        <v>1</v>
      </c>
      <c r="I13081">
        <v>16</v>
      </c>
      <c r="J13081">
        <f>IF($H13081=0,1,IF($I13081&lt;=1,2,0))</f>
        <v>0</v>
      </c>
      <c r="K13081">
        <v>7</v>
      </c>
      <c r="L13081">
        <f>IF(AND($J13081=0,$K13081=0),0,1)</f>
        <v>1</v>
      </c>
      <c r="M13081" t="s">
        <v>1166</v>
      </c>
    </row>
    <row r="13082" spans="1:13" x14ac:dyDescent="0.2">
      <c r="A13082" t="s">
        <v>580</v>
      </c>
      <c r="B13082" t="s">
        <v>581</v>
      </c>
      <c r="C13082" t="s">
        <v>2</v>
      </c>
      <c r="D13082">
        <v>1693</v>
      </c>
      <c r="E13082">
        <v>2020</v>
      </c>
      <c r="F13082">
        <v>5</v>
      </c>
      <c r="G13082">
        <v>715</v>
      </c>
      <c r="H13082" s="1">
        <v>1</v>
      </c>
      <c r="I13082">
        <v>14</v>
      </c>
      <c r="J13082">
        <f>IF($H13082=0,1,IF($I13082&lt;=1,2,0))</f>
        <v>0</v>
      </c>
      <c r="K13082">
        <v>7</v>
      </c>
      <c r="L13082">
        <f>IF(AND($J13082=0,$K13082=0),0,1)</f>
        <v>1</v>
      </c>
      <c r="M13082" t="s">
        <v>1166</v>
      </c>
    </row>
    <row r="13083" spans="1:13" x14ac:dyDescent="0.2">
      <c r="A13083" t="s">
        <v>580</v>
      </c>
      <c r="B13083" t="s">
        <v>581</v>
      </c>
      <c r="C13083" t="s">
        <v>2</v>
      </c>
      <c r="D13083">
        <v>1693</v>
      </c>
      <c r="E13083">
        <v>2020</v>
      </c>
      <c r="F13083">
        <v>4</v>
      </c>
      <c r="G13083">
        <v>713</v>
      </c>
      <c r="H13083" s="1">
        <v>1</v>
      </c>
      <c r="I13083">
        <v>13</v>
      </c>
      <c r="J13083">
        <f>IF($H13083=0,1,IF($I13083&lt;=1,2,0))</f>
        <v>0</v>
      </c>
      <c r="K13083">
        <v>7</v>
      </c>
      <c r="L13083">
        <f>IF(AND($J13083=0,$K13083=0),0,1)</f>
        <v>1</v>
      </c>
      <c r="M13083" t="s">
        <v>1166</v>
      </c>
    </row>
    <row r="13084" spans="1:13" x14ac:dyDescent="0.2">
      <c r="A13084" t="s">
        <v>580</v>
      </c>
      <c r="B13084" t="s">
        <v>581</v>
      </c>
      <c r="C13084" t="s">
        <v>2</v>
      </c>
      <c r="D13084">
        <v>1693</v>
      </c>
      <c r="E13084">
        <v>2020</v>
      </c>
      <c r="F13084">
        <v>1</v>
      </c>
      <c r="G13084">
        <v>392</v>
      </c>
      <c r="H13084" s="1">
        <v>1</v>
      </c>
      <c r="I13084">
        <v>11</v>
      </c>
      <c r="J13084">
        <f>IF($H13084=0,1,IF($I13084&lt;=1,2,0))</f>
        <v>0</v>
      </c>
      <c r="K13084">
        <v>7</v>
      </c>
      <c r="L13084">
        <f>IF(AND($J13084=0,$K13084=0),0,1)</f>
        <v>1</v>
      </c>
      <c r="M13084" t="s">
        <v>1168</v>
      </c>
    </row>
    <row r="13085" spans="1:13" x14ac:dyDescent="0.2">
      <c r="A13085" t="s">
        <v>580</v>
      </c>
      <c r="B13085" t="s">
        <v>581</v>
      </c>
      <c r="C13085" t="s">
        <v>2</v>
      </c>
      <c r="D13085">
        <v>1693</v>
      </c>
      <c r="E13085">
        <v>2020</v>
      </c>
      <c r="F13085">
        <v>2</v>
      </c>
      <c r="G13085">
        <v>412</v>
      </c>
      <c r="H13085" s="1">
        <v>1</v>
      </c>
      <c r="I13085">
        <v>11</v>
      </c>
      <c r="J13085">
        <f>IF($H13085=0,1,IF($I13085&lt;=1,2,0))</f>
        <v>0</v>
      </c>
      <c r="K13085">
        <v>7</v>
      </c>
      <c r="L13085">
        <f>IF(AND($J13085=0,$K13085=0),0,1)</f>
        <v>1</v>
      </c>
      <c r="M13085" t="s">
        <v>1166</v>
      </c>
    </row>
    <row r="13086" spans="1:13" x14ac:dyDescent="0.2">
      <c r="A13086" t="s">
        <v>587</v>
      </c>
      <c r="B13086" t="s">
        <v>17</v>
      </c>
      <c r="C13086" t="s">
        <v>21</v>
      </c>
      <c r="D13086">
        <v>2111</v>
      </c>
      <c r="E13086">
        <v>2020</v>
      </c>
      <c r="F13086">
        <v>3</v>
      </c>
      <c r="G13086">
        <v>15281</v>
      </c>
      <c r="H13086" s="1">
        <v>0</v>
      </c>
      <c r="I13086">
        <v>36</v>
      </c>
      <c r="J13086">
        <f>IF($H13086=0,1,IF($I13086&lt;=1,2,0))</f>
        <v>1</v>
      </c>
      <c r="K13086">
        <v>0</v>
      </c>
      <c r="L13086">
        <f>IF(AND($J13086=0,$K13086=0),0,1)</f>
        <v>1</v>
      </c>
    </row>
    <row r="13087" spans="1:13" x14ac:dyDescent="0.2">
      <c r="A13087" t="s">
        <v>587</v>
      </c>
      <c r="B13087" t="s">
        <v>17</v>
      </c>
      <c r="C13087" t="s">
        <v>21</v>
      </c>
      <c r="D13087">
        <v>2111</v>
      </c>
      <c r="E13087">
        <v>2020</v>
      </c>
      <c r="F13087">
        <v>2</v>
      </c>
      <c r="G13087">
        <v>10365</v>
      </c>
      <c r="H13087" s="1">
        <v>0</v>
      </c>
      <c r="I13087">
        <v>28</v>
      </c>
      <c r="J13087">
        <f>IF($H13087=0,1,IF($I13087&lt;=1,2,0))</f>
        <v>1</v>
      </c>
      <c r="K13087">
        <v>0</v>
      </c>
      <c r="L13087">
        <f>IF(AND($J13087=0,$K13087=0),0,1)</f>
        <v>1</v>
      </c>
    </row>
    <row r="13088" spans="1:13" x14ac:dyDescent="0.2">
      <c r="A13088" t="s">
        <v>587</v>
      </c>
      <c r="B13088" t="s">
        <v>17</v>
      </c>
      <c r="C13088" t="s">
        <v>21</v>
      </c>
      <c r="D13088">
        <v>2111</v>
      </c>
      <c r="E13088">
        <v>2020</v>
      </c>
      <c r="F13088">
        <v>1</v>
      </c>
      <c r="G13088">
        <v>10364</v>
      </c>
      <c r="H13088" s="1">
        <v>0</v>
      </c>
      <c r="I13088">
        <v>27</v>
      </c>
      <c r="J13088">
        <f>IF($H13088=0,1,IF($I13088&lt;=1,2,0))</f>
        <v>1</v>
      </c>
      <c r="K13088">
        <v>0</v>
      </c>
      <c r="L13088">
        <f>IF(AND($J13088=0,$K13088=0),0,1)</f>
        <v>1</v>
      </c>
    </row>
    <row r="13089" spans="1:12" x14ac:dyDescent="0.2">
      <c r="A13089" t="s">
        <v>587</v>
      </c>
      <c r="B13089" t="s">
        <v>17</v>
      </c>
      <c r="C13089" t="s">
        <v>21</v>
      </c>
      <c r="D13089">
        <v>2111</v>
      </c>
      <c r="E13089">
        <v>2020</v>
      </c>
      <c r="F13089">
        <v>4</v>
      </c>
      <c r="G13089">
        <v>23057</v>
      </c>
      <c r="H13089" s="1">
        <v>0</v>
      </c>
      <c r="I13089">
        <v>9</v>
      </c>
      <c r="J13089">
        <f>IF($H13089=0,1,IF($I13089&lt;=1,2,0))</f>
        <v>1</v>
      </c>
      <c r="K13089">
        <v>0</v>
      </c>
      <c r="L13089">
        <f>IF(AND($J13089=0,$K13089=0),0,1)</f>
        <v>1</v>
      </c>
    </row>
    <row r="13090" spans="1:12" x14ac:dyDescent="0.2">
      <c r="A13090" t="s">
        <v>587</v>
      </c>
      <c r="B13090" t="s">
        <v>17</v>
      </c>
      <c r="C13090" t="s">
        <v>21</v>
      </c>
      <c r="D13090">
        <v>3413</v>
      </c>
      <c r="E13090">
        <v>2020</v>
      </c>
      <c r="F13090">
        <v>1</v>
      </c>
      <c r="G13090">
        <v>10368</v>
      </c>
      <c r="H13090" s="1">
        <v>0</v>
      </c>
      <c r="I13090">
        <v>32</v>
      </c>
      <c r="J13090">
        <f>IF($H13090=0,1,IF($I13090&lt;=1,2,0))</f>
        <v>1</v>
      </c>
      <c r="K13090">
        <v>0</v>
      </c>
      <c r="L13090">
        <f>IF(AND($J13090=0,$K13090=0),0,1)</f>
        <v>1</v>
      </c>
    </row>
    <row r="13091" spans="1:12" x14ac:dyDescent="0.2">
      <c r="A13091" t="s">
        <v>587</v>
      </c>
      <c r="B13091" t="s">
        <v>17</v>
      </c>
      <c r="C13091" t="s">
        <v>21</v>
      </c>
      <c r="D13091">
        <v>3413</v>
      </c>
      <c r="E13091">
        <v>2020</v>
      </c>
      <c r="F13091">
        <v>2</v>
      </c>
      <c r="G13091">
        <v>10369</v>
      </c>
      <c r="H13091" s="1">
        <v>0</v>
      </c>
      <c r="I13091">
        <v>27</v>
      </c>
      <c r="J13091">
        <f>IF($H13091=0,1,IF($I13091&lt;=1,2,0))</f>
        <v>1</v>
      </c>
      <c r="K13091">
        <v>0</v>
      </c>
      <c r="L13091">
        <f>IF(AND($J13091=0,$K13091=0),0,1)</f>
        <v>1</v>
      </c>
    </row>
    <row r="13092" spans="1:12" x14ac:dyDescent="0.2">
      <c r="A13092" t="s">
        <v>587</v>
      </c>
      <c r="B13092" t="s">
        <v>17</v>
      </c>
      <c r="C13092" t="s">
        <v>21</v>
      </c>
      <c r="D13092">
        <v>3413</v>
      </c>
      <c r="E13092">
        <v>2020</v>
      </c>
      <c r="F13092">
        <v>3</v>
      </c>
      <c r="G13092">
        <v>10370</v>
      </c>
      <c r="H13092" s="1">
        <v>0</v>
      </c>
      <c r="I13092">
        <v>26</v>
      </c>
      <c r="J13092">
        <f>IF($H13092=0,1,IF($I13092&lt;=1,2,0))</f>
        <v>1</v>
      </c>
      <c r="K13092">
        <v>0</v>
      </c>
      <c r="L13092">
        <f>IF(AND($J13092=0,$K13092=0),0,1)</f>
        <v>1</v>
      </c>
    </row>
    <row r="13093" spans="1:12" x14ac:dyDescent="0.2">
      <c r="A13093" t="s">
        <v>587</v>
      </c>
      <c r="B13093" t="s">
        <v>17</v>
      </c>
      <c r="C13093" t="s">
        <v>21</v>
      </c>
      <c r="D13093">
        <v>3611</v>
      </c>
      <c r="E13093">
        <v>2020</v>
      </c>
      <c r="F13093">
        <v>1</v>
      </c>
      <c r="G13093">
        <v>10374</v>
      </c>
      <c r="H13093" s="1">
        <v>0</v>
      </c>
      <c r="I13093">
        <v>18</v>
      </c>
      <c r="J13093">
        <f>IF($H13093=0,1,IF($I13093&lt;=1,2,0))</f>
        <v>1</v>
      </c>
      <c r="K13093">
        <v>0</v>
      </c>
      <c r="L13093">
        <f>IF(AND($J13093=0,$K13093=0),0,1)</f>
        <v>1</v>
      </c>
    </row>
    <row r="13094" spans="1:12" x14ac:dyDescent="0.2">
      <c r="A13094" t="s">
        <v>587</v>
      </c>
      <c r="B13094" t="s">
        <v>17</v>
      </c>
      <c r="C13094" t="s">
        <v>21</v>
      </c>
      <c r="D13094">
        <v>3611</v>
      </c>
      <c r="E13094">
        <v>2020</v>
      </c>
      <c r="F13094">
        <v>2</v>
      </c>
      <c r="G13094">
        <v>10375</v>
      </c>
      <c r="H13094" s="1">
        <v>0</v>
      </c>
      <c r="I13094">
        <v>14</v>
      </c>
      <c r="J13094">
        <f>IF($H13094=0,1,IF($I13094&lt;=1,2,0))</f>
        <v>1</v>
      </c>
      <c r="K13094">
        <v>0</v>
      </c>
      <c r="L13094">
        <f>IF(AND($J13094=0,$K13094=0),0,1)</f>
        <v>1</v>
      </c>
    </row>
    <row r="13095" spans="1:12" x14ac:dyDescent="0.2">
      <c r="A13095" t="s">
        <v>587</v>
      </c>
      <c r="B13095" t="s">
        <v>17</v>
      </c>
      <c r="C13095" t="s">
        <v>9</v>
      </c>
      <c r="D13095">
        <v>3997</v>
      </c>
      <c r="E13095">
        <v>2020</v>
      </c>
      <c r="F13095">
        <v>1</v>
      </c>
      <c r="G13095">
        <v>15332</v>
      </c>
      <c r="H13095" s="1" t="s">
        <v>1827</v>
      </c>
      <c r="I13095">
        <v>1</v>
      </c>
      <c r="J13095">
        <f>IF($H13095=0,1,IF($I13095&lt;=1,2,0))</f>
        <v>2</v>
      </c>
      <c r="K13095">
        <v>9</v>
      </c>
      <c r="L13095">
        <f>IF(AND($J13095=0,$K13095=0),0,1)</f>
        <v>1</v>
      </c>
    </row>
    <row r="13096" spans="1:12" x14ac:dyDescent="0.2">
      <c r="A13096" t="s">
        <v>587</v>
      </c>
      <c r="B13096" t="s">
        <v>17</v>
      </c>
      <c r="C13096" t="s">
        <v>9</v>
      </c>
      <c r="D13096">
        <v>3997</v>
      </c>
      <c r="E13096">
        <v>2020</v>
      </c>
      <c r="F13096">
        <v>15</v>
      </c>
      <c r="G13096">
        <v>15343</v>
      </c>
      <c r="H13096" s="1" t="s">
        <v>1827</v>
      </c>
      <c r="I13096">
        <v>1</v>
      </c>
      <c r="J13096">
        <f>IF($H13096=0,1,IF($I13096&lt;=1,2,0))</f>
        <v>2</v>
      </c>
      <c r="K13096">
        <v>9</v>
      </c>
      <c r="L13096">
        <f>IF(AND($J13096=0,$K13096=0),0,1)</f>
        <v>1</v>
      </c>
    </row>
    <row r="13097" spans="1:12" x14ac:dyDescent="0.2">
      <c r="A13097" t="s">
        <v>587</v>
      </c>
      <c r="B13097" t="s">
        <v>17</v>
      </c>
      <c r="C13097" t="s">
        <v>9</v>
      </c>
      <c r="D13097">
        <v>3997</v>
      </c>
      <c r="E13097">
        <v>2020</v>
      </c>
      <c r="F13097">
        <v>17</v>
      </c>
      <c r="G13097">
        <v>15345</v>
      </c>
      <c r="H13097" s="1" t="s">
        <v>1827</v>
      </c>
      <c r="I13097">
        <v>1</v>
      </c>
      <c r="J13097">
        <f>IF($H13097=0,1,IF($I13097&lt;=1,2,0))</f>
        <v>2</v>
      </c>
      <c r="K13097">
        <v>9</v>
      </c>
      <c r="L13097">
        <f>IF(AND($J13097=0,$K13097=0),0,1)</f>
        <v>1</v>
      </c>
    </row>
    <row r="13098" spans="1:12" x14ac:dyDescent="0.2">
      <c r="A13098" t="s">
        <v>587</v>
      </c>
      <c r="B13098" t="s">
        <v>17</v>
      </c>
      <c r="C13098" t="s">
        <v>9</v>
      </c>
      <c r="D13098">
        <v>3997</v>
      </c>
      <c r="E13098">
        <v>2020</v>
      </c>
      <c r="F13098">
        <v>2</v>
      </c>
      <c r="G13098">
        <v>15331</v>
      </c>
      <c r="H13098" s="1" t="s">
        <v>1827</v>
      </c>
      <c r="I13098">
        <v>0</v>
      </c>
      <c r="J13098">
        <f>IF($H13098=0,1,IF($I13098&lt;=1,2,0))</f>
        <v>2</v>
      </c>
      <c r="K13098">
        <v>9</v>
      </c>
      <c r="L13098">
        <f>IF(AND($J13098=0,$K13098=0),0,1)</f>
        <v>1</v>
      </c>
    </row>
    <row r="13099" spans="1:12" x14ac:dyDescent="0.2">
      <c r="A13099" t="s">
        <v>587</v>
      </c>
      <c r="B13099" t="s">
        <v>17</v>
      </c>
      <c r="C13099" t="s">
        <v>9</v>
      </c>
      <c r="D13099">
        <v>3997</v>
      </c>
      <c r="E13099">
        <v>2020</v>
      </c>
      <c r="F13099">
        <v>3</v>
      </c>
      <c r="G13099">
        <v>15330</v>
      </c>
      <c r="H13099" s="1" t="s">
        <v>1827</v>
      </c>
      <c r="I13099">
        <v>0</v>
      </c>
      <c r="J13099">
        <f>IF($H13099=0,1,IF($I13099&lt;=1,2,0))</f>
        <v>2</v>
      </c>
      <c r="K13099">
        <v>9</v>
      </c>
      <c r="L13099">
        <f>IF(AND($J13099=0,$K13099=0),0,1)</f>
        <v>1</v>
      </c>
    </row>
    <row r="13100" spans="1:12" x14ac:dyDescent="0.2">
      <c r="A13100" t="s">
        <v>587</v>
      </c>
      <c r="B13100" t="s">
        <v>17</v>
      </c>
      <c r="C13100" t="s">
        <v>9</v>
      </c>
      <c r="D13100">
        <v>3997</v>
      </c>
      <c r="E13100">
        <v>2020</v>
      </c>
      <c r="F13100">
        <v>4</v>
      </c>
      <c r="G13100">
        <v>15329</v>
      </c>
      <c r="H13100" s="1" t="s">
        <v>1827</v>
      </c>
      <c r="I13100">
        <v>0</v>
      </c>
      <c r="J13100">
        <f>IF($H13100=0,1,IF($I13100&lt;=1,2,0))</f>
        <v>2</v>
      </c>
      <c r="K13100">
        <v>9</v>
      </c>
      <c r="L13100">
        <f>IF(AND($J13100=0,$K13100=0),0,1)</f>
        <v>1</v>
      </c>
    </row>
    <row r="13101" spans="1:12" x14ac:dyDescent="0.2">
      <c r="A13101" t="s">
        <v>587</v>
      </c>
      <c r="B13101" t="s">
        <v>17</v>
      </c>
      <c r="C13101" t="s">
        <v>9</v>
      </c>
      <c r="D13101">
        <v>3997</v>
      </c>
      <c r="E13101">
        <v>2020</v>
      </c>
      <c r="F13101">
        <v>5</v>
      </c>
      <c r="G13101">
        <v>15333</v>
      </c>
      <c r="H13101" s="1" t="s">
        <v>1827</v>
      </c>
      <c r="I13101">
        <v>0</v>
      </c>
      <c r="J13101">
        <f>IF($H13101=0,1,IF($I13101&lt;=1,2,0))</f>
        <v>2</v>
      </c>
      <c r="K13101">
        <v>9</v>
      </c>
      <c r="L13101">
        <f>IF(AND($J13101=0,$K13101=0),0,1)</f>
        <v>1</v>
      </c>
    </row>
    <row r="13102" spans="1:12" x14ac:dyDescent="0.2">
      <c r="A13102" t="s">
        <v>587</v>
      </c>
      <c r="B13102" t="s">
        <v>17</v>
      </c>
      <c r="C13102" t="s">
        <v>9</v>
      </c>
      <c r="D13102">
        <v>3997</v>
      </c>
      <c r="E13102">
        <v>2020</v>
      </c>
      <c r="F13102">
        <v>6</v>
      </c>
      <c r="G13102">
        <v>15334</v>
      </c>
      <c r="H13102" s="1" t="s">
        <v>1827</v>
      </c>
      <c r="I13102">
        <v>0</v>
      </c>
      <c r="J13102">
        <f>IF($H13102=0,1,IF($I13102&lt;=1,2,0))</f>
        <v>2</v>
      </c>
      <c r="K13102">
        <v>9</v>
      </c>
      <c r="L13102">
        <f>IF(AND($J13102=0,$K13102=0),0,1)</f>
        <v>1</v>
      </c>
    </row>
    <row r="13103" spans="1:12" x14ac:dyDescent="0.2">
      <c r="A13103" t="s">
        <v>587</v>
      </c>
      <c r="B13103" t="s">
        <v>17</v>
      </c>
      <c r="C13103" t="s">
        <v>9</v>
      </c>
      <c r="D13103">
        <v>3997</v>
      </c>
      <c r="E13103">
        <v>2020</v>
      </c>
      <c r="F13103">
        <v>7</v>
      </c>
      <c r="G13103">
        <v>15335</v>
      </c>
      <c r="H13103" s="1" t="s">
        <v>1827</v>
      </c>
      <c r="I13103">
        <v>0</v>
      </c>
      <c r="J13103">
        <f>IF($H13103=0,1,IF($I13103&lt;=1,2,0))</f>
        <v>2</v>
      </c>
      <c r="K13103">
        <v>9</v>
      </c>
      <c r="L13103">
        <f>IF(AND($J13103=0,$K13103=0),0,1)</f>
        <v>1</v>
      </c>
    </row>
    <row r="13104" spans="1:12" x14ac:dyDescent="0.2">
      <c r="A13104" t="s">
        <v>587</v>
      </c>
      <c r="B13104" t="s">
        <v>17</v>
      </c>
      <c r="C13104" t="s">
        <v>9</v>
      </c>
      <c r="D13104">
        <v>3997</v>
      </c>
      <c r="E13104">
        <v>2020</v>
      </c>
      <c r="F13104">
        <v>8</v>
      </c>
      <c r="G13104">
        <v>15336</v>
      </c>
      <c r="H13104" s="1" t="s">
        <v>1827</v>
      </c>
      <c r="I13104">
        <v>0</v>
      </c>
      <c r="J13104">
        <f>IF($H13104=0,1,IF($I13104&lt;=1,2,0))</f>
        <v>2</v>
      </c>
      <c r="K13104">
        <v>9</v>
      </c>
      <c r="L13104">
        <f>IF(AND($J13104=0,$K13104=0),0,1)</f>
        <v>1</v>
      </c>
    </row>
    <row r="13105" spans="1:12" x14ac:dyDescent="0.2">
      <c r="A13105" t="s">
        <v>587</v>
      </c>
      <c r="B13105" t="s">
        <v>17</v>
      </c>
      <c r="C13105" t="s">
        <v>9</v>
      </c>
      <c r="D13105">
        <v>3997</v>
      </c>
      <c r="E13105">
        <v>2020</v>
      </c>
      <c r="F13105">
        <v>10</v>
      </c>
      <c r="G13105">
        <v>15338</v>
      </c>
      <c r="H13105" s="1" t="s">
        <v>1827</v>
      </c>
      <c r="I13105">
        <v>0</v>
      </c>
      <c r="J13105">
        <f>IF($H13105=0,1,IF($I13105&lt;=1,2,0))</f>
        <v>2</v>
      </c>
      <c r="K13105">
        <v>9</v>
      </c>
      <c r="L13105">
        <f>IF(AND($J13105=0,$K13105=0),0,1)</f>
        <v>1</v>
      </c>
    </row>
    <row r="13106" spans="1:12" x14ac:dyDescent="0.2">
      <c r="A13106" t="s">
        <v>587</v>
      </c>
      <c r="B13106" t="s">
        <v>17</v>
      </c>
      <c r="C13106" t="s">
        <v>9</v>
      </c>
      <c r="D13106">
        <v>3997</v>
      </c>
      <c r="E13106">
        <v>2020</v>
      </c>
      <c r="F13106">
        <v>11</v>
      </c>
      <c r="G13106">
        <v>15339</v>
      </c>
      <c r="H13106" s="1" t="s">
        <v>1827</v>
      </c>
      <c r="I13106">
        <v>0</v>
      </c>
      <c r="J13106">
        <f>IF($H13106=0,1,IF($I13106&lt;=1,2,0))</f>
        <v>2</v>
      </c>
      <c r="K13106">
        <v>9</v>
      </c>
      <c r="L13106">
        <f>IF(AND($J13106=0,$K13106=0),0,1)</f>
        <v>1</v>
      </c>
    </row>
    <row r="13107" spans="1:12" x14ac:dyDescent="0.2">
      <c r="A13107" t="s">
        <v>587</v>
      </c>
      <c r="B13107" t="s">
        <v>17</v>
      </c>
      <c r="C13107" t="s">
        <v>9</v>
      </c>
      <c r="D13107">
        <v>3997</v>
      </c>
      <c r="E13107">
        <v>2020</v>
      </c>
      <c r="F13107">
        <v>13</v>
      </c>
      <c r="G13107">
        <v>15341</v>
      </c>
      <c r="H13107" s="1" t="s">
        <v>1827</v>
      </c>
      <c r="I13107">
        <v>0</v>
      </c>
      <c r="J13107">
        <f>IF($H13107=0,1,IF($I13107&lt;=1,2,0))</f>
        <v>2</v>
      </c>
      <c r="K13107">
        <v>9</v>
      </c>
      <c r="L13107">
        <f>IF(AND($J13107=0,$K13107=0),0,1)</f>
        <v>1</v>
      </c>
    </row>
    <row r="13108" spans="1:12" x14ac:dyDescent="0.2">
      <c r="A13108" t="s">
        <v>587</v>
      </c>
      <c r="B13108" t="s">
        <v>17</v>
      </c>
      <c r="C13108" t="s">
        <v>9</v>
      </c>
      <c r="D13108">
        <v>3997</v>
      </c>
      <c r="E13108">
        <v>2020</v>
      </c>
      <c r="F13108">
        <v>14</v>
      </c>
      <c r="G13108">
        <v>15342</v>
      </c>
      <c r="H13108" s="1" t="s">
        <v>1827</v>
      </c>
      <c r="I13108">
        <v>0</v>
      </c>
      <c r="J13108">
        <f>IF($H13108=0,1,IF($I13108&lt;=1,2,0))</f>
        <v>2</v>
      </c>
      <c r="K13108">
        <v>9</v>
      </c>
      <c r="L13108">
        <f>IF(AND($J13108=0,$K13108=0),0,1)</f>
        <v>1</v>
      </c>
    </row>
    <row r="13109" spans="1:12" x14ac:dyDescent="0.2">
      <c r="A13109" t="s">
        <v>587</v>
      </c>
      <c r="B13109" t="s">
        <v>17</v>
      </c>
      <c r="C13109" t="s">
        <v>9</v>
      </c>
      <c r="D13109">
        <v>3997</v>
      </c>
      <c r="E13109">
        <v>2020</v>
      </c>
      <c r="F13109">
        <v>16</v>
      </c>
      <c r="G13109">
        <v>15344</v>
      </c>
      <c r="H13109" s="1" t="s">
        <v>1827</v>
      </c>
      <c r="I13109">
        <v>0</v>
      </c>
      <c r="J13109">
        <f>IF($H13109=0,1,IF($I13109&lt;=1,2,0))</f>
        <v>2</v>
      </c>
      <c r="K13109">
        <v>9</v>
      </c>
      <c r="L13109">
        <f>IF(AND($J13109=0,$K13109=0),0,1)</f>
        <v>1</v>
      </c>
    </row>
    <row r="13110" spans="1:12" x14ac:dyDescent="0.2">
      <c r="A13110" t="s">
        <v>587</v>
      </c>
      <c r="B13110" t="s">
        <v>17</v>
      </c>
      <c r="C13110" t="s">
        <v>9</v>
      </c>
      <c r="D13110">
        <v>3997</v>
      </c>
      <c r="E13110">
        <v>2020</v>
      </c>
      <c r="F13110">
        <v>18</v>
      </c>
      <c r="G13110">
        <v>15346</v>
      </c>
      <c r="H13110" s="1" t="s">
        <v>1827</v>
      </c>
      <c r="I13110">
        <v>0</v>
      </c>
      <c r="J13110">
        <f>IF($H13110=0,1,IF($I13110&lt;=1,2,0))</f>
        <v>2</v>
      </c>
      <c r="K13110">
        <v>9</v>
      </c>
      <c r="L13110">
        <f>IF(AND($J13110=0,$K13110=0),0,1)</f>
        <v>1</v>
      </c>
    </row>
    <row r="13111" spans="1:12" x14ac:dyDescent="0.2">
      <c r="A13111" t="s">
        <v>587</v>
      </c>
      <c r="B13111" t="s">
        <v>17</v>
      </c>
      <c r="C13111" t="s">
        <v>9</v>
      </c>
      <c r="D13111">
        <v>3997</v>
      </c>
      <c r="E13111">
        <v>2020</v>
      </c>
      <c r="F13111">
        <v>19</v>
      </c>
      <c r="G13111">
        <v>15347</v>
      </c>
      <c r="H13111" s="1" t="s">
        <v>1827</v>
      </c>
      <c r="I13111">
        <v>0</v>
      </c>
      <c r="J13111">
        <f>IF($H13111=0,1,IF($I13111&lt;=1,2,0))</f>
        <v>2</v>
      </c>
      <c r="K13111">
        <v>9</v>
      </c>
      <c r="L13111">
        <f>IF(AND($J13111=0,$K13111=0),0,1)</f>
        <v>1</v>
      </c>
    </row>
    <row r="13112" spans="1:12" x14ac:dyDescent="0.2">
      <c r="A13112" t="s">
        <v>587</v>
      </c>
      <c r="B13112" t="s">
        <v>17</v>
      </c>
      <c r="C13112" t="s">
        <v>9</v>
      </c>
      <c r="D13112">
        <v>3997</v>
      </c>
      <c r="E13112">
        <v>2020</v>
      </c>
      <c r="F13112">
        <v>20</v>
      </c>
      <c r="G13112">
        <v>15348</v>
      </c>
      <c r="H13112" s="1" t="s">
        <v>1827</v>
      </c>
      <c r="I13112">
        <v>0</v>
      </c>
      <c r="J13112">
        <f>IF($H13112=0,1,IF($I13112&lt;=1,2,0))</f>
        <v>2</v>
      </c>
      <c r="K13112">
        <v>9</v>
      </c>
      <c r="L13112">
        <f>IF(AND($J13112=0,$K13112=0),0,1)</f>
        <v>1</v>
      </c>
    </row>
    <row r="13113" spans="1:12" x14ac:dyDescent="0.2">
      <c r="A13113" t="s">
        <v>587</v>
      </c>
      <c r="B13113" t="s">
        <v>17</v>
      </c>
      <c r="C13113" t="s">
        <v>9</v>
      </c>
      <c r="D13113">
        <v>3997</v>
      </c>
      <c r="E13113">
        <v>2020</v>
      </c>
      <c r="F13113">
        <v>21</v>
      </c>
      <c r="G13113">
        <v>15349</v>
      </c>
      <c r="H13113" s="1" t="s">
        <v>1827</v>
      </c>
      <c r="I13113">
        <v>0</v>
      </c>
      <c r="J13113">
        <f>IF($H13113=0,1,IF($I13113&lt;=1,2,0))</f>
        <v>2</v>
      </c>
      <c r="K13113">
        <v>9</v>
      </c>
      <c r="L13113">
        <f>IF(AND($J13113=0,$K13113=0),0,1)</f>
        <v>1</v>
      </c>
    </row>
    <row r="13114" spans="1:12" x14ac:dyDescent="0.2">
      <c r="A13114" t="s">
        <v>587</v>
      </c>
      <c r="B13114" t="s">
        <v>17</v>
      </c>
      <c r="C13114" t="s">
        <v>9</v>
      </c>
      <c r="D13114">
        <v>3997</v>
      </c>
      <c r="E13114">
        <v>2020</v>
      </c>
      <c r="F13114">
        <v>22</v>
      </c>
      <c r="G13114">
        <v>15350</v>
      </c>
      <c r="H13114" s="1" t="s">
        <v>1827</v>
      </c>
      <c r="I13114">
        <v>0</v>
      </c>
      <c r="J13114">
        <f>IF($H13114=0,1,IF($I13114&lt;=1,2,0))</f>
        <v>2</v>
      </c>
      <c r="K13114">
        <v>9</v>
      </c>
      <c r="L13114">
        <f>IF(AND($J13114=0,$K13114=0),0,1)</f>
        <v>1</v>
      </c>
    </row>
    <row r="13115" spans="1:12" x14ac:dyDescent="0.2">
      <c r="A13115" t="s">
        <v>587</v>
      </c>
      <c r="B13115" t="s">
        <v>17</v>
      </c>
      <c r="C13115" t="s">
        <v>9</v>
      </c>
      <c r="D13115">
        <v>3997</v>
      </c>
      <c r="E13115">
        <v>2020</v>
      </c>
      <c r="F13115">
        <v>23</v>
      </c>
      <c r="G13115">
        <v>15351</v>
      </c>
      <c r="H13115" s="1" t="s">
        <v>1827</v>
      </c>
      <c r="I13115">
        <v>0</v>
      </c>
      <c r="J13115">
        <f>IF($H13115=0,1,IF($I13115&lt;=1,2,0))</f>
        <v>2</v>
      </c>
      <c r="K13115">
        <v>9</v>
      </c>
      <c r="L13115">
        <f>IF(AND($J13115=0,$K13115=0),0,1)</f>
        <v>1</v>
      </c>
    </row>
    <row r="13116" spans="1:12" x14ac:dyDescent="0.2">
      <c r="A13116" t="s">
        <v>587</v>
      </c>
      <c r="B13116" t="s">
        <v>17</v>
      </c>
      <c r="C13116" t="s">
        <v>9</v>
      </c>
      <c r="D13116">
        <v>3997</v>
      </c>
      <c r="E13116">
        <v>2020</v>
      </c>
      <c r="F13116">
        <v>24</v>
      </c>
      <c r="G13116">
        <v>15352</v>
      </c>
      <c r="H13116" s="1" t="s">
        <v>1827</v>
      </c>
      <c r="I13116">
        <v>0</v>
      </c>
      <c r="J13116">
        <f>IF($H13116=0,1,IF($I13116&lt;=1,2,0))</f>
        <v>2</v>
      </c>
      <c r="K13116">
        <v>9</v>
      </c>
      <c r="L13116">
        <f>IF(AND($J13116=0,$K13116=0),0,1)</f>
        <v>1</v>
      </c>
    </row>
    <row r="13117" spans="1:12" x14ac:dyDescent="0.2">
      <c r="A13117" t="s">
        <v>587</v>
      </c>
      <c r="B13117" t="s">
        <v>17</v>
      </c>
      <c r="C13117" t="s">
        <v>9</v>
      </c>
      <c r="D13117">
        <v>3997</v>
      </c>
      <c r="E13117">
        <v>2020</v>
      </c>
      <c r="F13117">
        <v>25</v>
      </c>
      <c r="G13117">
        <v>15353</v>
      </c>
      <c r="H13117" s="1" t="s">
        <v>1827</v>
      </c>
      <c r="I13117">
        <v>0</v>
      </c>
      <c r="J13117">
        <f>IF($H13117=0,1,IF($I13117&lt;=1,2,0))</f>
        <v>2</v>
      </c>
      <c r="K13117">
        <v>9</v>
      </c>
      <c r="L13117">
        <f>IF(AND($J13117=0,$K13117=0),0,1)</f>
        <v>1</v>
      </c>
    </row>
    <row r="13118" spans="1:12" x14ac:dyDescent="0.2">
      <c r="A13118" t="s">
        <v>587</v>
      </c>
      <c r="B13118" t="s">
        <v>17</v>
      </c>
      <c r="C13118" t="s">
        <v>9</v>
      </c>
      <c r="D13118">
        <v>3998</v>
      </c>
      <c r="E13118">
        <v>2020</v>
      </c>
      <c r="F13118">
        <v>10</v>
      </c>
      <c r="G13118">
        <v>15419</v>
      </c>
      <c r="H13118" s="1" t="s">
        <v>1827</v>
      </c>
      <c r="I13118">
        <v>1</v>
      </c>
      <c r="J13118">
        <f>IF($H13118=0,1,IF($I13118&lt;=1,2,0))</f>
        <v>2</v>
      </c>
      <c r="K13118">
        <v>9</v>
      </c>
      <c r="L13118">
        <f>IF(AND($J13118=0,$K13118=0),0,1)</f>
        <v>1</v>
      </c>
    </row>
    <row r="13119" spans="1:12" x14ac:dyDescent="0.2">
      <c r="A13119" t="s">
        <v>587</v>
      </c>
      <c r="B13119" t="s">
        <v>17</v>
      </c>
      <c r="C13119" t="s">
        <v>9</v>
      </c>
      <c r="D13119">
        <v>3998</v>
      </c>
      <c r="E13119">
        <v>2020</v>
      </c>
      <c r="F13119">
        <v>1</v>
      </c>
      <c r="G13119">
        <v>15410</v>
      </c>
      <c r="H13119" s="1" t="s">
        <v>1827</v>
      </c>
      <c r="I13119">
        <v>0</v>
      </c>
      <c r="J13119">
        <f>IF($H13119=0,1,IF($I13119&lt;=1,2,0))</f>
        <v>2</v>
      </c>
      <c r="K13119">
        <v>9</v>
      </c>
      <c r="L13119">
        <f>IF(AND($J13119=0,$K13119=0),0,1)</f>
        <v>1</v>
      </c>
    </row>
    <row r="13120" spans="1:12" x14ac:dyDescent="0.2">
      <c r="A13120" t="s">
        <v>587</v>
      </c>
      <c r="B13120" t="s">
        <v>17</v>
      </c>
      <c r="C13120" t="s">
        <v>9</v>
      </c>
      <c r="D13120">
        <v>3998</v>
      </c>
      <c r="E13120">
        <v>2020</v>
      </c>
      <c r="F13120">
        <v>2</v>
      </c>
      <c r="G13120">
        <v>15411</v>
      </c>
      <c r="H13120" s="1" t="s">
        <v>1827</v>
      </c>
      <c r="I13120">
        <v>0</v>
      </c>
      <c r="J13120">
        <f>IF($H13120=0,1,IF($I13120&lt;=1,2,0))</f>
        <v>2</v>
      </c>
      <c r="K13120">
        <v>9</v>
      </c>
      <c r="L13120">
        <f>IF(AND($J13120=0,$K13120=0),0,1)</f>
        <v>1</v>
      </c>
    </row>
    <row r="13121" spans="1:12" x14ac:dyDescent="0.2">
      <c r="A13121" t="s">
        <v>587</v>
      </c>
      <c r="B13121" t="s">
        <v>17</v>
      </c>
      <c r="C13121" t="s">
        <v>9</v>
      </c>
      <c r="D13121">
        <v>3998</v>
      </c>
      <c r="E13121">
        <v>2020</v>
      </c>
      <c r="F13121">
        <v>3</v>
      </c>
      <c r="G13121">
        <v>15412</v>
      </c>
      <c r="H13121" s="1" t="s">
        <v>1827</v>
      </c>
      <c r="I13121">
        <v>0</v>
      </c>
      <c r="J13121">
        <f>IF($H13121=0,1,IF($I13121&lt;=1,2,0))</f>
        <v>2</v>
      </c>
      <c r="K13121">
        <v>9</v>
      </c>
      <c r="L13121">
        <f>IF(AND($J13121=0,$K13121=0),0,1)</f>
        <v>1</v>
      </c>
    </row>
    <row r="13122" spans="1:12" x14ac:dyDescent="0.2">
      <c r="A13122" t="s">
        <v>587</v>
      </c>
      <c r="B13122" t="s">
        <v>17</v>
      </c>
      <c r="C13122" t="s">
        <v>9</v>
      </c>
      <c r="D13122">
        <v>3998</v>
      </c>
      <c r="E13122">
        <v>2020</v>
      </c>
      <c r="F13122">
        <v>4</v>
      </c>
      <c r="G13122">
        <v>15413</v>
      </c>
      <c r="H13122" s="1" t="s">
        <v>1827</v>
      </c>
      <c r="I13122">
        <v>0</v>
      </c>
      <c r="J13122">
        <f>IF($H13122=0,1,IF($I13122&lt;=1,2,0))</f>
        <v>2</v>
      </c>
      <c r="K13122">
        <v>9</v>
      </c>
      <c r="L13122">
        <f>IF(AND($J13122=0,$K13122=0),0,1)</f>
        <v>1</v>
      </c>
    </row>
    <row r="13123" spans="1:12" x14ac:dyDescent="0.2">
      <c r="A13123" t="s">
        <v>587</v>
      </c>
      <c r="B13123" t="s">
        <v>17</v>
      </c>
      <c r="C13123" t="s">
        <v>9</v>
      </c>
      <c r="D13123">
        <v>3998</v>
      </c>
      <c r="E13123">
        <v>2020</v>
      </c>
      <c r="F13123">
        <v>5</v>
      </c>
      <c r="G13123">
        <v>15414</v>
      </c>
      <c r="H13123" s="1" t="s">
        <v>1827</v>
      </c>
      <c r="I13123">
        <v>0</v>
      </c>
      <c r="J13123">
        <f>IF($H13123=0,1,IF($I13123&lt;=1,2,0))</f>
        <v>2</v>
      </c>
      <c r="K13123">
        <v>9</v>
      </c>
      <c r="L13123">
        <f>IF(AND($J13123=0,$K13123=0),0,1)</f>
        <v>1</v>
      </c>
    </row>
    <row r="13124" spans="1:12" x14ac:dyDescent="0.2">
      <c r="A13124" t="s">
        <v>587</v>
      </c>
      <c r="B13124" t="s">
        <v>17</v>
      </c>
      <c r="C13124" t="s">
        <v>9</v>
      </c>
      <c r="D13124">
        <v>3998</v>
      </c>
      <c r="E13124">
        <v>2020</v>
      </c>
      <c r="F13124">
        <v>6</v>
      </c>
      <c r="G13124">
        <v>15415</v>
      </c>
      <c r="H13124" s="1" t="s">
        <v>1827</v>
      </c>
      <c r="I13124">
        <v>0</v>
      </c>
      <c r="J13124">
        <f>IF($H13124=0,1,IF($I13124&lt;=1,2,0))</f>
        <v>2</v>
      </c>
      <c r="K13124">
        <v>9</v>
      </c>
      <c r="L13124">
        <f>IF(AND($J13124=0,$K13124=0),0,1)</f>
        <v>1</v>
      </c>
    </row>
    <row r="13125" spans="1:12" x14ac:dyDescent="0.2">
      <c r="A13125" t="s">
        <v>587</v>
      </c>
      <c r="B13125" t="s">
        <v>17</v>
      </c>
      <c r="C13125" t="s">
        <v>9</v>
      </c>
      <c r="D13125">
        <v>3998</v>
      </c>
      <c r="E13125">
        <v>2020</v>
      </c>
      <c r="F13125">
        <v>7</v>
      </c>
      <c r="G13125">
        <v>15416</v>
      </c>
      <c r="H13125" s="1" t="s">
        <v>1827</v>
      </c>
      <c r="I13125">
        <v>0</v>
      </c>
      <c r="J13125">
        <f>IF($H13125=0,1,IF($I13125&lt;=1,2,0))</f>
        <v>2</v>
      </c>
      <c r="K13125">
        <v>9</v>
      </c>
      <c r="L13125">
        <f>IF(AND($J13125=0,$K13125=0),0,1)</f>
        <v>1</v>
      </c>
    </row>
    <row r="13126" spans="1:12" x14ac:dyDescent="0.2">
      <c r="A13126" t="s">
        <v>587</v>
      </c>
      <c r="B13126" t="s">
        <v>17</v>
      </c>
      <c r="C13126" t="s">
        <v>9</v>
      </c>
      <c r="D13126">
        <v>3998</v>
      </c>
      <c r="E13126">
        <v>2020</v>
      </c>
      <c r="F13126">
        <v>8</v>
      </c>
      <c r="G13126">
        <v>15417</v>
      </c>
      <c r="H13126" s="1" t="s">
        <v>1827</v>
      </c>
      <c r="I13126">
        <v>0</v>
      </c>
      <c r="J13126">
        <f>IF($H13126=0,1,IF($I13126&lt;=1,2,0))</f>
        <v>2</v>
      </c>
      <c r="K13126">
        <v>9</v>
      </c>
      <c r="L13126">
        <f>IF(AND($J13126=0,$K13126=0),0,1)</f>
        <v>1</v>
      </c>
    </row>
    <row r="13127" spans="1:12" x14ac:dyDescent="0.2">
      <c r="A13127" t="s">
        <v>587</v>
      </c>
      <c r="B13127" t="s">
        <v>17</v>
      </c>
      <c r="C13127" t="s">
        <v>9</v>
      </c>
      <c r="D13127">
        <v>3998</v>
      </c>
      <c r="E13127">
        <v>2020</v>
      </c>
      <c r="F13127">
        <v>11</v>
      </c>
      <c r="G13127">
        <v>15420</v>
      </c>
      <c r="H13127" s="1" t="s">
        <v>1827</v>
      </c>
      <c r="I13127">
        <v>0</v>
      </c>
      <c r="J13127">
        <f>IF($H13127=0,1,IF($I13127&lt;=1,2,0))</f>
        <v>2</v>
      </c>
      <c r="K13127">
        <v>9</v>
      </c>
      <c r="L13127">
        <f>IF(AND($J13127=0,$K13127=0),0,1)</f>
        <v>1</v>
      </c>
    </row>
    <row r="13128" spans="1:12" x14ac:dyDescent="0.2">
      <c r="A13128" t="s">
        <v>587</v>
      </c>
      <c r="B13128" t="s">
        <v>17</v>
      </c>
      <c r="C13128" t="s">
        <v>9</v>
      </c>
      <c r="D13128">
        <v>3998</v>
      </c>
      <c r="E13128">
        <v>2020</v>
      </c>
      <c r="F13128">
        <v>14</v>
      </c>
      <c r="G13128">
        <v>15425</v>
      </c>
      <c r="H13128" s="1" t="s">
        <v>1827</v>
      </c>
      <c r="I13128">
        <v>0</v>
      </c>
      <c r="J13128">
        <f>IF($H13128=0,1,IF($I13128&lt;=1,2,0))</f>
        <v>2</v>
      </c>
      <c r="K13128">
        <v>9</v>
      </c>
      <c r="L13128">
        <f>IF(AND($J13128=0,$K13128=0),0,1)</f>
        <v>1</v>
      </c>
    </row>
    <row r="13129" spans="1:12" x14ac:dyDescent="0.2">
      <c r="A13129" t="s">
        <v>587</v>
      </c>
      <c r="B13129" t="s">
        <v>17</v>
      </c>
      <c r="C13129" t="s">
        <v>9</v>
      </c>
      <c r="D13129">
        <v>3998</v>
      </c>
      <c r="E13129">
        <v>2020</v>
      </c>
      <c r="F13129">
        <v>15</v>
      </c>
      <c r="G13129">
        <v>15426</v>
      </c>
      <c r="H13129" s="1" t="s">
        <v>1827</v>
      </c>
      <c r="I13129">
        <v>0</v>
      </c>
      <c r="J13129">
        <f>IF($H13129=0,1,IF($I13129&lt;=1,2,0))</f>
        <v>2</v>
      </c>
      <c r="K13129">
        <v>9</v>
      </c>
      <c r="L13129">
        <f>IF(AND($J13129=0,$K13129=0),0,1)</f>
        <v>1</v>
      </c>
    </row>
    <row r="13130" spans="1:12" x14ac:dyDescent="0.2">
      <c r="A13130" t="s">
        <v>587</v>
      </c>
      <c r="B13130" t="s">
        <v>17</v>
      </c>
      <c r="C13130" t="s">
        <v>9</v>
      </c>
      <c r="D13130">
        <v>3998</v>
      </c>
      <c r="E13130">
        <v>2020</v>
      </c>
      <c r="F13130">
        <v>16</v>
      </c>
      <c r="G13130">
        <v>15427</v>
      </c>
      <c r="H13130" s="1" t="s">
        <v>1827</v>
      </c>
      <c r="I13130">
        <v>0</v>
      </c>
      <c r="J13130">
        <f>IF($H13130=0,1,IF($I13130&lt;=1,2,0))</f>
        <v>2</v>
      </c>
      <c r="K13130">
        <v>9</v>
      </c>
      <c r="L13130">
        <f>IF(AND($J13130=0,$K13130=0),0,1)</f>
        <v>1</v>
      </c>
    </row>
    <row r="13131" spans="1:12" x14ac:dyDescent="0.2">
      <c r="A13131" t="s">
        <v>587</v>
      </c>
      <c r="B13131" t="s">
        <v>17</v>
      </c>
      <c r="C13131" t="s">
        <v>9</v>
      </c>
      <c r="D13131">
        <v>3998</v>
      </c>
      <c r="E13131">
        <v>2020</v>
      </c>
      <c r="F13131">
        <v>18</v>
      </c>
      <c r="G13131">
        <v>15429</v>
      </c>
      <c r="H13131" s="1" t="s">
        <v>1827</v>
      </c>
      <c r="I13131">
        <v>0</v>
      </c>
      <c r="J13131">
        <f>IF($H13131=0,1,IF($I13131&lt;=1,2,0))</f>
        <v>2</v>
      </c>
      <c r="K13131">
        <v>9</v>
      </c>
      <c r="L13131">
        <f>IF(AND($J13131=0,$K13131=0),0,1)</f>
        <v>1</v>
      </c>
    </row>
    <row r="13132" spans="1:12" x14ac:dyDescent="0.2">
      <c r="A13132" t="s">
        <v>587</v>
      </c>
      <c r="B13132" t="s">
        <v>17</v>
      </c>
      <c r="C13132" t="s">
        <v>9</v>
      </c>
      <c r="D13132">
        <v>3998</v>
      </c>
      <c r="E13132">
        <v>2020</v>
      </c>
      <c r="F13132">
        <v>19</v>
      </c>
      <c r="G13132">
        <v>15430</v>
      </c>
      <c r="H13132" s="1" t="s">
        <v>1827</v>
      </c>
      <c r="I13132">
        <v>0</v>
      </c>
      <c r="J13132">
        <f>IF($H13132=0,1,IF($I13132&lt;=1,2,0))</f>
        <v>2</v>
      </c>
      <c r="K13132">
        <v>9</v>
      </c>
      <c r="L13132">
        <f>IF(AND($J13132=0,$K13132=0),0,1)</f>
        <v>1</v>
      </c>
    </row>
    <row r="13133" spans="1:12" x14ac:dyDescent="0.2">
      <c r="A13133" t="s">
        <v>587</v>
      </c>
      <c r="B13133" t="s">
        <v>17</v>
      </c>
      <c r="C13133" t="s">
        <v>9</v>
      </c>
      <c r="D13133">
        <v>3998</v>
      </c>
      <c r="E13133">
        <v>2020</v>
      </c>
      <c r="F13133">
        <v>20</v>
      </c>
      <c r="G13133">
        <v>15431</v>
      </c>
      <c r="H13133" s="1" t="s">
        <v>1827</v>
      </c>
      <c r="I13133">
        <v>0</v>
      </c>
      <c r="J13133">
        <f>IF($H13133=0,1,IF($I13133&lt;=1,2,0))</f>
        <v>2</v>
      </c>
      <c r="K13133">
        <v>9</v>
      </c>
      <c r="L13133">
        <f>IF(AND($J13133=0,$K13133=0),0,1)</f>
        <v>1</v>
      </c>
    </row>
    <row r="13134" spans="1:12" x14ac:dyDescent="0.2">
      <c r="A13134" t="s">
        <v>587</v>
      </c>
      <c r="B13134" t="s">
        <v>17</v>
      </c>
      <c r="C13134" t="s">
        <v>9</v>
      </c>
      <c r="D13134">
        <v>3998</v>
      </c>
      <c r="E13134">
        <v>2020</v>
      </c>
      <c r="F13134">
        <v>21</v>
      </c>
      <c r="G13134">
        <v>15432</v>
      </c>
      <c r="H13134" s="1" t="s">
        <v>1827</v>
      </c>
      <c r="I13134">
        <v>0</v>
      </c>
      <c r="J13134">
        <f>IF($H13134=0,1,IF($I13134&lt;=1,2,0))</f>
        <v>2</v>
      </c>
      <c r="K13134">
        <v>9</v>
      </c>
      <c r="L13134">
        <f>IF(AND($J13134=0,$K13134=0),0,1)</f>
        <v>1</v>
      </c>
    </row>
    <row r="13135" spans="1:12" x14ac:dyDescent="0.2">
      <c r="A13135" t="s">
        <v>587</v>
      </c>
      <c r="B13135" t="s">
        <v>17</v>
      </c>
      <c r="C13135" t="s">
        <v>9</v>
      </c>
      <c r="D13135">
        <v>3998</v>
      </c>
      <c r="E13135">
        <v>2020</v>
      </c>
      <c r="F13135">
        <v>22</v>
      </c>
      <c r="G13135">
        <v>15433</v>
      </c>
      <c r="H13135" s="1" t="s">
        <v>1827</v>
      </c>
      <c r="I13135">
        <v>0</v>
      </c>
      <c r="J13135">
        <f>IF($H13135=0,1,IF($I13135&lt;=1,2,0))</f>
        <v>2</v>
      </c>
      <c r="K13135">
        <v>9</v>
      </c>
      <c r="L13135">
        <f>IF(AND($J13135=0,$K13135=0),0,1)</f>
        <v>1</v>
      </c>
    </row>
    <row r="13136" spans="1:12" x14ac:dyDescent="0.2">
      <c r="A13136" t="s">
        <v>587</v>
      </c>
      <c r="B13136" t="s">
        <v>17</v>
      </c>
      <c r="C13136" t="s">
        <v>9</v>
      </c>
      <c r="D13136">
        <v>3998</v>
      </c>
      <c r="E13136">
        <v>2020</v>
      </c>
      <c r="F13136">
        <v>23</v>
      </c>
      <c r="G13136">
        <v>15434</v>
      </c>
      <c r="H13136" s="1" t="s">
        <v>1827</v>
      </c>
      <c r="I13136">
        <v>0</v>
      </c>
      <c r="J13136">
        <f>IF($H13136=0,1,IF($I13136&lt;=1,2,0))</f>
        <v>2</v>
      </c>
      <c r="K13136">
        <v>9</v>
      </c>
      <c r="L13136">
        <f>IF(AND($J13136=0,$K13136=0),0,1)</f>
        <v>1</v>
      </c>
    </row>
    <row r="13137" spans="1:12" x14ac:dyDescent="0.2">
      <c r="A13137" t="s">
        <v>587</v>
      </c>
      <c r="B13137" t="s">
        <v>17</v>
      </c>
      <c r="C13137" t="s">
        <v>9</v>
      </c>
      <c r="D13137">
        <v>3998</v>
      </c>
      <c r="E13137">
        <v>2020</v>
      </c>
      <c r="F13137">
        <v>24</v>
      </c>
      <c r="G13137">
        <v>15435</v>
      </c>
      <c r="H13137" s="1" t="s">
        <v>1827</v>
      </c>
      <c r="I13137">
        <v>0</v>
      </c>
      <c r="J13137">
        <f>IF($H13137=0,1,IF($I13137&lt;=1,2,0))</f>
        <v>2</v>
      </c>
      <c r="K13137">
        <v>9</v>
      </c>
      <c r="L13137">
        <f>IF(AND($J13137=0,$K13137=0),0,1)</f>
        <v>1</v>
      </c>
    </row>
    <row r="13138" spans="1:12" x14ac:dyDescent="0.2">
      <c r="A13138" t="s">
        <v>587</v>
      </c>
      <c r="B13138" t="s">
        <v>17</v>
      </c>
      <c r="C13138" t="s">
        <v>9</v>
      </c>
      <c r="D13138">
        <v>3998</v>
      </c>
      <c r="E13138">
        <v>2020</v>
      </c>
      <c r="F13138">
        <v>25</v>
      </c>
      <c r="G13138">
        <v>15436</v>
      </c>
      <c r="H13138" s="1" t="s">
        <v>1827</v>
      </c>
      <c r="I13138">
        <v>0</v>
      </c>
      <c r="J13138">
        <f>IF($H13138=0,1,IF($I13138&lt;=1,2,0))</f>
        <v>2</v>
      </c>
      <c r="K13138">
        <v>9</v>
      </c>
      <c r="L13138">
        <f>IF(AND($J13138=0,$K13138=0),0,1)</f>
        <v>1</v>
      </c>
    </row>
    <row r="13139" spans="1:12" x14ac:dyDescent="0.2">
      <c r="A13139" t="s">
        <v>587</v>
      </c>
      <c r="B13139" t="s">
        <v>17</v>
      </c>
      <c r="C13139" t="s">
        <v>2</v>
      </c>
      <c r="D13139">
        <v>4050</v>
      </c>
      <c r="E13139">
        <v>2020</v>
      </c>
      <c r="F13139">
        <v>1</v>
      </c>
      <c r="G13139">
        <v>68</v>
      </c>
      <c r="H13139" s="1">
        <v>3</v>
      </c>
      <c r="I13139">
        <v>7</v>
      </c>
      <c r="J13139">
        <f>IF($H13139=0,1,IF($I13139&lt;=1,2,0))</f>
        <v>0</v>
      </c>
      <c r="K13139">
        <v>7</v>
      </c>
      <c r="L13139">
        <f>IF(AND($J13139=0,$K13139=0),0,1)</f>
        <v>1</v>
      </c>
    </row>
    <row r="13140" spans="1:12" x14ac:dyDescent="0.2">
      <c r="A13140" t="s">
        <v>587</v>
      </c>
      <c r="B13140" t="s">
        <v>17</v>
      </c>
      <c r="C13140" t="s">
        <v>2</v>
      </c>
      <c r="D13140">
        <v>4051</v>
      </c>
      <c r="E13140">
        <v>2020</v>
      </c>
      <c r="F13140">
        <v>1</v>
      </c>
      <c r="G13140">
        <v>600</v>
      </c>
      <c r="H13140" s="1">
        <v>3</v>
      </c>
      <c r="I13140">
        <v>1</v>
      </c>
      <c r="J13140">
        <f>IF($H13140=0,1,IF($I13140&lt;=1,2,0))</f>
        <v>2</v>
      </c>
      <c r="K13140">
        <v>7</v>
      </c>
      <c r="L13140">
        <f>IF(AND($J13140=0,$K13140=0),0,1)</f>
        <v>1</v>
      </c>
    </row>
    <row r="13141" spans="1:12" x14ac:dyDescent="0.2">
      <c r="A13141" t="s">
        <v>587</v>
      </c>
      <c r="B13141" t="s">
        <v>17</v>
      </c>
      <c r="C13141" t="s">
        <v>11</v>
      </c>
      <c r="D13141">
        <v>9001</v>
      </c>
      <c r="E13141">
        <v>2020</v>
      </c>
      <c r="F13141">
        <v>20</v>
      </c>
      <c r="G13141">
        <v>15373</v>
      </c>
      <c r="H13141" s="1" t="s">
        <v>1835</v>
      </c>
      <c r="I13141">
        <v>6</v>
      </c>
      <c r="J13141">
        <f>IF($H13141=0,1,IF($I13141&lt;=1,2,0))</f>
        <v>0</v>
      </c>
      <c r="K13141">
        <v>5</v>
      </c>
      <c r="L13141">
        <f>IF(AND($J13141=0,$K13141=0),0,1)</f>
        <v>1</v>
      </c>
    </row>
    <row r="13142" spans="1:12" x14ac:dyDescent="0.2">
      <c r="A13142" t="s">
        <v>587</v>
      </c>
      <c r="B13142" t="s">
        <v>17</v>
      </c>
      <c r="C13142" t="s">
        <v>11</v>
      </c>
      <c r="D13142">
        <v>9001</v>
      </c>
      <c r="E13142">
        <v>2020</v>
      </c>
      <c r="F13142">
        <v>25</v>
      </c>
      <c r="G13142">
        <v>15378</v>
      </c>
      <c r="H13142" s="1" t="s">
        <v>1835</v>
      </c>
      <c r="I13142">
        <v>3</v>
      </c>
      <c r="J13142">
        <f>IF($H13142=0,1,IF($I13142&lt;=1,2,0))</f>
        <v>0</v>
      </c>
      <c r="K13142">
        <v>5</v>
      </c>
      <c r="L13142">
        <f>IF(AND($J13142=0,$K13142=0),0,1)</f>
        <v>1</v>
      </c>
    </row>
    <row r="13143" spans="1:12" x14ac:dyDescent="0.2">
      <c r="A13143" t="s">
        <v>587</v>
      </c>
      <c r="B13143" t="s">
        <v>17</v>
      </c>
      <c r="C13143" t="s">
        <v>11</v>
      </c>
      <c r="D13143">
        <v>9001</v>
      </c>
      <c r="E13143">
        <v>2020</v>
      </c>
      <c r="F13143">
        <v>4</v>
      </c>
      <c r="G13143">
        <v>15357</v>
      </c>
      <c r="H13143" s="1" t="s">
        <v>1835</v>
      </c>
      <c r="I13143">
        <v>2</v>
      </c>
      <c r="J13143">
        <f>IF($H13143=0,1,IF($I13143&lt;=1,2,0))</f>
        <v>0</v>
      </c>
      <c r="K13143">
        <v>5</v>
      </c>
      <c r="L13143">
        <f>IF(AND($J13143=0,$K13143=0),0,1)</f>
        <v>1</v>
      </c>
    </row>
    <row r="13144" spans="1:12" x14ac:dyDescent="0.2">
      <c r="A13144" t="s">
        <v>587</v>
      </c>
      <c r="B13144" t="s">
        <v>17</v>
      </c>
      <c r="C13144" t="s">
        <v>11</v>
      </c>
      <c r="D13144">
        <v>9001</v>
      </c>
      <c r="E13144">
        <v>2020</v>
      </c>
      <c r="F13144">
        <v>10</v>
      </c>
      <c r="G13144">
        <v>15363</v>
      </c>
      <c r="H13144" s="1" t="s">
        <v>1835</v>
      </c>
      <c r="I13144">
        <v>1</v>
      </c>
      <c r="J13144">
        <f>IF($H13144=0,1,IF($I13144&lt;=1,2,0))</f>
        <v>2</v>
      </c>
      <c r="K13144">
        <v>5</v>
      </c>
      <c r="L13144">
        <f>IF(AND($J13144=0,$K13144=0),0,1)</f>
        <v>1</v>
      </c>
    </row>
    <row r="13145" spans="1:12" x14ac:dyDescent="0.2">
      <c r="A13145" t="s">
        <v>587</v>
      </c>
      <c r="B13145" t="s">
        <v>17</v>
      </c>
      <c r="C13145" t="s">
        <v>11</v>
      </c>
      <c r="D13145">
        <v>9001</v>
      </c>
      <c r="E13145">
        <v>2020</v>
      </c>
      <c r="F13145">
        <v>15</v>
      </c>
      <c r="G13145">
        <v>15367</v>
      </c>
      <c r="H13145" s="1" t="s">
        <v>1835</v>
      </c>
      <c r="I13145">
        <v>1</v>
      </c>
      <c r="J13145">
        <f>IF($H13145=0,1,IF($I13145&lt;=1,2,0))</f>
        <v>2</v>
      </c>
      <c r="K13145">
        <v>5</v>
      </c>
      <c r="L13145">
        <f>IF(AND($J13145=0,$K13145=0),0,1)</f>
        <v>1</v>
      </c>
    </row>
    <row r="13146" spans="1:12" x14ac:dyDescent="0.2">
      <c r="A13146" t="s">
        <v>587</v>
      </c>
      <c r="B13146" t="s">
        <v>17</v>
      </c>
      <c r="C13146" t="s">
        <v>11</v>
      </c>
      <c r="D13146">
        <v>9001</v>
      </c>
      <c r="E13146">
        <v>2020</v>
      </c>
      <c r="F13146">
        <v>22</v>
      </c>
      <c r="G13146">
        <v>15375</v>
      </c>
      <c r="H13146" s="1" t="s">
        <v>1835</v>
      </c>
      <c r="I13146">
        <v>1</v>
      </c>
      <c r="J13146">
        <f>IF($H13146=0,1,IF($I13146&lt;=1,2,0))</f>
        <v>2</v>
      </c>
      <c r="K13146">
        <v>5</v>
      </c>
      <c r="L13146">
        <f>IF(AND($J13146=0,$K13146=0),0,1)</f>
        <v>1</v>
      </c>
    </row>
    <row r="13147" spans="1:12" x14ac:dyDescent="0.2">
      <c r="A13147" t="s">
        <v>587</v>
      </c>
      <c r="B13147" t="s">
        <v>17</v>
      </c>
      <c r="C13147" t="s">
        <v>11</v>
      </c>
      <c r="D13147">
        <v>9001</v>
      </c>
      <c r="E13147">
        <v>2020</v>
      </c>
      <c r="F13147">
        <v>1</v>
      </c>
      <c r="G13147">
        <v>15354</v>
      </c>
      <c r="H13147" s="1" t="s">
        <v>1835</v>
      </c>
      <c r="I13147">
        <v>0</v>
      </c>
      <c r="J13147">
        <f>IF($H13147=0,1,IF($I13147&lt;=1,2,0))</f>
        <v>2</v>
      </c>
      <c r="K13147">
        <v>5</v>
      </c>
      <c r="L13147">
        <f>IF(AND($J13147=0,$K13147=0),0,1)</f>
        <v>1</v>
      </c>
    </row>
    <row r="13148" spans="1:12" x14ac:dyDescent="0.2">
      <c r="A13148" t="s">
        <v>587</v>
      </c>
      <c r="B13148" t="s">
        <v>17</v>
      </c>
      <c r="C13148" t="s">
        <v>11</v>
      </c>
      <c r="D13148">
        <v>9001</v>
      </c>
      <c r="E13148">
        <v>2020</v>
      </c>
      <c r="F13148">
        <v>2</v>
      </c>
      <c r="G13148">
        <v>15355</v>
      </c>
      <c r="H13148" s="1" t="s">
        <v>1835</v>
      </c>
      <c r="I13148">
        <v>0</v>
      </c>
      <c r="J13148">
        <f>IF($H13148=0,1,IF($I13148&lt;=1,2,0))</f>
        <v>2</v>
      </c>
      <c r="K13148">
        <v>5</v>
      </c>
      <c r="L13148">
        <f>IF(AND($J13148=0,$K13148=0),0,1)</f>
        <v>1</v>
      </c>
    </row>
    <row r="13149" spans="1:12" x14ac:dyDescent="0.2">
      <c r="A13149" t="s">
        <v>587</v>
      </c>
      <c r="B13149" t="s">
        <v>17</v>
      </c>
      <c r="C13149" t="s">
        <v>11</v>
      </c>
      <c r="D13149">
        <v>9001</v>
      </c>
      <c r="E13149">
        <v>2020</v>
      </c>
      <c r="F13149">
        <v>3</v>
      </c>
      <c r="G13149">
        <v>15356</v>
      </c>
      <c r="H13149" s="1" t="s">
        <v>1835</v>
      </c>
      <c r="I13149">
        <v>0</v>
      </c>
      <c r="J13149">
        <f>IF($H13149=0,1,IF($I13149&lt;=1,2,0))</f>
        <v>2</v>
      </c>
      <c r="K13149">
        <v>5</v>
      </c>
      <c r="L13149">
        <f>IF(AND($J13149=0,$K13149=0),0,1)</f>
        <v>1</v>
      </c>
    </row>
    <row r="13150" spans="1:12" x14ac:dyDescent="0.2">
      <c r="A13150" t="s">
        <v>587</v>
      </c>
      <c r="B13150" t="s">
        <v>17</v>
      </c>
      <c r="C13150" t="s">
        <v>11</v>
      </c>
      <c r="D13150">
        <v>9001</v>
      </c>
      <c r="E13150">
        <v>2020</v>
      </c>
      <c r="F13150">
        <v>5</v>
      </c>
      <c r="G13150">
        <v>15358</v>
      </c>
      <c r="H13150" s="1" t="s">
        <v>1835</v>
      </c>
      <c r="I13150">
        <v>0</v>
      </c>
      <c r="J13150">
        <f>IF($H13150=0,1,IF($I13150&lt;=1,2,0))</f>
        <v>2</v>
      </c>
      <c r="K13150">
        <v>5</v>
      </c>
      <c r="L13150">
        <f>IF(AND($J13150=0,$K13150=0),0,1)</f>
        <v>1</v>
      </c>
    </row>
    <row r="13151" spans="1:12" x14ac:dyDescent="0.2">
      <c r="A13151" t="s">
        <v>587</v>
      </c>
      <c r="B13151" t="s">
        <v>17</v>
      </c>
      <c r="C13151" t="s">
        <v>11</v>
      </c>
      <c r="D13151">
        <v>9001</v>
      </c>
      <c r="E13151">
        <v>2020</v>
      </c>
      <c r="F13151">
        <v>6</v>
      </c>
      <c r="G13151">
        <v>15359</v>
      </c>
      <c r="H13151" s="1" t="s">
        <v>1835</v>
      </c>
      <c r="I13151">
        <v>0</v>
      </c>
      <c r="J13151">
        <f>IF($H13151=0,1,IF($I13151&lt;=1,2,0))</f>
        <v>2</v>
      </c>
      <c r="K13151">
        <v>5</v>
      </c>
      <c r="L13151">
        <f>IF(AND($J13151=0,$K13151=0),0,1)</f>
        <v>1</v>
      </c>
    </row>
    <row r="13152" spans="1:12" x14ac:dyDescent="0.2">
      <c r="A13152" t="s">
        <v>587</v>
      </c>
      <c r="B13152" t="s">
        <v>17</v>
      </c>
      <c r="C13152" t="s">
        <v>11</v>
      </c>
      <c r="D13152">
        <v>9001</v>
      </c>
      <c r="E13152">
        <v>2020</v>
      </c>
      <c r="F13152">
        <v>7</v>
      </c>
      <c r="G13152">
        <v>15360</v>
      </c>
      <c r="H13152" s="1" t="s">
        <v>1835</v>
      </c>
      <c r="I13152">
        <v>0</v>
      </c>
      <c r="J13152">
        <f>IF($H13152=0,1,IF($I13152&lt;=1,2,0))</f>
        <v>2</v>
      </c>
      <c r="K13152">
        <v>5</v>
      </c>
      <c r="L13152">
        <f>IF(AND($J13152=0,$K13152=0),0,1)</f>
        <v>1</v>
      </c>
    </row>
    <row r="13153" spans="1:12" x14ac:dyDescent="0.2">
      <c r="A13153" t="s">
        <v>587</v>
      </c>
      <c r="B13153" t="s">
        <v>17</v>
      </c>
      <c r="C13153" t="s">
        <v>11</v>
      </c>
      <c r="D13153">
        <v>9001</v>
      </c>
      <c r="E13153">
        <v>2020</v>
      </c>
      <c r="F13153">
        <v>8</v>
      </c>
      <c r="G13153">
        <v>15361</v>
      </c>
      <c r="H13153" s="1" t="s">
        <v>1835</v>
      </c>
      <c r="I13153">
        <v>0</v>
      </c>
      <c r="J13153">
        <f>IF($H13153=0,1,IF($I13153&lt;=1,2,0))</f>
        <v>2</v>
      </c>
      <c r="K13153">
        <v>5</v>
      </c>
      <c r="L13153">
        <f>IF(AND($J13153=0,$K13153=0),0,1)</f>
        <v>1</v>
      </c>
    </row>
    <row r="13154" spans="1:12" x14ac:dyDescent="0.2">
      <c r="A13154" t="s">
        <v>587</v>
      </c>
      <c r="B13154" t="s">
        <v>17</v>
      </c>
      <c r="C13154" t="s">
        <v>11</v>
      </c>
      <c r="D13154">
        <v>9001</v>
      </c>
      <c r="E13154">
        <v>2020</v>
      </c>
      <c r="F13154">
        <v>11</v>
      </c>
      <c r="G13154">
        <v>15364</v>
      </c>
      <c r="H13154" s="1" t="s">
        <v>1835</v>
      </c>
      <c r="I13154">
        <v>0</v>
      </c>
      <c r="J13154">
        <f>IF($H13154=0,1,IF($I13154&lt;=1,2,0))</f>
        <v>2</v>
      </c>
      <c r="K13154">
        <v>5</v>
      </c>
      <c r="L13154">
        <f>IF(AND($J13154=0,$K13154=0),0,1)</f>
        <v>1</v>
      </c>
    </row>
    <row r="13155" spans="1:12" x14ac:dyDescent="0.2">
      <c r="A13155" t="s">
        <v>587</v>
      </c>
      <c r="B13155" t="s">
        <v>17</v>
      </c>
      <c r="C13155" t="s">
        <v>11</v>
      </c>
      <c r="D13155">
        <v>9001</v>
      </c>
      <c r="E13155">
        <v>2020</v>
      </c>
      <c r="F13155">
        <v>14</v>
      </c>
      <c r="G13155">
        <v>15371</v>
      </c>
      <c r="H13155" s="1" t="s">
        <v>1835</v>
      </c>
      <c r="I13155">
        <v>0</v>
      </c>
      <c r="J13155">
        <f>IF($H13155=0,1,IF($I13155&lt;=1,2,0))</f>
        <v>2</v>
      </c>
      <c r="K13155">
        <v>5</v>
      </c>
      <c r="L13155">
        <f>IF(AND($J13155=0,$K13155=0),0,1)</f>
        <v>1</v>
      </c>
    </row>
    <row r="13156" spans="1:12" x14ac:dyDescent="0.2">
      <c r="A13156" t="s">
        <v>587</v>
      </c>
      <c r="B13156" t="s">
        <v>17</v>
      </c>
      <c r="C13156" t="s">
        <v>11</v>
      </c>
      <c r="D13156">
        <v>9001</v>
      </c>
      <c r="E13156">
        <v>2020</v>
      </c>
      <c r="F13156">
        <v>18</v>
      </c>
      <c r="G13156">
        <v>15370</v>
      </c>
      <c r="H13156" s="1" t="s">
        <v>1835</v>
      </c>
      <c r="I13156">
        <v>0</v>
      </c>
      <c r="J13156">
        <f>IF($H13156=0,1,IF($I13156&lt;=1,2,0))</f>
        <v>2</v>
      </c>
      <c r="K13156">
        <v>5</v>
      </c>
      <c r="L13156">
        <f>IF(AND($J13156=0,$K13156=0),0,1)</f>
        <v>1</v>
      </c>
    </row>
    <row r="13157" spans="1:12" x14ac:dyDescent="0.2">
      <c r="A13157" t="s">
        <v>587</v>
      </c>
      <c r="B13157" t="s">
        <v>17</v>
      </c>
      <c r="C13157" t="s">
        <v>11</v>
      </c>
      <c r="D13157">
        <v>9001</v>
      </c>
      <c r="E13157">
        <v>2020</v>
      </c>
      <c r="F13157">
        <v>19</v>
      </c>
      <c r="G13157">
        <v>15372</v>
      </c>
      <c r="H13157" s="1" t="s">
        <v>1835</v>
      </c>
      <c r="I13157">
        <v>0</v>
      </c>
      <c r="J13157">
        <f>IF($H13157=0,1,IF($I13157&lt;=1,2,0))</f>
        <v>2</v>
      </c>
      <c r="K13157">
        <v>5</v>
      </c>
      <c r="L13157">
        <f>IF(AND($J13157=0,$K13157=0),0,1)</f>
        <v>1</v>
      </c>
    </row>
    <row r="13158" spans="1:12" x14ac:dyDescent="0.2">
      <c r="A13158" t="s">
        <v>587</v>
      </c>
      <c r="B13158" t="s">
        <v>17</v>
      </c>
      <c r="C13158" t="s">
        <v>11</v>
      </c>
      <c r="D13158">
        <v>9001</v>
      </c>
      <c r="E13158">
        <v>2020</v>
      </c>
      <c r="F13158">
        <v>21</v>
      </c>
      <c r="G13158">
        <v>15374</v>
      </c>
      <c r="H13158" s="1" t="s">
        <v>1835</v>
      </c>
      <c r="I13158">
        <v>0</v>
      </c>
      <c r="J13158">
        <f>IF($H13158=0,1,IF($I13158&lt;=1,2,0))</f>
        <v>2</v>
      </c>
      <c r="K13158">
        <v>5</v>
      </c>
      <c r="L13158">
        <f>IF(AND($J13158=0,$K13158=0),0,1)</f>
        <v>1</v>
      </c>
    </row>
    <row r="13159" spans="1:12" x14ac:dyDescent="0.2">
      <c r="A13159" t="s">
        <v>587</v>
      </c>
      <c r="B13159" t="s">
        <v>17</v>
      </c>
      <c r="C13159" t="s">
        <v>11</v>
      </c>
      <c r="D13159">
        <v>9001</v>
      </c>
      <c r="E13159">
        <v>2020</v>
      </c>
      <c r="F13159">
        <v>23</v>
      </c>
      <c r="G13159">
        <v>15376</v>
      </c>
      <c r="H13159" s="1" t="s">
        <v>1835</v>
      </c>
      <c r="I13159">
        <v>0</v>
      </c>
      <c r="J13159">
        <f>IF($H13159=0,1,IF($I13159&lt;=1,2,0))</f>
        <v>2</v>
      </c>
      <c r="K13159">
        <v>5</v>
      </c>
      <c r="L13159">
        <f>IF(AND($J13159=0,$K13159=0),0,1)</f>
        <v>1</v>
      </c>
    </row>
    <row r="13160" spans="1:12" x14ac:dyDescent="0.2">
      <c r="A13160" t="s">
        <v>587</v>
      </c>
      <c r="B13160" t="s">
        <v>17</v>
      </c>
      <c r="C13160" t="s">
        <v>11</v>
      </c>
      <c r="D13160">
        <v>9001</v>
      </c>
      <c r="E13160">
        <v>2020</v>
      </c>
      <c r="F13160">
        <v>24</v>
      </c>
      <c r="G13160">
        <v>15377</v>
      </c>
      <c r="H13160" s="1" t="s">
        <v>1835</v>
      </c>
      <c r="I13160">
        <v>0</v>
      </c>
      <c r="J13160">
        <f>IF($H13160=0,1,IF($I13160&lt;=1,2,0))</f>
        <v>2</v>
      </c>
      <c r="K13160">
        <v>5</v>
      </c>
      <c r="L13160">
        <f>IF(AND($J13160=0,$K13160=0),0,1)</f>
        <v>1</v>
      </c>
    </row>
    <row r="13161" spans="1:12" x14ac:dyDescent="0.2">
      <c r="A13161" t="s">
        <v>587</v>
      </c>
      <c r="B13161" t="s">
        <v>17</v>
      </c>
      <c r="C13161" t="s">
        <v>11</v>
      </c>
      <c r="D13161">
        <v>9003</v>
      </c>
      <c r="E13161">
        <v>2020</v>
      </c>
      <c r="F13161">
        <v>20</v>
      </c>
      <c r="G13161">
        <v>15399</v>
      </c>
      <c r="H13161" s="1" t="s">
        <v>1835</v>
      </c>
      <c r="I13161">
        <v>4</v>
      </c>
      <c r="J13161">
        <f>IF($H13161=0,1,IF($I13161&lt;=1,2,0))</f>
        <v>0</v>
      </c>
      <c r="K13161">
        <v>5</v>
      </c>
      <c r="L13161">
        <f>IF(AND($J13161=0,$K13161=0),0,1)</f>
        <v>1</v>
      </c>
    </row>
    <row r="13162" spans="1:12" x14ac:dyDescent="0.2">
      <c r="A13162" t="s">
        <v>587</v>
      </c>
      <c r="B13162" t="s">
        <v>17</v>
      </c>
      <c r="C13162" t="s">
        <v>11</v>
      </c>
      <c r="D13162">
        <v>9003</v>
      </c>
      <c r="E13162">
        <v>2020</v>
      </c>
      <c r="F13162">
        <v>2</v>
      </c>
      <c r="G13162">
        <v>15380</v>
      </c>
      <c r="H13162" s="1" t="s">
        <v>1835</v>
      </c>
      <c r="I13162">
        <v>1</v>
      </c>
      <c r="J13162">
        <f>IF($H13162=0,1,IF($I13162&lt;=1,2,0))</f>
        <v>2</v>
      </c>
      <c r="K13162">
        <v>5</v>
      </c>
      <c r="L13162">
        <f>IF(AND($J13162=0,$K13162=0),0,1)</f>
        <v>1</v>
      </c>
    </row>
    <row r="13163" spans="1:12" x14ac:dyDescent="0.2">
      <c r="A13163" t="s">
        <v>587</v>
      </c>
      <c r="B13163" t="s">
        <v>17</v>
      </c>
      <c r="C13163" t="s">
        <v>11</v>
      </c>
      <c r="D13163">
        <v>9003</v>
      </c>
      <c r="E13163">
        <v>2020</v>
      </c>
      <c r="F13163">
        <v>1</v>
      </c>
      <c r="G13163">
        <v>15379</v>
      </c>
      <c r="H13163" s="1" t="s">
        <v>1835</v>
      </c>
      <c r="I13163">
        <v>0</v>
      </c>
      <c r="J13163">
        <f>IF($H13163=0,1,IF($I13163&lt;=1,2,0))</f>
        <v>2</v>
      </c>
      <c r="K13163">
        <v>5</v>
      </c>
      <c r="L13163">
        <f>IF(AND($J13163=0,$K13163=0),0,1)</f>
        <v>1</v>
      </c>
    </row>
    <row r="13164" spans="1:12" x14ac:dyDescent="0.2">
      <c r="A13164" t="s">
        <v>587</v>
      </c>
      <c r="B13164" t="s">
        <v>17</v>
      </c>
      <c r="C13164" t="s">
        <v>11</v>
      </c>
      <c r="D13164">
        <v>9003</v>
      </c>
      <c r="E13164">
        <v>2020</v>
      </c>
      <c r="F13164">
        <v>3</v>
      </c>
      <c r="G13164">
        <v>15381</v>
      </c>
      <c r="H13164" s="1" t="s">
        <v>1835</v>
      </c>
      <c r="I13164">
        <v>0</v>
      </c>
      <c r="J13164">
        <f>IF($H13164=0,1,IF($I13164&lt;=1,2,0))</f>
        <v>2</v>
      </c>
      <c r="K13164">
        <v>5</v>
      </c>
      <c r="L13164">
        <f>IF(AND($J13164=0,$K13164=0),0,1)</f>
        <v>1</v>
      </c>
    </row>
    <row r="13165" spans="1:12" x14ac:dyDescent="0.2">
      <c r="A13165" t="s">
        <v>587</v>
      </c>
      <c r="B13165" t="s">
        <v>17</v>
      </c>
      <c r="C13165" t="s">
        <v>11</v>
      </c>
      <c r="D13165">
        <v>9003</v>
      </c>
      <c r="E13165">
        <v>2020</v>
      </c>
      <c r="F13165">
        <v>4</v>
      </c>
      <c r="G13165">
        <v>15382</v>
      </c>
      <c r="H13165" s="1" t="s">
        <v>1835</v>
      </c>
      <c r="I13165">
        <v>0</v>
      </c>
      <c r="J13165">
        <f>IF($H13165=0,1,IF($I13165&lt;=1,2,0))</f>
        <v>2</v>
      </c>
      <c r="K13165">
        <v>5</v>
      </c>
      <c r="L13165">
        <f>IF(AND($J13165=0,$K13165=0),0,1)</f>
        <v>1</v>
      </c>
    </row>
    <row r="13166" spans="1:12" x14ac:dyDescent="0.2">
      <c r="A13166" t="s">
        <v>587</v>
      </c>
      <c r="B13166" t="s">
        <v>17</v>
      </c>
      <c r="C13166" t="s">
        <v>11</v>
      </c>
      <c r="D13166">
        <v>9003</v>
      </c>
      <c r="E13166">
        <v>2020</v>
      </c>
      <c r="F13166">
        <v>5</v>
      </c>
      <c r="G13166">
        <v>15383</v>
      </c>
      <c r="H13166" s="1" t="s">
        <v>1835</v>
      </c>
      <c r="I13166">
        <v>0</v>
      </c>
      <c r="J13166">
        <f>IF($H13166=0,1,IF($I13166&lt;=1,2,0))</f>
        <v>2</v>
      </c>
      <c r="K13166">
        <v>5</v>
      </c>
      <c r="L13166">
        <f>IF(AND($J13166=0,$K13166=0),0,1)</f>
        <v>1</v>
      </c>
    </row>
    <row r="13167" spans="1:12" x14ac:dyDescent="0.2">
      <c r="A13167" t="s">
        <v>587</v>
      </c>
      <c r="B13167" t="s">
        <v>17</v>
      </c>
      <c r="C13167" t="s">
        <v>11</v>
      </c>
      <c r="D13167">
        <v>9003</v>
      </c>
      <c r="E13167">
        <v>2020</v>
      </c>
      <c r="F13167">
        <v>6</v>
      </c>
      <c r="G13167">
        <v>15385</v>
      </c>
      <c r="H13167" s="1" t="s">
        <v>1835</v>
      </c>
      <c r="I13167">
        <v>0</v>
      </c>
      <c r="J13167">
        <f>IF($H13167=0,1,IF($I13167&lt;=1,2,0))</f>
        <v>2</v>
      </c>
      <c r="K13167">
        <v>5</v>
      </c>
      <c r="L13167">
        <f>IF(AND($J13167=0,$K13167=0),0,1)</f>
        <v>1</v>
      </c>
    </row>
    <row r="13168" spans="1:12" x14ac:dyDescent="0.2">
      <c r="A13168" t="s">
        <v>587</v>
      </c>
      <c r="B13168" t="s">
        <v>17</v>
      </c>
      <c r="C13168" t="s">
        <v>11</v>
      </c>
      <c r="D13168">
        <v>9003</v>
      </c>
      <c r="E13168">
        <v>2020</v>
      </c>
      <c r="F13168">
        <v>7</v>
      </c>
      <c r="G13168">
        <v>15386</v>
      </c>
      <c r="H13168" s="1" t="s">
        <v>1835</v>
      </c>
      <c r="I13168">
        <v>0</v>
      </c>
      <c r="J13168">
        <f>IF($H13168=0,1,IF($I13168&lt;=1,2,0))</f>
        <v>2</v>
      </c>
      <c r="K13168">
        <v>5</v>
      </c>
      <c r="L13168">
        <f>IF(AND($J13168=0,$K13168=0),0,1)</f>
        <v>1</v>
      </c>
    </row>
    <row r="13169" spans="1:13" x14ac:dyDescent="0.2">
      <c r="A13169" t="s">
        <v>587</v>
      </c>
      <c r="B13169" t="s">
        <v>17</v>
      </c>
      <c r="C13169" t="s">
        <v>11</v>
      </c>
      <c r="D13169">
        <v>9003</v>
      </c>
      <c r="E13169">
        <v>2020</v>
      </c>
      <c r="F13169">
        <v>8</v>
      </c>
      <c r="G13169">
        <v>15387</v>
      </c>
      <c r="H13169" s="1" t="s">
        <v>1835</v>
      </c>
      <c r="I13169">
        <v>0</v>
      </c>
      <c r="J13169">
        <f>IF($H13169=0,1,IF($I13169&lt;=1,2,0))</f>
        <v>2</v>
      </c>
      <c r="K13169">
        <v>5</v>
      </c>
      <c r="L13169">
        <f>IF(AND($J13169=0,$K13169=0),0,1)</f>
        <v>1</v>
      </c>
    </row>
    <row r="13170" spans="1:13" x14ac:dyDescent="0.2">
      <c r="A13170" t="s">
        <v>587</v>
      </c>
      <c r="B13170" t="s">
        <v>17</v>
      </c>
      <c r="C13170" t="s">
        <v>11</v>
      </c>
      <c r="D13170">
        <v>9003</v>
      </c>
      <c r="E13170">
        <v>2020</v>
      </c>
      <c r="F13170">
        <v>10</v>
      </c>
      <c r="G13170">
        <v>15389</v>
      </c>
      <c r="H13170" s="1" t="s">
        <v>1835</v>
      </c>
      <c r="I13170">
        <v>0</v>
      </c>
      <c r="J13170">
        <f>IF($H13170=0,1,IF($I13170&lt;=1,2,0))</f>
        <v>2</v>
      </c>
      <c r="K13170">
        <v>5</v>
      </c>
      <c r="L13170">
        <f>IF(AND($J13170=0,$K13170=0),0,1)</f>
        <v>1</v>
      </c>
    </row>
    <row r="13171" spans="1:13" x14ac:dyDescent="0.2">
      <c r="A13171" t="s">
        <v>587</v>
      </c>
      <c r="B13171" t="s">
        <v>17</v>
      </c>
      <c r="C13171" t="s">
        <v>11</v>
      </c>
      <c r="D13171">
        <v>9003</v>
      </c>
      <c r="E13171">
        <v>2020</v>
      </c>
      <c r="F13171">
        <v>11</v>
      </c>
      <c r="G13171">
        <v>15390</v>
      </c>
      <c r="H13171" s="1" t="s">
        <v>1835</v>
      </c>
      <c r="I13171">
        <v>0</v>
      </c>
      <c r="J13171">
        <f>IF($H13171=0,1,IF($I13171&lt;=1,2,0))</f>
        <v>2</v>
      </c>
      <c r="K13171">
        <v>5</v>
      </c>
      <c r="L13171">
        <f>IF(AND($J13171=0,$K13171=0),0,1)</f>
        <v>1</v>
      </c>
    </row>
    <row r="13172" spans="1:13" x14ac:dyDescent="0.2">
      <c r="A13172" t="s">
        <v>587</v>
      </c>
      <c r="B13172" t="s">
        <v>17</v>
      </c>
      <c r="C13172" t="s">
        <v>11</v>
      </c>
      <c r="D13172">
        <v>9003</v>
      </c>
      <c r="E13172">
        <v>2020</v>
      </c>
      <c r="F13172">
        <v>14</v>
      </c>
      <c r="G13172">
        <v>15393</v>
      </c>
      <c r="H13172" s="1" t="s">
        <v>1835</v>
      </c>
      <c r="I13172">
        <v>0</v>
      </c>
      <c r="J13172">
        <f>IF($H13172=0,1,IF($I13172&lt;=1,2,0))</f>
        <v>2</v>
      </c>
      <c r="K13172">
        <v>5</v>
      </c>
      <c r="L13172">
        <f>IF(AND($J13172=0,$K13172=0),0,1)</f>
        <v>1</v>
      </c>
    </row>
    <row r="13173" spans="1:13" x14ac:dyDescent="0.2">
      <c r="A13173" t="s">
        <v>587</v>
      </c>
      <c r="B13173" t="s">
        <v>17</v>
      </c>
      <c r="C13173" t="s">
        <v>11</v>
      </c>
      <c r="D13173">
        <v>9003</v>
      </c>
      <c r="E13173">
        <v>2020</v>
      </c>
      <c r="F13173">
        <v>15</v>
      </c>
      <c r="G13173">
        <v>15394</v>
      </c>
      <c r="H13173" s="1" t="s">
        <v>1835</v>
      </c>
      <c r="I13173">
        <v>0</v>
      </c>
      <c r="J13173">
        <f>IF($H13173=0,1,IF($I13173&lt;=1,2,0))</f>
        <v>2</v>
      </c>
      <c r="K13173">
        <v>5</v>
      </c>
      <c r="L13173">
        <f>IF(AND($J13173=0,$K13173=0),0,1)</f>
        <v>1</v>
      </c>
    </row>
    <row r="13174" spans="1:13" x14ac:dyDescent="0.2">
      <c r="A13174" t="s">
        <v>587</v>
      </c>
      <c r="B13174" t="s">
        <v>17</v>
      </c>
      <c r="C13174" t="s">
        <v>11</v>
      </c>
      <c r="D13174">
        <v>9003</v>
      </c>
      <c r="E13174">
        <v>2020</v>
      </c>
      <c r="F13174">
        <v>18</v>
      </c>
      <c r="G13174">
        <v>15397</v>
      </c>
      <c r="H13174" s="1" t="s">
        <v>1835</v>
      </c>
      <c r="I13174">
        <v>0</v>
      </c>
      <c r="J13174">
        <f>IF($H13174=0,1,IF($I13174&lt;=1,2,0))</f>
        <v>2</v>
      </c>
      <c r="K13174">
        <v>5</v>
      </c>
      <c r="L13174">
        <f>IF(AND($J13174=0,$K13174=0),0,1)</f>
        <v>1</v>
      </c>
    </row>
    <row r="13175" spans="1:13" x14ac:dyDescent="0.2">
      <c r="A13175" t="s">
        <v>587</v>
      </c>
      <c r="B13175" t="s">
        <v>17</v>
      </c>
      <c r="C13175" t="s">
        <v>11</v>
      </c>
      <c r="D13175">
        <v>9003</v>
      </c>
      <c r="E13175">
        <v>2020</v>
      </c>
      <c r="F13175">
        <v>19</v>
      </c>
      <c r="G13175">
        <v>15398</v>
      </c>
      <c r="H13175" s="1" t="s">
        <v>1835</v>
      </c>
      <c r="I13175">
        <v>0</v>
      </c>
      <c r="J13175">
        <f>IF($H13175=0,1,IF($I13175&lt;=1,2,0))</f>
        <v>2</v>
      </c>
      <c r="K13175">
        <v>5</v>
      </c>
      <c r="L13175">
        <f>IF(AND($J13175=0,$K13175=0),0,1)</f>
        <v>1</v>
      </c>
    </row>
    <row r="13176" spans="1:13" x14ac:dyDescent="0.2">
      <c r="A13176" t="s">
        <v>587</v>
      </c>
      <c r="B13176" t="s">
        <v>17</v>
      </c>
      <c r="C13176" t="s">
        <v>11</v>
      </c>
      <c r="D13176">
        <v>9003</v>
      </c>
      <c r="E13176">
        <v>2020</v>
      </c>
      <c r="F13176">
        <v>21</v>
      </c>
      <c r="G13176">
        <v>15400</v>
      </c>
      <c r="H13176" s="1" t="s">
        <v>1835</v>
      </c>
      <c r="I13176">
        <v>0</v>
      </c>
      <c r="J13176">
        <f>IF($H13176=0,1,IF($I13176&lt;=1,2,0))</f>
        <v>2</v>
      </c>
      <c r="K13176">
        <v>5</v>
      </c>
      <c r="L13176">
        <f>IF(AND($J13176=0,$K13176=0),0,1)</f>
        <v>1</v>
      </c>
    </row>
    <row r="13177" spans="1:13" x14ac:dyDescent="0.2">
      <c r="A13177" t="s">
        <v>587</v>
      </c>
      <c r="B13177" t="s">
        <v>17</v>
      </c>
      <c r="C13177" t="s">
        <v>11</v>
      </c>
      <c r="D13177">
        <v>9003</v>
      </c>
      <c r="E13177">
        <v>2020</v>
      </c>
      <c r="F13177">
        <v>22</v>
      </c>
      <c r="G13177">
        <v>15401</v>
      </c>
      <c r="H13177" s="1" t="s">
        <v>1835</v>
      </c>
      <c r="I13177">
        <v>0</v>
      </c>
      <c r="J13177">
        <f>IF($H13177=0,1,IF($I13177&lt;=1,2,0))</f>
        <v>2</v>
      </c>
      <c r="K13177">
        <v>5</v>
      </c>
      <c r="L13177">
        <f>IF(AND($J13177=0,$K13177=0),0,1)</f>
        <v>1</v>
      </c>
    </row>
    <row r="13178" spans="1:13" x14ac:dyDescent="0.2">
      <c r="A13178" t="s">
        <v>587</v>
      </c>
      <c r="B13178" t="s">
        <v>17</v>
      </c>
      <c r="C13178" t="s">
        <v>11</v>
      </c>
      <c r="D13178">
        <v>9003</v>
      </c>
      <c r="E13178">
        <v>2020</v>
      </c>
      <c r="F13178">
        <v>23</v>
      </c>
      <c r="G13178">
        <v>15402</v>
      </c>
      <c r="H13178" s="1" t="s">
        <v>1835</v>
      </c>
      <c r="I13178">
        <v>0</v>
      </c>
      <c r="J13178">
        <f>IF($H13178=0,1,IF($I13178&lt;=1,2,0))</f>
        <v>2</v>
      </c>
      <c r="K13178">
        <v>5</v>
      </c>
      <c r="L13178">
        <f>IF(AND($J13178=0,$K13178=0),0,1)</f>
        <v>1</v>
      </c>
    </row>
    <row r="13179" spans="1:13" x14ac:dyDescent="0.2">
      <c r="A13179" t="s">
        <v>587</v>
      </c>
      <c r="B13179" t="s">
        <v>17</v>
      </c>
      <c r="C13179" t="s">
        <v>11</v>
      </c>
      <c r="D13179">
        <v>9003</v>
      </c>
      <c r="E13179">
        <v>2020</v>
      </c>
      <c r="F13179">
        <v>24</v>
      </c>
      <c r="G13179">
        <v>15403</v>
      </c>
      <c r="H13179" s="1" t="s">
        <v>1835</v>
      </c>
      <c r="I13179">
        <v>0</v>
      </c>
      <c r="J13179">
        <f>IF($H13179=0,1,IF($I13179&lt;=1,2,0))</f>
        <v>2</v>
      </c>
      <c r="K13179">
        <v>5</v>
      </c>
      <c r="L13179">
        <f>IF(AND($J13179=0,$K13179=0),0,1)</f>
        <v>1</v>
      </c>
    </row>
    <row r="13180" spans="1:13" x14ac:dyDescent="0.2">
      <c r="A13180" t="s">
        <v>587</v>
      </c>
      <c r="B13180" t="s">
        <v>17</v>
      </c>
      <c r="C13180" t="s">
        <v>11</v>
      </c>
      <c r="D13180">
        <v>9003</v>
      </c>
      <c r="E13180">
        <v>2020</v>
      </c>
      <c r="F13180">
        <v>25</v>
      </c>
      <c r="G13180">
        <v>15404</v>
      </c>
      <c r="H13180" s="1" t="s">
        <v>1835</v>
      </c>
      <c r="I13180">
        <v>0</v>
      </c>
      <c r="J13180">
        <f>IF($H13180=0,1,IF($I13180&lt;=1,2,0))</f>
        <v>2</v>
      </c>
      <c r="K13180">
        <v>5</v>
      </c>
      <c r="L13180">
        <f>IF(AND($J13180=0,$K13180=0),0,1)</f>
        <v>1</v>
      </c>
    </row>
    <row r="13181" spans="1:13" x14ac:dyDescent="0.2">
      <c r="A13181" t="s">
        <v>587</v>
      </c>
      <c r="B13181" t="s">
        <v>17</v>
      </c>
      <c r="C13181" t="s">
        <v>11</v>
      </c>
      <c r="D13181">
        <v>9110</v>
      </c>
      <c r="E13181">
        <v>2020</v>
      </c>
      <c r="F13181">
        <v>1</v>
      </c>
      <c r="G13181">
        <v>10382</v>
      </c>
      <c r="H13181" s="1">
        <v>3</v>
      </c>
      <c r="I13181">
        <v>23</v>
      </c>
      <c r="J13181">
        <f>IF($H13181=0,1,IF($I13181&lt;=1,2,0))</f>
        <v>0</v>
      </c>
      <c r="K13181">
        <v>5</v>
      </c>
      <c r="L13181">
        <f>IF(AND($J13181=0,$K13181=0),0,1)</f>
        <v>1</v>
      </c>
      <c r="M13181" t="s">
        <v>1173</v>
      </c>
    </row>
    <row r="13182" spans="1:13" x14ac:dyDescent="0.2">
      <c r="A13182" t="s">
        <v>587</v>
      </c>
      <c r="B13182" t="s">
        <v>17</v>
      </c>
      <c r="C13182" t="s">
        <v>11</v>
      </c>
      <c r="D13182">
        <v>9515</v>
      </c>
      <c r="E13182">
        <v>2020</v>
      </c>
      <c r="F13182">
        <v>1</v>
      </c>
      <c r="G13182">
        <v>10486</v>
      </c>
      <c r="H13182" s="1">
        <v>3</v>
      </c>
      <c r="I13182">
        <v>14</v>
      </c>
      <c r="J13182">
        <f>IF($H13182=0,1,IF($I13182&lt;=1,2,0))</f>
        <v>0</v>
      </c>
      <c r="K13182">
        <v>5</v>
      </c>
      <c r="L13182">
        <f>IF(AND($J13182=0,$K13182=0),0,1)</f>
        <v>1</v>
      </c>
      <c r="M13182" t="s">
        <v>1174</v>
      </c>
    </row>
    <row r="13183" spans="1:13" x14ac:dyDescent="0.2">
      <c r="A13183" t="s">
        <v>587</v>
      </c>
      <c r="B13183" t="s">
        <v>17</v>
      </c>
      <c r="C13183" t="s">
        <v>11</v>
      </c>
      <c r="D13183">
        <v>9576</v>
      </c>
      <c r="E13183">
        <v>2020</v>
      </c>
      <c r="F13183">
        <v>1</v>
      </c>
      <c r="G13183">
        <v>10488</v>
      </c>
      <c r="H13183" s="1" t="s">
        <v>1835</v>
      </c>
      <c r="I13183">
        <v>8</v>
      </c>
      <c r="J13183">
        <f>IF($H13183=0,1,IF($I13183&lt;=1,2,0))</f>
        <v>0</v>
      </c>
      <c r="K13183">
        <v>5</v>
      </c>
      <c r="L13183">
        <f>IF(AND($J13183=0,$K13183=0),0,1)</f>
        <v>1</v>
      </c>
    </row>
    <row r="13184" spans="1:13" x14ac:dyDescent="0.2">
      <c r="A13184" t="s">
        <v>587</v>
      </c>
      <c r="B13184" t="s">
        <v>17</v>
      </c>
      <c r="C13184" t="s">
        <v>11</v>
      </c>
      <c r="D13184">
        <v>9577</v>
      </c>
      <c r="E13184">
        <v>2020</v>
      </c>
      <c r="F13184">
        <v>1</v>
      </c>
      <c r="G13184">
        <v>10487</v>
      </c>
      <c r="H13184" s="1">
        <v>3</v>
      </c>
      <c r="I13184">
        <v>4</v>
      </c>
      <c r="J13184">
        <f>IF($H13184=0,1,IF($I13184&lt;=1,2,0))</f>
        <v>0</v>
      </c>
      <c r="K13184">
        <v>5</v>
      </c>
      <c r="L13184">
        <f>IF(AND($J13184=0,$K13184=0),0,1)</f>
        <v>1</v>
      </c>
    </row>
    <row r="13185" spans="1:13" x14ac:dyDescent="0.2">
      <c r="A13185" t="s">
        <v>587</v>
      </c>
      <c r="B13185" t="s">
        <v>17</v>
      </c>
      <c r="C13185" t="s">
        <v>11</v>
      </c>
      <c r="D13185">
        <v>9658</v>
      </c>
      <c r="E13185">
        <v>2020</v>
      </c>
      <c r="F13185">
        <v>1</v>
      </c>
      <c r="G13185">
        <v>22376</v>
      </c>
      <c r="H13185" s="1">
        <v>3</v>
      </c>
      <c r="I13185">
        <v>9</v>
      </c>
      <c r="J13185">
        <f>IF($H13185=0,1,IF($I13185&lt;=1,2,0))</f>
        <v>0</v>
      </c>
      <c r="K13185">
        <v>5</v>
      </c>
      <c r="L13185">
        <f>IF(AND($J13185=0,$K13185=0),0,1)</f>
        <v>1</v>
      </c>
      <c r="M13185" t="s">
        <v>1175</v>
      </c>
    </row>
    <row r="13186" spans="1:13" x14ac:dyDescent="0.2">
      <c r="A13186" t="s">
        <v>587</v>
      </c>
      <c r="B13186" t="s">
        <v>17</v>
      </c>
      <c r="C13186" t="s">
        <v>11</v>
      </c>
      <c r="D13186">
        <v>9750</v>
      </c>
      <c r="E13186">
        <v>2020</v>
      </c>
      <c r="F13186">
        <v>1</v>
      </c>
      <c r="G13186">
        <v>13953</v>
      </c>
      <c r="H13186" s="1">
        <v>3</v>
      </c>
      <c r="I13186">
        <v>14</v>
      </c>
      <c r="J13186">
        <f>IF($H13186=0,1,IF($I13186&lt;=1,2,0))</f>
        <v>0</v>
      </c>
      <c r="K13186">
        <v>5</v>
      </c>
      <c r="L13186">
        <f>IF(AND($J13186=0,$K13186=0),0,1)</f>
        <v>1</v>
      </c>
      <c r="M13186" t="s">
        <v>1176</v>
      </c>
    </row>
    <row r="13187" spans="1:13" x14ac:dyDescent="0.2">
      <c r="A13187" t="s">
        <v>587</v>
      </c>
      <c r="B13187" t="s">
        <v>17</v>
      </c>
      <c r="C13187" t="s">
        <v>11</v>
      </c>
      <c r="D13187">
        <v>9990</v>
      </c>
      <c r="E13187">
        <v>2020</v>
      </c>
      <c r="F13187">
        <v>1</v>
      </c>
      <c r="G13187">
        <v>10379</v>
      </c>
      <c r="H13187" s="1">
        <v>3</v>
      </c>
      <c r="I13187">
        <v>7</v>
      </c>
      <c r="J13187">
        <f>IF($H13187=0,1,IF($I13187&lt;=1,2,0))</f>
        <v>0</v>
      </c>
      <c r="K13187">
        <v>5</v>
      </c>
      <c r="L13187">
        <f>IF(AND($J13187=0,$K13187=0),0,1)</f>
        <v>1</v>
      </c>
    </row>
    <row r="13188" spans="1:13" x14ac:dyDescent="0.2">
      <c r="A13188" t="s">
        <v>589</v>
      </c>
      <c r="B13188" t="s">
        <v>133</v>
      </c>
      <c r="C13188" t="s">
        <v>9</v>
      </c>
      <c r="D13188">
        <v>1203</v>
      </c>
      <c r="E13188">
        <v>2020</v>
      </c>
      <c r="F13188">
        <v>13</v>
      </c>
      <c r="G13188">
        <v>14230</v>
      </c>
      <c r="H13188" s="1">
        <v>0</v>
      </c>
      <c r="I13188">
        <v>24</v>
      </c>
      <c r="J13188">
        <f>IF($H13188=0,1,IF($I13188&lt;=1,2,0))</f>
        <v>1</v>
      </c>
      <c r="K13188">
        <v>0</v>
      </c>
      <c r="L13188">
        <f>IF(AND($J13188=0,$K13188=0),0,1)</f>
        <v>1</v>
      </c>
    </row>
    <row r="13189" spans="1:13" x14ac:dyDescent="0.2">
      <c r="A13189" t="s">
        <v>589</v>
      </c>
      <c r="B13189" t="s">
        <v>133</v>
      </c>
      <c r="C13189" t="s">
        <v>9</v>
      </c>
      <c r="D13189">
        <v>1203</v>
      </c>
      <c r="E13189">
        <v>2020</v>
      </c>
      <c r="F13189">
        <v>16</v>
      </c>
      <c r="G13189">
        <v>14233</v>
      </c>
      <c r="H13189" s="1">
        <v>0</v>
      </c>
      <c r="I13189">
        <v>24</v>
      </c>
      <c r="J13189">
        <f>IF($H13189=0,1,IF($I13189&lt;=1,2,0))</f>
        <v>1</v>
      </c>
      <c r="K13189">
        <v>0</v>
      </c>
      <c r="L13189">
        <f>IF(AND($J13189=0,$K13189=0),0,1)</f>
        <v>1</v>
      </c>
    </row>
    <row r="13190" spans="1:13" x14ac:dyDescent="0.2">
      <c r="A13190" t="s">
        <v>589</v>
      </c>
      <c r="B13190" t="s">
        <v>133</v>
      </c>
      <c r="C13190" t="s">
        <v>9</v>
      </c>
      <c r="D13190">
        <v>1203</v>
      </c>
      <c r="E13190">
        <v>2020</v>
      </c>
      <c r="F13190">
        <v>2</v>
      </c>
      <c r="G13190">
        <v>14219</v>
      </c>
      <c r="H13190" s="1">
        <v>0</v>
      </c>
      <c r="I13190">
        <v>20</v>
      </c>
      <c r="J13190">
        <f>IF($H13190=0,1,IF($I13190&lt;=1,2,0))</f>
        <v>1</v>
      </c>
      <c r="K13190">
        <v>0</v>
      </c>
      <c r="L13190">
        <f>IF(AND($J13190=0,$K13190=0),0,1)</f>
        <v>1</v>
      </c>
    </row>
    <row r="13191" spans="1:13" x14ac:dyDescent="0.2">
      <c r="A13191" t="s">
        <v>589</v>
      </c>
      <c r="B13191" t="s">
        <v>133</v>
      </c>
      <c r="C13191" t="s">
        <v>9</v>
      </c>
      <c r="D13191">
        <v>1203</v>
      </c>
      <c r="E13191">
        <v>2020</v>
      </c>
      <c r="F13191">
        <v>5</v>
      </c>
      <c r="G13191">
        <v>14222</v>
      </c>
      <c r="H13191" s="1">
        <v>0</v>
      </c>
      <c r="I13191">
        <v>20</v>
      </c>
      <c r="J13191">
        <f>IF($H13191=0,1,IF($I13191&lt;=1,2,0))</f>
        <v>1</v>
      </c>
      <c r="K13191">
        <v>0</v>
      </c>
      <c r="L13191">
        <f>IF(AND($J13191=0,$K13191=0),0,1)</f>
        <v>1</v>
      </c>
    </row>
    <row r="13192" spans="1:13" x14ac:dyDescent="0.2">
      <c r="A13192" t="s">
        <v>589</v>
      </c>
      <c r="B13192" t="s">
        <v>133</v>
      </c>
      <c r="C13192" t="s">
        <v>9</v>
      </c>
      <c r="D13192">
        <v>1203</v>
      </c>
      <c r="E13192">
        <v>2020</v>
      </c>
      <c r="F13192">
        <v>4</v>
      </c>
      <c r="G13192">
        <v>14221</v>
      </c>
      <c r="H13192" s="1">
        <v>0</v>
      </c>
      <c r="I13192">
        <v>19</v>
      </c>
      <c r="J13192">
        <f>IF($H13192=0,1,IF($I13192&lt;=1,2,0))</f>
        <v>1</v>
      </c>
      <c r="K13192">
        <v>0</v>
      </c>
      <c r="L13192">
        <f>IF(AND($J13192=0,$K13192=0),0,1)</f>
        <v>1</v>
      </c>
    </row>
    <row r="13193" spans="1:13" x14ac:dyDescent="0.2">
      <c r="A13193" t="s">
        <v>589</v>
      </c>
      <c r="B13193" t="s">
        <v>133</v>
      </c>
      <c r="C13193" t="s">
        <v>9</v>
      </c>
      <c r="D13193">
        <v>1203</v>
      </c>
      <c r="E13193">
        <v>2020</v>
      </c>
      <c r="F13193">
        <v>9</v>
      </c>
      <c r="G13193">
        <v>14226</v>
      </c>
      <c r="H13193" s="1">
        <v>0</v>
      </c>
      <c r="I13193">
        <v>19</v>
      </c>
      <c r="J13193">
        <f>IF($H13193=0,1,IF($I13193&lt;=1,2,0))</f>
        <v>1</v>
      </c>
      <c r="K13193">
        <v>0</v>
      </c>
      <c r="L13193">
        <f>IF(AND($J13193=0,$K13193=0),0,1)</f>
        <v>1</v>
      </c>
    </row>
    <row r="13194" spans="1:13" x14ac:dyDescent="0.2">
      <c r="A13194" t="s">
        <v>589</v>
      </c>
      <c r="B13194" t="s">
        <v>133</v>
      </c>
      <c r="C13194" t="s">
        <v>9</v>
      </c>
      <c r="D13194">
        <v>1203</v>
      </c>
      <c r="E13194">
        <v>2020</v>
      </c>
      <c r="F13194">
        <v>11</v>
      </c>
      <c r="G13194">
        <v>14228</v>
      </c>
      <c r="H13194" s="1">
        <v>0</v>
      </c>
      <c r="I13194">
        <v>19</v>
      </c>
      <c r="J13194">
        <f>IF($H13194=0,1,IF($I13194&lt;=1,2,0))</f>
        <v>1</v>
      </c>
      <c r="K13194">
        <v>0</v>
      </c>
      <c r="L13194">
        <f>IF(AND($J13194=0,$K13194=0),0,1)</f>
        <v>1</v>
      </c>
    </row>
    <row r="13195" spans="1:13" x14ac:dyDescent="0.2">
      <c r="A13195" t="s">
        <v>589</v>
      </c>
      <c r="B13195" t="s">
        <v>133</v>
      </c>
      <c r="C13195" t="s">
        <v>9</v>
      </c>
      <c r="D13195">
        <v>1203</v>
      </c>
      <c r="E13195">
        <v>2020</v>
      </c>
      <c r="F13195">
        <v>17</v>
      </c>
      <c r="G13195">
        <v>14234</v>
      </c>
      <c r="H13195" s="1">
        <v>0</v>
      </c>
      <c r="I13195">
        <v>19</v>
      </c>
      <c r="J13195">
        <f>IF($H13195=0,1,IF($I13195&lt;=1,2,0))</f>
        <v>1</v>
      </c>
      <c r="K13195">
        <v>0</v>
      </c>
      <c r="L13195">
        <f>IF(AND($J13195=0,$K13195=0),0,1)</f>
        <v>1</v>
      </c>
    </row>
    <row r="13196" spans="1:13" x14ac:dyDescent="0.2">
      <c r="A13196" t="s">
        <v>589</v>
      </c>
      <c r="B13196" t="s">
        <v>133</v>
      </c>
      <c r="C13196" t="s">
        <v>9</v>
      </c>
      <c r="D13196">
        <v>1203</v>
      </c>
      <c r="E13196">
        <v>2020</v>
      </c>
      <c r="F13196">
        <v>3</v>
      </c>
      <c r="G13196">
        <v>14220</v>
      </c>
      <c r="H13196" s="1">
        <v>0</v>
      </c>
      <c r="I13196">
        <v>17</v>
      </c>
      <c r="J13196">
        <f>IF($H13196=0,1,IF($I13196&lt;=1,2,0))</f>
        <v>1</v>
      </c>
      <c r="K13196">
        <v>0</v>
      </c>
      <c r="L13196">
        <f>IF(AND($J13196=0,$K13196=0),0,1)</f>
        <v>1</v>
      </c>
    </row>
    <row r="13197" spans="1:13" x14ac:dyDescent="0.2">
      <c r="A13197" t="s">
        <v>589</v>
      </c>
      <c r="B13197" t="s">
        <v>133</v>
      </c>
      <c r="C13197" t="s">
        <v>9</v>
      </c>
      <c r="D13197">
        <v>1203</v>
      </c>
      <c r="E13197">
        <v>2020</v>
      </c>
      <c r="F13197">
        <v>1</v>
      </c>
      <c r="G13197">
        <v>14218</v>
      </c>
      <c r="H13197" s="1">
        <v>0</v>
      </c>
      <c r="I13197">
        <v>16</v>
      </c>
      <c r="J13197">
        <f>IF($H13197=0,1,IF($I13197&lt;=1,2,0))</f>
        <v>1</v>
      </c>
      <c r="K13197">
        <v>0</v>
      </c>
      <c r="L13197">
        <f>IF(AND($J13197=0,$K13197=0),0,1)</f>
        <v>1</v>
      </c>
    </row>
    <row r="13198" spans="1:13" x14ac:dyDescent="0.2">
      <c r="A13198" t="s">
        <v>589</v>
      </c>
      <c r="B13198" t="s">
        <v>133</v>
      </c>
      <c r="C13198" t="s">
        <v>9</v>
      </c>
      <c r="D13198">
        <v>1203</v>
      </c>
      <c r="E13198">
        <v>2020</v>
      </c>
      <c r="F13198">
        <v>14</v>
      </c>
      <c r="G13198">
        <v>14231</v>
      </c>
      <c r="H13198" s="1">
        <v>0</v>
      </c>
      <c r="I13198">
        <v>16</v>
      </c>
      <c r="J13198">
        <f>IF($H13198=0,1,IF($I13198&lt;=1,2,0))</f>
        <v>1</v>
      </c>
      <c r="K13198">
        <v>0</v>
      </c>
      <c r="L13198">
        <f>IF(AND($J13198=0,$K13198=0),0,1)</f>
        <v>1</v>
      </c>
    </row>
    <row r="13199" spans="1:13" x14ac:dyDescent="0.2">
      <c r="A13199" t="s">
        <v>589</v>
      </c>
      <c r="B13199" t="s">
        <v>133</v>
      </c>
      <c r="C13199" t="s">
        <v>9</v>
      </c>
      <c r="D13199">
        <v>1203</v>
      </c>
      <c r="E13199">
        <v>2020</v>
      </c>
      <c r="F13199">
        <v>6</v>
      </c>
      <c r="G13199">
        <v>14223</v>
      </c>
      <c r="H13199" s="1">
        <v>0</v>
      </c>
      <c r="I13199">
        <v>15</v>
      </c>
      <c r="J13199">
        <f>IF($H13199=0,1,IF($I13199&lt;=1,2,0))</f>
        <v>1</v>
      </c>
      <c r="K13199">
        <v>0</v>
      </c>
      <c r="L13199">
        <f>IF(AND($J13199=0,$K13199=0),0,1)</f>
        <v>1</v>
      </c>
    </row>
    <row r="13200" spans="1:13" x14ac:dyDescent="0.2">
      <c r="A13200" t="s">
        <v>589</v>
      </c>
      <c r="B13200" t="s">
        <v>133</v>
      </c>
      <c r="C13200" t="s">
        <v>9</v>
      </c>
      <c r="D13200">
        <v>1203</v>
      </c>
      <c r="E13200">
        <v>2020</v>
      </c>
      <c r="F13200">
        <v>7</v>
      </c>
      <c r="G13200">
        <v>14224</v>
      </c>
      <c r="H13200" s="1">
        <v>0</v>
      </c>
      <c r="I13200">
        <v>15</v>
      </c>
      <c r="J13200">
        <f>IF($H13200=0,1,IF($I13200&lt;=1,2,0))</f>
        <v>1</v>
      </c>
      <c r="K13200">
        <v>0</v>
      </c>
      <c r="L13200">
        <f>IF(AND($J13200=0,$K13200=0),0,1)</f>
        <v>1</v>
      </c>
    </row>
    <row r="13201" spans="1:13" x14ac:dyDescent="0.2">
      <c r="A13201" t="s">
        <v>589</v>
      </c>
      <c r="B13201" t="s">
        <v>133</v>
      </c>
      <c r="C13201" t="s">
        <v>9</v>
      </c>
      <c r="D13201">
        <v>1203</v>
      </c>
      <c r="E13201">
        <v>2020</v>
      </c>
      <c r="F13201">
        <v>18</v>
      </c>
      <c r="G13201">
        <v>14235</v>
      </c>
      <c r="H13201" s="1">
        <v>0</v>
      </c>
      <c r="I13201">
        <v>14</v>
      </c>
      <c r="J13201">
        <f>IF($H13201=0,1,IF($I13201&lt;=1,2,0))</f>
        <v>1</v>
      </c>
      <c r="K13201">
        <v>0</v>
      </c>
      <c r="L13201">
        <f>IF(AND($J13201=0,$K13201=0),0,1)</f>
        <v>1</v>
      </c>
    </row>
    <row r="13202" spans="1:13" x14ac:dyDescent="0.2">
      <c r="A13202" t="s">
        <v>589</v>
      </c>
      <c r="B13202" t="s">
        <v>133</v>
      </c>
      <c r="C13202" t="s">
        <v>9</v>
      </c>
      <c r="D13202">
        <v>1203</v>
      </c>
      <c r="E13202">
        <v>2020</v>
      </c>
      <c r="F13202">
        <v>19</v>
      </c>
      <c r="G13202">
        <v>14236</v>
      </c>
      <c r="H13202" s="1">
        <v>0</v>
      </c>
      <c r="I13202">
        <v>13</v>
      </c>
      <c r="J13202">
        <f>IF($H13202=0,1,IF($I13202&lt;=1,2,0))</f>
        <v>1</v>
      </c>
      <c r="K13202">
        <v>0</v>
      </c>
      <c r="L13202">
        <f>IF(AND($J13202=0,$K13202=0),0,1)</f>
        <v>1</v>
      </c>
    </row>
    <row r="13203" spans="1:13" x14ac:dyDescent="0.2">
      <c r="A13203" t="s">
        <v>589</v>
      </c>
      <c r="B13203" t="s">
        <v>133</v>
      </c>
      <c r="C13203" t="s">
        <v>9</v>
      </c>
      <c r="D13203">
        <v>1203</v>
      </c>
      <c r="E13203">
        <v>2020</v>
      </c>
      <c r="F13203">
        <v>8</v>
      </c>
      <c r="G13203">
        <v>14225</v>
      </c>
      <c r="H13203" s="1">
        <v>0</v>
      </c>
      <c r="I13203">
        <v>11</v>
      </c>
      <c r="J13203">
        <f>IF($H13203=0,1,IF($I13203&lt;=1,2,0))</f>
        <v>1</v>
      </c>
      <c r="K13203">
        <v>0</v>
      </c>
      <c r="L13203">
        <f>IF(AND($J13203=0,$K13203=0),0,1)</f>
        <v>1</v>
      </c>
    </row>
    <row r="13204" spans="1:13" x14ac:dyDescent="0.2">
      <c r="A13204" t="s">
        <v>589</v>
      </c>
      <c r="B13204" t="s">
        <v>133</v>
      </c>
      <c r="C13204" t="s">
        <v>9</v>
      </c>
      <c r="D13204">
        <v>1203</v>
      </c>
      <c r="E13204">
        <v>2020</v>
      </c>
      <c r="F13204">
        <v>10</v>
      </c>
      <c r="G13204">
        <v>14227</v>
      </c>
      <c r="H13204" s="1">
        <v>0</v>
      </c>
      <c r="I13204">
        <v>10</v>
      </c>
      <c r="J13204">
        <f>IF($H13204=0,1,IF($I13204&lt;=1,2,0))</f>
        <v>1</v>
      </c>
      <c r="K13204">
        <v>0</v>
      </c>
      <c r="L13204">
        <f>IF(AND($J13204=0,$K13204=0),0,1)</f>
        <v>1</v>
      </c>
    </row>
    <row r="13205" spans="1:13" x14ac:dyDescent="0.2">
      <c r="A13205" t="s">
        <v>589</v>
      </c>
      <c r="B13205" t="s">
        <v>133</v>
      </c>
      <c r="C13205" t="s">
        <v>9</v>
      </c>
      <c r="D13205">
        <v>1291</v>
      </c>
      <c r="E13205">
        <v>2020</v>
      </c>
      <c r="F13205">
        <v>7</v>
      </c>
      <c r="G13205">
        <v>13905</v>
      </c>
      <c r="H13205" s="1">
        <v>1</v>
      </c>
      <c r="I13205">
        <v>15</v>
      </c>
      <c r="J13205">
        <f>IF($H13205=0,1,IF($I13205&lt;=1,2,0))</f>
        <v>0</v>
      </c>
      <c r="K13205">
        <v>8</v>
      </c>
      <c r="L13205">
        <f>IF(AND($J13205=0,$K13205=0),0,1)</f>
        <v>1</v>
      </c>
      <c r="M13205" t="s">
        <v>1177</v>
      </c>
    </row>
    <row r="13206" spans="1:13" x14ac:dyDescent="0.2">
      <c r="A13206" t="s">
        <v>589</v>
      </c>
      <c r="B13206" t="s">
        <v>133</v>
      </c>
      <c r="C13206" t="s">
        <v>9</v>
      </c>
      <c r="D13206">
        <v>1291</v>
      </c>
      <c r="E13206">
        <v>2020</v>
      </c>
      <c r="F13206">
        <v>14</v>
      </c>
      <c r="G13206">
        <v>13912</v>
      </c>
      <c r="H13206" s="1">
        <v>1</v>
      </c>
      <c r="I13206">
        <v>15</v>
      </c>
      <c r="J13206">
        <f>IF($H13206=0,1,IF($I13206&lt;=1,2,0))</f>
        <v>0</v>
      </c>
      <c r="K13206">
        <v>8</v>
      </c>
      <c r="L13206">
        <f>IF(AND($J13206=0,$K13206=0),0,1)</f>
        <v>1</v>
      </c>
      <c r="M13206" t="s">
        <v>1177</v>
      </c>
    </row>
    <row r="13207" spans="1:13" x14ac:dyDescent="0.2">
      <c r="A13207" t="s">
        <v>589</v>
      </c>
      <c r="B13207" t="s">
        <v>133</v>
      </c>
      <c r="C13207" t="s">
        <v>9</v>
      </c>
      <c r="D13207">
        <v>1291</v>
      </c>
      <c r="E13207">
        <v>2020</v>
      </c>
      <c r="F13207">
        <v>20</v>
      </c>
      <c r="G13207">
        <v>13918</v>
      </c>
      <c r="H13207" s="1">
        <v>1</v>
      </c>
      <c r="I13207">
        <v>15</v>
      </c>
      <c r="J13207">
        <f>IF($H13207=0,1,IF($I13207&lt;=1,2,0))</f>
        <v>0</v>
      </c>
      <c r="K13207">
        <v>8</v>
      </c>
      <c r="L13207">
        <f>IF(AND($J13207=0,$K13207=0),0,1)</f>
        <v>1</v>
      </c>
      <c r="M13207" t="s">
        <v>1177</v>
      </c>
    </row>
    <row r="13208" spans="1:13" x14ac:dyDescent="0.2">
      <c r="A13208" t="s">
        <v>589</v>
      </c>
      <c r="B13208" t="s">
        <v>133</v>
      </c>
      <c r="C13208" t="s">
        <v>9</v>
      </c>
      <c r="D13208">
        <v>1291</v>
      </c>
      <c r="E13208">
        <v>2020</v>
      </c>
      <c r="F13208">
        <v>1</v>
      </c>
      <c r="G13208">
        <v>13900</v>
      </c>
      <c r="H13208" s="1">
        <v>1</v>
      </c>
      <c r="I13208">
        <v>14</v>
      </c>
      <c r="J13208">
        <f>IF($H13208=0,1,IF($I13208&lt;=1,2,0))</f>
        <v>0</v>
      </c>
      <c r="K13208">
        <v>8</v>
      </c>
      <c r="L13208">
        <f>IF(AND($J13208=0,$K13208=0),0,1)</f>
        <v>1</v>
      </c>
      <c r="M13208" t="s">
        <v>1177</v>
      </c>
    </row>
    <row r="13209" spans="1:13" x14ac:dyDescent="0.2">
      <c r="A13209" t="s">
        <v>589</v>
      </c>
      <c r="B13209" t="s">
        <v>133</v>
      </c>
      <c r="C13209" t="s">
        <v>9</v>
      </c>
      <c r="D13209">
        <v>1291</v>
      </c>
      <c r="E13209">
        <v>2020</v>
      </c>
      <c r="F13209">
        <v>2</v>
      </c>
      <c r="G13209">
        <v>13901</v>
      </c>
      <c r="H13209" s="1">
        <v>1</v>
      </c>
      <c r="I13209">
        <v>14</v>
      </c>
      <c r="J13209">
        <f>IF($H13209=0,1,IF($I13209&lt;=1,2,0))</f>
        <v>0</v>
      </c>
      <c r="K13209">
        <v>8</v>
      </c>
      <c r="L13209">
        <f>IF(AND($J13209=0,$K13209=0),0,1)</f>
        <v>1</v>
      </c>
      <c r="M13209" t="s">
        <v>1177</v>
      </c>
    </row>
    <row r="13210" spans="1:13" x14ac:dyDescent="0.2">
      <c r="A13210" t="s">
        <v>589</v>
      </c>
      <c r="B13210" t="s">
        <v>133</v>
      </c>
      <c r="C13210" t="s">
        <v>9</v>
      </c>
      <c r="D13210">
        <v>1291</v>
      </c>
      <c r="E13210">
        <v>2020</v>
      </c>
      <c r="F13210">
        <v>10</v>
      </c>
      <c r="G13210">
        <v>13908</v>
      </c>
      <c r="H13210" s="1">
        <v>1</v>
      </c>
      <c r="I13210">
        <v>14</v>
      </c>
      <c r="J13210">
        <f>IF($H13210=0,1,IF($I13210&lt;=1,2,0))</f>
        <v>0</v>
      </c>
      <c r="K13210">
        <v>8</v>
      </c>
      <c r="L13210">
        <f>IF(AND($J13210=0,$K13210=0),0,1)</f>
        <v>1</v>
      </c>
      <c r="M13210" t="s">
        <v>1177</v>
      </c>
    </row>
    <row r="13211" spans="1:13" x14ac:dyDescent="0.2">
      <c r="A13211" t="s">
        <v>589</v>
      </c>
      <c r="B13211" t="s">
        <v>133</v>
      </c>
      <c r="C13211" t="s">
        <v>9</v>
      </c>
      <c r="D13211">
        <v>1291</v>
      </c>
      <c r="E13211">
        <v>2020</v>
      </c>
      <c r="F13211">
        <v>11</v>
      </c>
      <c r="G13211">
        <v>13910</v>
      </c>
      <c r="H13211" s="1">
        <v>1</v>
      </c>
      <c r="I13211">
        <v>14</v>
      </c>
      <c r="J13211">
        <f>IF($H13211=0,1,IF($I13211&lt;=1,2,0))</f>
        <v>0</v>
      </c>
      <c r="K13211">
        <v>8</v>
      </c>
      <c r="L13211">
        <f>IF(AND($J13211=0,$K13211=0),0,1)</f>
        <v>1</v>
      </c>
      <c r="M13211" t="s">
        <v>1177</v>
      </c>
    </row>
    <row r="13212" spans="1:13" x14ac:dyDescent="0.2">
      <c r="A13212" t="s">
        <v>589</v>
      </c>
      <c r="B13212" t="s">
        <v>133</v>
      </c>
      <c r="C13212" t="s">
        <v>9</v>
      </c>
      <c r="D13212">
        <v>1291</v>
      </c>
      <c r="E13212">
        <v>2020</v>
      </c>
      <c r="F13212">
        <v>19</v>
      </c>
      <c r="G13212">
        <v>13917</v>
      </c>
      <c r="H13212" s="1">
        <v>1</v>
      </c>
      <c r="I13212">
        <v>14</v>
      </c>
      <c r="J13212">
        <f>IF($H13212=0,1,IF($I13212&lt;=1,2,0))</f>
        <v>0</v>
      </c>
      <c r="K13212">
        <v>8</v>
      </c>
      <c r="L13212">
        <f>IF(AND($J13212=0,$K13212=0),0,1)</f>
        <v>1</v>
      </c>
      <c r="M13212" t="s">
        <v>1177</v>
      </c>
    </row>
    <row r="13213" spans="1:13" x14ac:dyDescent="0.2">
      <c r="A13213" t="s">
        <v>589</v>
      </c>
      <c r="B13213" t="s">
        <v>133</v>
      </c>
      <c r="C13213" t="s">
        <v>9</v>
      </c>
      <c r="D13213">
        <v>1291</v>
      </c>
      <c r="E13213">
        <v>2020</v>
      </c>
      <c r="F13213">
        <v>8</v>
      </c>
      <c r="G13213">
        <v>13906</v>
      </c>
      <c r="H13213" s="1">
        <v>1</v>
      </c>
      <c r="I13213">
        <v>13</v>
      </c>
      <c r="J13213">
        <f>IF($H13213=0,1,IF($I13213&lt;=1,2,0))</f>
        <v>0</v>
      </c>
      <c r="K13213">
        <v>8</v>
      </c>
      <c r="L13213">
        <f>IF(AND($J13213=0,$K13213=0),0,1)</f>
        <v>1</v>
      </c>
      <c r="M13213" t="s">
        <v>1177</v>
      </c>
    </row>
    <row r="13214" spans="1:13" x14ac:dyDescent="0.2">
      <c r="A13214" t="s">
        <v>589</v>
      </c>
      <c r="B13214" t="s">
        <v>133</v>
      </c>
      <c r="C13214" t="s">
        <v>9</v>
      </c>
      <c r="D13214">
        <v>1291</v>
      </c>
      <c r="E13214">
        <v>2020</v>
      </c>
      <c r="F13214">
        <v>21</v>
      </c>
      <c r="G13214">
        <v>13919</v>
      </c>
      <c r="H13214" s="1">
        <v>1</v>
      </c>
      <c r="I13214">
        <v>13</v>
      </c>
      <c r="J13214">
        <f>IF($H13214=0,1,IF($I13214&lt;=1,2,0))</f>
        <v>0</v>
      </c>
      <c r="K13214">
        <v>8</v>
      </c>
      <c r="L13214">
        <f>IF(AND($J13214=0,$K13214=0),0,1)</f>
        <v>1</v>
      </c>
      <c r="M13214" t="s">
        <v>1177</v>
      </c>
    </row>
    <row r="13215" spans="1:13" x14ac:dyDescent="0.2">
      <c r="A13215" t="s">
        <v>589</v>
      </c>
      <c r="B13215" t="s">
        <v>133</v>
      </c>
      <c r="C13215" t="s">
        <v>9</v>
      </c>
      <c r="D13215">
        <v>1291</v>
      </c>
      <c r="E13215">
        <v>2020</v>
      </c>
      <c r="F13215">
        <v>22</v>
      </c>
      <c r="G13215">
        <v>13920</v>
      </c>
      <c r="H13215" s="1">
        <v>1</v>
      </c>
      <c r="I13215">
        <v>13</v>
      </c>
      <c r="J13215">
        <f>IF($H13215=0,1,IF($I13215&lt;=1,2,0))</f>
        <v>0</v>
      </c>
      <c r="K13215">
        <v>8</v>
      </c>
      <c r="L13215">
        <f>IF(AND($J13215=0,$K13215=0),0,1)</f>
        <v>1</v>
      </c>
      <c r="M13215" t="s">
        <v>1177</v>
      </c>
    </row>
    <row r="13216" spans="1:13" x14ac:dyDescent="0.2">
      <c r="A13216" t="s">
        <v>589</v>
      </c>
      <c r="B13216" t="s">
        <v>133</v>
      </c>
      <c r="C13216" t="s">
        <v>9</v>
      </c>
      <c r="D13216">
        <v>1291</v>
      </c>
      <c r="E13216">
        <v>2020</v>
      </c>
      <c r="F13216">
        <v>26</v>
      </c>
      <c r="G13216">
        <v>13925</v>
      </c>
      <c r="H13216" s="1">
        <v>1</v>
      </c>
      <c r="I13216">
        <v>13</v>
      </c>
      <c r="J13216">
        <f>IF($H13216=0,1,IF($I13216&lt;=1,2,0))</f>
        <v>0</v>
      </c>
      <c r="K13216">
        <v>8</v>
      </c>
      <c r="L13216">
        <f>IF(AND($J13216=0,$K13216=0),0,1)</f>
        <v>1</v>
      </c>
      <c r="M13216" t="s">
        <v>1177</v>
      </c>
    </row>
    <row r="13217" spans="1:13" x14ac:dyDescent="0.2">
      <c r="A13217" t="s">
        <v>589</v>
      </c>
      <c r="B13217" t="s">
        <v>133</v>
      </c>
      <c r="C13217" t="s">
        <v>9</v>
      </c>
      <c r="D13217">
        <v>1291</v>
      </c>
      <c r="E13217">
        <v>2020</v>
      </c>
      <c r="F13217">
        <v>9</v>
      </c>
      <c r="G13217">
        <v>13907</v>
      </c>
      <c r="H13217" s="1">
        <v>1</v>
      </c>
      <c r="I13217">
        <v>12</v>
      </c>
      <c r="J13217">
        <f>IF($H13217=0,1,IF($I13217&lt;=1,2,0))</f>
        <v>0</v>
      </c>
      <c r="K13217">
        <v>8</v>
      </c>
      <c r="L13217">
        <f>IF(AND($J13217=0,$K13217=0),0,1)</f>
        <v>1</v>
      </c>
      <c r="M13217" t="s">
        <v>1177</v>
      </c>
    </row>
    <row r="13218" spans="1:13" x14ac:dyDescent="0.2">
      <c r="A13218" t="s">
        <v>589</v>
      </c>
      <c r="B13218" t="s">
        <v>133</v>
      </c>
      <c r="C13218" t="s">
        <v>9</v>
      </c>
      <c r="D13218">
        <v>1291</v>
      </c>
      <c r="E13218">
        <v>2020</v>
      </c>
      <c r="F13218">
        <v>23</v>
      </c>
      <c r="G13218">
        <v>13922</v>
      </c>
      <c r="H13218" s="1">
        <v>1</v>
      </c>
      <c r="I13218">
        <v>12</v>
      </c>
      <c r="J13218">
        <f>IF($H13218=0,1,IF($I13218&lt;=1,2,0))</f>
        <v>0</v>
      </c>
      <c r="K13218">
        <v>8</v>
      </c>
      <c r="L13218">
        <f>IF(AND($J13218=0,$K13218=0),0,1)</f>
        <v>1</v>
      </c>
      <c r="M13218" t="s">
        <v>1177</v>
      </c>
    </row>
    <row r="13219" spans="1:13" x14ac:dyDescent="0.2">
      <c r="A13219" t="s">
        <v>589</v>
      </c>
      <c r="B13219" t="s">
        <v>133</v>
      </c>
      <c r="C13219" t="s">
        <v>9</v>
      </c>
      <c r="D13219">
        <v>1291</v>
      </c>
      <c r="E13219">
        <v>2020</v>
      </c>
      <c r="F13219">
        <v>3</v>
      </c>
      <c r="G13219">
        <v>13902</v>
      </c>
      <c r="H13219" s="1">
        <v>1</v>
      </c>
      <c r="I13219">
        <v>11</v>
      </c>
      <c r="J13219">
        <f>IF($H13219=0,1,IF($I13219&lt;=1,2,0))</f>
        <v>0</v>
      </c>
      <c r="K13219">
        <v>8</v>
      </c>
      <c r="L13219">
        <f>IF(AND($J13219=0,$K13219=0),0,1)</f>
        <v>1</v>
      </c>
      <c r="M13219" t="s">
        <v>1177</v>
      </c>
    </row>
    <row r="13220" spans="1:13" x14ac:dyDescent="0.2">
      <c r="A13220" t="s">
        <v>589</v>
      </c>
      <c r="B13220" t="s">
        <v>133</v>
      </c>
      <c r="C13220" t="s">
        <v>9</v>
      </c>
      <c r="D13220">
        <v>1291</v>
      </c>
      <c r="E13220">
        <v>2020</v>
      </c>
      <c r="F13220">
        <v>13</v>
      </c>
      <c r="G13220">
        <v>13911</v>
      </c>
      <c r="H13220" s="1">
        <v>1</v>
      </c>
      <c r="I13220">
        <v>11</v>
      </c>
      <c r="J13220">
        <f>IF($H13220=0,1,IF($I13220&lt;=1,2,0))</f>
        <v>0</v>
      </c>
      <c r="K13220">
        <v>8</v>
      </c>
      <c r="L13220">
        <f>IF(AND($J13220=0,$K13220=0),0,1)</f>
        <v>1</v>
      </c>
      <c r="M13220" t="s">
        <v>1177</v>
      </c>
    </row>
    <row r="13221" spans="1:13" x14ac:dyDescent="0.2">
      <c r="A13221" t="s">
        <v>589</v>
      </c>
      <c r="B13221" t="s">
        <v>133</v>
      </c>
      <c r="C13221" t="s">
        <v>9</v>
      </c>
      <c r="D13221">
        <v>1291</v>
      </c>
      <c r="E13221">
        <v>2020</v>
      </c>
      <c r="F13221">
        <v>15</v>
      </c>
      <c r="G13221">
        <v>13913</v>
      </c>
      <c r="H13221" s="1">
        <v>1</v>
      </c>
      <c r="I13221">
        <v>10</v>
      </c>
      <c r="J13221">
        <f>IF($H13221=0,1,IF($I13221&lt;=1,2,0))</f>
        <v>0</v>
      </c>
      <c r="K13221">
        <v>8</v>
      </c>
      <c r="L13221">
        <f>IF(AND($J13221=0,$K13221=0),0,1)</f>
        <v>1</v>
      </c>
      <c r="M13221" t="s">
        <v>1177</v>
      </c>
    </row>
    <row r="13222" spans="1:13" x14ac:dyDescent="0.2">
      <c r="A13222" t="s">
        <v>589</v>
      </c>
      <c r="B13222" t="s">
        <v>133</v>
      </c>
      <c r="C13222" t="s">
        <v>9</v>
      </c>
      <c r="D13222">
        <v>1291</v>
      </c>
      <c r="E13222">
        <v>2020</v>
      </c>
      <c r="F13222">
        <v>25</v>
      </c>
      <c r="G13222">
        <v>13924</v>
      </c>
      <c r="H13222" s="1">
        <v>1</v>
      </c>
      <c r="I13222">
        <v>10</v>
      </c>
      <c r="J13222">
        <f>IF($H13222=0,1,IF($I13222&lt;=1,2,0))</f>
        <v>0</v>
      </c>
      <c r="K13222">
        <v>8</v>
      </c>
      <c r="L13222">
        <f>IF(AND($J13222=0,$K13222=0),0,1)</f>
        <v>1</v>
      </c>
      <c r="M13222" t="s">
        <v>1177</v>
      </c>
    </row>
    <row r="13223" spans="1:13" x14ac:dyDescent="0.2">
      <c r="A13223" t="s">
        <v>589</v>
      </c>
      <c r="B13223" t="s">
        <v>133</v>
      </c>
      <c r="C13223" t="s">
        <v>9</v>
      </c>
      <c r="D13223">
        <v>1291</v>
      </c>
      <c r="E13223">
        <v>2020</v>
      </c>
      <c r="F13223">
        <v>16</v>
      </c>
      <c r="G13223">
        <v>13914</v>
      </c>
      <c r="H13223" s="1">
        <v>1</v>
      </c>
      <c r="I13223">
        <v>9</v>
      </c>
      <c r="J13223">
        <f>IF($H13223=0,1,IF($I13223&lt;=1,2,0))</f>
        <v>0</v>
      </c>
      <c r="K13223">
        <v>8</v>
      </c>
      <c r="L13223">
        <f>IF(AND($J13223=0,$K13223=0),0,1)</f>
        <v>1</v>
      </c>
      <c r="M13223" t="s">
        <v>1177</v>
      </c>
    </row>
    <row r="13224" spans="1:13" x14ac:dyDescent="0.2">
      <c r="A13224" t="s">
        <v>589</v>
      </c>
      <c r="B13224" t="s">
        <v>133</v>
      </c>
      <c r="C13224" t="s">
        <v>9</v>
      </c>
      <c r="D13224">
        <v>1291</v>
      </c>
      <c r="E13224">
        <v>2020</v>
      </c>
      <c r="F13224">
        <v>5</v>
      </c>
      <c r="G13224">
        <v>13904</v>
      </c>
      <c r="H13224" s="1">
        <v>1</v>
      </c>
      <c r="I13224">
        <v>8</v>
      </c>
      <c r="J13224">
        <f>IF($H13224=0,1,IF($I13224&lt;=1,2,0))</f>
        <v>0</v>
      </c>
      <c r="K13224">
        <v>8</v>
      </c>
      <c r="L13224">
        <f>IF(AND($J13224=0,$K13224=0),0,1)</f>
        <v>1</v>
      </c>
      <c r="M13224" t="s">
        <v>591</v>
      </c>
    </row>
    <row r="13225" spans="1:13" x14ac:dyDescent="0.2">
      <c r="A13225" t="s">
        <v>589</v>
      </c>
      <c r="B13225" t="s">
        <v>133</v>
      </c>
      <c r="C13225" t="s">
        <v>9</v>
      </c>
      <c r="D13225">
        <v>1404</v>
      </c>
      <c r="E13225">
        <v>2020</v>
      </c>
      <c r="F13225">
        <v>1</v>
      </c>
      <c r="G13225">
        <v>14237</v>
      </c>
      <c r="H13225" s="1">
        <v>0</v>
      </c>
      <c r="I13225">
        <v>27</v>
      </c>
      <c r="J13225">
        <f>IF($H13225=0,1,IF($I13225&lt;=1,2,0))</f>
        <v>1</v>
      </c>
      <c r="K13225">
        <v>0</v>
      </c>
      <c r="L13225">
        <f>IF(AND($J13225=0,$K13225=0),0,1)</f>
        <v>1</v>
      </c>
    </row>
    <row r="13226" spans="1:13" x14ac:dyDescent="0.2">
      <c r="A13226" t="s">
        <v>589</v>
      </c>
      <c r="B13226" t="s">
        <v>133</v>
      </c>
      <c r="C13226" t="s">
        <v>9</v>
      </c>
      <c r="D13226">
        <v>1404</v>
      </c>
      <c r="E13226">
        <v>2020</v>
      </c>
      <c r="F13226">
        <v>3</v>
      </c>
      <c r="G13226">
        <v>14239</v>
      </c>
      <c r="H13226" s="1">
        <v>0</v>
      </c>
      <c r="I13226">
        <v>25</v>
      </c>
      <c r="J13226">
        <f>IF($H13226=0,1,IF($I13226&lt;=1,2,0))</f>
        <v>1</v>
      </c>
      <c r="K13226">
        <v>0</v>
      </c>
      <c r="L13226">
        <f>IF(AND($J13226=0,$K13226=0),0,1)</f>
        <v>1</v>
      </c>
    </row>
    <row r="13227" spans="1:13" x14ac:dyDescent="0.2">
      <c r="A13227" t="s">
        <v>589</v>
      </c>
      <c r="B13227" t="s">
        <v>133</v>
      </c>
      <c r="C13227" t="s">
        <v>9</v>
      </c>
      <c r="D13227">
        <v>1404</v>
      </c>
      <c r="E13227">
        <v>2020</v>
      </c>
      <c r="F13227">
        <v>7</v>
      </c>
      <c r="G13227">
        <v>14243</v>
      </c>
      <c r="H13227" s="1">
        <v>0</v>
      </c>
      <c r="I13227">
        <v>24</v>
      </c>
      <c r="J13227">
        <f>IF($H13227=0,1,IF($I13227&lt;=1,2,0))</f>
        <v>1</v>
      </c>
      <c r="K13227">
        <v>0</v>
      </c>
      <c r="L13227">
        <f>IF(AND($J13227=0,$K13227=0),0,1)</f>
        <v>1</v>
      </c>
    </row>
    <row r="13228" spans="1:13" x14ac:dyDescent="0.2">
      <c r="A13228" t="s">
        <v>589</v>
      </c>
      <c r="B13228" t="s">
        <v>133</v>
      </c>
      <c r="C13228" t="s">
        <v>9</v>
      </c>
      <c r="D13228">
        <v>1404</v>
      </c>
      <c r="E13228">
        <v>2020</v>
      </c>
      <c r="F13228">
        <v>10</v>
      </c>
      <c r="G13228">
        <v>14246</v>
      </c>
      <c r="H13228" s="1">
        <v>0</v>
      </c>
      <c r="I13228">
        <v>23</v>
      </c>
      <c r="J13228">
        <f>IF($H13228=0,1,IF($I13228&lt;=1,2,0))</f>
        <v>1</v>
      </c>
      <c r="K13228">
        <v>0</v>
      </c>
      <c r="L13228">
        <f>IF(AND($J13228=0,$K13228=0),0,1)</f>
        <v>1</v>
      </c>
    </row>
    <row r="13229" spans="1:13" x14ac:dyDescent="0.2">
      <c r="A13229" t="s">
        <v>589</v>
      </c>
      <c r="B13229" t="s">
        <v>133</v>
      </c>
      <c r="C13229" t="s">
        <v>9</v>
      </c>
      <c r="D13229">
        <v>1404</v>
      </c>
      <c r="E13229">
        <v>2020</v>
      </c>
      <c r="F13229">
        <v>11</v>
      </c>
      <c r="G13229">
        <v>14247</v>
      </c>
      <c r="H13229" s="1">
        <v>0</v>
      </c>
      <c r="I13229">
        <v>22</v>
      </c>
      <c r="J13229">
        <f>IF($H13229=0,1,IF($I13229&lt;=1,2,0))</f>
        <v>1</v>
      </c>
      <c r="K13229">
        <v>0</v>
      </c>
      <c r="L13229">
        <f>IF(AND($J13229=0,$K13229=0),0,1)</f>
        <v>1</v>
      </c>
    </row>
    <row r="13230" spans="1:13" x14ac:dyDescent="0.2">
      <c r="A13230" t="s">
        <v>589</v>
      </c>
      <c r="B13230" t="s">
        <v>133</v>
      </c>
      <c r="C13230" t="s">
        <v>9</v>
      </c>
      <c r="D13230">
        <v>1404</v>
      </c>
      <c r="E13230">
        <v>2020</v>
      </c>
      <c r="F13230">
        <v>8</v>
      </c>
      <c r="G13230">
        <v>14244</v>
      </c>
      <c r="H13230" s="1">
        <v>0</v>
      </c>
      <c r="I13230">
        <v>21</v>
      </c>
      <c r="J13230">
        <f>IF($H13230=0,1,IF($I13230&lt;=1,2,0))</f>
        <v>1</v>
      </c>
      <c r="K13230">
        <v>0</v>
      </c>
      <c r="L13230">
        <f>IF(AND($J13230=0,$K13230=0),0,1)</f>
        <v>1</v>
      </c>
    </row>
    <row r="13231" spans="1:13" x14ac:dyDescent="0.2">
      <c r="A13231" t="s">
        <v>589</v>
      </c>
      <c r="B13231" t="s">
        <v>133</v>
      </c>
      <c r="C13231" t="s">
        <v>9</v>
      </c>
      <c r="D13231">
        <v>1404</v>
      </c>
      <c r="E13231">
        <v>2020</v>
      </c>
      <c r="F13231">
        <v>2</v>
      </c>
      <c r="G13231">
        <v>14238</v>
      </c>
      <c r="H13231" s="1">
        <v>0</v>
      </c>
      <c r="I13231">
        <v>20</v>
      </c>
      <c r="J13231">
        <f>IF($H13231=0,1,IF($I13231&lt;=1,2,0))</f>
        <v>1</v>
      </c>
      <c r="K13231">
        <v>0</v>
      </c>
      <c r="L13231">
        <f>IF(AND($J13231=0,$K13231=0),0,1)</f>
        <v>1</v>
      </c>
    </row>
    <row r="13232" spans="1:13" x14ac:dyDescent="0.2">
      <c r="A13232" t="s">
        <v>589</v>
      </c>
      <c r="B13232" t="s">
        <v>133</v>
      </c>
      <c r="C13232" t="s">
        <v>9</v>
      </c>
      <c r="D13232">
        <v>1404</v>
      </c>
      <c r="E13232">
        <v>2020</v>
      </c>
      <c r="F13232">
        <v>9</v>
      </c>
      <c r="G13232">
        <v>14245</v>
      </c>
      <c r="H13232" s="1">
        <v>0</v>
      </c>
      <c r="I13232">
        <v>20</v>
      </c>
      <c r="J13232">
        <f>IF($H13232=0,1,IF($I13232&lt;=1,2,0))</f>
        <v>1</v>
      </c>
      <c r="K13232">
        <v>0</v>
      </c>
      <c r="L13232">
        <f>IF(AND($J13232=0,$K13232=0),0,1)</f>
        <v>1</v>
      </c>
    </row>
    <row r="13233" spans="1:13" x14ac:dyDescent="0.2">
      <c r="A13233" t="s">
        <v>589</v>
      </c>
      <c r="B13233" t="s">
        <v>133</v>
      </c>
      <c r="C13233" t="s">
        <v>9</v>
      </c>
      <c r="D13233">
        <v>1404</v>
      </c>
      <c r="E13233">
        <v>2020</v>
      </c>
      <c r="F13233">
        <v>12</v>
      </c>
      <c r="G13233">
        <v>14248</v>
      </c>
      <c r="H13233" s="1">
        <v>0</v>
      </c>
      <c r="I13233">
        <v>14</v>
      </c>
      <c r="J13233">
        <f>IF($H13233=0,1,IF($I13233&lt;=1,2,0))</f>
        <v>1</v>
      </c>
      <c r="K13233">
        <v>0</v>
      </c>
      <c r="L13233">
        <f>IF(AND($J13233=0,$K13233=0),0,1)</f>
        <v>1</v>
      </c>
    </row>
    <row r="13234" spans="1:13" x14ac:dyDescent="0.2">
      <c r="A13234" t="s">
        <v>589</v>
      </c>
      <c r="B13234" t="s">
        <v>133</v>
      </c>
      <c r="C13234" t="s">
        <v>9</v>
      </c>
      <c r="D13234">
        <v>1603</v>
      </c>
      <c r="E13234">
        <v>2020</v>
      </c>
      <c r="F13234">
        <v>3</v>
      </c>
      <c r="G13234">
        <v>14251</v>
      </c>
      <c r="H13234" s="1">
        <v>0</v>
      </c>
      <c r="I13234">
        <v>37</v>
      </c>
      <c r="J13234">
        <f>IF($H13234=0,1,IF($I13234&lt;=1,2,0))</f>
        <v>1</v>
      </c>
      <c r="K13234">
        <v>0</v>
      </c>
      <c r="L13234">
        <f>IF(AND($J13234=0,$K13234=0),0,1)</f>
        <v>1</v>
      </c>
    </row>
    <row r="13235" spans="1:13" x14ac:dyDescent="0.2">
      <c r="A13235" t="s">
        <v>589</v>
      </c>
      <c r="B13235" t="s">
        <v>133</v>
      </c>
      <c r="C13235" t="s">
        <v>9</v>
      </c>
      <c r="D13235">
        <v>1603</v>
      </c>
      <c r="E13235">
        <v>2020</v>
      </c>
      <c r="F13235">
        <v>7</v>
      </c>
      <c r="G13235">
        <v>24777</v>
      </c>
      <c r="H13235" s="1">
        <v>0</v>
      </c>
      <c r="I13235">
        <v>32</v>
      </c>
      <c r="J13235">
        <f>IF($H13235=0,1,IF($I13235&lt;=1,2,0))</f>
        <v>1</v>
      </c>
      <c r="K13235">
        <v>0</v>
      </c>
      <c r="L13235">
        <f>IF(AND($J13235=0,$K13235=0),0,1)</f>
        <v>1</v>
      </c>
    </row>
    <row r="13236" spans="1:13" x14ac:dyDescent="0.2">
      <c r="A13236" t="s">
        <v>589</v>
      </c>
      <c r="B13236" t="s">
        <v>133</v>
      </c>
      <c r="C13236" t="s">
        <v>9</v>
      </c>
      <c r="D13236">
        <v>1603</v>
      </c>
      <c r="E13236">
        <v>2020</v>
      </c>
      <c r="F13236">
        <v>1</v>
      </c>
      <c r="G13236">
        <v>14249</v>
      </c>
      <c r="H13236" s="1">
        <v>0</v>
      </c>
      <c r="I13236">
        <v>30</v>
      </c>
      <c r="J13236">
        <f>IF($H13236=0,1,IF($I13236&lt;=1,2,0))</f>
        <v>1</v>
      </c>
      <c r="K13236">
        <v>0</v>
      </c>
      <c r="L13236">
        <f>IF(AND($J13236=0,$K13236=0),0,1)</f>
        <v>1</v>
      </c>
    </row>
    <row r="13237" spans="1:13" x14ac:dyDescent="0.2">
      <c r="A13237" t="s">
        <v>589</v>
      </c>
      <c r="B13237" t="s">
        <v>133</v>
      </c>
      <c r="C13237" t="s">
        <v>9</v>
      </c>
      <c r="D13237">
        <v>1603</v>
      </c>
      <c r="E13237">
        <v>2020</v>
      </c>
      <c r="F13237">
        <v>4</v>
      </c>
      <c r="G13237">
        <v>14252</v>
      </c>
      <c r="H13237" s="1">
        <v>0</v>
      </c>
      <c r="I13237">
        <v>29</v>
      </c>
      <c r="J13237">
        <f>IF($H13237=0,1,IF($I13237&lt;=1,2,0))</f>
        <v>1</v>
      </c>
      <c r="K13237">
        <v>0</v>
      </c>
      <c r="L13237">
        <f>IF(AND($J13237=0,$K13237=0),0,1)</f>
        <v>1</v>
      </c>
    </row>
    <row r="13238" spans="1:13" x14ac:dyDescent="0.2">
      <c r="A13238" t="s">
        <v>589</v>
      </c>
      <c r="B13238" t="s">
        <v>133</v>
      </c>
      <c r="C13238" t="s">
        <v>9</v>
      </c>
      <c r="D13238">
        <v>1603</v>
      </c>
      <c r="E13238">
        <v>2020</v>
      </c>
      <c r="F13238">
        <v>5</v>
      </c>
      <c r="G13238">
        <v>14253</v>
      </c>
      <c r="H13238" s="1">
        <v>0</v>
      </c>
      <c r="I13238">
        <v>28</v>
      </c>
      <c r="J13238">
        <f>IF($H13238=0,1,IF($I13238&lt;=1,2,0))</f>
        <v>1</v>
      </c>
      <c r="K13238">
        <v>0</v>
      </c>
      <c r="L13238">
        <f>IF(AND($J13238=0,$K13238=0),0,1)</f>
        <v>1</v>
      </c>
    </row>
    <row r="13239" spans="1:13" x14ac:dyDescent="0.2">
      <c r="A13239" t="s">
        <v>589</v>
      </c>
      <c r="B13239" t="s">
        <v>133</v>
      </c>
      <c r="C13239" t="s">
        <v>9</v>
      </c>
      <c r="D13239">
        <v>1603</v>
      </c>
      <c r="E13239">
        <v>2020</v>
      </c>
      <c r="F13239">
        <v>2</v>
      </c>
      <c r="G13239">
        <v>14250</v>
      </c>
      <c r="H13239" s="1">
        <v>0</v>
      </c>
      <c r="I13239">
        <v>20</v>
      </c>
      <c r="J13239">
        <f>IF($H13239=0,1,IF($I13239&lt;=1,2,0))</f>
        <v>1</v>
      </c>
      <c r="K13239">
        <v>0</v>
      </c>
      <c r="L13239">
        <f>IF(AND($J13239=0,$K13239=0),0,1)</f>
        <v>1</v>
      </c>
    </row>
    <row r="13240" spans="1:13" x14ac:dyDescent="0.2">
      <c r="A13240" t="s">
        <v>589</v>
      </c>
      <c r="B13240" t="s">
        <v>133</v>
      </c>
      <c r="C13240" t="s">
        <v>9</v>
      </c>
      <c r="D13240">
        <v>1603</v>
      </c>
      <c r="E13240">
        <v>2020</v>
      </c>
      <c r="F13240">
        <v>6</v>
      </c>
      <c r="G13240">
        <v>14254</v>
      </c>
      <c r="H13240" s="1">
        <v>0</v>
      </c>
      <c r="I13240">
        <v>11</v>
      </c>
      <c r="J13240">
        <f>IF($H13240=0,1,IF($I13240&lt;=1,2,0))</f>
        <v>1</v>
      </c>
      <c r="K13240">
        <v>0</v>
      </c>
      <c r="L13240">
        <f>IF(AND($J13240=0,$K13240=0),0,1)</f>
        <v>1</v>
      </c>
    </row>
    <row r="13241" spans="1:13" x14ac:dyDescent="0.2">
      <c r="A13241" t="s">
        <v>589</v>
      </c>
      <c r="B13241" t="s">
        <v>133</v>
      </c>
      <c r="C13241" t="s">
        <v>2</v>
      </c>
      <c r="D13241">
        <v>2001</v>
      </c>
      <c r="E13241">
        <v>2020</v>
      </c>
      <c r="F13241">
        <v>1</v>
      </c>
      <c r="G13241">
        <v>351</v>
      </c>
      <c r="H13241" s="1">
        <v>4.5</v>
      </c>
      <c r="I13241">
        <v>57</v>
      </c>
      <c r="J13241">
        <f>IF($H13241=0,1,IF($I13241&lt;=1,2,0))</f>
        <v>0</v>
      </c>
      <c r="K13241">
        <v>7</v>
      </c>
      <c r="L13241">
        <f>IF(AND($J13241=0,$K13241=0),0,1)</f>
        <v>1</v>
      </c>
      <c r="M13241" t="s">
        <v>595</v>
      </c>
    </row>
    <row r="13242" spans="1:13" x14ac:dyDescent="0.2">
      <c r="A13242" t="s">
        <v>589</v>
      </c>
      <c r="B13242" t="s">
        <v>133</v>
      </c>
      <c r="C13242" t="s">
        <v>2</v>
      </c>
      <c r="D13242">
        <v>2009</v>
      </c>
      <c r="E13242">
        <v>2020</v>
      </c>
      <c r="F13242">
        <v>1</v>
      </c>
      <c r="G13242">
        <v>352</v>
      </c>
      <c r="H13242" s="1">
        <v>1.5</v>
      </c>
      <c r="I13242">
        <v>25</v>
      </c>
      <c r="J13242">
        <f>IF($H13242=0,1,IF($I13242&lt;=1,2,0))</f>
        <v>0</v>
      </c>
      <c r="K13242">
        <v>7</v>
      </c>
      <c r="L13242">
        <f>IF(AND($J13242=0,$K13242=0),0,1)</f>
        <v>1</v>
      </c>
      <c r="M13242" t="s">
        <v>596</v>
      </c>
    </row>
    <row r="13243" spans="1:13" x14ac:dyDescent="0.2">
      <c r="A13243" t="s">
        <v>589</v>
      </c>
      <c r="B13243" t="s">
        <v>133</v>
      </c>
      <c r="C13243" t="s">
        <v>2</v>
      </c>
      <c r="D13243">
        <v>2010</v>
      </c>
      <c r="E13243">
        <v>2020</v>
      </c>
      <c r="F13243">
        <v>1</v>
      </c>
      <c r="G13243">
        <v>353</v>
      </c>
      <c r="H13243" s="1">
        <v>3</v>
      </c>
      <c r="I13243">
        <v>5</v>
      </c>
      <c r="J13243">
        <f>IF($H13243=0,1,IF($I13243&lt;=1,2,0))</f>
        <v>0</v>
      </c>
      <c r="K13243">
        <v>7</v>
      </c>
      <c r="L13243">
        <f>IF(AND($J13243=0,$K13243=0),0,1)</f>
        <v>1</v>
      </c>
    </row>
    <row r="13244" spans="1:13" x14ac:dyDescent="0.2">
      <c r="A13244" t="s">
        <v>589</v>
      </c>
      <c r="B13244" t="s">
        <v>133</v>
      </c>
      <c r="C13244" t="s">
        <v>9</v>
      </c>
      <c r="D13244">
        <v>2603</v>
      </c>
      <c r="E13244">
        <v>2020</v>
      </c>
      <c r="F13244">
        <v>2</v>
      </c>
      <c r="G13244">
        <v>14256</v>
      </c>
      <c r="H13244" s="1">
        <v>0</v>
      </c>
      <c r="I13244">
        <v>19</v>
      </c>
      <c r="J13244">
        <f>IF($H13244=0,1,IF($I13244&lt;=1,2,0))</f>
        <v>1</v>
      </c>
      <c r="K13244">
        <v>0</v>
      </c>
      <c r="L13244">
        <f>IF(AND($J13244=0,$K13244=0),0,1)</f>
        <v>1</v>
      </c>
    </row>
    <row r="13245" spans="1:13" x14ac:dyDescent="0.2">
      <c r="A13245" t="s">
        <v>589</v>
      </c>
      <c r="B13245" t="s">
        <v>133</v>
      </c>
      <c r="C13245" t="s">
        <v>9</v>
      </c>
      <c r="D13245">
        <v>2603</v>
      </c>
      <c r="E13245">
        <v>2020</v>
      </c>
      <c r="F13245">
        <v>1</v>
      </c>
      <c r="G13245">
        <v>14255</v>
      </c>
      <c r="H13245" s="1">
        <v>0</v>
      </c>
      <c r="I13245">
        <v>17</v>
      </c>
      <c r="J13245">
        <f>IF($H13245=0,1,IF($I13245&lt;=1,2,0))</f>
        <v>1</v>
      </c>
      <c r="K13245">
        <v>0</v>
      </c>
      <c r="L13245">
        <f>IF(AND($J13245=0,$K13245=0),0,1)</f>
        <v>1</v>
      </c>
    </row>
    <row r="13246" spans="1:13" x14ac:dyDescent="0.2">
      <c r="A13246" t="s">
        <v>589</v>
      </c>
      <c r="B13246" t="s">
        <v>133</v>
      </c>
      <c r="C13246" t="s">
        <v>9</v>
      </c>
      <c r="D13246">
        <v>2603</v>
      </c>
      <c r="E13246">
        <v>2020</v>
      </c>
      <c r="F13246">
        <v>3</v>
      </c>
      <c r="G13246">
        <v>14257</v>
      </c>
      <c r="H13246" s="1">
        <v>0</v>
      </c>
      <c r="I13246">
        <v>17</v>
      </c>
      <c r="J13246">
        <f>IF($H13246=0,1,IF($I13246&lt;=1,2,0))</f>
        <v>1</v>
      </c>
      <c r="K13246">
        <v>0</v>
      </c>
      <c r="L13246">
        <f>IF(AND($J13246=0,$K13246=0),0,1)</f>
        <v>1</v>
      </c>
    </row>
    <row r="13247" spans="1:13" x14ac:dyDescent="0.2">
      <c r="A13247" t="s">
        <v>589</v>
      </c>
      <c r="B13247" t="s">
        <v>133</v>
      </c>
      <c r="C13247" t="s">
        <v>9</v>
      </c>
      <c r="D13247">
        <v>2803</v>
      </c>
      <c r="E13247">
        <v>2020</v>
      </c>
      <c r="F13247">
        <v>3</v>
      </c>
      <c r="G13247">
        <v>21624</v>
      </c>
      <c r="H13247" s="1">
        <v>0</v>
      </c>
      <c r="I13247">
        <v>23</v>
      </c>
      <c r="J13247">
        <f>IF($H13247=0,1,IF($I13247&lt;=1,2,0))</f>
        <v>1</v>
      </c>
      <c r="K13247">
        <v>0</v>
      </c>
      <c r="L13247">
        <f>IF(AND($J13247=0,$K13247=0),0,1)</f>
        <v>1</v>
      </c>
    </row>
    <row r="13248" spans="1:13" x14ac:dyDescent="0.2">
      <c r="A13248" t="s">
        <v>589</v>
      </c>
      <c r="B13248" t="s">
        <v>133</v>
      </c>
      <c r="C13248" t="s">
        <v>9</v>
      </c>
      <c r="D13248">
        <v>2803</v>
      </c>
      <c r="E13248">
        <v>2020</v>
      </c>
      <c r="F13248">
        <v>2</v>
      </c>
      <c r="G13248">
        <v>21625</v>
      </c>
      <c r="H13248" s="1">
        <v>0</v>
      </c>
      <c r="I13248">
        <v>19</v>
      </c>
      <c r="J13248">
        <f>IF($H13248=0,1,IF($I13248&lt;=1,2,0))</f>
        <v>1</v>
      </c>
      <c r="K13248">
        <v>0</v>
      </c>
      <c r="L13248">
        <f>IF(AND($J13248=0,$K13248=0),0,1)</f>
        <v>1</v>
      </c>
    </row>
    <row r="13249" spans="1:13" x14ac:dyDescent="0.2">
      <c r="A13249" t="s">
        <v>589</v>
      </c>
      <c r="B13249" t="s">
        <v>133</v>
      </c>
      <c r="C13249" t="s">
        <v>2</v>
      </c>
      <c r="D13249">
        <v>3001</v>
      </c>
      <c r="E13249">
        <v>2020</v>
      </c>
      <c r="F13249">
        <v>1</v>
      </c>
      <c r="G13249">
        <v>354</v>
      </c>
      <c r="H13249" s="1">
        <v>5</v>
      </c>
      <c r="I13249">
        <v>9</v>
      </c>
      <c r="J13249">
        <f>IF($H13249=0,1,IF($I13249&lt;=1,2,0))</f>
        <v>0</v>
      </c>
      <c r="K13249">
        <v>7</v>
      </c>
      <c r="L13249">
        <f>IF(AND($J13249=0,$K13249=0),0,1)</f>
        <v>1</v>
      </c>
      <c r="M13249" t="s">
        <v>1179</v>
      </c>
    </row>
    <row r="13250" spans="1:13" x14ac:dyDescent="0.2">
      <c r="A13250" t="s">
        <v>589</v>
      </c>
      <c r="B13250" t="s">
        <v>133</v>
      </c>
      <c r="C13250" t="s">
        <v>2</v>
      </c>
      <c r="D13250">
        <v>3010</v>
      </c>
      <c r="E13250">
        <v>2020</v>
      </c>
      <c r="F13250">
        <v>1</v>
      </c>
      <c r="G13250">
        <v>355</v>
      </c>
      <c r="H13250" s="1">
        <v>3</v>
      </c>
      <c r="I13250">
        <v>0</v>
      </c>
      <c r="J13250">
        <f>IF($H13250=0,1,IF($I13250&lt;=1,2,0))</f>
        <v>2</v>
      </c>
      <c r="K13250">
        <v>7</v>
      </c>
      <c r="L13250">
        <f>IF(AND($J13250=0,$K13250=0),0,1)</f>
        <v>1</v>
      </c>
    </row>
    <row r="13251" spans="1:13" x14ac:dyDescent="0.2">
      <c r="A13251" t="s">
        <v>589</v>
      </c>
      <c r="B13251" t="s">
        <v>133</v>
      </c>
      <c r="C13251" t="s">
        <v>9</v>
      </c>
      <c r="D13251">
        <v>3500</v>
      </c>
      <c r="E13251">
        <v>2020</v>
      </c>
      <c r="F13251">
        <v>1</v>
      </c>
      <c r="G13251">
        <v>13425</v>
      </c>
      <c r="H13251" s="1">
        <v>3</v>
      </c>
      <c r="I13251">
        <v>1</v>
      </c>
      <c r="J13251">
        <f>IF($H13251=0,1,IF($I13251&lt;=1,2,0))</f>
        <v>2</v>
      </c>
      <c r="K13251">
        <v>0</v>
      </c>
      <c r="L13251">
        <f>IF(AND($J13251=0,$K13251=0),0,1)</f>
        <v>1</v>
      </c>
    </row>
    <row r="13252" spans="1:13" x14ac:dyDescent="0.2">
      <c r="A13252" t="s">
        <v>589</v>
      </c>
      <c r="B13252" t="s">
        <v>133</v>
      </c>
      <c r="C13252" t="s">
        <v>9</v>
      </c>
      <c r="D13252">
        <v>3900</v>
      </c>
      <c r="E13252">
        <v>2020</v>
      </c>
      <c r="F13252">
        <v>1</v>
      </c>
      <c r="G13252">
        <v>13426</v>
      </c>
      <c r="H13252" s="1" t="s">
        <v>1844</v>
      </c>
      <c r="I13252">
        <v>8</v>
      </c>
      <c r="J13252">
        <f>IF($H13252=0,1,IF($I13252&lt;=1,2,0))</f>
        <v>0</v>
      </c>
      <c r="K13252">
        <v>9</v>
      </c>
      <c r="L13252">
        <f>IF(AND($J13252=0,$K13252=0),0,1)</f>
        <v>1</v>
      </c>
    </row>
    <row r="13253" spans="1:13" x14ac:dyDescent="0.2">
      <c r="A13253" t="s">
        <v>589</v>
      </c>
      <c r="B13253" t="s">
        <v>133</v>
      </c>
      <c r="C13253" t="s">
        <v>2</v>
      </c>
      <c r="D13253">
        <v>3900</v>
      </c>
      <c r="E13253">
        <v>2020</v>
      </c>
      <c r="F13253">
        <v>1</v>
      </c>
      <c r="G13253">
        <v>357</v>
      </c>
      <c r="H13253" s="1" t="s">
        <v>1844</v>
      </c>
      <c r="I13253">
        <v>0</v>
      </c>
      <c r="J13253">
        <f>IF($H13253=0,1,IF($I13253&lt;=1,2,0))</f>
        <v>2</v>
      </c>
      <c r="K13253">
        <v>7</v>
      </c>
      <c r="L13253">
        <f>IF(AND($J13253=0,$K13253=0),0,1)</f>
        <v>1</v>
      </c>
    </row>
    <row r="13254" spans="1:13" x14ac:dyDescent="0.2">
      <c r="A13254" t="s">
        <v>589</v>
      </c>
      <c r="B13254" t="s">
        <v>133</v>
      </c>
      <c r="C13254" t="s">
        <v>11</v>
      </c>
      <c r="D13254">
        <v>6905</v>
      </c>
      <c r="E13254">
        <v>2020</v>
      </c>
      <c r="F13254">
        <v>1</v>
      </c>
      <c r="G13254">
        <v>13486</v>
      </c>
      <c r="H13254" s="1">
        <v>0</v>
      </c>
      <c r="I13254">
        <v>29</v>
      </c>
      <c r="J13254">
        <f>IF($H13254=0,1,IF($I13254&lt;=1,2,0))</f>
        <v>1</v>
      </c>
      <c r="K13254">
        <v>0</v>
      </c>
      <c r="L13254">
        <f>IF(AND($J13254=0,$K13254=0),0,1)</f>
        <v>1</v>
      </c>
    </row>
    <row r="13255" spans="1:13" x14ac:dyDescent="0.2">
      <c r="A13255" t="s">
        <v>589</v>
      </c>
      <c r="B13255" t="s">
        <v>133</v>
      </c>
      <c r="C13255" t="s">
        <v>11</v>
      </c>
      <c r="D13255">
        <v>8012</v>
      </c>
      <c r="E13255">
        <v>2020</v>
      </c>
      <c r="F13255">
        <v>1</v>
      </c>
      <c r="G13255">
        <v>13487</v>
      </c>
      <c r="H13255" s="1">
        <v>3</v>
      </c>
      <c r="I13255">
        <v>1</v>
      </c>
      <c r="J13255">
        <f>IF($H13255=0,1,IF($I13255&lt;=1,2,0))</f>
        <v>2</v>
      </c>
      <c r="K13255">
        <v>0</v>
      </c>
      <c r="L13255">
        <f>IF(AND($J13255=0,$K13255=0),0,1)</f>
        <v>1</v>
      </c>
    </row>
    <row r="13256" spans="1:13" x14ac:dyDescent="0.2">
      <c r="A13256" t="s">
        <v>600</v>
      </c>
      <c r="B13256" t="s">
        <v>17</v>
      </c>
      <c r="C13256" t="s">
        <v>11</v>
      </c>
      <c r="D13256">
        <v>8001</v>
      </c>
      <c r="E13256">
        <v>2020</v>
      </c>
      <c r="F13256">
        <v>1</v>
      </c>
      <c r="G13256">
        <v>24927</v>
      </c>
      <c r="H13256" s="1" t="s">
        <v>1823</v>
      </c>
      <c r="I13256">
        <v>0</v>
      </c>
      <c r="J13256">
        <f>IF($H13256=0,1,IF($I13256&lt;=1,2,0))</f>
        <v>2</v>
      </c>
      <c r="K13256">
        <v>0</v>
      </c>
      <c r="L13256">
        <f>IF(AND($J13256=0,$K13256=0),0,1)</f>
        <v>1</v>
      </c>
    </row>
    <row r="13257" spans="1:13" x14ac:dyDescent="0.2">
      <c r="A13257" t="s">
        <v>601</v>
      </c>
      <c r="B13257" t="s">
        <v>6</v>
      </c>
      <c r="C13257" t="s">
        <v>9</v>
      </c>
      <c r="D13257">
        <v>1211</v>
      </c>
      <c r="E13257">
        <v>2020</v>
      </c>
      <c r="F13257">
        <v>6</v>
      </c>
      <c r="G13257">
        <v>929</v>
      </c>
      <c r="H13257" s="1">
        <v>0</v>
      </c>
      <c r="I13257">
        <v>19</v>
      </c>
      <c r="J13257">
        <f>IF($H13257=0,1,IF($I13257&lt;=1,2,0))</f>
        <v>1</v>
      </c>
      <c r="K13257">
        <v>0</v>
      </c>
      <c r="L13257">
        <f>IF(AND($J13257=0,$K13257=0),0,1)</f>
        <v>1</v>
      </c>
    </row>
    <row r="13258" spans="1:13" x14ac:dyDescent="0.2">
      <c r="A13258" t="s">
        <v>601</v>
      </c>
      <c r="B13258" t="s">
        <v>6</v>
      </c>
      <c r="C13258" t="s">
        <v>9</v>
      </c>
      <c r="D13258">
        <v>1211</v>
      </c>
      <c r="E13258">
        <v>2020</v>
      </c>
      <c r="F13258">
        <v>7</v>
      </c>
      <c r="G13258">
        <v>930</v>
      </c>
      <c r="H13258" s="1">
        <v>0</v>
      </c>
      <c r="I13258">
        <v>19</v>
      </c>
      <c r="J13258">
        <f>IF($H13258=0,1,IF($I13258&lt;=1,2,0))</f>
        <v>1</v>
      </c>
      <c r="K13258">
        <v>0</v>
      </c>
      <c r="L13258">
        <f>IF(AND($J13258=0,$K13258=0),0,1)</f>
        <v>1</v>
      </c>
    </row>
    <row r="13259" spans="1:13" x14ac:dyDescent="0.2">
      <c r="A13259" t="s">
        <v>601</v>
      </c>
      <c r="B13259" t="s">
        <v>6</v>
      </c>
      <c r="C13259" t="s">
        <v>9</v>
      </c>
      <c r="D13259">
        <v>1211</v>
      </c>
      <c r="E13259">
        <v>2020</v>
      </c>
      <c r="F13259">
        <v>11</v>
      </c>
      <c r="G13259">
        <v>934</v>
      </c>
      <c r="H13259" s="1">
        <v>0</v>
      </c>
      <c r="I13259">
        <v>18</v>
      </c>
      <c r="J13259">
        <f>IF($H13259=0,1,IF($I13259&lt;=1,2,0))</f>
        <v>1</v>
      </c>
      <c r="K13259">
        <v>0</v>
      </c>
      <c r="L13259">
        <f>IF(AND($J13259=0,$K13259=0),0,1)</f>
        <v>1</v>
      </c>
    </row>
    <row r="13260" spans="1:13" x14ac:dyDescent="0.2">
      <c r="A13260" t="s">
        <v>601</v>
      </c>
      <c r="B13260" t="s">
        <v>6</v>
      </c>
      <c r="C13260" t="s">
        <v>9</v>
      </c>
      <c r="D13260">
        <v>1211</v>
      </c>
      <c r="E13260">
        <v>2020</v>
      </c>
      <c r="F13260">
        <v>14</v>
      </c>
      <c r="G13260">
        <v>937</v>
      </c>
      <c r="H13260" s="1">
        <v>0</v>
      </c>
      <c r="I13260">
        <v>18</v>
      </c>
      <c r="J13260">
        <f>IF($H13260=0,1,IF($I13260&lt;=1,2,0))</f>
        <v>1</v>
      </c>
      <c r="K13260">
        <v>0</v>
      </c>
      <c r="L13260">
        <f>IF(AND($J13260=0,$K13260=0),0,1)</f>
        <v>1</v>
      </c>
    </row>
    <row r="13261" spans="1:13" x14ac:dyDescent="0.2">
      <c r="A13261" t="s">
        <v>601</v>
      </c>
      <c r="B13261" t="s">
        <v>6</v>
      </c>
      <c r="C13261" t="s">
        <v>9</v>
      </c>
      <c r="D13261">
        <v>1211</v>
      </c>
      <c r="E13261">
        <v>2020</v>
      </c>
      <c r="F13261">
        <v>3</v>
      </c>
      <c r="G13261">
        <v>926</v>
      </c>
      <c r="H13261" s="1">
        <v>0</v>
      </c>
      <c r="I13261">
        <v>17</v>
      </c>
      <c r="J13261">
        <f>IF($H13261=0,1,IF($I13261&lt;=1,2,0))</f>
        <v>1</v>
      </c>
      <c r="K13261">
        <v>0</v>
      </c>
      <c r="L13261">
        <f>IF(AND($J13261=0,$K13261=0),0,1)</f>
        <v>1</v>
      </c>
    </row>
    <row r="13262" spans="1:13" x14ac:dyDescent="0.2">
      <c r="A13262" t="s">
        <v>601</v>
      </c>
      <c r="B13262" t="s">
        <v>6</v>
      </c>
      <c r="C13262" t="s">
        <v>9</v>
      </c>
      <c r="D13262">
        <v>1211</v>
      </c>
      <c r="E13262">
        <v>2020</v>
      </c>
      <c r="F13262">
        <v>4</v>
      </c>
      <c r="G13262">
        <v>927</v>
      </c>
      <c r="H13262" s="1">
        <v>0</v>
      </c>
      <c r="I13262">
        <v>17</v>
      </c>
      <c r="J13262">
        <f>IF($H13262=0,1,IF($I13262&lt;=1,2,0))</f>
        <v>1</v>
      </c>
      <c r="K13262">
        <v>0</v>
      </c>
      <c r="L13262">
        <f>IF(AND($J13262=0,$K13262=0),0,1)</f>
        <v>1</v>
      </c>
    </row>
    <row r="13263" spans="1:13" x14ac:dyDescent="0.2">
      <c r="A13263" t="s">
        <v>601</v>
      </c>
      <c r="B13263" t="s">
        <v>6</v>
      </c>
      <c r="C13263" t="s">
        <v>9</v>
      </c>
      <c r="D13263">
        <v>1211</v>
      </c>
      <c r="E13263">
        <v>2020</v>
      </c>
      <c r="F13263">
        <v>5</v>
      </c>
      <c r="G13263">
        <v>928</v>
      </c>
      <c r="H13263" s="1">
        <v>0</v>
      </c>
      <c r="I13263">
        <v>17</v>
      </c>
      <c r="J13263">
        <f>IF($H13263=0,1,IF($I13263&lt;=1,2,0))</f>
        <v>1</v>
      </c>
      <c r="K13263">
        <v>0</v>
      </c>
      <c r="L13263">
        <f>IF(AND($J13263=0,$K13263=0),0,1)</f>
        <v>1</v>
      </c>
    </row>
    <row r="13264" spans="1:13" x14ac:dyDescent="0.2">
      <c r="A13264" t="s">
        <v>601</v>
      </c>
      <c r="B13264" t="s">
        <v>6</v>
      </c>
      <c r="C13264" t="s">
        <v>9</v>
      </c>
      <c r="D13264">
        <v>1211</v>
      </c>
      <c r="E13264">
        <v>2020</v>
      </c>
      <c r="F13264">
        <v>8</v>
      </c>
      <c r="G13264">
        <v>931</v>
      </c>
      <c r="H13264" s="1">
        <v>0</v>
      </c>
      <c r="I13264">
        <v>17</v>
      </c>
      <c r="J13264">
        <f>IF($H13264=0,1,IF($I13264&lt;=1,2,0))</f>
        <v>1</v>
      </c>
      <c r="K13264">
        <v>0</v>
      </c>
      <c r="L13264">
        <f>IF(AND($J13264=0,$K13264=0),0,1)</f>
        <v>1</v>
      </c>
    </row>
    <row r="13265" spans="1:13" x14ac:dyDescent="0.2">
      <c r="A13265" t="s">
        <v>601</v>
      </c>
      <c r="B13265" t="s">
        <v>6</v>
      </c>
      <c r="C13265" t="s">
        <v>9</v>
      </c>
      <c r="D13265">
        <v>1211</v>
      </c>
      <c r="E13265">
        <v>2020</v>
      </c>
      <c r="F13265">
        <v>9</v>
      </c>
      <c r="G13265">
        <v>932</v>
      </c>
      <c r="H13265" s="1">
        <v>0</v>
      </c>
      <c r="I13265">
        <v>17</v>
      </c>
      <c r="J13265">
        <f>IF($H13265=0,1,IF($I13265&lt;=1,2,0))</f>
        <v>1</v>
      </c>
      <c r="K13265">
        <v>0</v>
      </c>
      <c r="L13265">
        <f>IF(AND($J13265=0,$K13265=0),0,1)</f>
        <v>1</v>
      </c>
    </row>
    <row r="13266" spans="1:13" x14ac:dyDescent="0.2">
      <c r="A13266" t="s">
        <v>601</v>
      </c>
      <c r="B13266" t="s">
        <v>6</v>
      </c>
      <c r="C13266" t="s">
        <v>9</v>
      </c>
      <c r="D13266">
        <v>1211</v>
      </c>
      <c r="E13266">
        <v>2020</v>
      </c>
      <c r="F13266">
        <v>10</v>
      </c>
      <c r="G13266">
        <v>933</v>
      </c>
      <c r="H13266" s="1">
        <v>0</v>
      </c>
      <c r="I13266">
        <v>17</v>
      </c>
      <c r="J13266">
        <f>IF($H13266=0,1,IF($I13266&lt;=1,2,0))</f>
        <v>1</v>
      </c>
      <c r="K13266">
        <v>0</v>
      </c>
      <c r="L13266">
        <f>IF(AND($J13266=0,$K13266=0),0,1)</f>
        <v>1</v>
      </c>
    </row>
    <row r="13267" spans="1:13" x14ac:dyDescent="0.2">
      <c r="A13267" t="s">
        <v>601</v>
      </c>
      <c r="B13267" t="s">
        <v>6</v>
      </c>
      <c r="C13267" t="s">
        <v>9</v>
      </c>
      <c r="D13267">
        <v>1211</v>
      </c>
      <c r="E13267">
        <v>2020</v>
      </c>
      <c r="F13267">
        <v>12</v>
      </c>
      <c r="G13267">
        <v>935</v>
      </c>
      <c r="H13267" s="1">
        <v>0</v>
      </c>
      <c r="I13267">
        <v>17</v>
      </c>
      <c r="J13267">
        <f>IF($H13267=0,1,IF($I13267&lt;=1,2,0))</f>
        <v>1</v>
      </c>
      <c r="K13267">
        <v>0</v>
      </c>
      <c r="L13267">
        <f>IF(AND($J13267=0,$K13267=0),0,1)</f>
        <v>1</v>
      </c>
    </row>
    <row r="13268" spans="1:13" x14ac:dyDescent="0.2">
      <c r="A13268" t="s">
        <v>601</v>
      </c>
      <c r="B13268" t="s">
        <v>6</v>
      </c>
      <c r="C13268" t="s">
        <v>9</v>
      </c>
      <c r="D13268">
        <v>1211</v>
      </c>
      <c r="E13268">
        <v>2020</v>
      </c>
      <c r="F13268">
        <v>13</v>
      </c>
      <c r="G13268">
        <v>936</v>
      </c>
      <c r="H13268" s="1">
        <v>0</v>
      </c>
      <c r="I13268">
        <v>17</v>
      </c>
      <c r="J13268">
        <f>IF($H13268=0,1,IF($I13268&lt;=1,2,0))</f>
        <v>1</v>
      </c>
      <c r="K13268">
        <v>0</v>
      </c>
      <c r="L13268">
        <f>IF(AND($J13268=0,$K13268=0),0,1)</f>
        <v>1</v>
      </c>
    </row>
    <row r="13269" spans="1:13" x14ac:dyDescent="0.2">
      <c r="A13269" t="s">
        <v>601</v>
      </c>
      <c r="B13269" t="s">
        <v>6</v>
      </c>
      <c r="C13269" t="s">
        <v>9</v>
      </c>
      <c r="D13269">
        <v>1211</v>
      </c>
      <c r="E13269">
        <v>2020</v>
      </c>
      <c r="F13269">
        <v>1</v>
      </c>
      <c r="G13269">
        <v>924</v>
      </c>
      <c r="H13269" s="1">
        <v>0</v>
      </c>
      <c r="I13269">
        <v>16</v>
      </c>
      <c r="J13269">
        <f>IF($H13269=0,1,IF($I13269&lt;=1,2,0))</f>
        <v>1</v>
      </c>
      <c r="K13269">
        <v>0</v>
      </c>
      <c r="L13269">
        <f>IF(AND($J13269=0,$K13269=0),0,1)</f>
        <v>1</v>
      </c>
    </row>
    <row r="13270" spans="1:13" x14ac:dyDescent="0.2">
      <c r="A13270" t="s">
        <v>601</v>
      </c>
      <c r="B13270" t="s">
        <v>6</v>
      </c>
      <c r="C13270" t="s">
        <v>9</v>
      </c>
      <c r="D13270">
        <v>1211</v>
      </c>
      <c r="E13270">
        <v>2020</v>
      </c>
      <c r="F13270">
        <v>2</v>
      </c>
      <c r="G13270">
        <v>925</v>
      </c>
      <c r="H13270" s="1">
        <v>0</v>
      </c>
      <c r="I13270">
        <v>16</v>
      </c>
      <c r="J13270">
        <f>IF($H13270=0,1,IF($I13270&lt;=1,2,0))</f>
        <v>1</v>
      </c>
      <c r="K13270">
        <v>0</v>
      </c>
      <c r="L13270">
        <f>IF(AND($J13270=0,$K13270=0),0,1)</f>
        <v>1</v>
      </c>
    </row>
    <row r="13271" spans="1:13" x14ac:dyDescent="0.2">
      <c r="A13271" t="s">
        <v>601</v>
      </c>
      <c r="B13271" t="s">
        <v>6</v>
      </c>
      <c r="C13271" t="s">
        <v>9</v>
      </c>
      <c r="D13271">
        <v>1211</v>
      </c>
      <c r="E13271">
        <v>2020</v>
      </c>
      <c r="F13271">
        <v>15</v>
      </c>
      <c r="G13271">
        <v>938</v>
      </c>
      <c r="H13271" s="1">
        <v>0</v>
      </c>
      <c r="I13271">
        <v>15</v>
      </c>
      <c r="J13271">
        <f>IF($H13271=0,1,IF($I13271&lt;=1,2,0))</f>
        <v>1</v>
      </c>
      <c r="K13271">
        <v>0</v>
      </c>
      <c r="L13271">
        <f>IF(AND($J13271=0,$K13271=0),0,1)</f>
        <v>1</v>
      </c>
    </row>
    <row r="13272" spans="1:13" x14ac:dyDescent="0.2">
      <c r="A13272" t="s">
        <v>601</v>
      </c>
      <c r="B13272" t="s">
        <v>6</v>
      </c>
      <c r="C13272" t="s">
        <v>9</v>
      </c>
      <c r="D13272">
        <v>1211</v>
      </c>
      <c r="E13272">
        <v>2020</v>
      </c>
      <c r="F13272">
        <v>17</v>
      </c>
      <c r="G13272">
        <v>940</v>
      </c>
      <c r="H13272" s="1">
        <v>0</v>
      </c>
      <c r="I13272">
        <v>14</v>
      </c>
      <c r="J13272">
        <f>IF($H13272=0,1,IF($I13272&lt;=1,2,0))</f>
        <v>1</v>
      </c>
      <c r="K13272">
        <v>0</v>
      </c>
      <c r="L13272">
        <f>IF(AND($J13272=0,$K13272=0),0,1)</f>
        <v>1</v>
      </c>
    </row>
    <row r="13273" spans="1:13" x14ac:dyDescent="0.2">
      <c r="A13273" t="s">
        <v>601</v>
      </c>
      <c r="B13273" t="s">
        <v>6</v>
      </c>
      <c r="C13273" t="s">
        <v>9</v>
      </c>
      <c r="D13273">
        <v>1211</v>
      </c>
      <c r="E13273">
        <v>2020</v>
      </c>
      <c r="F13273">
        <v>16</v>
      </c>
      <c r="G13273">
        <v>939</v>
      </c>
      <c r="H13273" s="1">
        <v>0</v>
      </c>
      <c r="I13273">
        <v>13</v>
      </c>
      <c r="J13273">
        <f>IF($H13273=0,1,IF($I13273&lt;=1,2,0))</f>
        <v>1</v>
      </c>
      <c r="K13273">
        <v>0</v>
      </c>
      <c r="L13273">
        <f>IF(AND($J13273=0,$K13273=0),0,1)</f>
        <v>1</v>
      </c>
    </row>
    <row r="13274" spans="1:13" x14ac:dyDescent="0.2">
      <c r="A13274" t="s">
        <v>601</v>
      </c>
      <c r="B13274" t="s">
        <v>6</v>
      </c>
      <c r="C13274" t="s">
        <v>9</v>
      </c>
      <c r="D13274">
        <v>1211</v>
      </c>
      <c r="E13274">
        <v>2020</v>
      </c>
      <c r="F13274">
        <v>18</v>
      </c>
      <c r="G13274">
        <v>970</v>
      </c>
      <c r="H13274" s="1">
        <v>0</v>
      </c>
      <c r="I13274">
        <v>4</v>
      </c>
      <c r="J13274">
        <f>IF($H13274=0,1,IF($I13274&lt;=1,2,0))</f>
        <v>1</v>
      </c>
      <c r="K13274">
        <v>0</v>
      </c>
      <c r="L13274">
        <f>IF(AND($J13274=0,$K13274=0),0,1)</f>
        <v>1</v>
      </c>
    </row>
    <row r="13275" spans="1:13" x14ac:dyDescent="0.2">
      <c r="A13275" t="s">
        <v>601</v>
      </c>
      <c r="B13275" t="s">
        <v>6</v>
      </c>
      <c r="C13275" t="s">
        <v>9</v>
      </c>
      <c r="D13275">
        <v>1211</v>
      </c>
      <c r="E13275">
        <v>2020</v>
      </c>
      <c r="F13275">
        <v>19</v>
      </c>
      <c r="G13275">
        <v>969</v>
      </c>
      <c r="H13275" s="1">
        <v>0</v>
      </c>
      <c r="I13275">
        <v>0</v>
      </c>
      <c r="J13275">
        <f>IF($H13275=0,1,IF($I13275&lt;=1,2,0))</f>
        <v>1</v>
      </c>
      <c r="K13275">
        <v>0</v>
      </c>
      <c r="L13275">
        <f>IF(AND($J13275=0,$K13275=0),0,1)</f>
        <v>1</v>
      </c>
    </row>
    <row r="13276" spans="1:13" x14ac:dyDescent="0.2">
      <c r="A13276" t="s">
        <v>601</v>
      </c>
      <c r="B13276" t="s">
        <v>6</v>
      </c>
      <c r="C13276" t="s">
        <v>21</v>
      </c>
      <c r="D13276">
        <v>1511</v>
      </c>
      <c r="E13276">
        <v>2020</v>
      </c>
      <c r="F13276">
        <v>4</v>
      </c>
      <c r="G13276">
        <v>14414</v>
      </c>
      <c r="H13276" s="1">
        <v>0</v>
      </c>
      <c r="I13276">
        <v>16</v>
      </c>
      <c r="J13276">
        <f>IF($H13276=0,1,IF($I13276&lt;=1,2,0))</f>
        <v>1</v>
      </c>
      <c r="K13276">
        <v>0</v>
      </c>
      <c r="L13276">
        <f>IF(AND($J13276=0,$K13276=0),0,1)</f>
        <v>1</v>
      </c>
      <c r="M13276" t="s">
        <v>614</v>
      </c>
    </row>
    <row r="13277" spans="1:13" x14ac:dyDescent="0.2">
      <c r="A13277" t="s">
        <v>601</v>
      </c>
      <c r="B13277" t="s">
        <v>6</v>
      </c>
      <c r="C13277" t="s">
        <v>21</v>
      </c>
      <c r="D13277">
        <v>1511</v>
      </c>
      <c r="E13277">
        <v>2020</v>
      </c>
      <c r="F13277">
        <v>7</v>
      </c>
      <c r="G13277">
        <v>24696</v>
      </c>
      <c r="H13277" s="1">
        <v>0</v>
      </c>
      <c r="I13277">
        <v>15</v>
      </c>
      <c r="J13277">
        <f>IF($H13277=0,1,IF($I13277&lt;=1,2,0))</f>
        <v>1</v>
      </c>
      <c r="K13277">
        <v>0</v>
      </c>
      <c r="L13277">
        <f>IF(AND($J13277=0,$K13277=0),0,1)</f>
        <v>1</v>
      </c>
      <c r="M13277" t="s">
        <v>614</v>
      </c>
    </row>
    <row r="13278" spans="1:13" x14ac:dyDescent="0.2">
      <c r="A13278" t="s">
        <v>601</v>
      </c>
      <c r="B13278" t="s">
        <v>6</v>
      </c>
      <c r="C13278" t="s">
        <v>21</v>
      </c>
      <c r="D13278">
        <v>1511</v>
      </c>
      <c r="E13278">
        <v>2020</v>
      </c>
      <c r="F13278">
        <v>1</v>
      </c>
      <c r="G13278">
        <v>14411</v>
      </c>
      <c r="H13278" s="1">
        <v>0</v>
      </c>
      <c r="I13278">
        <v>13</v>
      </c>
      <c r="J13278">
        <f>IF($H13278=0,1,IF($I13278&lt;=1,2,0))</f>
        <v>1</v>
      </c>
      <c r="K13278">
        <v>0</v>
      </c>
      <c r="L13278">
        <f>IF(AND($J13278=0,$K13278=0),0,1)</f>
        <v>1</v>
      </c>
      <c r="M13278" t="s">
        <v>614</v>
      </c>
    </row>
    <row r="13279" spans="1:13" x14ac:dyDescent="0.2">
      <c r="A13279" t="s">
        <v>601</v>
      </c>
      <c r="B13279" t="s">
        <v>6</v>
      </c>
      <c r="C13279" t="s">
        <v>21</v>
      </c>
      <c r="D13279">
        <v>1511</v>
      </c>
      <c r="E13279">
        <v>2020</v>
      </c>
      <c r="F13279">
        <v>8</v>
      </c>
      <c r="G13279">
        <v>24697</v>
      </c>
      <c r="H13279" s="1">
        <v>0</v>
      </c>
      <c r="I13279">
        <v>13</v>
      </c>
      <c r="J13279">
        <f>IF($H13279=0,1,IF($I13279&lt;=1,2,0))</f>
        <v>1</v>
      </c>
      <c r="K13279">
        <v>0</v>
      </c>
      <c r="L13279">
        <f>IF(AND($J13279=0,$K13279=0),0,1)</f>
        <v>1</v>
      </c>
      <c r="M13279" t="s">
        <v>614</v>
      </c>
    </row>
    <row r="13280" spans="1:13" x14ac:dyDescent="0.2">
      <c r="A13280" t="s">
        <v>601</v>
      </c>
      <c r="B13280" t="s">
        <v>6</v>
      </c>
      <c r="C13280" t="s">
        <v>21</v>
      </c>
      <c r="D13280">
        <v>1511</v>
      </c>
      <c r="E13280">
        <v>2020</v>
      </c>
      <c r="F13280">
        <v>3</v>
      </c>
      <c r="G13280">
        <v>14413</v>
      </c>
      <c r="H13280" s="1">
        <v>0</v>
      </c>
      <c r="I13280">
        <v>12</v>
      </c>
      <c r="J13280">
        <f>IF($H13280=0,1,IF($I13280&lt;=1,2,0))</f>
        <v>1</v>
      </c>
      <c r="K13280">
        <v>0</v>
      </c>
      <c r="L13280">
        <f>IF(AND($J13280=0,$K13280=0),0,1)</f>
        <v>1</v>
      </c>
      <c r="M13280" t="s">
        <v>614</v>
      </c>
    </row>
    <row r="13281" spans="1:13" x14ac:dyDescent="0.2">
      <c r="A13281" t="s">
        <v>601</v>
      </c>
      <c r="B13281" t="s">
        <v>6</v>
      </c>
      <c r="C13281" t="s">
        <v>21</v>
      </c>
      <c r="D13281">
        <v>1511</v>
      </c>
      <c r="E13281">
        <v>2020</v>
      </c>
      <c r="F13281">
        <v>6</v>
      </c>
      <c r="G13281">
        <v>24695</v>
      </c>
      <c r="H13281" s="1">
        <v>0</v>
      </c>
      <c r="I13281">
        <v>12</v>
      </c>
      <c r="J13281">
        <f>IF($H13281=0,1,IF($I13281&lt;=1,2,0))</f>
        <v>1</v>
      </c>
      <c r="K13281">
        <v>0</v>
      </c>
      <c r="L13281">
        <f>IF(AND($J13281=0,$K13281=0),0,1)</f>
        <v>1</v>
      </c>
      <c r="M13281" t="s">
        <v>614</v>
      </c>
    </row>
    <row r="13282" spans="1:13" x14ac:dyDescent="0.2">
      <c r="A13282" t="s">
        <v>601</v>
      </c>
      <c r="B13282" t="s">
        <v>6</v>
      </c>
      <c r="C13282" t="s">
        <v>21</v>
      </c>
      <c r="D13282">
        <v>1511</v>
      </c>
      <c r="E13282">
        <v>2020</v>
      </c>
      <c r="F13282">
        <v>2</v>
      </c>
      <c r="G13282">
        <v>14412</v>
      </c>
      <c r="H13282" s="1">
        <v>0</v>
      </c>
      <c r="I13282">
        <v>11</v>
      </c>
      <c r="J13282">
        <f>IF($H13282=0,1,IF($I13282&lt;=1,2,0))</f>
        <v>1</v>
      </c>
      <c r="K13282">
        <v>0</v>
      </c>
      <c r="L13282">
        <f>IF(AND($J13282=0,$K13282=0),0,1)</f>
        <v>1</v>
      </c>
      <c r="M13282" t="s">
        <v>614</v>
      </c>
    </row>
    <row r="13283" spans="1:13" x14ac:dyDescent="0.2">
      <c r="A13283" t="s">
        <v>601</v>
      </c>
      <c r="B13283" t="s">
        <v>6</v>
      </c>
      <c r="C13283" t="s">
        <v>21</v>
      </c>
      <c r="D13283">
        <v>1511</v>
      </c>
      <c r="E13283">
        <v>2020</v>
      </c>
      <c r="F13283">
        <v>5</v>
      </c>
      <c r="G13283">
        <v>24549</v>
      </c>
      <c r="H13283" s="1">
        <v>0</v>
      </c>
      <c r="I13283">
        <v>7</v>
      </c>
      <c r="J13283">
        <f>IF($H13283=0,1,IF($I13283&lt;=1,2,0))</f>
        <v>1</v>
      </c>
      <c r="K13283">
        <v>0</v>
      </c>
      <c r="L13283">
        <f>IF(AND($J13283=0,$K13283=0),0,1)</f>
        <v>1</v>
      </c>
      <c r="M13283" t="s">
        <v>614</v>
      </c>
    </row>
    <row r="13284" spans="1:13" x14ac:dyDescent="0.2">
      <c r="A13284" t="s">
        <v>601</v>
      </c>
      <c r="B13284" t="s">
        <v>6</v>
      </c>
      <c r="C13284" t="s">
        <v>21</v>
      </c>
      <c r="D13284">
        <v>1611</v>
      </c>
      <c r="E13284">
        <v>2020</v>
      </c>
      <c r="F13284">
        <v>2</v>
      </c>
      <c r="G13284">
        <v>906</v>
      </c>
      <c r="H13284" s="1">
        <v>0</v>
      </c>
      <c r="I13284">
        <v>19</v>
      </c>
      <c r="J13284">
        <f>IF($H13284=0,1,IF($I13284&lt;=1,2,0))</f>
        <v>1</v>
      </c>
      <c r="K13284">
        <v>0</v>
      </c>
      <c r="L13284">
        <f>IF(AND($J13284=0,$K13284=0),0,1)</f>
        <v>1</v>
      </c>
    </row>
    <row r="13285" spans="1:13" x14ac:dyDescent="0.2">
      <c r="A13285" t="s">
        <v>601</v>
      </c>
      <c r="B13285" t="s">
        <v>6</v>
      </c>
      <c r="C13285" t="s">
        <v>21</v>
      </c>
      <c r="D13285">
        <v>1611</v>
      </c>
      <c r="E13285">
        <v>2020</v>
      </c>
      <c r="F13285">
        <v>4</v>
      </c>
      <c r="G13285">
        <v>908</v>
      </c>
      <c r="H13285" s="1">
        <v>0</v>
      </c>
      <c r="I13285">
        <v>19</v>
      </c>
      <c r="J13285">
        <f>IF($H13285=0,1,IF($I13285&lt;=1,2,0))</f>
        <v>1</v>
      </c>
      <c r="K13285">
        <v>0</v>
      </c>
      <c r="L13285">
        <f>IF(AND($J13285=0,$K13285=0),0,1)</f>
        <v>1</v>
      </c>
    </row>
    <row r="13286" spans="1:13" x14ac:dyDescent="0.2">
      <c r="A13286" t="s">
        <v>601</v>
      </c>
      <c r="B13286" t="s">
        <v>6</v>
      </c>
      <c r="C13286" t="s">
        <v>21</v>
      </c>
      <c r="D13286">
        <v>1611</v>
      </c>
      <c r="E13286">
        <v>2020</v>
      </c>
      <c r="F13286">
        <v>6</v>
      </c>
      <c r="G13286">
        <v>911</v>
      </c>
      <c r="H13286" s="1">
        <v>0</v>
      </c>
      <c r="I13286">
        <v>19</v>
      </c>
      <c r="J13286">
        <f>IF($H13286=0,1,IF($I13286&lt;=1,2,0))</f>
        <v>1</v>
      </c>
      <c r="K13286">
        <v>0</v>
      </c>
      <c r="L13286">
        <f>IF(AND($J13286=0,$K13286=0),0,1)</f>
        <v>1</v>
      </c>
    </row>
    <row r="13287" spans="1:13" x14ac:dyDescent="0.2">
      <c r="A13287" t="s">
        <v>601</v>
      </c>
      <c r="B13287" t="s">
        <v>6</v>
      </c>
      <c r="C13287" t="s">
        <v>21</v>
      </c>
      <c r="D13287">
        <v>1611</v>
      </c>
      <c r="E13287">
        <v>2020</v>
      </c>
      <c r="F13287">
        <v>1</v>
      </c>
      <c r="G13287">
        <v>905</v>
      </c>
      <c r="H13287" s="1">
        <v>0</v>
      </c>
      <c r="I13287">
        <v>18</v>
      </c>
      <c r="J13287">
        <f>IF($H13287=0,1,IF($I13287&lt;=1,2,0))</f>
        <v>1</v>
      </c>
      <c r="K13287">
        <v>0</v>
      </c>
      <c r="L13287">
        <f>IF(AND($J13287=0,$K13287=0),0,1)</f>
        <v>1</v>
      </c>
    </row>
    <row r="13288" spans="1:13" x14ac:dyDescent="0.2">
      <c r="A13288" t="s">
        <v>601</v>
      </c>
      <c r="B13288" t="s">
        <v>6</v>
      </c>
      <c r="C13288" t="s">
        <v>21</v>
      </c>
      <c r="D13288">
        <v>1611</v>
      </c>
      <c r="E13288">
        <v>2020</v>
      </c>
      <c r="F13288">
        <v>5</v>
      </c>
      <c r="G13288">
        <v>909</v>
      </c>
      <c r="H13288" s="1">
        <v>0</v>
      </c>
      <c r="I13288">
        <v>18</v>
      </c>
      <c r="J13288">
        <f>IF($H13288=0,1,IF($I13288&lt;=1,2,0))</f>
        <v>1</v>
      </c>
      <c r="K13288">
        <v>0</v>
      </c>
      <c r="L13288">
        <f>IF(AND($J13288=0,$K13288=0),0,1)</f>
        <v>1</v>
      </c>
    </row>
    <row r="13289" spans="1:13" x14ac:dyDescent="0.2">
      <c r="A13289" t="s">
        <v>601</v>
      </c>
      <c r="B13289" t="s">
        <v>6</v>
      </c>
      <c r="C13289" t="s">
        <v>21</v>
      </c>
      <c r="D13289">
        <v>1611</v>
      </c>
      <c r="E13289">
        <v>2020</v>
      </c>
      <c r="F13289">
        <v>10</v>
      </c>
      <c r="G13289">
        <v>915</v>
      </c>
      <c r="H13289" s="1">
        <v>0</v>
      </c>
      <c r="I13289">
        <v>18</v>
      </c>
      <c r="J13289">
        <f>IF($H13289=0,1,IF($I13289&lt;=1,2,0))</f>
        <v>1</v>
      </c>
      <c r="K13289">
        <v>0</v>
      </c>
      <c r="L13289">
        <f>IF(AND($J13289=0,$K13289=0),0,1)</f>
        <v>1</v>
      </c>
    </row>
    <row r="13290" spans="1:13" x14ac:dyDescent="0.2">
      <c r="A13290" t="s">
        <v>601</v>
      </c>
      <c r="B13290" t="s">
        <v>6</v>
      </c>
      <c r="C13290" t="s">
        <v>21</v>
      </c>
      <c r="D13290">
        <v>1611</v>
      </c>
      <c r="E13290">
        <v>2020</v>
      </c>
      <c r="F13290">
        <v>14</v>
      </c>
      <c r="G13290">
        <v>919</v>
      </c>
      <c r="H13290" s="1">
        <v>0</v>
      </c>
      <c r="I13290">
        <v>18</v>
      </c>
      <c r="J13290">
        <f>IF($H13290=0,1,IF($I13290&lt;=1,2,0))</f>
        <v>1</v>
      </c>
      <c r="K13290">
        <v>0</v>
      </c>
      <c r="L13290">
        <f>IF(AND($J13290=0,$K13290=0),0,1)</f>
        <v>1</v>
      </c>
    </row>
    <row r="13291" spans="1:13" x14ac:dyDescent="0.2">
      <c r="A13291" t="s">
        <v>601</v>
      </c>
      <c r="B13291" t="s">
        <v>6</v>
      </c>
      <c r="C13291" t="s">
        <v>21</v>
      </c>
      <c r="D13291">
        <v>1611</v>
      </c>
      <c r="E13291">
        <v>2020</v>
      </c>
      <c r="F13291">
        <v>7</v>
      </c>
      <c r="G13291">
        <v>912</v>
      </c>
      <c r="H13291" s="1">
        <v>0</v>
      </c>
      <c r="I13291">
        <v>17</v>
      </c>
      <c r="J13291">
        <f>IF($H13291=0,1,IF($I13291&lt;=1,2,0))</f>
        <v>1</v>
      </c>
      <c r="K13291">
        <v>0</v>
      </c>
      <c r="L13291">
        <f>IF(AND($J13291=0,$K13291=0),0,1)</f>
        <v>1</v>
      </c>
    </row>
    <row r="13292" spans="1:13" x14ac:dyDescent="0.2">
      <c r="A13292" t="s">
        <v>601</v>
      </c>
      <c r="B13292" t="s">
        <v>6</v>
      </c>
      <c r="C13292" t="s">
        <v>21</v>
      </c>
      <c r="D13292">
        <v>1611</v>
      </c>
      <c r="E13292">
        <v>2020</v>
      </c>
      <c r="F13292">
        <v>13</v>
      </c>
      <c r="G13292">
        <v>918</v>
      </c>
      <c r="H13292" s="1">
        <v>0</v>
      </c>
      <c r="I13292">
        <v>14</v>
      </c>
      <c r="J13292">
        <f>IF($H13292=0,1,IF($I13292&lt;=1,2,0))</f>
        <v>1</v>
      </c>
      <c r="K13292">
        <v>0</v>
      </c>
      <c r="L13292">
        <f>IF(AND($J13292=0,$K13292=0),0,1)</f>
        <v>1</v>
      </c>
    </row>
    <row r="13293" spans="1:13" x14ac:dyDescent="0.2">
      <c r="A13293" t="s">
        <v>601</v>
      </c>
      <c r="B13293" t="s">
        <v>6</v>
      </c>
      <c r="C13293" t="s">
        <v>21</v>
      </c>
      <c r="D13293">
        <v>1611</v>
      </c>
      <c r="E13293">
        <v>2020</v>
      </c>
      <c r="F13293">
        <v>11</v>
      </c>
      <c r="G13293">
        <v>916</v>
      </c>
      <c r="H13293" s="1">
        <v>0</v>
      </c>
      <c r="I13293">
        <v>12</v>
      </c>
      <c r="J13293">
        <f>IF($H13293=0,1,IF($I13293&lt;=1,2,0))</f>
        <v>1</v>
      </c>
      <c r="K13293">
        <v>0</v>
      </c>
      <c r="L13293">
        <f>IF(AND($J13293=0,$K13293=0),0,1)</f>
        <v>1</v>
      </c>
    </row>
    <row r="13294" spans="1:13" x14ac:dyDescent="0.2">
      <c r="A13294" t="s">
        <v>601</v>
      </c>
      <c r="B13294" t="s">
        <v>6</v>
      </c>
      <c r="C13294" t="s">
        <v>21</v>
      </c>
      <c r="D13294">
        <v>1611</v>
      </c>
      <c r="E13294">
        <v>2020</v>
      </c>
      <c r="F13294">
        <v>18</v>
      </c>
      <c r="G13294">
        <v>923</v>
      </c>
      <c r="H13294" s="1">
        <v>0</v>
      </c>
      <c r="I13294">
        <v>12</v>
      </c>
      <c r="J13294">
        <f>IF($H13294=0,1,IF($I13294&lt;=1,2,0))</f>
        <v>1</v>
      </c>
      <c r="K13294">
        <v>0</v>
      </c>
      <c r="L13294">
        <f>IF(AND($J13294=0,$K13294=0),0,1)</f>
        <v>1</v>
      </c>
    </row>
    <row r="13295" spans="1:13" x14ac:dyDescent="0.2">
      <c r="A13295" t="s">
        <v>601</v>
      </c>
      <c r="B13295" t="s">
        <v>6</v>
      </c>
      <c r="C13295" t="s">
        <v>21</v>
      </c>
      <c r="D13295">
        <v>1611</v>
      </c>
      <c r="E13295">
        <v>2020</v>
      </c>
      <c r="F13295">
        <v>15</v>
      </c>
      <c r="G13295">
        <v>920</v>
      </c>
      <c r="H13295" s="1">
        <v>0</v>
      </c>
      <c r="I13295">
        <v>11</v>
      </c>
      <c r="J13295">
        <f>IF($H13295=0,1,IF($I13295&lt;=1,2,0))</f>
        <v>1</v>
      </c>
      <c r="K13295">
        <v>0</v>
      </c>
      <c r="L13295">
        <f>IF(AND($J13295=0,$K13295=0),0,1)</f>
        <v>1</v>
      </c>
    </row>
    <row r="13296" spans="1:13" x14ac:dyDescent="0.2">
      <c r="A13296" t="s">
        <v>601</v>
      </c>
      <c r="B13296" t="s">
        <v>6</v>
      </c>
      <c r="C13296" t="s">
        <v>21</v>
      </c>
      <c r="D13296">
        <v>1611</v>
      </c>
      <c r="E13296">
        <v>2020</v>
      </c>
      <c r="F13296">
        <v>3</v>
      </c>
      <c r="G13296">
        <v>907</v>
      </c>
      <c r="H13296" s="1">
        <v>0</v>
      </c>
      <c r="I13296">
        <v>10</v>
      </c>
      <c r="J13296">
        <f>IF($H13296=0,1,IF($I13296&lt;=1,2,0))</f>
        <v>1</v>
      </c>
      <c r="K13296">
        <v>0</v>
      </c>
      <c r="L13296">
        <f>IF(AND($J13296=0,$K13296=0),0,1)</f>
        <v>1</v>
      </c>
    </row>
    <row r="13297" spans="1:13" x14ac:dyDescent="0.2">
      <c r="A13297" t="s">
        <v>601</v>
      </c>
      <c r="B13297" t="s">
        <v>6</v>
      </c>
      <c r="C13297" t="s">
        <v>21</v>
      </c>
      <c r="D13297">
        <v>1611</v>
      </c>
      <c r="E13297">
        <v>2020</v>
      </c>
      <c r="F13297">
        <v>8</v>
      </c>
      <c r="G13297">
        <v>913</v>
      </c>
      <c r="H13297" s="1">
        <v>0</v>
      </c>
      <c r="I13297">
        <v>9</v>
      </c>
      <c r="J13297">
        <f>IF($H13297=0,1,IF($I13297&lt;=1,2,0))</f>
        <v>1</v>
      </c>
      <c r="K13297">
        <v>0</v>
      </c>
      <c r="L13297">
        <f>IF(AND($J13297=0,$K13297=0),0,1)</f>
        <v>1</v>
      </c>
    </row>
    <row r="13298" spans="1:13" x14ac:dyDescent="0.2">
      <c r="A13298" t="s">
        <v>601</v>
      </c>
      <c r="B13298" t="s">
        <v>6</v>
      </c>
      <c r="C13298" t="s">
        <v>21</v>
      </c>
      <c r="D13298">
        <v>1611</v>
      </c>
      <c r="E13298">
        <v>2020</v>
      </c>
      <c r="F13298">
        <v>9</v>
      </c>
      <c r="G13298">
        <v>914</v>
      </c>
      <c r="H13298" s="1">
        <v>0</v>
      </c>
      <c r="I13298">
        <v>9</v>
      </c>
      <c r="J13298">
        <f>IF($H13298=0,1,IF($I13298&lt;=1,2,0))</f>
        <v>1</v>
      </c>
      <c r="K13298">
        <v>0</v>
      </c>
      <c r="L13298">
        <f>IF(AND($J13298=0,$K13298=0),0,1)</f>
        <v>1</v>
      </c>
    </row>
    <row r="13299" spans="1:13" x14ac:dyDescent="0.2">
      <c r="A13299" t="s">
        <v>601</v>
      </c>
      <c r="B13299" t="s">
        <v>6</v>
      </c>
      <c r="C13299" t="s">
        <v>21</v>
      </c>
      <c r="D13299">
        <v>1611</v>
      </c>
      <c r="E13299">
        <v>2020</v>
      </c>
      <c r="F13299">
        <v>16</v>
      </c>
      <c r="G13299">
        <v>921</v>
      </c>
      <c r="H13299" s="1">
        <v>0</v>
      </c>
      <c r="I13299">
        <v>7</v>
      </c>
      <c r="J13299">
        <f>IF($H13299=0,1,IF($I13299&lt;=1,2,0))</f>
        <v>1</v>
      </c>
      <c r="K13299">
        <v>0</v>
      </c>
      <c r="L13299">
        <f>IF(AND($J13299=0,$K13299=0),0,1)</f>
        <v>1</v>
      </c>
    </row>
    <row r="13300" spans="1:13" x14ac:dyDescent="0.2">
      <c r="A13300" t="s">
        <v>601</v>
      </c>
      <c r="B13300" t="s">
        <v>6</v>
      </c>
      <c r="C13300" t="s">
        <v>21</v>
      </c>
      <c r="D13300">
        <v>1611</v>
      </c>
      <c r="E13300">
        <v>2020</v>
      </c>
      <c r="F13300">
        <v>12</v>
      </c>
      <c r="G13300">
        <v>917</v>
      </c>
      <c r="H13300" s="1">
        <v>0</v>
      </c>
      <c r="I13300">
        <v>5</v>
      </c>
      <c r="J13300">
        <f>IF($H13300=0,1,IF($I13300&lt;=1,2,0))</f>
        <v>1</v>
      </c>
      <c r="K13300">
        <v>0</v>
      </c>
      <c r="L13300">
        <f>IF(AND($J13300=0,$K13300=0),0,1)</f>
        <v>1</v>
      </c>
    </row>
    <row r="13301" spans="1:13" x14ac:dyDescent="0.2">
      <c r="A13301" t="s">
        <v>601</v>
      </c>
      <c r="B13301" t="s">
        <v>6</v>
      </c>
      <c r="C13301" t="s">
        <v>21</v>
      </c>
      <c r="D13301">
        <v>1611</v>
      </c>
      <c r="E13301">
        <v>2020</v>
      </c>
      <c r="F13301">
        <v>17</v>
      </c>
      <c r="G13301">
        <v>922</v>
      </c>
      <c r="H13301" s="1">
        <v>0</v>
      </c>
      <c r="I13301">
        <v>4</v>
      </c>
      <c r="J13301">
        <f>IF($H13301=0,1,IF($I13301&lt;=1,2,0))</f>
        <v>1</v>
      </c>
      <c r="K13301">
        <v>0</v>
      </c>
      <c r="L13301">
        <f>IF(AND($J13301=0,$K13301=0),0,1)</f>
        <v>1</v>
      </c>
    </row>
    <row r="13302" spans="1:13" x14ac:dyDescent="0.2">
      <c r="A13302" t="s">
        <v>601</v>
      </c>
      <c r="B13302" t="s">
        <v>6</v>
      </c>
      <c r="C13302" t="s">
        <v>2</v>
      </c>
      <c r="D13302">
        <v>3025</v>
      </c>
      <c r="E13302">
        <v>2020</v>
      </c>
      <c r="F13302">
        <v>1</v>
      </c>
      <c r="G13302">
        <v>769</v>
      </c>
      <c r="H13302" s="1">
        <v>3</v>
      </c>
      <c r="I13302">
        <v>15</v>
      </c>
      <c r="J13302">
        <f>IF($H13302=0,1,IF($I13302&lt;=1,2,0))</f>
        <v>0</v>
      </c>
      <c r="K13302">
        <v>7</v>
      </c>
      <c r="L13302">
        <f>IF(AND($J13302=0,$K13302=0),0,1)</f>
        <v>1</v>
      </c>
    </row>
    <row r="13303" spans="1:13" x14ac:dyDescent="0.2">
      <c r="A13303" t="s">
        <v>601</v>
      </c>
      <c r="B13303" t="s">
        <v>6</v>
      </c>
      <c r="C13303" t="s">
        <v>2</v>
      </c>
      <c r="D13303">
        <v>3026</v>
      </c>
      <c r="E13303">
        <v>2020</v>
      </c>
      <c r="F13303">
        <v>1</v>
      </c>
      <c r="G13303">
        <v>241</v>
      </c>
      <c r="H13303" s="1">
        <v>4</v>
      </c>
      <c r="I13303">
        <v>16</v>
      </c>
      <c r="J13303">
        <f>IF($H13303=0,1,IF($I13303&lt;=1,2,0))</f>
        <v>0</v>
      </c>
      <c r="K13303">
        <v>7</v>
      </c>
      <c r="L13303">
        <f>IF(AND($J13303=0,$K13303=0),0,1)</f>
        <v>1</v>
      </c>
      <c r="M13303" t="s">
        <v>1181</v>
      </c>
    </row>
    <row r="13304" spans="1:13" x14ac:dyDescent="0.2">
      <c r="A13304" t="s">
        <v>601</v>
      </c>
      <c r="B13304" t="s">
        <v>6</v>
      </c>
      <c r="C13304" t="s">
        <v>2</v>
      </c>
      <c r="D13304">
        <v>3031</v>
      </c>
      <c r="E13304">
        <v>2020</v>
      </c>
      <c r="F13304">
        <v>1</v>
      </c>
      <c r="G13304">
        <v>770</v>
      </c>
      <c r="H13304" s="1">
        <v>3</v>
      </c>
      <c r="I13304">
        <v>29</v>
      </c>
      <c r="J13304">
        <f>IF($H13304=0,1,IF($I13304&lt;=1,2,0))</f>
        <v>0</v>
      </c>
      <c r="K13304">
        <v>7</v>
      </c>
      <c r="L13304">
        <f>IF(AND($J13304=0,$K13304=0),0,1)</f>
        <v>1</v>
      </c>
    </row>
    <row r="13305" spans="1:13" x14ac:dyDescent="0.2">
      <c r="A13305" t="s">
        <v>601</v>
      </c>
      <c r="B13305" t="s">
        <v>6</v>
      </c>
      <c r="C13305" t="s">
        <v>2</v>
      </c>
      <c r="D13305">
        <v>3410</v>
      </c>
      <c r="E13305">
        <v>2020</v>
      </c>
      <c r="F13305">
        <v>1</v>
      </c>
      <c r="G13305">
        <v>475</v>
      </c>
      <c r="H13305" s="1">
        <v>4</v>
      </c>
      <c r="I13305">
        <v>16</v>
      </c>
      <c r="J13305">
        <f>IF($H13305=0,1,IF($I13305&lt;=1,2,0))</f>
        <v>0</v>
      </c>
      <c r="K13305">
        <v>7</v>
      </c>
      <c r="L13305">
        <f>IF(AND($J13305=0,$K13305=0),0,1)</f>
        <v>1</v>
      </c>
      <c r="M13305" t="s">
        <v>1181</v>
      </c>
    </row>
    <row r="13306" spans="1:13" x14ac:dyDescent="0.2">
      <c r="A13306" t="s">
        <v>601</v>
      </c>
      <c r="B13306" t="s">
        <v>6</v>
      </c>
      <c r="C13306" t="s">
        <v>2</v>
      </c>
      <c r="D13306">
        <v>3411</v>
      </c>
      <c r="E13306">
        <v>2020</v>
      </c>
      <c r="F13306">
        <v>1</v>
      </c>
      <c r="G13306">
        <v>240</v>
      </c>
      <c r="H13306" s="1">
        <v>4</v>
      </c>
      <c r="I13306">
        <v>14</v>
      </c>
      <c r="J13306">
        <f>IF($H13306=0,1,IF($I13306&lt;=1,2,0))</f>
        <v>0</v>
      </c>
      <c r="K13306">
        <v>7</v>
      </c>
      <c r="L13306">
        <f>IF(AND($J13306=0,$K13306=0),0,1)</f>
        <v>1</v>
      </c>
      <c r="M13306" t="s">
        <v>1181</v>
      </c>
    </row>
    <row r="13307" spans="1:13" x14ac:dyDescent="0.2">
      <c r="A13307" t="s">
        <v>601</v>
      </c>
      <c r="B13307" t="s">
        <v>6</v>
      </c>
      <c r="C13307" t="s">
        <v>21</v>
      </c>
      <c r="D13307">
        <v>3411</v>
      </c>
      <c r="E13307">
        <v>2020</v>
      </c>
      <c r="F13307">
        <v>1</v>
      </c>
      <c r="G13307">
        <v>904</v>
      </c>
      <c r="H13307" s="1">
        <v>0</v>
      </c>
      <c r="I13307">
        <v>14</v>
      </c>
      <c r="J13307">
        <f>IF($H13307=0,1,IF($I13307&lt;=1,2,0))</f>
        <v>1</v>
      </c>
      <c r="K13307">
        <v>0</v>
      </c>
      <c r="L13307">
        <f>IF(AND($J13307=0,$K13307=0),0,1)</f>
        <v>1</v>
      </c>
    </row>
    <row r="13308" spans="1:13" x14ac:dyDescent="0.2">
      <c r="A13308" t="s">
        <v>601</v>
      </c>
      <c r="B13308" t="s">
        <v>6</v>
      </c>
      <c r="C13308" t="s">
        <v>21</v>
      </c>
      <c r="D13308">
        <v>3411</v>
      </c>
      <c r="E13308">
        <v>2020</v>
      </c>
      <c r="F13308">
        <v>4</v>
      </c>
      <c r="G13308">
        <v>677</v>
      </c>
      <c r="H13308" s="1">
        <v>0</v>
      </c>
      <c r="I13308">
        <v>11</v>
      </c>
      <c r="J13308">
        <f>IF($H13308=0,1,IF($I13308&lt;=1,2,0))</f>
        <v>1</v>
      </c>
      <c r="K13308">
        <v>0</v>
      </c>
      <c r="L13308">
        <f>IF(AND($J13308=0,$K13308=0),0,1)</f>
        <v>1</v>
      </c>
    </row>
    <row r="13309" spans="1:13" x14ac:dyDescent="0.2">
      <c r="A13309" t="s">
        <v>601</v>
      </c>
      <c r="B13309" t="s">
        <v>6</v>
      </c>
      <c r="C13309" t="s">
        <v>21</v>
      </c>
      <c r="D13309">
        <v>3411</v>
      </c>
      <c r="E13309">
        <v>2020</v>
      </c>
      <c r="F13309">
        <v>5</v>
      </c>
      <c r="G13309">
        <v>955</v>
      </c>
      <c r="H13309" s="1">
        <v>0</v>
      </c>
      <c r="I13309">
        <v>11</v>
      </c>
      <c r="J13309">
        <f>IF($H13309=0,1,IF($I13309&lt;=1,2,0))</f>
        <v>1</v>
      </c>
      <c r="K13309">
        <v>0</v>
      </c>
      <c r="L13309">
        <f>IF(AND($J13309=0,$K13309=0),0,1)</f>
        <v>1</v>
      </c>
    </row>
    <row r="13310" spans="1:13" x14ac:dyDescent="0.2">
      <c r="A13310" t="s">
        <v>601</v>
      </c>
      <c r="B13310" t="s">
        <v>6</v>
      </c>
      <c r="C13310" t="s">
        <v>21</v>
      </c>
      <c r="D13310">
        <v>3411</v>
      </c>
      <c r="E13310">
        <v>2020</v>
      </c>
      <c r="F13310">
        <v>6</v>
      </c>
      <c r="G13310">
        <v>956</v>
      </c>
      <c r="H13310" s="1">
        <v>0</v>
      </c>
      <c r="I13310">
        <v>10</v>
      </c>
      <c r="J13310">
        <f>IF($H13310=0,1,IF($I13310&lt;=1,2,0))</f>
        <v>1</v>
      </c>
      <c r="K13310">
        <v>0</v>
      </c>
      <c r="L13310">
        <f>IF(AND($J13310=0,$K13310=0),0,1)</f>
        <v>1</v>
      </c>
    </row>
    <row r="13311" spans="1:13" x14ac:dyDescent="0.2">
      <c r="A13311" t="s">
        <v>601</v>
      </c>
      <c r="B13311" t="s">
        <v>6</v>
      </c>
      <c r="C13311" t="s">
        <v>21</v>
      </c>
      <c r="D13311">
        <v>3411</v>
      </c>
      <c r="E13311">
        <v>2020</v>
      </c>
      <c r="F13311">
        <v>3</v>
      </c>
      <c r="G13311">
        <v>676</v>
      </c>
      <c r="H13311" s="1">
        <v>0</v>
      </c>
      <c r="I13311">
        <v>9</v>
      </c>
      <c r="J13311">
        <f>IF($H13311=0,1,IF($I13311&lt;=1,2,0))</f>
        <v>1</v>
      </c>
      <c r="K13311">
        <v>0</v>
      </c>
      <c r="L13311">
        <f>IF(AND($J13311=0,$K13311=0),0,1)</f>
        <v>1</v>
      </c>
    </row>
    <row r="13312" spans="1:13" x14ac:dyDescent="0.2">
      <c r="A13312" t="s">
        <v>601</v>
      </c>
      <c r="B13312" t="s">
        <v>6</v>
      </c>
      <c r="C13312" t="s">
        <v>21</v>
      </c>
      <c r="D13312">
        <v>3411</v>
      </c>
      <c r="E13312">
        <v>2020</v>
      </c>
      <c r="F13312">
        <v>2</v>
      </c>
      <c r="G13312">
        <v>675</v>
      </c>
      <c r="H13312" s="1">
        <v>0</v>
      </c>
      <c r="I13312">
        <v>7</v>
      </c>
      <c r="J13312">
        <f>IF($H13312=0,1,IF($I13312&lt;=1,2,0))</f>
        <v>1</v>
      </c>
      <c r="K13312">
        <v>0</v>
      </c>
      <c r="L13312">
        <f>IF(AND($J13312=0,$K13312=0),0,1)</f>
        <v>1</v>
      </c>
    </row>
    <row r="13313" spans="1:13" x14ac:dyDescent="0.2">
      <c r="A13313" t="s">
        <v>601</v>
      </c>
      <c r="B13313" t="s">
        <v>6</v>
      </c>
      <c r="C13313" t="s">
        <v>2</v>
      </c>
      <c r="D13313">
        <v>3445</v>
      </c>
      <c r="E13313">
        <v>2020</v>
      </c>
      <c r="F13313">
        <v>1</v>
      </c>
      <c r="G13313">
        <v>771</v>
      </c>
      <c r="H13313" s="1">
        <v>4</v>
      </c>
      <c r="I13313">
        <v>15</v>
      </c>
      <c r="J13313">
        <f>IF($H13313=0,1,IF($I13313&lt;=1,2,0))</f>
        <v>0</v>
      </c>
      <c r="K13313">
        <v>7</v>
      </c>
      <c r="L13313">
        <f>IF(AND($J13313=0,$K13313=0),0,1)</f>
        <v>1</v>
      </c>
      <c r="M13313" t="s">
        <v>1181</v>
      </c>
    </row>
    <row r="13314" spans="1:13" x14ac:dyDescent="0.2">
      <c r="A13314" t="s">
        <v>601</v>
      </c>
      <c r="B13314" t="s">
        <v>6</v>
      </c>
      <c r="C13314" t="s">
        <v>2</v>
      </c>
      <c r="D13314">
        <v>3500</v>
      </c>
      <c r="E13314">
        <v>2020</v>
      </c>
      <c r="F13314">
        <v>1</v>
      </c>
      <c r="G13314">
        <v>441</v>
      </c>
      <c r="H13314" s="1">
        <v>4</v>
      </c>
      <c r="I13314">
        <v>11</v>
      </c>
      <c r="J13314">
        <f>IF($H13314=0,1,IF($I13314&lt;=1,2,0))</f>
        <v>0</v>
      </c>
      <c r="K13314">
        <v>7</v>
      </c>
      <c r="L13314">
        <f>IF(AND($J13314=0,$K13314=0),0,1)</f>
        <v>1</v>
      </c>
      <c r="M13314" t="s">
        <v>1181</v>
      </c>
    </row>
    <row r="13315" spans="1:13" x14ac:dyDescent="0.2">
      <c r="A13315" t="s">
        <v>601</v>
      </c>
      <c r="B13315" t="s">
        <v>6</v>
      </c>
      <c r="C13315" t="s">
        <v>2</v>
      </c>
      <c r="D13315">
        <v>3505</v>
      </c>
      <c r="E13315">
        <v>2020</v>
      </c>
      <c r="F13315">
        <v>1</v>
      </c>
      <c r="G13315">
        <v>245</v>
      </c>
      <c r="H13315" s="1">
        <v>4</v>
      </c>
      <c r="I13315">
        <v>15</v>
      </c>
      <c r="J13315">
        <f>IF($H13315=0,1,IF($I13315&lt;=1,2,0))</f>
        <v>0</v>
      </c>
      <c r="K13315">
        <v>7</v>
      </c>
      <c r="L13315">
        <f>IF(AND($J13315=0,$K13315=0),0,1)</f>
        <v>1</v>
      </c>
      <c r="M13315" t="s">
        <v>1182</v>
      </c>
    </row>
    <row r="13316" spans="1:13" x14ac:dyDescent="0.2">
      <c r="A13316" t="s">
        <v>601</v>
      </c>
      <c r="B13316" t="s">
        <v>6</v>
      </c>
      <c r="C13316" t="s">
        <v>2</v>
      </c>
      <c r="D13316">
        <v>3521</v>
      </c>
      <c r="E13316">
        <v>2020</v>
      </c>
      <c r="F13316">
        <v>1</v>
      </c>
      <c r="G13316">
        <v>650</v>
      </c>
      <c r="H13316" s="1">
        <v>3</v>
      </c>
      <c r="I13316">
        <v>50</v>
      </c>
      <c r="J13316">
        <f>IF($H13316=0,1,IF($I13316&lt;=1,2,0))</f>
        <v>0</v>
      </c>
      <c r="K13316">
        <v>7</v>
      </c>
      <c r="L13316">
        <f>IF(AND($J13316=0,$K13316=0),0,1)</f>
        <v>1</v>
      </c>
    </row>
    <row r="13317" spans="1:13" x14ac:dyDescent="0.2">
      <c r="A13317" t="s">
        <v>601</v>
      </c>
      <c r="B13317" t="s">
        <v>6</v>
      </c>
      <c r="C13317" t="s">
        <v>9</v>
      </c>
      <c r="D13317">
        <v>3632</v>
      </c>
      <c r="E13317">
        <v>2020</v>
      </c>
      <c r="F13317">
        <v>1</v>
      </c>
      <c r="G13317">
        <v>14415</v>
      </c>
      <c r="H13317" s="1">
        <v>0</v>
      </c>
      <c r="I13317">
        <v>16</v>
      </c>
      <c r="J13317">
        <f>IF($H13317=0,1,IF($I13317&lt;=1,2,0))</f>
        <v>1</v>
      </c>
      <c r="K13317">
        <v>0</v>
      </c>
      <c r="L13317">
        <f>IF(AND($J13317=0,$K13317=0),0,1)</f>
        <v>1</v>
      </c>
      <c r="M13317" t="s">
        <v>614</v>
      </c>
    </row>
    <row r="13318" spans="1:13" x14ac:dyDescent="0.2">
      <c r="A13318" t="s">
        <v>601</v>
      </c>
      <c r="B13318" t="s">
        <v>6</v>
      </c>
      <c r="C13318" t="s">
        <v>9</v>
      </c>
      <c r="D13318">
        <v>3632</v>
      </c>
      <c r="E13318">
        <v>2020</v>
      </c>
      <c r="F13318">
        <v>3</v>
      </c>
      <c r="G13318">
        <v>14417</v>
      </c>
      <c r="H13318" s="1">
        <v>0</v>
      </c>
      <c r="I13318">
        <v>15</v>
      </c>
      <c r="J13318">
        <f>IF($H13318=0,1,IF($I13318&lt;=1,2,0))</f>
        <v>1</v>
      </c>
      <c r="K13318">
        <v>0</v>
      </c>
      <c r="L13318">
        <f>IF(AND($J13318=0,$K13318=0),0,1)</f>
        <v>1</v>
      </c>
      <c r="M13318" t="s">
        <v>614</v>
      </c>
    </row>
    <row r="13319" spans="1:13" x14ac:dyDescent="0.2">
      <c r="A13319" t="s">
        <v>601</v>
      </c>
      <c r="B13319" t="s">
        <v>6</v>
      </c>
      <c r="C13319" t="s">
        <v>9</v>
      </c>
      <c r="D13319">
        <v>3632</v>
      </c>
      <c r="E13319">
        <v>2020</v>
      </c>
      <c r="F13319">
        <v>6</v>
      </c>
      <c r="G13319">
        <v>24763</v>
      </c>
      <c r="H13319" s="1">
        <v>0</v>
      </c>
      <c r="I13319">
        <v>3</v>
      </c>
      <c r="J13319">
        <f>IF($H13319=0,1,IF($I13319&lt;=1,2,0))</f>
        <v>1</v>
      </c>
      <c r="K13319">
        <v>0</v>
      </c>
      <c r="L13319">
        <f>IF(AND($J13319=0,$K13319=0),0,1)</f>
        <v>1</v>
      </c>
      <c r="M13319" t="s">
        <v>614</v>
      </c>
    </row>
    <row r="13320" spans="1:13" x14ac:dyDescent="0.2">
      <c r="A13320" t="s">
        <v>601</v>
      </c>
      <c r="B13320" t="s">
        <v>6</v>
      </c>
      <c r="C13320" t="s">
        <v>9</v>
      </c>
      <c r="D13320">
        <v>3632</v>
      </c>
      <c r="E13320">
        <v>2020</v>
      </c>
      <c r="F13320">
        <v>2</v>
      </c>
      <c r="G13320">
        <v>14416</v>
      </c>
      <c r="H13320" s="1">
        <v>0</v>
      </c>
      <c r="I13320">
        <v>0</v>
      </c>
      <c r="J13320">
        <f>IF($H13320=0,1,IF($I13320&lt;=1,2,0))</f>
        <v>1</v>
      </c>
      <c r="K13320">
        <v>0</v>
      </c>
      <c r="L13320">
        <f>IF(AND($J13320=0,$K13320=0),0,1)</f>
        <v>1</v>
      </c>
      <c r="M13320" t="s">
        <v>614</v>
      </c>
    </row>
    <row r="13321" spans="1:13" x14ac:dyDescent="0.2">
      <c r="A13321" t="s">
        <v>601</v>
      </c>
      <c r="B13321" t="s">
        <v>6</v>
      </c>
      <c r="C13321" t="s">
        <v>9</v>
      </c>
      <c r="D13321">
        <v>3632</v>
      </c>
      <c r="E13321">
        <v>2020</v>
      </c>
      <c r="F13321">
        <v>4</v>
      </c>
      <c r="G13321">
        <v>14418</v>
      </c>
      <c r="H13321" s="1">
        <v>0</v>
      </c>
      <c r="I13321">
        <v>0</v>
      </c>
      <c r="J13321">
        <f>IF($H13321=0,1,IF($I13321&lt;=1,2,0))</f>
        <v>1</v>
      </c>
      <c r="K13321">
        <v>0</v>
      </c>
      <c r="L13321">
        <f>IF(AND($J13321=0,$K13321=0),0,1)</f>
        <v>1</v>
      </c>
      <c r="M13321" t="s">
        <v>614</v>
      </c>
    </row>
    <row r="13322" spans="1:13" x14ac:dyDescent="0.2">
      <c r="A13322" t="s">
        <v>601</v>
      </c>
      <c r="B13322" t="s">
        <v>6</v>
      </c>
      <c r="C13322" t="s">
        <v>9</v>
      </c>
      <c r="D13322">
        <v>3632</v>
      </c>
      <c r="E13322">
        <v>2020</v>
      </c>
      <c r="F13322">
        <v>5</v>
      </c>
      <c r="G13322">
        <v>24762</v>
      </c>
      <c r="H13322" s="1">
        <v>0</v>
      </c>
      <c r="I13322">
        <v>0</v>
      </c>
      <c r="J13322">
        <f>IF($H13322=0,1,IF($I13322&lt;=1,2,0))</f>
        <v>1</v>
      </c>
      <c r="K13322">
        <v>0</v>
      </c>
      <c r="L13322">
        <f>IF(AND($J13322=0,$K13322=0),0,1)</f>
        <v>1</v>
      </c>
      <c r="M13322" t="s">
        <v>614</v>
      </c>
    </row>
    <row r="13323" spans="1:13" x14ac:dyDescent="0.2">
      <c r="A13323" t="s">
        <v>601</v>
      </c>
      <c r="B13323" t="s">
        <v>6</v>
      </c>
      <c r="C13323" t="s">
        <v>9</v>
      </c>
      <c r="D13323">
        <v>3649</v>
      </c>
      <c r="E13323">
        <v>2020</v>
      </c>
      <c r="F13323">
        <v>4</v>
      </c>
      <c r="G13323">
        <v>24721</v>
      </c>
      <c r="H13323" s="1">
        <v>0</v>
      </c>
      <c r="I13323">
        <v>17</v>
      </c>
      <c r="J13323">
        <f>IF($H13323=0,1,IF($I13323&lt;=1,2,0))</f>
        <v>1</v>
      </c>
      <c r="K13323">
        <v>0</v>
      </c>
      <c r="L13323">
        <f>IF(AND($J13323=0,$K13323=0),0,1)</f>
        <v>1</v>
      </c>
      <c r="M13323" t="s">
        <v>614</v>
      </c>
    </row>
    <row r="13324" spans="1:13" x14ac:dyDescent="0.2">
      <c r="A13324" t="s">
        <v>601</v>
      </c>
      <c r="B13324" t="s">
        <v>6</v>
      </c>
      <c r="C13324" t="s">
        <v>9</v>
      </c>
      <c r="D13324">
        <v>3649</v>
      </c>
      <c r="E13324">
        <v>2020</v>
      </c>
      <c r="F13324">
        <v>1</v>
      </c>
      <c r="G13324">
        <v>14307</v>
      </c>
      <c r="H13324" s="1">
        <v>0</v>
      </c>
      <c r="I13324">
        <v>13</v>
      </c>
      <c r="J13324">
        <f>IF($H13324=0,1,IF($I13324&lt;=1,2,0))</f>
        <v>1</v>
      </c>
      <c r="K13324">
        <v>0</v>
      </c>
      <c r="L13324">
        <f>IF(AND($J13324=0,$K13324=0),0,1)</f>
        <v>1</v>
      </c>
      <c r="M13324" t="s">
        <v>614</v>
      </c>
    </row>
    <row r="13325" spans="1:13" x14ac:dyDescent="0.2">
      <c r="A13325" t="s">
        <v>601</v>
      </c>
      <c r="B13325" t="s">
        <v>6</v>
      </c>
      <c r="C13325" t="s">
        <v>9</v>
      </c>
      <c r="D13325">
        <v>3649</v>
      </c>
      <c r="E13325">
        <v>2020</v>
      </c>
      <c r="F13325">
        <v>3</v>
      </c>
      <c r="G13325">
        <v>24720</v>
      </c>
      <c r="H13325" s="1">
        <v>0</v>
      </c>
      <c r="I13325">
        <v>12</v>
      </c>
      <c r="J13325">
        <f>IF($H13325=0,1,IF($I13325&lt;=1,2,0))</f>
        <v>1</v>
      </c>
      <c r="K13325">
        <v>0</v>
      </c>
      <c r="L13325">
        <f>IF(AND($J13325=0,$K13325=0),0,1)</f>
        <v>1</v>
      </c>
      <c r="M13325" t="s">
        <v>614</v>
      </c>
    </row>
    <row r="13326" spans="1:13" x14ac:dyDescent="0.2">
      <c r="A13326" t="s">
        <v>601</v>
      </c>
      <c r="B13326" t="s">
        <v>6</v>
      </c>
      <c r="C13326" t="s">
        <v>9</v>
      </c>
      <c r="D13326">
        <v>3649</v>
      </c>
      <c r="E13326">
        <v>2020</v>
      </c>
      <c r="F13326">
        <v>2</v>
      </c>
      <c r="G13326">
        <v>24692</v>
      </c>
      <c r="H13326" s="1">
        <v>0</v>
      </c>
      <c r="I13326">
        <v>9</v>
      </c>
      <c r="J13326">
        <f>IF($H13326=0,1,IF($I13326&lt;=1,2,0))</f>
        <v>1</v>
      </c>
      <c r="K13326">
        <v>0</v>
      </c>
      <c r="L13326">
        <f>IF(AND($J13326=0,$K13326=0),0,1)</f>
        <v>1</v>
      </c>
      <c r="M13326" t="s">
        <v>614</v>
      </c>
    </row>
    <row r="13327" spans="1:13" x14ac:dyDescent="0.2">
      <c r="A13327" t="s">
        <v>601</v>
      </c>
      <c r="B13327" t="s">
        <v>6</v>
      </c>
      <c r="C13327" t="s">
        <v>21</v>
      </c>
      <c r="D13327">
        <v>3716</v>
      </c>
      <c r="E13327">
        <v>2020</v>
      </c>
      <c r="F13327">
        <v>4</v>
      </c>
      <c r="G13327">
        <v>944</v>
      </c>
      <c r="H13327" s="1">
        <v>0</v>
      </c>
      <c r="I13327">
        <v>16</v>
      </c>
      <c r="J13327">
        <f>IF($H13327=0,1,IF($I13327&lt;=1,2,0))</f>
        <v>1</v>
      </c>
      <c r="K13327">
        <v>0</v>
      </c>
      <c r="L13327">
        <f>IF(AND($J13327=0,$K13327=0),0,1)</f>
        <v>1</v>
      </c>
    </row>
    <row r="13328" spans="1:13" x14ac:dyDescent="0.2">
      <c r="A13328" t="s">
        <v>601</v>
      </c>
      <c r="B13328" t="s">
        <v>6</v>
      </c>
      <c r="C13328" t="s">
        <v>21</v>
      </c>
      <c r="D13328">
        <v>3716</v>
      </c>
      <c r="E13328">
        <v>2020</v>
      </c>
      <c r="F13328">
        <v>3</v>
      </c>
      <c r="G13328">
        <v>943</v>
      </c>
      <c r="H13328" s="1">
        <v>0</v>
      </c>
      <c r="I13328">
        <v>9</v>
      </c>
      <c r="J13328">
        <f>IF($H13328=0,1,IF($I13328&lt;=1,2,0))</f>
        <v>1</v>
      </c>
      <c r="K13328">
        <v>0</v>
      </c>
      <c r="L13328">
        <f>IF(AND($J13328=0,$K13328=0),0,1)</f>
        <v>1</v>
      </c>
    </row>
    <row r="13329" spans="1:13" x14ac:dyDescent="0.2">
      <c r="A13329" t="s">
        <v>601</v>
      </c>
      <c r="B13329" t="s">
        <v>6</v>
      </c>
      <c r="C13329" t="s">
        <v>21</v>
      </c>
      <c r="D13329">
        <v>3716</v>
      </c>
      <c r="E13329">
        <v>2020</v>
      </c>
      <c r="F13329">
        <v>1</v>
      </c>
      <c r="G13329">
        <v>941</v>
      </c>
      <c r="H13329" s="1">
        <v>0</v>
      </c>
      <c r="I13329">
        <v>6</v>
      </c>
      <c r="J13329">
        <f>IF($H13329=0,1,IF($I13329&lt;=1,2,0))</f>
        <v>1</v>
      </c>
      <c r="K13329">
        <v>0</v>
      </c>
      <c r="L13329">
        <f>IF(AND($J13329=0,$K13329=0),0,1)</f>
        <v>1</v>
      </c>
    </row>
    <row r="13330" spans="1:13" x14ac:dyDescent="0.2">
      <c r="A13330" t="s">
        <v>601</v>
      </c>
      <c r="B13330" t="s">
        <v>6</v>
      </c>
      <c r="C13330" t="s">
        <v>21</v>
      </c>
      <c r="D13330">
        <v>3716</v>
      </c>
      <c r="E13330">
        <v>2020</v>
      </c>
      <c r="F13330">
        <v>2</v>
      </c>
      <c r="G13330">
        <v>942</v>
      </c>
      <c r="H13330" s="1">
        <v>0</v>
      </c>
      <c r="I13330">
        <v>2</v>
      </c>
      <c r="J13330">
        <f>IF($H13330=0,1,IF($I13330&lt;=1,2,0))</f>
        <v>1</v>
      </c>
      <c r="K13330">
        <v>0</v>
      </c>
      <c r="L13330">
        <f>IF(AND($J13330=0,$K13330=0),0,1)</f>
        <v>1</v>
      </c>
    </row>
    <row r="13331" spans="1:13" x14ac:dyDescent="0.2">
      <c r="A13331" t="s">
        <v>601</v>
      </c>
      <c r="B13331" t="s">
        <v>6</v>
      </c>
      <c r="C13331" t="s">
        <v>9</v>
      </c>
      <c r="D13331">
        <v>3722</v>
      </c>
      <c r="E13331">
        <v>2020</v>
      </c>
      <c r="F13331">
        <v>1</v>
      </c>
      <c r="G13331">
        <v>21599</v>
      </c>
      <c r="H13331" s="1">
        <v>0</v>
      </c>
      <c r="I13331">
        <v>18</v>
      </c>
      <c r="J13331">
        <f>IF($H13331=0,1,IF($I13331&lt;=1,2,0))</f>
        <v>1</v>
      </c>
      <c r="K13331">
        <v>0</v>
      </c>
      <c r="L13331">
        <f>IF(AND($J13331=0,$K13331=0),0,1)</f>
        <v>1</v>
      </c>
      <c r="M13331" t="s">
        <v>614</v>
      </c>
    </row>
    <row r="13332" spans="1:13" x14ac:dyDescent="0.2">
      <c r="A13332" t="s">
        <v>601</v>
      </c>
      <c r="B13332" t="s">
        <v>6</v>
      </c>
      <c r="C13332" t="s">
        <v>9</v>
      </c>
      <c r="D13332">
        <v>3722</v>
      </c>
      <c r="E13332">
        <v>2020</v>
      </c>
      <c r="F13332">
        <v>2</v>
      </c>
      <c r="G13332">
        <v>21600</v>
      </c>
      <c r="H13332" s="1">
        <v>0</v>
      </c>
      <c r="I13332">
        <v>15</v>
      </c>
      <c r="J13332">
        <f>IF($H13332=0,1,IF($I13332&lt;=1,2,0))</f>
        <v>1</v>
      </c>
      <c r="K13332">
        <v>0</v>
      </c>
      <c r="L13332">
        <f>IF(AND($J13332=0,$K13332=0),0,1)</f>
        <v>1</v>
      </c>
      <c r="M13332" t="s">
        <v>614</v>
      </c>
    </row>
    <row r="13333" spans="1:13" x14ac:dyDescent="0.2">
      <c r="A13333" t="s">
        <v>601</v>
      </c>
      <c r="B13333" t="s">
        <v>6</v>
      </c>
      <c r="C13333" t="s">
        <v>2</v>
      </c>
      <c r="D13333">
        <v>3765</v>
      </c>
      <c r="E13333">
        <v>2020</v>
      </c>
      <c r="F13333">
        <v>1</v>
      </c>
      <c r="G13333">
        <v>821</v>
      </c>
      <c r="H13333" s="1" t="s">
        <v>1824</v>
      </c>
      <c r="I13333">
        <v>2</v>
      </c>
      <c r="J13333">
        <f>IF($H13333=0,1,IF($I13333&lt;=1,2,0))</f>
        <v>0</v>
      </c>
      <c r="K13333">
        <v>7</v>
      </c>
      <c r="L13333">
        <f>IF(AND($J13333=0,$K13333=0),0,1)</f>
        <v>1</v>
      </c>
    </row>
    <row r="13334" spans="1:13" x14ac:dyDescent="0.2">
      <c r="A13334" t="s">
        <v>601</v>
      </c>
      <c r="B13334" t="s">
        <v>6</v>
      </c>
      <c r="C13334" t="s">
        <v>9</v>
      </c>
      <c r="D13334">
        <v>3769</v>
      </c>
      <c r="E13334">
        <v>2020</v>
      </c>
      <c r="F13334">
        <v>1</v>
      </c>
      <c r="G13334">
        <v>21405</v>
      </c>
      <c r="H13334" s="1">
        <v>0</v>
      </c>
      <c r="I13334">
        <v>8</v>
      </c>
      <c r="J13334">
        <f>IF($H13334=0,1,IF($I13334&lt;=1,2,0))</f>
        <v>1</v>
      </c>
      <c r="K13334">
        <v>0</v>
      </c>
      <c r="L13334">
        <f>IF(AND($J13334=0,$K13334=0),0,1)</f>
        <v>1</v>
      </c>
      <c r="M13334" t="s">
        <v>614</v>
      </c>
    </row>
    <row r="13335" spans="1:13" x14ac:dyDescent="0.2">
      <c r="A13335" t="s">
        <v>601</v>
      </c>
      <c r="B13335" t="s">
        <v>6</v>
      </c>
      <c r="C13335" t="s">
        <v>9</v>
      </c>
      <c r="D13335">
        <v>3769</v>
      </c>
      <c r="E13335">
        <v>2020</v>
      </c>
      <c r="F13335">
        <v>2</v>
      </c>
      <c r="G13335">
        <v>21406</v>
      </c>
      <c r="H13335" s="1">
        <v>0</v>
      </c>
      <c r="I13335">
        <v>3</v>
      </c>
      <c r="J13335">
        <f>IF($H13335=0,1,IF($I13335&lt;=1,2,0))</f>
        <v>1</v>
      </c>
      <c r="K13335">
        <v>0</v>
      </c>
      <c r="L13335">
        <f>IF(AND($J13335=0,$K13335=0),0,1)</f>
        <v>1</v>
      </c>
      <c r="M13335" t="s">
        <v>614</v>
      </c>
    </row>
    <row r="13336" spans="1:13" x14ac:dyDescent="0.2">
      <c r="A13336" t="s">
        <v>601</v>
      </c>
      <c r="B13336" t="s">
        <v>6</v>
      </c>
      <c r="C13336" t="s">
        <v>2</v>
      </c>
      <c r="D13336">
        <v>3799</v>
      </c>
      <c r="E13336">
        <v>2020</v>
      </c>
      <c r="F13336">
        <v>2</v>
      </c>
      <c r="G13336">
        <v>825</v>
      </c>
      <c r="H13336" s="1" t="s">
        <v>1832</v>
      </c>
      <c r="I13336">
        <v>1</v>
      </c>
      <c r="J13336">
        <f>IF($H13336=0,1,IF($I13336&lt;=1,2,0))</f>
        <v>2</v>
      </c>
      <c r="K13336">
        <v>7</v>
      </c>
      <c r="L13336">
        <f>IF(AND($J13336=0,$K13336=0),0,1)</f>
        <v>1</v>
      </c>
    </row>
    <row r="13337" spans="1:13" x14ac:dyDescent="0.2">
      <c r="A13337" t="s">
        <v>601</v>
      </c>
      <c r="B13337" t="s">
        <v>6</v>
      </c>
      <c r="C13337" t="s">
        <v>2</v>
      </c>
      <c r="D13337">
        <v>3799</v>
      </c>
      <c r="E13337">
        <v>2020</v>
      </c>
      <c r="F13337">
        <v>1</v>
      </c>
      <c r="G13337">
        <v>813</v>
      </c>
      <c r="H13337" s="1" t="s">
        <v>1832</v>
      </c>
      <c r="I13337">
        <v>0</v>
      </c>
      <c r="J13337">
        <f>IF($H13337=0,1,IF($I13337&lt;=1,2,0))</f>
        <v>2</v>
      </c>
      <c r="K13337">
        <v>7</v>
      </c>
      <c r="L13337">
        <f>IF(AND($J13337=0,$K13337=0),0,1)</f>
        <v>1</v>
      </c>
    </row>
    <row r="13338" spans="1:13" x14ac:dyDescent="0.2">
      <c r="A13338" t="s">
        <v>601</v>
      </c>
      <c r="B13338" t="s">
        <v>6</v>
      </c>
      <c r="C13338" t="s">
        <v>9</v>
      </c>
      <c r="D13338">
        <v>3901</v>
      </c>
      <c r="E13338">
        <v>2020</v>
      </c>
      <c r="F13338">
        <v>1</v>
      </c>
      <c r="G13338">
        <v>14140</v>
      </c>
      <c r="H13338" s="1" t="s">
        <v>1828</v>
      </c>
      <c r="I13338">
        <v>1</v>
      </c>
      <c r="J13338">
        <f>IF($H13338=0,1,IF($I13338&lt;=1,2,0))</f>
        <v>2</v>
      </c>
      <c r="K13338">
        <v>9</v>
      </c>
      <c r="L13338">
        <f>IF(AND($J13338=0,$K13338=0),0,1)</f>
        <v>1</v>
      </c>
      <c r="M13338" t="s">
        <v>614</v>
      </c>
    </row>
    <row r="13339" spans="1:13" x14ac:dyDescent="0.2">
      <c r="A13339" t="s">
        <v>601</v>
      </c>
      <c r="B13339" t="s">
        <v>6</v>
      </c>
      <c r="C13339" t="s">
        <v>9</v>
      </c>
      <c r="D13339">
        <v>3901</v>
      </c>
      <c r="E13339">
        <v>2020</v>
      </c>
      <c r="F13339">
        <v>2</v>
      </c>
      <c r="G13339">
        <v>24778</v>
      </c>
      <c r="H13339" s="1" t="s">
        <v>1828</v>
      </c>
      <c r="I13339">
        <v>1</v>
      </c>
      <c r="J13339">
        <f>IF($H13339=0,1,IF($I13339&lt;=1,2,0))</f>
        <v>2</v>
      </c>
      <c r="K13339">
        <v>9</v>
      </c>
      <c r="L13339">
        <f>IF(AND($J13339=0,$K13339=0),0,1)</f>
        <v>1</v>
      </c>
    </row>
    <row r="13340" spans="1:13" x14ac:dyDescent="0.2">
      <c r="A13340" t="s">
        <v>601</v>
      </c>
      <c r="B13340" t="s">
        <v>6</v>
      </c>
      <c r="C13340" t="s">
        <v>9</v>
      </c>
      <c r="D13340">
        <v>3901</v>
      </c>
      <c r="E13340">
        <v>2020</v>
      </c>
      <c r="F13340">
        <v>4</v>
      </c>
      <c r="G13340">
        <v>24841</v>
      </c>
      <c r="H13340" s="1" t="s">
        <v>1828</v>
      </c>
      <c r="I13340">
        <v>1</v>
      </c>
      <c r="J13340">
        <f>IF($H13340=0,1,IF($I13340&lt;=1,2,0))</f>
        <v>2</v>
      </c>
      <c r="K13340">
        <v>9</v>
      </c>
      <c r="L13340">
        <f>IF(AND($J13340=0,$K13340=0),0,1)</f>
        <v>1</v>
      </c>
      <c r="M13340" t="s">
        <v>1187</v>
      </c>
    </row>
    <row r="13341" spans="1:13" x14ac:dyDescent="0.2">
      <c r="A13341" t="s">
        <v>601</v>
      </c>
      <c r="B13341" t="s">
        <v>6</v>
      </c>
      <c r="C13341" t="s">
        <v>9</v>
      </c>
      <c r="D13341">
        <v>3901</v>
      </c>
      <c r="E13341">
        <v>2020</v>
      </c>
      <c r="F13341">
        <v>5</v>
      </c>
      <c r="G13341">
        <v>24843</v>
      </c>
      <c r="H13341" s="1" t="s">
        <v>1828</v>
      </c>
      <c r="I13341">
        <v>1</v>
      </c>
      <c r="J13341">
        <f>IF($H13341=0,1,IF($I13341&lt;=1,2,0))</f>
        <v>2</v>
      </c>
      <c r="K13341">
        <v>9</v>
      </c>
      <c r="L13341">
        <f>IF(AND($J13341=0,$K13341=0),0,1)</f>
        <v>1</v>
      </c>
      <c r="M13341" t="s">
        <v>614</v>
      </c>
    </row>
    <row r="13342" spans="1:13" x14ac:dyDescent="0.2">
      <c r="A13342" t="s">
        <v>601</v>
      </c>
      <c r="B13342" t="s">
        <v>6</v>
      </c>
      <c r="C13342" t="s">
        <v>9</v>
      </c>
      <c r="D13342">
        <v>3901</v>
      </c>
      <c r="E13342">
        <v>2020</v>
      </c>
      <c r="F13342">
        <v>3</v>
      </c>
      <c r="G13342">
        <v>24839</v>
      </c>
      <c r="H13342" s="1" t="s">
        <v>1828</v>
      </c>
      <c r="I13342">
        <v>0</v>
      </c>
      <c r="J13342">
        <f>IF($H13342=0,1,IF($I13342&lt;=1,2,0))</f>
        <v>2</v>
      </c>
      <c r="K13342">
        <v>9</v>
      </c>
      <c r="L13342">
        <f>IF(AND($J13342=0,$K13342=0),0,1)</f>
        <v>1</v>
      </c>
      <c r="M13342" t="s">
        <v>614</v>
      </c>
    </row>
    <row r="13343" spans="1:13" x14ac:dyDescent="0.2">
      <c r="A13343" t="s">
        <v>601</v>
      </c>
      <c r="B13343" t="s">
        <v>6</v>
      </c>
      <c r="C13343" t="s">
        <v>9</v>
      </c>
      <c r="D13343">
        <v>3998</v>
      </c>
      <c r="E13343">
        <v>2020</v>
      </c>
      <c r="F13343">
        <v>1</v>
      </c>
      <c r="G13343">
        <v>14043</v>
      </c>
      <c r="H13343" s="1">
        <v>4</v>
      </c>
      <c r="I13343">
        <v>18</v>
      </c>
      <c r="J13343">
        <f>IF($H13343=0,1,IF($I13343&lt;=1,2,0))</f>
        <v>0</v>
      </c>
      <c r="K13343">
        <v>9</v>
      </c>
      <c r="L13343">
        <f>IF(AND($J13343=0,$K13343=0),0,1)</f>
        <v>1</v>
      </c>
    </row>
    <row r="13344" spans="1:13" x14ac:dyDescent="0.2">
      <c r="A13344" t="s">
        <v>601</v>
      </c>
      <c r="B13344" t="s">
        <v>6</v>
      </c>
      <c r="C13344" t="s">
        <v>9</v>
      </c>
      <c r="D13344">
        <v>4135</v>
      </c>
      <c r="E13344">
        <v>2020</v>
      </c>
      <c r="F13344">
        <v>1</v>
      </c>
      <c r="G13344">
        <v>14136</v>
      </c>
      <c r="H13344" s="1">
        <v>0</v>
      </c>
      <c r="I13344">
        <v>9</v>
      </c>
      <c r="J13344">
        <f>IF($H13344=0,1,IF($I13344&lt;=1,2,0))</f>
        <v>1</v>
      </c>
      <c r="K13344">
        <v>0</v>
      </c>
      <c r="L13344">
        <f>IF(AND($J13344=0,$K13344=0),0,1)</f>
        <v>1</v>
      </c>
      <c r="M13344" t="s">
        <v>614</v>
      </c>
    </row>
    <row r="13345" spans="1:13" x14ac:dyDescent="0.2">
      <c r="A13345" t="s">
        <v>601</v>
      </c>
      <c r="B13345" t="s">
        <v>6</v>
      </c>
      <c r="C13345" t="s">
        <v>9</v>
      </c>
      <c r="D13345">
        <v>4466</v>
      </c>
      <c r="E13345">
        <v>2020</v>
      </c>
      <c r="F13345">
        <v>1</v>
      </c>
      <c r="G13345">
        <v>14148</v>
      </c>
      <c r="H13345" s="1">
        <v>0</v>
      </c>
      <c r="I13345">
        <v>16</v>
      </c>
      <c r="J13345">
        <f>IF($H13345=0,1,IF($I13345&lt;=1,2,0))</f>
        <v>1</v>
      </c>
      <c r="K13345">
        <v>0</v>
      </c>
      <c r="L13345">
        <f>IF(AND($J13345=0,$K13345=0),0,1)</f>
        <v>1</v>
      </c>
      <c r="M13345" t="s">
        <v>614</v>
      </c>
    </row>
    <row r="13346" spans="1:13" x14ac:dyDescent="0.2">
      <c r="A13346" t="s">
        <v>601</v>
      </c>
      <c r="B13346" t="s">
        <v>6</v>
      </c>
      <c r="C13346" t="s">
        <v>9</v>
      </c>
      <c r="D13346">
        <v>4466</v>
      </c>
      <c r="E13346">
        <v>2020</v>
      </c>
      <c r="F13346">
        <v>5</v>
      </c>
      <c r="G13346">
        <v>24725</v>
      </c>
      <c r="H13346" s="1">
        <v>0</v>
      </c>
      <c r="I13346">
        <v>13</v>
      </c>
      <c r="J13346">
        <f>IF($H13346=0,1,IF($I13346&lt;=1,2,0))</f>
        <v>1</v>
      </c>
      <c r="K13346">
        <v>0</v>
      </c>
      <c r="L13346">
        <f>IF(AND($J13346=0,$K13346=0),0,1)</f>
        <v>1</v>
      </c>
      <c r="M13346" t="s">
        <v>614</v>
      </c>
    </row>
    <row r="13347" spans="1:13" x14ac:dyDescent="0.2">
      <c r="A13347" t="s">
        <v>601</v>
      </c>
      <c r="B13347" t="s">
        <v>6</v>
      </c>
      <c r="C13347" t="s">
        <v>9</v>
      </c>
      <c r="D13347">
        <v>4466</v>
      </c>
      <c r="E13347">
        <v>2020</v>
      </c>
      <c r="F13347">
        <v>3</v>
      </c>
      <c r="G13347">
        <v>24550</v>
      </c>
      <c r="H13347" s="1">
        <v>0</v>
      </c>
      <c r="I13347">
        <v>9</v>
      </c>
      <c r="J13347">
        <f>IF($H13347=0,1,IF($I13347&lt;=1,2,0))</f>
        <v>1</v>
      </c>
      <c r="K13347">
        <v>0</v>
      </c>
      <c r="L13347">
        <f>IF(AND($J13347=0,$K13347=0),0,1)</f>
        <v>1</v>
      </c>
      <c r="M13347" t="s">
        <v>614</v>
      </c>
    </row>
    <row r="13348" spans="1:13" x14ac:dyDescent="0.2">
      <c r="A13348" t="s">
        <v>601</v>
      </c>
      <c r="B13348" t="s">
        <v>6</v>
      </c>
      <c r="C13348" t="s">
        <v>9</v>
      </c>
      <c r="D13348">
        <v>4466</v>
      </c>
      <c r="E13348">
        <v>2020</v>
      </c>
      <c r="F13348">
        <v>6</v>
      </c>
      <c r="G13348">
        <v>24726</v>
      </c>
      <c r="H13348" s="1">
        <v>0</v>
      </c>
      <c r="I13348">
        <v>7</v>
      </c>
      <c r="J13348">
        <f>IF($H13348=0,1,IF($I13348&lt;=1,2,0))</f>
        <v>1</v>
      </c>
      <c r="K13348">
        <v>0</v>
      </c>
      <c r="L13348">
        <f>IF(AND($J13348=0,$K13348=0),0,1)</f>
        <v>1</v>
      </c>
      <c r="M13348" t="s">
        <v>614</v>
      </c>
    </row>
    <row r="13349" spans="1:13" x14ac:dyDescent="0.2">
      <c r="A13349" t="s">
        <v>601</v>
      </c>
      <c r="B13349" t="s">
        <v>6</v>
      </c>
      <c r="C13349" t="s">
        <v>9</v>
      </c>
      <c r="D13349">
        <v>4466</v>
      </c>
      <c r="E13349">
        <v>2020</v>
      </c>
      <c r="F13349">
        <v>4</v>
      </c>
      <c r="G13349">
        <v>24724</v>
      </c>
      <c r="H13349" s="1">
        <v>0</v>
      </c>
      <c r="I13349">
        <v>4</v>
      </c>
      <c r="J13349">
        <f>IF($H13349=0,1,IF($I13349&lt;=1,2,0))</f>
        <v>1</v>
      </c>
      <c r="K13349">
        <v>0</v>
      </c>
      <c r="L13349">
        <f>IF(AND($J13349=0,$K13349=0),0,1)</f>
        <v>1</v>
      </c>
      <c r="M13349" t="s">
        <v>614</v>
      </c>
    </row>
    <row r="13350" spans="1:13" x14ac:dyDescent="0.2">
      <c r="A13350" t="s">
        <v>601</v>
      </c>
      <c r="B13350" t="s">
        <v>6</v>
      </c>
      <c r="C13350" t="s">
        <v>9</v>
      </c>
      <c r="D13350">
        <v>4466</v>
      </c>
      <c r="E13350">
        <v>2020</v>
      </c>
      <c r="F13350">
        <v>2</v>
      </c>
      <c r="G13350">
        <v>14149</v>
      </c>
      <c r="H13350" s="1">
        <v>0</v>
      </c>
      <c r="I13350">
        <v>0</v>
      </c>
      <c r="J13350">
        <f>IF($H13350=0,1,IF($I13350&lt;=1,2,0))</f>
        <v>1</v>
      </c>
      <c r="K13350">
        <v>0</v>
      </c>
      <c r="L13350">
        <f>IF(AND($J13350=0,$K13350=0),0,1)</f>
        <v>1</v>
      </c>
      <c r="M13350" t="s">
        <v>614</v>
      </c>
    </row>
    <row r="13351" spans="1:13" x14ac:dyDescent="0.2">
      <c r="A13351" t="s">
        <v>601</v>
      </c>
      <c r="B13351" t="s">
        <v>6</v>
      </c>
      <c r="C13351" t="s">
        <v>9</v>
      </c>
      <c r="D13351">
        <v>4701</v>
      </c>
      <c r="E13351">
        <v>2020</v>
      </c>
      <c r="F13351">
        <v>1</v>
      </c>
      <c r="G13351">
        <v>21607</v>
      </c>
      <c r="H13351" s="1">
        <v>0</v>
      </c>
      <c r="I13351">
        <v>14</v>
      </c>
      <c r="J13351">
        <f>IF($H13351=0,1,IF($I13351&lt;=1,2,0))</f>
        <v>1</v>
      </c>
      <c r="K13351">
        <v>0</v>
      </c>
      <c r="L13351">
        <f>IF(AND($J13351=0,$K13351=0),0,1)</f>
        <v>1</v>
      </c>
    </row>
    <row r="13352" spans="1:13" x14ac:dyDescent="0.2">
      <c r="A13352" t="s">
        <v>601</v>
      </c>
      <c r="B13352" t="s">
        <v>6</v>
      </c>
      <c r="C13352" t="s">
        <v>9</v>
      </c>
      <c r="D13352">
        <v>4721</v>
      </c>
      <c r="E13352">
        <v>2020</v>
      </c>
      <c r="F13352">
        <v>1</v>
      </c>
      <c r="G13352">
        <v>15721</v>
      </c>
      <c r="H13352" s="1">
        <v>0</v>
      </c>
      <c r="I13352">
        <v>21</v>
      </c>
      <c r="J13352">
        <f>IF($H13352=0,1,IF($I13352&lt;=1,2,0))</f>
        <v>1</v>
      </c>
      <c r="K13352">
        <v>0</v>
      </c>
      <c r="L13352">
        <f>IF(AND($J13352=0,$K13352=0),0,1)</f>
        <v>1</v>
      </c>
      <c r="M13352" t="s">
        <v>614</v>
      </c>
    </row>
    <row r="13353" spans="1:13" x14ac:dyDescent="0.2">
      <c r="A13353" t="s">
        <v>601</v>
      </c>
      <c r="B13353" t="s">
        <v>6</v>
      </c>
      <c r="C13353" t="s">
        <v>9</v>
      </c>
      <c r="D13353">
        <v>4725</v>
      </c>
      <c r="E13353">
        <v>2020</v>
      </c>
      <c r="F13353">
        <v>1</v>
      </c>
      <c r="G13353">
        <v>15524</v>
      </c>
      <c r="H13353" s="1">
        <v>0</v>
      </c>
      <c r="I13353">
        <v>25</v>
      </c>
      <c r="J13353">
        <f>IF($H13353=0,1,IF($I13353&lt;=1,2,0))</f>
        <v>1</v>
      </c>
      <c r="K13353">
        <v>0</v>
      </c>
      <c r="L13353">
        <f>IF(AND($J13353=0,$K13353=0),0,1)</f>
        <v>1</v>
      </c>
      <c r="M13353" t="s">
        <v>614</v>
      </c>
    </row>
    <row r="13354" spans="1:13" x14ac:dyDescent="0.2">
      <c r="A13354" t="s">
        <v>601</v>
      </c>
      <c r="B13354" t="s">
        <v>6</v>
      </c>
      <c r="C13354" t="s">
        <v>9</v>
      </c>
      <c r="D13354">
        <v>4733</v>
      </c>
      <c r="E13354">
        <v>2020</v>
      </c>
      <c r="F13354">
        <v>1</v>
      </c>
      <c r="G13354">
        <v>14419</v>
      </c>
      <c r="H13354" s="1">
        <v>0</v>
      </c>
      <c r="I13354">
        <v>10</v>
      </c>
      <c r="J13354">
        <f>IF($H13354=0,1,IF($I13354&lt;=1,2,0))</f>
        <v>1</v>
      </c>
      <c r="K13354">
        <v>0</v>
      </c>
      <c r="L13354">
        <f>IF(AND($J13354=0,$K13354=0),0,1)</f>
        <v>1</v>
      </c>
      <c r="M13354" t="s">
        <v>614</v>
      </c>
    </row>
    <row r="13355" spans="1:13" x14ac:dyDescent="0.2">
      <c r="A13355" t="s">
        <v>601</v>
      </c>
      <c r="B13355" t="s">
        <v>6</v>
      </c>
      <c r="C13355" t="s">
        <v>9</v>
      </c>
      <c r="D13355">
        <v>4896</v>
      </c>
      <c r="E13355">
        <v>2020</v>
      </c>
      <c r="F13355">
        <v>1</v>
      </c>
      <c r="G13355">
        <v>15309</v>
      </c>
      <c r="H13355" s="1">
        <v>0</v>
      </c>
      <c r="I13355">
        <v>12</v>
      </c>
      <c r="J13355">
        <f>IF($H13355=0,1,IF($I13355&lt;=1,2,0))</f>
        <v>1</v>
      </c>
      <c r="K13355">
        <v>0</v>
      </c>
      <c r="L13355">
        <f>IF(AND($J13355=0,$K13355=0),0,1)</f>
        <v>1</v>
      </c>
      <c r="M13355" t="s">
        <v>614</v>
      </c>
    </row>
    <row r="13356" spans="1:13" x14ac:dyDescent="0.2">
      <c r="A13356" t="s">
        <v>601</v>
      </c>
      <c r="B13356" t="s">
        <v>6</v>
      </c>
      <c r="C13356" t="s">
        <v>9</v>
      </c>
      <c r="D13356">
        <v>4896</v>
      </c>
      <c r="E13356">
        <v>2020</v>
      </c>
      <c r="F13356">
        <v>3</v>
      </c>
      <c r="G13356">
        <v>15311</v>
      </c>
      <c r="H13356" s="1">
        <v>0</v>
      </c>
      <c r="I13356">
        <v>11</v>
      </c>
      <c r="J13356">
        <f>IF($H13356=0,1,IF($I13356&lt;=1,2,0))</f>
        <v>1</v>
      </c>
      <c r="K13356">
        <v>0</v>
      </c>
      <c r="L13356">
        <f>IF(AND($J13356=0,$K13356=0),0,1)</f>
        <v>1</v>
      </c>
      <c r="M13356" t="s">
        <v>614</v>
      </c>
    </row>
    <row r="13357" spans="1:13" x14ac:dyDescent="0.2">
      <c r="A13357" t="s">
        <v>601</v>
      </c>
      <c r="B13357" t="s">
        <v>6</v>
      </c>
      <c r="C13357" t="s">
        <v>9</v>
      </c>
      <c r="D13357">
        <v>4896</v>
      </c>
      <c r="E13357">
        <v>2020</v>
      </c>
      <c r="F13357">
        <v>5</v>
      </c>
      <c r="G13357">
        <v>15313</v>
      </c>
      <c r="H13357" s="1">
        <v>0</v>
      </c>
      <c r="I13357">
        <v>10</v>
      </c>
      <c r="J13357">
        <f>IF($H13357=0,1,IF($I13357&lt;=1,2,0))</f>
        <v>1</v>
      </c>
      <c r="K13357">
        <v>0</v>
      </c>
      <c r="L13357">
        <f>IF(AND($J13357=0,$K13357=0),0,1)</f>
        <v>1</v>
      </c>
      <c r="M13357" t="s">
        <v>614</v>
      </c>
    </row>
    <row r="13358" spans="1:13" x14ac:dyDescent="0.2">
      <c r="A13358" t="s">
        <v>601</v>
      </c>
      <c r="B13358" t="s">
        <v>6</v>
      </c>
      <c r="C13358" t="s">
        <v>11</v>
      </c>
      <c r="D13358">
        <v>9010</v>
      </c>
      <c r="E13358">
        <v>2020</v>
      </c>
      <c r="F13358">
        <v>1</v>
      </c>
      <c r="G13358">
        <v>14141</v>
      </c>
      <c r="H13358" s="1" t="s">
        <v>1828</v>
      </c>
      <c r="I13358">
        <v>0</v>
      </c>
      <c r="J13358">
        <f>IF($H13358=0,1,IF($I13358&lt;=1,2,0))</f>
        <v>2</v>
      </c>
      <c r="K13358">
        <v>5</v>
      </c>
      <c r="L13358">
        <f>IF(AND($J13358=0,$K13358=0),0,1)</f>
        <v>1</v>
      </c>
    </row>
    <row r="13359" spans="1:13" x14ac:dyDescent="0.2">
      <c r="A13359" t="s">
        <v>601</v>
      </c>
      <c r="B13359" t="s">
        <v>6</v>
      </c>
      <c r="C13359" t="s">
        <v>11</v>
      </c>
      <c r="D13359">
        <v>9901</v>
      </c>
      <c r="E13359">
        <v>2020</v>
      </c>
      <c r="F13359">
        <v>1</v>
      </c>
      <c r="G13359">
        <v>14057</v>
      </c>
      <c r="H13359" s="1">
        <v>4</v>
      </c>
      <c r="I13359">
        <v>16</v>
      </c>
      <c r="J13359">
        <f>IF($H13359=0,1,IF($I13359&lt;=1,2,0))</f>
        <v>0</v>
      </c>
      <c r="K13359">
        <v>5</v>
      </c>
      <c r="L13359">
        <f>IF(AND($J13359=0,$K13359=0),0,1)</f>
        <v>1</v>
      </c>
      <c r="M13359" t="s">
        <v>1188</v>
      </c>
    </row>
    <row r="13360" spans="1:13" x14ac:dyDescent="0.2">
      <c r="A13360" t="s">
        <v>621</v>
      </c>
      <c r="B13360" t="s">
        <v>17</v>
      </c>
      <c r="C13360" t="s">
        <v>9</v>
      </c>
      <c r="D13360">
        <v>3300</v>
      </c>
      <c r="E13360">
        <v>2020</v>
      </c>
      <c r="F13360">
        <v>1</v>
      </c>
      <c r="G13360">
        <v>11082</v>
      </c>
      <c r="H13360" s="1">
        <v>3</v>
      </c>
      <c r="I13360">
        <v>1</v>
      </c>
      <c r="J13360">
        <f>IF($H13360=0,1,IF($I13360&lt;=1,2,0))</f>
        <v>2</v>
      </c>
      <c r="K13360">
        <v>0</v>
      </c>
      <c r="L13360">
        <f>IF(AND($J13360=0,$K13360=0),0,1)</f>
        <v>1</v>
      </c>
      <c r="M13360" t="s">
        <v>1197</v>
      </c>
    </row>
    <row r="13361" spans="1:13" x14ac:dyDescent="0.2">
      <c r="A13361" t="s">
        <v>621</v>
      </c>
      <c r="B13361" t="s">
        <v>17</v>
      </c>
      <c r="C13361" t="s">
        <v>9</v>
      </c>
      <c r="D13361">
        <v>3997</v>
      </c>
      <c r="E13361">
        <v>2020</v>
      </c>
      <c r="F13361">
        <v>1</v>
      </c>
      <c r="G13361">
        <v>25014</v>
      </c>
      <c r="H13361" s="1">
        <v>3</v>
      </c>
      <c r="I13361">
        <v>1</v>
      </c>
      <c r="J13361">
        <f>IF($H13361=0,1,IF($I13361&lt;=1,2,0))</f>
        <v>2</v>
      </c>
      <c r="K13361">
        <v>9</v>
      </c>
      <c r="L13361">
        <f>IF(AND($J13361=0,$K13361=0),0,1)</f>
        <v>1</v>
      </c>
    </row>
    <row r="13362" spans="1:13" x14ac:dyDescent="0.2">
      <c r="A13362" t="s">
        <v>621</v>
      </c>
      <c r="B13362" t="s">
        <v>17</v>
      </c>
      <c r="C13362" t="s">
        <v>11</v>
      </c>
      <c r="D13362">
        <v>4466</v>
      </c>
      <c r="E13362">
        <v>2020</v>
      </c>
      <c r="F13362">
        <v>1</v>
      </c>
      <c r="G13362">
        <v>24618</v>
      </c>
      <c r="H13362" s="1">
        <v>4</v>
      </c>
      <c r="I13362">
        <v>0</v>
      </c>
      <c r="J13362">
        <f>IF($H13362=0,1,IF($I13362&lt;=1,2,0))</f>
        <v>2</v>
      </c>
      <c r="K13362">
        <v>0</v>
      </c>
      <c r="L13362">
        <f>IF(AND($J13362=0,$K13362=0),0,1)</f>
        <v>1</v>
      </c>
    </row>
    <row r="13363" spans="1:13" x14ac:dyDescent="0.2">
      <c r="A13363" t="s">
        <v>623</v>
      </c>
      <c r="B13363" t="s">
        <v>133</v>
      </c>
      <c r="C13363" t="s">
        <v>183</v>
      </c>
      <c r="D13363">
        <v>100</v>
      </c>
      <c r="E13363">
        <v>2020</v>
      </c>
      <c r="F13363" t="s">
        <v>87</v>
      </c>
      <c r="G13363">
        <v>22325</v>
      </c>
      <c r="H13363" s="1">
        <v>0</v>
      </c>
      <c r="I13363">
        <v>20</v>
      </c>
      <c r="J13363">
        <f>IF($H13363=0,1,IF($I13363&lt;=1,2,0))</f>
        <v>1</v>
      </c>
      <c r="K13363">
        <v>6</v>
      </c>
      <c r="L13363">
        <f>IF(AND($J13363=0,$K13363=0),0,1)</f>
        <v>1</v>
      </c>
    </row>
    <row r="13364" spans="1:13" x14ac:dyDescent="0.2">
      <c r="A13364" t="s">
        <v>623</v>
      </c>
      <c r="B13364" t="s">
        <v>133</v>
      </c>
      <c r="C13364" t="s">
        <v>2</v>
      </c>
      <c r="D13364">
        <v>1001</v>
      </c>
      <c r="E13364">
        <v>2020</v>
      </c>
      <c r="F13364">
        <v>3</v>
      </c>
      <c r="G13364">
        <v>478</v>
      </c>
      <c r="H13364" s="1">
        <v>3</v>
      </c>
      <c r="I13364">
        <v>129</v>
      </c>
      <c r="J13364">
        <f>IF($H13364=0,1,IF($I13364&lt;=1,2,0))</f>
        <v>0</v>
      </c>
      <c r="K13364">
        <v>7</v>
      </c>
      <c r="L13364">
        <f>IF(AND($J13364=0,$K13364=0),0,1)</f>
        <v>1</v>
      </c>
      <c r="M13364" t="s">
        <v>1953</v>
      </c>
    </row>
    <row r="13365" spans="1:13" x14ac:dyDescent="0.2">
      <c r="A13365" t="s">
        <v>623</v>
      </c>
      <c r="B13365" t="s">
        <v>133</v>
      </c>
      <c r="C13365" t="s">
        <v>2</v>
      </c>
      <c r="D13365">
        <v>1001</v>
      </c>
      <c r="E13365">
        <v>2020</v>
      </c>
      <c r="F13365">
        <v>4</v>
      </c>
      <c r="G13365">
        <v>479</v>
      </c>
      <c r="H13365" s="1">
        <v>3</v>
      </c>
      <c r="I13365">
        <v>91</v>
      </c>
      <c r="J13365">
        <f>IF($H13365=0,1,IF($I13365&lt;=1,2,0))</f>
        <v>0</v>
      </c>
      <c r="K13365">
        <v>7</v>
      </c>
      <c r="L13365">
        <f>IF(AND($J13365=0,$K13365=0),0,1)</f>
        <v>1</v>
      </c>
      <c r="M13365" t="s">
        <v>1953</v>
      </c>
    </row>
    <row r="13366" spans="1:13" x14ac:dyDescent="0.2">
      <c r="A13366" t="s">
        <v>623</v>
      </c>
      <c r="B13366" t="s">
        <v>133</v>
      </c>
      <c r="C13366" t="s">
        <v>2</v>
      </c>
      <c r="D13366">
        <v>1001</v>
      </c>
      <c r="E13366">
        <v>2020</v>
      </c>
      <c r="F13366">
        <v>1</v>
      </c>
      <c r="G13366">
        <v>476</v>
      </c>
      <c r="H13366" s="1">
        <v>3</v>
      </c>
      <c r="I13366">
        <v>82</v>
      </c>
      <c r="J13366">
        <f>IF($H13366=0,1,IF($I13366&lt;=1,2,0))</f>
        <v>0</v>
      </c>
      <c r="K13366">
        <v>7</v>
      </c>
      <c r="L13366">
        <f>IF(AND($J13366=0,$K13366=0),0,1)</f>
        <v>1</v>
      </c>
      <c r="M13366" t="s">
        <v>1953</v>
      </c>
    </row>
    <row r="13367" spans="1:13" x14ac:dyDescent="0.2">
      <c r="A13367" t="s">
        <v>623</v>
      </c>
      <c r="B13367" t="s">
        <v>133</v>
      </c>
      <c r="C13367" t="s">
        <v>2</v>
      </c>
      <c r="D13367">
        <v>1001</v>
      </c>
      <c r="E13367">
        <v>2020</v>
      </c>
      <c r="F13367">
        <v>2</v>
      </c>
      <c r="G13367">
        <v>477</v>
      </c>
      <c r="H13367" s="1">
        <v>3</v>
      </c>
      <c r="I13367">
        <v>47</v>
      </c>
      <c r="J13367">
        <f>IF($H13367=0,1,IF($I13367&lt;=1,2,0))</f>
        <v>0</v>
      </c>
      <c r="K13367">
        <v>7</v>
      </c>
      <c r="L13367">
        <f>IF(AND($J13367=0,$K13367=0),0,1)</f>
        <v>1</v>
      </c>
      <c r="M13367" t="s">
        <v>1953</v>
      </c>
    </row>
    <row r="13368" spans="1:13" x14ac:dyDescent="0.2">
      <c r="A13368" t="s">
        <v>623</v>
      </c>
      <c r="B13368" t="s">
        <v>133</v>
      </c>
      <c r="C13368" t="s">
        <v>2</v>
      </c>
      <c r="D13368">
        <v>1010</v>
      </c>
      <c r="E13368">
        <v>2020</v>
      </c>
      <c r="F13368">
        <v>1</v>
      </c>
      <c r="G13368">
        <v>480</v>
      </c>
      <c r="H13368" s="1">
        <v>1.5</v>
      </c>
      <c r="I13368">
        <v>24</v>
      </c>
      <c r="J13368">
        <f>IF($H13368=0,1,IF($I13368&lt;=1,2,0))</f>
        <v>0</v>
      </c>
      <c r="K13368">
        <v>7</v>
      </c>
      <c r="L13368">
        <f>IF(AND($J13368=0,$K13368=0),0,1)</f>
        <v>1</v>
      </c>
      <c r="M13368" t="s">
        <v>1954</v>
      </c>
    </row>
    <row r="13369" spans="1:13" x14ac:dyDescent="0.2">
      <c r="A13369" t="s">
        <v>623</v>
      </c>
      <c r="B13369" t="s">
        <v>133</v>
      </c>
      <c r="C13369" t="s">
        <v>2</v>
      </c>
      <c r="D13369">
        <v>1010</v>
      </c>
      <c r="E13369">
        <v>2020</v>
      </c>
      <c r="F13369">
        <v>2</v>
      </c>
      <c r="G13369">
        <v>481</v>
      </c>
      <c r="H13369" s="1">
        <v>1.5</v>
      </c>
      <c r="I13369">
        <v>23</v>
      </c>
      <c r="J13369">
        <f>IF($H13369=0,1,IF($I13369&lt;=1,2,0))</f>
        <v>0</v>
      </c>
      <c r="K13369">
        <v>7</v>
      </c>
      <c r="L13369">
        <f>IF(AND($J13369=0,$K13369=0),0,1)</f>
        <v>1</v>
      </c>
      <c r="M13369" t="s">
        <v>1954</v>
      </c>
    </row>
    <row r="13370" spans="1:13" x14ac:dyDescent="0.2">
      <c r="A13370" t="s">
        <v>623</v>
      </c>
      <c r="B13370" t="s">
        <v>133</v>
      </c>
      <c r="C13370" t="s">
        <v>2</v>
      </c>
      <c r="D13370">
        <v>1010</v>
      </c>
      <c r="E13370">
        <v>2020</v>
      </c>
      <c r="F13370">
        <v>3</v>
      </c>
      <c r="G13370">
        <v>482</v>
      </c>
      <c r="H13370" s="1">
        <v>1.5</v>
      </c>
      <c r="I13370">
        <v>23</v>
      </c>
      <c r="J13370">
        <f>IF($H13370=0,1,IF($I13370&lt;=1,2,0))</f>
        <v>0</v>
      </c>
      <c r="K13370">
        <v>7</v>
      </c>
      <c r="L13370">
        <f>IF(AND($J13370=0,$K13370=0),0,1)</f>
        <v>1</v>
      </c>
      <c r="M13370" t="s">
        <v>1954</v>
      </c>
    </row>
    <row r="13371" spans="1:13" x14ac:dyDescent="0.2">
      <c r="A13371" t="s">
        <v>623</v>
      </c>
      <c r="B13371" t="s">
        <v>133</v>
      </c>
      <c r="C13371" t="s">
        <v>2</v>
      </c>
      <c r="D13371">
        <v>1010</v>
      </c>
      <c r="E13371">
        <v>2020</v>
      </c>
      <c r="F13371">
        <v>4</v>
      </c>
      <c r="G13371">
        <v>483</v>
      </c>
      <c r="H13371" s="1">
        <v>1.5</v>
      </c>
      <c r="I13371">
        <v>23</v>
      </c>
      <c r="J13371">
        <f>IF($H13371=0,1,IF($I13371&lt;=1,2,0))</f>
        <v>0</v>
      </c>
      <c r="K13371">
        <v>7</v>
      </c>
      <c r="L13371">
        <f>IF(AND($J13371=0,$K13371=0),0,1)</f>
        <v>1</v>
      </c>
      <c r="M13371" t="s">
        <v>1954</v>
      </c>
    </row>
    <row r="13372" spans="1:13" x14ac:dyDescent="0.2">
      <c r="A13372" t="s">
        <v>623</v>
      </c>
      <c r="B13372" t="s">
        <v>133</v>
      </c>
      <c r="C13372" t="s">
        <v>2</v>
      </c>
      <c r="D13372">
        <v>1099</v>
      </c>
      <c r="E13372">
        <v>2020</v>
      </c>
      <c r="F13372">
        <v>1</v>
      </c>
      <c r="G13372">
        <v>484</v>
      </c>
      <c r="H13372" s="1">
        <v>1</v>
      </c>
      <c r="I13372">
        <v>15</v>
      </c>
      <c r="J13372">
        <f>IF($H13372=0,1,IF($I13372&lt;=1,2,0))</f>
        <v>0</v>
      </c>
      <c r="K13372">
        <v>7</v>
      </c>
      <c r="L13372">
        <f>IF(AND($J13372=0,$K13372=0),0,1)</f>
        <v>1</v>
      </c>
    </row>
    <row r="13373" spans="1:13" x14ac:dyDescent="0.2">
      <c r="A13373" t="s">
        <v>623</v>
      </c>
      <c r="B13373" t="s">
        <v>133</v>
      </c>
      <c r="C13373" t="s">
        <v>2</v>
      </c>
      <c r="D13373">
        <v>1101</v>
      </c>
      <c r="E13373">
        <v>2020</v>
      </c>
      <c r="F13373">
        <v>3</v>
      </c>
      <c r="G13373">
        <v>589</v>
      </c>
      <c r="H13373" s="1">
        <v>4</v>
      </c>
      <c r="I13373">
        <v>20</v>
      </c>
      <c r="J13373">
        <f>IF($H13373=0,1,IF($I13373&lt;=1,2,0))</f>
        <v>0</v>
      </c>
      <c r="K13373">
        <v>7</v>
      </c>
      <c r="L13373">
        <f>IF(AND($J13373=0,$K13373=0),0,1)</f>
        <v>1</v>
      </c>
      <c r="M13373" t="s">
        <v>629</v>
      </c>
    </row>
    <row r="13374" spans="1:13" x14ac:dyDescent="0.2">
      <c r="A13374" t="s">
        <v>623</v>
      </c>
      <c r="B13374" t="s">
        <v>133</v>
      </c>
      <c r="C13374" t="s">
        <v>2</v>
      </c>
      <c r="D13374">
        <v>1101</v>
      </c>
      <c r="E13374">
        <v>2020</v>
      </c>
      <c r="F13374">
        <v>4</v>
      </c>
      <c r="G13374">
        <v>590</v>
      </c>
      <c r="H13374" s="1">
        <v>4</v>
      </c>
      <c r="I13374">
        <v>20</v>
      </c>
      <c r="J13374">
        <f>IF($H13374=0,1,IF($I13374&lt;=1,2,0))</f>
        <v>0</v>
      </c>
      <c r="K13374">
        <v>7</v>
      </c>
      <c r="L13374">
        <f>IF(AND($J13374=0,$K13374=0),0,1)</f>
        <v>1</v>
      </c>
      <c r="M13374" t="s">
        <v>629</v>
      </c>
    </row>
    <row r="13375" spans="1:13" x14ac:dyDescent="0.2">
      <c r="A13375" t="s">
        <v>623</v>
      </c>
      <c r="B13375" t="s">
        <v>133</v>
      </c>
      <c r="C13375" t="s">
        <v>2</v>
      </c>
      <c r="D13375">
        <v>1101</v>
      </c>
      <c r="E13375">
        <v>2020</v>
      </c>
      <c r="F13375">
        <v>1</v>
      </c>
      <c r="G13375">
        <v>587</v>
      </c>
      <c r="H13375" s="1">
        <v>4</v>
      </c>
      <c r="I13375">
        <v>17</v>
      </c>
      <c r="J13375">
        <f>IF($H13375=0,1,IF($I13375&lt;=1,2,0))</f>
        <v>0</v>
      </c>
      <c r="K13375">
        <v>7</v>
      </c>
      <c r="L13375">
        <f>IF(AND($J13375=0,$K13375=0),0,1)</f>
        <v>1</v>
      </c>
      <c r="M13375" t="s">
        <v>1200</v>
      </c>
    </row>
    <row r="13376" spans="1:13" x14ac:dyDescent="0.2">
      <c r="A13376" t="s">
        <v>623</v>
      </c>
      <c r="B13376" t="s">
        <v>133</v>
      </c>
      <c r="C13376" t="s">
        <v>2</v>
      </c>
      <c r="D13376">
        <v>1101</v>
      </c>
      <c r="E13376">
        <v>2020</v>
      </c>
      <c r="F13376">
        <v>2</v>
      </c>
      <c r="G13376">
        <v>588</v>
      </c>
      <c r="H13376" s="1">
        <v>4</v>
      </c>
      <c r="I13376">
        <v>11</v>
      </c>
      <c r="J13376">
        <f>IF($H13376=0,1,IF($I13376&lt;=1,2,0))</f>
        <v>0</v>
      </c>
      <c r="K13376">
        <v>7</v>
      </c>
      <c r="L13376">
        <f>IF(AND($J13376=0,$K13376=0),0,1)</f>
        <v>1</v>
      </c>
      <c r="M13376" t="s">
        <v>1200</v>
      </c>
    </row>
    <row r="13377" spans="1:13" x14ac:dyDescent="0.2">
      <c r="A13377" t="s">
        <v>623</v>
      </c>
      <c r="B13377" t="s">
        <v>133</v>
      </c>
      <c r="C13377" t="s">
        <v>9</v>
      </c>
      <c r="D13377">
        <v>1491</v>
      </c>
      <c r="E13377">
        <v>2020</v>
      </c>
      <c r="F13377">
        <v>1</v>
      </c>
      <c r="G13377">
        <v>10830</v>
      </c>
      <c r="H13377" s="1">
        <v>0</v>
      </c>
      <c r="I13377">
        <v>18</v>
      </c>
      <c r="J13377">
        <f>IF($H13377=0,1,IF($I13377&lt;=1,2,0))</f>
        <v>1</v>
      </c>
      <c r="K13377">
        <v>0</v>
      </c>
      <c r="L13377">
        <f>IF(AND($J13377=0,$K13377=0),0,1)</f>
        <v>1</v>
      </c>
    </row>
    <row r="13378" spans="1:13" x14ac:dyDescent="0.2">
      <c r="A13378" t="s">
        <v>623</v>
      </c>
      <c r="B13378" t="s">
        <v>133</v>
      </c>
      <c r="C13378" t="s">
        <v>9</v>
      </c>
      <c r="D13378">
        <v>1491</v>
      </c>
      <c r="E13378">
        <v>2020</v>
      </c>
      <c r="F13378">
        <v>2</v>
      </c>
      <c r="G13378">
        <v>10831</v>
      </c>
      <c r="H13378" s="1">
        <v>0</v>
      </c>
      <c r="I13378">
        <v>17</v>
      </c>
      <c r="J13378">
        <f>IF($H13378=0,1,IF($I13378&lt;=1,2,0))</f>
        <v>1</v>
      </c>
      <c r="K13378">
        <v>0</v>
      </c>
      <c r="L13378">
        <f>IF(AND($J13378=0,$K13378=0),0,1)</f>
        <v>1</v>
      </c>
    </row>
    <row r="13379" spans="1:13" x14ac:dyDescent="0.2">
      <c r="A13379" t="s">
        <v>623</v>
      </c>
      <c r="B13379" t="s">
        <v>133</v>
      </c>
      <c r="C13379" t="s">
        <v>9</v>
      </c>
      <c r="D13379">
        <v>1491</v>
      </c>
      <c r="E13379">
        <v>2020</v>
      </c>
      <c r="F13379">
        <v>3</v>
      </c>
      <c r="G13379">
        <v>10834</v>
      </c>
      <c r="H13379" s="1">
        <v>0</v>
      </c>
      <c r="I13379">
        <v>17</v>
      </c>
      <c r="J13379">
        <f>IF($H13379=0,1,IF($I13379&lt;=1,2,0))</f>
        <v>1</v>
      </c>
      <c r="K13379">
        <v>0</v>
      </c>
      <c r="L13379">
        <f>IF(AND($J13379=0,$K13379=0),0,1)</f>
        <v>1</v>
      </c>
    </row>
    <row r="13380" spans="1:13" x14ac:dyDescent="0.2">
      <c r="A13380" t="s">
        <v>623</v>
      </c>
      <c r="B13380" t="s">
        <v>133</v>
      </c>
      <c r="C13380" t="s">
        <v>9</v>
      </c>
      <c r="D13380">
        <v>1491</v>
      </c>
      <c r="E13380">
        <v>2020</v>
      </c>
      <c r="F13380">
        <v>4</v>
      </c>
      <c r="G13380">
        <v>10836</v>
      </c>
      <c r="H13380" s="1">
        <v>0</v>
      </c>
      <c r="I13380">
        <v>16</v>
      </c>
      <c r="J13380">
        <f>IF($H13380=0,1,IF($I13380&lt;=1,2,0))</f>
        <v>1</v>
      </c>
      <c r="K13380">
        <v>0</v>
      </c>
      <c r="L13380">
        <f>IF(AND($J13380=0,$K13380=0),0,1)</f>
        <v>1</v>
      </c>
      <c r="M13380" t="s">
        <v>1201</v>
      </c>
    </row>
    <row r="13381" spans="1:13" x14ac:dyDescent="0.2">
      <c r="A13381" t="s">
        <v>623</v>
      </c>
      <c r="B13381" t="s">
        <v>133</v>
      </c>
      <c r="C13381" t="s">
        <v>9</v>
      </c>
      <c r="D13381">
        <v>1611</v>
      </c>
      <c r="E13381">
        <v>2020</v>
      </c>
      <c r="F13381">
        <v>1</v>
      </c>
      <c r="G13381">
        <v>10220</v>
      </c>
      <c r="H13381" s="1">
        <v>0</v>
      </c>
      <c r="I13381">
        <v>16</v>
      </c>
      <c r="J13381">
        <f>IF($H13381=0,1,IF($I13381&lt;=1,2,0))</f>
        <v>1</v>
      </c>
      <c r="K13381">
        <v>0</v>
      </c>
      <c r="L13381">
        <f>IF(AND($J13381=0,$K13381=0),0,1)</f>
        <v>1</v>
      </c>
    </row>
    <row r="13382" spans="1:13" x14ac:dyDescent="0.2">
      <c r="A13382" t="s">
        <v>623</v>
      </c>
      <c r="B13382" t="s">
        <v>133</v>
      </c>
      <c r="C13382" t="s">
        <v>9</v>
      </c>
      <c r="D13382">
        <v>1611</v>
      </c>
      <c r="E13382">
        <v>2020</v>
      </c>
      <c r="F13382">
        <v>3</v>
      </c>
      <c r="G13382">
        <v>10222</v>
      </c>
      <c r="H13382" s="1">
        <v>0</v>
      </c>
      <c r="I13382">
        <v>14</v>
      </c>
      <c r="J13382">
        <f>IF($H13382=0,1,IF($I13382&lt;=1,2,0))</f>
        <v>1</v>
      </c>
      <c r="K13382">
        <v>0</v>
      </c>
      <c r="L13382">
        <f>IF(AND($J13382=0,$K13382=0),0,1)</f>
        <v>1</v>
      </c>
      <c r="M13382" t="s">
        <v>1201</v>
      </c>
    </row>
    <row r="13383" spans="1:13" x14ac:dyDescent="0.2">
      <c r="A13383" t="s">
        <v>623</v>
      </c>
      <c r="B13383" t="s">
        <v>133</v>
      </c>
      <c r="C13383" t="s">
        <v>9</v>
      </c>
      <c r="D13383">
        <v>1611</v>
      </c>
      <c r="E13383">
        <v>2020</v>
      </c>
      <c r="F13383">
        <v>2</v>
      </c>
      <c r="G13383">
        <v>10221</v>
      </c>
      <c r="H13383" s="1">
        <v>0</v>
      </c>
      <c r="I13383">
        <v>13</v>
      </c>
      <c r="J13383">
        <f>IF($H13383=0,1,IF($I13383&lt;=1,2,0))</f>
        <v>1</v>
      </c>
      <c r="K13383">
        <v>0</v>
      </c>
      <c r="L13383">
        <f>IF(AND($J13383=0,$K13383=0),0,1)</f>
        <v>1</v>
      </c>
    </row>
    <row r="13384" spans="1:13" x14ac:dyDescent="0.2">
      <c r="A13384" t="s">
        <v>623</v>
      </c>
      <c r="B13384" t="s">
        <v>133</v>
      </c>
      <c r="C13384" t="s">
        <v>9</v>
      </c>
      <c r="D13384">
        <v>1611</v>
      </c>
      <c r="E13384">
        <v>2020</v>
      </c>
      <c r="F13384">
        <v>4</v>
      </c>
      <c r="G13384">
        <v>24734</v>
      </c>
      <c r="H13384" s="1">
        <v>0</v>
      </c>
      <c r="I13384">
        <v>11</v>
      </c>
      <c r="J13384">
        <f>IF($H13384=0,1,IF($I13384&lt;=1,2,0))</f>
        <v>1</v>
      </c>
      <c r="K13384">
        <v>0</v>
      </c>
      <c r="L13384">
        <f>IF(AND($J13384=0,$K13384=0),0,1)</f>
        <v>1</v>
      </c>
    </row>
    <row r="13385" spans="1:13" x14ac:dyDescent="0.2">
      <c r="A13385" t="s">
        <v>623</v>
      </c>
      <c r="B13385" t="s">
        <v>133</v>
      </c>
      <c r="C13385" t="s">
        <v>2</v>
      </c>
      <c r="D13385">
        <v>2106</v>
      </c>
      <c r="E13385">
        <v>2020</v>
      </c>
      <c r="F13385">
        <v>1</v>
      </c>
      <c r="G13385">
        <v>517</v>
      </c>
      <c r="H13385" s="1">
        <v>1.5</v>
      </c>
      <c r="I13385">
        <v>20</v>
      </c>
      <c r="J13385">
        <f>IF($H13385=0,1,IF($I13385&lt;=1,2,0))</f>
        <v>0</v>
      </c>
      <c r="K13385">
        <v>7</v>
      </c>
      <c r="L13385">
        <f>IF(AND($J13385=0,$K13385=0),0,1)</f>
        <v>1</v>
      </c>
      <c r="M13385" t="s">
        <v>1955</v>
      </c>
    </row>
    <row r="13386" spans="1:13" x14ac:dyDescent="0.2">
      <c r="A13386" t="s">
        <v>623</v>
      </c>
      <c r="B13386" t="s">
        <v>133</v>
      </c>
      <c r="C13386" t="s">
        <v>2</v>
      </c>
      <c r="D13386">
        <v>2106</v>
      </c>
      <c r="E13386">
        <v>2020</v>
      </c>
      <c r="F13386">
        <v>2</v>
      </c>
      <c r="G13386">
        <v>518</v>
      </c>
      <c r="H13386" s="1">
        <v>1.5</v>
      </c>
      <c r="I13386">
        <v>19</v>
      </c>
      <c r="J13386">
        <f>IF($H13386=0,1,IF($I13386&lt;=1,2,0))</f>
        <v>0</v>
      </c>
      <c r="K13386">
        <v>7</v>
      </c>
      <c r="L13386">
        <f>IF(AND($J13386=0,$K13386=0),0,1)</f>
        <v>1</v>
      </c>
      <c r="M13386" t="s">
        <v>1955</v>
      </c>
    </row>
    <row r="13387" spans="1:13" x14ac:dyDescent="0.2">
      <c r="A13387" t="s">
        <v>623</v>
      </c>
      <c r="B13387" t="s">
        <v>133</v>
      </c>
      <c r="C13387" t="s">
        <v>2</v>
      </c>
      <c r="D13387">
        <v>2106</v>
      </c>
      <c r="E13387">
        <v>2020</v>
      </c>
      <c r="F13387">
        <v>3</v>
      </c>
      <c r="G13387">
        <v>519</v>
      </c>
      <c r="H13387" s="1">
        <v>1.5</v>
      </c>
      <c r="I13387">
        <v>17</v>
      </c>
      <c r="J13387">
        <f>IF($H13387=0,1,IF($I13387&lt;=1,2,0))</f>
        <v>0</v>
      </c>
      <c r="K13387">
        <v>7</v>
      </c>
      <c r="L13387">
        <f>IF(AND($J13387=0,$K13387=0),0,1)</f>
        <v>1</v>
      </c>
      <c r="M13387" t="s">
        <v>1955</v>
      </c>
    </row>
    <row r="13388" spans="1:13" x14ac:dyDescent="0.2">
      <c r="A13388" t="s">
        <v>623</v>
      </c>
      <c r="B13388" t="s">
        <v>133</v>
      </c>
      <c r="C13388" t="s">
        <v>2</v>
      </c>
      <c r="D13388">
        <v>2107</v>
      </c>
      <c r="E13388">
        <v>2020</v>
      </c>
      <c r="F13388">
        <v>1</v>
      </c>
      <c r="G13388">
        <v>512</v>
      </c>
      <c r="H13388" s="1">
        <v>3</v>
      </c>
      <c r="I13388">
        <v>87</v>
      </c>
      <c r="J13388">
        <f>IF($H13388=0,1,IF($I13388&lt;=1,2,0))</f>
        <v>0</v>
      </c>
      <c r="K13388">
        <v>7</v>
      </c>
      <c r="L13388">
        <f>IF(AND($J13388=0,$K13388=0),0,1)</f>
        <v>1</v>
      </c>
      <c r="M13388" t="s">
        <v>2012</v>
      </c>
    </row>
    <row r="13389" spans="1:13" x14ac:dyDescent="0.2">
      <c r="A13389" t="s">
        <v>623</v>
      </c>
      <c r="B13389" t="s">
        <v>133</v>
      </c>
      <c r="C13389" t="s">
        <v>2</v>
      </c>
      <c r="D13389">
        <v>2109</v>
      </c>
      <c r="E13389">
        <v>2020</v>
      </c>
      <c r="F13389">
        <v>2</v>
      </c>
      <c r="G13389">
        <v>520</v>
      </c>
      <c r="H13389" s="1">
        <v>1.5</v>
      </c>
      <c r="I13389">
        <v>19</v>
      </c>
      <c r="J13389">
        <f>IF($H13389=0,1,IF($I13389&lt;=1,2,0))</f>
        <v>0</v>
      </c>
      <c r="K13389">
        <v>7</v>
      </c>
      <c r="L13389">
        <f>IF(AND($J13389=0,$K13389=0),0,1)</f>
        <v>1</v>
      </c>
      <c r="M13389" t="s">
        <v>1202</v>
      </c>
    </row>
    <row r="13390" spans="1:13" x14ac:dyDescent="0.2">
      <c r="A13390" t="s">
        <v>623</v>
      </c>
      <c r="B13390" t="s">
        <v>133</v>
      </c>
      <c r="C13390" t="s">
        <v>2</v>
      </c>
      <c r="D13390">
        <v>2109</v>
      </c>
      <c r="E13390">
        <v>2020</v>
      </c>
      <c r="F13390">
        <v>1</v>
      </c>
      <c r="G13390">
        <v>521</v>
      </c>
      <c r="H13390" s="1">
        <v>1.5</v>
      </c>
      <c r="I13390">
        <v>6</v>
      </c>
      <c r="J13390">
        <f>IF($H13390=0,1,IF($I13390&lt;=1,2,0))</f>
        <v>0</v>
      </c>
      <c r="K13390">
        <v>7</v>
      </c>
      <c r="L13390">
        <f>IF(AND($J13390=0,$K13390=0),0,1)</f>
        <v>1</v>
      </c>
      <c r="M13390" t="s">
        <v>1202</v>
      </c>
    </row>
    <row r="13391" spans="1:13" x14ac:dyDescent="0.2">
      <c r="A13391" t="s">
        <v>623</v>
      </c>
      <c r="B13391" t="s">
        <v>133</v>
      </c>
      <c r="C13391" t="s">
        <v>2</v>
      </c>
      <c r="D13391">
        <v>2110</v>
      </c>
      <c r="E13391">
        <v>2020</v>
      </c>
      <c r="F13391">
        <v>1</v>
      </c>
      <c r="G13391">
        <v>513</v>
      </c>
      <c r="H13391" s="1">
        <v>3</v>
      </c>
      <c r="I13391">
        <v>51</v>
      </c>
      <c r="J13391">
        <f>IF($H13391=0,1,IF($I13391&lt;=1,2,0))</f>
        <v>0</v>
      </c>
      <c r="K13391">
        <v>7</v>
      </c>
      <c r="L13391">
        <f>IF(AND($J13391=0,$K13391=0),0,1)</f>
        <v>1</v>
      </c>
    </row>
    <row r="13392" spans="1:13" x14ac:dyDescent="0.2">
      <c r="A13392" t="s">
        <v>623</v>
      </c>
      <c r="B13392" t="s">
        <v>133</v>
      </c>
      <c r="C13392" t="s">
        <v>2</v>
      </c>
      <c r="D13392">
        <v>2114</v>
      </c>
      <c r="E13392">
        <v>2020</v>
      </c>
      <c r="F13392">
        <v>1</v>
      </c>
      <c r="G13392">
        <v>707</v>
      </c>
      <c r="H13392" s="1">
        <v>1.5</v>
      </c>
      <c r="I13392">
        <v>7</v>
      </c>
      <c r="J13392">
        <f>IF($H13392=0,1,IF($I13392&lt;=1,2,0))</f>
        <v>0</v>
      </c>
      <c r="K13392">
        <v>7</v>
      </c>
      <c r="L13392">
        <f>IF(AND($J13392=0,$K13392=0),0,1)</f>
        <v>1</v>
      </c>
    </row>
    <row r="13393" spans="1:13" x14ac:dyDescent="0.2">
      <c r="A13393" t="s">
        <v>623</v>
      </c>
      <c r="B13393" t="s">
        <v>133</v>
      </c>
      <c r="C13393" t="s">
        <v>2</v>
      </c>
      <c r="D13393">
        <v>2115</v>
      </c>
      <c r="E13393">
        <v>2020</v>
      </c>
      <c r="F13393">
        <v>1</v>
      </c>
      <c r="G13393">
        <v>712</v>
      </c>
      <c r="H13393" s="1">
        <v>3</v>
      </c>
      <c r="I13393">
        <v>23</v>
      </c>
      <c r="J13393">
        <f>IF($H13393=0,1,IF($I13393&lt;=1,2,0))</f>
        <v>0</v>
      </c>
      <c r="K13393">
        <v>7</v>
      </c>
      <c r="L13393">
        <f>IF(AND($J13393=0,$K13393=0),0,1)</f>
        <v>1</v>
      </c>
    </row>
    <row r="13394" spans="1:13" x14ac:dyDescent="0.2">
      <c r="A13394" t="s">
        <v>623</v>
      </c>
      <c r="B13394" t="s">
        <v>133</v>
      </c>
      <c r="C13394" t="s">
        <v>2</v>
      </c>
      <c r="D13394">
        <v>2124</v>
      </c>
      <c r="E13394">
        <v>2020</v>
      </c>
      <c r="F13394">
        <v>2</v>
      </c>
      <c r="G13394">
        <v>523</v>
      </c>
      <c r="H13394" s="1">
        <v>1.5</v>
      </c>
      <c r="I13394">
        <v>22</v>
      </c>
      <c r="J13394">
        <f>IF($H13394=0,1,IF($I13394&lt;=1,2,0))</f>
        <v>0</v>
      </c>
      <c r="K13394">
        <v>7</v>
      </c>
      <c r="L13394">
        <f>IF(AND($J13394=0,$K13394=0),0,1)</f>
        <v>1</v>
      </c>
      <c r="M13394" t="s">
        <v>1959</v>
      </c>
    </row>
    <row r="13395" spans="1:13" x14ac:dyDescent="0.2">
      <c r="A13395" t="s">
        <v>623</v>
      </c>
      <c r="B13395" t="s">
        <v>133</v>
      </c>
      <c r="C13395" t="s">
        <v>2</v>
      </c>
      <c r="D13395">
        <v>2124</v>
      </c>
      <c r="E13395">
        <v>2020</v>
      </c>
      <c r="F13395">
        <v>1</v>
      </c>
      <c r="G13395">
        <v>522</v>
      </c>
      <c r="H13395" s="1">
        <v>1.5</v>
      </c>
      <c r="I13395">
        <v>8</v>
      </c>
      <c r="J13395">
        <f>IF($H13395=0,1,IF($I13395&lt;=1,2,0))</f>
        <v>0</v>
      </c>
      <c r="K13395">
        <v>7</v>
      </c>
      <c r="L13395">
        <f>IF(AND($J13395=0,$K13395=0),0,1)</f>
        <v>1</v>
      </c>
      <c r="M13395" t="s">
        <v>1959</v>
      </c>
    </row>
    <row r="13396" spans="1:13" x14ac:dyDescent="0.2">
      <c r="A13396" t="s">
        <v>623</v>
      </c>
      <c r="B13396" t="s">
        <v>133</v>
      </c>
      <c r="C13396" t="s">
        <v>2</v>
      </c>
      <c r="D13396">
        <v>2125</v>
      </c>
      <c r="E13396">
        <v>2020</v>
      </c>
      <c r="F13396">
        <v>1</v>
      </c>
      <c r="G13396">
        <v>514</v>
      </c>
      <c r="H13396" s="1">
        <v>3</v>
      </c>
      <c r="I13396">
        <v>50</v>
      </c>
      <c r="J13396">
        <f>IF($H13396=0,1,IF($I13396&lt;=1,2,0))</f>
        <v>0</v>
      </c>
      <c r="K13396">
        <v>7</v>
      </c>
      <c r="L13396">
        <f>IF(AND($J13396=0,$K13396=0),0,1)</f>
        <v>1</v>
      </c>
      <c r="M13396" t="s">
        <v>1960</v>
      </c>
    </row>
    <row r="13397" spans="1:13" x14ac:dyDescent="0.2">
      <c r="A13397" t="s">
        <v>623</v>
      </c>
      <c r="B13397" t="s">
        <v>133</v>
      </c>
      <c r="C13397" t="s">
        <v>2</v>
      </c>
      <c r="D13397">
        <v>2129</v>
      </c>
      <c r="E13397">
        <v>2020</v>
      </c>
      <c r="F13397">
        <v>1</v>
      </c>
      <c r="G13397">
        <v>511</v>
      </c>
      <c r="H13397" s="1">
        <v>3</v>
      </c>
      <c r="I13397">
        <v>43</v>
      </c>
      <c r="J13397">
        <f>IF($H13397=0,1,IF($I13397&lt;=1,2,0))</f>
        <v>0</v>
      </c>
      <c r="K13397">
        <v>7</v>
      </c>
      <c r="L13397">
        <f>IF(AND($J13397=0,$K13397=0),0,1)</f>
        <v>1</v>
      </c>
      <c r="M13397" t="s">
        <v>1960</v>
      </c>
    </row>
    <row r="13398" spans="1:13" x14ac:dyDescent="0.2">
      <c r="A13398" t="s">
        <v>623</v>
      </c>
      <c r="B13398" t="s">
        <v>133</v>
      </c>
      <c r="C13398" t="s">
        <v>2</v>
      </c>
      <c r="D13398">
        <v>3162</v>
      </c>
      <c r="E13398">
        <v>2020</v>
      </c>
      <c r="F13398">
        <v>1</v>
      </c>
      <c r="G13398">
        <v>508</v>
      </c>
      <c r="H13398" s="1">
        <v>4</v>
      </c>
      <c r="I13398">
        <v>12</v>
      </c>
      <c r="J13398">
        <f>IF($H13398=0,1,IF($I13398&lt;=1,2,0))</f>
        <v>0</v>
      </c>
      <c r="K13398">
        <v>7</v>
      </c>
      <c r="L13398">
        <f>IF(AND($J13398=0,$K13398=0),0,1)</f>
        <v>1</v>
      </c>
    </row>
    <row r="13399" spans="1:13" x14ac:dyDescent="0.2">
      <c r="A13399" t="s">
        <v>623</v>
      </c>
      <c r="B13399" t="s">
        <v>133</v>
      </c>
      <c r="C13399" t="s">
        <v>2</v>
      </c>
      <c r="D13399">
        <v>3361</v>
      </c>
      <c r="E13399">
        <v>2020</v>
      </c>
      <c r="F13399">
        <v>1</v>
      </c>
      <c r="G13399">
        <v>516</v>
      </c>
      <c r="H13399" s="1">
        <v>4</v>
      </c>
      <c r="I13399">
        <v>9</v>
      </c>
      <c r="J13399">
        <f>IF($H13399=0,1,IF($I13399&lt;=1,2,0))</f>
        <v>0</v>
      </c>
      <c r="K13399">
        <v>7</v>
      </c>
      <c r="L13399">
        <f>IF(AND($J13399=0,$K13399=0),0,1)</f>
        <v>1</v>
      </c>
      <c r="M13399" t="s">
        <v>1203</v>
      </c>
    </row>
    <row r="13400" spans="1:13" x14ac:dyDescent="0.2">
      <c r="A13400" t="s">
        <v>623</v>
      </c>
      <c r="B13400" t="s">
        <v>133</v>
      </c>
      <c r="C13400" t="s">
        <v>2</v>
      </c>
      <c r="D13400">
        <v>3363</v>
      </c>
      <c r="E13400">
        <v>2020</v>
      </c>
      <c r="F13400">
        <v>1</v>
      </c>
      <c r="G13400">
        <v>506</v>
      </c>
      <c r="H13400" s="1">
        <v>4</v>
      </c>
      <c r="I13400">
        <v>7</v>
      </c>
      <c r="J13400">
        <f>IF($H13400=0,1,IF($I13400&lt;=1,2,0))</f>
        <v>0</v>
      </c>
      <c r="K13400">
        <v>7</v>
      </c>
      <c r="L13400">
        <f>IF(AND($J13400=0,$K13400=0),0,1)</f>
        <v>1</v>
      </c>
    </row>
    <row r="13401" spans="1:13" x14ac:dyDescent="0.2">
      <c r="A13401" t="s">
        <v>623</v>
      </c>
      <c r="B13401" t="s">
        <v>133</v>
      </c>
      <c r="C13401" t="s">
        <v>2</v>
      </c>
      <c r="D13401">
        <v>3394</v>
      </c>
      <c r="E13401">
        <v>2020</v>
      </c>
      <c r="F13401">
        <v>1</v>
      </c>
      <c r="G13401">
        <v>515</v>
      </c>
      <c r="H13401" s="1">
        <v>4</v>
      </c>
      <c r="I13401">
        <v>21</v>
      </c>
      <c r="J13401">
        <f>IF($H13401=0,1,IF($I13401&lt;=1,2,0))</f>
        <v>0</v>
      </c>
      <c r="K13401">
        <v>7</v>
      </c>
      <c r="L13401">
        <f>IF(AND($J13401=0,$K13401=0),0,1)</f>
        <v>1</v>
      </c>
      <c r="M13401" t="s">
        <v>1204</v>
      </c>
    </row>
    <row r="13402" spans="1:13" x14ac:dyDescent="0.2">
      <c r="A13402" t="s">
        <v>623</v>
      </c>
      <c r="B13402" t="s">
        <v>133</v>
      </c>
      <c r="C13402" t="s">
        <v>2</v>
      </c>
      <c r="D13402">
        <v>3408</v>
      </c>
      <c r="E13402">
        <v>2020</v>
      </c>
      <c r="F13402">
        <v>1</v>
      </c>
      <c r="G13402">
        <v>578</v>
      </c>
      <c r="H13402" s="1">
        <v>4</v>
      </c>
      <c r="I13402">
        <v>18</v>
      </c>
      <c r="J13402">
        <f>IF($H13402=0,1,IF($I13402&lt;=1,2,0))</f>
        <v>0</v>
      </c>
      <c r="K13402">
        <v>7</v>
      </c>
      <c r="L13402">
        <f>IF(AND($J13402=0,$K13402=0),0,1)</f>
        <v>1</v>
      </c>
    </row>
    <row r="13403" spans="1:13" x14ac:dyDescent="0.2">
      <c r="A13403" t="s">
        <v>623</v>
      </c>
      <c r="B13403" t="s">
        <v>133</v>
      </c>
      <c r="C13403" t="s">
        <v>2</v>
      </c>
      <c r="D13403">
        <v>3465</v>
      </c>
      <c r="E13403">
        <v>2020</v>
      </c>
      <c r="F13403">
        <v>1</v>
      </c>
      <c r="G13403">
        <v>504</v>
      </c>
      <c r="H13403" s="1">
        <v>4</v>
      </c>
      <c r="I13403">
        <v>16</v>
      </c>
      <c r="J13403">
        <f>IF($H13403=0,1,IF($I13403&lt;=1,2,0))</f>
        <v>0</v>
      </c>
      <c r="K13403">
        <v>7</v>
      </c>
      <c r="L13403">
        <f>IF(AND($J13403=0,$K13403=0),0,1)</f>
        <v>1</v>
      </c>
      <c r="M13403" t="s">
        <v>638</v>
      </c>
    </row>
    <row r="13404" spans="1:13" x14ac:dyDescent="0.2">
      <c r="A13404" t="s">
        <v>623</v>
      </c>
      <c r="B13404" t="s">
        <v>133</v>
      </c>
      <c r="C13404" t="s">
        <v>2</v>
      </c>
      <c r="D13404">
        <v>3606</v>
      </c>
      <c r="E13404">
        <v>2020</v>
      </c>
      <c r="F13404">
        <v>10</v>
      </c>
      <c r="G13404">
        <v>500</v>
      </c>
      <c r="H13404" s="1" t="s">
        <v>1823</v>
      </c>
      <c r="I13404">
        <v>7</v>
      </c>
      <c r="J13404">
        <f>IF($H13404=0,1,IF($I13404&lt;=1,2,0))</f>
        <v>0</v>
      </c>
      <c r="K13404">
        <v>7</v>
      </c>
      <c r="L13404">
        <f>IF(AND($J13404=0,$K13404=0),0,1)</f>
        <v>1</v>
      </c>
      <c r="M13404" t="s">
        <v>471</v>
      </c>
    </row>
    <row r="13405" spans="1:13" x14ac:dyDescent="0.2">
      <c r="A13405" t="s">
        <v>623</v>
      </c>
      <c r="B13405" t="s">
        <v>133</v>
      </c>
      <c r="C13405" t="s">
        <v>2</v>
      </c>
      <c r="D13405">
        <v>3606</v>
      </c>
      <c r="E13405">
        <v>2020</v>
      </c>
      <c r="F13405">
        <v>18</v>
      </c>
      <c r="G13405">
        <v>495</v>
      </c>
      <c r="H13405" s="1" t="s">
        <v>1823</v>
      </c>
      <c r="I13405">
        <v>4</v>
      </c>
      <c r="J13405">
        <f>IF($H13405=0,1,IF($I13405&lt;=1,2,0))</f>
        <v>0</v>
      </c>
      <c r="K13405">
        <v>7</v>
      </c>
      <c r="L13405">
        <f>IF(AND($J13405=0,$K13405=0),0,1)</f>
        <v>1</v>
      </c>
      <c r="M13405" t="s">
        <v>471</v>
      </c>
    </row>
    <row r="13406" spans="1:13" x14ac:dyDescent="0.2">
      <c r="A13406" t="s">
        <v>623</v>
      </c>
      <c r="B13406" t="s">
        <v>133</v>
      </c>
      <c r="C13406" t="s">
        <v>2</v>
      </c>
      <c r="D13406">
        <v>3606</v>
      </c>
      <c r="E13406">
        <v>2020</v>
      </c>
      <c r="F13406">
        <v>16</v>
      </c>
      <c r="G13406">
        <v>497</v>
      </c>
      <c r="H13406" s="1" t="s">
        <v>1823</v>
      </c>
      <c r="I13406">
        <v>3</v>
      </c>
      <c r="J13406">
        <f>IF($H13406=0,1,IF($I13406&lt;=1,2,0))</f>
        <v>0</v>
      </c>
      <c r="K13406">
        <v>7</v>
      </c>
      <c r="L13406">
        <f>IF(AND($J13406=0,$K13406=0),0,1)</f>
        <v>1</v>
      </c>
      <c r="M13406" t="s">
        <v>471</v>
      </c>
    </row>
    <row r="13407" spans="1:13" x14ac:dyDescent="0.2">
      <c r="A13407" t="s">
        <v>623</v>
      </c>
      <c r="B13407" t="s">
        <v>133</v>
      </c>
      <c r="C13407" t="s">
        <v>2</v>
      </c>
      <c r="D13407">
        <v>3606</v>
      </c>
      <c r="E13407">
        <v>2020</v>
      </c>
      <c r="F13407">
        <v>19</v>
      </c>
      <c r="G13407">
        <v>494</v>
      </c>
      <c r="H13407" s="1" t="s">
        <v>1823</v>
      </c>
      <c r="I13407">
        <v>2</v>
      </c>
      <c r="J13407">
        <f>IF($H13407=0,1,IF($I13407&lt;=1,2,0))</f>
        <v>0</v>
      </c>
      <c r="K13407">
        <v>7</v>
      </c>
      <c r="L13407">
        <f>IF(AND($J13407=0,$K13407=0),0,1)</f>
        <v>1</v>
      </c>
      <c r="M13407" t="s">
        <v>471</v>
      </c>
    </row>
    <row r="13408" spans="1:13" x14ac:dyDescent="0.2">
      <c r="A13408" t="s">
        <v>623</v>
      </c>
      <c r="B13408" t="s">
        <v>133</v>
      </c>
      <c r="C13408" t="s">
        <v>2</v>
      </c>
      <c r="D13408">
        <v>3606</v>
      </c>
      <c r="E13408">
        <v>2020</v>
      </c>
      <c r="F13408">
        <v>2</v>
      </c>
      <c r="G13408">
        <v>487</v>
      </c>
      <c r="H13408" s="1" t="s">
        <v>1823</v>
      </c>
      <c r="I13408">
        <v>1</v>
      </c>
      <c r="J13408">
        <f>IF($H13408=0,1,IF($I13408&lt;=1,2,0))</f>
        <v>2</v>
      </c>
      <c r="K13408">
        <v>7</v>
      </c>
      <c r="L13408">
        <f>IF(AND($J13408=0,$K13408=0),0,1)</f>
        <v>1</v>
      </c>
      <c r="M13408" t="s">
        <v>471</v>
      </c>
    </row>
    <row r="13409" spans="1:13" x14ac:dyDescent="0.2">
      <c r="A13409" t="s">
        <v>623</v>
      </c>
      <c r="B13409" t="s">
        <v>133</v>
      </c>
      <c r="C13409" t="s">
        <v>2</v>
      </c>
      <c r="D13409">
        <v>3606</v>
      </c>
      <c r="E13409">
        <v>2020</v>
      </c>
      <c r="F13409">
        <v>5</v>
      </c>
      <c r="G13409">
        <v>490</v>
      </c>
      <c r="H13409" s="1" t="s">
        <v>1823</v>
      </c>
      <c r="I13409">
        <v>1</v>
      </c>
      <c r="J13409">
        <f>IF($H13409=0,1,IF($I13409&lt;=1,2,0))</f>
        <v>2</v>
      </c>
      <c r="K13409">
        <v>7</v>
      </c>
      <c r="L13409">
        <f>IF(AND($J13409=0,$K13409=0),0,1)</f>
        <v>1</v>
      </c>
      <c r="M13409" t="s">
        <v>471</v>
      </c>
    </row>
    <row r="13410" spans="1:13" x14ac:dyDescent="0.2">
      <c r="A13410" t="s">
        <v>623</v>
      </c>
      <c r="B13410" t="s">
        <v>133</v>
      </c>
      <c r="C13410" t="s">
        <v>2</v>
      </c>
      <c r="D13410">
        <v>3606</v>
      </c>
      <c r="E13410">
        <v>2020</v>
      </c>
      <c r="F13410">
        <v>7</v>
      </c>
      <c r="G13410">
        <v>492</v>
      </c>
      <c r="H13410" s="1" t="s">
        <v>1823</v>
      </c>
      <c r="I13410">
        <v>1</v>
      </c>
      <c r="J13410">
        <f>IF($H13410=0,1,IF($I13410&lt;=1,2,0))</f>
        <v>2</v>
      </c>
      <c r="K13410">
        <v>7</v>
      </c>
      <c r="L13410">
        <f>IF(AND($J13410=0,$K13410=0),0,1)</f>
        <v>1</v>
      </c>
      <c r="M13410" t="s">
        <v>471</v>
      </c>
    </row>
    <row r="13411" spans="1:13" x14ac:dyDescent="0.2">
      <c r="A13411" t="s">
        <v>623</v>
      </c>
      <c r="B13411" t="s">
        <v>133</v>
      </c>
      <c r="C13411" t="s">
        <v>2</v>
      </c>
      <c r="D13411">
        <v>3606</v>
      </c>
      <c r="E13411">
        <v>2020</v>
      </c>
      <c r="F13411">
        <v>13</v>
      </c>
      <c r="G13411">
        <v>503</v>
      </c>
      <c r="H13411" s="1" t="s">
        <v>1823</v>
      </c>
      <c r="I13411">
        <v>1</v>
      </c>
      <c r="J13411">
        <f>IF($H13411=0,1,IF($I13411&lt;=1,2,0))</f>
        <v>2</v>
      </c>
      <c r="K13411">
        <v>7</v>
      </c>
      <c r="L13411">
        <f>IF(AND($J13411=0,$K13411=0),0,1)</f>
        <v>1</v>
      </c>
      <c r="M13411" t="s">
        <v>471</v>
      </c>
    </row>
    <row r="13412" spans="1:13" x14ac:dyDescent="0.2">
      <c r="A13412" t="s">
        <v>623</v>
      </c>
      <c r="B13412" t="s">
        <v>133</v>
      </c>
      <c r="C13412" t="s">
        <v>2</v>
      </c>
      <c r="D13412">
        <v>3606</v>
      </c>
      <c r="E13412">
        <v>2020</v>
      </c>
      <c r="F13412">
        <v>15</v>
      </c>
      <c r="G13412">
        <v>498</v>
      </c>
      <c r="H13412" s="1" t="s">
        <v>1823</v>
      </c>
      <c r="I13412">
        <v>1</v>
      </c>
      <c r="J13412">
        <f>IF($H13412=0,1,IF($I13412&lt;=1,2,0))</f>
        <v>2</v>
      </c>
      <c r="K13412">
        <v>7</v>
      </c>
      <c r="L13412">
        <f>IF(AND($J13412=0,$K13412=0),0,1)</f>
        <v>1</v>
      </c>
      <c r="M13412" t="s">
        <v>471</v>
      </c>
    </row>
    <row r="13413" spans="1:13" x14ac:dyDescent="0.2">
      <c r="A13413" t="s">
        <v>623</v>
      </c>
      <c r="B13413" t="s">
        <v>133</v>
      </c>
      <c r="C13413" t="s">
        <v>2</v>
      </c>
      <c r="D13413">
        <v>3606</v>
      </c>
      <c r="E13413">
        <v>2020</v>
      </c>
      <c r="F13413">
        <v>17</v>
      </c>
      <c r="G13413">
        <v>496</v>
      </c>
      <c r="H13413" s="1" t="s">
        <v>1823</v>
      </c>
      <c r="I13413">
        <v>1</v>
      </c>
      <c r="J13413">
        <f>IF($H13413=0,1,IF($I13413&lt;=1,2,0))</f>
        <v>2</v>
      </c>
      <c r="K13413">
        <v>7</v>
      </c>
      <c r="L13413">
        <f>IF(AND($J13413=0,$K13413=0),0,1)</f>
        <v>1</v>
      </c>
      <c r="M13413" t="s">
        <v>471</v>
      </c>
    </row>
    <row r="13414" spans="1:13" x14ac:dyDescent="0.2">
      <c r="A13414" t="s">
        <v>623</v>
      </c>
      <c r="B13414" t="s">
        <v>133</v>
      </c>
      <c r="C13414" t="s">
        <v>2</v>
      </c>
      <c r="D13414">
        <v>3606</v>
      </c>
      <c r="E13414">
        <v>2020</v>
      </c>
      <c r="F13414">
        <v>1</v>
      </c>
      <c r="G13414">
        <v>486</v>
      </c>
      <c r="H13414" s="1" t="s">
        <v>1823</v>
      </c>
      <c r="I13414">
        <v>0</v>
      </c>
      <c r="J13414">
        <f>IF($H13414=0,1,IF($I13414&lt;=1,2,0))</f>
        <v>2</v>
      </c>
      <c r="K13414">
        <v>7</v>
      </c>
      <c r="L13414">
        <f>IF(AND($J13414=0,$K13414=0),0,1)</f>
        <v>1</v>
      </c>
      <c r="M13414" t="s">
        <v>471</v>
      </c>
    </row>
    <row r="13415" spans="1:13" x14ac:dyDescent="0.2">
      <c r="A13415" t="s">
        <v>623</v>
      </c>
      <c r="B13415" t="s">
        <v>133</v>
      </c>
      <c r="C13415" t="s">
        <v>2</v>
      </c>
      <c r="D13415">
        <v>3606</v>
      </c>
      <c r="E13415">
        <v>2020</v>
      </c>
      <c r="F13415">
        <v>3</v>
      </c>
      <c r="G13415">
        <v>488</v>
      </c>
      <c r="H13415" s="1" t="s">
        <v>1823</v>
      </c>
      <c r="I13415">
        <v>0</v>
      </c>
      <c r="J13415">
        <f>IF($H13415=0,1,IF($I13415&lt;=1,2,0))</f>
        <v>2</v>
      </c>
      <c r="K13415">
        <v>7</v>
      </c>
      <c r="L13415">
        <f>IF(AND($J13415=0,$K13415=0),0,1)</f>
        <v>1</v>
      </c>
      <c r="M13415" t="s">
        <v>471</v>
      </c>
    </row>
    <row r="13416" spans="1:13" x14ac:dyDescent="0.2">
      <c r="A13416" t="s">
        <v>623</v>
      </c>
      <c r="B13416" t="s">
        <v>133</v>
      </c>
      <c r="C13416" t="s">
        <v>2</v>
      </c>
      <c r="D13416">
        <v>3606</v>
      </c>
      <c r="E13416">
        <v>2020</v>
      </c>
      <c r="F13416">
        <v>4</v>
      </c>
      <c r="G13416">
        <v>489</v>
      </c>
      <c r="H13416" s="1" t="s">
        <v>1823</v>
      </c>
      <c r="I13416">
        <v>0</v>
      </c>
      <c r="J13416">
        <f>IF($H13416=0,1,IF($I13416&lt;=1,2,0))</f>
        <v>2</v>
      </c>
      <c r="K13416">
        <v>7</v>
      </c>
      <c r="L13416">
        <f>IF(AND($J13416=0,$K13416=0),0,1)</f>
        <v>1</v>
      </c>
      <c r="M13416" t="s">
        <v>471</v>
      </c>
    </row>
    <row r="13417" spans="1:13" x14ac:dyDescent="0.2">
      <c r="A13417" t="s">
        <v>623</v>
      </c>
      <c r="B13417" t="s">
        <v>133</v>
      </c>
      <c r="C13417" t="s">
        <v>2</v>
      </c>
      <c r="D13417">
        <v>3606</v>
      </c>
      <c r="E13417">
        <v>2020</v>
      </c>
      <c r="F13417">
        <v>6</v>
      </c>
      <c r="G13417">
        <v>491</v>
      </c>
      <c r="H13417" s="1" t="s">
        <v>1823</v>
      </c>
      <c r="I13417">
        <v>0</v>
      </c>
      <c r="J13417">
        <f>IF($H13417=0,1,IF($I13417&lt;=1,2,0))</f>
        <v>2</v>
      </c>
      <c r="K13417">
        <v>7</v>
      </c>
      <c r="L13417">
        <f>IF(AND($J13417=0,$K13417=0),0,1)</f>
        <v>1</v>
      </c>
      <c r="M13417" t="s">
        <v>471</v>
      </c>
    </row>
    <row r="13418" spans="1:13" x14ac:dyDescent="0.2">
      <c r="A13418" t="s">
        <v>623</v>
      </c>
      <c r="B13418" t="s">
        <v>133</v>
      </c>
      <c r="C13418" t="s">
        <v>2</v>
      </c>
      <c r="D13418">
        <v>3606</v>
      </c>
      <c r="E13418">
        <v>2020</v>
      </c>
      <c r="F13418">
        <v>8</v>
      </c>
      <c r="G13418">
        <v>493</v>
      </c>
      <c r="H13418" s="1" t="s">
        <v>1823</v>
      </c>
      <c r="I13418">
        <v>0</v>
      </c>
      <c r="J13418">
        <f>IF($H13418=0,1,IF($I13418&lt;=1,2,0))</f>
        <v>2</v>
      </c>
      <c r="K13418">
        <v>7</v>
      </c>
      <c r="L13418">
        <f>IF(AND($J13418=0,$K13418=0),0,1)</f>
        <v>1</v>
      </c>
      <c r="M13418" t="s">
        <v>471</v>
      </c>
    </row>
    <row r="13419" spans="1:13" x14ac:dyDescent="0.2">
      <c r="A13419" t="s">
        <v>623</v>
      </c>
      <c r="B13419" t="s">
        <v>133</v>
      </c>
      <c r="C13419" t="s">
        <v>2</v>
      </c>
      <c r="D13419">
        <v>3606</v>
      </c>
      <c r="E13419">
        <v>2020</v>
      </c>
      <c r="F13419">
        <v>9</v>
      </c>
      <c r="G13419">
        <v>499</v>
      </c>
      <c r="H13419" s="1" t="s">
        <v>1823</v>
      </c>
      <c r="I13419">
        <v>0</v>
      </c>
      <c r="J13419">
        <f>IF($H13419=0,1,IF($I13419&lt;=1,2,0))</f>
        <v>2</v>
      </c>
      <c r="K13419">
        <v>7</v>
      </c>
      <c r="L13419">
        <f>IF(AND($J13419=0,$K13419=0),0,1)</f>
        <v>1</v>
      </c>
      <c r="M13419" t="s">
        <v>471</v>
      </c>
    </row>
    <row r="13420" spans="1:13" x14ac:dyDescent="0.2">
      <c r="A13420" t="s">
        <v>623</v>
      </c>
      <c r="B13420" t="s">
        <v>133</v>
      </c>
      <c r="C13420" t="s">
        <v>2</v>
      </c>
      <c r="D13420">
        <v>3606</v>
      </c>
      <c r="E13420">
        <v>2020</v>
      </c>
      <c r="F13420">
        <v>11</v>
      </c>
      <c r="G13420">
        <v>501</v>
      </c>
      <c r="H13420" s="1" t="s">
        <v>1823</v>
      </c>
      <c r="I13420">
        <v>0</v>
      </c>
      <c r="J13420">
        <f>IF($H13420=0,1,IF($I13420&lt;=1,2,0))</f>
        <v>2</v>
      </c>
      <c r="K13420">
        <v>7</v>
      </c>
      <c r="L13420">
        <f>IF(AND($J13420=0,$K13420=0),0,1)</f>
        <v>1</v>
      </c>
      <c r="M13420" t="s">
        <v>471</v>
      </c>
    </row>
    <row r="13421" spans="1:13" x14ac:dyDescent="0.2">
      <c r="A13421" t="s">
        <v>623</v>
      </c>
      <c r="B13421" t="s">
        <v>133</v>
      </c>
      <c r="C13421" t="s">
        <v>2</v>
      </c>
      <c r="D13421">
        <v>3617</v>
      </c>
      <c r="E13421">
        <v>2020</v>
      </c>
      <c r="F13421">
        <v>1</v>
      </c>
      <c r="G13421">
        <v>485</v>
      </c>
      <c r="H13421" s="1">
        <v>1</v>
      </c>
      <c r="I13421">
        <v>7</v>
      </c>
      <c r="J13421">
        <f>IF($H13421=0,1,IF($I13421&lt;=1,2,0))</f>
        <v>0</v>
      </c>
      <c r="K13421">
        <v>7</v>
      </c>
      <c r="L13421">
        <f>IF(AND($J13421=0,$K13421=0),0,1)</f>
        <v>1</v>
      </c>
      <c r="M13421" t="s">
        <v>639</v>
      </c>
    </row>
    <row r="13422" spans="1:13" x14ac:dyDescent="0.2">
      <c r="A13422" t="s">
        <v>623</v>
      </c>
      <c r="B13422" t="s">
        <v>133</v>
      </c>
      <c r="C13422" t="s">
        <v>9</v>
      </c>
      <c r="D13422">
        <v>3950</v>
      </c>
      <c r="E13422">
        <v>2020</v>
      </c>
      <c r="F13422">
        <v>5</v>
      </c>
      <c r="G13422">
        <v>10274</v>
      </c>
      <c r="H13422" s="1" t="s">
        <v>1823</v>
      </c>
      <c r="I13422">
        <v>2</v>
      </c>
      <c r="J13422">
        <f>IF($H13422=0,1,IF($I13422&lt;=1,2,0))</f>
        <v>0</v>
      </c>
      <c r="K13422">
        <v>8</v>
      </c>
      <c r="L13422">
        <f>IF(AND($J13422=0,$K13422=0),0,1)</f>
        <v>1</v>
      </c>
      <c r="M13422" t="s">
        <v>1205</v>
      </c>
    </row>
    <row r="13423" spans="1:13" x14ac:dyDescent="0.2">
      <c r="A13423" t="s">
        <v>623</v>
      </c>
      <c r="B13423" t="s">
        <v>133</v>
      </c>
      <c r="C13423" t="s">
        <v>9</v>
      </c>
      <c r="D13423">
        <v>3950</v>
      </c>
      <c r="E13423">
        <v>2020</v>
      </c>
      <c r="F13423">
        <v>13</v>
      </c>
      <c r="G13423">
        <v>10307</v>
      </c>
      <c r="H13423" s="1" t="s">
        <v>1823</v>
      </c>
      <c r="I13423">
        <v>2</v>
      </c>
      <c r="J13423">
        <f>IF($H13423=0,1,IF($I13423&lt;=1,2,0))</f>
        <v>0</v>
      </c>
      <c r="K13423">
        <v>8</v>
      </c>
      <c r="L13423">
        <f>IF(AND($J13423=0,$K13423=0),0,1)</f>
        <v>1</v>
      </c>
    </row>
    <row r="13424" spans="1:13" x14ac:dyDescent="0.2">
      <c r="A13424" t="s">
        <v>623</v>
      </c>
      <c r="B13424" t="s">
        <v>133</v>
      </c>
      <c r="C13424" t="s">
        <v>9</v>
      </c>
      <c r="D13424">
        <v>3950</v>
      </c>
      <c r="E13424">
        <v>2020</v>
      </c>
      <c r="F13424">
        <v>15</v>
      </c>
      <c r="G13424">
        <v>10309</v>
      </c>
      <c r="H13424" s="1" t="s">
        <v>1823</v>
      </c>
      <c r="I13424">
        <v>2</v>
      </c>
      <c r="J13424">
        <f>IF($H13424=0,1,IF($I13424&lt;=1,2,0))</f>
        <v>0</v>
      </c>
      <c r="K13424">
        <v>8</v>
      </c>
      <c r="L13424">
        <f>IF(AND($J13424=0,$K13424=0),0,1)</f>
        <v>1</v>
      </c>
      <c r="M13424" t="s">
        <v>1205</v>
      </c>
    </row>
    <row r="13425" spans="1:13" x14ac:dyDescent="0.2">
      <c r="A13425" t="s">
        <v>623</v>
      </c>
      <c r="B13425" t="s">
        <v>133</v>
      </c>
      <c r="C13425" t="s">
        <v>9</v>
      </c>
      <c r="D13425">
        <v>3950</v>
      </c>
      <c r="E13425">
        <v>2020</v>
      </c>
      <c r="F13425">
        <v>2</v>
      </c>
      <c r="G13425">
        <v>10270</v>
      </c>
      <c r="H13425" s="1" t="s">
        <v>1823</v>
      </c>
      <c r="I13425">
        <v>1</v>
      </c>
      <c r="J13425">
        <f>IF($H13425=0,1,IF($I13425&lt;=1,2,0))</f>
        <v>2</v>
      </c>
      <c r="K13425">
        <v>8</v>
      </c>
      <c r="L13425">
        <f>IF(AND($J13425=0,$K13425=0),0,1)</f>
        <v>1</v>
      </c>
      <c r="M13425" t="s">
        <v>1205</v>
      </c>
    </row>
    <row r="13426" spans="1:13" x14ac:dyDescent="0.2">
      <c r="A13426" t="s">
        <v>623</v>
      </c>
      <c r="B13426" t="s">
        <v>133</v>
      </c>
      <c r="C13426" t="s">
        <v>9</v>
      </c>
      <c r="D13426">
        <v>3950</v>
      </c>
      <c r="E13426">
        <v>2020</v>
      </c>
      <c r="F13426">
        <v>6</v>
      </c>
      <c r="G13426">
        <v>10275</v>
      </c>
      <c r="H13426" s="1" t="s">
        <v>1823</v>
      </c>
      <c r="I13426">
        <v>1</v>
      </c>
      <c r="J13426">
        <f>IF($H13426=0,1,IF($I13426&lt;=1,2,0))</f>
        <v>2</v>
      </c>
      <c r="K13426">
        <v>8</v>
      </c>
      <c r="L13426">
        <f>IF(AND($J13426=0,$K13426=0),0,1)</f>
        <v>1</v>
      </c>
      <c r="M13426" t="s">
        <v>1205</v>
      </c>
    </row>
    <row r="13427" spans="1:13" x14ac:dyDescent="0.2">
      <c r="A13427" t="s">
        <v>623</v>
      </c>
      <c r="B13427" t="s">
        <v>133</v>
      </c>
      <c r="C13427" t="s">
        <v>9</v>
      </c>
      <c r="D13427">
        <v>3950</v>
      </c>
      <c r="E13427">
        <v>2020</v>
      </c>
      <c r="F13427">
        <v>9</v>
      </c>
      <c r="G13427">
        <v>10278</v>
      </c>
      <c r="H13427" s="1" t="s">
        <v>1823</v>
      </c>
      <c r="I13427">
        <v>1</v>
      </c>
      <c r="J13427">
        <f>IF($H13427=0,1,IF($I13427&lt;=1,2,0))</f>
        <v>2</v>
      </c>
      <c r="K13427">
        <v>8</v>
      </c>
      <c r="L13427">
        <f>IF(AND($J13427=0,$K13427=0),0,1)</f>
        <v>1</v>
      </c>
      <c r="M13427" t="s">
        <v>1205</v>
      </c>
    </row>
    <row r="13428" spans="1:13" x14ac:dyDescent="0.2">
      <c r="A13428" t="s">
        <v>623</v>
      </c>
      <c r="B13428" t="s">
        <v>133</v>
      </c>
      <c r="C13428" t="s">
        <v>9</v>
      </c>
      <c r="D13428">
        <v>3950</v>
      </c>
      <c r="E13428">
        <v>2020</v>
      </c>
      <c r="F13428">
        <v>19</v>
      </c>
      <c r="G13428">
        <v>10313</v>
      </c>
      <c r="H13428" s="1" t="s">
        <v>1823</v>
      </c>
      <c r="I13428">
        <v>1</v>
      </c>
      <c r="J13428">
        <f>IF($H13428=0,1,IF($I13428&lt;=1,2,0))</f>
        <v>2</v>
      </c>
      <c r="K13428">
        <v>8</v>
      </c>
      <c r="L13428">
        <f>IF(AND($J13428=0,$K13428=0),0,1)</f>
        <v>1</v>
      </c>
      <c r="M13428" t="s">
        <v>1205</v>
      </c>
    </row>
    <row r="13429" spans="1:13" x14ac:dyDescent="0.2">
      <c r="A13429" t="s">
        <v>623</v>
      </c>
      <c r="B13429" t="s">
        <v>133</v>
      </c>
      <c r="C13429" t="s">
        <v>9</v>
      </c>
      <c r="D13429">
        <v>3950</v>
      </c>
      <c r="E13429">
        <v>2020</v>
      </c>
      <c r="F13429">
        <v>20</v>
      </c>
      <c r="G13429">
        <v>10314</v>
      </c>
      <c r="H13429" s="1" t="s">
        <v>1823</v>
      </c>
      <c r="I13429">
        <v>1</v>
      </c>
      <c r="J13429">
        <f>IF($H13429=0,1,IF($I13429&lt;=1,2,0))</f>
        <v>2</v>
      </c>
      <c r="K13429">
        <v>8</v>
      </c>
      <c r="L13429">
        <f>IF(AND($J13429=0,$K13429=0),0,1)</f>
        <v>1</v>
      </c>
      <c r="M13429" t="s">
        <v>1205</v>
      </c>
    </row>
    <row r="13430" spans="1:13" x14ac:dyDescent="0.2">
      <c r="A13430" t="s">
        <v>623</v>
      </c>
      <c r="B13430" t="s">
        <v>133</v>
      </c>
      <c r="C13430" t="s">
        <v>9</v>
      </c>
      <c r="D13430">
        <v>3950</v>
      </c>
      <c r="E13430">
        <v>2020</v>
      </c>
      <c r="F13430">
        <v>21</v>
      </c>
      <c r="G13430">
        <v>10316</v>
      </c>
      <c r="H13430" s="1" t="s">
        <v>1823</v>
      </c>
      <c r="I13430">
        <v>1</v>
      </c>
      <c r="J13430">
        <f>IF($H13430=0,1,IF($I13430&lt;=1,2,0))</f>
        <v>2</v>
      </c>
      <c r="K13430">
        <v>8</v>
      </c>
      <c r="L13430">
        <f>IF(AND($J13430=0,$K13430=0),0,1)</f>
        <v>1</v>
      </c>
      <c r="M13430" t="s">
        <v>1205</v>
      </c>
    </row>
    <row r="13431" spans="1:13" x14ac:dyDescent="0.2">
      <c r="A13431" t="s">
        <v>623</v>
      </c>
      <c r="B13431" t="s">
        <v>133</v>
      </c>
      <c r="C13431" t="s">
        <v>9</v>
      </c>
      <c r="D13431">
        <v>3950</v>
      </c>
      <c r="E13431">
        <v>2020</v>
      </c>
      <c r="F13431">
        <v>25</v>
      </c>
      <c r="G13431">
        <v>10320</v>
      </c>
      <c r="H13431" s="1" t="s">
        <v>1823</v>
      </c>
      <c r="I13431">
        <v>1</v>
      </c>
      <c r="J13431">
        <f>IF($H13431=0,1,IF($I13431&lt;=1,2,0))</f>
        <v>2</v>
      </c>
      <c r="K13431">
        <v>8</v>
      </c>
      <c r="L13431">
        <f>IF(AND($J13431=0,$K13431=0),0,1)</f>
        <v>1</v>
      </c>
      <c r="M13431" t="s">
        <v>1205</v>
      </c>
    </row>
    <row r="13432" spans="1:13" x14ac:dyDescent="0.2">
      <c r="A13432" t="s">
        <v>623</v>
      </c>
      <c r="B13432" t="s">
        <v>133</v>
      </c>
      <c r="C13432" t="s">
        <v>9</v>
      </c>
      <c r="D13432">
        <v>3950</v>
      </c>
      <c r="E13432">
        <v>2020</v>
      </c>
      <c r="F13432">
        <v>28</v>
      </c>
      <c r="G13432">
        <v>10323</v>
      </c>
      <c r="H13432" s="1" t="s">
        <v>1823</v>
      </c>
      <c r="I13432">
        <v>1</v>
      </c>
      <c r="J13432">
        <f>IF($H13432=0,1,IF($I13432&lt;=1,2,0))</f>
        <v>2</v>
      </c>
      <c r="K13432">
        <v>8</v>
      </c>
      <c r="L13432">
        <f>IF(AND($J13432=0,$K13432=0),0,1)</f>
        <v>1</v>
      </c>
      <c r="M13432" t="s">
        <v>1205</v>
      </c>
    </row>
    <row r="13433" spans="1:13" x14ac:dyDescent="0.2">
      <c r="A13433" t="s">
        <v>623</v>
      </c>
      <c r="B13433" t="s">
        <v>133</v>
      </c>
      <c r="C13433" t="s">
        <v>9</v>
      </c>
      <c r="D13433">
        <v>3950</v>
      </c>
      <c r="E13433">
        <v>2020</v>
      </c>
      <c r="F13433">
        <v>31</v>
      </c>
      <c r="G13433">
        <v>22197</v>
      </c>
      <c r="H13433" s="1" t="s">
        <v>1823</v>
      </c>
      <c r="I13433">
        <v>1</v>
      </c>
      <c r="J13433">
        <f>IF($H13433=0,1,IF($I13433&lt;=1,2,0))</f>
        <v>2</v>
      </c>
      <c r="K13433">
        <v>8</v>
      </c>
      <c r="L13433">
        <f>IF(AND($J13433=0,$K13433=0),0,1)</f>
        <v>1</v>
      </c>
      <c r="M13433" t="s">
        <v>1205</v>
      </c>
    </row>
    <row r="13434" spans="1:13" x14ac:dyDescent="0.2">
      <c r="A13434" t="s">
        <v>623</v>
      </c>
      <c r="B13434" t="s">
        <v>133</v>
      </c>
      <c r="C13434" t="s">
        <v>9</v>
      </c>
      <c r="D13434">
        <v>3950</v>
      </c>
      <c r="E13434">
        <v>2020</v>
      </c>
      <c r="F13434">
        <v>1</v>
      </c>
      <c r="G13434">
        <v>10267</v>
      </c>
      <c r="H13434" s="1" t="s">
        <v>1823</v>
      </c>
      <c r="I13434">
        <v>0</v>
      </c>
      <c r="J13434">
        <f>IF($H13434=0,1,IF($I13434&lt;=1,2,0))</f>
        <v>2</v>
      </c>
      <c r="K13434">
        <v>8</v>
      </c>
      <c r="L13434">
        <f>IF(AND($J13434=0,$K13434=0),0,1)</f>
        <v>1</v>
      </c>
      <c r="M13434" t="s">
        <v>1205</v>
      </c>
    </row>
    <row r="13435" spans="1:13" x14ac:dyDescent="0.2">
      <c r="A13435" t="s">
        <v>623</v>
      </c>
      <c r="B13435" t="s">
        <v>133</v>
      </c>
      <c r="C13435" t="s">
        <v>9</v>
      </c>
      <c r="D13435">
        <v>3950</v>
      </c>
      <c r="E13435">
        <v>2020</v>
      </c>
      <c r="F13435">
        <v>3</v>
      </c>
      <c r="G13435">
        <v>10272</v>
      </c>
      <c r="H13435" s="1" t="s">
        <v>1823</v>
      </c>
      <c r="I13435">
        <v>0</v>
      </c>
      <c r="J13435">
        <f>IF($H13435=0,1,IF($I13435&lt;=1,2,0))</f>
        <v>2</v>
      </c>
      <c r="K13435">
        <v>8</v>
      </c>
      <c r="L13435">
        <f>IF(AND($J13435=0,$K13435=0),0,1)</f>
        <v>1</v>
      </c>
      <c r="M13435" t="s">
        <v>1205</v>
      </c>
    </row>
    <row r="13436" spans="1:13" x14ac:dyDescent="0.2">
      <c r="A13436" t="s">
        <v>623</v>
      </c>
      <c r="B13436" t="s">
        <v>133</v>
      </c>
      <c r="C13436" t="s">
        <v>9</v>
      </c>
      <c r="D13436">
        <v>3950</v>
      </c>
      <c r="E13436">
        <v>2020</v>
      </c>
      <c r="F13436">
        <v>4</v>
      </c>
      <c r="G13436">
        <v>10273</v>
      </c>
      <c r="H13436" s="1" t="s">
        <v>1823</v>
      </c>
      <c r="I13436">
        <v>0</v>
      </c>
      <c r="J13436">
        <f>IF($H13436=0,1,IF($I13436&lt;=1,2,0))</f>
        <v>2</v>
      </c>
      <c r="K13436">
        <v>8</v>
      </c>
      <c r="L13436">
        <f>IF(AND($J13436=0,$K13436=0),0,1)</f>
        <v>1</v>
      </c>
      <c r="M13436" t="s">
        <v>1205</v>
      </c>
    </row>
    <row r="13437" spans="1:13" x14ac:dyDescent="0.2">
      <c r="A13437" t="s">
        <v>623</v>
      </c>
      <c r="B13437" t="s">
        <v>133</v>
      </c>
      <c r="C13437" t="s">
        <v>9</v>
      </c>
      <c r="D13437">
        <v>3950</v>
      </c>
      <c r="E13437">
        <v>2020</v>
      </c>
      <c r="F13437">
        <v>7</v>
      </c>
      <c r="G13437">
        <v>10276</v>
      </c>
      <c r="H13437" s="1" t="s">
        <v>1823</v>
      </c>
      <c r="I13437">
        <v>0</v>
      </c>
      <c r="J13437">
        <f>IF($H13437=0,1,IF($I13437&lt;=1,2,0))</f>
        <v>2</v>
      </c>
      <c r="K13437">
        <v>8</v>
      </c>
      <c r="L13437">
        <f>IF(AND($J13437=0,$K13437=0),0,1)</f>
        <v>1</v>
      </c>
      <c r="M13437" t="s">
        <v>1205</v>
      </c>
    </row>
    <row r="13438" spans="1:13" x14ac:dyDescent="0.2">
      <c r="A13438" t="s">
        <v>623</v>
      </c>
      <c r="B13438" t="s">
        <v>133</v>
      </c>
      <c r="C13438" t="s">
        <v>9</v>
      </c>
      <c r="D13438">
        <v>3950</v>
      </c>
      <c r="E13438">
        <v>2020</v>
      </c>
      <c r="F13438">
        <v>8</v>
      </c>
      <c r="G13438">
        <v>10277</v>
      </c>
      <c r="H13438" s="1" t="s">
        <v>1823</v>
      </c>
      <c r="I13438">
        <v>0</v>
      </c>
      <c r="J13438">
        <f>IF($H13438=0,1,IF($I13438&lt;=1,2,0))</f>
        <v>2</v>
      </c>
      <c r="K13438">
        <v>8</v>
      </c>
      <c r="L13438">
        <f>IF(AND($J13438=0,$K13438=0),0,1)</f>
        <v>1</v>
      </c>
      <c r="M13438" t="s">
        <v>1205</v>
      </c>
    </row>
    <row r="13439" spans="1:13" x14ac:dyDescent="0.2">
      <c r="A13439" t="s">
        <v>623</v>
      </c>
      <c r="B13439" t="s">
        <v>133</v>
      </c>
      <c r="C13439" t="s">
        <v>9</v>
      </c>
      <c r="D13439">
        <v>3950</v>
      </c>
      <c r="E13439">
        <v>2020</v>
      </c>
      <c r="F13439">
        <v>10</v>
      </c>
      <c r="G13439">
        <v>10279</v>
      </c>
      <c r="H13439" s="1" t="s">
        <v>1823</v>
      </c>
      <c r="I13439">
        <v>0</v>
      </c>
      <c r="J13439">
        <f>IF($H13439=0,1,IF($I13439&lt;=1,2,0))</f>
        <v>2</v>
      </c>
      <c r="K13439">
        <v>8</v>
      </c>
      <c r="L13439">
        <f>IF(AND($J13439=0,$K13439=0),0,1)</f>
        <v>1</v>
      </c>
      <c r="M13439" t="s">
        <v>1205</v>
      </c>
    </row>
    <row r="13440" spans="1:13" x14ac:dyDescent="0.2">
      <c r="A13440" t="s">
        <v>623</v>
      </c>
      <c r="B13440" t="s">
        <v>133</v>
      </c>
      <c r="C13440" t="s">
        <v>9</v>
      </c>
      <c r="D13440">
        <v>3950</v>
      </c>
      <c r="E13440">
        <v>2020</v>
      </c>
      <c r="F13440">
        <v>11</v>
      </c>
      <c r="G13440">
        <v>10285</v>
      </c>
      <c r="H13440" s="1" t="s">
        <v>1823</v>
      </c>
      <c r="I13440">
        <v>0</v>
      </c>
      <c r="J13440">
        <f>IF($H13440=0,1,IF($I13440&lt;=1,2,0))</f>
        <v>2</v>
      </c>
      <c r="K13440">
        <v>8</v>
      </c>
      <c r="L13440">
        <f>IF(AND($J13440=0,$K13440=0),0,1)</f>
        <v>1</v>
      </c>
      <c r="M13440" t="s">
        <v>1205</v>
      </c>
    </row>
    <row r="13441" spans="1:13" x14ac:dyDescent="0.2">
      <c r="A13441" t="s">
        <v>623</v>
      </c>
      <c r="B13441" t="s">
        <v>133</v>
      </c>
      <c r="C13441" t="s">
        <v>9</v>
      </c>
      <c r="D13441">
        <v>3950</v>
      </c>
      <c r="E13441">
        <v>2020</v>
      </c>
      <c r="F13441">
        <v>12</v>
      </c>
      <c r="G13441">
        <v>10289</v>
      </c>
      <c r="H13441" s="1" t="s">
        <v>1823</v>
      </c>
      <c r="I13441">
        <v>0</v>
      </c>
      <c r="J13441">
        <f>IF($H13441=0,1,IF($I13441&lt;=1,2,0))</f>
        <v>2</v>
      </c>
      <c r="K13441">
        <v>8</v>
      </c>
      <c r="L13441">
        <f>IF(AND($J13441=0,$K13441=0),0,1)</f>
        <v>1</v>
      </c>
      <c r="M13441" t="s">
        <v>1205</v>
      </c>
    </row>
    <row r="13442" spans="1:13" x14ac:dyDescent="0.2">
      <c r="A13442" t="s">
        <v>623</v>
      </c>
      <c r="B13442" t="s">
        <v>133</v>
      </c>
      <c r="C13442" t="s">
        <v>9</v>
      </c>
      <c r="D13442">
        <v>3950</v>
      </c>
      <c r="E13442">
        <v>2020</v>
      </c>
      <c r="F13442">
        <v>14</v>
      </c>
      <c r="G13442">
        <v>10308</v>
      </c>
      <c r="H13442" s="1" t="s">
        <v>1823</v>
      </c>
      <c r="I13442">
        <v>0</v>
      </c>
      <c r="J13442">
        <f>IF($H13442=0,1,IF($I13442&lt;=1,2,0))</f>
        <v>2</v>
      </c>
      <c r="K13442">
        <v>8</v>
      </c>
      <c r="L13442">
        <f>IF(AND($J13442=0,$K13442=0),0,1)</f>
        <v>1</v>
      </c>
      <c r="M13442" t="s">
        <v>1205</v>
      </c>
    </row>
    <row r="13443" spans="1:13" x14ac:dyDescent="0.2">
      <c r="A13443" t="s">
        <v>623</v>
      </c>
      <c r="B13443" t="s">
        <v>133</v>
      </c>
      <c r="C13443" t="s">
        <v>9</v>
      </c>
      <c r="D13443">
        <v>3950</v>
      </c>
      <c r="E13443">
        <v>2020</v>
      </c>
      <c r="F13443">
        <v>17</v>
      </c>
      <c r="G13443">
        <v>10311</v>
      </c>
      <c r="H13443" s="1" t="s">
        <v>1823</v>
      </c>
      <c r="I13443">
        <v>0</v>
      </c>
      <c r="J13443">
        <f>IF($H13443=0,1,IF($I13443&lt;=1,2,0))</f>
        <v>2</v>
      </c>
      <c r="K13443">
        <v>8</v>
      </c>
      <c r="L13443">
        <f>IF(AND($J13443=0,$K13443=0),0,1)</f>
        <v>1</v>
      </c>
      <c r="M13443" t="s">
        <v>1205</v>
      </c>
    </row>
    <row r="13444" spans="1:13" x14ac:dyDescent="0.2">
      <c r="A13444" t="s">
        <v>623</v>
      </c>
      <c r="B13444" t="s">
        <v>133</v>
      </c>
      <c r="C13444" t="s">
        <v>9</v>
      </c>
      <c r="D13444">
        <v>3950</v>
      </c>
      <c r="E13444">
        <v>2020</v>
      </c>
      <c r="F13444">
        <v>18</v>
      </c>
      <c r="G13444">
        <v>10312</v>
      </c>
      <c r="H13444" s="1" t="s">
        <v>1823</v>
      </c>
      <c r="I13444">
        <v>0</v>
      </c>
      <c r="J13444">
        <f>IF($H13444=0,1,IF($I13444&lt;=1,2,0))</f>
        <v>2</v>
      </c>
      <c r="K13444">
        <v>8</v>
      </c>
      <c r="L13444">
        <f>IF(AND($J13444=0,$K13444=0),0,1)</f>
        <v>1</v>
      </c>
      <c r="M13444" t="s">
        <v>1205</v>
      </c>
    </row>
    <row r="13445" spans="1:13" x14ac:dyDescent="0.2">
      <c r="A13445" t="s">
        <v>623</v>
      </c>
      <c r="B13445" t="s">
        <v>133</v>
      </c>
      <c r="C13445" t="s">
        <v>9</v>
      </c>
      <c r="D13445">
        <v>3950</v>
      </c>
      <c r="E13445">
        <v>2020</v>
      </c>
      <c r="F13445">
        <v>22</v>
      </c>
      <c r="G13445">
        <v>10317</v>
      </c>
      <c r="H13445" s="1" t="s">
        <v>1823</v>
      </c>
      <c r="I13445">
        <v>0</v>
      </c>
      <c r="J13445">
        <f>IF($H13445=0,1,IF($I13445&lt;=1,2,0))</f>
        <v>2</v>
      </c>
      <c r="K13445">
        <v>8</v>
      </c>
      <c r="L13445">
        <f>IF(AND($J13445=0,$K13445=0),0,1)</f>
        <v>1</v>
      </c>
      <c r="M13445" t="s">
        <v>1205</v>
      </c>
    </row>
    <row r="13446" spans="1:13" x14ac:dyDescent="0.2">
      <c r="A13446" t="s">
        <v>623</v>
      </c>
      <c r="B13446" t="s">
        <v>133</v>
      </c>
      <c r="C13446" t="s">
        <v>9</v>
      </c>
      <c r="D13446">
        <v>3950</v>
      </c>
      <c r="E13446">
        <v>2020</v>
      </c>
      <c r="F13446">
        <v>23</v>
      </c>
      <c r="G13446">
        <v>10318</v>
      </c>
      <c r="H13446" s="1" t="s">
        <v>1823</v>
      </c>
      <c r="I13446">
        <v>0</v>
      </c>
      <c r="J13446">
        <f>IF($H13446=0,1,IF($I13446&lt;=1,2,0))</f>
        <v>2</v>
      </c>
      <c r="K13446">
        <v>8</v>
      </c>
      <c r="L13446">
        <f>IF(AND($J13446=0,$K13446=0),0,1)</f>
        <v>1</v>
      </c>
      <c r="M13446" t="s">
        <v>1205</v>
      </c>
    </row>
    <row r="13447" spans="1:13" x14ac:dyDescent="0.2">
      <c r="A13447" t="s">
        <v>623</v>
      </c>
      <c r="B13447" t="s">
        <v>133</v>
      </c>
      <c r="C13447" t="s">
        <v>9</v>
      </c>
      <c r="D13447">
        <v>3950</v>
      </c>
      <c r="E13447">
        <v>2020</v>
      </c>
      <c r="F13447">
        <v>24</v>
      </c>
      <c r="G13447">
        <v>10319</v>
      </c>
      <c r="H13447" s="1" t="s">
        <v>1823</v>
      </c>
      <c r="I13447">
        <v>0</v>
      </c>
      <c r="J13447">
        <f>IF($H13447=0,1,IF($I13447&lt;=1,2,0))</f>
        <v>2</v>
      </c>
      <c r="K13447">
        <v>8</v>
      </c>
      <c r="L13447">
        <f>IF(AND($J13447=0,$K13447=0),0,1)</f>
        <v>1</v>
      </c>
      <c r="M13447" t="s">
        <v>1205</v>
      </c>
    </row>
    <row r="13448" spans="1:13" x14ac:dyDescent="0.2">
      <c r="A13448" t="s">
        <v>623</v>
      </c>
      <c r="B13448" t="s">
        <v>133</v>
      </c>
      <c r="C13448" t="s">
        <v>9</v>
      </c>
      <c r="D13448">
        <v>3950</v>
      </c>
      <c r="E13448">
        <v>2020</v>
      </c>
      <c r="F13448">
        <v>26</v>
      </c>
      <c r="G13448">
        <v>10321</v>
      </c>
      <c r="H13448" s="1" t="s">
        <v>1823</v>
      </c>
      <c r="I13448">
        <v>0</v>
      </c>
      <c r="J13448">
        <f>IF($H13448=0,1,IF($I13448&lt;=1,2,0))</f>
        <v>2</v>
      </c>
      <c r="K13448">
        <v>8</v>
      </c>
      <c r="L13448">
        <f>IF(AND($J13448=0,$K13448=0),0,1)</f>
        <v>1</v>
      </c>
      <c r="M13448" t="s">
        <v>1205</v>
      </c>
    </row>
    <row r="13449" spans="1:13" x14ac:dyDescent="0.2">
      <c r="A13449" t="s">
        <v>623</v>
      </c>
      <c r="B13449" t="s">
        <v>133</v>
      </c>
      <c r="C13449" t="s">
        <v>9</v>
      </c>
      <c r="D13449">
        <v>3950</v>
      </c>
      <c r="E13449">
        <v>2020</v>
      </c>
      <c r="F13449">
        <v>27</v>
      </c>
      <c r="G13449">
        <v>10322</v>
      </c>
      <c r="H13449" s="1" t="s">
        <v>1823</v>
      </c>
      <c r="I13449">
        <v>0</v>
      </c>
      <c r="J13449">
        <f>IF($H13449=0,1,IF($I13449&lt;=1,2,0))</f>
        <v>2</v>
      </c>
      <c r="K13449">
        <v>8</v>
      </c>
      <c r="L13449">
        <f>IF(AND($J13449=0,$K13449=0),0,1)</f>
        <v>1</v>
      </c>
      <c r="M13449" t="s">
        <v>1205</v>
      </c>
    </row>
    <row r="13450" spans="1:13" x14ac:dyDescent="0.2">
      <c r="A13450" t="s">
        <v>623</v>
      </c>
      <c r="B13450" t="s">
        <v>133</v>
      </c>
      <c r="C13450" t="s">
        <v>9</v>
      </c>
      <c r="D13450">
        <v>3950</v>
      </c>
      <c r="E13450">
        <v>2020</v>
      </c>
      <c r="F13450">
        <v>29</v>
      </c>
      <c r="G13450">
        <v>10324</v>
      </c>
      <c r="H13450" s="1" t="s">
        <v>1823</v>
      </c>
      <c r="I13450">
        <v>0</v>
      </c>
      <c r="J13450">
        <f>IF($H13450=0,1,IF($I13450&lt;=1,2,0))</f>
        <v>2</v>
      </c>
      <c r="K13450">
        <v>8</v>
      </c>
      <c r="L13450">
        <f>IF(AND($J13450=0,$K13450=0),0,1)</f>
        <v>1</v>
      </c>
      <c r="M13450" t="s">
        <v>1205</v>
      </c>
    </row>
    <row r="13451" spans="1:13" x14ac:dyDescent="0.2">
      <c r="A13451" t="s">
        <v>623</v>
      </c>
      <c r="B13451" t="s">
        <v>133</v>
      </c>
      <c r="C13451" t="s">
        <v>9</v>
      </c>
      <c r="D13451">
        <v>3950</v>
      </c>
      <c r="E13451">
        <v>2020</v>
      </c>
      <c r="F13451">
        <v>30</v>
      </c>
      <c r="G13451">
        <v>21409</v>
      </c>
      <c r="H13451" s="1" t="s">
        <v>1823</v>
      </c>
      <c r="I13451">
        <v>0</v>
      </c>
      <c r="J13451">
        <f>IF($H13451=0,1,IF($I13451&lt;=1,2,0))</f>
        <v>2</v>
      </c>
      <c r="K13451">
        <v>8</v>
      </c>
      <c r="L13451">
        <f>IF(AND($J13451=0,$K13451=0),0,1)</f>
        <v>1</v>
      </c>
      <c r="M13451" t="s">
        <v>1205</v>
      </c>
    </row>
    <row r="13452" spans="1:13" x14ac:dyDescent="0.2">
      <c r="A13452" t="s">
        <v>623</v>
      </c>
      <c r="B13452" t="s">
        <v>133</v>
      </c>
      <c r="C13452" t="s">
        <v>11</v>
      </c>
      <c r="D13452">
        <v>9397</v>
      </c>
      <c r="E13452">
        <v>2020</v>
      </c>
      <c r="F13452">
        <v>1</v>
      </c>
      <c r="G13452">
        <v>13764</v>
      </c>
      <c r="H13452" s="1">
        <v>1</v>
      </c>
      <c r="I13452">
        <v>39</v>
      </c>
      <c r="J13452">
        <f>IF($H13452=0,1,IF($I13452&lt;=1,2,0))</f>
        <v>0</v>
      </c>
      <c r="K13452">
        <v>5</v>
      </c>
      <c r="L13452">
        <f>IF(AND($J13452=0,$K13452=0),0,1)</f>
        <v>1</v>
      </c>
    </row>
    <row r="13453" spans="1:13" x14ac:dyDescent="0.2">
      <c r="A13453" t="s">
        <v>623</v>
      </c>
      <c r="B13453" t="s">
        <v>133</v>
      </c>
      <c r="C13453" t="s">
        <v>11</v>
      </c>
      <c r="D13453">
        <v>9999</v>
      </c>
      <c r="E13453">
        <v>2020</v>
      </c>
      <c r="F13453">
        <v>1</v>
      </c>
      <c r="G13453">
        <v>10117</v>
      </c>
      <c r="H13453" s="1">
        <v>0</v>
      </c>
      <c r="I13453">
        <v>39</v>
      </c>
      <c r="J13453">
        <f>IF($H13453=0,1,IF($I13453&lt;=1,2,0))</f>
        <v>1</v>
      </c>
      <c r="K13453">
        <v>5</v>
      </c>
      <c r="L13453">
        <f>IF(AND($J13453=0,$K13453=0),0,1)</f>
        <v>1</v>
      </c>
    </row>
    <row r="13454" spans="1:13" x14ac:dyDescent="0.2">
      <c r="A13454" t="s">
        <v>1206</v>
      </c>
      <c r="B13454" t="s">
        <v>381</v>
      </c>
      <c r="C13454" t="s">
        <v>382</v>
      </c>
      <c r="D13454">
        <v>4423</v>
      </c>
      <c r="E13454">
        <v>2020</v>
      </c>
      <c r="F13454">
        <v>1</v>
      </c>
      <c r="G13454">
        <v>15808</v>
      </c>
      <c r="H13454" s="1">
        <v>0</v>
      </c>
      <c r="I13454">
        <v>33</v>
      </c>
      <c r="J13454">
        <f>IF($H13454=0,1,IF($I13454&lt;=1,2,0))</f>
        <v>1</v>
      </c>
      <c r="K13454">
        <v>6</v>
      </c>
      <c r="L13454">
        <f>IF(AND($J13454=0,$K13454=0),0,1)</f>
        <v>1</v>
      </c>
      <c r="M13454" t="s">
        <v>503</v>
      </c>
    </row>
    <row r="13455" spans="1:13" x14ac:dyDescent="0.2">
      <c r="A13455" t="s">
        <v>1206</v>
      </c>
      <c r="B13455" t="s">
        <v>381</v>
      </c>
      <c r="C13455" t="s">
        <v>382</v>
      </c>
      <c r="D13455">
        <v>6028</v>
      </c>
      <c r="E13455">
        <v>2020</v>
      </c>
      <c r="F13455">
        <v>1</v>
      </c>
      <c r="G13455">
        <v>15809</v>
      </c>
      <c r="H13455" s="1">
        <v>1.5</v>
      </c>
      <c r="I13455">
        <v>8</v>
      </c>
      <c r="J13455">
        <f>IF($H13455=0,1,IF($I13455&lt;=1,2,0))</f>
        <v>0</v>
      </c>
      <c r="K13455">
        <v>6</v>
      </c>
      <c r="L13455">
        <f>IF(AND($J13455=0,$K13455=0),0,1)</f>
        <v>1</v>
      </c>
      <c r="M13455" t="s">
        <v>1120</v>
      </c>
    </row>
    <row r="13456" spans="1:13" x14ac:dyDescent="0.2">
      <c r="A13456" t="s">
        <v>1206</v>
      </c>
      <c r="B13456" t="s">
        <v>381</v>
      </c>
      <c r="C13456" t="s">
        <v>382</v>
      </c>
      <c r="D13456">
        <v>6033</v>
      </c>
      <c r="E13456">
        <v>2020</v>
      </c>
      <c r="F13456">
        <v>2</v>
      </c>
      <c r="G13456">
        <v>15811</v>
      </c>
      <c r="H13456" s="1">
        <v>3</v>
      </c>
      <c r="I13456">
        <v>40</v>
      </c>
      <c r="J13456">
        <f>IF($H13456=0,1,IF($I13456&lt;=1,2,0))</f>
        <v>0</v>
      </c>
      <c r="K13456">
        <v>6</v>
      </c>
      <c r="L13456">
        <f>IF(AND($J13456=0,$K13456=0),0,1)</f>
        <v>1</v>
      </c>
    </row>
    <row r="13457" spans="1:13" x14ac:dyDescent="0.2">
      <c r="A13457" t="s">
        <v>1206</v>
      </c>
      <c r="B13457" t="s">
        <v>381</v>
      </c>
      <c r="C13457" t="s">
        <v>382</v>
      </c>
      <c r="D13457">
        <v>6033</v>
      </c>
      <c r="E13457">
        <v>2020</v>
      </c>
      <c r="F13457">
        <v>1</v>
      </c>
      <c r="G13457">
        <v>15810</v>
      </c>
      <c r="H13457" s="1">
        <v>3</v>
      </c>
      <c r="I13457">
        <v>32</v>
      </c>
      <c r="J13457">
        <f>IF($H13457=0,1,IF($I13457&lt;=1,2,0))</f>
        <v>0</v>
      </c>
      <c r="K13457">
        <v>6</v>
      </c>
      <c r="L13457">
        <f>IF(AND($J13457=0,$K13457=0),0,1)</f>
        <v>1</v>
      </c>
    </row>
    <row r="13458" spans="1:13" x14ac:dyDescent="0.2">
      <c r="A13458" t="s">
        <v>1206</v>
      </c>
      <c r="B13458" t="s">
        <v>381</v>
      </c>
      <c r="C13458" t="s">
        <v>382</v>
      </c>
      <c r="D13458">
        <v>6033</v>
      </c>
      <c r="E13458">
        <v>2020</v>
      </c>
      <c r="F13458" t="s">
        <v>59</v>
      </c>
      <c r="G13458">
        <v>15812</v>
      </c>
      <c r="H13458" s="1">
        <v>0</v>
      </c>
      <c r="I13458">
        <v>0</v>
      </c>
      <c r="J13458">
        <f>IF($H13458=0,1,IF($I13458&lt;=1,2,0))</f>
        <v>1</v>
      </c>
      <c r="K13458">
        <v>6</v>
      </c>
      <c r="L13458">
        <f>IF(AND($J13458=0,$K13458=0),0,1)</f>
        <v>1</v>
      </c>
      <c r="M13458" t="s">
        <v>384</v>
      </c>
    </row>
    <row r="13459" spans="1:13" x14ac:dyDescent="0.2">
      <c r="A13459" t="s">
        <v>1206</v>
      </c>
      <c r="B13459" t="s">
        <v>381</v>
      </c>
      <c r="C13459" t="s">
        <v>382</v>
      </c>
      <c r="D13459">
        <v>6033</v>
      </c>
      <c r="E13459">
        <v>2020</v>
      </c>
      <c r="F13459" t="s">
        <v>60</v>
      </c>
      <c r="G13459">
        <v>15813</v>
      </c>
      <c r="H13459" s="1">
        <v>0</v>
      </c>
      <c r="I13459">
        <v>0</v>
      </c>
      <c r="J13459">
        <f>IF($H13459=0,1,IF($I13459&lt;=1,2,0))</f>
        <v>1</v>
      </c>
      <c r="K13459">
        <v>6</v>
      </c>
      <c r="L13459">
        <f>IF(AND($J13459=0,$K13459=0),0,1)</f>
        <v>1</v>
      </c>
      <c r="M13459" t="s">
        <v>384</v>
      </c>
    </row>
    <row r="13460" spans="1:13" x14ac:dyDescent="0.2">
      <c r="A13460" t="s">
        <v>1206</v>
      </c>
      <c r="B13460" t="s">
        <v>381</v>
      </c>
      <c r="C13460" t="s">
        <v>382</v>
      </c>
      <c r="D13460">
        <v>6100</v>
      </c>
      <c r="E13460">
        <v>2020</v>
      </c>
      <c r="F13460">
        <v>1</v>
      </c>
      <c r="G13460">
        <v>15814</v>
      </c>
      <c r="H13460" s="1">
        <v>4</v>
      </c>
      <c r="I13460">
        <v>75</v>
      </c>
      <c r="J13460">
        <f>IF($H13460=0,1,IF($I13460&lt;=1,2,0))</f>
        <v>0</v>
      </c>
      <c r="K13460">
        <v>6</v>
      </c>
      <c r="L13460">
        <f>IF(AND($J13460=0,$K13460=0),0,1)</f>
        <v>1</v>
      </c>
      <c r="M13460" t="s">
        <v>1207</v>
      </c>
    </row>
    <row r="13461" spans="1:13" x14ac:dyDescent="0.2">
      <c r="A13461" t="s">
        <v>1206</v>
      </c>
      <c r="B13461" t="s">
        <v>381</v>
      </c>
      <c r="C13461" t="s">
        <v>382</v>
      </c>
      <c r="D13461">
        <v>6102</v>
      </c>
      <c r="E13461">
        <v>2020</v>
      </c>
      <c r="F13461">
        <v>2</v>
      </c>
      <c r="G13461">
        <v>15816</v>
      </c>
      <c r="H13461" s="1">
        <v>0</v>
      </c>
      <c r="I13461">
        <v>21</v>
      </c>
      <c r="J13461">
        <f>IF($H13461=0,1,IF($I13461&lt;=1,2,0))</f>
        <v>1</v>
      </c>
      <c r="K13461">
        <v>6</v>
      </c>
      <c r="L13461">
        <f>IF(AND($J13461=0,$K13461=0),0,1)</f>
        <v>1</v>
      </c>
      <c r="M13461" t="s">
        <v>1207</v>
      </c>
    </row>
    <row r="13462" spans="1:13" x14ac:dyDescent="0.2">
      <c r="A13462" t="s">
        <v>1206</v>
      </c>
      <c r="B13462" t="s">
        <v>381</v>
      </c>
      <c r="C13462" t="s">
        <v>382</v>
      </c>
      <c r="D13462">
        <v>6102</v>
      </c>
      <c r="E13462">
        <v>2020</v>
      </c>
      <c r="F13462">
        <v>1</v>
      </c>
      <c r="G13462">
        <v>15815</v>
      </c>
      <c r="H13462" s="1">
        <v>0</v>
      </c>
      <c r="I13462">
        <v>19</v>
      </c>
      <c r="J13462">
        <f>IF($H13462=0,1,IF($I13462&lt;=1,2,0))</f>
        <v>1</v>
      </c>
      <c r="K13462">
        <v>6</v>
      </c>
      <c r="L13462">
        <f>IF(AND($J13462=0,$K13462=0),0,1)</f>
        <v>1</v>
      </c>
      <c r="M13462" t="s">
        <v>1207</v>
      </c>
    </row>
    <row r="13463" spans="1:13" x14ac:dyDescent="0.2">
      <c r="A13463" t="s">
        <v>1206</v>
      </c>
      <c r="B13463" t="s">
        <v>381</v>
      </c>
      <c r="C13463" t="s">
        <v>382</v>
      </c>
      <c r="D13463">
        <v>6102</v>
      </c>
      <c r="E13463">
        <v>2020</v>
      </c>
      <c r="F13463">
        <v>4</v>
      </c>
      <c r="G13463">
        <v>15818</v>
      </c>
      <c r="H13463" s="1">
        <v>0</v>
      </c>
      <c r="I13463">
        <v>18</v>
      </c>
      <c r="J13463">
        <f>IF($H13463=0,1,IF($I13463&lt;=1,2,0))</f>
        <v>1</v>
      </c>
      <c r="K13463">
        <v>6</v>
      </c>
      <c r="L13463">
        <f>IF(AND($J13463=0,$K13463=0),0,1)</f>
        <v>1</v>
      </c>
      <c r="M13463" t="s">
        <v>1207</v>
      </c>
    </row>
    <row r="13464" spans="1:13" x14ac:dyDescent="0.2">
      <c r="A13464" t="s">
        <v>1206</v>
      </c>
      <c r="B13464" t="s">
        <v>381</v>
      </c>
      <c r="C13464" t="s">
        <v>382</v>
      </c>
      <c r="D13464">
        <v>6102</v>
      </c>
      <c r="E13464">
        <v>2020</v>
      </c>
      <c r="F13464">
        <v>3</v>
      </c>
      <c r="G13464">
        <v>15817</v>
      </c>
      <c r="H13464" s="1">
        <v>0</v>
      </c>
      <c r="I13464">
        <v>17</v>
      </c>
      <c r="J13464">
        <f>IF($H13464=0,1,IF($I13464&lt;=1,2,0))</f>
        <v>1</v>
      </c>
      <c r="K13464">
        <v>6</v>
      </c>
      <c r="L13464">
        <f>IF(AND($J13464=0,$K13464=0),0,1)</f>
        <v>1</v>
      </c>
      <c r="M13464" t="s">
        <v>1207</v>
      </c>
    </row>
    <row r="13465" spans="1:13" x14ac:dyDescent="0.2">
      <c r="A13465" t="s">
        <v>1206</v>
      </c>
      <c r="B13465" t="s">
        <v>381</v>
      </c>
      <c r="C13465" t="s">
        <v>382</v>
      </c>
      <c r="D13465">
        <v>6110</v>
      </c>
      <c r="E13465">
        <v>2020</v>
      </c>
      <c r="F13465">
        <v>1</v>
      </c>
      <c r="G13465">
        <v>15819</v>
      </c>
      <c r="H13465" s="1">
        <v>4</v>
      </c>
      <c r="I13465">
        <v>31</v>
      </c>
      <c r="J13465">
        <f>IF($H13465=0,1,IF($I13465&lt;=1,2,0))</f>
        <v>0</v>
      </c>
      <c r="K13465">
        <v>6</v>
      </c>
      <c r="L13465">
        <f>IF(AND($J13465=0,$K13465=0),0,1)</f>
        <v>1</v>
      </c>
      <c r="M13465" t="s">
        <v>1207</v>
      </c>
    </row>
    <row r="13466" spans="1:13" x14ac:dyDescent="0.2">
      <c r="A13466" t="s">
        <v>1206</v>
      </c>
      <c r="B13466" t="s">
        <v>381</v>
      </c>
      <c r="C13466" t="s">
        <v>382</v>
      </c>
      <c r="D13466">
        <v>6112</v>
      </c>
      <c r="E13466">
        <v>2020</v>
      </c>
      <c r="F13466">
        <v>4</v>
      </c>
      <c r="G13466">
        <v>15823</v>
      </c>
      <c r="H13466" s="1">
        <v>0</v>
      </c>
      <c r="I13466">
        <v>10</v>
      </c>
      <c r="J13466">
        <f>IF($H13466=0,1,IF($I13466&lt;=1,2,0))</f>
        <v>1</v>
      </c>
      <c r="K13466">
        <v>6</v>
      </c>
      <c r="L13466">
        <f>IF(AND($J13466=0,$K13466=0),0,1)</f>
        <v>1</v>
      </c>
      <c r="M13466" t="s">
        <v>1207</v>
      </c>
    </row>
    <row r="13467" spans="1:13" x14ac:dyDescent="0.2">
      <c r="A13467" t="s">
        <v>1206</v>
      </c>
      <c r="B13467" t="s">
        <v>381</v>
      </c>
      <c r="C13467" t="s">
        <v>382</v>
      </c>
      <c r="D13467">
        <v>6112</v>
      </c>
      <c r="E13467">
        <v>2020</v>
      </c>
      <c r="F13467">
        <v>3</v>
      </c>
      <c r="G13467">
        <v>15822</v>
      </c>
      <c r="H13467" s="1">
        <v>0</v>
      </c>
      <c r="I13467">
        <v>9</v>
      </c>
      <c r="J13467">
        <f>IF($H13467=0,1,IF($I13467&lt;=1,2,0))</f>
        <v>1</v>
      </c>
      <c r="K13467">
        <v>6</v>
      </c>
      <c r="L13467">
        <f>IF(AND($J13467=0,$K13467=0),0,1)</f>
        <v>1</v>
      </c>
      <c r="M13467" t="s">
        <v>1207</v>
      </c>
    </row>
    <row r="13468" spans="1:13" x14ac:dyDescent="0.2">
      <c r="A13468" t="s">
        <v>1206</v>
      </c>
      <c r="B13468" t="s">
        <v>381</v>
      </c>
      <c r="C13468" t="s">
        <v>382</v>
      </c>
      <c r="D13468">
        <v>6112</v>
      </c>
      <c r="E13468">
        <v>2020</v>
      </c>
      <c r="F13468">
        <v>1</v>
      </c>
      <c r="G13468">
        <v>15820</v>
      </c>
      <c r="H13468" s="1">
        <v>0</v>
      </c>
      <c r="I13468">
        <v>7</v>
      </c>
      <c r="J13468">
        <f>IF($H13468=0,1,IF($I13468&lt;=1,2,0))</f>
        <v>1</v>
      </c>
      <c r="K13468">
        <v>6</v>
      </c>
      <c r="L13468">
        <f>IF(AND($J13468=0,$K13468=0),0,1)</f>
        <v>1</v>
      </c>
      <c r="M13468" t="s">
        <v>1207</v>
      </c>
    </row>
    <row r="13469" spans="1:13" x14ac:dyDescent="0.2">
      <c r="A13469" t="s">
        <v>1206</v>
      </c>
      <c r="B13469" t="s">
        <v>381</v>
      </c>
      <c r="C13469" t="s">
        <v>382</v>
      </c>
      <c r="D13469">
        <v>6112</v>
      </c>
      <c r="E13469">
        <v>2020</v>
      </c>
      <c r="F13469">
        <v>2</v>
      </c>
      <c r="G13469">
        <v>15821</v>
      </c>
      <c r="H13469" s="1">
        <v>0</v>
      </c>
      <c r="I13469">
        <v>4</v>
      </c>
      <c r="J13469">
        <f>IF($H13469=0,1,IF($I13469&lt;=1,2,0))</f>
        <v>1</v>
      </c>
      <c r="K13469">
        <v>6</v>
      </c>
      <c r="L13469">
        <f>IF(AND($J13469=0,$K13469=0),0,1)</f>
        <v>1</v>
      </c>
      <c r="M13469" t="s">
        <v>1207</v>
      </c>
    </row>
    <row r="13470" spans="1:13" x14ac:dyDescent="0.2">
      <c r="A13470" t="s">
        <v>1206</v>
      </c>
      <c r="B13470" t="s">
        <v>381</v>
      </c>
      <c r="C13470" t="s">
        <v>382</v>
      </c>
      <c r="D13470">
        <v>6120</v>
      </c>
      <c r="E13470">
        <v>2020</v>
      </c>
      <c r="F13470">
        <v>2</v>
      </c>
      <c r="G13470">
        <v>15825</v>
      </c>
      <c r="H13470" s="1">
        <v>4</v>
      </c>
      <c r="I13470">
        <v>32</v>
      </c>
      <c r="J13470">
        <f>IF($H13470=0,1,IF($I13470&lt;=1,2,0))</f>
        <v>0</v>
      </c>
      <c r="K13470">
        <v>6</v>
      </c>
      <c r="L13470">
        <f>IF(AND($J13470=0,$K13470=0),0,1)</f>
        <v>1</v>
      </c>
      <c r="M13470" t="s">
        <v>1207</v>
      </c>
    </row>
    <row r="13471" spans="1:13" x14ac:dyDescent="0.2">
      <c r="A13471" t="s">
        <v>1206</v>
      </c>
      <c r="B13471" t="s">
        <v>381</v>
      </c>
      <c r="C13471" t="s">
        <v>382</v>
      </c>
      <c r="D13471">
        <v>6120</v>
      </c>
      <c r="E13471">
        <v>2020</v>
      </c>
      <c r="F13471">
        <v>1</v>
      </c>
      <c r="G13471">
        <v>15824</v>
      </c>
      <c r="H13471" s="1">
        <v>4</v>
      </c>
      <c r="I13471">
        <v>24</v>
      </c>
      <c r="J13471">
        <f>IF($H13471=0,1,IF($I13471&lt;=1,2,0))</f>
        <v>0</v>
      </c>
      <c r="K13471">
        <v>6</v>
      </c>
      <c r="L13471">
        <f>IF(AND($J13471=0,$K13471=0),0,1)</f>
        <v>1</v>
      </c>
      <c r="M13471" t="s">
        <v>1207</v>
      </c>
    </row>
    <row r="13472" spans="1:13" x14ac:dyDescent="0.2">
      <c r="A13472" t="s">
        <v>1206</v>
      </c>
      <c r="B13472" t="s">
        <v>381</v>
      </c>
      <c r="C13472" t="s">
        <v>382</v>
      </c>
      <c r="D13472">
        <v>6122</v>
      </c>
      <c r="E13472">
        <v>2020</v>
      </c>
      <c r="F13472">
        <v>2</v>
      </c>
      <c r="G13472">
        <v>15827</v>
      </c>
      <c r="H13472" s="1">
        <v>0</v>
      </c>
      <c r="I13472">
        <v>14</v>
      </c>
      <c r="J13472">
        <f>IF($H13472=0,1,IF($I13472&lt;=1,2,0))</f>
        <v>1</v>
      </c>
      <c r="K13472">
        <v>6</v>
      </c>
      <c r="L13472">
        <f>IF(AND($J13472=0,$K13472=0),0,1)</f>
        <v>1</v>
      </c>
      <c r="M13472" t="s">
        <v>1207</v>
      </c>
    </row>
    <row r="13473" spans="1:13" x14ac:dyDescent="0.2">
      <c r="A13473" t="s">
        <v>1206</v>
      </c>
      <c r="B13473" t="s">
        <v>381</v>
      </c>
      <c r="C13473" t="s">
        <v>382</v>
      </c>
      <c r="D13473">
        <v>6122</v>
      </c>
      <c r="E13473">
        <v>2020</v>
      </c>
      <c r="F13473">
        <v>6</v>
      </c>
      <c r="G13473">
        <v>15831</v>
      </c>
      <c r="H13473" s="1">
        <v>0</v>
      </c>
      <c r="I13473">
        <v>12</v>
      </c>
      <c r="J13473">
        <f>IF($H13473=0,1,IF($I13473&lt;=1,2,0))</f>
        <v>1</v>
      </c>
      <c r="K13473">
        <v>6</v>
      </c>
      <c r="L13473">
        <f>IF(AND($J13473=0,$K13473=0),0,1)</f>
        <v>1</v>
      </c>
      <c r="M13473" t="s">
        <v>1207</v>
      </c>
    </row>
    <row r="13474" spans="1:13" x14ac:dyDescent="0.2">
      <c r="A13474" t="s">
        <v>1206</v>
      </c>
      <c r="B13474" t="s">
        <v>381</v>
      </c>
      <c r="C13474" t="s">
        <v>382</v>
      </c>
      <c r="D13474">
        <v>6122</v>
      </c>
      <c r="E13474">
        <v>2020</v>
      </c>
      <c r="F13474">
        <v>1</v>
      </c>
      <c r="G13474">
        <v>15826</v>
      </c>
      <c r="H13474" s="1">
        <v>0</v>
      </c>
      <c r="I13474">
        <v>10</v>
      </c>
      <c r="J13474">
        <f>IF($H13474=0,1,IF($I13474&lt;=1,2,0))</f>
        <v>1</v>
      </c>
      <c r="K13474">
        <v>6</v>
      </c>
      <c r="L13474">
        <f>IF(AND($J13474=0,$K13474=0),0,1)</f>
        <v>1</v>
      </c>
      <c r="M13474" t="s">
        <v>1207</v>
      </c>
    </row>
    <row r="13475" spans="1:13" x14ac:dyDescent="0.2">
      <c r="A13475" t="s">
        <v>1206</v>
      </c>
      <c r="B13475" t="s">
        <v>381</v>
      </c>
      <c r="C13475" t="s">
        <v>382</v>
      </c>
      <c r="D13475">
        <v>6122</v>
      </c>
      <c r="E13475">
        <v>2020</v>
      </c>
      <c r="F13475">
        <v>5</v>
      </c>
      <c r="G13475">
        <v>15830</v>
      </c>
      <c r="H13475" s="1">
        <v>0</v>
      </c>
      <c r="I13475">
        <v>9</v>
      </c>
      <c r="J13475">
        <f>IF($H13475=0,1,IF($I13475&lt;=1,2,0))</f>
        <v>1</v>
      </c>
      <c r="K13475">
        <v>6</v>
      </c>
      <c r="L13475">
        <f>IF(AND($J13475=0,$K13475=0),0,1)</f>
        <v>1</v>
      </c>
      <c r="M13475" t="s">
        <v>1207</v>
      </c>
    </row>
    <row r="13476" spans="1:13" x14ac:dyDescent="0.2">
      <c r="A13476" t="s">
        <v>1206</v>
      </c>
      <c r="B13476" t="s">
        <v>381</v>
      </c>
      <c r="C13476" t="s">
        <v>382</v>
      </c>
      <c r="D13476">
        <v>6122</v>
      </c>
      <c r="E13476">
        <v>2020</v>
      </c>
      <c r="F13476">
        <v>7</v>
      </c>
      <c r="G13476">
        <v>15832</v>
      </c>
      <c r="H13476" s="1">
        <v>0</v>
      </c>
      <c r="I13476">
        <v>5</v>
      </c>
      <c r="J13476">
        <f>IF($H13476=0,1,IF($I13476&lt;=1,2,0))</f>
        <v>1</v>
      </c>
      <c r="K13476">
        <v>6</v>
      </c>
      <c r="L13476">
        <f>IF(AND($J13476=0,$K13476=0),0,1)</f>
        <v>1</v>
      </c>
      <c r="M13476" t="s">
        <v>1207</v>
      </c>
    </row>
    <row r="13477" spans="1:13" x14ac:dyDescent="0.2">
      <c r="A13477" t="s">
        <v>1206</v>
      </c>
      <c r="B13477" t="s">
        <v>381</v>
      </c>
      <c r="C13477" t="s">
        <v>382</v>
      </c>
      <c r="D13477">
        <v>6122</v>
      </c>
      <c r="E13477">
        <v>2020</v>
      </c>
      <c r="F13477">
        <v>4</v>
      </c>
      <c r="G13477">
        <v>15829</v>
      </c>
      <c r="H13477" s="1">
        <v>0</v>
      </c>
      <c r="I13477">
        <v>3</v>
      </c>
      <c r="J13477">
        <f>IF($H13477=0,1,IF($I13477&lt;=1,2,0))</f>
        <v>1</v>
      </c>
      <c r="K13477">
        <v>6</v>
      </c>
      <c r="L13477">
        <f>IF(AND($J13477=0,$K13477=0),0,1)</f>
        <v>1</v>
      </c>
      <c r="M13477" t="s">
        <v>1207</v>
      </c>
    </row>
    <row r="13478" spans="1:13" x14ac:dyDescent="0.2">
      <c r="A13478" t="s">
        <v>1206</v>
      </c>
      <c r="B13478" t="s">
        <v>381</v>
      </c>
      <c r="C13478" t="s">
        <v>382</v>
      </c>
      <c r="D13478">
        <v>6122</v>
      </c>
      <c r="E13478">
        <v>2020</v>
      </c>
      <c r="F13478">
        <v>3</v>
      </c>
      <c r="G13478">
        <v>15828</v>
      </c>
      <c r="H13478" s="1">
        <v>0</v>
      </c>
      <c r="I13478">
        <v>2</v>
      </c>
      <c r="J13478">
        <f>IF($H13478=0,1,IF($I13478&lt;=1,2,0))</f>
        <v>1</v>
      </c>
      <c r="K13478">
        <v>6</v>
      </c>
      <c r="L13478">
        <f>IF(AND($J13478=0,$K13478=0),0,1)</f>
        <v>1</v>
      </c>
      <c r="M13478" t="s">
        <v>1207</v>
      </c>
    </row>
    <row r="13479" spans="1:13" x14ac:dyDescent="0.2">
      <c r="A13479" t="s">
        <v>1206</v>
      </c>
      <c r="B13479" t="s">
        <v>381</v>
      </c>
      <c r="C13479" t="s">
        <v>382</v>
      </c>
      <c r="D13479">
        <v>6122</v>
      </c>
      <c r="E13479">
        <v>2020</v>
      </c>
      <c r="F13479">
        <v>8</v>
      </c>
      <c r="G13479">
        <v>15833</v>
      </c>
      <c r="H13479" s="1">
        <v>0</v>
      </c>
      <c r="I13479">
        <v>0</v>
      </c>
      <c r="J13479">
        <f>IF($H13479=0,1,IF($I13479&lt;=1,2,0))</f>
        <v>1</v>
      </c>
      <c r="K13479">
        <v>6</v>
      </c>
      <c r="L13479">
        <f>IF(AND($J13479=0,$K13479=0),0,1)</f>
        <v>1</v>
      </c>
      <c r="M13479" t="s">
        <v>1207</v>
      </c>
    </row>
    <row r="13480" spans="1:13" x14ac:dyDescent="0.2">
      <c r="A13480" t="s">
        <v>1206</v>
      </c>
      <c r="B13480" t="s">
        <v>381</v>
      </c>
      <c r="C13480" t="s">
        <v>382</v>
      </c>
      <c r="D13480">
        <v>6228</v>
      </c>
      <c r="E13480">
        <v>2020</v>
      </c>
      <c r="F13480">
        <v>1</v>
      </c>
      <c r="G13480">
        <v>15834</v>
      </c>
      <c r="H13480" s="1">
        <v>3</v>
      </c>
      <c r="I13480">
        <v>33</v>
      </c>
      <c r="J13480">
        <f>IF($H13480=0,1,IF($I13480&lt;=1,2,0))</f>
        <v>0</v>
      </c>
      <c r="K13480">
        <v>6</v>
      </c>
      <c r="L13480">
        <f>IF(AND($J13480=0,$K13480=0),0,1)</f>
        <v>1</v>
      </c>
      <c r="M13480" t="s">
        <v>1208</v>
      </c>
    </row>
    <row r="13481" spans="1:13" x14ac:dyDescent="0.2">
      <c r="A13481" t="s">
        <v>1206</v>
      </c>
      <c r="B13481" t="s">
        <v>381</v>
      </c>
      <c r="C13481" t="s">
        <v>382</v>
      </c>
      <c r="D13481">
        <v>6239</v>
      </c>
      <c r="E13481">
        <v>2020</v>
      </c>
      <c r="F13481">
        <v>1</v>
      </c>
      <c r="G13481">
        <v>15835</v>
      </c>
      <c r="H13481" s="1">
        <v>3</v>
      </c>
      <c r="I13481">
        <v>21</v>
      </c>
      <c r="J13481">
        <f>IF($H13481=0,1,IF($I13481&lt;=1,2,0))</f>
        <v>0</v>
      </c>
      <c r="K13481">
        <v>6</v>
      </c>
      <c r="L13481">
        <f>IF(AND($J13481=0,$K13481=0),0,1)</f>
        <v>1</v>
      </c>
    </row>
    <row r="13482" spans="1:13" x14ac:dyDescent="0.2">
      <c r="A13482" t="s">
        <v>1206</v>
      </c>
      <c r="B13482" t="s">
        <v>381</v>
      </c>
      <c r="C13482" t="s">
        <v>382</v>
      </c>
      <c r="D13482">
        <v>6247</v>
      </c>
      <c r="E13482">
        <v>2020</v>
      </c>
      <c r="F13482">
        <v>1</v>
      </c>
      <c r="G13482">
        <v>15836</v>
      </c>
      <c r="H13482" s="1">
        <v>3</v>
      </c>
      <c r="I13482">
        <v>25</v>
      </c>
      <c r="J13482">
        <f>IF($H13482=0,1,IF($I13482&lt;=1,2,0))</f>
        <v>0</v>
      </c>
      <c r="K13482">
        <v>6</v>
      </c>
      <c r="L13482">
        <f>IF(AND($J13482=0,$K13482=0),0,1)</f>
        <v>1</v>
      </c>
    </row>
    <row r="13483" spans="1:13" x14ac:dyDescent="0.2">
      <c r="A13483" t="s">
        <v>1206</v>
      </c>
      <c r="B13483" t="s">
        <v>381</v>
      </c>
      <c r="C13483" t="s">
        <v>382</v>
      </c>
      <c r="D13483">
        <v>6251</v>
      </c>
      <c r="E13483">
        <v>2020</v>
      </c>
      <c r="F13483">
        <v>1</v>
      </c>
      <c r="G13483">
        <v>15837</v>
      </c>
      <c r="H13483" s="1">
        <v>3</v>
      </c>
      <c r="I13483">
        <v>20</v>
      </c>
      <c r="J13483">
        <f>IF($H13483=0,1,IF($I13483&lt;=1,2,0))</f>
        <v>0</v>
      </c>
      <c r="K13483">
        <v>6</v>
      </c>
      <c r="L13483">
        <f>IF(AND($J13483=0,$K13483=0),0,1)</f>
        <v>1</v>
      </c>
    </row>
    <row r="13484" spans="1:13" x14ac:dyDescent="0.2">
      <c r="A13484" t="s">
        <v>1206</v>
      </c>
      <c r="B13484" t="s">
        <v>381</v>
      </c>
      <c r="C13484" t="s">
        <v>382</v>
      </c>
      <c r="D13484">
        <v>6413</v>
      </c>
      <c r="E13484">
        <v>2020</v>
      </c>
      <c r="F13484">
        <v>1</v>
      </c>
      <c r="G13484">
        <v>15839</v>
      </c>
      <c r="H13484" s="1">
        <v>3</v>
      </c>
      <c r="I13484">
        <v>16</v>
      </c>
      <c r="J13484">
        <f>IF($H13484=0,1,IF($I13484&lt;=1,2,0))</f>
        <v>0</v>
      </c>
      <c r="K13484">
        <v>6</v>
      </c>
      <c r="L13484">
        <f>IF(AND($J13484=0,$K13484=0),0,1)</f>
        <v>1</v>
      </c>
      <c r="M13484" t="s">
        <v>1209</v>
      </c>
    </row>
    <row r="13485" spans="1:13" x14ac:dyDescent="0.2">
      <c r="A13485" t="s">
        <v>1206</v>
      </c>
      <c r="B13485" t="s">
        <v>381</v>
      </c>
      <c r="C13485" t="s">
        <v>382</v>
      </c>
      <c r="D13485">
        <v>6418</v>
      </c>
      <c r="E13485">
        <v>2020</v>
      </c>
      <c r="F13485">
        <v>1</v>
      </c>
      <c r="G13485">
        <v>23001</v>
      </c>
      <c r="H13485" s="1">
        <v>1.5</v>
      </c>
      <c r="I13485">
        <v>28</v>
      </c>
      <c r="J13485">
        <f>IF($H13485=0,1,IF($I13485&lt;=1,2,0))</f>
        <v>0</v>
      </c>
      <c r="K13485">
        <v>6</v>
      </c>
      <c r="L13485">
        <f>IF(AND($J13485=0,$K13485=0),0,1)</f>
        <v>1</v>
      </c>
      <c r="M13485" t="s">
        <v>1210</v>
      </c>
    </row>
    <row r="13486" spans="1:13" x14ac:dyDescent="0.2">
      <c r="A13486" t="s">
        <v>1206</v>
      </c>
      <c r="B13486" t="s">
        <v>381</v>
      </c>
      <c r="C13486" t="s">
        <v>382</v>
      </c>
      <c r="D13486">
        <v>6801</v>
      </c>
      <c r="E13486">
        <v>2020</v>
      </c>
      <c r="F13486">
        <v>1</v>
      </c>
      <c r="G13486">
        <v>15841</v>
      </c>
      <c r="H13486" s="1">
        <v>3</v>
      </c>
      <c r="I13486">
        <v>38</v>
      </c>
      <c r="J13486">
        <f>IF($H13486=0,1,IF($I13486&lt;=1,2,0))</f>
        <v>0</v>
      </c>
      <c r="K13486">
        <v>6</v>
      </c>
      <c r="L13486">
        <f>IF(AND($J13486=0,$K13486=0),0,1)</f>
        <v>1</v>
      </c>
    </row>
    <row r="13487" spans="1:13" x14ac:dyDescent="0.2">
      <c r="A13487" t="s">
        <v>1206</v>
      </c>
      <c r="B13487" t="s">
        <v>381</v>
      </c>
      <c r="C13487" t="s">
        <v>382</v>
      </c>
      <c r="D13487">
        <v>8232</v>
      </c>
      <c r="E13487">
        <v>2020</v>
      </c>
      <c r="F13487">
        <v>1</v>
      </c>
      <c r="G13487">
        <v>15842</v>
      </c>
      <c r="H13487" s="1">
        <v>3</v>
      </c>
      <c r="I13487">
        <v>16</v>
      </c>
      <c r="J13487">
        <f>IF($H13487=0,1,IF($I13487&lt;=1,2,0))</f>
        <v>0</v>
      </c>
      <c r="K13487">
        <v>6</v>
      </c>
      <c r="L13487">
        <f>IF(AND($J13487=0,$K13487=0),0,1)</f>
        <v>1</v>
      </c>
    </row>
    <row r="13488" spans="1:13" x14ac:dyDescent="0.2">
      <c r="A13488" t="s">
        <v>1206</v>
      </c>
      <c r="B13488" t="s">
        <v>381</v>
      </c>
      <c r="C13488" t="s">
        <v>382</v>
      </c>
      <c r="D13488">
        <v>8246</v>
      </c>
      <c r="E13488">
        <v>2020</v>
      </c>
      <c r="F13488">
        <v>1</v>
      </c>
      <c r="G13488">
        <v>15843</v>
      </c>
      <c r="H13488" s="1">
        <v>3</v>
      </c>
      <c r="I13488">
        <v>15</v>
      </c>
      <c r="J13488">
        <f>IF($H13488=0,1,IF($I13488&lt;=1,2,0))</f>
        <v>0</v>
      </c>
      <c r="K13488">
        <v>6</v>
      </c>
      <c r="L13488">
        <f>IF(AND($J13488=0,$K13488=0),0,1)</f>
        <v>1</v>
      </c>
    </row>
    <row r="13489" spans="1:13" x14ac:dyDescent="0.2">
      <c r="A13489" t="s">
        <v>1206</v>
      </c>
      <c r="B13489" t="s">
        <v>381</v>
      </c>
      <c r="C13489" t="s">
        <v>382</v>
      </c>
      <c r="D13489">
        <v>8248</v>
      </c>
      <c r="E13489">
        <v>2020</v>
      </c>
      <c r="F13489">
        <v>1</v>
      </c>
      <c r="G13489">
        <v>15844</v>
      </c>
      <c r="H13489" s="1">
        <v>3</v>
      </c>
      <c r="I13489">
        <v>19</v>
      </c>
      <c r="J13489">
        <f>IF($H13489=0,1,IF($I13489&lt;=1,2,0))</f>
        <v>0</v>
      </c>
      <c r="K13489">
        <v>6</v>
      </c>
      <c r="L13489">
        <f>IF(AND($J13489=0,$K13489=0),0,1)</f>
        <v>1</v>
      </c>
    </row>
    <row r="13490" spans="1:13" x14ac:dyDescent="0.2">
      <c r="A13490" t="s">
        <v>1206</v>
      </c>
      <c r="B13490" t="s">
        <v>381</v>
      </c>
      <c r="C13490" t="s">
        <v>382</v>
      </c>
      <c r="D13490">
        <v>8356</v>
      </c>
      <c r="E13490">
        <v>2020</v>
      </c>
      <c r="F13490">
        <v>1</v>
      </c>
      <c r="G13490">
        <v>15845</v>
      </c>
      <c r="H13490" s="1">
        <v>1.5</v>
      </c>
      <c r="I13490">
        <v>11</v>
      </c>
      <c r="J13490">
        <f>IF($H13490=0,1,IF($I13490&lt;=1,2,0))</f>
        <v>0</v>
      </c>
      <c r="K13490">
        <v>6</v>
      </c>
      <c r="L13490">
        <f>IF(AND($J13490=0,$K13490=0),0,1)</f>
        <v>1</v>
      </c>
      <c r="M13490" t="s">
        <v>1127</v>
      </c>
    </row>
    <row r="13491" spans="1:13" x14ac:dyDescent="0.2">
      <c r="A13491" t="s">
        <v>1206</v>
      </c>
      <c r="B13491" t="s">
        <v>381</v>
      </c>
      <c r="C13491" t="s">
        <v>382</v>
      </c>
      <c r="D13491">
        <v>8516</v>
      </c>
      <c r="E13491">
        <v>2020</v>
      </c>
      <c r="F13491">
        <v>1</v>
      </c>
      <c r="G13491">
        <v>15846</v>
      </c>
      <c r="H13491" s="1">
        <v>3</v>
      </c>
      <c r="I13491">
        <v>15</v>
      </c>
      <c r="J13491">
        <f>IF($H13491=0,1,IF($I13491&lt;=1,2,0))</f>
        <v>0</v>
      </c>
      <c r="K13491">
        <v>6</v>
      </c>
      <c r="L13491">
        <f>IF(AND($J13491=0,$K13491=0),0,1)</f>
        <v>1</v>
      </c>
      <c r="M13491" t="s">
        <v>1211</v>
      </c>
    </row>
    <row r="13492" spans="1:13" x14ac:dyDescent="0.2">
      <c r="A13492" t="s">
        <v>1206</v>
      </c>
      <c r="B13492" t="s">
        <v>381</v>
      </c>
      <c r="C13492" t="s">
        <v>382</v>
      </c>
      <c r="D13492">
        <v>8516</v>
      </c>
      <c r="E13492">
        <v>2020</v>
      </c>
      <c r="F13492" t="s">
        <v>59</v>
      </c>
      <c r="G13492">
        <v>15847</v>
      </c>
      <c r="H13492" s="1">
        <v>0</v>
      </c>
      <c r="I13492">
        <v>0</v>
      </c>
      <c r="J13492">
        <f>IF($H13492=0,1,IF($I13492&lt;=1,2,0))</f>
        <v>1</v>
      </c>
      <c r="K13492">
        <v>6</v>
      </c>
      <c r="L13492">
        <f>IF(AND($J13492=0,$K13492=0),0,1)</f>
        <v>1</v>
      </c>
      <c r="M13492" t="s">
        <v>384</v>
      </c>
    </row>
    <row r="13493" spans="1:13" x14ac:dyDescent="0.2">
      <c r="A13493" t="s">
        <v>1206</v>
      </c>
      <c r="B13493" t="s">
        <v>381</v>
      </c>
      <c r="C13493" t="s">
        <v>382</v>
      </c>
      <c r="D13493">
        <v>9015</v>
      </c>
      <c r="E13493">
        <v>2020</v>
      </c>
      <c r="F13493">
        <v>2</v>
      </c>
      <c r="G13493">
        <v>15849</v>
      </c>
      <c r="H13493" s="1">
        <v>3</v>
      </c>
      <c r="I13493">
        <v>18</v>
      </c>
      <c r="J13493">
        <f>IF($H13493=0,1,IF($I13493&lt;=1,2,0))</f>
        <v>0</v>
      </c>
      <c r="K13493">
        <v>5</v>
      </c>
      <c r="L13493">
        <f>IF(AND($J13493=0,$K13493=0),0,1)</f>
        <v>1</v>
      </c>
      <c r="M13493" t="s">
        <v>503</v>
      </c>
    </row>
    <row r="13494" spans="1:13" x14ac:dyDescent="0.2">
      <c r="A13494" t="s">
        <v>1206</v>
      </c>
      <c r="B13494" t="s">
        <v>381</v>
      </c>
      <c r="C13494" t="s">
        <v>382</v>
      </c>
      <c r="D13494">
        <v>9015</v>
      </c>
      <c r="E13494">
        <v>2020</v>
      </c>
      <c r="F13494">
        <v>1</v>
      </c>
      <c r="G13494">
        <v>15848</v>
      </c>
      <c r="H13494" s="1">
        <v>1.5</v>
      </c>
      <c r="I13494">
        <v>15</v>
      </c>
      <c r="J13494">
        <f>IF($H13494=0,1,IF($I13494&lt;=1,2,0))</f>
        <v>0</v>
      </c>
      <c r="K13494">
        <v>5</v>
      </c>
      <c r="L13494">
        <f>IF(AND($J13494=0,$K13494=0),0,1)</f>
        <v>1</v>
      </c>
      <c r="M13494" t="s">
        <v>503</v>
      </c>
    </row>
    <row r="13495" spans="1:13" x14ac:dyDescent="0.2">
      <c r="A13495" t="s">
        <v>642</v>
      </c>
      <c r="B13495" t="s">
        <v>6</v>
      </c>
      <c r="C13495" t="s">
        <v>11</v>
      </c>
      <c r="D13495">
        <v>3</v>
      </c>
      <c r="E13495">
        <v>2020</v>
      </c>
      <c r="F13495">
        <v>1</v>
      </c>
      <c r="G13495">
        <v>11267</v>
      </c>
      <c r="H13495" s="1">
        <v>0</v>
      </c>
      <c r="I13495">
        <v>5</v>
      </c>
      <c r="J13495">
        <f>IF($H13495=0,1,IF($I13495&lt;=1,2,0))</f>
        <v>1</v>
      </c>
      <c r="K13495">
        <v>0</v>
      </c>
      <c r="L13495">
        <f>IF(AND($J13495=0,$K13495=0),0,1)</f>
        <v>1</v>
      </c>
      <c r="M13495" t="s">
        <v>1212</v>
      </c>
    </row>
    <row r="13496" spans="1:13" x14ac:dyDescent="0.2">
      <c r="A13496" t="s">
        <v>642</v>
      </c>
      <c r="B13496" t="s">
        <v>6</v>
      </c>
      <c r="C13496" t="s">
        <v>11</v>
      </c>
      <c r="D13496">
        <v>5000</v>
      </c>
      <c r="E13496">
        <v>2020</v>
      </c>
      <c r="F13496">
        <v>1</v>
      </c>
      <c r="G13496">
        <v>11268</v>
      </c>
      <c r="H13496" s="1">
        <v>0</v>
      </c>
      <c r="I13496">
        <v>10</v>
      </c>
      <c r="J13496">
        <f>IF($H13496=0,1,IF($I13496&lt;=1,2,0))</f>
        <v>1</v>
      </c>
      <c r="K13496">
        <v>0</v>
      </c>
      <c r="L13496">
        <f>IF(AND($J13496=0,$K13496=0),0,1)</f>
        <v>1</v>
      </c>
      <c r="M13496" t="s">
        <v>1213</v>
      </c>
    </row>
    <row r="13497" spans="1:13" x14ac:dyDescent="0.2">
      <c r="A13497" t="s">
        <v>642</v>
      </c>
      <c r="B13497" t="s">
        <v>6</v>
      </c>
      <c r="C13497" t="s">
        <v>11</v>
      </c>
      <c r="D13497">
        <v>5010</v>
      </c>
      <c r="E13497">
        <v>2020</v>
      </c>
      <c r="F13497">
        <v>4</v>
      </c>
      <c r="G13497">
        <v>11275</v>
      </c>
      <c r="H13497" s="1">
        <v>4</v>
      </c>
      <c r="I13497">
        <v>39</v>
      </c>
      <c r="J13497">
        <f>IF($H13497=0,1,IF($I13497&lt;=1,2,0))</f>
        <v>0</v>
      </c>
      <c r="K13497">
        <v>4</v>
      </c>
      <c r="L13497">
        <f>IF(AND($J13497=0,$K13497=0),0,1)</f>
        <v>1</v>
      </c>
      <c r="M13497" t="s">
        <v>1215</v>
      </c>
    </row>
    <row r="13498" spans="1:13" x14ac:dyDescent="0.2">
      <c r="A13498" t="s">
        <v>642</v>
      </c>
      <c r="B13498" t="s">
        <v>6</v>
      </c>
      <c r="C13498" t="s">
        <v>11</v>
      </c>
      <c r="D13498">
        <v>5010</v>
      </c>
      <c r="E13498">
        <v>2020</v>
      </c>
      <c r="F13498">
        <v>3</v>
      </c>
      <c r="G13498">
        <v>11273</v>
      </c>
      <c r="H13498" s="1">
        <v>4</v>
      </c>
      <c r="I13498">
        <v>31</v>
      </c>
      <c r="J13498">
        <f>IF($H13498=0,1,IF($I13498&lt;=1,2,0))</f>
        <v>0</v>
      </c>
      <c r="K13498">
        <v>4</v>
      </c>
      <c r="L13498">
        <f>IF(AND($J13498=0,$K13498=0),0,1)</f>
        <v>1</v>
      </c>
      <c r="M13498" t="s">
        <v>1214</v>
      </c>
    </row>
    <row r="13499" spans="1:13" x14ac:dyDescent="0.2">
      <c r="A13499" t="s">
        <v>642</v>
      </c>
      <c r="B13499" t="s">
        <v>6</v>
      </c>
      <c r="C13499" t="s">
        <v>11</v>
      </c>
      <c r="D13499">
        <v>5010</v>
      </c>
      <c r="E13499">
        <v>2020</v>
      </c>
      <c r="F13499">
        <v>2</v>
      </c>
      <c r="G13499">
        <v>11272</v>
      </c>
      <c r="H13499" s="1">
        <v>4</v>
      </c>
      <c r="I13499">
        <v>20</v>
      </c>
      <c r="J13499">
        <f>IF($H13499=0,1,IF($I13499&lt;=1,2,0))</f>
        <v>0</v>
      </c>
      <c r="K13499">
        <v>4</v>
      </c>
      <c r="L13499">
        <f>IF(AND($J13499=0,$K13499=0),0,1)</f>
        <v>1</v>
      </c>
      <c r="M13499" t="s">
        <v>1214</v>
      </c>
    </row>
    <row r="13500" spans="1:13" x14ac:dyDescent="0.2">
      <c r="A13500" t="s">
        <v>642</v>
      </c>
      <c r="B13500" t="s">
        <v>6</v>
      </c>
      <c r="C13500" t="s">
        <v>11</v>
      </c>
      <c r="D13500">
        <v>5015</v>
      </c>
      <c r="E13500">
        <v>2020</v>
      </c>
      <c r="F13500">
        <v>1</v>
      </c>
      <c r="G13500">
        <v>11278</v>
      </c>
      <c r="H13500" s="1">
        <v>4</v>
      </c>
      <c r="I13500">
        <v>36</v>
      </c>
      <c r="J13500">
        <f>IF($H13500=0,1,IF($I13500&lt;=1,2,0))</f>
        <v>0</v>
      </c>
      <c r="K13500">
        <v>4</v>
      </c>
      <c r="L13500">
        <f>IF(AND($J13500=0,$K13500=0),0,1)</f>
        <v>1</v>
      </c>
      <c r="M13500" t="s">
        <v>1214</v>
      </c>
    </row>
    <row r="13501" spans="1:13" x14ac:dyDescent="0.2">
      <c r="A13501" t="s">
        <v>642</v>
      </c>
      <c r="B13501" t="s">
        <v>6</v>
      </c>
      <c r="C13501" t="s">
        <v>11</v>
      </c>
      <c r="D13501">
        <v>5016</v>
      </c>
      <c r="E13501">
        <v>2020</v>
      </c>
      <c r="F13501">
        <v>1</v>
      </c>
      <c r="G13501">
        <v>11279</v>
      </c>
      <c r="H13501" s="1">
        <v>4</v>
      </c>
      <c r="I13501">
        <v>17</v>
      </c>
      <c r="J13501">
        <f>IF($H13501=0,1,IF($I13501&lt;=1,2,0))</f>
        <v>0</v>
      </c>
      <c r="K13501">
        <v>4</v>
      </c>
      <c r="L13501">
        <f>IF(AND($J13501=0,$K13501=0),0,1)</f>
        <v>1</v>
      </c>
      <c r="M13501" t="s">
        <v>1217</v>
      </c>
    </row>
    <row r="13502" spans="1:13" x14ac:dyDescent="0.2">
      <c r="A13502" t="s">
        <v>642</v>
      </c>
      <c r="B13502" t="s">
        <v>6</v>
      </c>
      <c r="C13502" t="s">
        <v>11</v>
      </c>
      <c r="D13502">
        <v>5021</v>
      </c>
      <c r="E13502">
        <v>2020</v>
      </c>
      <c r="F13502">
        <v>2</v>
      </c>
      <c r="G13502">
        <v>22236</v>
      </c>
      <c r="H13502" s="1">
        <v>2</v>
      </c>
      <c r="I13502">
        <v>50</v>
      </c>
      <c r="J13502">
        <f>IF($H13502=0,1,IF($I13502&lt;=1,2,0))</f>
        <v>0</v>
      </c>
      <c r="K13502">
        <v>4</v>
      </c>
      <c r="L13502">
        <f>IF(AND($J13502=0,$K13502=0),0,1)</f>
        <v>1</v>
      </c>
      <c r="M13502" t="s">
        <v>1220</v>
      </c>
    </row>
    <row r="13503" spans="1:13" x14ac:dyDescent="0.2">
      <c r="A13503" t="s">
        <v>642</v>
      </c>
      <c r="B13503" t="s">
        <v>6</v>
      </c>
      <c r="C13503" t="s">
        <v>11</v>
      </c>
      <c r="D13503">
        <v>5021</v>
      </c>
      <c r="E13503">
        <v>2020</v>
      </c>
      <c r="F13503">
        <v>1</v>
      </c>
      <c r="G13503">
        <v>11281</v>
      </c>
      <c r="H13503" s="1">
        <v>2</v>
      </c>
      <c r="I13503">
        <v>38</v>
      </c>
      <c r="J13503">
        <f>IF($H13503=0,1,IF($I13503&lt;=1,2,0))</f>
        <v>0</v>
      </c>
      <c r="K13503">
        <v>4</v>
      </c>
      <c r="L13503">
        <f>IF(AND($J13503=0,$K13503=0),0,1)</f>
        <v>1</v>
      </c>
      <c r="M13503" t="s">
        <v>1219</v>
      </c>
    </row>
    <row r="13504" spans="1:13" x14ac:dyDescent="0.2">
      <c r="A13504" t="s">
        <v>642</v>
      </c>
      <c r="B13504" t="s">
        <v>6</v>
      </c>
      <c r="C13504" t="s">
        <v>11</v>
      </c>
      <c r="D13504">
        <v>5022</v>
      </c>
      <c r="E13504">
        <v>2020</v>
      </c>
      <c r="F13504">
        <v>1</v>
      </c>
      <c r="G13504">
        <v>11283</v>
      </c>
      <c r="H13504" s="1">
        <v>2</v>
      </c>
      <c r="I13504">
        <v>8</v>
      </c>
      <c r="J13504">
        <f>IF($H13504=0,1,IF($I13504&lt;=1,2,0))</f>
        <v>0</v>
      </c>
      <c r="K13504">
        <v>4</v>
      </c>
      <c r="L13504">
        <f>IF(AND($J13504=0,$K13504=0),0,1)</f>
        <v>1</v>
      </c>
      <c r="M13504" t="s">
        <v>1221</v>
      </c>
    </row>
    <row r="13505" spans="1:13" x14ac:dyDescent="0.2">
      <c r="A13505" t="s">
        <v>642</v>
      </c>
      <c r="B13505" t="s">
        <v>6</v>
      </c>
      <c r="C13505" t="s">
        <v>11</v>
      </c>
      <c r="D13505">
        <v>5022</v>
      </c>
      <c r="E13505">
        <v>2020</v>
      </c>
      <c r="F13505">
        <v>2</v>
      </c>
      <c r="G13505">
        <v>22237</v>
      </c>
      <c r="H13505" s="1">
        <v>2</v>
      </c>
      <c r="I13505">
        <v>4</v>
      </c>
      <c r="J13505">
        <f>IF($H13505=0,1,IF($I13505&lt;=1,2,0))</f>
        <v>0</v>
      </c>
      <c r="K13505">
        <v>4</v>
      </c>
      <c r="L13505">
        <f>IF(AND($J13505=0,$K13505=0),0,1)</f>
        <v>1</v>
      </c>
      <c r="M13505" t="s">
        <v>1222</v>
      </c>
    </row>
    <row r="13506" spans="1:13" x14ac:dyDescent="0.2">
      <c r="A13506" t="s">
        <v>642</v>
      </c>
      <c r="B13506" t="s">
        <v>6</v>
      </c>
      <c r="C13506" t="s">
        <v>11</v>
      </c>
      <c r="D13506">
        <v>5050</v>
      </c>
      <c r="E13506">
        <v>2020</v>
      </c>
      <c r="F13506">
        <v>1</v>
      </c>
      <c r="G13506">
        <v>11307</v>
      </c>
      <c r="H13506" s="1">
        <v>2</v>
      </c>
      <c r="I13506">
        <v>16</v>
      </c>
      <c r="J13506">
        <f>IF($H13506=0,1,IF($I13506&lt;=1,2,0))</f>
        <v>0</v>
      </c>
      <c r="K13506">
        <v>4</v>
      </c>
      <c r="L13506">
        <f>IF(AND($J13506=0,$K13506=0),0,1)</f>
        <v>1</v>
      </c>
      <c r="M13506" t="s">
        <v>1223</v>
      </c>
    </row>
    <row r="13507" spans="1:13" x14ac:dyDescent="0.2">
      <c r="A13507" t="s">
        <v>642</v>
      </c>
      <c r="B13507" t="s">
        <v>6</v>
      </c>
      <c r="C13507" t="s">
        <v>11</v>
      </c>
      <c r="D13507">
        <v>5051</v>
      </c>
      <c r="E13507">
        <v>2020</v>
      </c>
      <c r="F13507">
        <v>1</v>
      </c>
      <c r="G13507">
        <v>11314</v>
      </c>
      <c r="H13507" s="1">
        <v>2</v>
      </c>
      <c r="I13507">
        <v>11</v>
      </c>
      <c r="J13507">
        <f>IF($H13507=0,1,IF($I13507&lt;=1,2,0))</f>
        <v>0</v>
      </c>
      <c r="K13507">
        <v>4</v>
      </c>
      <c r="L13507">
        <f>IF(AND($J13507=0,$K13507=0),0,1)</f>
        <v>1</v>
      </c>
      <c r="M13507" t="s">
        <v>1223</v>
      </c>
    </row>
    <row r="13508" spans="1:13" x14ac:dyDescent="0.2">
      <c r="A13508" t="s">
        <v>642</v>
      </c>
      <c r="B13508" t="s">
        <v>6</v>
      </c>
      <c r="C13508" t="s">
        <v>11</v>
      </c>
      <c r="D13508">
        <v>5067</v>
      </c>
      <c r="E13508">
        <v>2020</v>
      </c>
      <c r="F13508">
        <v>1</v>
      </c>
      <c r="G13508">
        <v>11317</v>
      </c>
      <c r="H13508" s="1">
        <v>4</v>
      </c>
      <c r="I13508">
        <v>8</v>
      </c>
      <c r="J13508">
        <f>IF($H13508=0,1,IF($I13508&lt;=1,2,0))</f>
        <v>0</v>
      </c>
      <c r="K13508">
        <v>4</v>
      </c>
      <c r="L13508">
        <f>IF(AND($J13508=0,$K13508=0),0,1)</f>
        <v>1</v>
      </c>
      <c r="M13508" t="s">
        <v>1214</v>
      </c>
    </row>
    <row r="13509" spans="1:13" x14ac:dyDescent="0.2">
      <c r="A13509" t="s">
        <v>642</v>
      </c>
      <c r="B13509" t="s">
        <v>6</v>
      </c>
      <c r="C13509" t="s">
        <v>11</v>
      </c>
      <c r="D13509">
        <v>5070</v>
      </c>
      <c r="E13509">
        <v>2020</v>
      </c>
      <c r="F13509">
        <v>1</v>
      </c>
      <c r="G13509">
        <v>11319</v>
      </c>
      <c r="H13509" s="1">
        <v>4</v>
      </c>
      <c r="I13509">
        <v>13</v>
      </c>
      <c r="J13509">
        <f>IF($H13509=0,1,IF($I13509&lt;=1,2,0))</f>
        <v>0</v>
      </c>
      <c r="K13509">
        <v>4</v>
      </c>
      <c r="L13509">
        <f>IF(AND($J13509=0,$K13509=0),0,1)</f>
        <v>1</v>
      </c>
      <c r="M13509" t="s">
        <v>1214</v>
      </c>
    </row>
    <row r="13510" spans="1:13" x14ac:dyDescent="0.2">
      <c r="A13510" t="s">
        <v>642</v>
      </c>
      <c r="B13510" t="s">
        <v>6</v>
      </c>
      <c r="C13510" t="s">
        <v>11</v>
      </c>
      <c r="D13510">
        <v>5073</v>
      </c>
      <c r="E13510">
        <v>2020</v>
      </c>
      <c r="F13510">
        <v>1</v>
      </c>
      <c r="G13510">
        <v>11322</v>
      </c>
      <c r="H13510" s="1">
        <v>4</v>
      </c>
      <c r="I13510">
        <v>26</v>
      </c>
      <c r="J13510">
        <f>IF($H13510=0,1,IF($I13510&lt;=1,2,0))</f>
        <v>0</v>
      </c>
      <c r="K13510">
        <v>4</v>
      </c>
      <c r="L13510">
        <f>IF(AND($J13510=0,$K13510=0),0,1)</f>
        <v>1</v>
      </c>
      <c r="M13510" t="s">
        <v>1214</v>
      </c>
    </row>
    <row r="13511" spans="1:13" x14ac:dyDescent="0.2">
      <c r="A13511" t="s">
        <v>642</v>
      </c>
      <c r="B13511" t="s">
        <v>6</v>
      </c>
      <c r="C13511" t="s">
        <v>11</v>
      </c>
      <c r="D13511">
        <v>5997</v>
      </c>
      <c r="E13511">
        <v>2020</v>
      </c>
      <c r="F13511">
        <v>1</v>
      </c>
      <c r="G13511">
        <v>11323</v>
      </c>
      <c r="H13511" s="1" t="s">
        <v>1832</v>
      </c>
      <c r="I13511">
        <v>2</v>
      </c>
      <c r="J13511">
        <f>IF($H13511=0,1,IF($I13511&lt;=1,2,0))</f>
        <v>0</v>
      </c>
      <c r="K13511">
        <v>4</v>
      </c>
      <c r="L13511">
        <f>IF(AND($J13511=0,$K13511=0),0,1)</f>
        <v>1</v>
      </c>
      <c r="M13511" t="s">
        <v>1215</v>
      </c>
    </row>
    <row r="13512" spans="1:13" x14ac:dyDescent="0.2">
      <c r="A13512" t="s">
        <v>642</v>
      </c>
      <c r="B13512" t="s">
        <v>6</v>
      </c>
      <c r="C13512" t="s">
        <v>11</v>
      </c>
      <c r="D13512">
        <v>5997</v>
      </c>
      <c r="E13512">
        <v>2020</v>
      </c>
      <c r="F13512">
        <v>2</v>
      </c>
      <c r="G13512">
        <v>22835</v>
      </c>
      <c r="H13512" s="1" t="s">
        <v>1832</v>
      </c>
      <c r="I13512">
        <v>1</v>
      </c>
      <c r="J13512">
        <f>IF($H13512=0,1,IF($I13512&lt;=1,2,0))</f>
        <v>2</v>
      </c>
      <c r="K13512">
        <v>0</v>
      </c>
      <c r="L13512">
        <f>IF(AND($J13512=0,$K13512=0),0,1)</f>
        <v>1</v>
      </c>
      <c r="M13512" t="s">
        <v>1230</v>
      </c>
    </row>
    <row r="13513" spans="1:13" x14ac:dyDescent="0.2">
      <c r="A13513" t="s">
        <v>642</v>
      </c>
      <c r="B13513" t="s">
        <v>6</v>
      </c>
      <c r="C13513" t="s">
        <v>11</v>
      </c>
      <c r="D13513">
        <v>5999</v>
      </c>
      <c r="E13513">
        <v>2020</v>
      </c>
      <c r="F13513">
        <v>1</v>
      </c>
      <c r="G13513">
        <v>11324</v>
      </c>
      <c r="H13513" s="1" t="s">
        <v>1824</v>
      </c>
      <c r="I13513">
        <v>59</v>
      </c>
      <c r="J13513">
        <f>IF($H13513=0,1,IF($I13513&lt;=1,2,0))</f>
        <v>0</v>
      </c>
      <c r="K13513">
        <v>4</v>
      </c>
      <c r="L13513">
        <f>IF(AND($J13513=0,$K13513=0),0,1)</f>
        <v>1</v>
      </c>
      <c r="M13513" t="s">
        <v>1214</v>
      </c>
    </row>
    <row r="13514" spans="1:13" x14ac:dyDescent="0.2">
      <c r="A13514" t="s">
        <v>1231</v>
      </c>
      <c r="B13514" t="s">
        <v>381</v>
      </c>
      <c r="C13514" t="s">
        <v>382</v>
      </c>
      <c r="D13514">
        <v>6315</v>
      </c>
      <c r="E13514">
        <v>2020</v>
      </c>
      <c r="F13514">
        <v>1</v>
      </c>
      <c r="G13514">
        <v>20642</v>
      </c>
      <c r="H13514" s="1">
        <v>3</v>
      </c>
      <c r="I13514">
        <v>7</v>
      </c>
      <c r="J13514">
        <f>IF($H13514=0,1,IF($I13514&lt;=1,2,0))</f>
        <v>0</v>
      </c>
      <c r="K13514">
        <v>6</v>
      </c>
      <c r="L13514">
        <f>IF(AND($J13514=0,$K13514=0),0,1)</f>
        <v>1</v>
      </c>
    </row>
    <row r="13515" spans="1:13" x14ac:dyDescent="0.2">
      <c r="A13515" t="s">
        <v>1231</v>
      </c>
      <c r="B13515" t="s">
        <v>381</v>
      </c>
      <c r="C13515" t="s">
        <v>382</v>
      </c>
      <c r="D13515">
        <v>6430</v>
      </c>
      <c r="E13515">
        <v>2020</v>
      </c>
      <c r="F13515">
        <v>1</v>
      </c>
      <c r="G13515">
        <v>15852</v>
      </c>
      <c r="H13515" s="1">
        <v>3</v>
      </c>
      <c r="I13515">
        <v>12</v>
      </c>
      <c r="J13515">
        <f>IF($H13515=0,1,IF($I13515&lt;=1,2,0))</f>
        <v>0</v>
      </c>
      <c r="K13515">
        <v>6</v>
      </c>
      <c r="L13515">
        <f>IF(AND($J13515=0,$K13515=0),0,1)</f>
        <v>1</v>
      </c>
      <c r="M13515" t="s">
        <v>1232</v>
      </c>
    </row>
    <row r="13516" spans="1:13" x14ac:dyDescent="0.2">
      <c r="A13516" t="s">
        <v>1231</v>
      </c>
      <c r="B13516" t="s">
        <v>381</v>
      </c>
      <c r="C13516" t="s">
        <v>382</v>
      </c>
      <c r="D13516">
        <v>6522</v>
      </c>
      <c r="E13516">
        <v>2020</v>
      </c>
      <c r="F13516">
        <v>1</v>
      </c>
      <c r="G13516">
        <v>15853</v>
      </c>
      <c r="H13516" s="1">
        <v>1.5</v>
      </c>
      <c r="I13516">
        <v>8</v>
      </c>
      <c r="J13516">
        <f>IF($H13516=0,1,IF($I13516&lt;=1,2,0))</f>
        <v>0</v>
      </c>
      <c r="K13516">
        <v>6</v>
      </c>
      <c r="L13516">
        <f>IF(AND($J13516=0,$K13516=0),0,1)</f>
        <v>1</v>
      </c>
      <c r="M13516" t="s">
        <v>1126</v>
      </c>
    </row>
    <row r="13517" spans="1:13" x14ac:dyDescent="0.2">
      <c r="A13517" t="s">
        <v>1231</v>
      </c>
      <c r="B13517" t="s">
        <v>381</v>
      </c>
      <c r="C13517" t="s">
        <v>382</v>
      </c>
      <c r="D13517">
        <v>6534</v>
      </c>
      <c r="E13517">
        <v>2020</v>
      </c>
      <c r="F13517">
        <v>1</v>
      </c>
      <c r="G13517">
        <v>15854</v>
      </c>
      <c r="H13517" s="1">
        <v>3</v>
      </c>
      <c r="I13517">
        <v>14</v>
      </c>
      <c r="J13517">
        <f>IF($H13517=0,1,IF($I13517&lt;=1,2,0))</f>
        <v>0</v>
      </c>
      <c r="K13517">
        <v>6</v>
      </c>
      <c r="L13517">
        <f>IF(AND($J13517=0,$K13517=0),0,1)</f>
        <v>1</v>
      </c>
    </row>
    <row r="13518" spans="1:13" x14ac:dyDescent="0.2">
      <c r="A13518" t="s">
        <v>1231</v>
      </c>
      <c r="B13518" t="s">
        <v>381</v>
      </c>
      <c r="C13518" t="s">
        <v>382</v>
      </c>
      <c r="D13518">
        <v>6545</v>
      </c>
      <c r="E13518">
        <v>2020</v>
      </c>
      <c r="F13518">
        <v>1</v>
      </c>
      <c r="G13518">
        <v>15855</v>
      </c>
      <c r="H13518" s="1">
        <v>1.5</v>
      </c>
      <c r="I13518">
        <v>4</v>
      </c>
      <c r="J13518">
        <f>IF($H13518=0,1,IF($I13518&lt;=1,2,0))</f>
        <v>0</v>
      </c>
      <c r="K13518">
        <v>6</v>
      </c>
      <c r="L13518">
        <f>IF(AND($J13518=0,$K13518=0),0,1)</f>
        <v>1</v>
      </c>
      <c r="M13518" t="s">
        <v>1127</v>
      </c>
    </row>
    <row r="13519" spans="1:13" x14ac:dyDescent="0.2">
      <c r="A13519" t="s">
        <v>1231</v>
      </c>
      <c r="B13519" t="s">
        <v>381</v>
      </c>
      <c r="C13519" t="s">
        <v>382</v>
      </c>
      <c r="D13519">
        <v>6639</v>
      </c>
      <c r="E13519">
        <v>2020</v>
      </c>
      <c r="F13519">
        <v>1</v>
      </c>
      <c r="G13519">
        <v>15856</v>
      </c>
      <c r="H13519" s="1">
        <v>3</v>
      </c>
      <c r="I13519">
        <v>12</v>
      </c>
      <c r="J13519">
        <f>IF($H13519=0,1,IF($I13519&lt;=1,2,0))</f>
        <v>0</v>
      </c>
      <c r="K13519">
        <v>6</v>
      </c>
      <c r="L13519">
        <f>IF(AND($J13519=0,$K13519=0),0,1)</f>
        <v>1</v>
      </c>
    </row>
    <row r="13520" spans="1:13" x14ac:dyDescent="0.2">
      <c r="A13520" t="s">
        <v>1231</v>
      </c>
      <c r="B13520" t="s">
        <v>381</v>
      </c>
      <c r="C13520" t="s">
        <v>382</v>
      </c>
      <c r="D13520">
        <v>6652</v>
      </c>
      <c r="E13520">
        <v>2020</v>
      </c>
      <c r="F13520">
        <v>1</v>
      </c>
      <c r="G13520">
        <v>15857</v>
      </c>
      <c r="H13520" s="1">
        <v>3</v>
      </c>
      <c r="I13520">
        <v>9</v>
      </c>
      <c r="J13520">
        <f>IF($H13520=0,1,IF($I13520&lt;=1,2,0))</f>
        <v>0</v>
      </c>
      <c r="K13520">
        <v>6</v>
      </c>
      <c r="L13520">
        <f>IF(AND($J13520=0,$K13520=0),0,1)</f>
        <v>1</v>
      </c>
    </row>
    <row r="13521" spans="1:13" x14ac:dyDescent="0.2">
      <c r="A13521" t="s">
        <v>1231</v>
      </c>
      <c r="B13521" t="s">
        <v>381</v>
      </c>
      <c r="C13521" t="s">
        <v>382</v>
      </c>
      <c r="D13521">
        <v>6660</v>
      </c>
      <c r="E13521">
        <v>2020</v>
      </c>
      <c r="F13521">
        <v>1</v>
      </c>
      <c r="G13521">
        <v>15858</v>
      </c>
      <c r="H13521" s="1">
        <v>3</v>
      </c>
      <c r="I13521">
        <v>7</v>
      </c>
      <c r="J13521">
        <f>IF($H13521=0,1,IF($I13521&lt;=1,2,0))</f>
        <v>0</v>
      </c>
      <c r="K13521">
        <v>6</v>
      </c>
      <c r="L13521">
        <f>IF(AND($J13521=0,$K13521=0),0,1)</f>
        <v>1</v>
      </c>
    </row>
    <row r="13522" spans="1:13" x14ac:dyDescent="0.2">
      <c r="A13522" t="s">
        <v>1231</v>
      </c>
      <c r="B13522" t="s">
        <v>381</v>
      </c>
      <c r="C13522" t="s">
        <v>382</v>
      </c>
      <c r="D13522">
        <v>6719</v>
      </c>
      <c r="E13522">
        <v>2020</v>
      </c>
      <c r="F13522">
        <v>1</v>
      </c>
      <c r="G13522">
        <v>15859</v>
      </c>
      <c r="H13522" s="1">
        <v>3</v>
      </c>
      <c r="I13522">
        <v>11</v>
      </c>
      <c r="J13522">
        <f>IF($H13522=0,1,IF($I13522&lt;=1,2,0))</f>
        <v>0</v>
      </c>
      <c r="K13522">
        <v>6</v>
      </c>
      <c r="L13522">
        <f>IF(AND($J13522=0,$K13522=0),0,1)</f>
        <v>1</v>
      </c>
    </row>
    <row r="13523" spans="1:13" x14ac:dyDescent="0.2">
      <c r="A13523" t="s">
        <v>1231</v>
      </c>
      <c r="B13523" t="s">
        <v>381</v>
      </c>
      <c r="C13523" t="s">
        <v>382</v>
      </c>
      <c r="D13523">
        <v>8090</v>
      </c>
      <c r="E13523">
        <v>2020</v>
      </c>
      <c r="F13523">
        <v>1</v>
      </c>
      <c r="G13523">
        <v>15860</v>
      </c>
      <c r="H13523" s="1">
        <v>3</v>
      </c>
      <c r="I13523">
        <v>10</v>
      </c>
      <c r="J13523">
        <f>IF($H13523=0,1,IF($I13523&lt;=1,2,0))</f>
        <v>0</v>
      </c>
      <c r="K13523">
        <v>6</v>
      </c>
      <c r="L13523">
        <f>IF(AND($J13523=0,$K13523=0),0,1)</f>
        <v>1</v>
      </c>
    </row>
    <row r="13524" spans="1:13" x14ac:dyDescent="0.2">
      <c r="A13524" t="s">
        <v>1231</v>
      </c>
      <c r="B13524" t="s">
        <v>381</v>
      </c>
      <c r="C13524" t="s">
        <v>382</v>
      </c>
      <c r="D13524">
        <v>8753</v>
      </c>
      <c r="E13524">
        <v>2020</v>
      </c>
      <c r="F13524">
        <v>1</v>
      </c>
      <c r="G13524">
        <v>15861</v>
      </c>
      <c r="H13524" s="1">
        <v>3</v>
      </c>
      <c r="I13524">
        <v>16</v>
      </c>
      <c r="J13524">
        <f>IF($H13524=0,1,IF($I13524&lt;=1,2,0))</f>
        <v>0</v>
      </c>
      <c r="K13524">
        <v>6</v>
      </c>
      <c r="L13524">
        <f>IF(AND($J13524=0,$K13524=0),0,1)</f>
        <v>1</v>
      </c>
    </row>
    <row r="13525" spans="1:13" x14ac:dyDescent="0.2">
      <c r="A13525" t="s">
        <v>1231</v>
      </c>
      <c r="B13525" t="s">
        <v>381</v>
      </c>
      <c r="C13525" t="s">
        <v>382</v>
      </c>
      <c r="D13525">
        <v>8757</v>
      </c>
      <c r="E13525">
        <v>2020</v>
      </c>
      <c r="F13525">
        <v>1</v>
      </c>
      <c r="G13525">
        <v>15862</v>
      </c>
      <c r="H13525" s="1">
        <v>3</v>
      </c>
      <c r="I13525">
        <v>6</v>
      </c>
      <c r="J13525">
        <f>IF($H13525=0,1,IF($I13525&lt;=1,2,0))</f>
        <v>0</v>
      </c>
      <c r="K13525">
        <v>6</v>
      </c>
      <c r="L13525">
        <f>IF(AND($J13525=0,$K13525=0),0,1)</f>
        <v>1</v>
      </c>
    </row>
    <row r="13526" spans="1:13" x14ac:dyDescent="0.2">
      <c r="A13526" t="s">
        <v>646</v>
      </c>
      <c r="B13526" t="s">
        <v>17</v>
      </c>
      <c r="C13526" t="s">
        <v>34</v>
      </c>
      <c r="D13526">
        <v>2201</v>
      </c>
      <c r="E13526">
        <v>2020</v>
      </c>
      <c r="F13526">
        <v>1</v>
      </c>
      <c r="G13526">
        <v>11197</v>
      </c>
      <c r="H13526" s="1">
        <v>0</v>
      </c>
      <c r="I13526">
        <v>0</v>
      </c>
      <c r="J13526">
        <f>IF($H13526=0,1,IF($I13526&lt;=1,2,0))</f>
        <v>1</v>
      </c>
      <c r="K13526">
        <v>0</v>
      </c>
      <c r="L13526">
        <f>IF(AND($J13526=0,$K13526=0),0,1)</f>
        <v>1</v>
      </c>
    </row>
    <row r="13527" spans="1:13" x14ac:dyDescent="0.2">
      <c r="A13527" t="s">
        <v>646</v>
      </c>
      <c r="B13527" t="s">
        <v>17</v>
      </c>
      <c r="C13527" t="s">
        <v>34</v>
      </c>
      <c r="D13527">
        <v>2201</v>
      </c>
      <c r="E13527">
        <v>2020</v>
      </c>
      <c r="F13527">
        <v>2</v>
      </c>
      <c r="G13527">
        <v>11198</v>
      </c>
      <c r="H13527" s="1">
        <v>0</v>
      </c>
      <c r="I13527">
        <v>0</v>
      </c>
      <c r="J13527">
        <f>IF($H13527=0,1,IF($I13527&lt;=1,2,0))</f>
        <v>1</v>
      </c>
      <c r="K13527">
        <v>0</v>
      </c>
      <c r="L13527">
        <f>IF(AND($J13527=0,$K13527=0),0,1)</f>
        <v>1</v>
      </c>
    </row>
    <row r="13528" spans="1:13" x14ac:dyDescent="0.2">
      <c r="A13528" t="s">
        <v>646</v>
      </c>
      <c r="B13528" t="s">
        <v>17</v>
      </c>
      <c r="C13528" t="s">
        <v>34</v>
      </c>
      <c r="D13528">
        <v>2201</v>
      </c>
      <c r="E13528">
        <v>2020</v>
      </c>
      <c r="F13528">
        <v>3</v>
      </c>
      <c r="G13528">
        <v>11199</v>
      </c>
      <c r="H13528" s="1">
        <v>0</v>
      </c>
      <c r="I13528">
        <v>0</v>
      </c>
      <c r="J13528">
        <f>IF($H13528=0,1,IF($I13528&lt;=1,2,0))</f>
        <v>1</v>
      </c>
      <c r="K13528">
        <v>0</v>
      </c>
      <c r="L13528">
        <f>IF(AND($J13528=0,$K13528=0),0,1)</f>
        <v>1</v>
      </c>
    </row>
    <row r="13529" spans="1:13" x14ac:dyDescent="0.2">
      <c r="A13529" t="s">
        <v>646</v>
      </c>
      <c r="B13529" t="s">
        <v>17</v>
      </c>
      <c r="C13529" t="s">
        <v>34</v>
      </c>
      <c r="D13529">
        <v>2201</v>
      </c>
      <c r="E13529">
        <v>2020</v>
      </c>
      <c r="F13529">
        <v>4</v>
      </c>
      <c r="G13529">
        <v>11200</v>
      </c>
      <c r="H13529" s="1">
        <v>0</v>
      </c>
      <c r="I13529">
        <v>0</v>
      </c>
      <c r="J13529">
        <f>IF($H13529=0,1,IF($I13529&lt;=1,2,0))</f>
        <v>1</v>
      </c>
      <c r="K13529">
        <v>0</v>
      </c>
      <c r="L13529">
        <f>IF(AND($J13529=0,$K13529=0),0,1)</f>
        <v>1</v>
      </c>
    </row>
    <row r="13530" spans="1:13" x14ac:dyDescent="0.2">
      <c r="A13530" t="s">
        <v>646</v>
      </c>
      <c r="B13530" t="s">
        <v>17</v>
      </c>
      <c r="C13530" t="s">
        <v>34</v>
      </c>
      <c r="D13530">
        <v>2201</v>
      </c>
      <c r="E13530">
        <v>2020</v>
      </c>
      <c r="F13530">
        <v>5</v>
      </c>
      <c r="G13530">
        <v>13683</v>
      </c>
      <c r="H13530" s="1">
        <v>0</v>
      </c>
      <c r="I13530">
        <v>0</v>
      </c>
      <c r="J13530">
        <f>IF($H13530=0,1,IF($I13530&lt;=1,2,0))</f>
        <v>1</v>
      </c>
      <c r="K13530">
        <v>0</v>
      </c>
      <c r="L13530">
        <f>IF(AND($J13530=0,$K13530=0),0,1)</f>
        <v>1</v>
      </c>
    </row>
    <row r="13531" spans="1:13" x14ac:dyDescent="0.2">
      <c r="A13531" t="s">
        <v>646</v>
      </c>
      <c r="B13531" t="s">
        <v>17</v>
      </c>
      <c r="C13531" t="s">
        <v>34</v>
      </c>
      <c r="D13531">
        <v>2201</v>
      </c>
      <c r="E13531">
        <v>2020</v>
      </c>
      <c r="F13531">
        <v>6</v>
      </c>
      <c r="G13531">
        <v>13684</v>
      </c>
      <c r="H13531" s="1">
        <v>0</v>
      </c>
      <c r="I13531">
        <v>0</v>
      </c>
      <c r="J13531">
        <f>IF($H13531=0,1,IF($I13531&lt;=1,2,0))</f>
        <v>1</v>
      </c>
      <c r="K13531">
        <v>0</v>
      </c>
      <c r="L13531">
        <f>IF(AND($J13531=0,$K13531=0),0,1)</f>
        <v>1</v>
      </c>
      <c r="M13531" t="s">
        <v>2013</v>
      </c>
    </row>
    <row r="13532" spans="1:13" x14ac:dyDescent="0.2">
      <c r="A13532" t="s">
        <v>646</v>
      </c>
      <c r="B13532" t="s">
        <v>17</v>
      </c>
      <c r="C13532" t="s">
        <v>9</v>
      </c>
      <c r="D13532">
        <v>2507</v>
      </c>
      <c r="E13532">
        <v>2020</v>
      </c>
      <c r="F13532">
        <v>1</v>
      </c>
      <c r="G13532">
        <v>21419</v>
      </c>
      <c r="H13532" s="1">
        <v>0</v>
      </c>
      <c r="I13532">
        <v>3</v>
      </c>
      <c r="J13532">
        <f>IF($H13532=0,1,IF($I13532&lt;=1,2,0))</f>
        <v>1</v>
      </c>
      <c r="K13532">
        <v>0</v>
      </c>
      <c r="L13532">
        <f>IF(AND($J13532=0,$K13532=0),0,1)</f>
        <v>1</v>
      </c>
    </row>
    <row r="13533" spans="1:13" x14ac:dyDescent="0.2">
      <c r="A13533" t="s">
        <v>646</v>
      </c>
      <c r="B13533" t="s">
        <v>17</v>
      </c>
      <c r="C13533" t="s">
        <v>9</v>
      </c>
      <c r="D13533">
        <v>2507</v>
      </c>
      <c r="E13533">
        <v>2020</v>
      </c>
      <c r="F13533">
        <v>2</v>
      </c>
      <c r="G13533">
        <v>21420</v>
      </c>
      <c r="H13533" s="1">
        <v>0</v>
      </c>
      <c r="I13533">
        <v>1</v>
      </c>
      <c r="J13533">
        <f>IF($H13533=0,1,IF($I13533&lt;=1,2,0))</f>
        <v>1</v>
      </c>
      <c r="K13533">
        <v>0</v>
      </c>
      <c r="L13533">
        <f>IF(AND($J13533=0,$K13533=0),0,1)</f>
        <v>1</v>
      </c>
    </row>
    <row r="13534" spans="1:13" x14ac:dyDescent="0.2">
      <c r="A13534" t="s">
        <v>646</v>
      </c>
      <c r="B13534" t="s">
        <v>17</v>
      </c>
      <c r="C13534" t="s">
        <v>9</v>
      </c>
      <c r="D13534">
        <v>2507</v>
      </c>
      <c r="E13534">
        <v>2020</v>
      </c>
      <c r="F13534">
        <v>3</v>
      </c>
      <c r="G13534">
        <v>21421</v>
      </c>
      <c r="H13534" s="1">
        <v>0</v>
      </c>
      <c r="I13534">
        <v>0</v>
      </c>
      <c r="J13534">
        <f>IF($H13534=0,1,IF($I13534&lt;=1,2,0))</f>
        <v>1</v>
      </c>
      <c r="K13534">
        <v>0</v>
      </c>
      <c r="L13534">
        <f>IF(AND($J13534=0,$K13534=0),0,1)</f>
        <v>1</v>
      </c>
    </row>
    <row r="13535" spans="1:13" x14ac:dyDescent="0.2">
      <c r="A13535" t="s">
        <v>646</v>
      </c>
      <c r="B13535" t="s">
        <v>17</v>
      </c>
      <c r="C13535" t="s">
        <v>9</v>
      </c>
      <c r="D13535">
        <v>2507</v>
      </c>
      <c r="E13535">
        <v>2020</v>
      </c>
      <c r="F13535">
        <v>4</v>
      </c>
      <c r="G13535">
        <v>21422</v>
      </c>
      <c r="H13535" s="1">
        <v>0</v>
      </c>
      <c r="I13535">
        <v>0</v>
      </c>
      <c r="J13535">
        <f>IF($H13535=0,1,IF($I13535&lt;=1,2,0))</f>
        <v>1</v>
      </c>
      <c r="K13535">
        <v>0</v>
      </c>
      <c r="L13535">
        <f>IF(AND($J13535=0,$K13535=0),0,1)</f>
        <v>1</v>
      </c>
    </row>
    <row r="13536" spans="1:13" x14ac:dyDescent="0.2">
      <c r="A13536" t="s">
        <v>646</v>
      </c>
      <c r="B13536" t="s">
        <v>17</v>
      </c>
      <c r="C13536" t="s">
        <v>9</v>
      </c>
      <c r="D13536">
        <v>2507</v>
      </c>
      <c r="E13536">
        <v>2020</v>
      </c>
      <c r="F13536">
        <v>5</v>
      </c>
      <c r="G13536">
        <v>21423</v>
      </c>
      <c r="H13536" s="1">
        <v>0</v>
      </c>
      <c r="I13536">
        <v>0</v>
      </c>
      <c r="J13536">
        <f>IF($H13536=0,1,IF($I13536&lt;=1,2,0))</f>
        <v>1</v>
      </c>
      <c r="K13536">
        <v>0</v>
      </c>
      <c r="L13536">
        <f>IF(AND($J13536=0,$K13536=0),0,1)</f>
        <v>1</v>
      </c>
    </row>
    <row r="13537" spans="1:12" x14ac:dyDescent="0.2">
      <c r="A13537" t="s">
        <v>646</v>
      </c>
      <c r="B13537" t="s">
        <v>17</v>
      </c>
      <c r="C13537" t="s">
        <v>9</v>
      </c>
      <c r="D13537">
        <v>2507</v>
      </c>
      <c r="E13537">
        <v>2020</v>
      </c>
      <c r="F13537">
        <v>6</v>
      </c>
      <c r="G13537">
        <v>21424</v>
      </c>
      <c r="H13537" s="1">
        <v>0</v>
      </c>
      <c r="I13537">
        <v>0</v>
      </c>
      <c r="J13537">
        <f>IF($H13537=0,1,IF($I13537&lt;=1,2,0))</f>
        <v>1</v>
      </c>
      <c r="K13537">
        <v>0</v>
      </c>
      <c r="L13537">
        <f>IF(AND($J13537=0,$K13537=0),0,1)</f>
        <v>1</v>
      </c>
    </row>
    <row r="13538" spans="1:12" x14ac:dyDescent="0.2">
      <c r="A13538" t="s">
        <v>646</v>
      </c>
      <c r="B13538" t="s">
        <v>17</v>
      </c>
      <c r="C13538" t="s">
        <v>21</v>
      </c>
      <c r="D13538">
        <v>3901</v>
      </c>
      <c r="E13538">
        <v>2020</v>
      </c>
      <c r="F13538">
        <v>15</v>
      </c>
      <c r="G13538">
        <v>11230</v>
      </c>
      <c r="H13538" s="1" t="s">
        <v>1823</v>
      </c>
      <c r="I13538">
        <v>2</v>
      </c>
      <c r="J13538">
        <f>IF($H13538=0,1,IF($I13538&lt;=1,2,0))</f>
        <v>0</v>
      </c>
      <c r="K13538">
        <v>9</v>
      </c>
      <c r="L13538">
        <f>IF(AND($J13538=0,$K13538=0),0,1)</f>
        <v>1</v>
      </c>
    </row>
    <row r="13539" spans="1:12" x14ac:dyDescent="0.2">
      <c r="A13539" t="s">
        <v>646</v>
      </c>
      <c r="B13539" t="s">
        <v>17</v>
      </c>
      <c r="C13539" t="s">
        <v>21</v>
      </c>
      <c r="D13539">
        <v>3901</v>
      </c>
      <c r="E13539">
        <v>2020</v>
      </c>
      <c r="F13539">
        <v>8</v>
      </c>
      <c r="G13539">
        <v>11223</v>
      </c>
      <c r="H13539" s="1" t="s">
        <v>1823</v>
      </c>
      <c r="I13539">
        <v>1</v>
      </c>
      <c r="J13539">
        <f>IF($H13539=0,1,IF($I13539&lt;=1,2,0))</f>
        <v>2</v>
      </c>
      <c r="K13539">
        <v>9</v>
      </c>
      <c r="L13539">
        <f>IF(AND($J13539=0,$K13539=0),0,1)</f>
        <v>1</v>
      </c>
    </row>
    <row r="13540" spans="1:12" x14ac:dyDescent="0.2">
      <c r="A13540" t="s">
        <v>646</v>
      </c>
      <c r="B13540" t="s">
        <v>17</v>
      </c>
      <c r="C13540" t="s">
        <v>21</v>
      </c>
      <c r="D13540">
        <v>3901</v>
      </c>
      <c r="E13540">
        <v>2020</v>
      </c>
      <c r="F13540">
        <v>1</v>
      </c>
      <c r="G13540">
        <v>11216</v>
      </c>
      <c r="H13540" s="1" t="s">
        <v>1823</v>
      </c>
      <c r="I13540">
        <v>0</v>
      </c>
      <c r="J13540">
        <f>IF($H13540=0,1,IF($I13540&lt;=1,2,0))</f>
        <v>2</v>
      </c>
      <c r="K13540">
        <v>9</v>
      </c>
      <c r="L13540">
        <f>IF(AND($J13540=0,$K13540=0),0,1)</f>
        <v>1</v>
      </c>
    </row>
    <row r="13541" spans="1:12" x14ac:dyDescent="0.2">
      <c r="A13541" t="s">
        <v>646</v>
      </c>
      <c r="B13541" t="s">
        <v>17</v>
      </c>
      <c r="C13541" t="s">
        <v>21</v>
      </c>
      <c r="D13541">
        <v>3901</v>
      </c>
      <c r="E13541">
        <v>2020</v>
      </c>
      <c r="F13541">
        <v>2</v>
      </c>
      <c r="G13541">
        <v>11217</v>
      </c>
      <c r="H13541" s="1" t="s">
        <v>1823</v>
      </c>
      <c r="I13541">
        <v>0</v>
      </c>
      <c r="J13541">
        <f>IF($H13541=0,1,IF($I13541&lt;=1,2,0))</f>
        <v>2</v>
      </c>
      <c r="K13541">
        <v>9</v>
      </c>
      <c r="L13541">
        <f>IF(AND($J13541=0,$K13541=0),0,1)</f>
        <v>1</v>
      </c>
    </row>
    <row r="13542" spans="1:12" x14ac:dyDescent="0.2">
      <c r="A13542" t="s">
        <v>646</v>
      </c>
      <c r="B13542" t="s">
        <v>17</v>
      </c>
      <c r="C13542" t="s">
        <v>21</v>
      </c>
      <c r="D13542">
        <v>3901</v>
      </c>
      <c r="E13542">
        <v>2020</v>
      </c>
      <c r="F13542">
        <v>3</v>
      </c>
      <c r="G13542">
        <v>11218</v>
      </c>
      <c r="H13542" s="1" t="s">
        <v>1823</v>
      </c>
      <c r="I13542">
        <v>0</v>
      </c>
      <c r="J13542">
        <f>IF($H13542=0,1,IF($I13542&lt;=1,2,0))</f>
        <v>2</v>
      </c>
      <c r="K13542">
        <v>9</v>
      </c>
      <c r="L13542">
        <f>IF(AND($J13542=0,$K13542=0),0,1)</f>
        <v>1</v>
      </c>
    </row>
    <row r="13543" spans="1:12" x14ac:dyDescent="0.2">
      <c r="A13543" t="s">
        <v>646</v>
      </c>
      <c r="B13543" t="s">
        <v>17</v>
      </c>
      <c r="C13543" t="s">
        <v>21</v>
      </c>
      <c r="D13543">
        <v>3901</v>
      </c>
      <c r="E13543">
        <v>2020</v>
      </c>
      <c r="F13543">
        <v>4</v>
      </c>
      <c r="G13543">
        <v>11219</v>
      </c>
      <c r="H13543" s="1" t="s">
        <v>1823</v>
      </c>
      <c r="I13543">
        <v>0</v>
      </c>
      <c r="J13543">
        <f>IF($H13543=0,1,IF($I13543&lt;=1,2,0))</f>
        <v>2</v>
      </c>
      <c r="K13543">
        <v>9</v>
      </c>
      <c r="L13543">
        <f>IF(AND($J13543=0,$K13543=0),0,1)</f>
        <v>1</v>
      </c>
    </row>
    <row r="13544" spans="1:12" x14ac:dyDescent="0.2">
      <c r="A13544" t="s">
        <v>646</v>
      </c>
      <c r="B13544" t="s">
        <v>17</v>
      </c>
      <c r="C13544" t="s">
        <v>21</v>
      </c>
      <c r="D13544">
        <v>3901</v>
      </c>
      <c r="E13544">
        <v>2020</v>
      </c>
      <c r="F13544">
        <v>5</v>
      </c>
      <c r="G13544">
        <v>11220</v>
      </c>
      <c r="H13544" s="1" t="s">
        <v>1823</v>
      </c>
      <c r="I13544">
        <v>0</v>
      </c>
      <c r="J13544">
        <f>IF($H13544=0,1,IF($I13544&lt;=1,2,0))</f>
        <v>2</v>
      </c>
      <c r="K13544">
        <v>9</v>
      </c>
      <c r="L13544">
        <f>IF(AND($J13544=0,$K13544=0),0,1)</f>
        <v>1</v>
      </c>
    </row>
    <row r="13545" spans="1:12" x14ac:dyDescent="0.2">
      <c r="A13545" t="s">
        <v>646</v>
      </c>
      <c r="B13545" t="s">
        <v>17</v>
      </c>
      <c r="C13545" t="s">
        <v>21</v>
      </c>
      <c r="D13545">
        <v>3901</v>
      </c>
      <c r="E13545">
        <v>2020</v>
      </c>
      <c r="F13545">
        <v>6</v>
      </c>
      <c r="G13545">
        <v>11221</v>
      </c>
      <c r="H13545" s="1" t="s">
        <v>1823</v>
      </c>
      <c r="I13545">
        <v>0</v>
      </c>
      <c r="J13545">
        <f>IF($H13545=0,1,IF($I13545&lt;=1,2,0))</f>
        <v>2</v>
      </c>
      <c r="K13545">
        <v>9</v>
      </c>
      <c r="L13545">
        <f>IF(AND($J13545=0,$K13545=0),0,1)</f>
        <v>1</v>
      </c>
    </row>
    <row r="13546" spans="1:12" x14ac:dyDescent="0.2">
      <c r="A13546" t="s">
        <v>646</v>
      </c>
      <c r="B13546" t="s">
        <v>17</v>
      </c>
      <c r="C13546" t="s">
        <v>21</v>
      </c>
      <c r="D13546">
        <v>3901</v>
      </c>
      <c r="E13546">
        <v>2020</v>
      </c>
      <c r="F13546">
        <v>7</v>
      </c>
      <c r="G13546">
        <v>11222</v>
      </c>
      <c r="H13546" s="1" t="s">
        <v>1823</v>
      </c>
      <c r="I13546">
        <v>0</v>
      </c>
      <c r="J13546">
        <f>IF($H13546=0,1,IF($I13546&lt;=1,2,0))</f>
        <v>2</v>
      </c>
      <c r="K13546">
        <v>9</v>
      </c>
      <c r="L13546">
        <f>IF(AND($J13546=0,$K13546=0),0,1)</f>
        <v>1</v>
      </c>
    </row>
    <row r="13547" spans="1:12" x14ac:dyDescent="0.2">
      <c r="A13547" t="s">
        <v>646</v>
      </c>
      <c r="B13547" t="s">
        <v>17</v>
      </c>
      <c r="C13547" t="s">
        <v>21</v>
      </c>
      <c r="D13547">
        <v>3901</v>
      </c>
      <c r="E13547">
        <v>2020</v>
      </c>
      <c r="F13547">
        <v>9</v>
      </c>
      <c r="G13547">
        <v>11224</v>
      </c>
      <c r="H13547" s="1" t="s">
        <v>1823</v>
      </c>
      <c r="I13547">
        <v>0</v>
      </c>
      <c r="J13547">
        <f>IF($H13547=0,1,IF($I13547&lt;=1,2,0))</f>
        <v>2</v>
      </c>
      <c r="K13547">
        <v>9</v>
      </c>
      <c r="L13547">
        <f>IF(AND($J13547=0,$K13547=0),0,1)</f>
        <v>1</v>
      </c>
    </row>
    <row r="13548" spans="1:12" x14ac:dyDescent="0.2">
      <c r="A13548" t="s">
        <v>646</v>
      </c>
      <c r="B13548" t="s">
        <v>17</v>
      </c>
      <c r="C13548" t="s">
        <v>21</v>
      </c>
      <c r="D13548">
        <v>3901</v>
      </c>
      <c r="E13548">
        <v>2020</v>
      </c>
      <c r="F13548">
        <v>10</v>
      </c>
      <c r="G13548">
        <v>11225</v>
      </c>
      <c r="H13548" s="1" t="s">
        <v>1823</v>
      </c>
      <c r="I13548">
        <v>0</v>
      </c>
      <c r="J13548">
        <f>IF($H13548=0,1,IF($I13548&lt;=1,2,0))</f>
        <v>2</v>
      </c>
      <c r="K13548">
        <v>9</v>
      </c>
      <c r="L13548">
        <f>IF(AND($J13548=0,$K13548=0),0,1)</f>
        <v>1</v>
      </c>
    </row>
    <row r="13549" spans="1:12" x14ac:dyDescent="0.2">
      <c r="A13549" t="s">
        <v>646</v>
      </c>
      <c r="B13549" t="s">
        <v>17</v>
      </c>
      <c r="C13549" t="s">
        <v>21</v>
      </c>
      <c r="D13549">
        <v>3901</v>
      </c>
      <c r="E13549">
        <v>2020</v>
      </c>
      <c r="F13549">
        <v>11</v>
      </c>
      <c r="G13549">
        <v>11226</v>
      </c>
      <c r="H13549" s="1" t="s">
        <v>1823</v>
      </c>
      <c r="I13549">
        <v>0</v>
      </c>
      <c r="J13549">
        <f>IF($H13549=0,1,IF($I13549&lt;=1,2,0))</f>
        <v>2</v>
      </c>
      <c r="K13549">
        <v>9</v>
      </c>
      <c r="L13549">
        <f>IF(AND($J13549=0,$K13549=0),0,1)</f>
        <v>1</v>
      </c>
    </row>
    <row r="13550" spans="1:12" x14ac:dyDescent="0.2">
      <c r="A13550" t="s">
        <v>646</v>
      </c>
      <c r="B13550" t="s">
        <v>17</v>
      </c>
      <c r="C13550" t="s">
        <v>21</v>
      </c>
      <c r="D13550">
        <v>3901</v>
      </c>
      <c r="E13550">
        <v>2020</v>
      </c>
      <c r="F13550">
        <v>12</v>
      </c>
      <c r="G13550">
        <v>11227</v>
      </c>
      <c r="H13550" s="1" t="s">
        <v>1823</v>
      </c>
      <c r="I13550">
        <v>0</v>
      </c>
      <c r="J13550">
        <f>IF($H13550=0,1,IF($I13550&lt;=1,2,0))</f>
        <v>2</v>
      </c>
      <c r="K13550">
        <v>9</v>
      </c>
      <c r="L13550">
        <f>IF(AND($J13550=0,$K13550=0),0,1)</f>
        <v>1</v>
      </c>
    </row>
    <row r="13551" spans="1:12" x14ac:dyDescent="0.2">
      <c r="A13551" t="s">
        <v>646</v>
      </c>
      <c r="B13551" t="s">
        <v>17</v>
      </c>
      <c r="C13551" t="s">
        <v>21</v>
      </c>
      <c r="D13551">
        <v>3901</v>
      </c>
      <c r="E13551">
        <v>2020</v>
      </c>
      <c r="F13551">
        <v>13</v>
      </c>
      <c r="G13551">
        <v>11228</v>
      </c>
      <c r="H13551" s="1" t="s">
        <v>1823</v>
      </c>
      <c r="I13551">
        <v>0</v>
      </c>
      <c r="J13551">
        <f>IF($H13551=0,1,IF($I13551&lt;=1,2,0))</f>
        <v>2</v>
      </c>
      <c r="K13551">
        <v>9</v>
      </c>
      <c r="L13551">
        <f>IF(AND($J13551=0,$K13551=0),0,1)</f>
        <v>1</v>
      </c>
    </row>
    <row r="13552" spans="1:12" x14ac:dyDescent="0.2">
      <c r="A13552" t="s">
        <v>646</v>
      </c>
      <c r="B13552" t="s">
        <v>17</v>
      </c>
      <c r="C13552" t="s">
        <v>21</v>
      </c>
      <c r="D13552">
        <v>3901</v>
      </c>
      <c r="E13552">
        <v>2020</v>
      </c>
      <c r="F13552">
        <v>14</v>
      </c>
      <c r="G13552">
        <v>11229</v>
      </c>
      <c r="H13552" s="1" t="s">
        <v>1823</v>
      </c>
      <c r="I13552">
        <v>0</v>
      </c>
      <c r="J13552">
        <f>IF($H13552=0,1,IF($I13552&lt;=1,2,0))</f>
        <v>2</v>
      </c>
      <c r="K13552">
        <v>9</v>
      </c>
      <c r="L13552">
        <f>IF(AND($J13552=0,$K13552=0),0,1)</f>
        <v>1</v>
      </c>
    </row>
    <row r="13553" spans="1:12" x14ac:dyDescent="0.2">
      <c r="A13553" t="s">
        <v>646</v>
      </c>
      <c r="B13553" t="s">
        <v>17</v>
      </c>
      <c r="C13553" t="s">
        <v>21</v>
      </c>
      <c r="D13553">
        <v>3901</v>
      </c>
      <c r="E13553">
        <v>2020</v>
      </c>
      <c r="F13553">
        <v>20</v>
      </c>
      <c r="G13553">
        <v>777</v>
      </c>
      <c r="H13553" s="1" t="s">
        <v>1823</v>
      </c>
      <c r="I13553">
        <v>0</v>
      </c>
      <c r="J13553">
        <f>IF($H13553=0,1,IF($I13553&lt;=1,2,0))</f>
        <v>2</v>
      </c>
      <c r="K13553">
        <v>9</v>
      </c>
      <c r="L13553">
        <f>IF(AND($J13553=0,$K13553=0),0,1)</f>
        <v>1</v>
      </c>
    </row>
    <row r="13554" spans="1:12" x14ac:dyDescent="0.2">
      <c r="A13554" t="s">
        <v>646</v>
      </c>
      <c r="B13554" t="s">
        <v>17</v>
      </c>
      <c r="C13554" t="s">
        <v>2</v>
      </c>
      <c r="D13554">
        <v>3997</v>
      </c>
      <c r="E13554">
        <v>2020</v>
      </c>
      <c r="F13554">
        <v>1</v>
      </c>
      <c r="G13554">
        <v>603</v>
      </c>
      <c r="H13554" s="1">
        <v>4</v>
      </c>
      <c r="I13554">
        <v>6</v>
      </c>
      <c r="J13554">
        <f>IF($H13554=0,1,IF($I13554&lt;=1,2,0))</f>
        <v>0</v>
      </c>
      <c r="K13554">
        <v>7</v>
      </c>
      <c r="L13554">
        <f>IF(AND($J13554=0,$K13554=0),0,1)</f>
        <v>1</v>
      </c>
    </row>
    <row r="13555" spans="1:12" x14ac:dyDescent="0.2">
      <c r="A13555" t="s">
        <v>646</v>
      </c>
      <c r="B13555" t="s">
        <v>17</v>
      </c>
      <c r="C13555" t="s">
        <v>9</v>
      </c>
      <c r="D13555">
        <v>4105</v>
      </c>
      <c r="E13555">
        <v>2020</v>
      </c>
      <c r="F13555">
        <v>1</v>
      </c>
      <c r="G13555">
        <v>625</v>
      </c>
      <c r="H13555" s="1">
        <v>4</v>
      </c>
      <c r="I13555">
        <v>1</v>
      </c>
      <c r="J13555">
        <f>IF($H13555=0,1,IF($I13555&lt;=1,2,0))</f>
        <v>2</v>
      </c>
      <c r="K13555">
        <v>0</v>
      </c>
      <c r="L13555">
        <f>IF(AND($J13555=0,$K13555=0),0,1)</f>
        <v>1</v>
      </c>
    </row>
    <row r="13556" spans="1:12" x14ac:dyDescent="0.2">
      <c r="A13556" t="s">
        <v>646</v>
      </c>
      <c r="B13556" t="s">
        <v>17</v>
      </c>
      <c r="C13556" t="s">
        <v>21</v>
      </c>
      <c r="D13556">
        <v>4999</v>
      </c>
      <c r="E13556">
        <v>2020</v>
      </c>
      <c r="F13556">
        <v>1</v>
      </c>
      <c r="G13556">
        <v>689</v>
      </c>
      <c r="H13556" s="1">
        <v>4</v>
      </c>
      <c r="I13556">
        <v>15</v>
      </c>
      <c r="J13556">
        <f>IF($H13556=0,1,IF($I13556&lt;=1,2,0))</f>
        <v>0</v>
      </c>
      <c r="K13556">
        <v>9</v>
      </c>
      <c r="L13556">
        <f>IF(AND($J13556=0,$K13556=0),0,1)</f>
        <v>1</v>
      </c>
    </row>
    <row r="13557" spans="1:12" x14ac:dyDescent="0.2">
      <c r="A13557" t="s">
        <v>646</v>
      </c>
      <c r="B13557" t="s">
        <v>17</v>
      </c>
      <c r="C13557" t="s">
        <v>11</v>
      </c>
      <c r="D13557">
        <v>9330</v>
      </c>
      <c r="E13557">
        <v>2020</v>
      </c>
      <c r="F13557">
        <v>1</v>
      </c>
      <c r="G13557">
        <v>11239</v>
      </c>
      <c r="H13557" s="1">
        <v>4</v>
      </c>
      <c r="I13557">
        <v>6</v>
      </c>
      <c r="J13557">
        <f>IF($H13557=0,1,IF($I13557&lt;=1,2,0))</f>
        <v>0</v>
      </c>
      <c r="K13557">
        <v>5</v>
      </c>
      <c r="L13557">
        <f>IF(AND($J13557=0,$K13557=0),0,1)</f>
        <v>1</v>
      </c>
    </row>
    <row r="13558" spans="1:12" x14ac:dyDescent="0.2">
      <c r="A13558" t="s">
        <v>646</v>
      </c>
      <c r="B13558" t="s">
        <v>17</v>
      </c>
      <c r="C13558" t="s">
        <v>11</v>
      </c>
      <c r="D13558">
        <v>9355</v>
      </c>
      <c r="E13558">
        <v>2020</v>
      </c>
      <c r="F13558">
        <v>1</v>
      </c>
      <c r="G13558">
        <v>11240</v>
      </c>
      <c r="H13558" s="1">
        <v>4</v>
      </c>
      <c r="I13558">
        <v>6</v>
      </c>
      <c r="J13558">
        <f>IF($H13558=0,1,IF($I13558&lt;=1,2,0))</f>
        <v>0</v>
      </c>
      <c r="K13558">
        <v>5</v>
      </c>
      <c r="L13558">
        <f>IF(AND($J13558=0,$K13558=0),0,1)</f>
        <v>1</v>
      </c>
    </row>
    <row r="13559" spans="1:12" x14ac:dyDescent="0.2">
      <c r="A13559" t="s">
        <v>646</v>
      </c>
      <c r="B13559" t="s">
        <v>17</v>
      </c>
      <c r="C13559" t="s">
        <v>11</v>
      </c>
      <c r="D13559">
        <v>9901</v>
      </c>
      <c r="E13559">
        <v>2020</v>
      </c>
      <c r="F13559">
        <v>4</v>
      </c>
      <c r="G13559">
        <v>11245</v>
      </c>
      <c r="H13559" s="1" t="s">
        <v>1828</v>
      </c>
      <c r="I13559">
        <v>3</v>
      </c>
      <c r="J13559">
        <f>IF($H13559=0,1,IF($I13559&lt;=1,2,0))</f>
        <v>0</v>
      </c>
      <c r="K13559">
        <v>5</v>
      </c>
      <c r="L13559">
        <f>IF(AND($J13559=0,$K13559=0),0,1)</f>
        <v>1</v>
      </c>
    </row>
    <row r="13560" spans="1:12" x14ac:dyDescent="0.2">
      <c r="A13560" t="s">
        <v>646</v>
      </c>
      <c r="B13560" t="s">
        <v>17</v>
      </c>
      <c r="C13560" t="s">
        <v>11</v>
      </c>
      <c r="D13560">
        <v>9901</v>
      </c>
      <c r="E13560">
        <v>2020</v>
      </c>
      <c r="F13560">
        <v>10</v>
      </c>
      <c r="G13560">
        <v>11251</v>
      </c>
      <c r="H13560" s="1" t="s">
        <v>1828</v>
      </c>
      <c r="I13560">
        <v>1</v>
      </c>
      <c r="J13560">
        <f>IF($H13560=0,1,IF($I13560&lt;=1,2,0))</f>
        <v>2</v>
      </c>
      <c r="K13560">
        <v>5</v>
      </c>
      <c r="L13560">
        <f>IF(AND($J13560=0,$K13560=0),0,1)</f>
        <v>1</v>
      </c>
    </row>
    <row r="13561" spans="1:12" x14ac:dyDescent="0.2">
      <c r="A13561" t="s">
        <v>646</v>
      </c>
      <c r="B13561" t="s">
        <v>17</v>
      </c>
      <c r="C13561" t="s">
        <v>11</v>
      </c>
      <c r="D13561">
        <v>9901</v>
      </c>
      <c r="E13561">
        <v>2020</v>
      </c>
      <c r="F13561">
        <v>22</v>
      </c>
      <c r="G13561">
        <v>11263</v>
      </c>
      <c r="H13561" s="1" t="s">
        <v>1828</v>
      </c>
      <c r="I13561">
        <v>1</v>
      </c>
      <c r="J13561">
        <f>IF($H13561=0,1,IF($I13561&lt;=1,2,0))</f>
        <v>2</v>
      </c>
      <c r="K13561">
        <v>5</v>
      </c>
      <c r="L13561">
        <f>IF(AND($J13561=0,$K13561=0),0,1)</f>
        <v>1</v>
      </c>
    </row>
    <row r="13562" spans="1:12" x14ac:dyDescent="0.2">
      <c r="A13562" t="s">
        <v>646</v>
      </c>
      <c r="B13562" t="s">
        <v>17</v>
      </c>
      <c r="C13562" t="s">
        <v>11</v>
      </c>
      <c r="D13562">
        <v>9901</v>
      </c>
      <c r="E13562">
        <v>2020</v>
      </c>
      <c r="F13562">
        <v>1</v>
      </c>
      <c r="G13562">
        <v>11241</v>
      </c>
      <c r="H13562" s="1" t="s">
        <v>1828</v>
      </c>
      <c r="I13562">
        <v>0</v>
      </c>
      <c r="J13562">
        <f>IF($H13562=0,1,IF($I13562&lt;=1,2,0))</f>
        <v>2</v>
      </c>
      <c r="K13562">
        <v>5</v>
      </c>
      <c r="L13562">
        <f>IF(AND($J13562=0,$K13562=0),0,1)</f>
        <v>1</v>
      </c>
    </row>
    <row r="13563" spans="1:12" x14ac:dyDescent="0.2">
      <c r="A13563" t="s">
        <v>646</v>
      </c>
      <c r="B13563" t="s">
        <v>17</v>
      </c>
      <c r="C13563" t="s">
        <v>11</v>
      </c>
      <c r="D13563">
        <v>9901</v>
      </c>
      <c r="E13563">
        <v>2020</v>
      </c>
      <c r="F13563">
        <v>2</v>
      </c>
      <c r="G13563">
        <v>11242</v>
      </c>
      <c r="H13563" s="1" t="s">
        <v>1828</v>
      </c>
      <c r="I13563">
        <v>0</v>
      </c>
      <c r="J13563">
        <f>IF($H13563=0,1,IF($I13563&lt;=1,2,0))</f>
        <v>2</v>
      </c>
      <c r="K13563">
        <v>5</v>
      </c>
      <c r="L13563">
        <f>IF(AND($J13563=0,$K13563=0),0,1)</f>
        <v>1</v>
      </c>
    </row>
    <row r="13564" spans="1:12" x14ac:dyDescent="0.2">
      <c r="A13564" t="s">
        <v>646</v>
      </c>
      <c r="B13564" t="s">
        <v>17</v>
      </c>
      <c r="C13564" t="s">
        <v>11</v>
      </c>
      <c r="D13564">
        <v>9901</v>
      </c>
      <c r="E13564">
        <v>2020</v>
      </c>
      <c r="F13564">
        <v>3</v>
      </c>
      <c r="G13564">
        <v>11244</v>
      </c>
      <c r="H13564" s="1" t="s">
        <v>1828</v>
      </c>
      <c r="I13564">
        <v>0</v>
      </c>
      <c r="J13564">
        <f>IF($H13564=0,1,IF($I13564&lt;=1,2,0))</f>
        <v>2</v>
      </c>
      <c r="K13564">
        <v>5</v>
      </c>
      <c r="L13564">
        <f>IF(AND($J13564=0,$K13564=0),0,1)</f>
        <v>1</v>
      </c>
    </row>
    <row r="13565" spans="1:12" x14ac:dyDescent="0.2">
      <c r="A13565" t="s">
        <v>646</v>
      </c>
      <c r="B13565" t="s">
        <v>17</v>
      </c>
      <c r="C13565" t="s">
        <v>11</v>
      </c>
      <c r="D13565">
        <v>9901</v>
      </c>
      <c r="E13565">
        <v>2020</v>
      </c>
      <c r="F13565">
        <v>5</v>
      </c>
      <c r="G13565">
        <v>11246</v>
      </c>
      <c r="H13565" s="1" t="s">
        <v>1828</v>
      </c>
      <c r="I13565">
        <v>0</v>
      </c>
      <c r="J13565">
        <f>IF($H13565=0,1,IF($I13565&lt;=1,2,0))</f>
        <v>2</v>
      </c>
      <c r="K13565">
        <v>5</v>
      </c>
      <c r="L13565">
        <f>IF(AND($J13565=0,$K13565=0),0,1)</f>
        <v>1</v>
      </c>
    </row>
    <row r="13566" spans="1:12" x14ac:dyDescent="0.2">
      <c r="A13566" t="s">
        <v>646</v>
      </c>
      <c r="B13566" t="s">
        <v>17</v>
      </c>
      <c r="C13566" t="s">
        <v>11</v>
      </c>
      <c r="D13566">
        <v>9901</v>
      </c>
      <c r="E13566">
        <v>2020</v>
      </c>
      <c r="F13566">
        <v>6</v>
      </c>
      <c r="G13566">
        <v>11247</v>
      </c>
      <c r="H13566" s="1" t="s">
        <v>1828</v>
      </c>
      <c r="I13566">
        <v>0</v>
      </c>
      <c r="J13566">
        <f>IF($H13566=0,1,IF($I13566&lt;=1,2,0))</f>
        <v>2</v>
      </c>
      <c r="K13566">
        <v>5</v>
      </c>
      <c r="L13566">
        <f>IF(AND($J13566=0,$K13566=0),0,1)</f>
        <v>1</v>
      </c>
    </row>
    <row r="13567" spans="1:12" x14ac:dyDescent="0.2">
      <c r="A13567" t="s">
        <v>646</v>
      </c>
      <c r="B13567" t="s">
        <v>17</v>
      </c>
      <c r="C13567" t="s">
        <v>11</v>
      </c>
      <c r="D13567">
        <v>9901</v>
      </c>
      <c r="E13567">
        <v>2020</v>
      </c>
      <c r="F13567">
        <v>7</v>
      </c>
      <c r="G13567">
        <v>11248</v>
      </c>
      <c r="H13567" s="1" t="s">
        <v>1828</v>
      </c>
      <c r="I13567">
        <v>0</v>
      </c>
      <c r="J13567">
        <f>IF($H13567=0,1,IF($I13567&lt;=1,2,0))</f>
        <v>2</v>
      </c>
      <c r="K13567">
        <v>5</v>
      </c>
      <c r="L13567">
        <f>IF(AND($J13567=0,$K13567=0),0,1)</f>
        <v>1</v>
      </c>
    </row>
    <row r="13568" spans="1:12" x14ac:dyDescent="0.2">
      <c r="A13568" t="s">
        <v>646</v>
      </c>
      <c r="B13568" t="s">
        <v>17</v>
      </c>
      <c r="C13568" t="s">
        <v>11</v>
      </c>
      <c r="D13568">
        <v>9901</v>
      </c>
      <c r="E13568">
        <v>2020</v>
      </c>
      <c r="F13568">
        <v>8</v>
      </c>
      <c r="G13568">
        <v>11249</v>
      </c>
      <c r="H13568" s="1" t="s">
        <v>1828</v>
      </c>
      <c r="I13568">
        <v>0</v>
      </c>
      <c r="J13568">
        <f>IF($H13568=0,1,IF($I13568&lt;=1,2,0))</f>
        <v>2</v>
      </c>
      <c r="K13568">
        <v>5</v>
      </c>
      <c r="L13568">
        <f>IF(AND($J13568=0,$K13568=0),0,1)</f>
        <v>1</v>
      </c>
    </row>
    <row r="13569" spans="1:12" x14ac:dyDescent="0.2">
      <c r="A13569" t="s">
        <v>646</v>
      </c>
      <c r="B13569" t="s">
        <v>17</v>
      </c>
      <c r="C13569" t="s">
        <v>11</v>
      </c>
      <c r="D13569">
        <v>9901</v>
      </c>
      <c r="E13569">
        <v>2020</v>
      </c>
      <c r="F13569">
        <v>9</v>
      </c>
      <c r="G13569">
        <v>11250</v>
      </c>
      <c r="H13569" s="1" t="s">
        <v>1828</v>
      </c>
      <c r="I13569">
        <v>0</v>
      </c>
      <c r="J13569">
        <f>IF($H13569=0,1,IF($I13569&lt;=1,2,0))</f>
        <v>2</v>
      </c>
      <c r="K13569">
        <v>5</v>
      </c>
      <c r="L13569">
        <f>IF(AND($J13569=0,$K13569=0),0,1)</f>
        <v>1</v>
      </c>
    </row>
    <row r="13570" spans="1:12" x14ac:dyDescent="0.2">
      <c r="A13570" t="s">
        <v>646</v>
      </c>
      <c r="B13570" t="s">
        <v>17</v>
      </c>
      <c r="C13570" t="s">
        <v>11</v>
      </c>
      <c r="D13570">
        <v>9901</v>
      </c>
      <c r="E13570">
        <v>2020</v>
      </c>
      <c r="F13570">
        <v>11</v>
      </c>
      <c r="G13570">
        <v>11252</v>
      </c>
      <c r="H13570" s="1" t="s">
        <v>1828</v>
      </c>
      <c r="I13570">
        <v>0</v>
      </c>
      <c r="J13570">
        <f>IF($H13570=0,1,IF($I13570&lt;=1,2,0))</f>
        <v>2</v>
      </c>
      <c r="K13570">
        <v>5</v>
      </c>
      <c r="L13570">
        <f>IF(AND($J13570=0,$K13570=0),0,1)</f>
        <v>1</v>
      </c>
    </row>
    <row r="13571" spans="1:12" x14ac:dyDescent="0.2">
      <c r="A13571" t="s">
        <v>646</v>
      </c>
      <c r="B13571" t="s">
        <v>17</v>
      </c>
      <c r="C13571" t="s">
        <v>11</v>
      </c>
      <c r="D13571">
        <v>9901</v>
      </c>
      <c r="E13571">
        <v>2020</v>
      </c>
      <c r="F13571">
        <v>12</v>
      </c>
      <c r="G13571">
        <v>11253</v>
      </c>
      <c r="H13571" s="1" t="s">
        <v>1828</v>
      </c>
      <c r="I13571">
        <v>0</v>
      </c>
      <c r="J13571">
        <f>IF($H13571=0,1,IF($I13571&lt;=1,2,0))</f>
        <v>2</v>
      </c>
      <c r="K13571">
        <v>5</v>
      </c>
      <c r="L13571">
        <f>IF(AND($J13571=0,$K13571=0),0,1)</f>
        <v>1</v>
      </c>
    </row>
    <row r="13572" spans="1:12" x14ac:dyDescent="0.2">
      <c r="A13572" t="s">
        <v>646</v>
      </c>
      <c r="B13572" t="s">
        <v>17</v>
      </c>
      <c r="C13572" t="s">
        <v>11</v>
      </c>
      <c r="D13572">
        <v>9901</v>
      </c>
      <c r="E13572">
        <v>2020</v>
      </c>
      <c r="F13572">
        <v>13</v>
      </c>
      <c r="G13572">
        <v>11254</v>
      </c>
      <c r="H13572" s="1" t="s">
        <v>1828</v>
      </c>
      <c r="I13572">
        <v>0</v>
      </c>
      <c r="J13572">
        <f>IF($H13572=0,1,IF($I13572&lt;=1,2,0))</f>
        <v>2</v>
      </c>
      <c r="K13572">
        <v>5</v>
      </c>
      <c r="L13572">
        <f>IF(AND($J13572=0,$K13572=0),0,1)</f>
        <v>1</v>
      </c>
    </row>
    <row r="13573" spans="1:12" x14ac:dyDescent="0.2">
      <c r="A13573" t="s">
        <v>646</v>
      </c>
      <c r="B13573" t="s">
        <v>17</v>
      </c>
      <c r="C13573" t="s">
        <v>11</v>
      </c>
      <c r="D13573">
        <v>9901</v>
      </c>
      <c r="E13573">
        <v>2020</v>
      </c>
      <c r="F13573">
        <v>14</v>
      </c>
      <c r="G13573">
        <v>11255</v>
      </c>
      <c r="H13573" s="1" t="s">
        <v>1828</v>
      </c>
      <c r="I13573">
        <v>0</v>
      </c>
      <c r="J13573">
        <f>IF($H13573=0,1,IF($I13573&lt;=1,2,0))</f>
        <v>2</v>
      </c>
      <c r="K13573">
        <v>5</v>
      </c>
      <c r="L13573">
        <f>IF(AND($J13573=0,$K13573=0),0,1)</f>
        <v>1</v>
      </c>
    </row>
    <row r="13574" spans="1:12" x14ac:dyDescent="0.2">
      <c r="A13574" t="s">
        <v>646</v>
      </c>
      <c r="B13574" t="s">
        <v>17</v>
      </c>
      <c r="C13574" t="s">
        <v>11</v>
      </c>
      <c r="D13574">
        <v>9901</v>
      </c>
      <c r="E13574">
        <v>2020</v>
      </c>
      <c r="F13574">
        <v>15</v>
      </c>
      <c r="G13574">
        <v>11256</v>
      </c>
      <c r="H13574" s="1" t="s">
        <v>1828</v>
      </c>
      <c r="I13574">
        <v>0</v>
      </c>
      <c r="J13574">
        <f>IF($H13574=0,1,IF($I13574&lt;=1,2,0))</f>
        <v>2</v>
      </c>
      <c r="K13574">
        <v>5</v>
      </c>
      <c r="L13574">
        <f>IF(AND($J13574=0,$K13574=0),0,1)</f>
        <v>1</v>
      </c>
    </row>
    <row r="13575" spans="1:12" x14ac:dyDescent="0.2">
      <c r="A13575" t="s">
        <v>646</v>
      </c>
      <c r="B13575" t="s">
        <v>17</v>
      </c>
      <c r="C13575" t="s">
        <v>11</v>
      </c>
      <c r="D13575">
        <v>9901</v>
      </c>
      <c r="E13575">
        <v>2020</v>
      </c>
      <c r="F13575">
        <v>16</v>
      </c>
      <c r="G13575">
        <v>11257</v>
      </c>
      <c r="H13575" s="1" t="s">
        <v>1828</v>
      </c>
      <c r="I13575">
        <v>0</v>
      </c>
      <c r="J13575">
        <f>IF($H13575=0,1,IF($I13575&lt;=1,2,0))</f>
        <v>2</v>
      </c>
      <c r="K13575">
        <v>5</v>
      </c>
      <c r="L13575">
        <f>IF(AND($J13575=0,$K13575=0),0,1)</f>
        <v>1</v>
      </c>
    </row>
    <row r="13576" spans="1:12" x14ac:dyDescent="0.2">
      <c r="A13576" t="s">
        <v>646</v>
      </c>
      <c r="B13576" t="s">
        <v>17</v>
      </c>
      <c r="C13576" t="s">
        <v>11</v>
      </c>
      <c r="D13576">
        <v>9901</v>
      </c>
      <c r="E13576">
        <v>2020</v>
      </c>
      <c r="F13576">
        <v>17</v>
      </c>
      <c r="G13576">
        <v>11258</v>
      </c>
      <c r="H13576" s="1" t="s">
        <v>1828</v>
      </c>
      <c r="I13576">
        <v>0</v>
      </c>
      <c r="J13576">
        <f>IF($H13576=0,1,IF($I13576&lt;=1,2,0))</f>
        <v>2</v>
      </c>
      <c r="K13576">
        <v>5</v>
      </c>
      <c r="L13576">
        <f>IF(AND($J13576=0,$K13576=0),0,1)</f>
        <v>1</v>
      </c>
    </row>
    <row r="13577" spans="1:12" x14ac:dyDescent="0.2">
      <c r="A13577" t="s">
        <v>646</v>
      </c>
      <c r="B13577" t="s">
        <v>17</v>
      </c>
      <c r="C13577" t="s">
        <v>11</v>
      </c>
      <c r="D13577">
        <v>9901</v>
      </c>
      <c r="E13577">
        <v>2020</v>
      </c>
      <c r="F13577">
        <v>18</v>
      </c>
      <c r="G13577">
        <v>11259</v>
      </c>
      <c r="H13577" s="1" t="s">
        <v>1828</v>
      </c>
      <c r="I13577">
        <v>0</v>
      </c>
      <c r="J13577">
        <f>IF($H13577=0,1,IF($I13577&lt;=1,2,0))</f>
        <v>2</v>
      </c>
      <c r="K13577">
        <v>5</v>
      </c>
      <c r="L13577">
        <f>IF(AND($J13577=0,$K13577=0),0,1)</f>
        <v>1</v>
      </c>
    </row>
    <row r="13578" spans="1:12" x14ac:dyDescent="0.2">
      <c r="A13578" t="s">
        <v>646</v>
      </c>
      <c r="B13578" t="s">
        <v>17</v>
      </c>
      <c r="C13578" t="s">
        <v>11</v>
      </c>
      <c r="D13578">
        <v>9901</v>
      </c>
      <c r="E13578">
        <v>2020</v>
      </c>
      <c r="F13578">
        <v>19</v>
      </c>
      <c r="G13578">
        <v>11260</v>
      </c>
      <c r="H13578" s="1" t="s">
        <v>1828</v>
      </c>
      <c r="I13578">
        <v>0</v>
      </c>
      <c r="J13578">
        <f>IF($H13578=0,1,IF($I13578&lt;=1,2,0))</f>
        <v>2</v>
      </c>
      <c r="K13578">
        <v>5</v>
      </c>
      <c r="L13578">
        <f>IF(AND($J13578=0,$K13578=0),0,1)</f>
        <v>1</v>
      </c>
    </row>
    <row r="13579" spans="1:12" x14ac:dyDescent="0.2">
      <c r="A13579" t="s">
        <v>646</v>
      </c>
      <c r="B13579" t="s">
        <v>17</v>
      </c>
      <c r="C13579" t="s">
        <v>11</v>
      </c>
      <c r="D13579">
        <v>9901</v>
      </c>
      <c r="E13579">
        <v>2020</v>
      </c>
      <c r="F13579">
        <v>20</v>
      </c>
      <c r="G13579">
        <v>11261</v>
      </c>
      <c r="H13579" s="1" t="s">
        <v>1828</v>
      </c>
      <c r="I13579">
        <v>0</v>
      </c>
      <c r="J13579">
        <f>IF($H13579=0,1,IF($I13579&lt;=1,2,0))</f>
        <v>2</v>
      </c>
      <c r="K13579">
        <v>5</v>
      </c>
      <c r="L13579">
        <f>IF(AND($J13579=0,$K13579=0),0,1)</f>
        <v>1</v>
      </c>
    </row>
    <row r="13580" spans="1:12" x14ac:dyDescent="0.2">
      <c r="A13580" t="s">
        <v>646</v>
      </c>
      <c r="B13580" t="s">
        <v>17</v>
      </c>
      <c r="C13580" t="s">
        <v>11</v>
      </c>
      <c r="D13580">
        <v>9901</v>
      </c>
      <c r="E13580">
        <v>2020</v>
      </c>
      <c r="F13580">
        <v>21</v>
      </c>
      <c r="G13580">
        <v>11262</v>
      </c>
      <c r="H13580" s="1" t="s">
        <v>1828</v>
      </c>
      <c r="I13580">
        <v>0</v>
      </c>
      <c r="J13580">
        <f>IF($H13580=0,1,IF($I13580&lt;=1,2,0))</f>
        <v>2</v>
      </c>
      <c r="K13580">
        <v>5</v>
      </c>
      <c r="L13580">
        <f>IF(AND($J13580=0,$K13580=0),0,1)</f>
        <v>1</v>
      </c>
    </row>
    <row r="13581" spans="1:12" x14ac:dyDescent="0.2">
      <c r="A13581" t="s">
        <v>646</v>
      </c>
      <c r="B13581" t="s">
        <v>17</v>
      </c>
      <c r="C13581" t="s">
        <v>11</v>
      </c>
      <c r="D13581">
        <v>9901</v>
      </c>
      <c r="E13581">
        <v>2020</v>
      </c>
      <c r="F13581">
        <v>23</v>
      </c>
      <c r="G13581">
        <v>11264</v>
      </c>
      <c r="H13581" s="1" t="s">
        <v>1828</v>
      </c>
      <c r="I13581">
        <v>0</v>
      </c>
      <c r="J13581">
        <f>IF($H13581=0,1,IF($I13581&lt;=1,2,0))</f>
        <v>2</v>
      </c>
      <c r="K13581">
        <v>5</v>
      </c>
      <c r="L13581">
        <f>IF(AND($J13581=0,$K13581=0),0,1)</f>
        <v>1</v>
      </c>
    </row>
    <row r="13582" spans="1:12" x14ac:dyDescent="0.2">
      <c r="A13582" t="s">
        <v>657</v>
      </c>
      <c r="B13582" t="s">
        <v>6</v>
      </c>
      <c r="C13582" t="s">
        <v>11</v>
      </c>
      <c r="D13582">
        <v>4998</v>
      </c>
      <c r="E13582">
        <v>2020</v>
      </c>
      <c r="F13582">
        <v>1</v>
      </c>
      <c r="G13582">
        <v>24860</v>
      </c>
      <c r="H13582" s="1" t="s">
        <v>1823</v>
      </c>
      <c r="I13582">
        <v>1</v>
      </c>
      <c r="J13582">
        <f>IF($H13582=0,1,IF($I13582&lt;=1,2,0))</f>
        <v>2</v>
      </c>
      <c r="K13582">
        <v>9</v>
      </c>
      <c r="L13582">
        <f>IF(AND($J13582=0,$K13582=0),0,1)</f>
        <v>1</v>
      </c>
    </row>
    <row r="13583" spans="1:12" x14ac:dyDescent="0.2">
      <c r="A13583" t="s">
        <v>659</v>
      </c>
      <c r="B13583" t="s">
        <v>241</v>
      </c>
      <c r="C13583" t="s">
        <v>7</v>
      </c>
      <c r="D13583">
        <v>1100</v>
      </c>
      <c r="E13583">
        <v>2020</v>
      </c>
      <c r="F13583">
        <v>3</v>
      </c>
      <c r="G13583">
        <v>19860</v>
      </c>
      <c r="H13583" s="1">
        <v>0</v>
      </c>
      <c r="I13583">
        <v>22</v>
      </c>
      <c r="J13583">
        <f>IF($H13583=0,1,IF($I13583&lt;=1,2,0))</f>
        <v>1</v>
      </c>
      <c r="K13583">
        <v>0</v>
      </c>
      <c r="L13583">
        <f>IF(AND($J13583=0,$K13583=0),0,1)</f>
        <v>1</v>
      </c>
    </row>
    <row r="13584" spans="1:12" x14ac:dyDescent="0.2">
      <c r="A13584" t="s">
        <v>659</v>
      </c>
      <c r="B13584" t="s">
        <v>241</v>
      </c>
      <c r="C13584" t="s">
        <v>7</v>
      </c>
      <c r="D13584">
        <v>1100</v>
      </c>
      <c r="E13584">
        <v>2020</v>
      </c>
      <c r="F13584">
        <v>5</v>
      </c>
      <c r="G13584">
        <v>19862</v>
      </c>
      <c r="H13584" s="1">
        <v>0</v>
      </c>
      <c r="I13584">
        <v>22</v>
      </c>
      <c r="J13584">
        <f>IF($H13584=0,1,IF($I13584&lt;=1,2,0))</f>
        <v>1</v>
      </c>
      <c r="K13584">
        <v>0</v>
      </c>
      <c r="L13584">
        <f>IF(AND($J13584=0,$K13584=0),0,1)</f>
        <v>1</v>
      </c>
    </row>
    <row r="13585" spans="1:12" x14ac:dyDescent="0.2">
      <c r="A13585" t="s">
        <v>659</v>
      </c>
      <c r="B13585" t="s">
        <v>241</v>
      </c>
      <c r="C13585" t="s">
        <v>7</v>
      </c>
      <c r="D13585">
        <v>1100</v>
      </c>
      <c r="E13585">
        <v>2020</v>
      </c>
      <c r="F13585">
        <v>6</v>
      </c>
      <c r="G13585">
        <v>19863</v>
      </c>
      <c r="H13585" s="1">
        <v>0</v>
      </c>
      <c r="I13585">
        <v>22</v>
      </c>
      <c r="J13585">
        <f>IF($H13585=0,1,IF($I13585&lt;=1,2,0))</f>
        <v>1</v>
      </c>
      <c r="K13585">
        <v>0</v>
      </c>
      <c r="L13585">
        <f>IF(AND($J13585=0,$K13585=0),0,1)</f>
        <v>1</v>
      </c>
    </row>
    <row r="13586" spans="1:12" x14ac:dyDescent="0.2">
      <c r="A13586" t="s">
        <v>659</v>
      </c>
      <c r="B13586" t="s">
        <v>241</v>
      </c>
      <c r="C13586" t="s">
        <v>7</v>
      </c>
      <c r="D13586">
        <v>1100</v>
      </c>
      <c r="E13586">
        <v>2020</v>
      </c>
      <c r="F13586">
        <v>8</v>
      </c>
      <c r="G13586">
        <v>19865</v>
      </c>
      <c r="H13586" s="1">
        <v>0</v>
      </c>
      <c r="I13586">
        <v>22</v>
      </c>
      <c r="J13586">
        <f>IF($H13586=0,1,IF($I13586&lt;=1,2,0))</f>
        <v>1</v>
      </c>
      <c r="K13586">
        <v>0</v>
      </c>
      <c r="L13586">
        <f>IF(AND($J13586=0,$K13586=0),0,1)</f>
        <v>1</v>
      </c>
    </row>
    <row r="13587" spans="1:12" x14ac:dyDescent="0.2">
      <c r="A13587" t="s">
        <v>659</v>
      </c>
      <c r="B13587" t="s">
        <v>241</v>
      </c>
      <c r="C13587" t="s">
        <v>7</v>
      </c>
      <c r="D13587">
        <v>1100</v>
      </c>
      <c r="E13587">
        <v>2020</v>
      </c>
      <c r="F13587">
        <v>10</v>
      </c>
      <c r="G13587">
        <v>19867</v>
      </c>
      <c r="H13587" s="1">
        <v>0</v>
      </c>
      <c r="I13587">
        <v>22</v>
      </c>
      <c r="J13587">
        <f>IF($H13587=0,1,IF($I13587&lt;=1,2,0))</f>
        <v>1</v>
      </c>
      <c r="K13587">
        <v>0</v>
      </c>
      <c r="L13587">
        <f>IF(AND($J13587=0,$K13587=0),0,1)</f>
        <v>1</v>
      </c>
    </row>
    <row r="13588" spans="1:12" x14ac:dyDescent="0.2">
      <c r="A13588" t="s">
        <v>659</v>
      </c>
      <c r="B13588" t="s">
        <v>241</v>
      </c>
      <c r="C13588" t="s">
        <v>7</v>
      </c>
      <c r="D13588">
        <v>1100</v>
      </c>
      <c r="E13588">
        <v>2020</v>
      </c>
      <c r="F13588">
        <v>11</v>
      </c>
      <c r="G13588">
        <v>19868</v>
      </c>
      <c r="H13588" s="1">
        <v>0</v>
      </c>
      <c r="I13588">
        <v>22</v>
      </c>
      <c r="J13588">
        <f>IF($H13588=0,1,IF($I13588&lt;=1,2,0))</f>
        <v>1</v>
      </c>
      <c r="K13588">
        <v>0</v>
      </c>
      <c r="L13588">
        <f>IF(AND($J13588=0,$K13588=0),0,1)</f>
        <v>1</v>
      </c>
    </row>
    <row r="13589" spans="1:12" x14ac:dyDescent="0.2">
      <c r="A13589" t="s">
        <v>659</v>
      </c>
      <c r="B13589" t="s">
        <v>241</v>
      </c>
      <c r="C13589" t="s">
        <v>7</v>
      </c>
      <c r="D13589">
        <v>1100</v>
      </c>
      <c r="E13589">
        <v>2020</v>
      </c>
      <c r="F13589">
        <v>12</v>
      </c>
      <c r="G13589">
        <v>19869</v>
      </c>
      <c r="H13589" s="1">
        <v>0</v>
      </c>
      <c r="I13589">
        <v>22</v>
      </c>
      <c r="J13589">
        <f>IF($H13589=0,1,IF($I13589&lt;=1,2,0))</f>
        <v>1</v>
      </c>
      <c r="K13589">
        <v>0</v>
      </c>
      <c r="L13589">
        <f>IF(AND($J13589=0,$K13589=0),0,1)</f>
        <v>1</v>
      </c>
    </row>
    <row r="13590" spans="1:12" x14ac:dyDescent="0.2">
      <c r="A13590" t="s">
        <v>659</v>
      </c>
      <c r="B13590" t="s">
        <v>241</v>
      </c>
      <c r="C13590" t="s">
        <v>7</v>
      </c>
      <c r="D13590">
        <v>1100</v>
      </c>
      <c r="E13590">
        <v>2020</v>
      </c>
      <c r="F13590">
        <v>14</v>
      </c>
      <c r="G13590">
        <v>19871</v>
      </c>
      <c r="H13590" s="1">
        <v>0</v>
      </c>
      <c r="I13590">
        <v>22</v>
      </c>
      <c r="J13590">
        <f>IF($H13590=0,1,IF($I13590&lt;=1,2,0))</f>
        <v>1</v>
      </c>
      <c r="K13590">
        <v>0</v>
      </c>
      <c r="L13590">
        <f>IF(AND($J13590=0,$K13590=0),0,1)</f>
        <v>1</v>
      </c>
    </row>
    <row r="13591" spans="1:12" x14ac:dyDescent="0.2">
      <c r="A13591" t="s">
        <v>659</v>
      </c>
      <c r="B13591" t="s">
        <v>241</v>
      </c>
      <c r="C13591" t="s">
        <v>7</v>
      </c>
      <c r="D13591">
        <v>1100</v>
      </c>
      <c r="E13591">
        <v>2020</v>
      </c>
      <c r="F13591">
        <v>20</v>
      </c>
      <c r="G13591">
        <v>19877</v>
      </c>
      <c r="H13591" s="1">
        <v>0</v>
      </c>
      <c r="I13591">
        <v>22</v>
      </c>
      <c r="J13591">
        <f>IF($H13591=0,1,IF($I13591&lt;=1,2,0))</f>
        <v>1</v>
      </c>
      <c r="K13591">
        <v>0</v>
      </c>
      <c r="L13591">
        <f>IF(AND($J13591=0,$K13591=0),0,1)</f>
        <v>1</v>
      </c>
    </row>
    <row r="13592" spans="1:12" x14ac:dyDescent="0.2">
      <c r="A13592" t="s">
        <v>659</v>
      </c>
      <c r="B13592" t="s">
        <v>241</v>
      </c>
      <c r="C13592" t="s">
        <v>7</v>
      </c>
      <c r="D13592">
        <v>1100</v>
      </c>
      <c r="E13592">
        <v>2020</v>
      </c>
      <c r="F13592">
        <v>24</v>
      </c>
      <c r="G13592">
        <v>19880</v>
      </c>
      <c r="H13592" s="1">
        <v>0</v>
      </c>
      <c r="I13592">
        <v>22</v>
      </c>
      <c r="J13592">
        <f>IF($H13592=0,1,IF($I13592&lt;=1,2,0))</f>
        <v>1</v>
      </c>
      <c r="K13592">
        <v>0</v>
      </c>
      <c r="L13592">
        <f>IF(AND($J13592=0,$K13592=0),0,1)</f>
        <v>1</v>
      </c>
    </row>
    <row r="13593" spans="1:12" x14ac:dyDescent="0.2">
      <c r="A13593" t="s">
        <v>659</v>
      </c>
      <c r="B13593" t="s">
        <v>241</v>
      </c>
      <c r="C13593" t="s">
        <v>7</v>
      </c>
      <c r="D13593">
        <v>1100</v>
      </c>
      <c r="E13593">
        <v>2020</v>
      </c>
      <c r="F13593">
        <v>7</v>
      </c>
      <c r="G13593">
        <v>19864</v>
      </c>
      <c r="H13593" s="1">
        <v>0</v>
      </c>
      <c r="I13593">
        <v>21</v>
      </c>
      <c r="J13593">
        <f>IF($H13593=0,1,IF($I13593&lt;=1,2,0))</f>
        <v>1</v>
      </c>
      <c r="K13593">
        <v>0</v>
      </c>
      <c r="L13593">
        <f>IF(AND($J13593=0,$K13593=0),0,1)</f>
        <v>1</v>
      </c>
    </row>
    <row r="13594" spans="1:12" x14ac:dyDescent="0.2">
      <c r="A13594" t="s">
        <v>659</v>
      </c>
      <c r="B13594" t="s">
        <v>241</v>
      </c>
      <c r="C13594" t="s">
        <v>7</v>
      </c>
      <c r="D13594">
        <v>1100</v>
      </c>
      <c r="E13594">
        <v>2020</v>
      </c>
      <c r="F13594">
        <v>9</v>
      </c>
      <c r="G13594">
        <v>19866</v>
      </c>
      <c r="H13594" s="1">
        <v>0</v>
      </c>
      <c r="I13594">
        <v>21</v>
      </c>
      <c r="J13594">
        <f>IF($H13594=0,1,IF($I13594&lt;=1,2,0))</f>
        <v>1</v>
      </c>
      <c r="K13594">
        <v>0</v>
      </c>
      <c r="L13594">
        <f>IF(AND($J13594=0,$K13594=0),0,1)</f>
        <v>1</v>
      </c>
    </row>
    <row r="13595" spans="1:12" x14ac:dyDescent="0.2">
      <c r="A13595" t="s">
        <v>659</v>
      </c>
      <c r="B13595" t="s">
        <v>241</v>
      </c>
      <c r="C13595" t="s">
        <v>7</v>
      </c>
      <c r="D13595">
        <v>1100</v>
      </c>
      <c r="E13595">
        <v>2020</v>
      </c>
      <c r="F13595">
        <v>16</v>
      </c>
      <c r="G13595">
        <v>19873</v>
      </c>
      <c r="H13595" s="1">
        <v>0</v>
      </c>
      <c r="I13595">
        <v>21</v>
      </c>
      <c r="J13595">
        <f>IF($H13595=0,1,IF($I13595&lt;=1,2,0))</f>
        <v>1</v>
      </c>
      <c r="K13595">
        <v>0</v>
      </c>
      <c r="L13595">
        <f>IF(AND($J13595=0,$K13595=0),0,1)</f>
        <v>1</v>
      </c>
    </row>
    <row r="13596" spans="1:12" x14ac:dyDescent="0.2">
      <c r="A13596" t="s">
        <v>659</v>
      </c>
      <c r="B13596" t="s">
        <v>241</v>
      </c>
      <c r="C13596" t="s">
        <v>7</v>
      </c>
      <c r="D13596">
        <v>1100</v>
      </c>
      <c r="E13596">
        <v>2020</v>
      </c>
      <c r="F13596">
        <v>17</v>
      </c>
      <c r="G13596">
        <v>19874</v>
      </c>
      <c r="H13596" s="1">
        <v>0</v>
      </c>
      <c r="I13596">
        <v>21</v>
      </c>
      <c r="J13596">
        <f>IF($H13596=0,1,IF($I13596&lt;=1,2,0))</f>
        <v>1</v>
      </c>
      <c r="K13596">
        <v>0</v>
      </c>
      <c r="L13596">
        <f>IF(AND($J13596=0,$K13596=0),0,1)</f>
        <v>1</v>
      </c>
    </row>
    <row r="13597" spans="1:12" x14ac:dyDescent="0.2">
      <c r="A13597" t="s">
        <v>659</v>
      </c>
      <c r="B13597" t="s">
        <v>241</v>
      </c>
      <c r="C13597" t="s">
        <v>7</v>
      </c>
      <c r="D13597">
        <v>1100</v>
      </c>
      <c r="E13597">
        <v>2020</v>
      </c>
      <c r="F13597">
        <v>22</v>
      </c>
      <c r="G13597">
        <v>19879</v>
      </c>
      <c r="H13597" s="1">
        <v>0</v>
      </c>
      <c r="I13597">
        <v>21</v>
      </c>
      <c r="J13597">
        <f>IF($H13597=0,1,IF($I13597&lt;=1,2,0))</f>
        <v>1</v>
      </c>
      <c r="K13597">
        <v>0</v>
      </c>
      <c r="L13597">
        <f>IF(AND($J13597=0,$K13597=0),0,1)</f>
        <v>1</v>
      </c>
    </row>
    <row r="13598" spans="1:12" x14ac:dyDescent="0.2">
      <c r="A13598" t="s">
        <v>659</v>
      </c>
      <c r="B13598" t="s">
        <v>241</v>
      </c>
      <c r="C13598" t="s">
        <v>7</v>
      </c>
      <c r="D13598">
        <v>1100</v>
      </c>
      <c r="E13598">
        <v>2020</v>
      </c>
      <c r="F13598">
        <v>23</v>
      </c>
      <c r="G13598">
        <v>22088</v>
      </c>
      <c r="H13598" s="1">
        <v>0</v>
      </c>
      <c r="I13598">
        <v>21</v>
      </c>
      <c r="J13598">
        <f>IF($H13598=0,1,IF($I13598&lt;=1,2,0))</f>
        <v>1</v>
      </c>
      <c r="K13598">
        <v>0</v>
      </c>
      <c r="L13598">
        <f>IF(AND($J13598=0,$K13598=0),0,1)</f>
        <v>1</v>
      </c>
    </row>
    <row r="13599" spans="1:12" x14ac:dyDescent="0.2">
      <c r="A13599" t="s">
        <v>659</v>
      </c>
      <c r="B13599" t="s">
        <v>241</v>
      </c>
      <c r="C13599" t="s">
        <v>7</v>
      </c>
      <c r="D13599">
        <v>1100</v>
      </c>
      <c r="E13599">
        <v>2020</v>
      </c>
      <c r="F13599">
        <v>1</v>
      </c>
      <c r="G13599">
        <v>19858</v>
      </c>
      <c r="H13599" s="1">
        <v>0</v>
      </c>
      <c r="I13599">
        <v>20</v>
      </c>
      <c r="J13599">
        <f>IF($H13599=0,1,IF($I13599&lt;=1,2,0))</f>
        <v>1</v>
      </c>
      <c r="K13599">
        <v>0</v>
      </c>
      <c r="L13599">
        <f>IF(AND($J13599=0,$K13599=0),0,1)</f>
        <v>1</v>
      </c>
    </row>
    <row r="13600" spans="1:12" x14ac:dyDescent="0.2">
      <c r="A13600" t="s">
        <v>659</v>
      </c>
      <c r="B13600" t="s">
        <v>241</v>
      </c>
      <c r="C13600" t="s">
        <v>7</v>
      </c>
      <c r="D13600">
        <v>1100</v>
      </c>
      <c r="E13600">
        <v>2020</v>
      </c>
      <c r="F13600">
        <v>2</v>
      </c>
      <c r="G13600">
        <v>19859</v>
      </c>
      <c r="H13600" s="1">
        <v>0</v>
      </c>
      <c r="I13600">
        <v>20</v>
      </c>
      <c r="J13600">
        <f>IF($H13600=0,1,IF($I13600&lt;=1,2,0))</f>
        <v>1</v>
      </c>
      <c r="K13600">
        <v>0</v>
      </c>
      <c r="L13600">
        <f>IF(AND($J13600=0,$K13600=0),0,1)</f>
        <v>1</v>
      </c>
    </row>
    <row r="13601" spans="1:13" x14ac:dyDescent="0.2">
      <c r="A13601" t="s">
        <v>659</v>
      </c>
      <c r="B13601" t="s">
        <v>241</v>
      </c>
      <c r="C13601" t="s">
        <v>7</v>
      </c>
      <c r="D13601">
        <v>1100</v>
      </c>
      <c r="E13601">
        <v>2020</v>
      </c>
      <c r="F13601">
        <v>4</v>
      </c>
      <c r="G13601">
        <v>19861</v>
      </c>
      <c r="H13601" s="1">
        <v>0</v>
      </c>
      <c r="I13601">
        <v>20</v>
      </c>
      <c r="J13601">
        <f>IF($H13601=0,1,IF($I13601&lt;=1,2,0))</f>
        <v>1</v>
      </c>
      <c r="K13601">
        <v>0</v>
      </c>
      <c r="L13601">
        <f>IF(AND($J13601=0,$K13601=0),0,1)</f>
        <v>1</v>
      </c>
    </row>
    <row r="13602" spans="1:13" x14ac:dyDescent="0.2">
      <c r="A13602" t="s">
        <v>659</v>
      </c>
      <c r="B13602" t="s">
        <v>241</v>
      </c>
      <c r="C13602" t="s">
        <v>7</v>
      </c>
      <c r="D13602">
        <v>1100</v>
      </c>
      <c r="E13602">
        <v>2020</v>
      </c>
      <c r="F13602">
        <v>13</v>
      </c>
      <c r="G13602">
        <v>19870</v>
      </c>
      <c r="H13602" s="1">
        <v>0</v>
      </c>
      <c r="I13602">
        <v>20</v>
      </c>
      <c r="J13602">
        <f>IF($H13602=0,1,IF($I13602&lt;=1,2,0))</f>
        <v>1</v>
      </c>
      <c r="K13602">
        <v>0</v>
      </c>
      <c r="L13602">
        <f>IF(AND($J13602=0,$K13602=0),0,1)</f>
        <v>1</v>
      </c>
    </row>
    <row r="13603" spans="1:13" x14ac:dyDescent="0.2">
      <c r="A13603" t="s">
        <v>659</v>
      </c>
      <c r="B13603" t="s">
        <v>241</v>
      </c>
      <c r="C13603" t="s">
        <v>7</v>
      </c>
      <c r="D13603">
        <v>1100</v>
      </c>
      <c r="E13603">
        <v>2020</v>
      </c>
      <c r="F13603">
        <v>18</v>
      </c>
      <c r="G13603">
        <v>19875</v>
      </c>
      <c r="H13603" s="1">
        <v>0</v>
      </c>
      <c r="I13603">
        <v>20</v>
      </c>
      <c r="J13603">
        <f>IF($H13603=0,1,IF($I13603&lt;=1,2,0))</f>
        <v>1</v>
      </c>
      <c r="K13603">
        <v>0</v>
      </c>
      <c r="L13603">
        <f>IF(AND($J13603=0,$K13603=0),0,1)</f>
        <v>1</v>
      </c>
    </row>
    <row r="13604" spans="1:13" x14ac:dyDescent="0.2">
      <c r="A13604" t="s">
        <v>659</v>
      </c>
      <c r="B13604" t="s">
        <v>241</v>
      </c>
      <c r="C13604" t="s">
        <v>7</v>
      </c>
      <c r="D13604">
        <v>1100</v>
      </c>
      <c r="E13604">
        <v>2020</v>
      </c>
      <c r="F13604">
        <v>15</v>
      </c>
      <c r="G13604">
        <v>19872</v>
      </c>
      <c r="H13604" s="1">
        <v>0</v>
      </c>
      <c r="I13604">
        <v>19</v>
      </c>
      <c r="J13604">
        <f>IF($H13604=0,1,IF($I13604&lt;=1,2,0))</f>
        <v>1</v>
      </c>
      <c r="K13604">
        <v>0</v>
      </c>
      <c r="L13604">
        <f>IF(AND($J13604=0,$K13604=0),0,1)</f>
        <v>1</v>
      </c>
    </row>
    <row r="13605" spans="1:13" x14ac:dyDescent="0.2">
      <c r="A13605" t="s">
        <v>659</v>
      </c>
      <c r="B13605" t="s">
        <v>241</v>
      </c>
      <c r="C13605" t="s">
        <v>7</v>
      </c>
      <c r="D13605">
        <v>1100</v>
      </c>
      <c r="E13605">
        <v>2020</v>
      </c>
      <c r="F13605">
        <v>26</v>
      </c>
      <c r="G13605">
        <v>19882</v>
      </c>
      <c r="H13605" s="1">
        <v>0</v>
      </c>
      <c r="I13605">
        <v>18</v>
      </c>
      <c r="J13605">
        <f>IF($H13605=0,1,IF($I13605&lt;=1,2,0))</f>
        <v>1</v>
      </c>
      <c r="K13605">
        <v>0</v>
      </c>
      <c r="L13605">
        <f>IF(AND($J13605=0,$K13605=0),0,1)</f>
        <v>1</v>
      </c>
    </row>
    <row r="13606" spans="1:13" x14ac:dyDescent="0.2">
      <c r="A13606" t="s">
        <v>659</v>
      </c>
      <c r="B13606" t="s">
        <v>241</v>
      </c>
      <c r="C13606" t="s">
        <v>7</v>
      </c>
      <c r="D13606">
        <v>1100</v>
      </c>
      <c r="E13606">
        <v>2020</v>
      </c>
      <c r="F13606">
        <v>19</v>
      </c>
      <c r="G13606">
        <v>19876</v>
      </c>
      <c r="H13606" s="1">
        <v>0</v>
      </c>
      <c r="I13606">
        <v>17</v>
      </c>
      <c r="J13606">
        <f>IF($H13606=0,1,IF($I13606&lt;=1,2,0))</f>
        <v>1</v>
      </c>
      <c r="K13606">
        <v>0</v>
      </c>
      <c r="L13606">
        <f>IF(AND($J13606=0,$K13606=0),0,1)</f>
        <v>1</v>
      </c>
    </row>
    <row r="13607" spans="1:13" x14ac:dyDescent="0.2">
      <c r="A13607" t="s">
        <v>659</v>
      </c>
      <c r="B13607" t="s">
        <v>241</v>
      </c>
      <c r="C13607" t="s">
        <v>7</v>
      </c>
      <c r="D13607">
        <v>1100</v>
      </c>
      <c r="E13607">
        <v>2020</v>
      </c>
      <c r="F13607">
        <v>25</v>
      </c>
      <c r="G13607">
        <v>19881</v>
      </c>
      <c r="H13607" s="1">
        <v>0</v>
      </c>
      <c r="I13607">
        <v>15</v>
      </c>
      <c r="J13607">
        <f>IF($H13607=0,1,IF($I13607&lt;=1,2,0))</f>
        <v>1</v>
      </c>
      <c r="K13607">
        <v>0</v>
      </c>
      <c r="L13607">
        <f>IF(AND($J13607=0,$K13607=0),0,1)</f>
        <v>1</v>
      </c>
    </row>
    <row r="13608" spans="1:13" x14ac:dyDescent="0.2">
      <c r="A13608" t="s">
        <v>659</v>
      </c>
      <c r="B13608" t="s">
        <v>241</v>
      </c>
      <c r="C13608" t="s">
        <v>7</v>
      </c>
      <c r="D13608">
        <v>1100</v>
      </c>
      <c r="E13608">
        <v>2020</v>
      </c>
      <c r="F13608">
        <v>21</v>
      </c>
      <c r="G13608">
        <v>19878</v>
      </c>
      <c r="H13608" s="1">
        <v>0</v>
      </c>
      <c r="I13608">
        <v>14</v>
      </c>
      <c r="J13608">
        <f>IF($H13608=0,1,IF($I13608&lt;=1,2,0))</f>
        <v>1</v>
      </c>
      <c r="K13608">
        <v>0</v>
      </c>
      <c r="L13608">
        <f>IF(AND($J13608=0,$K13608=0),0,1)</f>
        <v>1</v>
      </c>
    </row>
    <row r="13609" spans="1:13" x14ac:dyDescent="0.2">
      <c r="A13609" t="s">
        <v>659</v>
      </c>
      <c r="B13609" t="s">
        <v>241</v>
      </c>
      <c r="C13609" t="s">
        <v>7</v>
      </c>
      <c r="D13609">
        <v>1100</v>
      </c>
      <c r="E13609">
        <v>2020</v>
      </c>
      <c r="F13609">
        <v>28</v>
      </c>
      <c r="G13609">
        <v>19884</v>
      </c>
      <c r="H13609" s="1">
        <v>0</v>
      </c>
      <c r="I13609">
        <v>7</v>
      </c>
      <c r="J13609">
        <f>IF($H13609=0,1,IF($I13609&lt;=1,2,0))</f>
        <v>1</v>
      </c>
      <c r="K13609">
        <v>0</v>
      </c>
      <c r="L13609">
        <f>IF(AND($J13609=0,$K13609=0),0,1)</f>
        <v>1</v>
      </c>
    </row>
    <row r="13610" spans="1:13" x14ac:dyDescent="0.2">
      <c r="A13610" t="s">
        <v>659</v>
      </c>
      <c r="B13610" t="s">
        <v>241</v>
      </c>
      <c r="C13610" t="s">
        <v>7</v>
      </c>
      <c r="D13610">
        <v>1100</v>
      </c>
      <c r="E13610">
        <v>2020</v>
      </c>
      <c r="F13610">
        <v>27</v>
      </c>
      <c r="G13610">
        <v>19883</v>
      </c>
      <c r="H13610" s="1">
        <v>0</v>
      </c>
      <c r="I13610">
        <v>6</v>
      </c>
      <c r="J13610">
        <f>IF($H13610=0,1,IF($I13610&lt;=1,2,0))</f>
        <v>1</v>
      </c>
      <c r="K13610">
        <v>0</v>
      </c>
      <c r="L13610">
        <f>IF(AND($J13610=0,$K13610=0),0,1)</f>
        <v>1</v>
      </c>
    </row>
    <row r="13611" spans="1:13" x14ac:dyDescent="0.2">
      <c r="A13611" t="s">
        <v>660</v>
      </c>
      <c r="B13611" t="s">
        <v>1</v>
      </c>
      <c r="C13611" t="s">
        <v>2</v>
      </c>
      <c r="D13611">
        <v>3336</v>
      </c>
      <c r="E13611">
        <v>2020</v>
      </c>
      <c r="F13611">
        <v>1</v>
      </c>
      <c r="G13611">
        <v>535</v>
      </c>
      <c r="H13611" s="1">
        <v>4</v>
      </c>
      <c r="I13611">
        <v>12</v>
      </c>
      <c r="J13611">
        <f>IF($H13611=0,1,IF($I13611&lt;=1,2,0))</f>
        <v>0</v>
      </c>
      <c r="K13611">
        <v>7</v>
      </c>
      <c r="L13611">
        <f>IF(AND($J13611=0,$K13611=0),0,1)</f>
        <v>1</v>
      </c>
    </row>
    <row r="13612" spans="1:13" x14ac:dyDescent="0.2">
      <c r="A13612" t="s">
        <v>661</v>
      </c>
      <c r="B13612" t="s">
        <v>6</v>
      </c>
      <c r="C13612" t="s">
        <v>9</v>
      </c>
      <c r="D13612">
        <v>3998</v>
      </c>
      <c r="E13612">
        <v>2020</v>
      </c>
      <c r="F13612">
        <v>1</v>
      </c>
      <c r="G13612">
        <v>11191</v>
      </c>
      <c r="H13612" s="1" t="s">
        <v>1827</v>
      </c>
      <c r="I13612">
        <v>6</v>
      </c>
      <c r="J13612">
        <f>IF($H13612=0,1,IF($I13612&lt;=1,2,0))</f>
        <v>0</v>
      </c>
      <c r="K13612">
        <v>9</v>
      </c>
      <c r="L13612">
        <f>IF(AND($J13612=0,$K13612=0),0,1)</f>
        <v>1</v>
      </c>
      <c r="M13612" t="s">
        <v>665</v>
      </c>
    </row>
    <row r="13613" spans="1:13" x14ac:dyDescent="0.2">
      <c r="A13613" t="s">
        <v>661</v>
      </c>
      <c r="B13613" t="s">
        <v>381</v>
      </c>
      <c r="C13613" t="s">
        <v>382</v>
      </c>
      <c r="D13613">
        <v>6240</v>
      </c>
      <c r="E13613">
        <v>2020</v>
      </c>
      <c r="F13613">
        <v>1</v>
      </c>
      <c r="G13613">
        <v>15866</v>
      </c>
      <c r="H13613" s="1">
        <v>3</v>
      </c>
      <c r="I13613">
        <v>8</v>
      </c>
      <c r="J13613">
        <f>IF($H13613=0,1,IF($I13613&lt;=1,2,0))</f>
        <v>0</v>
      </c>
      <c r="K13613">
        <v>6</v>
      </c>
      <c r="L13613">
        <f>IF(AND($J13613=0,$K13613=0),0,1)</f>
        <v>1</v>
      </c>
    </row>
    <row r="13614" spans="1:13" x14ac:dyDescent="0.2">
      <c r="A13614" t="s">
        <v>661</v>
      </c>
      <c r="B13614" t="s">
        <v>381</v>
      </c>
      <c r="C13614" t="s">
        <v>382</v>
      </c>
      <c r="D13614">
        <v>6240</v>
      </c>
      <c r="E13614">
        <v>2020</v>
      </c>
      <c r="F13614" t="s">
        <v>59</v>
      </c>
      <c r="G13614">
        <v>15867</v>
      </c>
      <c r="H13614" s="1">
        <v>0</v>
      </c>
      <c r="I13614">
        <v>0</v>
      </c>
      <c r="J13614">
        <f>IF($H13614=0,1,IF($I13614&lt;=1,2,0))</f>
        <v>1</v>
      </c>
      <c r="K13614">
        <v>6</v>
      </c>
      <c r="L13614">
        <f>IF(AND($J13614=0,$K13614=0),0,1)</f>
        <v>1</v>
      </c>
      <c r="M13614" t="s">
        <v>384</v>
      </c>
    </row>
    <row r="13615" spans="1:13" x14ac:dyDescent="0.2">
      <c r="A13615" t="s">
        <v>661</v>
      </c>
      <c r="B13615" t="s">
        <v>381</v>
      </c>
      <c r="C13615" t="s">
        <v>382</v>
      </c>
      <c r="D13615">
        <v>6240</v>
      </c>
      <c r="E13615">
        <v>2020</v>
      </c>
      <c r="F13615" t="s">
        <v>60</v>
      </c>
      <c r="G13615">
        <v>15868</v>
      </c>
      <c r="H13615" s="1">
        <v>0</v>
      </c>
      <c r="I13615">
        <v>0</v>
      </c>
      <c r="J13615">
        <f>IF($H13615=0,1,IF($I13615&lt;=1,2,0))</f>
        <v>1</v>
      </c>
      <c r="K13615">
        <v>6</v>
      </c>
      <c r="L13615">
        <f>IF(AND($J13615=0,$K13615=0),0,1)</f>
        <v>1</v>
      </c>
      <c r="M13615" t="s">
        <v>384</v>
      </c>
    </row>
    <row r="13616" spans="1:13" x14ac:dyDescent="0.2">
      <c r="A13616" t="s">
        <v>661</v>
      </c>
      <c r="B13616" t="s">
        <v>381</v>
      </c>
      <c r="C13616" t="s">
        <v>382</v>
      </c>
      <c r="D13616">
        <v>6260</v>
      </c>
      <c r="E13616">
        <v>2020</v>
      </c>
      <c r="F13616">
        <v>1</v>
      </c>
      <c r="G13616">
        <v>15869</v>
      </c>
      <c r="H13616" s="1">
        <v>3</v>
      </c>
      <c r="I13616">
        <v>3</v>
      </c>
      <c r="J13616">
        <f>IF($H13616=0,1,IF($I13616&lt;=1,2,0))</f>
        <v>0</v>
      </c>
      <c r="K13616">
        <v>6</v>
      </c>
      <c r="L13616">
        <f>IF(AND($J13616=0,$K13616=0),0,1)</f>
        <v>1</v>
      </c>
    </row>
    <row r="13617" spans="1:13" x14ac:dyDescent="0.2">
      <c r="A13617" t="s">
        <v>661</v>
      </c>
      <c r="B13617" t="s">
        <v>381</v>
      </c>
      <c r="C13617" t="s">
        <v>382</v>
      </c>
      <c r="D13617">
        <v>9200</v>
      </c>
      <c r="E13617">
        <v>2020</v>
      </c>
      <c r="F13617">
        <v>1</v>
      </c>
      <c r="G13617">
        <v>15870</v>
      </c>
      <c r="H13617" s="1">
        <v>1.5</v>
      </c>
      <c r="I13617">
        <v>18</v>
      </c>
      <c r="J13617">
        <f>IF($H13617=0,1,IF($I13617&lt;=1,2,0))</f>
        <v>0</v>
      </c>
      <c r="K13617">
        <v>5</v>
      </c>
      <c r="L13617">
        <f>IF(AND($J13617=0,$K13617=0),0,1)</f>
        <v>1</v>
      </c>
    </row>
    <row r="13618" spans="1:13" x14ac:dyDescent="0.2">
      <c r="A13618" t="s">
        <v>661</v>
      </c>
      <c r="B13618" t="s">
        <v>381</v>
      </c>
      <c r="C13618" t="s">
        <v>382</v>
      </c>
      <c r="D13618">
        <v>9200</v>
      </c>
      <c r="E13618">
        <v>2020</v>
      </c>
      <c r="F13618" t="s">
        <v>59</v>
      </c>
      <c r="G13618">
        <v>15871</v>
      </c>
      <c r="H13618" s="1">
        <v>0</v>
      </c>
      <c r="I13618">
        <v>0</v>
      </c>
      <c r="J13618">
        <f>IF($H13618=0,1,IF($I13618&lt;=1,2,0))</f>
        <v>1</v>
      </c>
      <c r="K13618">
        <v>5</v>
      </c>
      <c r="L13618">
        <f>IF(AND($J13618=0,$K13618=0),0,1)</f>
        <v>1</v>
      </c>
    </row>
    <row r="13619" spans="1:13" x14ac:dyDescent="0.2">
      <c r="A13619" t="s">
        <v>661</v>
      </c>
      <c r="B13619" t="s">
        <v>381</v>
      </c>
      <c r="C13619" t="s">
        <v>382</v>
      </c>
      <c r="D13619">
        <v>9245</v>
      </c>
      <c r="E13619">
        <v>2020</v>
      </c>
      <c r="F13619">
        <v>1</v>
      </c>
      <c r="G13619">
        <v>15872</v>
      </c>
      <c r="H13619" s="1">
        <v>3</v>
      </c>
      <c r="I13619">
        <v>15</v>
      </c>
      <c r="J13619">
        <f>IF($H13619=0,1,IF($I13619&lt;=1,2,0))</f>
        <v>0</v>
      </c>
      <c r="K13619">
        <v>5</v>
      </c>
      <c r="L13619">
        <f>IF(AND($J13619=0,$K13619=0),0,1)</f>
        <v>1</v>
      </c>
    </row>
    <row r="13620" spans="1:13" x14ac:dyDescent="0.2">
      <c r="A13620" t="s">
        <v>666</v>
      </c>
      <c r="B13620" t="s">
        <v>17</v>
      </c>
      <c r="C13620" t="s">
        <v>9</v>
      </c>
      <c r="D13620">
        <v>1101</v>
      </c>
      <c r="E13620">
        <v>2020</v>
      </c>
      <c r="F13620">
        <v>1</v>
      </c>
      <c r="G13620">
        <v>11969</v>
      </c>
      <c r="H13620" s="1">
        <v>4</v>
      </c>
      <c r="I13620">
        <v>0</v>
      </c>
      <c r="J13620">
        <f>IF($H13620=0,1,IF($I13620&lt;=1,2,0))</f>
        <v>2</v>
      </c>
      <c r="K13620">
        <v>0</v>
      </c>
      <c r="L13620">
        <f>IF(AND($J13620=0,$K13620=0),0,1)</f>
        <v>1</v>
      </c>
      <c r="M13620" t="s">
        <v>181</v>
      </c>
    </row>
    <row r="13621" spans="1:13" x14ac:dyDescent="0.2">
      <c r="A13621" t="s">
        <v>666</v>
      </c>
      <c r="B13621" t="s">
        <v>17</v>
      </c>
      <c r="C13621" t="s">
        <v>9</v>
      </c>
      <c r="D13621">
        <v>2101</v>
      </c>
      <c r="E13621">
        <v>2020</v>
      </c>
      <c r="F13621">
        <v>1</v>
      </c>
      <c r="G13621">
        <v>11970</v>
      </c>
      <c r="H13621" s="1">
        <v>4</v>
      </c>
      <c r="I13621">
        <v>1</v>
      </c>
      <c r="J13621">
        <f>IF($H13621=0,1,IF($I13621&lt;=1,2,0))</f>
        <v>2</v>
      </c>
      <c r="K13621">
        <v>0</v>
      </c>
      <c r="L13621">
        <f>IF(AND($J13621=0,$K13621=0),0,1)</f>
        <v>1</v>
      </c>
      <c r="M13621" t="s">
        <v>181</v>
      </c>
    </row>
    <row r="13622" spans="1:13" x14ac:dyDescent="0.2">
      <c r="A13622" t="s">
        <v>666</v>
      </c>
      <c r="B13622" t="s">
        <v>17</v>
      </c>
      <c r="C13622" t="s">
        <v>9</v>
      </c>
      <c r="D13622">
        <v>3998</v>
      </c>
      <c r="E13622">
        <v>2020</v>
      </c>
      <c r="F13622">
        <v>1</v>
      </c>
      <c r="G13622">
        <v>23174</v>
      </c>
      <c r="H13622" s="1">
        <v>4</v>
      </c>
      <c r="I13622">
        <v>1</v>
      </c>
      <c r="J13622">
        <f>IF($H13622=0,1,IF($I13622&lt;=1,2,0))</f>
        <v>2</v>
      </c>
      <c r="K13622">
        <v>9</v>
      </c>
      <c r="L13622">
        <f>IF(AND($J13622=0,$K13622=0),0,1)</f>
        <v>1</v>
      </c>
    </row>
    <row r="13623" spans="1:13" x14ac:dyDescent="0.2">
      <c r="A13623" t="s">
        <v>1242</v>
      </c>
      <c r="B13623" t="s">
        <v>381</v>
      </c>
      <c r="C13623" t="s">
        <v>382</v>
      </c>
      <c r="D13623">
        <v>45</v>
      </c>
      <c r="E13623">
        <v>2020</v>
      </c>
      <c r="F13623">
        <v>1</v>
      </c>
      <c r="G13623">
        <v>23199</v>
      </c>
      <c r="H13623" s="1">
        <v>0</v>
      </c>
      <c r="I13623">
        <v>39</v>
      </c>
      <c r="J13623">
        <f>IF($H13623=0,1,IF($I13623&lt;=1,2,0))</f>
        <v>1</v>
      </c>
      <c r="K13623">
        <v>0</v>
      </c>
      <c r="L13623">
        <f>IF(AND($J13623=0,$K13623=0),0,1)</f>
        <v>1</v>
      </c>
    </row>
    <row r="13624" spans="1:13" x14ac:dyDescent="0.2">
      <c r="A13624" t="s">
        <v>1242</v>
      </c>
      <c r="B13624" t="s">
        <v>381</v>
      </c>
      <c r="C13624" t="s">
        <v>382</v>
      </c>
      <c r="D13624">
        <v>4010</v>
      </c>
      <c r="E13624">
        <v>2020</v>
      </c>
      <c r="F13624">
        <v>1</v>
      </c>
      <c r="G13624">
        <v>16053</v>
      </c>
      <c r="H13624" s="1">
        <v>0</v>
      </c>
      <c r="I13624">
        <v>25</v>
      </c>
      <c r="J13624">
        <f>IF($H13624=0,1,IF($I13624&lt;=1,2,0))</f>
        <v>1</v>
      </c>
      <c r="K13624">
        <v>6</v>
      </c>
      <c r="L13624">
        <f>IF(AND($J13624=0,$K13624=0),0,1)</f>
        <v>1</v>
      </c>
      <c r="M13624" t="s">
        <v>1243</v>
      </c>
    </row>
    <row r="13625" spans="1:13" x14ac:dyDescent="0.2">
      <c r="A13625" t="s">
        <v>1242</v>
      </c>
      <c r="B13625" t="s">
        <v>381</v>
      </c>
      <c r="C13625" t="s">
        <v>382</v>
      </c>
      <c r="D13625">
        <v>4010</v>
      </c>
      <c r="E13625">
        <v>2020</v>
      </c>
      <c r="F13625">
        <v>2</v>
      </c>
      <c r="G13625">
        <v>16058</v>
      </c>
      <c r="H13625" s="1">
        <v>0</v>
      </c>
      <c r="I13625">
        <v>15</v>
      </c>
      <c r="J13625">
        <f>IF($H13625=0,1,IF($I13625&lt;=1,2,0))</f>
        <v>1</v>
      </c>
      <c r="K13625">
        <v>6</v>
      </c>
      <c r="L13625">
        <f>IF(AND($J13625=0,$K13625=0),0,1)</f>
        <v>1</v>
      </c>
      <c r="M13625" t="s">
        <v>1244</v>
      </c>
    </row>
    <row r="13626" spans="1:13" x14ac:dyDescent="0.2">
      <c r="A13626" t="s">
        <v>1242</v>
      </c>
      <c r="B13626" t="s">
        <v>381</v>
      </c>
      <c r="C13626" t="s">
        <v>382</v>
      </c>
      <c r="D13626">
        <v>4011</v>
      </c>
      <c r="E13626">
        <v>2020</v>
      </c>
      <c r="F13626">
        <v>1</v>
      </c>
      <c r="G13626">
        <v>16059</v>
      </c>
      <c r="H13626" s="1">
        <v>0</v>
      </c>
      <c r="I13626">
        <v>25</v>
      </c>
      <c r="J13626">
        <f>IF($H13626=0,1,IF($I13626&lt;=1,2,0))</f>
        <v>1</v>
      </c>
      <c r="K13626">
        <v>6</v>
      </c>
      <c r="L13626">
        <f>IF(AND($J13626=0,$K13626=0),0,1)</f>
        <v>1</v>
      </c>
      <c r="M13626" t="s">
        <v>1245</v>
      </c>
    </row>
    <row r="13627" spans="1:13" x14ac:dyDescent="0.2">
      <c r="A13627" t="s">
        <v>1242</v>
      </c>
      <c r="B13627" t="s">
        <v>381</v>
      </c>
      <c r="C13627" t="s">
        <v>382</v>
      </c>
      <c r="D13627">
        <v>4012</v>
      </c>
      <c r="E13627">
        <v>2020</v>
      </c>
      <c r="F13627">
        <v>1</v>
      </c>
      <c r="G13627">
        <v>16068</v>
      </c>
      <c r="H13627" s="1">
        <v>0</v>
      </c>
      <c r="I13627">
        <v>29</v>
      </c>
      <c r="J13627">
        <f>IF($H13627=0,1,IF($I13627&lt;=1,2,0))</f>
        <v>1</v>
      </c>
      <c r="K13627">
        <v>6</v>
      </c>
      <c r="L13627">
        <f>IF(AND($J13627=0,$K13627=0),0,1)</f>
        <v>1</v>
      </c>
      <c r="M13627" t="s">
        <v>1246</v>
      </c>
    </row>
    <row r="13628" spans="1:13" x14ac:dyDescent="0.2">
      <c r="A13628" t="s">
        <v>1242</v>
      </c>
      <c r="B13628" t="s">
        <v>381</v>
      </c>
      <c r="C13628" t="s">
        <v>382</v>
      </c>
      <c r="D13628">
        <v>4040</v>
      </c>
      <c r="E13628">
        <v>2020</v>
      </c>
      <c r="F13628">
        <v>2</v>
      </c>
      <c r="G13628">
        <v>20597</v>
      </c>
      <c r="H13628" s="1">
        <v>0.2</v>
      </c>
      <c r="I13628">
        <v>38</v>
      </c>
      <c r="J13628">
        <f>IF($H13628=0,1,IF($I13628&lt;=1,2,0))</f>
        <v>0</v>
      </c>
      <c r="K13628">
        <v>6</v>
      </c>
      <c r="L13628">
        <f>IF(AND($J13628=0,$K13628=0),0,1)</f>
        <v>1</v>
      </c>
      <c r="M13628" t="s">
        <v>1247</v>
      </c>
    </row>
    <row r="13629" spans="1:13" x14ac:dyDescent="0.2">
      <c r="A13629" t="s">
        <v>1242</v>
      </c>
      <c r="B13629" t="s">
        <v>381</v>
      </c>
      <c r="C13629" t="s">
        <v>382</v>
      </c>
      <c r="D13629">
        <v>4040</v>
      </c>
      <c r="E13629">
        <v>2020</v>
      </c>
      <c r="F13629">
        <v>4</v>
      </c>
      <c r="G13629">
        <v>20600</v>
      </c>
      <c r="H13629" s="1">
        <v>0.2</v>
      </c>
      <c r="I13629">
        <v>38</v>
      </c>
      <c r="J13629">
        <f>IF($H13629=0,1,IF($I13629&lt;=1,2,0))</f>
        <v>0</v>
      </c>
      <c r="K13629">
        <v>6</v>
      </c>
      <c r="L13629">
        <f>IF(AND($J13629=0,$K13629=0),0,1)</f>
        <v>1</v>
      </c>
      <c r="M13629" t="s">
        <v>1248</v>
      </c>
    </row>
    <row r="13630" spans="1:13" x14ac:dyDescent="0.2">
      <c r="A13630" t="s">
        <v>1242</v>
      </c>
      <c r="B13630" t="s">
        <v>381</v>
      </c>
      <c r="C13630" t="s">
        <v>382</v>
      </c>
      <c r="D13630">
        <v>4040</v>
      </c>
      <c r="E13630">
        <v>2020</v>
      </c>
      <c r="F13630">
        <v>1</v>
      </c>
      <c r="G13630">
        <v>20596</v>
      </c>
      <c r="H13630" s="1">
        <v>0.2</v>
      </c>
      <c r="I13630">
        <v>36</v>
      </c>
      <c r="J13630">
        <f>IF($H13630=0,1,IF($I13630&lt;=1,2,0))</f>
        <v>0</v>
      </c>
      <c r="K13630">
        <v>6</v>
      </c>
      <c r="L13630">
        <f>IF(AND($J13630=0,$K13630=0),0,1)</f>
        <v>1</v>
      </c>
      <c r="M13630" t="s">
        <v>1247</v>
      </c>
    </row>
    <row r="13631" spans="1:13" x14ac:dyDescent="0.2">
      <c r="A13631" t="s">
        <v>1242</v>
      </c>
      <c r="B13631" t="s">
        <v>381</v>
      </c>
      <c r="C13631" t="s">
        <v>382</v>
      </c>
      <c r="D13631">
        <v>4040</v>
      </c>
      <c r="E13631">
        <v>2020</v>
      </c>
      <c r="F13631">
        <v>11</v>
      </c>
      <c r="G13631">
        <v>20608</v>
      </c>
      <c r="H13631" s="1">
        <v>0.2</v>
      </c>
      <c r="I13631">
        <v>33</v>
      </c>
      <c r="J13631">
        <f>IF($H13631=0,1,IF($I13631&lt;=1,2,0))</f>
        <v>0</v>
      </c>
      <c r="K13631">
        <v>6</v>
      </c>
      <c r="L13631">
        <f>IF(AND($J13631=0,$K13631=0),0,1)</f>
        <v>1</v>
      </c>
      <c r="M13631" t="s">
        <v>1254</v>
      </c>
    </row>
    <row r="13632" spans="1:13" x14ac:dyDescent="0.2">
      <c r="A13632" t="s">
        <v>1242</v>
      </c>
      <c r="B13632" t="s">
        <v>381</v>
      </c>
      <c r="C13632" t="s">
        <v>382</v>
      </c>
      <c r="D13632">
        <v>4040</v>
      </c>
      <c r="E13632">
        <v>2020</v>
      </c>
      <c r="F13632">
        <v>8</v>
      </c>
      <c r="G13632">
        <v>20605</v>
      </c>
      <c r="H13632" s="1">
        <v>0.2</v>
      </c>
      <c r="I13632">
        <v>28</v>
      </c>
      <c r="J13632">
        <f>IF($H13632=0,1,IF($I13632&lt;=1,2,0))</f>
        <v>0</v>
      </c>
      <c r="K13632">
        <v>6</v>
      </c>
      <c r="L13632">
        <f>IF(AND($J13632=0,$K13632=0),0,1)</f>
        <v>1</v>
      </c>
      <c r="M13632" t="s">
        <v>1252</v>
      </c>
    </row>
    <row r="13633" spans="1:13" x14ac:dyDescent="0.2">
      <c r="A13633" t="s">
        <v>1242</v>
      </c>
      <c r="B13633" t="s">
        <v>381</v>
      </c>
      <c r="C13633" t="s">
        <v>382</v>
      </c>
      <c r="D13633">
        <v>4040</v>
      </c>
      <c r="E13633">
        <v>2020</v>
      </c>
      <c r="F13633">
        <v>3</v>
      </c>
      <c r="G13633">
        <v>20599</v>
      </c>
      <c r="H13633" s="1">
        <v>0.2</v>
      </c>
      <c r="I13633">
        <v>25</v>
      </c>
      <c r="J13633">
        <f>IF($H13633=0,1,IF($I13633&lt;=1,2,0))</f>
        <v>0</v>
      </c>
      <c r="K13633">
        <v>6</v>
      </c>
      <c r="L13633">
        <f>IF(AND($J13633=0,$K13633=0),0,1)</f>
        <v>1</v>
      </c>
      <c r="M13633" t="s">
        <v>1248</v>
      </c>
    </row>
    <row r="13634" spans="1:13" x14ac:dyDescent="0.2">
      <c r="A13634" t="s">
        <v>1242</v>
      </c>
      <c r="B13634" t="s">
        <v>381</v>
      </c>
      <c r="C13634" t="s">
        <v>382</v>
      </c>
      <c r="D13634">
        <v>4040</v>
      </c>
      <c r="E13634">
        <v>2020</v>
      </c>
      <c r="F13634">
        <v>7</v>
      </c>
      <c r="G13634">
        <v>20604</v>
      </c>
      <c r="H13634" s="1">
        <v>0.2</v>
      </c>
      <c r="I13634">
        <v>23</v>
      </c>
      <c r="J13634">
        <f>IF($H13634=0,1,IF($I13634&lt;=1,2,0))</f>
        <v>0</v>
      </c>
      <c r="K13634">
        <v>6</v>
      </c>
      <c r="L13634">
        <f>IF(AND($J13634=0,$K13634=0),0,1)</f>
        <v>1</v>
      </c>
      <c r="M13634" t="s">
        <v>1251</v>
      </c>
    </row>
    <row r="13635" spans="1:13" x14ac:dyDescent="0.2">
      <c r="A13635" t="s">
        <v>1242</v>
      </c>
      <c r="B13635" t="s">
        <v>381</v>
      </c>
      <c r="C13635" t="s">
        <v>382</v>
      </c>
      <c r="D13635">
        <v>4040</v>
      </c>
      <c r="E13635">
        <v>2020</v>
      </c>
      <c r="F13635">
        <v>6</v>
      </c>
      <c r="G13635">
        <v>20603</v>
      </c>
      <c r="H13635" s="1">
        <v>0.2</v>
      </c>
      <c r="I13635">
        <v>19</v>
      </c>
      <c r="J13635">
        <f>IF($H13635=0,1,IF($I13635&lt;=1,2,0))</f>
        <v>0</v>
      </c>
      <c r="K13635">
        <v>6</v>
      </c>
      <c r="L13635">
        <f>IF(AND($J13635=0,$K13635=0),0,1)</f>
        <v>1</v>
      </c>
      <c r="M13635" t="s">
        <v>1250</v>
      </c>
    </row>
    <row r="13636" spans="1:13" x14ac:dyDescent="0.2">
      <c r="A13636" t="s">
        <v>1242</v>
      </c>
      <c r="B13636" t="s">
        <v>381</v>
      </c>
      <c r="C13636" t="s">
        <v>382</v>
      </c>
      <c r="D13636">
        <v>4040</v>
      </c>
      <c r="E13636">
        <v>2020</v>
      </c>
      <c r="F13636">
        <v>5</v>
      </c>
      <c r="G13636">
        <v>20601</v>
      </c>
      <c r="H13636" s="1">
        <v>0.2</v>
      </c>
      <c r="I13636">
        <v>17</v>
      </c>
      <c r="J13636">
        <f>IF($H13636=0,1,IF($I13636&lt;=1,2,0))</f>
        <v>0</v>
      </c>
      <c r="K13636">
        <v>6</v>
      </c>
      <c r="L13636">
        <f>IF(AND($J13636=0,$K13636=0),0,1)</f>
        <v>1</v>
      </c>
      <c r="M13636" t="s">
        <v>1249</v>
      </c>
    </row>
    <row r="13637" spans="1:13" x14ac:dyDescent="0.2">
      <c r="A13637" t="s">
        <v>1242</v>
      </c>
      <c r="B13637" t="s">
        <v>381</v>
      </c>
      <c r="C13637" t="s">
        <v>382</v>
      </c>
      <c r="D13637">
        <v>4040</v>
      </c>
      <c r="E13637">
        <v>2020</v>
      </c>
      <c r="F13637">
        <v>10</v>
      </c>
      <c r="G13637">
        <v>20607</v>
      </c>
      <c r="H13637" s="1">
        <v>0.2</v>
      </c>
      <c r="I13637">
        <v>11</v>
      </c>
      <c r="J13637">
        <f>IF($H13637=0,1,IF($I13637&lt;=1,2,0))</f>
        <v>0</v>
      </c>
      <c r="K13637">
        <v>6</v>
      </c>
      <c r="L13637">
        <f>IF(AND($J13637=0,$K13637=0),0,1)</f>
        <v>1</v>
      </c>
      <c r="M13637" t="s">
        <v>1253</v>
      </c>
    </row>
    <row r="13638" spans="1:13" x14ac:dyDescent="0.2">
      <c r="A13638" t="s">
        <v>1242</v>
      </c>
      <c r="B13638" t="s">
        <v>381</v>
      </c>
      <c r="C13638" t="s">
        <v>382</v>
      </c>
      <c r="D13638">
        <v>4040</v>
      </c>
      <c r="E13638">
        <v>2020</v>
      </c>
      <c r="F13638">
        <v>12</v>
      </c>
      <c r="G13638">
        <v>20609</v>
      </c>
      <c r="H13638" s="1">
        <v>0.2</v>
      </c>
      <c r="I13638">
        <v>10</v>
      </c>
      <c r="J13638">
        <f>IF($H13638=0,1,IF($I13638&lt;=1,2,0))</f>
        <v>0</v>
      </c>
      <c r="K13638">
        <v>6</v>
      </c>
      <c r="L13638">
        <f>IF(AND($J13638=0,$K13638=0),0,1)</f>
        <v>1</v>
      </c>
      <c r="M13638" t="s">
        <v>1255</v>
      </c>
    </row>
    <row r="13639" spans="1:13" x14ac:dyDescent="0.2">
      <c r="A13639" t="s">
        <v>1242</v>
      </c>
      <c r="B13639" t="s">
        <v>381</v>
      </c>
      <c r="C13639" t="s">
        <v>382</v>
      </c>
      <c r="D13639">
        <v>4041</v>
      </c>
      <c r="E13639">
        <v>2020</v>
      </c>
      <c r="F13639">
        <v>1</v>
      </c>
      <c r="G13639">
        <v>20610</v>
      </c>
      <c r="H13639" s="1">
        <v>0.2</v>
      </c>
      <c r="I13639">
        <v>18</v>
      </c>
      <c r="J13639">
        <f>IF($H13639=0,1,IF($I13639&lt;=1,2,0))</f>
        <v>0</v>
      </c>
      <c r="K13639">
        <v>6</v>
      </c>
      <c r="L13639">
        <f>IF(AND($J13639=0,$K13639=0),0,1)</f>
        <v>1</v>
      </c>
      <c r="M13639" t="s">
        <v>1256</v>
      </c>
    </row>
    <row r="13640" spans="1:13" x14ac:dyDescent="0.2">
      <c r="A13640" t="s">
        <v>1242</v>
      </c>
      <c r="B13640" t="s">
        <v>381</v>
      </c>
      <c r="C13640" t="s">
        <v>382</v>
      </c>
      <c r="D13640">
        <v>4041</v>
      </c>
      <c r="E13640">
        <v>2020</v>
      </c>
      <c r="F13640">
        <v>2</v>
      </c>
      <c r="G13640">
        <v>20611</v>
      </c>
      <c r="H13640" s="1">
        <v>0.2</v>
      </c>
      <c r="I13640">
        <v>11</v>
      </c>
      <c r="J13640">
        <f>IF($H13640=0,1,IF($I13640&lt;=1,2,0))</f>
        <v>0</v>
      </c>
      <c r="K13640">
        <v>6</v>
      </c>
      <c r="L13640">
        <f>IF(AND($J13640=0,$K13640=0),0,1)</f>
        <v>1</v>
      </c>
      <c r="M13640" t="s">
        <v>1257</v>
      </c>
    </row>
    <row r="13641" spans="1:13" x14ac:dyDescent="0.2">
      <c r="A13641" t="s">
        <v>1242</v>
      </c>
      <c r="B13641" t="s">
        <v>381</v>
      </c>
      <c r="C13641" t="s">
        <v>382</v>
      </c>
      <c r="D13641">
        <v>4042</v>
      </c>
      <c r="E13641">
        <v>2020</v>
      </c>
      <c r="F13641">
        <v>3</v>
      </c>
      <c r="G13641">
        <v>20614</v>
      </c>
      <c r="H13641" s="1">
        <v>0.2</v>
      </c>
      <c r="I13641">
        <v>34</v>
      </c>
      <c r="J13641">
        <f>IF($H13641=0,1,IF($I13641&lt;=1,2,0))</f>
        <v>0</v>
      </c>
      <c r="K13641">
        <v>6</v>
      </c>
      <c r="L13641">
        <f>IF(AND($J13641=0,$K13641=0),0,1)</f>
        <v>1</v>
      </c>
      <c r="M13641" t="s">
        <v>1254</v>
      </c>
    </row>
    <row r="13642" spans="1:13" x14ac:dyDescent="0.2">
      <c r="A13642" t="s">
        <v>1242</v>
      </c>
      <c r="B13642" t="s">
        <v>381</v>
      </c>
      <c r="C13642" t="s">
        <v>382</v>
      </c>
      <c r="D13642">
        <v>4042</v>
      </c>
      <c r="E13642">
        <v>2020</v>
      </c>
      <c r="F13642">
        <v>2</v>
      </c>
      <c r="G13642">
        <v>20613</v>
      </c>
      <c r="H13642" s="1">
        <v>0.2</v>
      </c>
      <c r="I13642">
        <v>32</v>
      </c>
      <c r="J13642">
        <f>IF($H13642=0,1,IF($I13642&lt;=1,2,0))</f>
        <v>0</v>
      </c>
      <c r="K13642">
        <v>6</v>
      </c>
      <c r="L13642">
        <f>IF(AND($J13642=0,$K13642=0),0,1)</f>
        <v>1</v>
      </c>
      <c r="M13642" t="s">
        <v>1258</v>
      </c>
    </row>
    <row r="13643" spans="1:13" x14ac:dyDescent="0.2">
      <c r="A13643" t="s">
        <v>1242</v>
      </c>
      <c r="B13643" t="s">
        <v>381</v>
      </c>
      <c r="C13643" t="s">
        <v>382</v>
      </c>
      <c r="D13643">
        <v>4042</v>
      </c>
      <c r="E13643">
        <v>2020</v>
      </c>
      <c r="F13643">
        <v>1</v>
      </c>
      <c r="G13643">
        <v>20612</v>
      </c>
      <c r="H13643" s="1">
        <v>0.2</v>
      </c>
      <c r="I13643">
        <v>20</v>
      </c>
      <c r="J13643">
        <f>IF($H13643=0,1,IF($I13643&lt;=1,2,0))</f>
        <v>0</v>
      </c>
      <c r="K13643">
        <v>6</v>
      </c>
      <c r="L13643">
        <f>IF(AND($J13643=0,$K13643=0),0,1)</f>
        <v>1</v>
      </c>
      <c r="M13643" t="s">
        <v>1256</v>
      </c>
    </row>
    <row r="13644" spans="1:13" x14ac:dyDescent="0.2">
      <c r="A13644" t="s">
        <v>1242</v>
      </c>
      <c r="B13644" t="s">
        <v>381</v>
      </c>
      <c r="C13644" t="s">
        <v>382</v>
      </c>
      <c r="D13644">
        <v>4043</v>
      </c>
      <c r="E13644">
        <v>2020</v>
      </c>
      <c r="F13644">
        <v>2</v>
      </c>
      <c r="G13644">
        <v>20616</v>
      </c>
      <c r="H13644" s="1">
        <v>0.2</v>
      </c>
      <c r="I13644">
        <v>43</v>
      </c>
      <c r="J13644">
        <f>IF($H13644=0,1,IF($I13644&lt;=1,2,0))</f>
        <v>0</v>
      </c>
      <c r="K13644">
        <v>6</v>
      </c>
      <c r="L13644">
        <f>IF(AND($J13644=0,$K13644=0),0,1)</f>
        <v>1</v>
      </c>
      <c r="M13644" t="s">
        <v>1259</v>
      </c>
    </row>
    <row r="13645" spans="1:13" x14ac:dyDescent="0.2">
      <c r="A13645" t="s">
        <v>1242</v>
      </c>
      <c r="B13645" t="s">
        <v>381</v>
      </c>
      <c r="C13645" t="s">
        <v>382</v>
      </c>
      <c r="D13645">
        <v>4043</v>
      </c>
      <c r="E13645">
        <v>2020</v>
      </c>
      <c r="F13645">
        <v>1</v>
      </c>
      <c r="G13645">
        <v>20615</v>
      </c>
      <c r="H13645" s="1">
        <v>0.2</v>
      </c>
      <c r="I13645">
        <v>34</v>
      </c>
      <c r="J13645">
        <f>IF($H13645=0,1,IF($I13645&lt;=1,2,0))</f>
        <v>0</v>
      </c>
      <c r="K13645">
        <v>6</v>
      </c>
      <c r="L13645">
        <f>IF(AND($J13645=0,$K13645=0),0,1)</f>
        <v>1</v>
      </c>
      <c r="M13645" t="s">
        <v>1252</v>
      </c>
    </row>
    <row r="13646" spans="1:13" x14ac:dyDescent="0.2">
      <c r="A13646" t="s">
        <v>1242</v>
      </c>
      <c r="B13646" t="s">
        <v>381</v>
      </c>
      <c r="C13646" t="s">
        <v>382</v>
      </c>
      <c r="D13646">
        <v>4044</v>
      </c>
      <c r="E13646">
        <v>2020</v>
      </c>
      <c r="F13646">
        <v>1</v>
      </c>
      <c r="G13646">
        <v>20617</v>
      </c>
      <c r="H13646" s="1">
        <v>0.2</v>
      </c>
      <c r="I13646">
        <v>40</v>
      </c>
      <c r="J13646">
        <f>IF($H13646=0,1,IF($I13646&lt;=1,2,0))</f>
        <v>0</v>
      </c>
      <c r="K13646">
        <v>6</v>
      </c>
      <c r="L13646">
        <f>IF(AND($J13646=0,$K13646=0),0,1)</f>
        <v>1</v>
      </c>
      <c r="M13646" t="s">
        <v>1252</v>
      </c>
    </row>
    <row r="13647" spans="1:13" x14ac:dyDescent="0.2">
      <c r="A13647" t="s">
        <v>1242</v>
      </c>
      <c r="B13647" t="s">
        <v>381</v>
      </c>
      <c r="C13647" t="s">
        <v>382</v>
      </c>
      <c r="D13647">
        <v>4044</v>
      </c>
      <c r="E13647">
        <v>2020</v>
      </c>
      <c r="F13647">
        <v>3</v>
      </c>
      <c r="G13647">
        <v>20619</v>
      </c>
      <c r="H13647" s="1">
        <v>0.2</v>
      </c>
      <c r="I13647">
        <v>38</v>
      </c>
      <c r="J13647">
        <f>IF($H13647=0,1,IF($I13647&lt;=1,2,0))</f>
        <v>0</v>
      </c>
      <c r="K13647">
        <v>6</v>
      </c>
      <c r="L13647">
        <f>IF(AND($J13647=0,$K13647=0),0,1)</f>
        <v>1</v>
      </c>
      <c r="M13647" t="s">
        <v>1255</v>
      </c>
    </row>
    <row r="13648" spans="1:13" x14ac:dyDescent="0.2">
      <c r="A13648" t="s">
        <v>1242</v>
      </c>
      <c r="B13648" t="s">
        <v>381</v>
      </c>
      <c r="C13648" t="s">
        <v>382</v>
      </c>
      <c r="D13648">
        <v>4044</v>
      </c>
      <c r="E13648">
        <v>2020</v>
      </c>
      <c r="F13648">
        <v>2</v>
      </c>
      <c r="G13648">
        <v>20618</v>
      </c>
      <c r="H13648" s="1">
        <v>0.2</v>
      </c>
      <c r="I13648">
        <v>22</v>
      </c>
      <c r="J13648">
        <f>IF($H13648=0,1,IF($I13648&lt;=1,2,0))</f>
        <v>0</v>
      </c>
      <c r="K13648">
        <v>6</v>
      </c>
      <c r="L13648">
        <f>IF(AND($J13648=0,$K13648=0),0,1)</f>
        <v>1</v>
      </c>
      <c r="M13648" t="s">
        <v>1253</v>
      </c>
    </row>
    <row r="13649" spans="1:13" x14ac:dyDescent="0.2">
      <c r="A13649" t="s">
        <v>1242</v>
      </c>
      <c r="B13649" t="s">
        <v>381</v>
      </c>
      <c r="C13649" t="s">
        <v>382</v>
      </c>
      <c r="D13649">
        <v>4045</v>
      </c>
      <c r="E13649">
        <v>2020</v>
      </c>
      <c r="F13649">
        <v>2</v>
      </c>
      <c r="G13649">
        <v>20621</v>
      </c>
      <c r="H13649" s="1">
        <v>0.2</v>
      </c>
      <c r="I13649">
        <v>29</v>
      </c>
      <c r="J13649">
        <f>IF($H13649=0,1,IF($I13649&lt;=1,2,0))</f>
        <v>0</v>
      </c>
      <c r="K13649">
        <v>6</v>
      </c>
      <c r="L13649">
        <f>IF(AND($J13649=0,$K13649=0),0,1)</f>
        <v>1</v>
      </c>
      <c r="M13649" t="s">
        <v>1259</v>
      </c>
    </row>
    <row r="13650" spans="1:13" x14ac:dyDescent="0.2">
      <c r="A13650" t="s">
        <v>1242</v>
      </c>
      <c r="B13650" t="s">
        <v>381</v>
      </c>
      <c r="C13650" t="s">
        <v>382</v>
      </c>
      <c r="D13650">
        <v>4045</v>
      </c>
      <c r="E13650">
        <v>2020</v>
      </c>
      <c r="F13650">
        <v>1</v>
      </c>
      <c r="G13650">
        <v>20620</v>
      </c>
      <c r="H13650" s="1">
        <v>0.2</v>
      </c>
      <c r="I13650">
        <v>21</v>
      </c>
      <c r="J13650">
        <f>IF($H13650=0,1,IF($I13650&lt;=1,2,0))</f>
        <v>0</v>
      </c>
      <c r="K13650">
        <v>6</v>
      </c>
      <c r="L13650">
        <f>IF(AND($J13650=0,$K13650=0),0,1)</f>
        <v>1</v>
      </c>
      <c r="M13650" t="s">
        <v>1251</v>
      </c>
    </row>
    <row r="13651" spans="1:13" x14ac:dyDescent="0.2">
      <c r="A13651" t="s">
        <v>1242</v>
      </c>
      <c r="B13651" t="s">
        <v>381</v>
      </c>
      <c r="C13651" t="s">
        <v>382</v>
      </c>
      <c r="D13651">
        <v>6005</v>
      </c>
      <c r="E13651">
        <v>2020</v>
      </c>
      <c r="F13651">
        <v>1</v>
      </c>
      <c r="G13651">
        <v>15881</v>
      </c>
      <c r="H13651" s="1">
        <v>3</v>
      </c>
      <c r="I13651">
        <v>59</v>
      </c>
      <c r="J13651">
        <f>IF($H13651=0,1,IF($I13651&lt;=1,2,0))</f>
        <v>0</v>
      </c>
      <c r="K13651">
        <v>6</v>
      </c>
      <c r="L13651">
        <f>IF(AND($J13651=0,$K13651=0),0,1)</f>
        <v>1</v>
      </c>
    </row>
    <row r="13652" spans="1:13" x14ac:dyDescent="0.2">
      <c r="A13652" t="s">
        <v>1242</v>
      </c>
      <c r="B13652" t="s">
        <v>381</v>
      </c>
      <c r="C13652" t="s">
        <v>382</v>
      </c>
      <c r="D13652">
        <v>6005</v>
      </c>
      <c r="E13652">
        <v>2020</v>
      </c>
      <c r="F13652" t="s">
        <v>59</v>
      </c>
      <c r="G13652">
        <v>15882</v>
      </c>
      <c r="H13652" s="1">
        <v>0</v>
      </c>
      <c r="I13652">
        <v>0</v>
      </c>
      <c r="J13652">
        <f>IF($H13652=0,1,IF($I13652&lt;=1,2,0))</f>
        <v>1</v>
      </c>
      <c r="K13652">
        <v>6</v>
      </c>
      <c r="L13652">
        <f>IF(AND($J13652=0,$K13652=0),0,1)</f>
        <v>1</v>
      </c>
      <c r="M13652" t="s">
        <v>384</v>
      </c>
    </row>
    <row r="13653" spans="1:13" x14ac:dyDescent="0.2">
      <c r="A13653" t="s">
        <v>1242</v>
      </c>
      <c r="B13653" t="s">
        <v>381</v>
      </c>
      <c r="C13653" t="s">
        <v>382</v>
      </c>
      <c r="D13653">
        <v>6011</v>
      </c>
      <c r="E13653">
        <v>2020</v>
      </c>
      <c r="F13653">
        <v>1</v>
      </c>
      <c r="G13653">
        <v>15883</v>
      </c>
      <c r="H13653" s="1">
        <v>3</v>
      </c>
      <c r="I13653">
        <v>29</v>
      </c>
      <c r="J13653">
        <f>IF($H13653=0,1,IF($I13653&lt;=1,2,0))</f>
        <v>0</v>
      </c>
      <c r="K13653">
        <v>6</v>
      </c>
      <c r="L13653">
        <f>IF(AND($J13653=0,$K13653=0),0,1)</f>
        <v>1</v>
      </c>
      <c r="M13653" t="s">
        <v>2015</v>
      </c>
    </row>
    <row r="13654" spans="1:13" x14ac:dyDescent="0.2">
      <c r="A13654" t="s">
        <v>1242</v>
      </c>
      <c r="B13654" t="s">
        <v>381</v>
      </c>
      <c r="C13654" t="s">
        <v>382</v>
      </c>
      <c r="D13654">
        <v>6011</v>
      </c>
      <c r="E13654">
        <v>2020</v>
      </c>
      <c r="F13654" t="s">
        <v>59</v>
      </c>
      <c r="G13654">
        <v>15884</v>
      </c>
      <c r="H13654" s="1">
        <v>0</v>
      </c>
      <c r="I13654">
        <v>0</v>
      </c>
      <c r="J13654">
        <f>IF($H13654=0,1,IF($I13654&lt;=1,2,0))</f>
        <v>1</v>
      </c>
      <c r="K13654">
        <v>6</v>
      </c>
      <c r="L13654">
        <f>IF(AND($J13654=0,$K13654=0),0,1)</f>
        <v>1</v>
      </c>
      <c r="M13654" t="s">
        <v>384</v>
      </c>
    </row>
    <row r="13655" spans="1:13" x14ac:dyDescent="0.2">
      <c r="A13655" t="s">
        <v>1242</v>
      </c>
      <c r="B13655" t="s">
        <v>381</v>
      </c>
      <c r="C13655" t="s">
        <v>382</v>
      </c>
      <c r="D13655">
        <v>6017</v>
      </c>
      <c r="E13655">
        <v>2020</v>
      </c>
      <c r="F13655">
        <v>1</v>
      </c>
      <c r="G13655">
        <v>21454</v>
      </c>
      <c r="H13655" s="1">
        <v>3</v>
      </c>
      <c r="I13655">
        <v>47</v>
      </c>
      <c r="J13655">
        <f>IF($H13655=0,1,IF($I13655&lt;=1,2,0))</f>
        <v>0</v>
      </c>
      <c r="K13655">
        <v>6</v>
      </c>
      <c r="L13655">
        <f>IF(AND($J13655=0,$K13655=0),0,1)</f>
        <v>1</v>
      </c>
      <c r="M13655" t="s">
        <v>2015</v>
      </c>
    </row>
    <row r="13656" spans="1:13" x14ac:dyDescent="0.2">
      <c r="A13656" t="s">
        <v>1242</v>
      </c>
      <c r="B13656" t="s">
        <v>381</v>
      </c>
      <c r="C13656" t="s">
        <v>382</v>
      </c>
      <c r="D13656">
        <v>6200</v>
      </c>
      <c r="E13656">
        <v>2020</v>
      </c>
      <c r="F13656">
        <v>1</v>
      </c>
      <c r="G13656">
        <v>15885</v>
      </c>
      <c r="H13656" s="1">
        <v>3</v>
      </c>
      <c r="I13656">
        <v>62</v>
      </c>
      <c r="J13656">
        <f>IF($H13656=0,1,IF($I13656&lt;=1,2,0))</f>
        <v>0</v>
      </c>
      <c r="K13656">
        <v>6</v>
      </c>
      <c r="L13656">
        <f>IF(AND($J13656=0,$K13656=0),0,1)</f>
        <v>1</v>
      </c>
      <c r="M13656" t="s">
        <v>2015</v>
      </c>
    </row>
    <row r="13657" spans="1:13" x14ac:dyDescent="0.2">
      <c r="A13657" t="s">
        <v>1242</v>
      </c>
      <c r="B13657" t="s">
        <v>381</v>
      </c>
      <c r="C13657" t="s">
        <v>382</v>
      </c>
      <c r="D13657">
        <v>6200</v>
      </c>
      <c r="E13657">
        <v>2020</v>
      </c>
      <c r="F13657">
        <v>3</v>
      </c>
      <c r="G13657">
        <v>15887</v>
      </c>
      <c r="H13657" s="1">
        <v>3</v>
      </c>
      <c r="I13657">
        <v>31</v>
      </c>
      <c r="J13657">
        <f>IF($H13657=0,1,IF($I13657&lt;=1,2,0))</f>
        <v>0</v>
      </c>
      <c r="K13657">
        <v>6</v>
      </c>
      <c r="L13657">
        <f>IF(AND($J13657=0,$K13657=0),0,1)</f>
        <v>1</v>
      </c>
      <c r="M13657" t="s">
        <v>2015</v>
      </c>
    </row>
    <row r="13658" spans="1:13" x14ac:dyDescent="0.2">
      <c r="A13658" t="s">
        <v>1242</v>
      </c>
      <c r="B13658" t="s">
        <v>381</v>
      </c>
      <c r="C13658" t="s">
        <v>382</v>
      </c>
      <c r="D13658">
        <v>6200</v>
      </c>
      <c r="E13658">
        <v>2020</v>
      </c>
      <c r="F13658">
        <v>2</v>
      </c>
      <c r="G13658">
        <v>15886</v>
      </c>
      <c r="H13658" s="1">
        <v>3</v>
      </c>
      <c r="I13658">
        <v>26</v>
      </c>
      <c r="J13658">
        <f>IF($H13658=0,1,IF($I13658&lt;=1,2,0))</f>
        <v>0</v>
      </c>
      <c r="K13658">
        <v>6</v>
      </c>
      <c r="L13658">
        <f>IF(AND($J13658=0,$K13658=0),0,1)</f>
        <v>1</v>
      </c>
      <c r="M13658" t="s">
        <v>2015</v>
      </c>
    </row>
    <row r="13659" spans="1:13" x14ac:dyDescent="0.2">
      <c r="A13659" t="s">
        <v>1242</v>
      </c>
      <c r="B13659" t="s">
        <v>381</v>
      </c>
      <c r="C13659" t="s">
        <v>382</v>
      </c>
      <c r="D13659">
        <v>6200</v>
      </c>
      <c r="E13659">
        <v>2020</v>
      </c>
      <c r="F13659" t="s">
        <v>59</v>
      </c>
      <c r="G13659">
        <v>15888</v>
      </c>
      <c r="H13659" s="1">
        <v>0</v>
      </c>
      <c r="I13659">
        <v>0</v>
      </c>
      <c r="J13659">
        <f>IF($H13659=0,1,IF($I13659&lt;=1,2,0))</f>
        <v>1</v>
      </c>
      <c r="K13659">
        <v>6</v>
      </c>
      <c r="L13659">
        <f>IF(AND($J13659=0,$K13659=0),0,1)</f>
        <v>1</v>
      </c>
      <c r="M13659" t="s">
        <v>384</v>
      </c>
    </row>
    <row r="13660" spans="1:13" x14ac:dyDescent="0.2">
      <c r="A13660" t="s">
        <v>1242</v>
      </c>
      <c r="B13660" t="s">
        <v>381</v>
      </c>
      <c r="C13660" t="s">
        <v>382</v>
      </c>
      <c r="D13660">
        <v>6200</v>
      </c>
      <c r="E13660">
        <v>2020</v>
      </c>
      <c r="F13660" t="s">
        <v>60</v>
      </c>
      <c r="G13660">
        <v>15889</v>
      </c>
      <c r="H13660" s="1">
        <v>0</v>
      </c>
      <c r="I13660">
        <v>0</v>
      </c>
      <c r="J13660">
        <f>IF($H13660=0,1,IF($I13660&lt;=1,2,0))</f>
        <v>1</v>
      </c>
      <c r="K13660">
        <v>6</v>
      </c>
      <c r="L13660">
        <f>IF(AND($J13660=0,$K13660=0),0,1)</f>
        <v>1</v>
      </c>
      <c r="M13660" t="s">
        <v>384</v>
      </c>
    </row>
    <row r="13661" spans="1:13" x14ac:dyDescent="0.2">
      <c r="A13661" t="s">
        <v>1242</v>
      </c>
      <c r="B13661" t="s">
        <v>381</v>
      </c>
      <c r="C13661" t="s">
        <v>382</v>
      </c>
      <c r="D13661">
        <v>6200</v>
      </c>
      <c r="E13661">
        <v>2020</v>
      </c>
      <c r="F13661" t="s">
        <v>77</v>
      </c>
      <c r="G13661">
        <v>15890</v>
      </c>
      <c r="H13661" s="1">
        <v>0</v>
      </c>
      <c r="I13661">
        <v>0</v>
      </c>
      <c r="J13661">
        <f>IF($H13661=0,1,IF($I13661&lt;=1,2,0))</f>
        <v>1</v>
      </c>
      <c r="K13661">
        <v>6</v>
      </c>
      <c r="L13661">
        <f>IF(AND($J13661=0,$K13661=0),0,1)</f>
        <v>1</v>
      </c>
      <c r="M13661" t="s">
        <v>384</v>
      </c>
    </row>
    <row r="13662" spans="1:13" x14ac:dyDescent="0.2">
      <c r="A13662" t="s">
        <v>1242</v>
      </c>
      <c r="B13662" t="s">
        <v>381</v>
      </c>
      <c r="C13662" t="s">
        <v>382</v>
      </c>
      <c r="D13662">
        <v>6300</v>
      </c>
      <c r="E13662">
        <v>2020</v>
      </c>
      <c r="F13662">
        <v>2</v>
      </c>
      <c r="G13662">
        <v>15895</v>
      </c>
      <c r="H13662" s="1">
        <v>3</v>
      </c>
      <c r="I13662">
        <v>59</v>
      </c>
      <c r="J13662">
        <f>IF($H13662=0,1,IF($I13662&lt;=1,2,0))</f>
        <v>0</v>
      </c>
      <c r="K13662">
        <v>6</v>
      </c>
      <c r="L13662">
        <f>IF(AND($J13662=0,$K13662=0),0,1)</f>
        <v>1</v>
      </c>
      <c r="M13662" t="s">
        <v>2015</v>
      </c>
    </row>
    <row r="13663" spans="1:13" x14ac:dyDescent="0.2">
      <c r="A13663" t="s">
        <v>1242</v>
      </c>
      <c r="B13663" t="s">
        <v>381</v>
      </c>
      <c r="C13663" t="s">
        <v>382</v>
      </c>
      <c r="D13663">
        <v>6300</v>
      </c>
      <c r="E13663">
        <v>2020</v>
      </c>
      <c r="F13663">
        <v>4</v>
      </c>
      <c r="G13663">
        <v>15897</v>
      </c>
      <c r="H13663" s="1">
        <v>3</v>
      </c>
      <c r="I13663">
        <v>50</v>
      </c>
      <c r="J13663">
        <f>IF($H13663=0,1,IF($I13663&lt;=1,2,0))</f>
        <v>0</v>
      </c>
      <c r="K13663">
        <v>6</v>
      </c>
      <c r="L13663">
        <f>IF(AND($J13663=0,$K13663=0),0,1)</f>
        <v>1</v>
      </c>
      <c r="M13663" t="s">
        <v>2015</v>
      </c>
    </row>
    <row r="13664" spans="1:13" x14ac:dyDescent="0.2">
      <c r="A13664" t="s">
        <v>1242</v>
      </c>
      <c r="B13664" t="s">
        <v>381</v>
      </c>
      <c r="C13664" t="s">
        <v>382</v>
      </c>
      <c r="D13664">
        <v>6300</v>
      </c>
      <c r="E13664">
        <v>2020</v>
      </c>
      <c r="F13664">
        <v>1</v>
      </c>
      <c r="G13664">
        <v>15894</v>
      </c>
      <c r="H13664" s="1">
        <v>3</v>
      </c>
      <c r="I13664">
        <v>44</v>
      </c>
      <c r="J13664">
        <f>IF($H13664=0,1,IF($I13664&lt;=1,2,0))</f>
        <v>0</v>
      </c>
      <c r="K13664">
        <v>6</v>
      </c>
      <c r="L13664">
        <f>IF(AND($J13664=0,$K13664=0),0,1)</f>
        <v>1</v>
      </c>
      <c r="M13664" t="s">
        <v>2015</v>
      </c>
    </row>
    <row r="13665" spans="1:13" x14ac:dyDescent="0.2">
      <c r="A13665" t="s">
        <v>1242</v>
      </c>
      <c r="B13665" t="s">
        <v>381</v>
      </c>
      <c r="C13665" t="s">
        <v>382</v>
      </c>
      <c r="D13665">
        <v>6300</v>
      </c>
      <c r="E13665">
        <v>2020</v>
      </c>
      <c r="F13665">
        <v>3</v>
      </c>
      <c r="G13665">
        <v>15896</v>
      </c>
      <c r="H13665" s="1">
        <v>3</v>
      </c>
      <c r="I13665">
        <v>15</v>
      </c>
      <c r="J13665">
        <f>IF($H13665=0,1,IF($I13665&lt;=1,2,0))</f>
        <v>0</v>
      </c>
      <c r="K13665">
        <v>6</v>
      </c>
      <c r="L13665">
        <f>IF(AND($J13665=0,$K13665=0),0,1)</f>
        <v>1</v>
      </c>
      <c r="M13665" t="s">
        <v>2015</v>
      </c>
    </row>
    <row r="13666" spans="1:13" x14ac:dyDescent="0.2">
      <c r="A13666" t="s">
        <v>1242</v>
      </c>
      <c r="B13666" t="s">
        <v>381</v>
      </c>
      <c r="C13666" t="s">
        <v>382</v>
      </c>
      <c r="D13666">
        <v>6300</v>
      </c>
      <c r="E13666">
        <v>2020</v>
      </c>
      <c r="F13666" t="s">
        <v>59</v>
      </c>
      <c r="G13666">
        <v>15899</v>
      </c>
      <c r="H13666" s="1">
        <v>0</v>
      </c>
      <c r="I13666">
        <v>0</v>
      </c>
      <c r="J13666">
        <f>IF($H13666=0,1,IF($I13666&lt;=1,2,0))</f>
        <v>1</v>
      </c>
      <c r="K13666">
        <v>6</v>
      </c>
      <c r="L13666">
        <f>IF(AND($J13666=0,$K13666=0),0,1)</f>
        <v>1</v>
      </c>
      <c r="M13666" t="s">
        <v>384</v>
      </c>
    </row>
    <row r="13667" spans="1:13" x14ac:dyDescent="0.2">
      <c r="A13667" t="s">
        <v>1242</v>
      </c>
      <c r="B13667" t="s">
        <v>381</v>
      </c>
      <c r="C13667" t="s">
        <v>382</v>
      </c>
      <c r="D13667">
        <v>6300</v>
      </c>
      <c r="E13667">
        <v>2020</v>
      </c>
      <c r="F13667" t="s">
        <v>60</v>
      </c>
      <c r="G13667">
        <v>15901</v>
      </c>
      <c r="H13667" s="1">
        <v>0</v>
      </c>
      <c r="I13667">
        <v>0</v>
      </c>
      <c r="J13667">
        <f>IF($H13667=0,1,IF($I13667&lt;=1,2,0))</f>
        <v>1</v>
      </c>
      <c r="K13667">
        <v>6</v>
      </c>
      <c r="L13667">
        <f>IF(AND($J13667=0,$K13667=0),0,1)</f>
        <v>1</v>
      </c>
      <c r="M13667" t="s">
        <v>384</v>
      </c>
    </row>
    <row r="13668" spans="1:13" x14ac:dyDescent="0.2">
      <c r="A13668" t="s">
        <v>1242</v>
      </c>
      <c r="B13668" t="s">
        <v>381</v>
      </c>
      <c r="C13668" t="s">
        <v>382</v>
      </c>
      <c r="D13668">
        <v>6300</v>
      </c>
      <c r="E13668">
        <v>2020</v>
      </c>
      <c r="F13668" t="s">
        <v>77</v>
      </c>
      <c r="G13668">
        <v>15900</v>
      </c>
      <c r="H13668" s="1">
        <v>0</v>
      </c>
      <c r="I13668">
        <v>0</v>
      </c>
      <c r="J13668">
        <f>IF($H13668=0,1,IF($I13668&lt;=1,2,0))</f>
        <v>1</v>
      </c>
      <c r="K13668">
        <v>6</v>
      </c>
      <c r="L13668">
        <f>IF(AND($J13668=0,$K13668=0),0,1)</f>
        <v>1</v>
      </c>
      <c r="M13668" t="s">
        <v>384</v>
      </c>
    </row>
    <row r="13669" spans="1:13" x14ac:dyDescent="0.2">
      <c r="A13669" t="s">
        <v>1242</v>
      </c>
      <c r="B13669" t="s">
        <v>381</v>
      </c>
      <c r="C13669" t="s">
        <v>382</v>
      </c>
      <c r="D13669">
        <v>6300</v>
      </c>
      <c r="E13669">
        <v>2020</v>
      </c>
      <c r="F13669" t="s">
        <v>78</v>
      </c>
      <c r="G13669">
        <v>15902</v>
      </c>
      <c r="H13669" s="1">
        <v>0</v>
      </c>
      <c r="I13669">
        <v>0</v>
      </c>
      <c r="J13669">
        <f>IF($H13669=0,1,IF($I13669&lt;=1,2,0))</f>
        <v>1</v>
      </c>
      <c r="K13669">
        <v>6</v>
      </c>
      <c r="L13669">
        <f>IF(AND($J13669=0,$K13669=0),0,1)</f>
        <v>1</v>
      </c>
      <c r="M13669" t="s">
        <v>384</v>
      </c>
    </row>
    <row r="13670" spans="1:13" x14ac:dyDescent="0.2">
      <c r="A13670" t="s">
        <v>1242</v>
      </c>
      <c r="B13670" t="s">
        <v>381</v>
      </c>
      <c r="C13670" t="s">
        <v>382</v>
      </c>
      <c r="D13670">
        <v>6310</v>
      </c>
      <c r="E13670">
        <v>2020</v>
      </c>
      <c r="F13670">
        <v>1</v>
      </c>
      <c r="G13670">
        <v>15903</v>
      </c>
      <c r="H13670" s="1">
        <v>3</v>
      </c>
      <c r="I13670">
        <v>35</v>
      </c>
      <c r="J13670">
        <f>IF($H13670=0,1,IF($I13670&lt;=1,2,0))</f>
        <v>0</v>
      </c>
      <c r="K13670">
        <v>6</v>
      </c>
      <c r="L13670">
        <f>IF(AND($J13670=0,$K13670=0),0,1)</f>
        <v>1</v>
      </c>
      <c r="M13670" t="s">
        <v>2015</v>
      </c>
    </row>
    <row r="13671" spans="1:13" x14ac:dyDescent="0.2">
      <c r="A13671" t="s">
        <v>1242</v>
      </c>
      <c r="B13671" t="s">
        <v>381</v>
      </c>
      <c r="C13671" t="s">
        <v>382</v>
      </c>
      <c r="D13671">
        <v>6310</v>
      </c>
      <c r="E13671">
        <v>2020</v>
      </c>
      <c r="F13671" t="s">
        <v>59</v>
      </c>
      <c r="G13671">
        <v>15906</v>
      </c>
      <c r="H13671" s="1">
        <v>0</v>
      </c>
      <c r="I13671">
        <v>0</v>
      </c>
      <c r="J13671">
        <f>IF($H13671=0,1,IF($I13671&lt;=1,2,0))</f>
        <v>1</v>
      </c>
      <c r="K13671">
        <v>6</v>
      </c>
      <c r="L13671">
        <f>IF(AND($J13671=0,$K13671=0),0,1)</f>
        <v>1</v>
      </c>
      <c r="M13671" t="s">
        <v>384</v>
      </c>
    </row>
    <row r="13672" spans="1:13" x14ac:dyDescent="0.2">
      <c r="A13672" t="s">
        <v>1242</v>
      </c>
      <c r="B13672" t="s">
        <v>381</v>
      </c>
      <c r="C13672" t="s">
        <v>382</v>
      </c>
      <c r="D13672">
        <v>6320</v>
      </c>
      <c r="E13672">
        <v>2020</v>
      </c>
      <c r="F13672">
        <v>1</v>
      </c>
      <c r="G13672">
        <v>15907</v>
      </c>
      <c r="H13672" s="1">
        <v>3</v>
      </c>
      <c r="I13672">
        <v>31</v>
      </c>
      <c r="J13672">
        <f>IF($H13672=0,1,IF($I13672&lt;=1,2,0))</f>
        <v>0</v>
      </c>
      <c r="K13672">
        <v>6</v>
      </c>
      <c r="L13672">
        <f>IF(AND($J13672=0,$K13672=0),0,1)</f>
        <v>1</v>
      </c>
      <c r="M13672" t="s">
        <v>2015</v>
      </c>
    </row>
    <row r="13673" spans="1:13" x14ac:dyDescent="0.2">
      <c r="A13673" t="s">
        <v>1242</v>
      </c>
      <c r="B13673" t="s">
        <v>381</v>
      </c>
      <c r="C13673" t="s">
        <v>382</v>
      </c>
      <c r="D13673">
        <v>6320</v>
      </c>
      <c r="E13673">
        <v>2020</v>
      </c>
      <c r="F13673" t="s">
        <v>59</v>
      </c>
      <c r="G13673">
        <v>15909</v>
      </c>
      <c r="H13673" s="1">
        <v>0</v>
      </c>
      <c r="I13673">
        <v>0</v>
      </c>
      <c r="J13673">
        <f>IF($H13673=0,1,IF($I13673&lt;=1,2,0))</f>
        <v>1</v>
      </c>
      <c r="K13673">
        <v>6</v>
      </c>
      <c r="L13673">
        <f>IF(AND($J13673=0,$K13673=0),0,1)</f>
        <v>1</v>
      </c>
      <c r="M13673" t="s">
        <v>384</v>
      </c>
    </row>
    <row r="13674" spans="1:13" x14ac:dyDescent="0.2">
      <c r="A13674" t="s">
        <v>1242</v>
      </c>
      <c r="B13674" t="s">
        <v>381</v>
      </c>
      <c r="C13674" t="s">
        <v>382</v>
      </c>
      <c r="D13674">
        <v>6400</v>
      </c>
      <c r="E13674">
        <v>2020</v>
      </c>
      <c r="F13674">
        <v>1</v>
      </c>
      <c r="G13674">
        <v>15912</v>
      </c>
      <c r="H13674" s="1">
        <v>3</v>
      </c>
      <c r="I13674">
        <v>54</v>
      </c>
      <c r="J13674">
        <f>IF($H13674=0,1,IF($I13674&lt;=1,2,0))</f>
        <v>0</v>
      </c>
      <c r="K13674">
        <v>6</v>
      </c>
      <c r="L13674">
        <f>IF(AND($J13674=0,$K13674=0),0,1)</f>
        <v>1</v>
      </c>
      <c r="M13674" t="s">
        <v>2015</v>
      </c>
    </row>
    <row r="13675" spans="1:13" x14ac:dyDescent="0.2">
      <c r="A13675" t="s">
        <v>1242</v>
      </c>
      <c r="B13675" t="s">
        <v>381</v>
      </c>
      <c r="C13675" t="s">
        <v>382</v>
      </c>
      <c r="D13675">
        <v>6400</v>
      </c>
      <c r="E13675">
        <v>2020</v>
      </c>
      <c r="F13675">
        <v>3</v>
      </c>
      <c r="G13675">
        <v>15914</v>
      </c>
      <c r="H13675" s="1">
        <v>3</v>
      </c>
      <c r="I13675">
        <v>53</v>
      </c>
      <c r="J13675">
        <f>IF($H13675=0,1,IF($I13675&lt;=1,2,0))</f>
        <v>0</v>
      </c>
      <c r="K13675">
        <v>6</v>
      </c>
      <c r="L13675">
        <f>IF(AND($J13675=0,$K13675=0),0,1)</f>
        <v>1</v>
      </c>
      <c r="M13675" t="s">
        <v>2015</v>
      </c>
    </row>
    <row r="13676" spans="1:13" x14ac:dyDescent="0.2">
      <c r="A13676" t="s">
        <v>1242</v>
      </c>
      <c r="B13676" t="s">
        <v>381</v>
      </c>
      <c r="C13676" t="s">
        <v>382</v>
      </c>
      <c r="D13676">
        <v>6400</v>
      </c>
      <c r="E13676">
        <v>2020</v>
      </c>
      <c r="F13676">
        <v>4</v>
      </c>
      <c r="G13676">
        <v>15915</v>
      </c>
      <c r="H13676" s="1">
        <v>3</v>
      </c>
      <c r="I13676">
        <v>32</v>
      </c>
      <c r="J13676">
        <f>IF($H13676=0,1,IF($I13676&lt;=1,2,0))</f>
        <v>0</v>
      </c>
      <c r="K13676">
        <v>6</v>
      </c>
      <c r="L13676">
        <f>IF(AND($J13676=0,$K13676=0),0,1)</f>
        <v>1</v>
      </c>
      <c r="M13676" t="s">
        <v>2015</v>
      </c>
    </row>
    <row r="13677" spans="1:13" x14ac:dyDescent="0.2">
      <c r="A13677" t="s">
        <v>1242</v>
      </c>
      <c r="B13677" t="s">
        <v>381</v>
      </c>
      <c r="C13677" t="s">
        <v>382</v>
      </c>
      <c r="D13677">
        <v>6400</v>
      </c>
      <c r="E13677">
        <v>2020</v>
      </c>
      <c r="F13677">
        <v>2</v>
      </c>
      <c r="G13677">
        <v>15913</v>
      </c>
      <c r="H13677" s="1">
        <v>3</v>
      </c>
      <c r="I13677">
        <v>21</v>
      </c>
      <c r="J13677">
        <f>IF($H13677=0,1,IF($I13677&lt;=1,2,0))</f>
        <v>0</v>
      </c>
      <c r="K13677">
        <v>6</v>
      </c>
      <c r="L13677">
        <f>IF(AND($J13677=0,$K13677=0),0,1)</f>
        <v>1</v>
      </c>
      <c r="M13677" t="s">
        <v>2015</v>
      </c>
    </row>
    <row r="13678" spans="1:13" x14ac:dyDescent="0.2">
      <c r="A13678" t="s">
        <v>1242</v>
      </c>
      <c r="B13678" t="s">
        <v>381</v>
      </c>
      <c r="C13678" t="s">
        <v>382</v>
      </c>
      <c r="D13678">
        <v>6400</v>
      </c>
      <c r="E13678">
        <v>2020</v>
      </c>
      <c r="F13678" t="s">
        <v>59</v>
      </c>
      <c r="G13678">
        <v>15918</v>
      </c>
      <c r="H13678" s="1">
        <v>0</v>
      </c>
      <c r="I13678">
        <v>0</v>
      </c>
      <c r="J13678">
        <f>IF($H13678=0,1,IF($I13678&lt;=1,2,0))</f>
        <v>1</v>
      </c>
      <c r="K13678">
        <v>6</v>
      </c>
      <c r="L13678">
        <f>IF(AND($J13678=0,$K13678=0),0,1)</f>
        <v>1</v>
      </c>
      <c r="M13678" t="s">
        <v>384</v>
      </c>
    </row>
    <row r="13679" spans="1:13" x14ac:dyDescent="0.2">
      <c r="A13679" t="s">
        <v>1242</v>
      </c>
      <c r="B13679" t="s">
        <v>381</v>
      </c>
      <c r="C13679" t="s">
        <v>382</v>
      </c>
      <c r="D13679">
        <v>6400</v>
      </c>
      <c r="E13679">
        <v>2020</v>
      </c>
      <c r="F13679" t="s">
        <v>60</v>
      </c>
      <c r="G13679">
        <v>15919</v>
      </c>
      <c r="H13679" s="1">
        <v>0</v>
      </c>
      <c r="I13679">
        <v>0</v>
      </c>
      <c r="J13679">
        <f>IF($H13679=0,1,IF($I13679&lt;=1,2,0))</f>
        <v>1</v>
      </c>
      <c r="K13679">
        <v>6</v>
      </c>
      <c r="L13679">
        <f>IF(AND($J13679=0,$K13679=0),0,1)</f>
        <v>1</v>
      </c>
      <c r="M13679" t="s">
        <v>384</v>
      </c>
    </row>
    <row r="13680" spans="1:13" x14ac:dyDescent="0.2">
      <c r="A13680" t="s">
        <v>1242</v>
      </c>
      <c r="B13680" t="s">
        <v>381</v>
      </c>
      <c r="C13680" t="s">
        <v>382</v>
      </c>
      <c r="D13680">
        <v>6400</v>
      </c>
      <c r="E13680">
        <v>2020</v>
      </c>
      <c r="F13680" t="s">
        <v>77</v>
      </c>
      <c r="G13680">
        <v>15920</v>
      </c>
      <c r="H13680" s="1">
        <v>0</v>
      </c>
      <c r="I13680">
        <v>0</v>
      </c>
      <c r="J13680">
        <f>IF($H13680=0,1,IF($I13680&lt;=1,2,0))</f>
        <v>1</v>
      </c>
      <c r="K13680">
        <v>6</v>
      </c>
      <c r="L13680">
        <f>IF(AND($J13680=0,$K13680=0),0,1)</f>
        <v>1</v>
      </c>
      <c r="M13680" t="s">
        <v>384</v>
      </c>
    </row>
    <row r="13681" spans="1:13" x14ac:dyDescent="0.2">
      <c r="A13681" t="s">
        <v>1242</v>
      </c>
      <c r="B13681" t="s">
        <v>381</v>
      </c>
      <c r="C13681" t="s">
        <v>382</v>
      </c>
      <c r="D13681">
        <v>6400</v>
      </c>
      <c r="E13681">
        <v>2020</v>
      </c>
      <c r="F13681" t="s">
        <v>78</v>
      </c>
      <c r="G13681">
        <v>15921</v>
      </c>
      <c r="H13681" s="1">
        <v>0</v>
      </c>
      <c r="I13681">
        <v>0</v>
      </c>
      <c r="J13681">
        <f>IF($H13681=0,1,IF($I13681&lt;=1,2,0))</f>
        <v>1</v>
      </c>
      <c r="K13681">
        <v>6</v>
      </c>
      <c r="L13681">
        <f>IF(AND($J13681=0,$K13681=0),0,1)</f>
        <v>1</v>
      </c>
      <c r="M13681" t="s">
        <v>384</v>
      </c>
    </row>
    <row r="13682" spans="1:13" x14ac:dyDescent="0.2">
      <c r="A13682" t="s">
        <v>1242</v>
      </c>
      <c r="B13682" t="s">
        <v>381</v>
      </c>
      <c r="C13682" t="s">
        <v>382</v>
      </c>
      <c r="D13682">
        <v>6500</v>
      </c>
      <c r="E13682">
        <v>2020</v>
      </c>
      <c r="F13682">
        <v>1</v>
      </c>
      <c r="G13682">
        <v>15679</v>
      </c>
      <c r="H13682" s="1">
        <v>3</v>
      </c>
      <c r="I13682">
        <v>56</v>
      </c>
      <c r="J13682">
        <f>IF($H13682=0,1,IF($I13682&lt;=1,2,0))</f>
        <v>0</v>
      </c>
      <c r="K13682">
        <v>6</v>
      </c>
      <c r="L13682">
        <f>IF(AND($J13682=0,$K13682=0),0,1)</f>
        <v>1</v>
      </c>
      <c r="M13682" t="s">
        <v>2015</v>
      </c>
    </row>
    <row r="13683" spans="1:13" x14ac:dyDescent="0.2">
      <c r="A13683" t="s">
        <v>1242</v>
      </c>
      <c r="B13683" t="s">
        <v>381</v>
      </c>
      <c r="C13683" t="s">
        <v>382</v>
      </c>
      <c r="D13683">
        <v>6500</v>
      </c>
      <c r="E13683">
        <v>2020</v>
      </c>
      <c r="F13683">
        <v>5</v>
      </c>
      <c r="G13683">
        <v>15683</v>
      </c>
      <c r="H13683" s="1">
        <v>3</v>
      </c>
      <c r="I13683">
        <v>43</v>
      </c>
      <c r="J13683">
        <f>IF($H13683=0,1,IF($I13683&lt;=1,2,0))</f>
        <v>0</v>
      </c>
      <c r="K13683">
        <v>6</v>
      </c>
      <c r="L13683">
        <f>IF(AND($J13683=0,$K13683=0),0,1)</f>
        <v>1</v>
      </c>
      <c r="M13683" t="s">
        <v>2015</v>
      </c>
    </row>
    <row r="13684" spans="1:13" x14ac:dyDescent="0.2">
      <c r="A13684" t="s">
        <v>1242</v>
      </c>
      <c r="B13684" t="s">
        <v>381</v>
      </c>
      <c r="C13684" t="s">
        <v>382</v>
      </c>
      <c r="D13684">
        <v>6500</v>
      </c>
      <c r="E13684">
        <v>2020</v>
      </c>
      <c r="F13684">
        <v>2</v>
      </c>
      <c r="G13684">
        <v>15680</v>
      </c>
      <c r="H13684" s="1">
        <v>3</v>
      </c>
      <c r="I13684">
        <v>41</v>
      </c>
      <c r="J13684">
        <f>IF($H13684=0,1,IF($I13684&lt;=1,2,0))</f>
        <v>0</v>
      </c>
      <c r="K13684">
        <v>6</v>
      </c>
      <c r="L13684">
        <f>IF(AND($J13684=0,$K13684=0),0,1)</f>
        <v>1</v>
      </c>
      <c r="M13684" t="s">
        <v>2015</v>
      </c>
    </row>
    <row r="13685" spans="1:13" x14ac:dyDescent="0.2">
      <c r="A13685" t="s">
        <v>1242</v>
      </c>
      <c r="B13685" t="s">
        <v>381</v>
      </c>
      <c r="C13685" t="s">
        <v>382</v>
      </c>
      <c r="D13685">
        <v>6500</v>
      </c>
      <c r="E13685">
        <v>2020</v>
      </c>
      <c r="F13685">
        <v>4</v>
      </c>
      <c r="G13685">
        <v>15682</v>
      </c>
      <c r="H13685" s="1">
        <v>3</v>
      </c>
      <c r="I13685">
        <v>38</v>
      </c>
      <c r="J13685">
        <f>IF($H13685=0,1,IF($I13685&lt;=1,2,0))</f>
        <v>0</v>
      </c>
      <c r="K13685">
        <v>6</v>
      </c>
      <c r="L13685">
        <f>IF(AND($J13685=0,$K13685=0),0,1)</f>
        <v>1</v>
      </c>
      <c r="M13685" t="s">
        <v>2015</v>
      </c>
    </row>
    <row r="13686" spans="1:13" x14ac:dyDescent="0.2">
      <c r="A13686" t="s">
        <v>1242</v>
      </c>
      <c r="B13686" t="s">
        <v>381</v>
      </c>
      <c r="C13686" t="s">
        <v>382</v>
      </c>
      <c r="D13686">
        <v>6500</v>
      </c>
      <c r="E13686">
        <v>2020</v>
      </c>
      <c r="F13686">
        <v>6</v>
      </c>
      <c r="G13686">
        <v>15684</v>
      </c>
      <c r="H13686" s="1">
        <v>3</v>
      </c>
      <c r="I13686">
        <v>34</v>
      </c>
      <c r="J13686">
        <f>IF($H13686=0,1,IF($I13686&lt;=1,2,0))</f>
        <v>0</v>
      </c>
      <c r="K13686">
        <v>6</v>
      </c>
      <c r="L13686">
        <f>IF(AND($J13686=0,$K13686=0),0,1)</f>
        <v>1</v>
      </c>
      <c r="M13686" t="s">
        <v>2015</v>
      </c>
    </row>
    <row r="13687" spans="1:13" x14ac:dyDescent="0.2">
      <c r="A13687" t="s">
        <v>1242</v>
      </c>
      <c r="B13687" t="s">
        <v>381</v>
      </c>
      <c r="C13687" t="s">
        <v>382</v>
      </c>
      <c r="D13687">
        <v>6500</v>
      </c>
      <c r="E13687">
        <v>2020</v>
      </c>
      <c r="F13687">
        <v>3</v>
      </c>
      <c r="G13687">
        <v>15681</v>
      </c>
      <c r="H13687" s="1">
        <v>3</v>
      </c>
      <c r="I13687">
        <v>20</v>
      </c>
      <c r="J13687">
        <f>IF($H13687=0,1,IF($I13687&lt;=1,2,0))</f>
        <v>0</v>
      </c>
      <c r="K13687">
        <v>6</v>
      </c>
      <c r="L13687">
        <f>IF(AND($J13687=0,$K13687=0),0,1)</f>
        <v>1</v>
      </c>
      <c r="M13687" t="s">
        <v>2015</v>
      </c>
    </row>
    <row r="13688" spans="1:13" x14ac:dyDescent="0.2">
      <c r="A13688" t="s">
        <v>1242</v>
      </c>
      <c r="B13688" t="s">
        <v>381</v>
      </c>
      <c r="C13688" t="s">
        <v>382</v>
      </c>
      <c r="D13688">
        <v>6500</v>
      </c>
      <c r="E13688">
        <v>2020</v>
      </c>
      <c r="F13688" t="s">
        <v>59</v>
      </c>
      <c r="G13688">
        <v>15685</v>
      </c>
      <c r="H13688" s="1">
        <v>0</v>
      </c>
      <c r="I13688">
        <v>0</v>
      </c>
      <c r="J13688">
        <f>IF($H13688=0,1,IF($I13688&lt;=1,2,0))</f>
        <v>1</v>
      </c>
      <c r="K13688">
        <v>6</v>
      </c>
      <c r="L13688">
        <f>IF(AND($J13688=0,$K13688=0),0,1)</f>
        <v>1</v>
      </c>
      <c r="M13688" t="s">
        <v>384</v>
      </c>
    </row>
    <row r="13689" spans="1:13" x14ac:dyDescent="0.2">
      <c r="A13689" t="s">
        <v>1242</v>
      </c>
      <c r="B13689" t="s">
        <v>381</v>
      </c>
      <c r="C13689" t="s">
        <v>382</v>
      </c>
      <c r="D13689">
        <v>6500</v>
      </c>
      <c r="E13689">
        <v>2020</v>
      </c>
      <c r="F13689" t="s">
        <v>60</v>
      </c>
      <c r="G13689">
        <v>15686</v>
      </c>
      <c r="H13689" s="1">
        <v>0</v>
      </c>
      <c r="I13689">
        <v>0</v>
      </c>
      <c r="J13689">
        <f>IF($H13689=0,1,IF($I13689&lt;=1,2,0))</f>
        <v>1</v>
      </c>
      <c r="K13689">
        <v>6</v>
      </c>
      <c r="L13689">
        <f>IF(AND($J13689=0,$K13689=0),0,1)</f>
        <v>1</v>
      </c>
      <c r="M13689" t="s">
        <v>384</v>
      </c>
    </row>
    <row r="13690" spans="1:13" x14ac:dyDescent="0.2">
      <c r="A13690" t="s">
        <v>1242</v>
      </c>
      <c r="B13690" t="s">
        <v>381</v>
      </c>
      <c r="C13690" t="s">
        <v>382</v>
      </c>
      <c r="D13690">
        <v>6500</v>
      </c>
      <c r="E13690">
        <v>2020</v>
      </c>
      <c r="F13690" t="s">
        <v>77</v>
      </c>
      <c r="G13690">
        <v>15687</v>
      </c>
      <c r="H13690" s="1">
        <v>0</v>
      </c>
      <c r="I13690">
        <v>0</v>
      </c>
      <c r="J13690">
        <f>IF($H13690=0,1,IF($I13690&lt;=1,2,0))</f>
        <v>1</v>
      </c>
      <c r="K13690">
        <v>6</v>
      </c>
      <c r="L13690">
        <f>IF(AND($J13690=0,$K13690=0),0,1)</f>
        <v>1</v>
      </c>
      <c r="M13690" t="s">
        <v>384</v>
      </c>
    </row>
    <row r="13691" spans="1:13" x14ac:dyDescent="0.2">
      <c r="A13691" t="s">
        <v>1242</v>
      </c>
      <c r="B13691" t="s">
        <v>381</v>
      </c>
      <c r="C13691" t="s">
        <v>382</v>
      </c>
      <c r="D13691">
        <v>6500</v>
      </c>
      <c r="E13691">
        <v>2020</v>
      </c>
      <c r="F13691" t="s">
        <v>78</v>
      </c>
      <c r="G13691">
        <v>15688</v>
      </c>
      <c r="H13691" s="1">
        <v>0</v>
      </c>
      <c r="I13691">
        <v>0</v>
      </c>
      <c r="J13691">
        <f>IF($H13691=0,1,IF($I13691&lt;=1,2,0))</f>
        <v>1</v>
      </c>
      <c r="K13691">
        <v>6</v>
      </c>
      <c r="L13691">
        <f>IF(AND($J13691=0,$K13691=0),0,1)</f>
        <v>1</v>
      </c>
      <c r="M13691" t="s">
        <v>384</v>
      </c>
    </row>
    <row r="13692" spans="1:13" x14ac:dyDescent="0.2">
      <c r="A13692" t="s">
        <v>1242</v>
      </c>
      <c r="B13692" t="s">
        <v>381</v>
      </c>
      <c r="C13692" t="s">
        <v>382</v>
      </c>
      <c r="D13692">
        <v>6500</v>
      </c>
      <c r="E13692">
        <v>2020</v>
      </c>
      <c r="F13692" t="s">
        <v>79</v>
      </c>
      <c r="G13692">
        <v>15689</v>
      </c>
      <c r="H13692" s="1">
        <v>0</v>
      </c>
      <c r="I13692">
        <v>0</v>
      </c>
      <c r="J13692">
        <f>IF($H13692=0,1,IF($I13692&lt;=1,2,0))</f>
        <v>1</v>
      </c>
      <c r="K13692">
        <v>6</v>
      </c>
      <c r="L13692">
        <f>IF(AND($J13692=0,$K13692=0),0,1)</f>
        <v>1</v>
      </c>
      <c r="M13692" t="s">
        <v>384</v>
      </c>
    </row>
    <row r="13693" spans="1:13" x14ac:dyDescent="0.2">
      <c r="A13693" t="s">
        <v>1242</v>
      </c>
      <c r="B13693" t="s">
        <v>381</v>
      </c>
      <c r="C13693" t="s">
        <v>382</v>
      </c>
      <c r="D13693">
        <v>6500</v>
      </c>
      <c r="E13693">
        <v>2020</v>
      </c>
      <c r="F13693" t="s">
        <v>80</v>
      </c>
      <c r="G13693">
        <v>15690</v>
      </c>
      <c r="H13693" s="1">
        <v>0</v>
      </c>
      <c r="I13693">
        <v>0</v>
      </c>
      <c r="J13693">
        <f>IF($H13693=0,1,IF($I13693&lt;=1,2,0))</f>
        <v>1</v>
      </c>
      <c r="K13693">
        <v>6</v>
      </c>
      <c r="L13693">
        <f>IF(AND($J13693=0,$K13693=0),0,1)</f>
        <v>1</v>
      </c>
      <c r="M13693" t="s">
        <v>384</v>
      </c>
    </row>
    <row r="13694" spans="1:13" x14ac:dyDescent="0.2">
      <c r="A13694" t="s">
        <v>1242</v>
      </c>
      <c r="B13694" t="s">
        <v>381</v>
      </c>
      <c r="C13694" t="s">
        <v>382</v>
      </c>
      <c r="D13694">
        <v>6501</v>
      </c>
      <c r="E13694">
        <v>2020</v>
      </c>
      <c r="F13694">
        <v>2</v>
      </c>
      <c r="G13694">
        <v>15676</v>
      </c>
      <c r="H13694" s="1">
        <v>3</v>
      </c>
      <c r="I13694">
        <v>31</v>
      </c>
      <c r="J13694">
        <f>IF($H13694=0,1,IF($I13694&lt;=1,2,0))</f>
        <v>0</v>
      </c>
      <c r="K13694">
        <v>6</v>
      </c>
      <c r="L13694">
        <f>IF(AND($J13694=0,$K13694=0),0,1)</f>
        <v>1</v>
      </c>
    </row>
    <row r="13695" spans="1:13" x14ac:dyDescent="0.2">
      <c r="A13695" t="s">
        <v>1242</v>
      </c>
      <c r="B13695" t="s">
        <v>381</v>
      </c>
      <c r="C13695" t="s">
        <v>382</v>
      </c>
      <c r="D13695">
        <v>6501</v>
      </c>
      <c r="E13695">
        <v>2020</v>
      </c>
      <c r="F13695">
        <v>1</v>
      </c>
      <c r="G13695">
        <v>15675</v>
      </c>
      <c r="H13695" s="1">
        <v>3</v>
      </c>
      <c r="I13695">
        <v>23</v>
      </c>
      <c r="J13695">
        <f>IF($H13695=0,1,IF($I13695&lt;=1,2,0))</f>
        <v>0</v>
      </c>
      <c r="K13695">
        <v>6</v>
      </c>
      <c r="L13695">
        <f>IF(AND($J13695=0,$K13695=0),0,1)</f>
        <v>1</v>
      </c>
    </row>
    <row r="13696" spans="1:13" x14ac:dyDescent="0.2">
      <c r="A13696" t="s">
        <v>1242</v>
      </c>
      <c r="B13696" t="s">
        <v>381</v>
      </c>
      <c r="C13696" t="s">
        <v>382</v>
      </c>
      <c r="D13696">
        <v>6501</v>
      </c>
      <c r="E13696">
        <v>2020</v>
      </c>
      <c r="F13696" t="s">
        <v>59</v>
      </c>
      <c r="G13696">
        <v>15677</v>
      </c>
      <c r="H13696" s="1">
        <v>0</v>
      </c>
      <c r="I13696">
        <v>0</v>
      </c>
      <c r="J13696">
        <f>IF($H13696=0,1,IF($I13696&lt;=1,2,0))</f>
        <v>1</v>
      </c>
      <c r="K13696">
        <v>6</v>
      </c>
      <c r="L13696">
        <f>IF(AND($J13696=0,$K13696=0),0,1)</f>
        <v>1</v>
      </c>
      <c r="M13696" t="s">
        <v>384</v>
      </c>
    </row>
    <row r="13697" spans="1:13" x14ac:dyDescent="0.2">
      <c r="A13697" t="s">
        <v>1242</v>
      </c>
      <c r="B13697" t="s">
        <v>381</v>
      </c>
      <c r="C13697" t="s">
        <v>382</v>
      </c>
      <c r="D13697">
        <v>6501</v>
      </c>
      <c r="E13697">
        <v>2020</v>
      </c>
      <c r="F13697" t="s">
        <v>60</v>
      </c>
      <c r="G13697">
        <v>15678</v>
      </c>
      <c r="H13697" s="1">
        <v>0</v>
      </c>
      <c r="I13697">
        <v>0</v>
      </c>
      <c r="J13697">
        <f>IF($H13697=0,1,IF($I13697&lt;=1,2,0))</f>
        <v>1</v>
      </c>
      <c r="K13697">
        <v>6</v>
      </c>
      <c r="L13697">
        <f>IF(AND($J13697=0,$K13697=0),0,1)</f>
        <v>1</v>
      </c>
      <c r="M13697" t="s">
        <v>384</v>
      </c>
    </row>
    <row r="13698" spans="1:13" x14ac:dyDescent="0.2">
      <c r="A13698" t="s">
        <v>1242</v>
      </c>
      <c r="B13698" t="s">
        <v>381</v>
      </c>
      <c r="C13698" t="s">
        <v>382</v>
      </c>
      <c r="D13698">
        <v>9000</v>
      </c>
      <c r="E13698">
        <v>2020</v>
      </c>
      <c r="F13698">
        <v>1</v>
      </c>
      <c r="G13698">
        <v>15320</v>
      </c>
      <c r="H13698" s="1">
        <v>3</v>
      </c>
      <c r="I13698">
        <v>9</v>
      </c>
      <c r="J13698">
        <f>IF($H13698=0,1,IF($I13698&lt;=1,2,0))</f>
        <v>0</v>
      </c>
      <c r="K13698">
        <v>5</v>
      </c>
      <c r="L13698">
        <f>IF(AND($J13698=0,$K13698=0),0,1)</f>
        <v>1</v>
      </c>
      <c r="M13698" t="s">
        <v>1260</v>
      </c>
    </row>
    <row r="13699" spans="1:13" x14ac:dyDescent="0.2">
      <c r="A13699" t="s">
        <v>1242</v>
      </c>
      <c r="B13699" t="s">
        <v>381</v>
      </c>
      <c r="C13699" t="s">
        <v>382</v>
      </c>
      <c r="D13699">
        <v>9000</v>
      </c>
      <c r="E13699">
        <v>2020</v>
      </c>
      <c r="F13699">
        <v>3</v>
      </c>
      <c r="G13699">
        <v>15323</v>
      </c>
      <c r="H13699" s="1">
        <v>3</v>
      </c>
      <c r="I13699">
        <v>8</v>
      </c>
      <c r="J13699">
        <f>IF($H13699=0,1,IF($I13699&lt;=1,2,0))</f>
        <v>0</v>
      </c>
      <c r="K13699">
        <v>5</v>
      </c>
      <c r="L13699">
        <f>IF(AND($J13699=0,$K13699=0),0,1)</f>
        <v>1</v>
      </c>
      <c r="M13699" t="s">
        <v>1260</v>
      </c>
    </row>
    <row r="13700" spans="1:13" x14ac:dyDescent="0.2">
      <c r="A13700" t="s">
        <v>1242</v>
      </c>
      <c r="B13700" t="s">
        <v>381</v>
      </c>
      <c r="C13700" t="s">
        <v>382</v>
      </c>
      <c r="D13700">
        <v>9000</v>
      </c>
      <c r="E13700">
        <v>2020</v>
      </c>
      <c r="F13700">
        <v>2</v>
      </c>
      <c r="G13700">
        <v>15322</v>
      </c>
      <c r="H13700" s="1">
        <v>3</v>
      </c>
      <c r="I13700">
        <v>7</v>
      </c>
      <c r="J13700">
        <f>IF($H13700=0,1,IF($I13700&lt;=1,2,0))</f>
        <v>0</v>
      </c>
      <c r="K13700">
        <v>5</v>
      </c>
      <c r="L13700">
        <f>IF(AND($J13700=0,$K13700=0),0,1)</f>
        <v>1</v>
      </c>
      <c r="M13700" t="s">
        <v>1260</v>
      </c>
    </row>
    <row r="13701" spans="1:13" x14ac:dyDescent="0.2">
      <c r="A13701" t="s">
        <v>1242</v>
      </c>
      <c r="B13701" t="s">
        <v>381</v>
      </c>
      <c r="C13701" t="s">
        <v>382</v>
      </c>
      <c r="D13701">
        <v>9000</v>
      </c>
      <c r="E13701">
        <v>2020</v>
      </c>
      <c r="F13701">
        <v>4</v>
      </c>
      <c r="G13701">
        <v>15321</v>
      </c>
      <c r="H13701" s="1">
        <v>3</v>
      </c>
      <c r="I13701">
        <v>7</v>
      </c>
      <c r="J13701">
        <f>IF($H13701=0,1,IF($I13701&lt;=1,2,0))</f>
        <v>0</v>
      </c>
      <c r="K13701">
        <v>5</v>
      </c>
      <c r="L13701">
        <f>IF(AND($J13701=0,$K13701=0),0,1)</f>
        <v>1</v>
      </c>
      <c r="M13701" t="s">
        <v>1260</v>
      </c>
    </row>
    <row r="13702" spans="1:13" x14ac:dyDescent="0.2">
      <c r="A13702" t="s">
        <v>1242</v>
      </c>
      <c r="B13702" t="s">
        <v>381</v>
      </c>
      <c r="C13702" t="s">
        <v>382</v>
      </c>
      <c r="D13702">
        <v>9013</v>
      </c>
      <c r="E13702">
        <v>2020</v>
      </c>
      <c r="F13702">
        <v>2</v>
      </c>
      <c r="G13702">
        <v>15641</v>
      </c>
      <c r="H13702" s="1">
        <v>3</v>
      </c>
      <c r="I13702">
        <v>83</v>
      </c>
      <c r="J13702">
        <f>IF($H13702=0,1,IF($I13702&lt;=1,2,0))</f>
        <v>0</v>
      </c>
      <c r="K13702">
        <v>5</v>
      </c>
      <c r="L13702">
        <f>IF(AND($J13702=0,$K13702=0),0,1)</f>
        <v>1</v>
      </c>
      <c r="M13702" t="s">
        <v>1261</v>
      </c>
    </row>
    <row r="13703" spans="1:13" x14ac:dyDescent="0.2">
      <c r="A13703" t="s">
        <v>1242</v>
      </c>
      <c r="B13703" t="s">
        <v>381</v>
      </c>
      <c r="C13703" t="s">
        <v>382</v>
      </c>
      <c r="D13703">
        <v>9013</v>
      </c>
      <c r="E13703">
        <v>2020</v>
      </c>
      <c r="F13703">
        <v>1</v>
      </c>
      <c r="G13703">
        <v>15640</v>
      </c>
      <c r="H13703" s="1">
        <v>1.5</v>
      </c>
      <c r="I13703">
        <v>51</v>
      </c>
      <c r="J13703">
        <f>IF($H13703=0,1,IF($I13703&lt;=1,2,0))</f>
        <v>0</v>
      </c>
      <c r="K13703">
        <v>5</v>
      </c>
      <c r="L13703">
        <f>IF(AND($J13703=0,$K13703=0),0,1)</f>
        <v>1</v>
      </c>
    </row>
    <row r="13704" spans="1:13" x14ac:dyDescent="0.2">
      <c r="A13704" t="s">
        <v>1242</v>
      </c>
      <c r="B13704" t="s">
        <v>381</v>
      </c>
      <c r="C13704" t="s">
        <v>382</v>
      </c>
      <c r="D13704">
        <v>9013</v>
      </c>
      <c r="E13704">
        <v>2020</v>
      </c>
      <c r="F13704">
        <v>3</v>
      </c>
      <c r="G13704">
        <v>15642</v>
      </c>
      <c r="H13704" s="1">
        <v>0</v>
      </c>
      <c r="I13704">
        <v>39</v>
      </c>
      <c r="J13704">
        <f>IF($H13704=0,1,IF($I13704&lt;=1,2,0))</f>
        <v>1</v>
      </c>
      <c r="K13704">
        <v>5</v>
      </c>
      <c r="L13704">
        <f>IF(AND($J13704=0,$K13704=0),0,1)</f>
        <v>1</v>
      </c>
      <c r="M13704" t="s">
        <v>1262</v>
      </c>
    </row>
    <row r="13705" spans="1:13" x14ac:dyDescent="0.2">
      <c r="A13705" t="s">
        <v>668</v>
      </c>
      <c r="B13705" t="s">
        <v>17</v>
      </c>
      <c r="C13705" t="s">
        <v>11</v>
      </c>
      <c r="D13705">
        <v>9001</v>
      </c>
      <c r="E13705">
        <v>2020</v>
      </c>
      <c r="F13705">
        <v>1</v>
      </c>
      <c r="G13705">
        <v>10600</v>
      </c>
      <c r="H13705" s="1">
        <v>2</v>
      </c>
      <c r="I13705">
        <v>3</v>
      </c>
      <c r="J13705">
        <f>IF($H13705=0,1,IF($I13705&lt;=1,2,0))</f>
        <v>0</v>
      </c>
      <c r="K13705">
        <v>5</v>
      </c>
      <c r="L13705">
        <f>IF(AND($J13705=0,$K13705=0),0,1)</f>
        <v>1</v>
      </c>
    </row>
    <row r="13706" spans="1:13" x14ac:dyDescent="0.2">
      <c r="A13706" t="s">
        <v>669</v>
      </c>
      <c r="B13706" t="s">
        <v>386</v>
      </c>
      <c r="C13706" t="s">
        <v>407</v>
      </c>
      <c r="D13706">
        <v>5830</v>
      </c>
      <c r="E13706">
        <v>2020</v>
      </c>
      <c r="F13706">
        <v>1</v>
      </c>
      <c r="G13706">
        <v>13598</v>
      </c>
      <c r="H13706" s="1">
        <v>3</v>
      </c>
      <c r="I13706">
        <v>3</v>
      </c>
      <c r="J13706">
        <f>IF($H13706=0,1,IF($I13706&lt;=1,2,0))</f>
        <v>0</v>
      </c>
      <c r="K13706">
        <v>4</v>
      </c>
      <c r="L13706">
        <f>IF(AND($J13706=0,$K13706=0),0,1)</f>
        <v>1</v>
      </c>
      <c r="M13706" t="s">
        <v>1263</v>
      </c>
    </row>
    <row r="13707" spans="1:13" x14ac:dyDescent="0.2">
      <c r="A13707" t="s">
        <v>669</v>
      </c>
      <c r="B13707" t="s">
        <v>386</v>
      </c>
      <c r="C13707" t="s">
        <v>407</v>
      </c>
      <c r="D13707">
        <v>5840</v>
      </c>
      <c r="E13707">
        <v>2020</v>
      </c>
      <c r="F13707">
        <v>1</v>
      </c>
      <c r="G13707">
        <v>13599</v>
      </c>
      <c r="H13707" s="1">
        <v>3</v>
      </c>
      <c r="I13707">
        <v>3</v>
      </c>
      <c r="J13707">
        <f>IF($H13707=0,1,IF($I13707&lt;=1,2,0))</f>
        <v>0</v>
      </c>
      <c r="K13707">
        <v>4</v>
      </c>
      <c r="L13707">
        <f>IF(AND($J13707=0,$K13707=0),0,1)</f>
        <v>1</v>
      </c>
      <c r="M13707" t="s">
        <v>670</v>
      </c>
    </row>
    <row r="13708" spans="1:13" x14ac:dyDescent="0.2">
      <c r="A13708" t="s">
        <v>669</v>
      </c>
      <c r="B13708" t="s">
        <v>386</v>
      </c>
      <c r="C13708" t="s">
        <v>407</v>
      </c>
      <c r="D13708">
        <v>5850</v>
      </c>
      <c r="E13708">
        <v>2020</v>
      </c>
      <c r="F13708">
        <v>1</v>
      </c>
      <c r="G13708">
        <v>13600</v>
      </c>
      <c r="H13708" s="1">
        <v>3</v>
      </c>
      <c r="I13708">
        <v>2</v>
      </c>
      <c r="J13708">
        <f>IF($H13708=0,1,IF($I13708&lt;=1,2,0))</f>
        <v>0</v>
      </c>
      <c r="K13708">
        <v>4</v>
      </c>
      <c r="L13708">
        <f>IF(AND($J13708=0,$K13708=0),0,1)</f>
        <v>1</v>
      </c>
      <c r="M13708" t="s">
        <v>1264</v>
      </c>
    </row>
    <row r="13709" spans="1:13" x14ac:dyDescent="0.2">
      <c r="A13709" t="s">
        <v>669</v>
      </c>
      <c r="B13709" t="s">
        <v>386</v>
      </c>
      <c r="C13709" t="s">
        <v>407</v>
      </c>
      <c r="D13709">
        <v>5932</v>
      </c>
      <c r="E13709">
        <v>2020</v>
      </c>
      <c r="F13709">
        <v>1</v>
      </c>
      <c r="G13709">
        <v>13603</v>
      </c>
      <c r="H13709" s="1" t="s">
        <v>1828</v>
      </c>
      <c r="I13709">
        <v>1</v>
      </c>
      <c r="J13709">
        <f>IF($H13709=0,1,IF($I13709&lt;=1,2,0))</f>
        <v>2</v>
      </c>
      <c r="K13709">
        <v>0</v>
      </c>
      <c r="L13709">
        <f>IF(AND($J13709=0,$K13709=0),0,1)</f>
        <v>1</v>
      </c>
      <c r="M13709" t="s">
        <v>670</v>
      </c>
    </row>
    <row r="13710" spans="1:13" x14ac:dyDescent="0.2">
      <c r="A13710" t="s">
        <v>669</v>
      </c>
      <c r="B13710" t="s">
        <v>386</v>
      </c>
      <c r="C13710" t="s">
        <v>407</v>
      </c>
      <c r="D13710">
        <v>5932</v>
      </c>
      <c r="E13710">
        <v>2020</v>
      </c>
      <c r="F13710">
        <v>2</v>
      </c>
      <c r="G13710">
        <v>13604</v>
      </c>
      <c r="H13710" s="1" t="s">
        <v>1828</v>
      </c>
      <c r="I13710">
        <v>0</v>
      </c>
      <c r="J13710">
        <f>IF($H13710=0,1,IF($I13710&lt;=1,2,0))</f>
        <v>2</v>
      </c>
      <c r="K13710">
        <v>0</v>
      </c>
      <c r="L13710">
        <f>IF(AND($J13710=0,$K13710=0),0,1)</f>
        <v>1</v>
      </c>
      <c r="M13710" t="s">
        <v>1265</v>
      </c>
    </row>
    <row r="13711" spans="1:13" x14ac:dyDescent="0.2">
      <c r="A13711" t="s">
        <v>669</v>
      </c>
      <c r="B13711" t="s">
        <v>386</v>
      </c>
      <c r="C13711" t="s">
        <v>407</v>
      </c>
      <c r="D13711">
        <v>6812</v>
      </c>
      <c r="E13711">
        <v>2020</v>
      </c>
      <c r="F13711">
        <v>1</v>
      </c>
      <c r="G13711">
        <v>13606</v>
      </c>
      <c r="H13711" s="1">
        <v>0</v>
      </c>
      <c r="I13711">
        <v>6</v>
      </c>
      <c r="J13711">
        <f>IF($H13711=0,1,IF($I13711&lt;=1,2,0))</f>
        <v>1</v>
      </c>
      <c r="K13711">
        <v>0</v>
      </c>
      <c r="L13711">
        <f>IF(AND($J13711=0,$K13711=0),0,1)</f>
        <v>1</v>
      </c>
    </row>
    <row r="13712" spans="1:13" x14ac:dyDescent="0.2">
      <c r="A13712" t="s">
        <v>669</v>
      </c>
      <c r="B13712" t="s">
        <v>386</v>
      </c>
      <c r="C13712" t="s">
        <v>407</v>
      </c>
      <c r="D13712">
        <v>6832</v>
      </c>
      <c r="E13712">
        <v>2020</v>
      </c>
      <c r="F13712">
        <v>1</v>
      </c>
      <c r="G13712">
        <v>13608</v>
      </c>
      <c r="H13712" s="1">
        <v>3</v>
      </c>
      <c r="I13712">
        <v>3</v>
      </c>
      <c r="J13712">
        <f>IF($H13712=0,1,IF($I13712&lt;=1,2,0))</f>
        <v>0</v>
      </c>
      <c r="K13712">
        <v>4</v>
      </c>
      <c r="L13712">
        <f>IF(AND($J13712=0,$K13712=0),0,1)</f>
        <v>1</v>
      </c>
      <c r="M13712" t="s">
        <v>1263</v>
      </c>
    </row>
    <row r="13713" spans="1:13" x14ac:dyDescent="0.2">
      <c r="A13713" t="s">
        <v>669</v>
      </c>
      <c r="B13713" t="s">
        <v>386</v>
      </c>
      <c r="C13713" t="s">
        <v>407</v>
      </c>
      <c r="D13713">
        <v>6842</v>
      </c>
      <c r="E13713">
        <v>2020</v>
      </c>
      <c r="F13713">
        <v>1</v>
      </c>
      <c r="G13713">
        <v>13610</v>
      </c>
      <c r="H13713" s="1">
        <v>3</v>
      </c>
      <c r="I13713">
        <v>3</v>
      </c>
      <c r="J13713">
        <f>IF($H13713=0,1,IF($I13713&lt;=1,2,0))</f>
        <v>0</v>
      </c>
      <c r="K13713">
        <v>4</v>
      </c>
      <c r="L13713">
        <f>IF(AND($J13713=0,$K13713=0),0,1)</f>
        <v>1</v>
      </c>
      <c r="M13713" t="s">
        <v>670</v>
      </c>
    </row>
    <row r="13714" spans="1:13" x14ac:dyDescent="0.2">
      <c r="A13714" t="s">
        <v>669</v>
      </c>
      <c r="B13714" t="s">
        <v>386</v>
      </c>
      <c r="C13714" t="s">
        <v>407</v>
      </c>
      <c r="D13714">
        <v>6852</v>
      </c>
      <c r="E13714">
        <v>2020</v>
      </c>
      <c r="F13714">
        <v>1</v>
      </c>
      <c r="G13714">
        <v>13612</v>
      </c>
      <c r="H13714" s="1">
        <v>3</v>
      </c>
      <c r="I13714">
        <v>3</v>
      </c>
      <c r="J13714">
        <f>IF($H13714=0,1,IF($I13714&lt;=1,2,0))</f>
        <v>0</v>
      </c>
      <c r="K13714">
        <v>4</v>
      </c>
      <c r="L13714">
        <f>IF(AND($J13714=0,$K13714=0),0,1)</f>
        <v>1</v>
      </c>
      <c r="M13714" t="s">
        <v>671</v>
      </c>
    </row>
    <row r="13715" spans="1:13" x14ac:dyDescent="0.2">
      <c r="A13715" t="s">
        <v>672</v>
      </c>
      <c r="B13715" t="s">
        <v>6</v>
      </c>
      <c r="C13715" t="s">
        <v>9</v>
      </c>
      <c r="D13715">
        <v>1100</v>
      </c>
      <c r="E13715">
        <v>2020</v>
      </c>
      <c r="F13715">
        <v>5</v>
      </c>
      <c r="G13715">
        <v>11601</v>
      </c>
      <c r="H13715" s="1">
        <v>0</v>
      </c>
      <c r="I13715">
        <v>38</v>
      </c>
      <c r="J13715">
        <f>IF($H13715=0,1,IF($I13715&lt;=1,2,0))</f>
        <v>1</v>
      </c>
      <c r="K13715">
        <v>0</v>
      </c>
      <c r="L13715">
        <f>IF(AND($J13715=0,$K13715=0),0,1)</f>
        <v>1</v>
      </c>
    </row>
    <row r="13716" spans="1:13" x14ac:dyDescent="0.2">
      <c r="A13716" t="s">
        <v>672</v>
      </c>
      <c r="B13716" t="s">
        <v>6</v>
      </c>
      <c r="C13716" t="s">
        <v>9</v>
      </c>
      <c r="D13716">
        <v>1100</v>
      </c>
      <c r="E13716">
        <v>2020</v>
      </c>
      <c r="F13716">
        <v>1</v>
      </c>
      <c r="G13716">
        <v>11587</v>
      </c>
      <c r="H13716" s="1">
        <v>0</v>
      </c>
      <c r="I13716">
        <v>37</v>
      </c>
      <c r="J13716">
        <f>IF($H13716=0,1,IF($I13716&lt;=1,2,0))</f>
        <v>1</v>
      </c>
      <c r="K13716">
        <v>0</v>
      </c>
      <c r="L13716">
        <f>IF(AND($J13716=0,$K13716=0),0,1)</f>
        <v>1</v>
      </c>
    </row>
    <row r="13717" spans="1:13" x14ac:dyDescent="0.2">
      <c r="A13717" t="s">
        <v>672</v>
      </c>
      <c r="B13717" t="s">
        <v>6</v>
      </c>
      <c r="C13717" t="s">
        <v>9</v>
      </c>
      <c r="D13717">
        <v>1100</v>
      </c>
      <c r="E13717">
        <v>2020</v>
      </c>
      <c r="F13717">
        <v>8</v>
      </c>
      <c r="G13717">
        <v>21370</v>
      </c>
      <c r="H13717" s="1">
        <v>0</v>
      </c>
      <c r="I13717">
        <v>37</v>
      </c>
      <c r="J13717">
        <f>IF($H13717=0,1,IF($I13717&lt;=1,2,0))</f>
        <v>1</v>
      </c>
      <c r="K13717">
        <v>0</v>
      </c>
      <c r="L13717">
        <f>IF(AND($J13717=0,$K13717=0),0,1)</f>
        <v>1</v>
      </c>
    </row>
    <row r="13718" spans="1:13" x14ac:dyDescent="0.2">
      <c r="A13718" t="s">
        <v>672</v>
      </c>
      <c r="B13718" t="s">
        <v>6</v>
      </c>
      <c r="C13718" t="s">
        <v>9</v>
      </c>
      <c r="D13718">
        <v>1100</v>
      </c>
      <c r="E13718">
        <v>2020</v>
      </c>
      <c r="F13718">
        <v>9</v>
      </c>
      <c r="G13718">
        <v>24874</v>
      </c>
      <c r="H13718" s="1">
        <v>0</v>
      </c>
      <c r="I13718">
        <v>36</v>
      </c>
      <c r="J13718">
        <f>IF($H13718=0,1,IF($I13718&lt;=1,2,0))</f>
        <v>1</v>
      </c>
      <c r="K13718">
        <v>0</v>
      </c>
      <c r="L13718">
        <f>IF(AND($J13718=0,$K13718=0),0,1)</f>
        <v>1</v>
      </c>
    </row>
    <row r="13719" spans="1:13" x14ac:dyDescent="0.2">
      <c r="A13719" t="s">
        <v>672</v>
      </c>
      <c r="B13719" t="s">
        <v>6</v>
      </c>
      <c r="C13719" t="s">
        <v>9</v>
      </c>
      <c r="D13719">
        <v>1100</v>
      </c>
      <c r="E13719">
        <v>2020</v>
      </c>
      <c r="F13719">
        <v>2</v>
      </c>
      <c r="G13719">
        <v>11595</v>
      </c>
      <c r="H13719" s="1">
        <v>0</v>
      </c>
      <c r="I13719">
        <v>35</v>
      </c>
      <c r="J13719">
        <f>IF($H13719=0,1,IF($I13719&lt;=1,2,0))</f>
        <v>1</v>
      </c>
      <c r="K13719">
        <v>0</v>
      </c>
      <c r="L13719">
        <f>IF(AND($J13719=0,$K13719=0),0,1)</f>
        <v>1</v>
      </c>
    </row>
    <row r="13720" spans="1:13" x14ac:dyDescent="0.2">
      <c r="A13720" t="s">
        <v>672</v>
      </c>
      <c r="B13720" t="s">
        <v>6</v>
      </c>
      <c r="C13720" t="s">
        <v>9</v>
      </c>
      <c r="D13720">
        <v>1100</v>
      </c>
      <c r="E13720">
        <v>2020</v>
      </c>
      <c r="F13720">
        <v>6</v>
      </c>
      <c r="G13720">
        <v>11602</v>
      </c>
      <c r="H13720" s="1">
        <v>0</v>
      </c>
      <c r="I13720">
        <v>35</v>
      </c>
      <c r="J13720">
        <f>IF($H13720=0,1,IF($I13720&lt;=1,2,0))</f>
        <v>1</v>
      </c>
      <c r="K13720">
        <v>0</v>
      </c>
      <c r="L13720">
        <f>IF(AND($J13720=0,$K13720=0),0,1)</f>
        <v>1</v>
      </c>
    </row>
    <row r="13721" spans="1:13" x14ac:dyDescent="0.2">
      <c r="A13721" t="s">
        <v>672</v>
      </c>
      <c r="B13721" t="s">
        <v>6</v>
      </c>
      <c r="C13721" t="s">
        <v>9</v>
      </c>
      <c r="D13721">
        <v>1100</v>
      </c>
      <c r="E13721">
        <v>2020</v>
      </c>
      <c r="F13721">
        <v>4</v>
      </c>
      <c r="G13721">
        <v>11598</v>
      </c>
      <c r="H13721" s="1">
        <v>0</v>
      </c>
      <c r="I13721">
        <v>34</v>
      </c>
      <c r="J13721">
        <f>IF($H13721=0,1,IF($I13721&lt;=1,2,0))</f>
        <v>1</v>
      </c>
      <c r="K13721">
        <v>0</v>
      </c>
      <c r="L13721">
        <f>IF(AND($J13721=0,$K13721=0),0,1)</f>
        <v>1</v>
      </c>
    </row>
    <row r="13722" spans="1:13" x14ac:dyDescent="0.2">
      <c r="A13722" t="s">
        <v>672</v>
      </c>
      <c r="B13722" t="s">
        <v>6</v>
      </c>
      <c r="C13722" t="s">
        <v>9</v>
      </c>
      <c r="D13722">
        <v>1100</v>
      </c>
      <c r="E13722">
        <v>2020</v>
      </c>
      <c r="F13722">
        <v>7</v>
      </c>
      <c r="G13722">
        <v>11605</v>
      </c>
      <c r="H13722" s="1">
        <v>0</v>
      </c>
      <c r="I13722">
        <v>33</v>
      </c>
      <c r="J13722">
        <f>IF($H13722=0,1,IF($I13722&lt;=1,2,0))</f>
        <v>1</v>
      </c>
      <c r="K13722">
        <v>0</v>
      </c>
      <c r="L13722">
        <f>IF(AND($J13722=0,$K13722=0),0,1)</f>
        <v>1</v>
      </c>
    </row>
    <row r="13723" spans="1:13" x14ac:dyDescent="0.2">
      <c r="A13723" t="s">
        <v>672</v>
      </c>
      <c r="B13723" t="s">
        <v>6</v>
      </c>
      <c r="C13723" t="s">
        <v>9</v>
      </c>
      <c r="D13723">
        <v>1100</v>
      </c>
      <c r="E13723">
        <v>2020</v>
      </c>
      <c r="F13723">
        <v>3</v>
      </c>
      <c r="G13723">
        <v>11596</v>
      </c>
      <c r="H13723" s="1">
        <v>0</v>
      </c>
      <c r="I13723">
        <v>32</v>
      </c>
      <c r="J13723">
        <f>IF($H13723=0,1,IF($I13723&lt;=1,2,0))</f>
        <v>1</v>
      </c>
      <c r="K13723">
        <v>0</v>
      </c>
      <c r="L13723">
        <f>IF(AND($J13723=0,$K13723=0),0,1)</f>
        <v>1</v>
      </c>
    </row>
    <row r="13724" spans="1:13" x14ac:dyDescent="0.2">
      <c r="A13724" t="s">
        <v>672</v>
      </c>
      <c r="B13724" t="s">
        <v>6</v>
      </c>
      <c r="C13724" t="s">
        <v>9</v>
      </c>
      <c r="D13724">
        <v>3001</v>
      </c>
      <c r="E13724">
        <v>2020</v>
      </c>
      <c r="F13724">
        <v>1</v>
      </c>
      <c r="G13724">
        <v>10496</v>
      </c>
      <c r="H13724" s="1">
        <v>0</v>
      </c>
      <c r="I13724">
        <v>21</v>
      </c>
      <c r="J13724">
        <f>IF($H13724=0,1,IF($I13724&lt;=1,2,0))</f>
        <v>1</v>
      </c>
      <c r="K13724">
        <v>0</v>
      </c>
      <c r="L13724">
        <f>IF(AND($J13724=0,$K13724=0),0,1)</f>
        <v>1</v>
      </c>
    </row>
    <row r="13725" spans="1:13" x14ac:dyDescent="0.2">
      <c r="A13725" t="s">
        <v>672</v>
      </c>
      <c r="B13725" t="s">
        <v>6</v>
      </c>
      <c r="C13725" t="s">
        <v>9</v>
      </c>
      <c r="D13725">
        <v>3001</v>
      </c>
      <c r="E13725">
        <v>2020</v>
      </c>
      <c r="F13725">
        <v>2</v>
      </c>
      <c r="G13725">
        <v>10497</v>
      </c>
      <c r="H13725" s="1">
        <v>0</v>
      </c>
      <c r="I13725">
        <v>18</v>
      </c>
      <c r="J13725">
        <f>IF($H13725=0,1,IF($I13725&lt;=1,2,0))</f>
        <v>1</v>
      </c>
      <c r="K13725">
        <v>0</v>
      </c>
      <c r="L13725">
        <f>IF(AND($J13725=0,$K13725=0),0,1)</f>
        <v>1</v>
      </c>
    </row>
    <row r="13726" spans="1:13" x14ac:dyDescent="0.2">
      <c r="A13726" t="s">
        <v>672</v>
      </c>
      <c r="B13726" t="s">
        <v>6</v>
      </c>
      <c r="C13726" t="s">
        <v>9</v>
      </c>
      <c r="D13726">
        <v>3011</v>
      </c>
      <c r="E13726">
        <v>2020</v>
      </c>
      <c r="F13726">
        <v>1</v>
      </c>
      <c r="G13726">
        <v>10505</v>
      </c>
      <c r="H13726" s="1">
        <v>0</v>
      </c>
      <c r="I13726">
        <v>30</v>
      </c>
      <c r="J13726">
        <f>IF($H13726=0,1,IF($I13726&lt;=1,2,0))</f>
        <v>1</v>
      </c>
      <c r="K13726">
        <v>0</v>
      </c>
      <c r="L13726">
        <f>IF(AND($J13726=0,$K13726=0),0,1)</f>
        <v>1</v>
      </c>
    </row>
    <row r="13727" spans="1:13" x14ac:dyDescent="0.2">
      <c r="A13727" t="s">
        <v>672</v>
      </c>
      <c r="B13727" t="s">
        <v>6</v>
      </c>
      <c r="C13727" t="s">
        <v>9</v>
      </c>
      <c r="D13727">
        <v>3011</v>
      </c>
      <c r="E13727">
        <v>2020</v>
      </c>
      <c r="F13727">
        <v>2</v>
      </c>
      <c r="G13727">
        <v>10504</v>
      </c>
      <c r="H13727" s="1">
        <v>0</v>
      </c>
      <c r="I13727">
        <v>29</v>
      </c>
      <c r="J13727">
        <f>IF($H13727=0,1,IF($I13727&lt;=1,2,0))</f>
        <v>1</v>
      </c>
      <c r="K13727">
        <v>0</v>
      </c>
      <c r="L13727">
        <f>IF(AND($J13727=0,$K13727=0),0,1)</f>
        <v>1</v>
      </c>
    </row>
    <row r="13728" spans="1:13" x14ac:dyDescent="0.2">
      <c r="A13728" t="s">
        <v>672</v>
      </c>
      <c r="B13728" t="s">
        <v>6</v>
      </c>
      <c r="C13728" t="s">
        <v>2</v>
      </c>
      <c r="D13728">
        <v>3087</v>
      </c>
      <c r="E13728">
        <v>2020</v>
      </c>
      <c r="F13728">
        <v>6</v>
      </c>
      <c r="G13728">
        <v>645</v>
      </c>
      <c r="H13728" s="1">
        <v>4</v>
      </c>
      <c r="I13728">
        <v>2</v>
      </c>
      <c r="J13728">
        <f>IF($H13728=0,1,IF($I13728&lt;=1,2,0))</f>
        <v>0</v>
      </c>
      <c r="K13728">
        <v>7</v>
      </c>
      <c r="L13728">
        <f>IF(AND($J13728=0,$K13728=0),0,1)</f>
        <v>1</v>
      </c>
    </row>
    <row r="13729" spans="1:12" x14ac:dyDescent="0.2">
      <c r="A13729" t="s">
        <v>672</v>
      </c>
      <c r="B13729" t="s">
        <v>6</v>
      </c>
      <c r="C13729" t="s">
        <v>2</v>
      </c>
      <c r="D13729">
        <v>3087</v>
      </c>
      <c r="E13729">
        <v>2020</v>
      </c>
      <c r="F13729">
        <v>7</v>
      </c>
      <c r="G13729">
        <v>646</v>
      </c>
      <c r="H13729" s="1">
        <v>4</v>
      </c>
      <c r="I13729">
        <v>2</v>
      </c>
      <c r="J13729">
        <f>IF($H13729=0,1,IF($I13729&lt;=1,2,0))</f>
        <v>0</v>
      </c>
      <c r="K13729">
        <v>7</v>
      </c>
      <c r="L13729">
        <f>IF(AND($J13729=0,$K13729=0),0,1)</f>
        <v>1</v>
      </c>
    </row>
    <row r="13730" spans="1:12" x14ac:dyDescent="0.2">
      <c r="A13730" t="s">
        <v>672</v>
      </c>
      <c r="B13730" t="s">
        <v>6</v>
      </c>
      <c r="C13730" t="s">
        <v>2</v>
      </c>
      <c r="D13730">
        <v>3087</v>
      </c>
      <c r="E13730">
        <v>2020</v>
      </c>
      <c r="F13730">
        <v>1</v>
      </c>
      <c r="G13730">
        <v>640</v>
      </c>
      <c r="H13730" s="1">
        <v>4</v>
      </c>
      <c r="I13730">
        <v>1</v>
      </c>
      <c r="J13730">
        <f>IF($H13730=0,1,IF($I13730&lt;=1,2,0))</f>
        <v>2</v>
      </c>
      <c r="K13730">
        <v>7</v>
      </c>
      <c r="L13730">
        <f>IF(AND($J13730=0,$K13730=0),0,1)</f>
        <v>1</v>
      </c>
    </row>
    <row r="13731" spans="1:12" x14ac:dyDescent="0.2">
      <c r="A13731" t="s">
        <v>672</v>
      </c>
      <c r="B13731" t="s">
        <v>6</v>
      </c>
      <c r="C13731" t="s">
        <v>2</v>
      </c>
      <c r="D13731">
        <v>3087</v>
      </c>
      <c r="E13731">
        <v>2020</v>
      </c>
      <c r="F13731">
        <v>2</v>
      </c>
      <c r="G13731">
        <v>642</v>
      </c>
      <c r="H13731" s="1">
        <v>4</v>
      </c>
      <c r="I13731">
        <v>0</v>
      </c>
      <c r="J13731">
        <f>IF($H13731=0,1,IF($I13731&lt;=1,2,0))</f>
        <v>2</v>
      </c>
      <c r="K13731">
        <v>7</v>
      </c>
      <c r="L13731">
        <f>IF(AND($J13731=0,$K13731=0),0,1)</f>
        <v>1</v>
      </c>
    </row>
    <row r="13732" spans="1:12" x14ac:dyDescent="0.2">
      <c r="A13732" t="s">
        <v>672</v>
      </c>
      <c r="B13732" t="s">
        <v>6</v>
      </c>
      <c r="C13732" t="s">
        <v>2</v>
      </c>
      <c r="D13732">
        <v>3087</v>
      </c>
      <c r="E13732">
        <v>2020</v>
      </c>
      <c r="F13732">
        <v>3</v>
      </c>
      <c r="G13732">
        <v>641</v>
      </c>
      <c r="H13732" s="1">
        <v>4</v>
      </c>
      <c r="I13732">
        <v>0</v>
      </c>
      <c r="J13732">
        <f>IF($H13732=0,1,IF($I13732&lt;=1,2,0))</f>
        <v>2</v>
      </c>
      <c r="K13732">
        <v>7</v>
      </c>
      <c r="L13732">
        <f>IF(AND($J13732=0,$K13732=0),0,1)</f>
        <v>1</v>
      </c>
    </row>
    <row r="13733" spans="1:12" x14ac:dyDescent="0.2">
      <c r="A13733" t="s">
        <v>672</v>
      </c>
      <c r="B13733" t="s">
        <v>6</v>
      </c>
      <c r="C13733" t="s">
        <v>2</v>
      </c>
      <c r="D13733">
        <v>3087</v>
      </c>
      <c r="E13733">
        <v>2020</v>
      </c>
      <c r="F13733">
        <v>4</v>
      </c>
      <c r="G13733">
        <v>643</v>
      </c>
      <c r="H13733" s="1">
        <v>4</v>
      </c>
      <c r="I13733">
        <v>0</v>
      </c>
      <c r="J13733">
        <f>IF($H13733=0,1,IF($I13733&lt;=1,2,0))</f>
        <v>2</v>
      </c>
      <c r="K13733">
        <v>7</v>
      </c>
      <c r="L13733">
        <f>IF(AND($J13733=0,$K13733=0),0,1)</f>
        <v>1</v>
      </c>
    </row>
    <row r="13734" spans="1:12" x14ac:dyDescent="0.2">
      <c r="A13734" t="s">
        <v>672</v>
      </c>
      <c r="B13734" t="s">
        <v>6</v>
      </c>
      <c r="C13734" t="s">
        <v>2</v>
      </c>
      <c r="D13734">
        <v>3087</v>
      </c>
      <c r="E13734">
        <v>2020</v>
      </c>
      <c r="F13734">
        <v>5</v>
      </c>
      <c r="G13734">
        <v>644</v>
      </c>
      <c r="H13734" s="1">
        <v>4</v>
      </c>
      <c r="I13734">
        <v>0</v>
      </c>
      <c r="J13734">
        <f>IF($H13734=0,1,IF($I13734&lt;=1,2,0))</f>
        <v>2</v>
      </c>
      <c r="K13734">
        <v>7</v>
      </c>
      <c r="L13734">
        <f>IF(AND($J13734=0,$K13734=0),0,1)</f>
        <v>1</v>
      </c>
    </row>
    <row r="13735" spans="1:12" x14ac:dyDescent="0.2">
      <c r="A13735" t="s">
        <v>672</v>
      </c>
      <c r="B13735" t="s">
        <v>6</v>
      </c>
      <c r="C13735" t="s">
        <v>7</v>
      </c>
      <c r="D13735">
        <v>3121</v>
      </c>
      <c r="E13735">
        <v>2020</v>
      </c>
      <c r="F13735">
        <v>1</v>
      </c>
      <c r="G13735">
        <v>14305</v>
      </c>
      <c r="H13735" s="1">
        <v>0</v>
      </c>
      <c r="I13735">
        <v>35</v>
      </c>
      <c r="J13735">
        <f>IF($H13735=0,1,IF($I13735&lt;=1,2,0))</f>
        <v>1</v>
      </c>
      <c r="K13735">
        <v>0</v>
      </c>
      <c r="L13735">
        <f>IF(AND($J13735=0,$K13735=0),0,1)</f>
        <v>1</v>
      </c>
    </row>
    <row r="13736" spans="1:12" x14ac:dyDescent="0.2">
      <c r="A13736" t="s">
        <v>672</v>
      </c>
      <c r="B13736" t="s">
        <v>6</v>
      </c>
      <c r="C13736" t="s">
        <v>7</v>
      </c>
      <c r="D13736">
        <v>3121</v>
      </c>
      <c r="E13736">
        <v>2020</v>
      </c>
      <c r="F13736">
        <v>2</v>
      </c>
      <c r="G13736">
        <v>14306</v>
      </c>
      <c r="H13736" s="1">
        <v>0</v>
      </c>
      <c r="I13736">
        <v>22</v>
      </c>
      <c r="J13736">
        <f>IF($H13736=0,1,IF($I13736&lt;=1,2,0))</f>
        <v>1</v>
      </c>
      <c r="K13736">
        <v>0</v>
      </c>
      <c r="L13736">
        <f>IF(AND($J13736=0,$K13736=0),0,1)</f>
        <v>1</v>
      </c>
    </row>
    <row r="13737" spans="1:12" x14ac:dyDescent="0.2">
      <c r="A13737" t="s">
        <v>672</v>
      </c>
      <c r="B13737" t="s">
        <v>6</v>
      </c>
      <c r="C13737" t="s">
        <v>2</v>
      </c>
      <c r="D13737">
        <v>3219</v>
      </c>
      <c r="E13737">
        <v>2020</v>
      </c>
      <c r="F13737">
        <v>1</v>
      </c>
      <c r="G13737">
        <v>50</v>
      </c>
      <c r="H13737" s="1">
        <v>3</v>
      </c>
      <c r="I13737">
        <v>30</v>
      </c>
      <c r="J13737">
        <f>IF($H13737=0,1,IF($I13737&lt;=1,2,0))</f>
        <v>0</v>
      </c>
      <c r="K13737">
        <v>7</v>
      </c>
      <c r="L13737">
        <f>IF(AND($J13737=0,$K13737=0),0,1)</f>
        <v>1</v>
      </c>
    </row>
    <row r="13738" spans="1:12" x14ac:dyDescent="0.2">
      <c r="A13738" t="s">
        <v>672</v>
      </c>
      <c r="B13738" t="s">
        <v>6</v>
      </c>
      <c r="C13738" t="s">
        <v>9</v>
      </c>
      <c r="D13738">
        <v>3321</v>
      </c>
      <c r="E13738">
        <v>2020</v>
      </c>
      <c r="F13738">
        <v>4</v>
      </c>
      <c r="G13738">
        <v>11621</v>
      </c>
      <c r="H13738" s="1">
        <v>0</v>
      </c>
      <c r="I13738">
        <v>36</v>
      </c>
      <c r="J13738">
        <f>IF($H13738=0,1,IF($I13738&lt;=1,2,0))</f>
        <v>1</v>
      </c>
      <c r="K13738">
        <v>0</v>
      </c>
      <c r="L13738">
        <f>IF(AND($J13738=0,$K13738=0),0,1)</f>
        <v>1</v>
      </c>
    </row>
    <row r="13739" spans="1:12" x14ac:dyDescent="0.2">
      <c r="A13739" t="s">
        <v>672</v>
      </c>
      <c r="B13739" t="s">
        <v>6</v>
      </c>
      <c r="C13739" t="s">
        <v>9</v>
      </c>
      <c r="D13739">
        <v>3321</v>
      </c>
      <c r="E13739">
        <v>2020</v>
      </c>
      <c r="F13739">
        <v>2</v>
      </c>
      <c r="G13739">
        <v>11619</v>
      </c>
      <c r="H13739" s="1">
        <v>0</v>
      </c>
      <c r="I13739">
        <v>34</v>
      </c>
      <c r="J13739">
        <f>IF($H13739=0,1,IF($I13739&lt;=1,2,0))</f>
        <v>1</v>
      </c>
      <c r="K13739">
        <v>0</v>
      </c>
      <c r="L13739">
        <f>IF(AND($J13739=0,$K13739=0),0,1)</f>
        <v>1</v>
      </c>
    </row>
    <row r="13740" spans="1:12" x14ac:dyDescent="0.2">
      <c r="A13740" t="s">
        <v>672</v>
      </c>
      <c r="B13740" t="s">
        <v>6</v>
      </c>
      <c r="C13740" t="s">
        <v>9</v>
      </c>
      <c r="D13740">
        <v>3321</v>
      </c>
      <c r="E13740">
        <v>2020</v>
      </c>
      <c r="F13740">
        <v>3</v>
      </c>
      <c r="G13740">
        <v>11620</v>
      </c>
      <c r="H13740" s="1">
        <v>0</v>
      </c>
      <c r="I13740">
        <v>34</v>
      </c>
      <c r="J13740">
        <f>IF($H13740=0,1,IF($I13740&lt;=1,2,0))</f>
        <v>1</v>
      </c>
      <c r="K13740">
        <v>0</v>
      </c>
      <c r="L13740">
        <f>IF(AND($J13740=0,$K13740=0),0,1)</f>
        <v>1</v>
      </c>
    </row>
    <row r="13741" spans="1:12" x14ac:dyDescent="0.2">
      <c r="A13741" t="s">
        <v>672</v>
      </c>
      <c r="B13741" t="s">
        <v>6</v>
      </c>
      <c r="C13741" t="s">
        <v>9</v>
      </c>
      <c r="D13741">
        <v>3321</v>
      </c>
      <c r="E13741">
        <v>2020</v>
      </c>
      <c r="F13741">
        <v>5</v>
      </c>
      <c r="G13741">
        <v>11622</v>
      </c>
      <c r="H13741" s="1">
        <v>0</v>
      </c>
      <c r="I13741">
        <v>34</v>
      </c>
      <c r="J13741">
        <f>IF($H13741=0,1,IF($I13741&lt;=1,2,0))</f>
        <v>1</v>
      </c>
      <c r="K13741">
        <v>0</v>
      </c>
      <c r="L13741">
        <f>IF(AND($J13741=0,$K13741=0),0,1)</f>
        <v>1</v>
      </c>
    </row>
    <row r="13742" spans="1:12" x14ac:dyDescent="0.2">
      <c r="A13742" t="s">
        <v>672</v>
      </c>
      <c r="B13742" t="s">
        <v>6</v>
      </c>
      <c r="C13742" t="s">
        <v>9</v>
      </c>
      <c r="D13742">
        <v>3321</v>
      </c>
      <c r="E13742">
        <v>2020</v>
      </c>
      <c r="F13742">
        <v>1</v>
      </c>
      <c r="G13742">
        <v>11618</v>
      </c>
      <c r="H13742" s="1">
        <v>0</v>
      </c>
      <c r="I13742">
        <v>32</v>
      </c>
      <c r="J13742">
        <f>IF($H13742=0,1,IF($I13742&lt;=1,2,0))</f>
        <v>1</v>
      </c>
      <c r="K13742">
        <v>0</v>
      </c>
      <c r="L13742">
        <f>IF(AND($J13742=0,$K13742=0),0,1)</f>
        <v>1</v>
      </c>
    </row>
    <row r="13743" spans="1:12" x14ac:dyDescent="0.2">
      <c r="A13743" t="s">
        <v>672</v>
      </c>
      <c r="B13743" t="s">
        <v>6</v>
      </c>
      <c r="C13743" t="s">
        <v>9</v>
      </c>
      <c r="D13743">
        <v>3321</v>
      </c>
      <c r="E13743">
        <v>2020</v>
      </c>
      <c r="F13743">
        <v>6</v>
      </c>
      <c r="G13743">
        <v>11624</v>
      </c>
      <c r="H13743" s="1">
        <v>0</v>
      </c>
      <c r="I13743">
        <v>16</v>
      </c>
      <c r="J13743">
        <f>IF($H13743=0,1,IF($I13743&lt;=1,2,0))</f>
        <v>1</v>
      </c>
      <c r="K13743">
        <v>0</v>
      </c>
      <c r="L13743">
        <f>IF(AND($J13743=0,$K13743=0),0,1)</f>
        <v>1</v>
      </c>
    </row>
    <row r="13744" spans="1:12" x14ac:dyDescent="0.2">
      <c r="A13744" t="s">
        <v>672</v>
      </c>
      <c r="B13744" t="s">
        <v>6</v>
      </c>
      <c r="C13744" t="s">
        <v>2</v>
      </c>
      <c r="D13744">
        <v>3916</v>
      </c>
      <c r="E13744">
        <v>2020</v>
      </c>
      <c r="F13744">
        <v>1</v>
      </c>
      <c r="G13744">
        <v>53</v>
      </c>
      <c r="H13744" s="1">
        <v>4</v>
      </c>
      <c r="I13744">
        <v>8</v>
      </c>
      <c r="J13744">
        <f>IF($H13744=0,1,IF($I13744&lt;=1,2,0))</f>
        <v>0</v>
      </c>
      <c r="K13744">
        <v>7</v>
      </c>
      <c r="L13744">
        <f>IF(AND($J13744=0,$K13744=0),0,1)</f>
        <v>1</v>
      </c>
    </row>
    <row r="13745" spans="1:13" x14ac:dyDescent="0.2">
      <c r="A13745" t="s">
        <v>672</v>
      </c>
      <c r="B13745" t="s">
        <v>6</v>
      </c>
      <c r="C13745" t="s">
        <v>2</v>
      </c>
      <c r="D13745">
        <v>3920</v>
      </c>
      <c r="E13745">
        <v>2020</v>
      </c>
      <c r="F13745">
        <v>1</v>
      </c>
      <c r="G13745">
        <v>54</v>
      </c>
      <c r="H13745" s="1">
        <v>4</v>
      </c>
      <c r="I13745">
        <v>10</v>
      </c>
      <c r="J13745">
        <f>IF($H13745=0,1,IF($I13745&lt;=1,2,0))</f>
        <v>0</v>
      </c>
      <c r="K13745">
        <v>7</v>
      </c>
      <c r="L13745">
        <f>IF(AND($J13745=0,$K13745=0),0,1)</f>
        <v>1</v>
      </c>
    </row>
    <row r="13746" spans="1:13" x14ac:dyDescent="0.2">
      <c r="A13746" t="s">
        <v>672</v>
      </c>
      <c r="B13746" t="s">
        <v>6</v>
      </c>
      <c r="C13746" t="s">
        <v>2</v>
      </c>
      <c r="D13746">
        <v>3946</v>
      </c>
      <c r="E13746">
        <v>2020</v>
      </c>
      <c r="F13746">
        <v>1</v>
      </c>
      <c r="G13746">
        <v>55</v>
      </c>
      <c r="H13746" s="1">
        <v>4</v>
      </c>
      <c r="I13746">
        <v>15</v>
      </c>
      <c r="J13746">
        <f>IF($H13746=0,1,IF($I13746&lt;=1,2,0))</f>
        <v>0</v>
      </c>
      <c r="K13746">
        <v>7</v>
      </c>
      <c r="L13746">
        <f>IF(AND($J13746=0,$K13746=0),0,1)</f>
        <v>1</v>
      </c>
    </row>
    <row r="13747" spans="1:13" x14ac:dyDescent="0.2">
      <c r="A13747" t="s">
        <v>672</v>
      </c>
      <c r="B13747" t="s">
        <v>6</v>
      </c>
      <c r="C13747" t="s">
        <v>7</v>
      </c>
      <c r="D13747">
        <v>3998</v>
      </c>
      <c r="E13747">
        <v>2020</v>
      </c>
      <c r="F13747">
        <v>1</v>
      </c>
      <c r="G13747">
        <v>789</v>
      </c>
      <c r="H13747" s="1" t="s">
        <v>1828</v>
      </c>
      <c r="I13747">
        <v>2</v>
      </c>
      <c r="J13747">
        <f>IF($H13747=0,1,IF($I13747&lt;=1,2,0))</f>
        <v>0</v>
      </c>
      <c r="K13747">
        <v>9</v>
      </c>
      <c r="L13747">
        <f>IF(AND($J13747=0,$K13747=0),0,1)</f>
        <v>1</v>
      </c>
      <c r="M13747" t="s">
        <v>1267</v>
      </c>
    </row>
    <row r="13748" spans="1:13" x14ac:dyDescent="0.2">
      <c r="A13748" t="s">
        <v>672</v>
      </c>
      <c r="B13748" t="s">
        <v>6</v>
      </c>
      <c r="C13748" t="s">
        <v>7</v>
      </c>
      <c r="D13748">
        <v>3998</v>
      </c>
      <c r="E13748">
        <v>2020</v>
      </c>
      <c r="F13748">
        <v>8</v>
      </c>
      <c r="G13748">
        <v>793</v>
      </c>
      <c r="H13748" s="1" t="s">
        <v>1828</v>
      </c>
      <c r="I13748">
        <v>2</v>
      </c>
      <c r="J13748">
        <f>IF($H13748=0,1,IF($I13748&lt;=1,2,0))</f>
        <v>0</v>
      </c>
      <c r="K13748">
        <v>9</v>
      </c>
      <c r="L13748">
        <f>IF(AND($J13748=0,$K13748=0),0,1)</f>
        <v>1</v>
      </c>
      <c r="M13748" t="s">
        <v>1267</v>
      </c>
    </row>
    <row r="13749" spans="1:13" x14ac:dyDescent="0.2">
      <c r="A13749" t="s">
        <v>672</v>
      </c>
      <c r="B13749" t="s">
        <v>6</v>
      </c>
      <c r="C13749" t="s">
        <v>7</v>
      </c>
      <c r="D13749">
        <v>3998</v>
      </c>
      <c r="E13749">
        <v>2020</v>
      </c>
      <c r="F13749">
        <v>100</v>
      </c>
      <c r="G13749">
        <v>24737</v>
      </c>
      <c r="H13749" s="1" t="s">
        <v>1828</v>
      </c>
      <c r="I13749">
        <v>2</v>
      </c>
      <c r="J13749">
        <f>IF($H13749=0,1,IF($I13749&lt;=1,2,0))</f>
        <v>0</v>
      </c>
      <c r="K13749">
        <v>9</v>
      </c>
      <c r="L13749">
        <f>IF(AND($J13749=0,$K13749=0),0,1)</f>
        <v>1</v>
      </c>
    </row>
    <row r="13750" spans="1:13" x14ac:dyDescent="0.2">
      <c r="A13750" t="s">
        <v>672</v>
      </c>
      <c r="B13750" t="s">
        <v>6</v>
      </c>
      <c r="C13750" t="s">
        <v>7</v>
      </c>
      <c r="D13750">
        <v>3998</v>
      </c>
      <c r="E13750">
        <v>2020</v>
      </c>
      <c r="F13750">
        <v>3</v>
      </c>
      <c r="G13750">
        <v>791</v>
      </c>
      <c r="H13750" s="1" t="s">
        <v>1828</v>
      </c>
      <c r="I13750">
        <v>1</v>
      </c>
      <c r="J13750">
        <f>IF($H13750=0,1,IF($I13750&lt;=1,2,0))</f>
        <v>2</v>
      </c>
      <c r="K13750">
        <v>9</v>
      </c>
      <c r="L13750">
        <f>IF(AND($J13750=0,$K13750=0),0,1)</f>
        <v>1</v>
      </c>
      <c r="M13750" t="s">
        <v>1267</v>
      </c>
    </row>
    <row r="13751" spans="1:13" x14ac:dyDescent="0.2">
      <c r="A13751" t="s">
        <v>672</v>
      </c>
      <c r="B13751" t="s">
        <v>6</v>
      </c>
      <c r="C13751" t="s">
        <v>7</v>
      </c>
      <c r="D13751">
        <v>3998</v>
      </c>
      <c r="E13751">
        <v>2020</v>
      </c>
      <c r="F13751">
        <v>10</v>
      </c>
      <c r="G13751">
        <v>798</v>
      </c>
      <c r="H13751" s="1" t="s">
        <v>1828</v>
      </c>
      <c r="I13751">
        <v>1</v>
      </c>
      <c r="J13751">
        <f>IF($H13751=0,1,IF($I13751&lt;=1,2,0))</f>
        <v>2</v>
      </c>
      <c r="K13751">
        <v>9</v>
      </c>
      <c r="L13751">
        <f>IF(AND($J13751=0,$K13751=0),0,1)</f>
        <v>1</v>
      </c>
      <c r="M13751" t="s">
        <v>1267</v>
      </c>
    </row>
    <row r="13752" spans="1:13" x14ac:dyDescent="0.2">
      <c r="A13752" t="s">
        <v>672</v>
      </c>
      <c r="B13752" t="s">
        <v>6</v>
      </c>
      <c r="C13752" t="s">
        <v>7</v>
      </c>
      <c r="D13752">
        <v>3998</v>
      </c>
      <c r="E13752">
        <v>2020</v>
      </c>
      <c r="F13752">
        <v>200</v>
      </c>
      <c r="G13752">
        <v>24815</v>
      </c>
      <c r="H13752" s="1" t="s">
        <v>1828</v>
      </c>
      <c r="I13752">
        <v>1</v>
      </c>
      <c r="J13752">
        <f>IF($H13752=0,1,IF($I13752&lt;=1,2,0))</f>
        <v>2</v>
      </c>
      <c r="K13752">
        <v>9</v>
      </c>
      <c r="L13752">
        <f>IF(AND($J13752=0,$K13752=0),0,1)</f>
        <v>1</v>
      </c>
    </row>
    <row r="13753" spans="1:13" x14ac:dyDescent="0.2">
      <c r="A13753" t="s">
        <v>672</v>
      </c>
      <c r="B13753" t="s">
        <v>6</v>
      </c>
      <c r="C13753" t="s">
        <v>7</v>
      </c>
      <c r="D13753">
        <v>3998</v>
      </c>
      <c r="E13753">
        <v>2020</v>
      </c>
      <c r="F13753">
        <v>2</v>
      </c>
      <c r="G13753">
        <v>790</v>
      </c>
      <c r="H13753" s="1" t="s">
        <v>1828</v>
      </c>
      <c r="I13753">
        <v>0</v>
      </c>
      <c r="J13753">
        <f>IF($H13753=0,1,IF($I13753&lt;=1,2,0))</f>
        <v>2</v>
      </c>
      <c r="K13753">
        <v>9</v>
      </c>
      <c r="L13753">
        <f>IF(AND($J13753=0,$K13753=0),0,1)</f>
        <v>1</v>
      </c>
      <c r="M13753" t="s">
        <v>1267</v>
      </c>
    </row>
    <row r="13754" spans="1:13" x14ac:dyDescent="0.2">
      <c r="A13754" t="s">
        <v>672</v>
      </c>
      <c r="B13754" t="s">
        <v>6</v>
      </c>
      <c r="C13754" t="s">
        <v>7</v>
      </c>
      <c r="D13754">
        <v>3998</v>
      </c>
      <c r="E13754">
        <v>2020</v>
      </c>
      <c r="F13754">
        <v>4</v>
      </c>
      <c r="G13754">
        <v>792</v>
      </c>
      <c r="H13754" s="1" t="s">
        <v>1828</v>
      </c>
      <c r="I13754">
        <v>0</v>
      </c>
      <c r="J13754">
        <f>IF($H13754=0,1,IF($I13754&lt;=1,2,0))</f>
        <v>2</v>
      </c>
      <c r="K13754">
        <v>9</v>
      </c>
      <c r="L13754">
        <f>IF(AND($J13754=0,$K13754=0),0,1)</f>
        <v>1</v>
      </c>
      <c r="M13754" t="s">
        <v>1267</v>
      </c>
    </row>
    <row r="13755" spans="1:13" x14ac:dyDescent="0.2">
      <c r="A13755" t="s">
        <v>672</v>
      </c>
      <c r="B13755" t="s">
        <v>6</v>
      </c>
      <c r="C13755" t="s">
        <v>7</v>
      </c>
      <c r="D13755">
        <v>3998</v>
      </c>
      <c r="E13755">
        <v>2020</v>
      </c>
      <c r="F13755">
        <v>5</v>
      </c>
      <c r="G13755">
        <v>794</v>
      </c>
      <c r="H13755" s="1" t="s">
        <v>1828</v>
      </c>
      <c r="I13755">
        <v>0</v>
      </c>
      <c r="J13755">
        <f>IF($H13755=0,1,IF($I13755&lt;=1,2,0))</f>
        <v>2</v>
      </c>
      <c r="K13755">
        <v>9</v>
      </c>
      <c r="L13755">
        <f>IF(AND($J13755=0,$K13755=0),0,1)</f>
        <v>1</v>
      </c>
      <c r="M13755" t="s">
        <v>1267</v>
      </c>
    </row>
    <row r="13756" spans="1:13" x14ac:dyDescent="0.2">
      <c r="A13756" t="s">
        <v>672</v>
      </c>
      <c r="B13756" t="s">
        <v>6</v>
      </c>
      <c r="C13756" t="s">
        <v>7</v>
      </c>
      <c r="D13756">
        <v>3998</v>
      </c>
      <c r="E13756">
        <v>2020</v>
      </c>
      <c r="F13756">
        <v>6</v>
      </c>
      <c r="G13756">
        <v>795</v>
      </c>
      <c r="H13756" s="1" t="s">
        <v>1828</v>
      </c>
      <c r="I13756">
        <v>0</v>
      </c>
      <c r="J13756">
        <f>IF($H13756=0,1,IF($I13756&lt;=1,2,0))</f>
        <v>2</v>
      </c>
      <c r="K13756">
        <v>9</v>
      </c>
      <c r="L13756">
        <f>IF(AND($J13756=0,$K13756=0),0,1)</f>
        <v>1</v>
      </c>
      <c r="M13756" t="s">
        <v>1267</v>
      </c>
    </row>
    <row r="13757" spans="1:13" x14ac:dyDescent="0.2">
      <c r="A13757" t="s">
        <v>672</v>
      </c>
      <c r="B13757" t="s">
        <v>6</v>
      </c>
      <c r="C13757" t="s">
        <v>7</v>
      </c>
      <c r="D13757">
        <v>3998</v>
      </c>
      <c r="E13757">
        <v>2020</v>
      </c>
      <c r="F13757">
        <v>7</v>
      </c>
      <c r="G13757">
        <v>796</v>
      </c>
      <c r="H13757" s="1" t="s">
        <v>1828</v>
      </c>
      <c r="I13757">
        <v>0</v>
      </c>
      <c r="J13757">
        <f>IF($H13757=0,1,IF($I13757&lt;=1,2,0))</f>
        <v>2</v>
      </c>
      <c r="K13757">
        <v>9</v>
      </c>
      <c r="L13757">
        <f>IF(AND($J13757=0,$K13757=0),0,1)</f>
        <v>1</v>
      </c>
      <c r="M13757" t="s">
        <v>1267</v>
      </c>
    </row>
    <row r="13758" spans="1:13" x14ac:dyDescent="0.2">
      <c r="A13758" t="s">
        <v>672</v>
      </c>
      <c r="B13758" t="s">
        <v>6</v>
      </c>
      <c r="C13758" t="s">
        <v>7</v>
      </c>
      <c r="D13758">
        <v>3998</v>
      </c>
      <c r="E13758">
        <v>2020</v>
      </c>
      <c r="F13758">
        <v>9</v>
      </c>
      <c r="G13758">
        <v>797</v>
      </c>
      <c r="H13758" s="1" t="s">
        <v>1828</v>
      </c>
      <c r="I13758">
        <v>0</v>
      </c>
      <c r="J13758">
        <f>IF($H13758=0,1,IF($I13758&lt;=1,2,0))</f>
        <v>2</v>
      </c>
      <c r="K13758">
        <v>9</v>
      </c>
      <c r="L13758">
        <f>IF(AND($J13758=0,$K13758=0),0,1)</f>
        <v>1</v>
      </c>
      <c r="M13758" t="s">
        <v>1267</v>
      </c>
    </row>
    <row r="13759" spans="1:13" x14ac:dyDescent="0.2">
      <c r="A13759" t="s">
        <v>672</v>
      </c>
      <c r="B13759" t="s">
        <v>6</v>
      </c>
      <c r="C13759" t="s">
        <v>7</v>
      </c>
      <c r="D13759">
        <v>3998</v>
      </c>
      <c r="E13759">
        <v>2020</v>
      </c>
      <c r="F13759">
        <v>11</v>
      </c>
      <c r="G13759">
        <v>799</v>
      </c>
      <c r="H13759" s="1" t="s">
        <v>1828</v>
      </c>
      <c r="I13759">
        <v>0</v>
      </c>
      <c r="J13759">
        <f>IF($H13759=0,1,IF($I13759&lt;=1,2,0))</f>
        <v>2</v>
      </c>
      <c r="K13759">
        <v>9</v>
      </c>
      <c r="L13759">
        <f>IF(AND($J13759=0,$K13759=0),0,1)</f>
        <v>1</v>
      </c>
      <c r="M13759" t="s">
        <v>1267</v>
      </c>
    </row>
    <row r="13760" spans="1:13" x14ac:dyDescent="0.2">
      <c r="A13760" t="s">
        <v>672</v>
      </c>
      <c r="B13760" t="s">
        <v>6</v>
      </c>
      <c r="C13760" t="s">
        <v>7</v>
      </c>
      <c r="D13760">
        <v>3998</v>
      </c>
      <c r="E13760">
        <v>2020</v>
      </c>
      <c r="F13760">
        <v>12</v>
      </c>
      <c r="G13760">
        <v>800</v>
      </c>
      <c r="H13760" s="1" t="s">
        <v>1828</v>
      </c>
      <c r="I13760">
        <v>0</v>
      </c>
      <c r="J13760">
        <f>IF($H13760=0,1,IF($I13760&lt;=1,2,0))</f>
        <v>2</v>
      </c>
      <c r="K13760">
        <v>9</v>
      </c>
      <c r="L13760">
        <f>IF(AND($J13760=0,$K13760=0),0,1)</f>
        <v>1</v>
      </c>
      <c r="M13760" t="s">
        <v>1267</v>
      </c>
    </row>
    <row r="13761" spans="1:13" x14ac:dyDescent="0.2">
      <c r="A13761" t="s">
        <v>672</v>
      </c>
      <c r="B13761" t="s">
        <v>6</v>
      </c>
      <c r="C13761" t="s">
        <v>7</v>
      </c>
      <c r="D13761">
        <v>3998</v>
      </c>
      <c r="E13761">
        <v>2020</v>
      </c>
      <c r="F13761">
        <v>13</v>
      </c>
      <c r="G13761">
        <v>801</v>
      </c>
      <c r="H13761" s="1" t="s">
        <v>1828</v>
      </c>
      <c r="I13761">
        <v>0</v>
      </c>
      <c r="J13761">
        <f>IF($H13761=0,1,IF($I13761&lt;=1,2,0))</f>
        <v>2</v>
      </c>
      <c r="K13761">
        <v>9</v>
      </c>
      <c r="L13761">
        <f>IF(AND($J13761=0,$K13761=0),0,1)</f>
        <v>1</v>
      </c>
      <c r="M13761" t="s">
        <v>1267</v>
      </c>
    </row>
    <row r="13762" spans="1:13" x14ac:dyDescent="0.2">
      <c r="A13762" t="s">
        <v>672</v>
      </c>
      <c r="B13762" t="s">
        <v>6</v>
      </c>
      <c r="C13762" t="s">
        <v>7</v>
      </c>
      <c r="D13762">
        <v>3998</v>
      </c>
      <c r="E13762">
        <v>2020</v>
      </c>
      <c r="F13762">
        <v>14</v>
      </c>
      <c r="G13762">
        <v>802</v>
      </c>
      <c r="H13762" s="1" t="s">
        <v>1828</v>
      </c>
      <c r="I13762">
        <v>0</v>
      </c>
      <c r="J13762">
        <f>IF($H13762=0,1,IF($I13762&lt;=1,2,0))</f>
        <v>2</v>
      </c>
      <c r="K13762">
        <v>9</v>
      </c>
      <c r="L13762">
        <f>IF(AND($J13762=0,$K13762=0),0,1)</f>
        <v>1</v>
      </c>
      <c r="M13762" t="s">
        <v>1267</v>
      </c>
    </row>
    <row r="13763" spans="1:13" x14ac:dyDescent="0.2">
      <c r="A13763" t="s">
        <v>672</v>
      </c>
      <c r="B13763" t="s">
        <v>6</v>
      </c>
      <c r="C13763" t="s">
        <v>11</v>
      </c>
      <c r="D13763">
        <v>5051</v>
      </c>
      <c r="E13763">
        <v>2020</v>
      </c>
      <c r="F13763">
        <v>1</v>
      </c>
      <c r="G13763">
        <v>11661</v>
      </c>
      <c r="H13763" s="1">
        <v>4</v>
      </c>
      <c r="I13763">
        <v>17</v>
      </c>
      <c r="J13763">
        <f>IF($H13763=0,1,IF($I13763&lt;=1,2,0))</f>
        <v>0</v>
      </c>
      <c r="K13763">
        <v>4</v>
      </c>
      <c r="L13763">
        <f>IF(AND($J13763=0,$K13763=0),0,1)</f>
        <v>1</v>
      </c>
      <c r="M13763" t="s">
        <v>678</v>
      </c>
    </row>
    <row r="13764" spans="1:13" x14ac:dyDescent="0.2">
      <c r="A13764" t="s">
        <v>672</v>
      </c>
      <c r="B13764" t="s">
        <v>6</v>
      </c>
      <c r="C13764" t="s">
        <v>11</v>
      </c>
      <c r="D13764">
        <v>5062</v>
      </c>
      <c r="E13764">
        <v>2020</v>
      </c>
      <c r="F13764">
        <v>1</v>
      </c>
      <c r="G13764">
        <v>11662</v>
      </c>
      <c r="H13764" s="1">
        <v>1</v>
      </c>
      <c r="I13764">
        <v>14</v>
      </c>
      <c r="J13764">
        <f>IF($H13764=0,1,IF($I13764&lt;=1,2,0))</f>
        <v>0</v>
      </c>
      <c r="K13764">
        <v>4</v>
      </c>
      <c r="L13764">
        <f>IF(AND($J13764=0,$K13764=0),0,1)</f>
        <v>1</v>
      </c>
      <c r="M13764" t="s">
        <v>678</v>
      </c>
    </row>
    <row r="13765" spans="1:13" x14ac:dyDescent="0.2">
      <c r="A13765" t="s">
        <v>672</v>
      </c>
      <c r="B13765" t="s">
        <v>6</v>
      </c>
      <c r="C13765" t="s">
        <v>11</v>
      </c>
      <c r="D13765">
        <v>5066</v>
      </c>
      <c r="E13765">
        <v>2020</v>
      </c>
      <c r="F13765">
        <v>1</v>
      </c>
      <c r="G13765">
        <v>11664</v>
      </c>
      <c r="H13765" s="1">
        <v>3</v>
      </c>
      <c r="I13765">
        <v>14</v>
      </c>
      <c r="J13765">
        <f>IF($H13765=0,1,IF($I13765&lt;=1,2,0))</f>
        <v>0</v>
      </c>
      <c r="K13765">
        <v>4</v>
      </c>
      <c r="L13765">
        <f>IF(AND($J13765=0,$K13765=0),0,1)</f>
        <v>1</v>
      </c>
    </row>
    <row r="13766" spans="1:13" x14ac:dyDescent="0.2">
      <c r="A13766" t="s">
        <v>672</v>
      </c>
      <c r="B13766" t="s">
        <v>6</v>
      </c>
      <c r="C13766" t="s">
        <v>11</v>
      </c>
      <c r="D13766">
        <v>6000</v>
      </c>
      <c r="E13766">
        <v>2020</v>
      </c>
      <c r="F13766">
        <v>1</v>
      </c>
      <c r="G13766">
        <v>11658</v>
      </c>
      <c r="H13766" s="1">
        <v>4</v>
      </c>
      <c r="I13766">
        <v>6</v>
      </c>
      <c r="J13766">
        <f>IF($H13766=0,1,IF($I13766&lt;=1,2,0))</f>
        <v>0</v>
      </c>
      <c r="K13766">
        <v>4</v>
      </c>
      <c r="L13766">
        <f>IF(AND($J13766=0,$K13766=0),0,1)</f>
        <v>1</v>
      </c>
      <c r="M13766" t="s">
        <v>1268</v>
      </c>
    </row>
    <row r="13767" spans="1:13" x14ac:dyDescent="0.2">
      <c r="A13767" t="s">
        <v>672</v>
      </c>
      <c r="B13767" t="s">
        <v>6</v>
      </c>
      <c r="C13767" t="s">
        <v>11</v>
      </c>
      <c r="D13767">
        <v>6002</v>
      </c>
      <c r="E13767">
        <v>2020</v>
      </c>
      <c r="F13767">
        <v>1</v>
      </c>
      <c r="G13767">
        <v>11659</v>
      </c>
      <c r="H13767" s="1">
        <v>0</v>
      </c>
      <c r="I13767">
        <v>6</v>
      </c>
      <c r="J13767">
        <f>IF($H13767=0,1,IF($I13767&lt;=1,2,0))</f>
        <v>1</v>
      </c>
      <c r="K13767">
        <v>0</v>
      </c>
      <c r="L13767">
        <f>IF(AND($J13767=0,$K13767=0),0,1)</f>
        <v>1</v>
      </c>
      <c r="M13767" t="s">
        <v>1268</v>
      </c>
    </row>
    <row r="13768" spans="1:13" x14ac:dyDescent="0.2">
      <c r="A13768" t="s">
        <v>672</v>
      </c>
      <c r="B13768" t="s">
        <v>6</v>
      </c>
      <c r="C13768" t="s">
        <v>11</v>
      </c>
      <c r="D13768">
        <v>6097</v>
      </c>
      <c r="E13768">
        <v>2020</v>
      </c>
      <c r="F13768">
        <v>1</v>
      </c>
      <c r="G13768">
        <v>11660</v>
      </c>
      <c r="H13768" s="1">
        <v>4</v>
      </c>
      <c r="I13768">
        <v>8</v>
      </c>
      <c r="J13768">
        <f>IF($H13768=0,1,IF($I13768&lt;=1,2,0))</f>
        <v>0</v>
      </c>
      <c r="K13768">
        <v>4</v>
      </c>
      <c r="L13768">
        <f>IF(AND($J13768=0,$K13768=0),0,1)</f>
        <v>1</v>
      </c>
      <c r="M13768" t="s">
        <v>1269</v>
      </c>
    </row>
    <row r="13769" spans="1:13" x14ac:dyDescent="0.2">
      <c r="A13769" t="s">
        <v>672</v>
      </c>
      <c r="B13769" t="s">
        <v>6</v>
      </c>
      <c r="C13769" t="s">
        <v>11</v>
      </c>
      <c r="D13769">
        <v>6102</v>
      </c>
      <c r="E13769">
        <v>2020</v>
      </c>
      <c r="F13769">
        <v>1</v>
      </c>
      <c r="G13769">
        <v>11657</v>
      </c>
      <c r="H13769" s="1">
        <v>4</v>
      </c>
      <c r="I13769">
        <v>5</v>
      </c>
      <c r="J13769">
        <f>IF($H13769=0,1,IF($I13769&lt;=1,2,0))</f>
        <v>0</v>
      </c>
      <c r="K13769">
        <v>4</v>
      </c>
      <c r="L13769">
        <f>IF(AND($J13769=0,$K13769=0),0,1)</f>
        <v>1</v>
      </c>
      <c r="M13769" t="s">
        <v>1268</v>
      </c>
    </row>
    <row r="13770" spans="1:13" x14ac:dyDescent="0.2">
      <c r="A13770" t="s">
        <v>672</v>
      </c>
      <c r="B13770" t="s">
        <v>6</v>
      </c>
      <c r="C13770" t="s">
        <v>11</v>
      </c>
      <c r="D13770">
        <v>9040</v>
      </c>
      <c r="E13770">
        <v>2020</v>
      </c>
      <c r="F13770">
        <v>2</v>
      </c>
      <c r="G13770">
        <v>22371</v>
      </c>
      <c r="H13770" s="1" t="s">
        <v>1828</v>
      </c>
      <c r="I13770">
        <v>4</v>
      </c>
      <c r="J13770">
        <f>IF($H13770=0,1,IF($I13770&lt;=1,2,0))</f>
        <v>0</v>
      </c>
      <c r="K13770">
        <v>5</v>
      </c>
      <c r="L13770">
        <f>IF(AND($J13770=0,$K13770=0),0,1)</f>
        <v>1</v>
      </c>
    </row>
    <row r="13771" spans="1:13" x14ac:dyDescent="0.2">
      <c r="A13771" t="s">
        <v>672</v>
      </c>
      <c r="B13771" t="s">
        <v>6</v>
      </c>
      <c r="C13771" t="s">
        <v>11</v>
      </c>
      <c r="D13771">
        <v>9040</v>
      </c>
      <c r="E13771">
        <v>2020</v>
      </c>
      <c r="F13771">
        <v>3</v>
      </c>
      <c r="G13771">
        <v>22372</v>
      </c>
      <c r="H13771" s="1" t="s">
        <v>1828</v>
      </c>
      <c r="I13771">
        <v>4</v>
      </c>
      <c r="J13771">
        <f>IF($H13771=0,1,IF($I13771&lt;=1,2,0))</f>
        <v>0</v>
      </c>
      <c r="K13771">
        <v>5</v>
      </c>
      <c r="L13771">
        <f>IF(AND($J13771=0,$K13771=0),0,1)</f>
        <v>1</v>
      </c>
    </row>
    <row r="13772" spans="1:13" x14ac:dyDescent="0.2">
      <c r="A13772" t="s">
        <v>672</v>
      </c>
      <c r="B13772" t="s">
        <v>6</v>
      </c>
      <c r="C13772" t="s">
        <v>11</v>
      </c>
      <c r="D13772">
        <v>9040</v>
      </c>
      <c r="E13772">
        <v>2020</v>
      </c>
      <c r="F13772">
        <v>1</v>
      </c>
      <c r="G13772">
        <v>22261</v>
      </c>
      <c r="H13772" s="1" t="s">
        <v>1828</v>
      </c>
      <c r="I13772">
        <v>2</v>
      </c>
      <c r="J13772">
        <f>IF($H13772=0,1,IF($I13772&lt;=1,2,0))</f>
        <v>0</v>
      </c>
      <c r="K13772">
        <v>5</v>
      </c>
      <c r="L13772">
        <f>IF(AND($J13772=0,$K13772=0),0,1)</f>
        <v>1</v>
      </c>
    </row>
    <row r="13773" spans="1:13" x14ac:dyDescent="0.2">
      <c r="A13773" t="s">
        <v>672</v>
      </c>
      <c r="B13773" t="s">
        <v>6</v>
      </c>
      <c r="C13773" t="s">
        <v>11</v>
      </c>
      <c r="D13773">
        <v>9040</v>
      </c>
      <c r="E13773">
        <v>2020</v>
      </c>
      <c r="F13773">
        <v>4</v>
      </c>
      <c r="G13773">
        <v>23053</v>
      </c>
      <c r="H13773" s="1" t="s">
        <v>1828</v>
      </c>
      <c r="I13773">
        <v>2</v>
      </c>
      <c r="J13773">
        <f>IF($H13773=0,1,IF($I13773&lt;=1,2,0))</f>
        <v>0</v>
      </c>
      <c r="K13773">
        <v>5</v>
      </c>
      <c r="L13773">
        <f>IF(AND($J13773=0,$K13773=0),0,1)</f>
        <v>1</v>
      </c>
    </row>
    <row r="13774" spans="1:13" x14ac:dyDescent="0.2">
      <c r="A13774" t="s">
        <v>672</v>
      </c>
      <c r="B13774" t="s">
        <v>6</v>
      </c>
      <c r="C13774" t="s">
        <v>11</v>
      </c>
      <c r="D13774">
        <v>9040</v>
      </c>
      <c r="E13774">
        <v>2020</v>
      </c>
      <c r="F13774">
        <v>5</v>
      </c>
      <c r="G13774">
        <v>24466</v>
      </c>
      <c r="H13774" s="1" t="s">
        <v>1828</v>
      </c>
      <c r="I13774">
        <v>1</v>
      </c>
      <c r="J13774">
        <f>IF($H13774=0,1,IF($I13774&lt;=1,2,0))</f>
        <v>2</v>
      </c>
      <c r="K13774">
        <v>5</v>
      </c>
      <c r="L13774">
        <f>IF(AND($J13774=0,$K13774=0),0,1)</f>
        <v>1</v>
      </c>
    </row>
    <row r="13775" spans="1:13" x14ac:dyDescent="0.2">
      <c r="A13775" t="s">
        <v>672</v>
      </c>
      <c r="B13775" t="s">
        <v>6</v>
      </c>
      <c r="C13775" t="s">
        <v>11</v>
      </c>
      <c r="D13775">
        <v>9040</v>
      </c>
      <c r="E13775">
        <v>2020</v>
      </c>
      <c r="F13775">
        <v>6</v>
      </c>
      <c r="G13775">
        <v>24923</v>
      </c>
      <c r="H13775" s="1" t="s">
        <v>1828</v>
      </c>
      <c r="I13775">
        <v>1</v>
      </c>
      <c r="J13775">
        <f>IF($H13775=0,1,IF($I13775&lt;=1,2,0))</f>
        <v>2</v>
      </c>
      <c r="K13775">
        <v>5</v>
      </c>
      <c r="L13775">
        <f>IF(AND($J13775=0,$K13775=0),0,1)</f>
        <v>1</v>
      </c>
    </row>
    <row r="13776" spans="1:13" x14ac:dyDescent="0.2">
      <c r="A13776" t="s">
        <v>672</v>
      </c>
      <c r="B13776" t="s">
        <v>6</v>
      </c>
      <c r="C13776" t="s">
        <v>11</v>
      </c>
      <c r="D13776">
        <v>9040</v>
      </c>
      <c r="E13776">
        <v>2020</v>
      </c>
      <c r="F13776">
        <v>7</v>
      </c>
      <c r="G13776">
        <v>24925</v>
      </c>
      <c r="H13776" s="1" t="s">
        <v>1828</v>
      </c>
      <c r="I13776">
        <v>1</v>
      </c>
      <c r="J13776">
        <f>IF($H13776=0,1,IF($I13776&lt;=1,2,0))</f>
        <v>2</v>
      </c>
      <c r="K13776">
        <v>5</v>
      </c>
      <c r="L13776">
        <f>IF(AND($J13776=0,$K13776=0),0,1)</f>
        <v>1</v>
      </c>
    </row>
    <row r="13777" spans="1:13" x14ac:dyDescent="0.2">
      <c r="A13777" t="s">
        <v>683</v>
      </c>
      <c r="B13777" t="s">
        <v>1</v>
      </c>
      <c r="C13777" t="s">
        <v>2</v>
      </c>
      <c r="D13777">
        <v>1111</v>
      </c>
      <c r="E13777">
        <v>2020</v>
      </c>
      <c r="F13777">
        <v>1</v>
      </c>
      <c r="G13777">
        <v>431</v>
      </c>
      <c r="H13777" s="1">
        <v>1</v>
      </c>
      <c r="I13777">
        <v>12</v>
      </c>
      <c r="J13777">
        <f>IF($H13777=0,1,IF($I13777&lt;=1,2,0))</f>
        <v>0</v>
      </c>
      <c r="K13777">
        <v>7</v>
      </c>
      <c r="L13777">
        <f>IF(AND($J13777=0,$K13777=0),0,1)</f>
        <v>1</v>
      </c>
      <c r="M13777" t="s">
        <v>1270</v>
      </c>
    </row>
    <row r="13778" spans="1:13" x14ac:dyDescent="0.2">
      <c r="A13778" t="s">
        <v>683</v>
      </c>
      <c r="B13778" t="s">
        <v>1</v>
      </c>
      <c r="C13778" t="s">
        <v>2</v>
      </c>
      <c r="D13778">
        <v>2222</v>
      </c>
      <c r="E13778">
        <v>2020</v>
      </c>
      <c r="F13778">
        <v>1</v>
      </c>
      <c r="G13778">
        <v>432</v>
      </c>
      <c r="H13778" s="1">
        <v>1.5</v>
      </c>
      <c r="I13778">
        <v>8</v>
      </c>
      <c r="J13778">
        <f>IF($H13778=0,1,IF($I13778&lt;=1,2,0))</f>
        <v>0</v>
      </c>
      <c r="K13778">
        <v>7</v>
      </c>
      <c r="L13778">
        <f>IF(AND($J13778=0,$K13778=0),0,1)</f>
        <v>1</v>
      </c>
      <c r="M13778" t="s">
        <v>1270</v>
      </c>
    </row>
    <row r="13779" spans="1:13" x14ac:dyDescent="0.2">
      <c r="A13779" t="s">
        <v>685</v>
      </c>
      <c r="B13779" t="s">
        <v>17</v>
      </c>
      <c r="C13779" t="s">
        <v>2</v>
      </c>
      <c r="D13779">
        <v>3361</v>
      </c>
      <c r="E13779">
        <v>2020</v>
      </c>
      <c r="F13779">
        <v>1</v>
      </c>
      <c r="G13779">
        <v>647</v>
      </c>
      <c r="H13779" s="1">
        <v>3</v>
      </c>
      <c r="I13779">
        <v>15</v>
      </c>
      <c r="J13779">
        <f>IF($H13779=0,1,IF($I13779&lt;=1,2,0))</f>
        <v>0</v>
      </c>
      <c r="K13779">
        <v>7</v>
      </c>
      <c r="L13779">
        <f>IF(AND($J13779=0,$K13779=0),0,1)</f>
        <v>1</v>
      </c>
    </row>
    <row r="13780" spans="1:13" x14ac:dyDescent="0.2">
      <c r="A13780" t="s">
        <v>685</v>
      </c>
      <c r="B13780" t="s">
        <v>17</v>
      </c>
      <c r="C13780" t="s">
        <v>2</v>
      </c>
      <c r="D13780">
        <v>3376</v>
      </c>
      <c r="E13780">
        <v>2020</v>
      </c>
      <c r="F13780">
        <v>1</v>
      </c>
      <c r="G13780">
        <v>616</v>
      </c>
      <c r="H13780" s="1">
        <v>3</v>
      </c>
      <c r="I13780">
        <v>12</v>
      </c>
      <c r="J13780">
        <f>IF($H13780=0,1,IF($I13780&lt;=1,2,0))</f>
        <v>0</v>
      </c>
      <c r="K13780">
        <v>7</v>
      </c>
      <c r="L13780">
        <f>IF(AND($J13780=0,$K13780=0),0,1)</f>
        <v>1</v>
      </c>
    </row>
    <row r="13781" spans="1:13" x14ac:dyDescent="0.2">
      <c r="A13781" t="s">
        <v>685</v>
      </c>
      <c r="B13781" t="s">
        <v>17</v>
      </c>
      <c r="C13781" t="s">
        <v>2</v>
      </c>
      <c r="D13781">
        <v>3435</v>
      </c>
      <c r="E13781">
        <v>2020</v>
      </c>
      <c r="F13781">
        <v>1</v>
      </c>
      <c r="G13781">
        <v>671</v>
      </c>
      <c r="H13781" s="1">
        <v>3</v>
      </c>
      <c r="I13781">
        <v>6</v>
      </c>
      <c r="J13781">
        <f>IF($H13781=0,1,IF($I13781&lt;=1,2,0))</f>
        <v>0</v>
      </c>
      <c r="K13781">
        <v>7</v>
      </c>
      <c r="L13781">
        <f>IF(AND($J13781=0,$K13781=0),0,1)</f>
        <v>1</v>
      </c>
    </row>
    <row r="13782" spans="1:13" x14ac:dyDescent="0.2">
      <c r="A13782" t="s">
        <v>685</v>
      </c>
      <c r="B13782" t="s">
        <v>17</v>
      </c>
      <c r="C13782" t="s">
        <v>2</v>
      </c>
      <c r="D13782">
        <v>3454</v>
      </c>
      <c r="E13782">
        <v>2020</v>
      </c>
      <c r="F13782">
        <v>1</v>
      </c>
      <c r="G13782">
        <v>621</v>
      </c>
      <c r="H13782" s="1">
        <v>3</v>
      </c>
      <c r="I13782">
        <v>4</v>
      </c>
      <c r="J13782">
        <f>IF($H13782=0,1,IF($I13782&lt;=1,2,0))</f>
        <v>0</v>
      </c>
      <c r="K13782">
        <v>7</v>
      </c>
      <c r="L13782">
        <f>IF(AND($J13782=0,$K13782=0),0,1)</f>
        <v>1</v>
      </c>
    </row>
    <row r="13783" spans="1:13" x14ac:dyDescent="0.2">
      <c r="A13783" t="s">
        <v>685</v>
      </c>
      <c r="B13783" t="s">
        <v>17</v>
      </c>
      <c r="C13783" t="s">
        <v>2</v>
      </c>
      <c r="D13783">
        <v>3850</v>
      </c>
      <c r="E13783">
        <v>2020</v>
      </c>
      <c r="F13783">
        <v>1</v>
      </c>
      <c r="G13783">
        <v>619</v>
      </c>
      <c r="H13783" s="1">
        <v>3</v>
      </c>
      <c r="I13783">
        <v>8</v>
      </c>
      <c r="J13783">
        <f>IF($H13783=0,1,IF($I13783&lt;=1,2,0))</f>
        <v>0</v>
      </c>
      <c r="K13783">
        <v>7</v>
      </c>
      <c r="L13783">
        <f>IF(AND($J13783=0,$K13783=0),0,1)</f>
        <v>1</v>
      </c>
    </row>
    <row r="13784" spans="1:13" x14ac:dyDescent="0.2">
      <c r="A13784" t="s">
        <v>685</v>
      </c>
      <c r="B13784" t="s">
        <v>17</v>
      </c>
      <c r="C13784" t="s">
        <v>2</v>
      </c>
      <c r="D13784">
        <v>3990</v>
      </c>
      <c r="E13784">
        <v>2020</v>
      </c>
      <c r="F13784">
        <v>1</v>
      </c>
      <c r="G13784">
        <v>618</v>
      </c>
      <c r="H13784" s="1">
        <v>4</v>
      </c>
      <c r="I13784">
        <v>5</v>
      </c>
      <c r="J13784">
        <f>IF($H13784=0,1,IF($I13784&lt;=1,2,0))</f>
        <v>0</v>
      </c>
      <c r="K13784">
        <v>7</v>
      </c>
      <c r="L13784">
        <f>IF(AND($J13784=0,$K13784=0),0,1)</f>
        <v>1</v>
      </c>
    </row>
    <row r="13785" spans="1:13" x14ac:dyDescent="0.2">
      <c r="A13785" t="s">
        <v>685</v>
      </c>
      <c r="B13785" t="s">
        <v>17</v>
      </c>
      <c r="C13785" t="s">
        <v>9</v>
      </c>
      <c r="D13785">
        <v>3997</v>
      </c>
      <c r="E13785">
        <v>2020</v>
      </c>
      <c r="F13785">
        <v>1</v>
      </c>
      <c r="G13785">
        <v>13617</v>
      </c>
      <c r="H13785" s="1">
        <v>3</v>
      </c>
      <c r="I13785">
        <v>0</v>
      </c>
      <c r="J13785">
        <f>IF($H13785=0,1,IF($I13785&lt;=1,2,0))</f>
        <v>2</v>
      </c>
      <c r="K13785">
        <v>9</v>
      </c>
      <c r="L13785">
        <f>IF(AND($J13785=0,$K13785=0),0,1)</f>
        <v>1</v>
      </c>
    </row>
    <row r="13786" spans="1:13" x14ac:dyDescent="0.2">
      <c r="A13786" t="s">
        <v>685</v>
      </c>
      <c r="B13786" t="s">
        <v>17</v>
      </c>
      <c r="C13786" t="s">
        <v>11</v>
      </c>
      <c r="D13786">
        <v>6000</v>
      </c>
      <c r="E13786">
        <v>2020</v>
      </c>
      <c r="F13786">
        <v>1</v>
      </c>
      <c r="G13786">
        <v>10744</v>
      </c>
      <c r="H13786" s="1">
        <v>4</v>
      </c>
      <c r="I13786">
        <v>4</v>
      </c>
      <c r="J13786">
        <f>IF($H13786=0,1,IF($I13786&lt;=1,2,0))</f>
        <v>0</v>
      </c>
      <c r="K13786">
        <v>4</v>
      </c>
      <c r="L13786">
        <f>IF(AND($J13786=0,$K13786=0),0,1)</f>
        <v>1</v>
      </c>
      <c r="M13786" t="s">
        <v>1280</v>
      </c>
    </row>
    <row r="13787" spans="1:13" x14ac:dyDescent="0.2">
      <c r="A13787" t="s">
        <v>685</v>
      </c>
      <c r="B13787" t="s">
        <v>17</v>
      </c>
      <c r="C13787" t="s">
        <v>11</v>
      </c>
      <c r="D13787">
        <v>6100</v>
      </c>
      <c r="E13787">
        <v>2020</v>
      </c>
      <c r="F13787">
        <v>1</v>
      </c>
      <c r="G13787">
        <v>10740</v>
      </c>
      <c r="H13787" s="1">
        <v>2</v>
      </c>
      <c r="I13787">
        <v>6</v>
      </c>
      <c r="J13787">
        <f>IF($H13787=0,1,IF($I13787&lt;=1,2,0))</f>
        <v>0</v>
      </c>
      <c r="K13787">
        <v>4</v>
      </c>
      <c r="L13787">
        <f>IF(AND($J13787=0,$K13787=0),0,1)</f>
        <v>1</v>
      </c>
      <c r="M13787" t="s">
        <v>1282</v>
      </c>
    </row>
    <row r="13788" spans="1:13" x14ac:dyDescent="0.2">
      <c r="A13788" t="s">
        <v>685</v>
      </c>
      <c r="B13788" t="s">
        <v>17</v>
      </c>
      <c r="C13788" t="s">
        <v>11</v>
      </c>
      <c r="D13788">
        <v>9045</v>
      </c>
      <c r="E13788">
        <v>2020</v>
      </c>
      <c r="F13788">
        <v>1</v>
      </c>
      <c r="G13788">
        <v>10743</v>
      </c>
      <c r="H13788" s="1">
        <v>4</v>
      </c>
      <c r="I13788">
        <v>6</v>
      </c>
      <c r="J13788">
        <f>IF($H13788=0,1,IF($I13788&lt;=1,2,0))</f>
        <v>0</v>
      </c>
      <c r="K13788">
        <v>5</v>
      </c>
      <c r="L13788">
        <f>IF(AND($J13788=0,$K13788=0),0,1)</f>
        <v>1</v>
      </c>
      <c r="M13788" t="s">
        <v>1282</v>
      </c>
    </row>
    <row r="13789" spans="1:13" x14ac:dyDescent="0.2">
      <c r="A13789" t="s">
        <v>685</v>
      </c>
      <c r="B13789" t="s">
        <v>17</v>
      </c>
      <c r="C13789" t="s">
        <v>11</v>
      </c>
      <c r="D13789">
        <v>9811</v>
      </c>
      <c r="E13789">
        <v>2020</v>
      </c>
      <c r="F13789">
        <v>3</v>
      </c>
      <c r="G13789">
        <v>14373</v>
      </c>
      <c r="H13789" s="1" t="s">
        <v>1835</v>
      </c>
      <c r="I13789">
        <v>3</v>
      </c>
      <c r="J13789">
        <f>IF($H13789=0,1,IF($I13789&lt;=1,2,0))</f>
        <v>0</v>
      </c>
      <c r="K13789">
        <v>5</v>
      </c>
      <c r="L13789">
        <f>IF(AND($J13789=0,$K13789=0),0,1)</f>
        <v>1</v>
      </c>
    </row>
    <row r="13790" spans="1:13" x14ac:dyDescent="0.2">
      <c r="A13790" t="s">
        <v>685</v>
      </c>
      <c r="B13790" t="s">
        <v>17</v>
      </c>
      <c r="C13790" t="s">
        <v>11</v>
      </c>
      <c r="D13790">
        <v>9811</v>
      </c>
      <c r="E13790">
        <v>2020</v>
      </c>
      <c r="F13790">
        <v>1</v>
      </c>
      <c r="G13790">
        <v>14370</v>
      </c>
      <c r="H13790" s="1" t="s">
        <v>1835</v>
      </c>
      <c r="I13790">
        <v>1</v>
      </c>
      <c r="J13790">
        <f>IF($H13790=0,1,IF($I13790&lt;=1,2,0))</f>
        <v>2</v>
      </c>
      <c r="K13790">
        <v>5</v>
      </c>
      <c r="L13790">
        <f>IF(AND($J13790=0,$K13790=0),0,1)</f>
        <v>1</v>
      </c>
    </row>
    <row r="13791" spans="1:13" x14ac:dyDescent="0.2">
      <c r="A13791" t="s">
        <v>685</v>
      </c>
      <c r="B13791" t="s">
        <v>17</v>
      </c>
      <c r="C13791" t="s">
        <v>11</v>
      </c>
      <c r="D13791">
        <v>9811</v>
      </c>
      <c r="E13791">
        <v>2020</v>
      </c>
      <c r="F13791">
        <v>2</v>
      </c>
      <c r="G13791">
        <v>14371</v>
      </c>
      <c r="H13791" s="1" t="s">
        <v>1835</v>
      </c>
      <c r="I13791">
        <v>1</v>
      </c>
      <c r="J13791">
        <f>IF($H13791=0,1,IF($I13791&lt;=1,2,0))</f>
        <v>2</v>
      </c>
      <c r="K13791">
        <v>5</v>
      </c>
      <c r="L13791">
        <f>IF(AND($J13791=0,$K13791=0),0,1)</f>
        <v>1</v>
      </c>
    </row>
    <row r="13792" spans="1:13" x14ac:dyDescent="0.2">
      <c r="A13792" t="s">
        <v>685</v>
      </c>
      <c r="B13792" t="s">
        <v>17</v>
      </c>
      <c r="C13792" t="s">
        <v>11</v>
      </c>
      <c r="D13792">
        <v>9811</v>
      </c>
      <c r="E13792">
        <v>2020</v>
      </c>
      <c r="F13792">
        <v>5</v>
      </c>
      <c r="G13792">
        <v>14375</v>
      </c>
      <c r="H13792" s="1" t="s">
        <v>1835</v>
      </c>
      <c r="I13792">
        <v>1</v>
      </c>
      <c r="J13792">
        <f>IF($H13792=0,1,IF($I13792&lt;=1,2,0))</f>
        <v>2</v>
      </c>
      <c r="K13792">
        <v>5</v>
      </c>
      <c r="L13792">
        <f>IF(AND($J13792=0,$K13792=0),0,1)</f>
        <v>1</v>
      </c>
    </row>
    <row r="13793" spans="1:13" x14ac:dyDescent="0.2">
      <c r="A13793" t="s">
        <v>685</v>
      </c>
      <c r="B13793" t="s">
        <v>17</v>
      </c>
      <c r="C13793" t="s">
        <v>11</v>
      </c>
      <c r="D13793">
        <v>9811</v>
      </c>
      <c r="E13793">
        <v>2020</v>
      </c>
      <c r="F13793">
        <v>6</v>
      </c>
      <c r="G13793">
        <v>14366</v>
      </c>
      <c r="H13793" s="1" t="s">
        <v>1835</v>
      </c>
      <c r="I13793">
        <v>1</v>
      </c>
      <c r="J13793">
        <f>IF($H13793=0,1,IF($I13793&lt;=1,2,0))</f>
        <v>2</v>
      </c>
      <c r="K13793">
        <v>5</v>
      </c>
      <c r="L13793">
        <f>IF(AND($J13793=0,$K13793=0),0,1)</f>
        <v>1</v>
      </c>
    </row>
    <row r="13794" spans="1:13" x14ac:dyDescent="0.2">
      <c r="A13794" t="s">
        <v>698</v>
      </c>
      <c r="B13794" t="s">
        <v>133</v>
      </c>
      <c r="C13794" t="s">
        <v>9</v>
      </c>
      <c r="D13794">
        <v>3107</v>
      </c>
      <c r="E13794">
        <v>2020</v>
      </c>
      <c r="F13794">
        <v>2</v>
      </c>
      <c r="G13794">
        <v>12886</v>
      </c>
      <c r="H13794" s="1">
        <v>3</v>
      </c>
      <c r="I13794">
        <v>1</v>
      </c>
      <c r="J13794">
        <f>IF($H13794=0,1,IF($I13794&lt;=1,2,0))</f>
        <v>2</v>
      </c>
      <c r="K13794">
        <v>0</v>
      </c>
      <c r="L13794">
        <f>IF(AND($J13794=0,$K13794=0),0,1)</f>
        <v>1</v>
      </c>
      <c r="M13794" t="s">
        <v>699</v>
      </c>
    </row>
    <row r="13795" spans="1:13" x14ac:dyDescent="0.2">
      <c r="A13795" t="s">
        <v>698</v>
      </c>
      <c r="B13795" t="s">
        <v>133</v>
      </c>
      <c r="C13795" t="s">
        <v>9</v>
      </c>
      <c r="D13795">
        <v>3107</v>
      </c>
      <c r="E13795">
        <v>2020</v>
      </c>
      <c r="F13795">
        <v>4</v>
      </c>
      <c r="G13795">
        <v>24798</v>
      </c>
      <c r="H13795" s="1">
        <v>3</v>
      </c>
      <c r="I13795">
        <v>1</v>
      </c>
      <c r="J13795">
        <f>IF($H13795=0,1,IF($I13795&lt;=1,2,0))</f>
        <v>2</v>
      </c>
      <c r="K13795">
        <v>0</v>
      </c>
      <c r="L13795">
        <f>IF(AND($J13795=0,$K13795=0),0,1)</f>
        <v>1</v>
      </c>
      <c r="M13795" t="s">
        <v>699</v>
      </c>
    </row>
    <row r="13796" spans="1:13" x14ac:dyDescent="0.2">
      <c r="A13796" t="s">
        <v>698</v>
      </c>
      <c r="B13796" t="s">
        <v>133</v>
      </c>
      <c r="C13796" t="s">
        <v>9</v>
      </c>
      <c r="D13796">
        <v>4203</v>
      </c>
      <c r="E13796">
        <v>2020</v>
      </c>
      <c r="F13796">
        <v>4</v>
      </c>
      <c r="G13796">
        <v>12366</v>
      </c>
      <c r="H13796" s="1">
        <v>3</v>
      </c>
      <c r="I13796">
        <v>27</v>
      </c>
      <c r="J13796">
        <f>IF($H13796=0,1,IF($I13796&lt;=1,2,0))</f>
        <v>0</v>
      </c>
      <c r="K13796">
        <v>4</v>
      </c>
      <c r="L13796">
        <f>IF(AND($J13796=0,$K13796=0),0,1)</f>
        <v>1</v>
      </c>
      <c r="M13796" t="s">
        <v>702</v>
      </c>
    </row>
    <row r="13797" spans="1:13" x14ac:dyDescent="0.2">
      <c r="A13797" t="s">
        <v>698</v>
      </c>
      <c r="B13797" t="s">
        <v>133</v>
      </c>
      <c r="C13797" t="s">
        <v>9</v>
      </c>
      <c r="D13797">
        <v>4204</v>
      </c>
      <c r="E13797">
        <v>2020</v>
      </c>
      <c r="F13797">
        <v>4</v>
      </c>
      <c r="G13797">
        <v>12475</v>
      </c>
      <c r="H13797" s="1">
        <v>3</v>
      </c>
      <c r="I13797">
        <v>3</v>
      </c>
      <c r="J13797">
        <f>IF($H13797=0,1,IF($I13797&lt;=1,2,0))</f>
        <v>0</v>
      </c>
      <c r="K13797">
        <v>4</v>
      </c>
      <c r="L13797">
        <f>IF(AND($J13797=0,$K13797=0),0,1)</f>
        <v>1</v>
      </c>
      <c r="M13797" t="s">
        <v>702</v>
      </c>
    </row>
    <row r="13798" spans="1:13" x14ac:dyDescent="0.2">
      <c r="A13798" t="s">
        <v>698</v>
      </c>
      <c r="B13798" t="s">
        <v>133</v>
      </c>
      <c r="C13798" t="s">
        <v>9</v>
      </c>
      <c r="D13798">
        <v>4221</v>
      </c>
      <c r="E13798">
        <v>2020</v>
      </c>
      <c r="F13798">
        <v>1</v>
      </c>
      <c r="G13798">
        <v>12556</v>
      </c>
      <c r="H13798" s="1">
        <v>3</v>
      </c>
      <c r="I13798">
        <v>0</v>
      </c>
      <c r="J13798">
        <f>IF($H13798=0,1,IF($I13798&lt;=1,2,0))</f>
        <v>2</v>
      </c>
      <c r="K13798">
        <v>0</v>
      </c>
      <c r="L13798">
        <f>IF(AND($J13798=0,$K13798=0),0,1)</f>
        <v>1</v>
      </c>
    </row>
    <row r="13799" spans="1:13" x14ac:dyDescent="0.2">
      <c r="A13799" t="s">
        <v>698</v>
      </c>
      <c r="B13799" t="s">
        <v>133</v>
      </c>
      <c r="C13799" t="s">
        <v>11</v>
      </c>
      <c r="D13799">
        <v>4264</v>
      </c>
      <c r="E13799">
        <v>2020</v>
      </c>
      <c r="F13799">
        <v>1</v>
      </c>
      <c r="G13799">
        <v>12504</v>
      </c>
      <c r="H13799" s="1">
        <v>3</v>
      </c>
      <c r="I13799">
        <v>0</v>
      </c>
      <c r="J13799">
        <f>IF($H13799=0,1,IF($I13799&lt;=1,2,0))</f>
        <v>2</v>
      </c>
      <c r="K13799">
        <v>0</v>
      </c>
      <c r="L13799">
        <f>IF(AND($J13799=0,$K13799=0),0,1)</f>
        <v>1</v>
      </c>
    </row>
    <row r="13800" spans="1:13" x14ac:dyDescent="0.2">
      <c r="A13800" t="s">
        <v>698</v>
      </c>
      <c r="B13800" t="s">
        <v>133</v>
      </c>
      <c r="C13800" t="s">
        <v>9</v>
      </c>
      <c r="D13800">
        <v>5203</v>
      </c>
      <c r="E13800">
        <v>2020</v>
      </c>
      <c r="F13800">
        <v>6</v>
      </c>
      <c r="G13800">
        <v>12523</v>
      </c>
      <c r="H13800" s="1">
        <v>3</v>
      </c>
      <c r="I13800">
        <v>35</v>
      </c>
      <c r="J13800">
        <f>IF($H13800=0,1,IF($I13800&lt;=1,2,0))</f>
        <v>0</v>
      </c>
      <c r="K13800">
        <v>4</v>
      </c>
      <c r="L13800">
        <f>IF(AND($J13800=0,$K13800=0),0,1)</f>
        <v>1</v>
      </c>
      <c r="M13800" t="s">
        <v>2023</v>
      </c>
    </row>
    <row r="13801" spans="1:13" x14ac:dyDescent="0.2">
      <c r="A13801" t="s">
        <v>698</v>
      </c>
      <c r="B13801" t="s">
        <v>133</v>
      </c>
      <c r="C13801" t="s">
        <v>9</v>
      </c>
      <c r="D13801">
        <v>5204</v>
      </c>
      <c r="E13801">
        <v>2020</v>
      </c>
      <c r="F13801">
        <v>5</v>
      </c>
      <c r="G13801">
        <v>12530</v>
      </c>
      <c r="H13801" s="1">
        <v>3</v>
      </c>
      <c r="I13801">
        <v>91</v>
      </c>
      <c r="J13801">
        <f>IF($H13801=0,1,IF($I13801&lt;=1,2,0))</f>
        <v>0</v>
      </c>
      <c r="K13801">
        <v>4</v>
      </c>
      <c r="L13801">
        <f>IF(AND($J13801=0,$K13801=0),0,1)</f>
        <v>1</v>
      </c>
      <c r="M13801" t="s">
        <v>2024</v>
      </c>
    </row>
    <row r="13802" spans="1:13" x14ac:dyDescent="0.2">
      <c r="A13802" t="s">
        <v>698</v>
      </c>
      <c r="B13802" t="s">
        <v>133</v>
      </c>
      <c r="C13802" t="s">
        <v>9</v>
      </c>
      <c r="D13802">
        <v>5204</v>
      </c>
      <c r="E13802">
        <v>2020</v>
      </c>
      <c r="F13802">
        <v>6</v>
      </c>
      <c r="G13802">
        <v>12531</v>
      </c>
      <c r="H13802" s="1">
        <v>3</v>
      </c>
      <c r="I13802">
        <v>56</v>
      </c>
      <c r="J13802">
        <f>IF($H13802=0,1,IF($I13802&lt;=1,2,0))</f>
        <v>0</v>
      </c>
      <c r="K13802">
        <v>4</v>
      </c>
      <c r="L13802">
        <f>IF(AND($J13802=0,$K13802=0),0,1)</f>
        <v>1</v>
      </c>
      <c r="M13802" t="s">
        <v>1283</v>
      </c>
    </row>
    <row r="13803" spans="1:13" x14ac:dyDescent="0.2">
      <c r="A13803" t="s">
        <v>698</v>
      </c>
      <c r="B13803" t="s">
        <v>133</v>
      </c>
      <c r="C13803" t="s">
        <v>9</v>
      </c>
      <c r="D13803">
        <v>5204</v>
      </c>
      <c r="E13803">
        <v>2020</v>
      </c>
      <c r="F13803">
        <v>3</v>
      </c>
      <c r="G13803">
        <v>12529</v>
      </c>
      <c r="H13803" s="1">
        <v>3</v>
      </c>
      <c r="I13803">
        <v>14</v>
      </c>
      <c r="J13803">
        <f>IF($H13803=0,1,IF($I13803&lt;=1,2,0))</f>
        <v>0</v>
      </c>
      <c r="K13803">
        <v>4</v>
      </c>
      <c r="L13803">
        <f>IF(AND($J13803=0,$K13803=0),0,1)</f>
        <v>1</v>
      </c>
      <c r="M13803" t="s">
        <v>705</v>
      </c>
    </row>
    <row r="13804" spans="1:13" x14ac:dyDescent="0.2">
      <c r="A13804" t="s">
        <v>698</v>
      </c>
      <c r="B13804" t="s">
        <v>133</v>
      </c>
      <c r="C13804" t="s">
        <v>9</v>
      </c>
      <c r="D13804">
        <v>5205</v>
      </c>
      <c r="E13804">
        <v>2020</v>
      </c>
      <c r="F13804">
        <v>2</v>
      </c>
      <c r="G13804">
        <v>12537</v>
      </c>
      <c r="H13804" s="1">
        <v>3</v>
      </c>
      <c r="I13804">
        <v>100</v>
      </c>
      <c r="J13804">
        <f>IF($H13804=0,1,IF($I13804&lt;=1,2,0))</f>
        <v>0</v>
      </c>
      <c r="K13804">
        <v>4</v>
      </c>
      <c r="L13804">
        <f>IF(AND($J13804=0,$K13804=0),0,1)</f>
        <v>1</v>
      </c>
      <c r="M13804" t="s">
        <v>705</v>
      </c>
    </row>
    <row r="13805" spans="1:13" x14ac:dyDescent="0.2">
      <c r="A13805" t="s">
        <v>698</v>
      </c>
      <c r="B13805" t="s">
        <v>133</v>
      </c>
      <c r="C13805" t="s">
        <v>9</v>
      </c>
      <c r="D13805">
        <v>5205</v>
      </c>
      <c r="E13805">
        <v>2020</v>
      </c>
      <c r="F13805">
        <v>4</v>
      </c>
      <c r="G13805">
        <v>12541</v>
      </c>
      <c r="H13805" s="1">
        <v>3</v>
      </c>
      <c r="I13805">
        <v>41</v>
      </c>
      <c r="J13805">
        <f>IF($H13805=0,1,IF($I13805&lt;=1,2,0))</f>
        <v>0</v>
      </c>
      <c r="K13805">
        <v>4</v>
      </c>
      <c r="L13805">
        <f>IF(AND($J13805=0,$K13805=0),0,1)</f>
        <v>1</v>
      </c>
      <c r="M13805" t="s">
        <v>705</v>
      </c>
    </row>
    <row r="13806" spans="1:13" x14ac:dyDescent="0.2">
      <c r="A13806" t="s">
        <v>698</v>
      </c>
      <c r="B13806" t="s">
        <v>133</v>
      </c>
      <c r="C13806" t="s">
        <v>9</v>
      </c>
      <c r="D13806">
        <v>5205</v>
      </c>
      <c r="E13806">
        <v>2020</v>
      </c>
      <c r="F13806">
        <v>3</v>
      </c>
      <c r="G13806">
        <v>12539</v>
      </c>
      <c r="H13806" s="1">
        <v>3</v>
      </c>
      <c r="I13806">
        <v>16</v>
      </c>
      <c r="J13806">
        <f>IF($H13806=0,1,IF($I13806&lt;=1,2,0))</f>
        <v>0</v>
      </c>
      <c r="K13806">
        <v>4</v>
      </c>
      <c r="L13806">
        <f>IF(AND($J13806=0,$K13806=0),0,1)</f>
        <v>1</v>
      </c>
      <c r="M13806" t="s">
        <v>705</v>
      </c>
    </row>
    <row r="13807" spans="1:13" x14ac:dyDescent="0.2">
      <c r="A13807" t="s">
        <v>698</v>
      </c>
      <c r="B13807" t="s">
        <v>133</v>
      </c>
      <c r="C13807" t="s">
        <v>9</v>
      </c>
      <c r="D13807">
        <v>5206</v>
      </c>
      <c r="E13807">
        <v>2020</v>
      </c>
      <c r="F13807">
        <v>1</v>
      </c>
      <c r="G13807">
        <v>21310</v>
      </c>
      <c r="H13807" s="1">
        <v>3</v>
      </c>
      <c r="I13807">
        <v>102</v>
      </c>
      <c r="J13807">
        <f>IF($H13807=0,1,IF($I13807&lt;=1,2,0))</f>
        <v>0</v>
      </c>
      <c r="K13807">
        <v>4</v>
      </c>
      <c r="L13807">
        <f>IF(AND($J13807=0,$K13807=0),0,1)</f>
        <v>1</v>
      </c>
      <c r="M13807" t="s">
        <v>2025</v>
      </c>
    </row>
    <row r="13808" spans="1:13" x14ac:dyDescent="0.2">
      <c r="A13808" t="s">
        <v>698</v>
      </c>
      <c r="B13808" t="s">
        <v>133</v>
      </c>
      <c r="C13808" t="s">
        <v>9</v>
      </c>
      <c r="D13808">
        <v>5206</v>
      </c>
      <c r="E13808">
        <v>2020</v>
      </c>
      <c r="F13808">
        <v>3</v>
      </c>
      <c r="G13808">
        <v>12545</v>
      </c>
      <c r="H13808" s="1">
        <v>3</v>
      </c>
      <c r="I13808">
        <v>28</v>
      </c>
      <c r="J13808">
        <f>IF($H13808=0,1,IF($I13808&lt;=1,2,0))</f>
        <v>0</v>
      </c>
      <c r="K13808">
        <v>4</v>
      </c>
      <c r="L13808">
        <f>IF(AND($J13808=0,$K13808=0),0,1)</f>
        <v>1</v>
      </c>
      <c r="M13808" t="s">
        <v>713</v>
      </c>
    </row>
    <row r="13809" spans="1:13" x14ac:dyDescent="0.2">
      <c r="A13809" t="s">
        <v>698</v>
      </c>
      <c r="B13809" t="s">
        <v>133</v>
      </c>
      <c r="C13809" t="s">
        <v>9</v>
      </c>
      <c r="D13809">
        <v>5206</v>
      </c>
      <c r="E13809">
        <v>2020</v>
      </c>
      <c r="F13809">
        <v>4</v>
      </c>
      <c r="G13809">
        <v>12369</v>
      </c>
      <c r="H13809" s="1">
        <v>3</v>
      </c>
      <c r="I13809">
        <v>25</v>
      </c>
      <c r="J13809">
        <f>IF($H13809=0,1,IF($I13809&lt;=1,2,0))</f>
        <v>0</v>
      </c>
      <c r="K13809">
        <v>4</v>
      </c>
      <c r="L13809">
        <f>IF(AND($J13809=0,$K13809=0),0,1)</f>
        <v>1</v>
      </c>
      <c r="M13809" t="s">
        <v>713</v>
      </c>
    </row>
    <row r="13810" spans="1:13" x14ac:dyDescent="0.2">
      <c r="A13810" t="s">
        <v>698</v>
      </c>
      <c r="B13810" t="s">
        <v>133</v>
      </c>
      <c r="C13810" t="s">
        <v>9</v>
      </c>
      <c r="D13810">
        <v>5207</v>
      </c>
      <c r="E13810">
        <v>2020</v>
      </c>
      <c r="F13810">
        <v>1</v>
      </c>
      <c r="G13810">
        <v>12547</v>
      </c>
      <c r="H13810" s="1">
        <v>3</v>
      </c>
      <c r="I13810">
        <v>10</v>
      </c>
      <c r="J13810">
        <f>IF($H13810=0,1,IF($I13810&lt;=1,2,0))</f>
        <v>0</v>
      </c>
      <c r="K13810">
        <v>4</v>
      </c>
      <c r="L13810">
        <f>IF(AND($J13810=0,$K13810=0),0,1)</f>
        <v>1</v>
      </c>
      <c r="M13810" t="s">
        <v>705</v>
      </c>
    </row>
    <row r="13811" spans="1:13" x14ac:dyDescent="0.2">
      <c r="A13811" t="s">
        <v>698</v>
      </c>
      <c r="B13811" t="s">
        <v>133</v>
      </c>
      <c r="C13811" t="s">
        <v>9</v>
      </c>
      <c r="D13811">
        <v>5224</v>
      </c>
      <c r="E13811">
        <v>2020</v>
      </c>
      <c r="F13811">
        <v>1</v>
      </c>
      <c r="G13811">
        <v>12548</v>
      </c>
      <c r="H13811" s="1">
        <v>3</v>
      </c>
      <c r="I13811">
        <v>18</v>
      </c>
      <c r="J13811">
        <f>IF($H13811=0,1,IF($I13811&lt;=1,2,0))</f>
        <v>0</v>
      </c>
      <c r="K13811">
        <v>4</v>
      </c>
      <c r="L13811">
        <f>IF(AND($J13811=0,$K13811=0),0,1)</f>
        <v>1</v>
      </c>
      <c r="M13811" t="s">
        <v>705</v>
      </c>
    </row>
    <row r="13812" spans="1:13" x14ac:dyDescent="0.2">
      <c r="A13812" t="s">
        <v>698</v>
      </c>
      <c r="B13812" t="s">
        <v>133</v>
      </c>
      <c r="C13812" t="s">
        <v>11</v>
      </c>
      <c r="D13812">
        <v>5234</v>
      </c>
      <c r="E13812">
        <v>2020</v>
      </c>
      <c r="F13812">
        <v>1</v>
      </c>
      <c r="G13812">
        <v>12375</v>
      </c>
      <c r="H13812" s="1">
        <v>3</v>
      </c>
      <c r="I13812">
        <v>86</v>
      </c>
      <c r="J13812">
        <f>IF($H13812=0,1,IF($I13812&lt;=1,2,0))</f>
        <v>0</v>
      </c>
      <c r="K13812">
        <v>4</v>
      </c>
      <c r="L13812">
        <f>IF(AND($J13812=0,$K13812=0),0,1)</f>
        <v>1</v>
      </c>
      <c r="M13812" t="s">
        <v>705</v>
      </c>
    </row>
    <row r="13813" spans="1:13" x14ac:dyDescent="0.2">
      <c r="A13813" t="s">
        <v>698</v>
      </c>
      <c r="B13813" t="s">
        <v>133</v>
      </c>
      <c r="C13813" t="s">
        <v>9</v>
      </c>
      <c r="D13813">
        <v>5242</v>
      </c>
      <c r="E13813">
        <v>2020</v>
      </c>
      <c r="F13813">
        <v>1</v>
      </c>
      <c r="G13813">
        <v>12378</v>
      </c>
      <c r="H13813" s="1">
        <v>3</v>
      </c>
      <c r="I13813">
        <v>89</v>
      </c>
      <c r="J13813">
        <f>IF($H13813=0,1,IF($I13813&lt;=1,2,0))</f>
        <v>0</v>
      </c>
      <c r="K13813">
        <v>4</v>
      </c>
      <c r="L13813">
        <f>IF(AND($J13813=0,$K13813=0),0,1)</f>
        <v>1</v>
      </c>
      <c r="M13813" t="s">
        <v>714</v>
      </c>
    </row>
    <row r="13814" spans="1:13" x14ac:dyDescent="0.2">
      <c r="A13814" t="s">
        <v>698</v>
      </c>
      <c r="B13814" t="s">
        <v>133</v>
      </c>
      <c r="C13814" t="s">
        <v>9</v>
      </c>
      <c r="D13814">
        <v>5242</v>
      </c>
      <c r="E13814">
        <v>2020</v>
      </c>
      <c r="F13814">
        <v>2</v>
      </c>
      <c r="G13814">
        <v>12379</v>
      </c>
      <c r="H13814" s="1">
        <v>3</v>
      </c>
      <c r="I13814">
        <v>79</v>
      </c>
      <c r="J13814">
        <f>IF($H13814=0,1,IF($I13814&lt;=1,2,0))</f>
        <v>0</v>
      </c>
      <c r="K13814">
        <v>4</v>
      </c>
      <c r="L13814">
        <f>IF(AND($J13814=0,$K13814=0),0,1)</f>
        <v>1</v>
      </c>
      <c r="M13814" t="s">
        <v>714</v>
      </c>
    </row>
    <row r="13815" spans="1:13" x14ac:dyDescent="0.2">
      <c r="A13815" t="s">
        <v>698</v>
      </c>
      <c r="B13815" t="s">
        <v>133</v>
      </c>
      <c r="C13815" t="s">
        <v>9</v>
      </c>
      <c r="D13815">
        <v>5243</v>
      </c>
      <c r="E13815">
        <v>2020</v>
      </c>
      <c r="F13815">
        <v>1</v>
      </c>
      <c r="G13815">
        <v>12549</v>
      </c>
      <c r="H13815" s="1">
        <v>3</v>
      </c>
      <c r="I13815">
        <v>31</v>
      </c>
      <c r="J13815">
        <f>IF($H13815=0,1,IF($I13815&lt;=1,2,0))</f>
        <v>0</v>
      </c>
      <c r="K13815">
        <v>4</v>
      </c>
      <c r="L13815">
        <f>IF(AND($J13815=0,$K13815=0),0,1)</f>
        <v>1</v>
      </c>
      <c r="M13815" t="s">
        <v>705</v>
      </c>
    </row>
    <row r="13816" spans="1:13" x14ac:dyDescent="0.2">
      <c r="A13816" t="s">
        <v>698</v>
      </c>
      <c r="B13816" t="s">
        <v>133</v>
      </c>
      <c r="C13816" t="s">
        <v>11</v>
      </c>
      <c r="D13816">
        <v>5245</v>
      </c>
      <c r="E13816">
        <v>2020</v>
      </c>
      <c r="F13816" t="s">
        <v>848</v>
      </c>
      <c r="G13816">
        <v>22276</v>
      </c>
      <c r="H13816" s="1">
        <v>1</v>
      </c>
      <c r="I13816">
        <v>36</v>
      </c>
      <c r="J13816">
        <f>IF($H13816=0,1,IF($I13816&lt;=1,2,0))</f>
        <v>0</v>
      </c>
      <c r="K13816">
        <v>4</v>
      </c>
      <c r="L13816">
        <f>IF(AND($J13816=0,$K13816=0),0,1)</f>
        <v>1</v>
      </c>
      <c r="M13816" t="s">
        <v>1286</v>
      </c>
    </row>
    <row r="13817" spans="1:13" x14ac:dyDescent="0.2">
      <c r="A13817" t="s">
        <v>698</v>
      </c>
      <c r="B13817" t="s">
        <v>133</v>
      </c>
      <c r="C13817" t="s">
        <v>11</v>
      </c>
      <c r="D13817">
        <v>5245</v>
      </c>
      <c r="E13817">
        <v>2020</v>
      </c>
      <c r="F13817">
        <v>3</v>
      </c>
      <c r="G13817">
        <v>22278</v>
      </c>
      <c r="H13817" s="1">
        <v>1</v>
      </c>
      <c r="I13817">
        <v>30</v>
      </c>
      <c r="J13817">
        <f>IF($H13817=0,1,IF($I13817&lt;=1,2,0))</f>
        <v>0</v>
      </c>
      <c r="K13817">
        <v>4</v>
      </c>
      <c r="L13817">
        <f>IF(AND($J13817=0,$K13817=0),0,1)</f>
        <v>1</v>
      </c>
      <c r="M13817" t="s">
        <v>1285</v>
      </c>
    </row>
    <row r="13818" spans="1:13" x14ac:dyDescent="0.2">
      <c r="A13818" t="s">
        <v>698</v>
      </c>
      <c r="B13818" t="s">
        <v>133</v>
      </c>
      <c r="C13818" t="s">
        <v>11</v>
      </c>
      <c r="D13818">
        <v>5245</v>
      </c>
      <c r="E13818">
        <v>2020</v>
      </c>
      <c r="F13818">
        <v>2</v>
      </c>
      <c r="G13818">
        <v>22277</v>
      </c>
      <c r="H13818" s="1">
        <v>1</v>
      </c>
      <c r="I13818">
        <v>21</v>
      </c>
      <c r="J13818">
        <f>IF($H13818=0,1,IF($I13818&lt;=1,2,0))</f>
        <v>0</v>
      </c>
      <c r="K13818">
        <v>4</v>
      </c>
      <c r="L13818">
        <f>IF(AND($J13818=0,$K13818=0),0,1)</f>
        <v>1</v>
      </c>
      <c r="M13818" t="s">
        <v>1284</v>
      </c>
    </row>
    <row r="13819" spans="1:13" x14ac:dyDescent="0.2">
      <c r="A13819" t="s">
        <v>698</v>
      </c>
      <c r="B13819" t="s">
        <v>133</v>
      </c>
      <c r="C13819" t="s">
        <v>9</v>
      </c>
      <c r="D13819">
        <v>5261</v>
      </c>
      <c r="E13819">
        <v>2020</v>
      </c>
      <c r="F13819">
        <v>1</v>
      </c>
      <c r="G13819">
        <v>12550</v>
      </c>
      <c r="H13819" s="1">
        <v>3</v>
      </c>
      <c r="I13819">
        <v>42</v>
      </c>
      <c r="J13819">
        <f>IF($H13819=0,1,IF($I13819&lt;=1,2,0))</f>
        <v>0</v>
      </c>
      <c r="K13819">
        <v>4</v>
      </c>
      <c r="L13819">
        <f>IF(AND($J13819=0,$K13819=0),0,1)</f>
        <v>1</v>
      </c>
      <c r="M13819" t="s">
        <v>715</v>
      </c>
    </row>
    <row r="13820" spans="1:13" x14ac:dyDescent="0.2">
      <c r="A13820" t="s">
        <v>698</v>
      </c>
      <c r="B13820" t="s">
        <v>133</v>
      </c>
      <c r="C13820" t="s">
        <v>11</v>
      </c>
      <c r="D13820">
        <v>5263</v>
      </c>
      <c r="E13820">
        <v>2020</v>
      </c>
      <c r="F13820">
        <v>2</v>
      </c>
      <c r="G13820">
        <v>12552</v>
      </c>
      <c r="H13820" s="1">
        <v>3</v>
      </c>
      <c r="I13820">
        <v>53</v>
      </c>
      <c r="J13820">
        <f>IF($H13820=0,1,IF($I13820&lt;=1,2,0))</f>
        <v>0</v>
      </c>
      <c r="K13820">
        <v>4</v>
      </c>
      <c r="L13820">
        <f>IF(AND($J13820=0,$K13820=0),0,1)</f>
        <v>1</v>
      </c>
      <c r="M13820" t="s">
        <v>716</v>
      </c>
    </row>
    <row r="13821" spans="1:13" x14ac:dyDescent="0.2">
      <c r="A13821" t="s">
        <v>698</v>
      </c>
      <c r="B13821" t="s">
        <v>133</v>
      </c>
      <c r="C13821" t="s">
        <v>11</v>
      </c>
      <c r="D13821">
        <v>5263</v>
      </c>
      <c r="E13821">
        <v>2020</v>
      </c>
      <c r="F13821">
        <v>1</v>
      </c>
      <c r="G13821">
        <v>12381</v>
      </c>
      <c r="H13821" s="1">
        <v>3</v>
      </c>
      <c r="I13821">
        <v>36</v>
      </c>
      <c r="J13821">
        <f>IF($H13821=0,1,IF($I13821&lt;=1,2,0))</f>
        <v>0</v>
      </c>
      <c r="K13821">
        <v>4</v>
      </c>
      <c r="L13821">
        <f>IF(AND($J13821=0,$K13821=0),0,1)</f>
        <v>1</v>
      </c>
      <c r="M13821" t="s">
        <v>716</v>
      </c>
    </row>
    <row r="13822" spans="1:13" x14ac:dyDescent="0.2">
      <c r="A13822" t="s">
        <v>698</v>
      </c>
      <c r="B13822" t="s">
        <v>133</v>
      </c>
      <c r="C13822" t="s">
        <v>11</v>
      </c>
      <c r="D13822">
        <v>5264</v>
      </c>
      <c r="E13822">
        <v>2020</v>
      </c>
      <c r="F13822">
        <v>2</v>
      </c>
      <c r="G13822">
        <v>12555</v>
      </c>
      <c r="H13822" s="1">
        <v>3</v>
      </c>
      <c r="I13822">
        <v>56</v>
      </c>
      <c r="J13822">
        <f>IF($H13822=0,1,IF($I13822&lt;=1,2,0))</f>
        <v>0</v>
      </c>
      <c r="K13822">
        <v>4</v>
      </c>
      <c r="L13822">
        <f>IF(AND($J13822=0,$K13822=0),0,1)</f>
        <v>1</v>
      </c>
      <c r="M13822" t="s">
        <v>1287</v>
      </c>
    </row>
    <row r="13823" spans="1:13" x14ac:dyDescent="0.2">
      <c r="A13823" t="s">
        <v>698</v>
      </c>
      <c r="B13823" t="s">
        <v>133</v>
      </c>
      <c r="C13823" t="s">
        <v>11</v>
      </c>
      <c r="D13823">
        <v>5264</v>
      </c>
      <c r="E13823">
        <v>2020</v>
      </c>
      <c r="F13823">
        <v>1</v>
      </c>
      <c r="G13823">
        <v>12383</v>
      </c>
      <c r="H13823" s="1">
        <v>3</v>
      </c>
      <c r="I13823">
        <v>7</v>
      </c>
      <c r="J13823">
        <f>IF($H13823=0,1,IF($I13823&lt;=1,2,0))</f>
        <v>0</v>
      </c>
      <c r="K13823">
        <v>4</v>
      </c>
      <c r="L13823">
        <f>IF(AND($J13823=0,$K13823=0),0,1)</f>
        <v>1</v>
      </c>
      <c r="M13823" t="s">
        <v>715</v>
      </c>
    </row>
    <row r="13824" spans="1:13" x14ac:dyDescent="0.2">
      <c r="A13824" t="s">
        <v>698</v>
      </c>
      <c r="B13824" t="s">
        <v>133</v>
      </c>
      <c r="C13824" t="s">
        <v>9</v>
      </c>
      <c r="D13824">
        <v>5291</v>
      </c>
      <c r="E13824">
        <v>2020</v>
      </c>
      <c r="F13824">
        <v>1</v>
      </c>
      <c r="G13824">
        <v>12385</v>
      </c>
      <c r="H13824" s="1">
        <v>3</v>
      </c>
      <c r="I13824">
        <v>168</v>
      </c>
      <c r="J13824">
        <f>IF($H13824=0,1,IF($I13824&lt;=1,2,0))</f>
        <v>0</v>
      </c>
      <c r="K13824">
        <v>4</v>
      </c>
      <c r="L13824">
        <f>IF(AND($J13824=0,$K13824=0),0,1)</f>
        <v>1</v>
      </c>
      <c r="M13824" t="s">
        <v>705</v>
      </c>
    </row>
    <row r="13825" spans="1:13" x14ac:dyDescent="0.2">
      <c r="A13825" t="s">
        <v>698</v>
      </c>
      <c r="B13825" t="s">
        <v>133</v>
      </c>
      <c r="C13825" t="s">
        <v>11</v>
      </c>
      <c r="D13825">
        <v>5293</v>
      </c>
      <c r="E13825">
        <v>2020</v>
      </c>
      <c r="F13825">
        <v>1</v>
      </c>
      <c r="G13825">
        <v>12558</v>
      </c>
      <c r="H13825" s="1">
        <v>3</v>
      </c>
      <c r="I13825">
        <v>30</v>
      </c>
      <c r="J13825">
        <f>IF($H13825=0,1,IF($I13825&lt;=1,2,0))</f>
        <v>0</v>
      </c>
      <c r="K13825">
        <v>4</v>
      </c>
      <c r="L13825">
        <f>IF(AND($J13825=0,$K13825=0),0,1)</f>
        <v>1</v>
      </c>
      <c r="M13825" t="s">
        <v>717</v>
      </c>
    </row>
    <row r="13826" spans="1:13" x14ac:dyDescent="0.2">
      <c r="A13826" t="s">
        <v>698</v>
      </c>
      <c r="B13826" t="s">
        <v>133</v>
      </c>
      <c r="C13826" t="s">
        <v>11</v>
      </c>
      <c r="D13826">
        <v>5293</v>
      </c>
      <c r="E13826">
        <v>2020</v>
      </c>
      <c r="F13826">
        <v>2</v>
      </c>
      <c r="G13826">
        <v>15519</v>
      </c>
      <c r="H13826" s="1">
        <v>3</v>
      </c>
      <c r="I13826">
        <v>11</v>
      </c>
      <c r="J13826">
        <f>IF($H13826=0,1,IF($I13826&lt;=1,2,0))</f>
        <v>0</v>
      </c>
      <c r="K13826">
        <v>4</v>
      </c>
      <c r="L13826">
        <f>IF(AND($J13826=0,$K13826=0),0,1)</f>
        <v>1</v>
      </c>
      <c r="M13826" t="s">
        <v>1288</v>
      </c>
    </row>
    <row r="13827" spans="1:13" x14ac:dyDescent="0.2">
      <c r="A13827" t="s">
        <v>698</v>
      </c>
      <c r="B13827" t="s">
        <v>133</v>
      </c>
      <c r="C13827" t="s">
        <v>11</v>
      </c>
      <c r="D13827">
        <v>5293</v>
      </c>
      <c r="E13827">
        <v>2020</v>
      </c>
      <c r="F13827">
        <v>3</v>
      </c>
      <c r="G13827">
        <v>15500</v>
      </c>
      <c r="H13827" s="1">
        <v>3</v>
      </c>
      <c r="I13827">
        <v>6</v>
      </c>
      <c r="J13827">
        <f>IF($H13827=0,1,IF($I13827&lt;=1,2,0))</f>
        <v>0</v>
      </c>
      <c r="K13827">
        <v>4</v>
      </c>
      <c r="L13827">
        <f>IF(AND($J13827=0,$K13827=0),0,1)</f>
        <v>1</v>
      </c>
      <c r="M13827" t="s">
        <v>2026</v>
      </c>
    </row>
    <row r="13828" spans="1:13" x14ac:dyDescent="0.2">
      <c r="A13828" t="s">
        <v>698</v>
      </c>
      <c r="B13828" t="s">
        <v>133</v>
      </c>
      <c r="C13828" t="s">
        <v>11</v>
      </c>
      <c r="D13828">
        <v>5293</v>
      </c>
      <c r="E13828">
        <v>2020</v>
      </c>
      <c r="F13828">
        <v>5</v>
      </c>
      <c r="G13828">
        <v>22301</v>
      </c>
      <c r="H13828" s="1" t="s">
        <v>1837</v>
      </c>
      <c r="I13828">
        <v>5</v>
      </c>
      <c r="J13828">
        <f>IF($H13828=0,1,IF($I13828&lt;=1,2,0))</f>
        <v>0</v>
      </c>
      <c r="K13828">
        <v>4</v>
      </c>
      <c r="L13828">
        <f>IF(AND($J13828=0,$K13828=0),0,1)</f>
        <v>1</v>
      </c>
      <c r="M13828" t="s">
        <v>1290</v>
      </c>
    </row>
    <row r="13829" spans="1:13" x14ac:dyDescent="0.2">
      <c r="A13829" t="s">
        <v>698</v>
      </c>
      <c r="B13829" t="s">
        <v>133</v>
      </c>
      <c r="C13829" t="s">
        <v>11</v>
      </c>
      <c r="D13829">
        <v>5391</v>
      </c>
      <c r="E13829">
        <v>2020</v>
      </c>
      <c r="F13829">
        <v>1</v>
      </c>
      <c r="G13829">
        <v>12522</v>
      </c>
      <c r="H13829" s="1">
        <v>0</v>
      </c>
      <c r="I13829">
        <v>98</v>
      </c>
      <c r="J13829">
        <f>IF($H13829=0,1,IF($I13829&lt;=1,2,0))</f>
        <v>1</v>
      </c>
      <c r="K13829">
        <v>0</v>
      </c>
      <c r="L13829">
        <f>IF(AND($J13829=0,$K13829=0),0,1)</f>
        <v>1</v>
      </c>
      <c r="M13829" t="s">
        <v>1291</v>
      </c>
    </row>
    <row r="13830" spans="1:13" x14ac:dyDescent="0.2">
      <c r="A13830" t="s">
        <v>698</v>
      </c>
      <c r="B13830" t="s">
        <v>133</v>
      </c>
      <c r="C13830" t="s">
        <v>11</v>
      </c>
      <c r="D13830">
        <v>5391</v>
      </c>
      <c r="E13830">
        <v>2020</v>
      </c>
      <c r="F13830">
        <v>3</v>
      </c>
      <c r="G13830">
        <v>12652</v>
      </c>
      <c r="H13830" s="1">
        <v>0</v>
      </c>
      <c r="I13830">
        <v>19</v>
      </c>
      <c r="J13830">
        <f>IF($H13830=0,1,IF($I13830&lt;=1,2,0))</f>
        <v>1</v>
      </c>
      <c r="K13830">
        <v>0</v>
      </c>
      <c r="L13830">
        <f>IF(AND($J13830=0,$K13830=0),0,1)</f>
        <v>1</v>
      </c>
      <c r="M13830" t="s">
        <v>1292</v>
      </c>
    </row>
    <row r="13831" spans="1:13" x14ac:dyDescent="0.2">
      <c r="A13831" t="s">
        <v>698</v>
      </c>
      <c r="B13831" t="s">
        <v>133</v>
      </c>
      <c r="C13831" t="s">
        <v>11</v>
      </c>
      <c r="D13831">
        <v>5391</v>
      </c>
      <c r="E13831">
        <v>2020</v>
      </c>
      <c r="F13831">
        <v>2</v>
      </c>
      <c r="G13831">
        <v>12526</v>
      </c>
      <c r="H13831" s="1">
        <v>0</v>
      </c>
      <c r="I13831">
        <v>11</v>
      </c>
      <c r="J13831">
        <f>IF($H13831=0,1,IF($I13831&lt;=1,2,0))</f>
        <v>1</v>
      </c>
      <c r="K13831">
        <v>0</v>
      </c>
      <c r="L13831">
        <f>IF(AND($J13831=0,$K13831=0),0,1)</f>
        <v>1</v>
      </c>
      <c r="M13831" t="s">
        <v>1291</v>
      </c>
    </row>
    <row r="13832" spans="1:13" x14ac:dyDescent="0.2">
      <c r="A13832" t="s">
        <v>698</v>
      </c>
      <c r="B13832" t="s">
        <v>133</v>
      </c>
      <c r="C13832" t="s">
        <v>11</v>
      </c>
      <c r="D13832">
        <v>5398</v>
      </c>
      <c r="E13832">
        <v>2020</v>
      </c>
      <c r="F13832">
        <v>2</v>
      </c>
      <c r="G13832">
        <v>25058</v>
      </c>
      <c r="H13832" s="1" t="s">
        <v>1831</v>
      </c>
      <c r="I13832">
        <v>1</v>
      </c>
      <c r="J13832">
        <f>IF($H13832=0,1,IF($I13832&lt;=1,2,0))</f>
        <v>2</v>
      </c>
      <c r="K13832">
        <v>0</v>
      </c>
      <c r="L13832">
        <f>IF(AND($J13832=0,$K13832=0),0,1)</f>
        <v>1</v>
      </c>
      <c r="M13832" t="s">
        <v>1293</v>
      </c>
    </row>
    <row r="13833" spans="1:13" x14ac:dyDescent="0.2">
      <c r="A13833" t="s">
        <v>698</v>
      </c>
      <c r="B13833" t="s">
        <v>133</v>
      </c>
      <c r="C13833" t="s">
        <v>9</v>
      </c>
      <c r="D13833">
        <v>5701</v>
      </c>
      <c r="E13833">
        <v>2020</v>
      </c>
      <c r="F13833">
        <v>1</v>
      </c>
      <c r="G13833">
        <v>12388</v>
      </c>
      <c r="H13833" s="1">
        <v>3</v>
      </c>
      <c r="I13833">
        <v>75</v>
      </c>
      <c r="J13833">
        <f>IF($H13833=0,1,IF($I13833&lt;=1,2,0))</f>
        <v>0</v>
      </c>
      <c r="K13833">
        <v>4</v>
      </c>
      <c r="L13833">
        <f>IF(AND($J13833=0,$K13833=0),0,1)</f>
        <v>1</v>
      </c>
      <c r="M13833" t="s">
        <v>722</v>
      </c>
    </row>
    <row r="13834" spans="1:13" x14ac:dyDescent="0.2">
      <c r="A13834" t="s">
        <v>698</v>
      </c>
      <c r="B13834" t="s">
        <v>133</v>
      </c>
      <c r="C13834" t="s">
        <v>9</v>
      </c>
      <c r="D13834">
        <v>5701</v>
      </c>
      <c r="E13834">
        <v>2020</v>
      </c>
      <c r="F13834">
        <v>2</v>
      </c>
      <c r="G13834">
        <v>21922</v>
      </c>
      <c r="H13834" s="1">
        <v>3</v>
      </c>
      <c r="I13834">
        <v>20</v>
      </c>
      <c r="J13834">
        <f>IF($H13834=0,1,IF($I13834&lt;=1,2,0))</f>
        <v>0</v>
      </c>
      <c r="K13834">
        <v>4</v>
      </c>
      <c r="L13834">
        <f>IF(AND($J13834=0,$K13834=0),0,1)</f>
        <v>1</v>
      </c>
      <c r="M13834" t="s">
        <v>1294</v>
      </c>
    </row>
    <row r="13835" spans="1:13" x14ac:dyDescent="0.2">
      <c r="A13835" t="s">
        <v>698</v>
      </c>
      <c r="B13835" t="s">
        <v>133</v>
      </c>
      <c r="C13835" t="s">
        <v>9</v>
      </c>
      <c r="D13835">
        <v>5701</v>
      </c>
      <c r="E13835">
        <v>2020</v>
      </c>
      <c r="F13835" t="s">
        <v>84</v>
      </c>
      <c r="G13835">
        <v>21596</v>
      </c>
      <c r="H13835" s="1">
        <v>3</v>
      </c>
      <c r="I13835">
        <v>1</v>
      </c>
      <c r="J13835">
        <f>IF($H13835=0,1,IF($I13835&lt;=1,2,0))</f>
        <v>2</v>
      </c>
      <c r="K13835">
        <v>0</v>
      </c>
      <c r="L13835">
        <f>IF(AND($J13835=0,$K13835=0),0,1)</f>
        <v>1</v>
      </c>
      <c r="M13835" t="s">
        <v>1295</v>
      </c>
    </row>
    <row r="13836" spans="1:13" x14ac:dyDescent="0.2">
      <c r="A13836" t="s">
        <v>698</v>
      </c>
      <c r="B13836" t="s">
        <v>133</v>
      </c>
      <c r="C13836" t="s">
        <v>9</v>
      </c>
      <c r="D13836">
        <v>5702</v>
      </c>
      <c r="E13836">
        <v>2020</v>
      </c>
      <c r="F13836">
        <v>1</v>
      </c>
      <c r="G13836">
        <v>12656</v>
      </c>
      <c r="H13836" s="1">
        <v>3</v>
      </c>
      <c r="I13836">
        <v>98</v>
      </c>
      <c r="J13836">
        <f>IF($H13836=0,1,IF($I13836&lt;=1,2,0))</f>
        <v>0</v>
      </c>
      <c r="K13836">
        <v>4</v>
      </c>
      <c r="L13836">
        <f>IF(AND($J13836=0,$K13836=0),0,1)</f>
        <v>1</v>
      </c>
      <c r="M13836" t="s">
        <v>1296</v>
      </c>
    </row>
    <row r="13837" spans="1:13" x14ac:dyDescent="0.2">
      <c r="A13837" t="s">
        <v>698</v>
      </c>
      <c r="B13837" t="s">
        <v>133</v>
      </c>
      <c r="C13837" t="s">
        <v>9</v>
      </c>
      <c r="D13837">
        <v>5702</v>
      </c>
      <c r="E13837">
        <v>2020</v>
      </c>
      <c r="F13837" t="s">
        <v>84</v>
      </c>
      <c r="G13837">
        <v>21597</v>
      </c>
      <c r="H13837" s="1">
        <v>3</v>
      </c>
      <c r="I13837">
        <v>1</v>
      </c>
      <c r="J13837">
        <f>IF($H13837=0,1,IF($I13837&lt;=1,2,0))</f>
        <v>2</v>
      </c>
      <c r="K13837">
        <v>0</v>
      </c>
      <c r="L13837">
        <f>IF(AND($J13837=0,$K13837=0),0,1)</f>
        <v>1</v>
      </c>
      <c r="M13837" t="s">
        <v>85</v>
      </c>
    </row>
    <row r="13838" spans="1:13" x14ac:dyDescent="0.2">
      <c r="A13838" t="s">
        <v>698</v>
      </c>
      <c r="B13838" t="s">
        <v>133</v>
      </c>
      <c r="C13838" t="s">
        <v>11</v>
      </c>
      <c r="D13838">
        <v>6101</v>
      </c>
      <c r="E13838">
        <v>2020</v>
      </c>
      <c r="F13838">
        <v>1</v>
      </c>
      <c r="G13838">
        <v>12894</v>
      </c>
      <c r="H13838" s="1">
        <v>4</v>
      </c>
      <c r="I13838">
        <v>9</v>
      </c>
      <c r="J13838">
        <f>IF($H13838=0,1,IF($I13838&lt;=1,2,0))</f>
        <v>0</v>
      </c>
      <c r="K13838">
        <v>4</v>
      </c>
      <c r="L13838">
        <f>IF(AND($J13838=0,$K13838=0),0,1)</f>
        <v>1</v>
      </c>
      <c r="M13838" t="s">
        <v>725</v>
      </c>
    </row>
    <row r="13839" spans="1:13" x14ac:dyDescent="0.2">
      <c r="A13839" t="s">
        <v>698</v>
      </c>
      <c r="B13839" t="s">
        <v>133</v>
      </c>
      <c r="C13839" t="s">
        <v>34</v>
      </c>
      <c r="D13839">
        <v>6105</v>
      </c>
      <c r="E13839">
        <v>2020</v>
      </c>
      <c r="F13839">
        <v>1</v>
      </c>
      <c r="G13839">
        <v>12393</v>
      </c>
      <c r="H13839" s="1">
        <v>2</v>
      </c>
      <c r="I13839">
        <v>6</v>
      </c>
      <c r="J13839">
        <f>IF($H13839=0,1,IF($I13839&lt;=1,2,0))</f>
        <v>0</v>
      </c>
      <c r="K13839">
        <v>4</v>
      </c>
      <c r="L13839">
        <f>IF(AND($J13839=0,$K13839=0),0,1)</f>
        <v>1</v>
      </c>
      <c r="M13839" t="s">
        <v>725</v>
      </c>
    </row>
    <row r="13840" spans="1:13" x14ac:dyDescent="0.2">
      <c r="A13840" t="s">
        <v>698</v>
      </c>
      <c r="B13840" t="s">
        <v>133</v>
      </c>
      <c r="C13840" t="s">
        <v>11</v>
      </c>
      <c r="D13840">
        <v>6201</v>
      </c>
      <c r="E13840">
        <v>2020</v>
      </c>
      <c r="F13840">
        <v>1</v>
      </c>
      <c r="G13840">
        <v>12895</v>
      </c>
      <c r="H13840" s="1">
        <v>4</v>
      </c>
      <c r="I13840">
        <v>15</v>
      </c>
      <c r="J13840">
        <f>IF($H13840=0,1,IF($I13840&lt;=1,2,0))</f>
        <v>0</v>
      </c>
      <c r="K13840">
        <v>4</v>
      </c>
      <c r="L13840">
        <f>IF(AND($J13840=0,$K13840=0),0,1)</f>
        <v>1</v>
      </c>
      <c r="M13840" t="s">
        <v>725</v>
      </c>
    </row>
    <row r="13841" spans="1:13" x14ac:dyDescent="0.2">
      <c r="A13841" t="s">
        <v>698</v>
      </c>
      <c r="B13841" t="s">
        <v>133</v>
      </c>
      <c r="C13841" t="s">
        <v>11</v>
      </c>
      <c r="D13841">
        <v>6203</v>
      </c>
      <c r="E13841">
        <v>2020</v>
      </c>
      <c r="F13841">
        <v>1</v>
      </c>
      <c r="G13841">
        <v>12896</v>
      </c>
      <c r="H13841" s="1">
        <v>4</v>
      </c>
      <c r="I13841">
        <v>12</v>
      </c>
      <c r="J13841">
        <f>IF($H13841=0,1,IF($I13841&lt;=1,2,0))</f>
        <v>0</v>
      </c>
      <c r="K13841">
        <v>4</v>
      </c>
      <c r="L13841">
        <f>IF(AND($J13841=0,$K13841=0),0,1)</f>
        <v>1</v>
      </c>
      <c r="M13841" t="s">
        <v>725</v>
      </c>
    </row>
    <row r="13842" spans="1:13" x14ac:dyDescent="0.2">
      <c r="A13842" t="s">
        <v>698</v>
      </c>
      <c r="B13842" t="s">
        <v>133</v>
      </c>
      <c r="C13842" t="s">
        <v>11</v>
      </c>
      <c r="D13842">
        <v>6301</v>
      </c>
      <c r="E13842">
        <v>2020</v>
      </c>
      <c r="F13842">
        <v>1</v>
      </c>
      <c r="G13842">
        <v>12396</v>
      </c>
      <c r="H13842" s="1">
        <v>4</v>
      </c>
      <c r="I13842">
        <v>13</v>
      </c>
      <c r="J13842">
        <f>IF($H13842=0,1,IF($I13842&lt;=1,2,0))</f>
        <v>0</v>
      </c>
      <c r="K13842">
        <v>4</v>
      </c>
      <c r="L13842">
        <f>IF(AND($J13842=0,$K13842=0),0,1)</f>
        <v>1</v>
      </c>
      <c r="M13842" t="s">
        <v>725</v>
      </c>
    </row>
    <row r="13843" spans="1:13" x14ac:dyDescent="0.2">
      <c r="A13843" t="s">
        <v>698</v>
      </c>
      <c r="B13843" t="s">
        <v>133</v>
      </c>
      <c r="C13843" t="s">
        <v>11</v>
      </c>
      <c r="D13843">
        <v>6303</v>
      </c>
      <c r="E13843">
        <v>2020</v>
      </c>
      <c r="F13843">
        <v>1</v>
      </c>
      <c r="G13843">
        <v>15926</v>
      </c>
      <c r="H13843" s="1">
        <v>4</v>
      </c>
      <c r="I13843">
        <v>13</v>
      </c>
      <c r="J13843">
        <f>IF($H13843=0,1,IF($I13843&lt;=1,2,0))</f>
        <v>0</v>
      </c>
      <c r="K13843">
        <v>4</v>
      </c>
      <c r="L13843">
        <f>IF(AND($J13843=0,$K13843=0),0,1)</f>
        <v>1</v>
      </c>
      <c r="M13843" t="s">
        <v>1297</v>
      </c>
    </row>
    <row r="13844" spans="1:13" x14ac:dyDescent="0.2">
      <c r="A13844" t="s">
        <v>698</v>
      </c>
      <c r="B13844" t="s">
        <v>133</v>
      </c>
      <c r="C13844" t="s">
        <v>34</v>
      </c>
      <c r="D13844">
        <v>8201</v>
      </c>
      <c r="E13844">
        <v>2020</v>
      </c>
      <c r="F13844">
        <v>2</v>
      </c>
      <c r="G13844">
        <v>12899</v>
      </c>
      <c r="H13844" s="1">
        <v>3</v>
      </c>
      <c r="I13844">
        <v>12</v>
      </c>
      <c r="J13844">
        <f>IF($H13844=0,1,IF($I13844&lt;=1,2,0))</f>
        <v>0</v>
      </c>
      <c r="K13844">
        <v>4</v>
      </c>
      <c r="L13844">
        <f>IF(AND($J13844=0,$K13844=0),0,1)</f>
        <v>1</v>
      </c>
      <c r="M13844" t="s">
        <v>725</v>
      </c>
    </row>
    <row r="13845" spans="1:13" x14ac:dyDescent="0.2">
      <c r="A13845" t="s">
        <v>698</v>
      </c>
      <c r="B13845" t="s">
        <v>133</v>
      </c>
      <c r="C13845" t="s">
        <v>34</v>
      </c>
      <c r="D13845">
        <v>8201</v>
      </c>
      <c r="E13845">
        <v>2020</v>
      </c>
      <c r="F13845">
        <v>1</v>
      </c>
      <c r="G13845">
        <v>12398</v>
      </c>
      <c r="H13845" s="1">
        <v>3</v>
      </c>
      <c r="I13845">
        <v>9</v>
      </c>
      <c r="J13845">
        <f>IF($H13845=0,1,IF($I13845&lt;=1,2,0))</f>
        <v>0</v>
      </c>
      <c r="K13845">
        <v>4</v>
      </c>
      <c r="L13845">
        <f>IF(AND($J13845=0,$K13845=0),0,1)</f>
        <v>1</v>
      </c>
      <c r="M13845" t="s">
        <v>725</v>
      </c>
    </row>
    <row r="13846" spans="1:13" x14ac:dyDescent="0.2">
      <c r="A13846" t="s">
        <v>698</v>
      </c>
      <c r="B13846" t="s">
        <v>133</v>
      </c>
      <c r="C13846" t="s">
        <v>11</v>
      </c>
      <c r="D13846">
        <v>9201</v>
      </c>
      <c r="E13846">
        <v>2020</v>
      </c>
      <c r="F13846">
        <v>1</v>
      </c>
      <c r="G13846">
        <v>12900</v>
      </c>
      <c r="H13846" s="1">
        <v>3</v>
      </c>
      <c r="I13846">
        <v>50</v>
      </c>
      <c r="J13846">
        <f>IF($H13846=0,1,IF($I13846&lt;=1,2,0))</f>
        <v>0</v>
      </c>
      <c r="K13846">
        <v>5</v>
      </c>
      <c r="L13846">
        <f>IF(AND($J13846=0,$K13846=0),0,1)</f>
        <v>1</v>
      </c>
      <c r="M13846" t="s">
        <v>725</v>
      </c>
    </row>
    <row r="13847" spans="1:13" x14ac:dyDescent="0.2">
      <c r="A13847" t="s">
        <v>698</v>
      </c>
      <c r="B13847" t="s">
        <v>133</v>
      </c>
      <c r="C13847" t="s">
        <v>11</v>
      </c>
      <c r="D13847">
        <v>9301</v>
      </c>
      <c r="E13847">
        <v>2020</v>
      </c>
      <c r="F13847">
        <v>1</v>
      </c>
      <c r="G13847">
        <v>12402</v>
      </c>
      <c r="H13847" s="1">
        <v>3</v>
      </c>
      <c r="I13847">
        <v>2</v>
      </c>
      <c r="J13847">
        <f>IF($H13847=0,1,IF($I13847&lt;=1,2,0))</f>
        <v>0</v>
      </c>
      <c r="K13847">
        <v>5</v>
      </c>
      <c r="L13847">
        <f>IF(AND($J13847=0,$K13847=0),0,1)</f>
        <v>1</v>
      </c>
    </row>
    <row r="13848" spans="1:13" x14ac:dyDescent="0.2">
      <c r="A13848" t="s">
        <v>698</v>
      </c>
      <c r="B13848" t="s">
        <v>133</v>
      </c>
      <c r="C13848" t="s">
        <v>11</v>
      </c>
      <c r="D13848">
        <v>9302</v>
      </c>
      <c r="E13848">
        <v>2020</v>
      </c>
      <c r="F13848">
        <v>1</v>
      </c>
      <c r="G13848">
        <v>12901</v>
      </c>
      <c r="H13848" s="1">
        <v>1</v>
      </c>
      <c r="I13848">
        <v>5</v>
      </c>
      <c r="J13848">
        <f>IF($H13848=0,1,IF($I13848&lt;=1,2,0))</f>
        <v>0</v>
      </c>
      <c r="K13848">
        <v>5</v>
      </c>
      <c r="L13848">
        <f>IF(AND($J13848=0,$K13848=0),0,1)</f>
        <v>1</v>
      </c>
    </row>
    <row r="13849" spans="1:13" x14ac:dyDescent="0.2">
      <c r="A13849" t="s">
        <v>698</v>
      </c>
      <c r="B13849" t="s">
        <v>133</v>
      </c>
      <c r="C13849" t="s">
        <v>11</v>
      </c>
      <c r="D13849">
        <v>9303</v>
      </c>
      <c r="E13849">
        <v>2020</v>
      </c>
      <c r="F13849">
        <v>1</v>
      </c>
      <c r="G13849">
        <v>12404</v>
      </c>
      <c r="H13849" s="1">
        <v>3</v>
      </c>
      <c r="I13849">
        <v>3</v>
      </c>
      <c r="J13849">
        <f>IF($H13849=0,1,IF($I13849&lt;=1,2,0))</f>
        <v>0</v>
      </c>
      <c r="K13849">
        <v>5</v>
      </c>
      <c r="L13849">
        <f>IF(AND($J13849=0,$K13849=0),0,1)</f>
        <v>1</v>
      </c>
      <c r="M13849" t="s">
        <v>725</v>
      </c>
    </row>
    <row r="13850" spans="1:13" x14ac:dyDescent="0.2">
      <c r="A13850" t="s">
        <v>739</v>
      </c>
      <c r="B13850" t="s">
        <v>386</v>
      </c>
      <c r="C13850" t="s">
        <v>21</v>
      </c>
      <c r="D13850">
        <v>2422</v>
      </c>
      <c r="E13850">
        <v>2020</v>
      </c>
      <c r="F13850">
        <v>1</v>
      </c>
      <c r="G13850">
        <v>19</v>
      </c>
      <c r="H13850" s="1" t="s">
        <v>1827</v>
      </c>
      <c r="I13850">
        <v>1</v>
      </c>
      <c r="J13850">
        <f>IF($H13850=0,1,IF($I13850&lt;=1,2,0))</f>
        <v>2</v>
      </c>
      <c r="K13850">
        <v>0</v>
      </c>
      <c r="L13850">
        <f>IF(AND($J13850=0,$K13850=0),0,1)</f>
        <v>1</v>
      </c>
    </row>
    <row r="13851" spans="1:13" x14ac:dyDescent="0.2">
      <c r="A13851" t="s">
        <v>739</v>
      </c>
      <c r="B13851" t="s">
        <v>386</v>
      </c>
      <c r="C13851" t="s">
        <v>21</v>
      </c>
      <c r="D13851">
        <v>2423</v>
      </c>
      <c r="E13851">
        <v>2020</v>
      </c>
      <c r="F13851">
        <v>1</v>
      </c>
      <c r="G13851">
        <v>20</v>
      </c>
      <c r="H13851" s="1" t="s">
        <v>1827</v>
      </c>
      <c r="I13851">
        <v>0</v>
      </c>
      <c r="J13851">
        <f>IF($H13851=0,1,IF($I13851&lt;=1,2,0))</f>
        <v>2</v>
      </c>
      <c r="K13851">
        <v>0</v>
      </c>
      <c r="L13851">
        <f>IF(AND($J13851=0,$K13851=0),0,1)</f>
        <v>1</v>
      </c>
    </row>
    <row r="13852" spans="1:13" x14ac:dyDescent="0.2">
      <c r="A13852" t="s">
        <v>739</v>
      </c>
      <c r="B13852" t="s">
        <v>386</v>
      </c>
      <c r="C13852" t="s">
        <v>21</v>
      </c>
      <c r="D13852">
        <v>2423</v>
      </c>
      <c r="E13852">
        <v>2020</v>
      </c>
      <c r="F13852">
        <v>2</v>
      </c>
      <c r="G13852">
        <v>691</v>
      </c>
      <c r="H13852" s="1" t="s">
        <v>1827</v>
      </c>
      <c r="I13852">
        <v>0</v>
      </c>
      <c r="J13852">
        <f>IF($H13852=0,1,IF($I13852&lt;=1,2,0))</f>
        <v>2</v>
      </c>
      <c r="K13852">
        <v>0</v>
      </c>
      <c r="L13852">
        <f>IF(AND($J13852=0,$K13852=0),0,1)</f>
        <v>1</v>
      </c>
    </row>
    <row r="13853" spans="1:13" x14ac:dyDescent="0.2">
      <c r="A13853" t="s">
        <v>739</v>
      </c>
      <c r="B13853" t="s">
        <v>386</v>
      </c>
      <c r="C13853" t="s">
        <v>21</v>
      </c>
      <c r="D13853">
        <v>2424</v>
      </c>
      <c r="E13853">
        <v>2020</v>
      </c>
      <c r="F13853">
        <v>1</v>
      </c>
      <c r="G13853">
        <v>21</v>
      </c>
      <c r="H13853" s="1" t="s">
        <v>1827</v>
      </c>
      <c r="I13853">
        <v>0</v>
      </c>
      <c r="J13853">
        <f>IF($H13853=0,1,IF($I13853&lt;=1,2,0))</f>
        <v>2</v>
      </c>
      <c r="K13853">
        <v>0</v>
      </c>
      <c r="L13853">
        <f>IF(AND($J13853=0,$K13853=0),0,1)</f>
        <v>1</v>
      </c>
    </row>
    <row r="13854" spans="1:13" x14ac:dyDescent="0.2">
      <c r="A13854" t="s">
        <v>739</v>
      </c>
      <c r="B13854" t="s">
        <v>386</v>
      </c>
      <c r="C13854" t="s">
        <v>21</v>
      </c>
      <c r="D13854">
        <v>2424</v>
      </c>
      <c r="E13854">
        <v>2020</v>
      </c>
      <c r="F13854">
        <v>2</v>
      </c>
      <c r="G13854">
        <v>692</v>
      </c>
      <c r="H13854" s="1" t="s">
        <v>1827</v>
      </c>
      <c r="I13854">
        <v>0</v>
      </c>
      <c r="J13854">
        <f>IF($H13854=0,1,IF($I13854&lt;=1,2,0))</f>
        <v>2</v>
      </c>
      <c r="K13854">
        <v>0</v>
      </c>
      <c r="L13854">
        <f>IF(AND($J13854=0,$K13854=0),0,1)</f>
        <v>1</v>
      </c>
    </row>
    <row r="13855" spans="1:13" x14ac:dyDescent="0.2">
      <c r="A13855" t="s">
        <v>739</v>
      </c>
      <c r="B13855" t="s">
        <v>386</v>
      </c>
      <c r="C13855" t="s">
        <v>21</v>
      </c>
      <c r="D13855">
        <v>2425</v>
      </c>
      <c r="E13855">
        <v>2020</v>
      </c>
      <c r="F13855">
        <v>1</v>
      </c>
      <c r="G13855">
        <v>22</v>
      </c>
      <c r="H13855" s="1" t="s">
        <v>1827</v>
      </c>
      <c r="I13855">
        <v>1</v>
      </c>
      <c r="J13855">
        <f>IF($H13855=0,1,IF($I13855&lt;=1,2,0))</f>
        <v>2</v>
      </c>
      <c r="K13855">
        <v>0</v>
      </c>
      <c r="L13855">
        <f>IF(AND($J13855=0,$K13855=0),0,1)</f>
        <v>1</v>
      </c>
    </row>
    <row r="13856" spans="1:13" x14ac:dyDescent="0.2">
      <c r="A13856" t="s">
        <v>739</v>
      </c>
      <c r="B13856" t="s">
        <v>386</v>
      </c>
      <c r="C13856" t="s">
        <v>21</v>
      </c>
      <c r="D13856">
        <v>2425</v>
      </c>
      <c r="E13856">
        <v>2020</v>
      </c>
      <c r="F13856">
        <v>2</v>
      </c>
      <c r="G13856">
        <v>693</v>
      </c>
      <c r="H13856" s="1" t="s">
        <v>1827</v>
      </c>
      <c r="I13856">
        <v>1</v>
      </c>
      <c r="J13856">
        <f>IF($H13856=0,1,IF($I13856&lt;=1,2,0))</f>
        <v>2</v>
      </c>
      <c r="K13856">
        <v>0</v>
      </c>
      <c r="L13856">
        <f>IF(AND($J13856=0,$K13856=0),0,1)</f>
        <v>1</v>
      </c>
    </row>
    <row r="13857" spans="1:13" x14ac:dyDescent="0.2">
      <c r="A13857" t="s">
        <v>739</v>
      </c>
      <c r="B13857" t="s">
        <v>386</v>
      </c>
      <c r="C13857" t="s">
        <v>21</v>
      </c>
      <c r="D13857">
        <v>2427</v>
      </c>
      <c r="E13857">
        <v>2020</v>
      </c>
      <c r="F13857">
        <v>1</v>
      </c>
      <c r="G13857">
        <v>438</v>
      </c>
      <c r="H13857" s="1" t="s">
        <v>1827</v>
      </c>
      <c r="I13857">
        <v>0</v>
      </c>
      <c r="J13857">
        <f>IF($H13857=0,1,IF($I13857&lt;=1,2,0))</f>
        <v>2</v>
      </c>
      <c r="K13857">
        <v>0</v>
      </c>
      <c r="L13857">
        <f>IF(AND($J13857=0,$K13857=0),0,1)</f>
        <v>1</v>
      </c>
    </row>
    <row r="13858" spans="1:13" x14ac:dyDescent="0.2">
      <c r="A13858" t="s">
        <v>739</v>
      </c>
      <c r="B13858" t="s">
        <v>386</v>
      </c>
      <c r="C13858" t="s">
        <v>21</v>
      </c>
      <c r="D13858">
        <v>3997</v>
      </c>
      <c r="E13858">
        <v>2020</v>
      </c>
      <c r="F13858">
        <v>1</v>
      </c>
      <c r="G13858">
        <v>56</v>
      </c>
      <c r="H13858" s="1">
        <v>4</v>
      </c>
      <c r="I13858">
        <v>3</v>
      </c>
      <c r="J13858">
        <f>IF($H13858=0,1,IF($I13858&lt;=1,2,0))</f>
        <v>0</v>
      </c>
      <c r="K13858">
        <v>9</v>
      </c>
      <c r="L13858">
        <f>IF(AND($J13858=0,$K13858=0),0,1)</f>
        <v>1</v>
      </c>
    </row>
    <row r="13859" spans="1:13" x14ac:dyDescent="0.2">
      <c r="A13859" t="s">
        <v>739</v>
      </c>
      <c r="B13859" t="s">
        <v>386</v>
      </c>
      <c r="C13859" t="s">
        <v>21</v>
      </c>
      <c r="D13859">
        <v>3997</v>
      </c>
      <c r="E13859">
        <v>2020</v>
      </c>
      <c r="F13859">
        <v>2</v>
      </c>
      <c r="G13859">
        <v>57</v>
      </c>
      <c r="H13859" s="1">
        <v>4</v>
      </c>
      <c r="I13859">
        <v>1</v>
      </c>
      <c r="J13859">
        <f>IF($H13859=0,1,IF($I13859&lt;=1,2,0))</f>
        <v>2</v>
      </c>
      <c r="K13859">
        <v>9</v>
      </c>
      <c r="L13859">
        <f>IF(AND($J13859=0,$K13859=0),0,1)</f>
        <v>1</v>
      </c>
    </row>
    <row r="13860" spans="1:13" x14ac:dyDescent="0.2">
      <c r="A13860" t="s">
        <v>739</v>
      </c>
      <c r="B13860" t="s">
        <v>386</v>
      </c>
      <c r="C13860" t="s">
        <v>21</v>
      </c>
      <c r="D13860">
        <v>3997</v>
      </c>
      <c r="E13860">
        <v>2020</v>
      </c>
      <c r="F13860">
        <v>3</v>
      </c>
      <c r="G13860">
        <v>58</v>
      </c>
      <c r="H13860" s="1">
        <v>4</v>
      </c>
      <c r="I13860">
        <v>1</v>
      </c>
      <c r="J13860">
        <f>IF($H13860=0,1,IF($I13860&lt;=1,2,0))</f>
        <v>2</v>
      </c>
      <c r="K13860">
        <v>9</v>
      </c>
      <c r="L13860">
        <f>IF(AND($J13860=0,$K13860=0),0,1)</f>
        <v>1</v>
      </c>
      <c r="M13860" t="s">
        <v>1300</v>
      </c>
    </row>
    <row r="13861" spans="1:13" x14ac:dyDescent="0.2">
      <c r="A13861" t="s">
        <v>739</v>
      </c>
      <c r="B13861" t="s">
        <v>386</v>
      </c>
      <c r="C13861" t="s">
        <v>21</v>
      </c>
      <c r="D13861">
        <v>3997</v>
      </c>
      <c r="E13861">
        <v>2020</v>
      </c>
      <c r="F13861">
        <v>4</v>
      </c>
      <c r="G13861">
        <v>705</v>
      </c>
      <c r="H13861" s="1">
        <v>4</v>
      </c>
      <c r="I13861">
        <v>1</v>
      </c>
      <c r="J13861">
        <f>IF($H13861=0,1,IF($I13861&lt;=1,2,0))</f>
        <v>2</v>
      </c>
      <c r="K13861">
        <v>9</v>
      </c>
      <c r="L13861">
        <f>IF(AND($J13861=0,$K13861=0),0,1)</f>
        <v>1</v>
      </c>
    </row>
    <row r="13862" spans="1:13" x14ac:dyDescent="0.2">
      <c r="A13862" t="s">
        <v>739</v>
      </c>
      <c r="B13862" t="s">
        <v>386</v>
      </c>
      <c r="C13862" t="s">
        <v>21</v>
      </c>
      <c r="D13862">
        <v>3998</v>
      </c>
      <c r="E13862">
        <v>2020</v>
      </c>
      <c r="F13862">
        <v>1</v>
      </c>
      <c r="G13862">
        <v>59</v>
      </c>
      <c r="H13862" s="1">
        <v>4</v>
      </c>
      <c r="I13862">
        <v>1</v>
      </c>
      <c r="J13862">
        <f>IF($H13862=0,1,IF($I13862&lt;=1,2,0))</f>
        <v>2</v>
      </c>
      <c r="K13862">
        <v>9</v>
      </c>
      <c r="L13862">
        <f>IF(AND($J13862=0,$K13862=0),0,1)</f>
        <v>1</v>
      </c>
    </row>
    <row r="13863" spans="1:13" x14ac:dyDescent="0.2">
      <c r="A13863" t="s">
        <v>739</v>
      </c>
      <c r="B13863" t="s">
        <v>386</v>
      </c>
      <c r="C13863" t="s">
        <v>21</v>
      </c>
      <c r="D13863">
        <v>3998</v>
      </c>
      <c r="E13863">
        <v>2020</v>
      </c>
      <c r="F13863">
        <v>2</v>
      </c>
      <c r="G13863">
        <v>60</v>
      </c>
      <c r="H13863" s="1">
        <v>4</v>
      </c>
      <c r="I13863">
        <v>0</v>
      </c>
      <c r="J13863">
        <f>IF($H13863=0,1,IF($I13863&lt;=1,2,0))</f>
        <v>2</v>
      </c>
      <c r="K13863">
        <v>9</v>
      </c>
      <c r="L13863">
        <f>IF(AND($J13863=0,$K13863=0),0,1)</f>
        <v>1</v>
      </c>
    </row>
    <row r="13864" spans="1:13" x14ac:dyDescent="0.2">
      <c r="A13864" t="s">
        <v>748</v>
      </c>
      <c r="B13864" t="s">
        <v>17</v>
      </c>
      <c r="C13864" t="s">
        <v>7</v>
      </c>
      <c r="D13864">
        <v>2101</v>
      </c>
      <c r="E13864">
        <v>2020</v>
      </c>
      <c r="F13864">
        <v>1</v>
      </c>
      <c r="G13864">
        <v>15266</v>
      </c>
      <c r="H13864" s="1">
        <v>4</v>
      </c>
      <c r="I13864">
        <v>1</v>
      </c>
      <c r="J13864">
        <f>IF($H13864=0,1,IF($I13864&lt;=1,2,0))</f>
        <v>2</v>
      </c>
      <c r="K13864">
        <v>0</v>
      </c>
      <c r="L13864">
        <f>IF(AND($J13864=0,$K13864=0),0,1)</f>
        <v>1</v>
      </c>
      <c r="M13864" t="s">
        <v>879</v>
      </c>
    </row>
    <row r="13865" spans="1:13" x14ac:dyDescent="0.2">
      <c r="A13865" t="s">
        <v>750</v>
      </c>
      <c r="B13865" t="s">
        <v>6</v>
      </c>
      <c r="C13865" t="s">
        <v>21</v>
      </c>
      <c r="D13865">
        <v>3999</v>
      </c>
      <c r="E13865">
        <v>2020</v>
      </c>
      <c r="F13865">
        <v>1</v>
      </c>
      <c r="G13865">
        <v>946</v>
      </c>
      <c r="H13865" s="1" t="s">
        <v>1823</v>
      </c>
      <c r="I13865">
        <v>1</v>
      </c>
      <c r="J13865">
        <f>IF($H13865=0,1,IF($I13865&lt;=1,2,0))</f>
        <v>2</v>
      </c>
      <c r="K13865">
        <v>9</v>
      </c>
      <c r="L13865">
        <f>IF(AND($J13865=0,$K13865=0),0,1)</f>
        <v>1</v>
      </c>
    </row>
    <row r="13866" spans="1:13" x14ac:dyDescent="0.2">
      <c r="A13866" t="s">
        <v>759</v>
      </c>
      <c r="B13866" t="s">
        <v>386</v>
      </c>
      <c r="C13866" t="s">
        <v>34</v>
      </c>
      <c r="D13866">
        <v>3901</v>
      </c>
      <c r="E13866">
        <v>2020</v>
      </c>
      <c r="F13866">
        <v>1</v>
      </c>
      <c r="G13866">
        <v>13637</v>
      </c>
      <c r="H13866" s="1">
        <v>2</v>
      </c>
      <c r="I13866">
        <v>1</v>
      </c>
      <c r="J13866">
        <f>IF($H13866=0,1,IF($I13866&lt;=1,2,0))</f>
        <v>2</v>
      </c>
      <c r="K13866">
        <v>9</v>
      </c>
      <c r="L13866">
        <f>IF(AND($J13866=0,$K13866=0),0,1)</f>
        <v>1</v>
      </c>
      <c r="M13866" t="s">
        <v>761</v>
      </c>
    </row>
    <row r="13867" spans="1:13" x14ac:dyDescent="0.2">
      <c r="A13867" t="s">
        <v>759</v>
      </c>
      <c r="B13867" t="s">
        <v>386</v>
      </c>
      <c r="C13867" t="s">
        <v>407</v>
      </c>
      <c r="D13867">
        <v>3911</v>
      </c>
      <c r="E13867">
        <v>2020</v>
      </c>
      <c r="F13867">
        <v>1</v>
      </c>
      <c r="G13867">
        <v>13639</v>
      </c>
      <c r="H13867" s="1">
        <v>2</v>
      </c>
      <c r="I13867">
        <v>1</v>
      </c>
      <c r="J13867">
        <f>IF($H13867=0,1,IF($I13867&lt;=1,2,0))</f>
        <v>2</v>
      </c>
      <c r="K13867">
        <v>0</v>
      </c>
      <c r="L13867">
        <f>IF(AND($J13867=0,$K13867=0),0,1)</f>
        <v>1</v>
      </c>
      <c r="M13867" t="s">
        <v>761</v>
      </c>
    </row>
    <row r="13868" spans="1:13" x14ac:dyDescent="0.2">
      <c r="A13868" t="s">
        <v>759</v>
      </c>
      <c r="B13868" t="s">
        <v>386</v>
      </c>
      <c r="C13868" t="s">
        <v>407</v>
      </c>
      <c r="D13868">
        <v>3932</v>
      </c>
      <c r="E13868">
        <v>2020</v>
      </c>
      <c r="F13868">
        <v>2</v>
      </c>
      <c r="G13868">
        <v>13763</v>
      </c>
      <c r="H13868" s="1" t="s">
        <v>1827</v>
      </c>
      <c r="I13868">
        <v>1</v>
      </c>
      <c r="J13868">
        <f>IF($H13868=0,1,IF($I13868&lt;=1,2,0))</f>
        <v>2</v>
      </c>
      <c r="K13868">
        <v>4</v>
      </c>
      <c r="L13868">
        <f>IF(AND($J13868=0,$K13868=0),0,1)</f>
        <v>1</v>
      </c>
      <c r="M13868" t="s">
        <v>761</v>
      </c>
    </row>
    <row r="13869" spans="1:13" x14ac:dyDescent="0.2">
      <c r="A13869" t="s">
        <v>759</v>
      </c>
      <c r="B13869" t="s">
        <v>386</v>
      </c>
      <c r="C13869" t="s">
        <v>407</v>
      </c>
      <c r="D13869">
        <v>3932</v>
      </c>
      <c r="E13869">
        <v>2020</v>
      </c>
      <c r="F13869">
        <v>5</v>
      </c>
      <c r="G13869">
        <v>13767</v>
      </c>
      <c r="H13869" s="1" t="s">
        <v>1827</v>
      </c>
      <c r="I13869">
        <v>1</v>
      </c>
      <c r="J13869">
        <f>IF($H13869=0,1,IF($I13869&lt;=1,2,0))</f>
        <v>2</v>
      </c>
      <c r="K13869">
        <v>4</v>
      </c>
      <c r="L13869">
        <f>IF(AND($J13869=0,$K13869=0),0,1)</f>
        <v>1</v>
      </c>
      <c r="M13869" t="s">
        <v>761</v>
      </c>
    </row>
    <row r="13870" spans="1:13" x14ac:dyDescent="0.2">
      <c r="A13870" t="s">
        <v>759</v>
      </c>
      <c r="B13870" t="s">
        <v>386</v>
      </c>
      <c r="C13870" t="s">
        <v>407</v>
      </c>
      <c r="D13870">
        <v>3932</v>
      </c>
      <c r="E13870">
        <v>2020</v>
      </c>
      <c r="F13870">
        <v>9</v>
      </c>
      <c r="G13870">
        <v>13771</v>
      </c>
      <c r="H13870" s="1" t="s">
        <v>1827</v>
      </c>
      <c r="I13870">
        <v>1</v>
      </c>
      <c r="J13870">
        <f>IF($H13870=0,1,IF($I13870&lt;=1,2,0))</f>
        <v>2</v>
      </c>
      <c r="K13870">
        <v>4</v>
      </c>
      <c r="L13870">
        <f>IF(AND($J13870=0,$K13870=0),0,1)</f>
        <v>1</v>
      </c>
      <c r="M13870" t="s">
        <v>761</v>
      </c>
    </row>
    <row r="13871" spans="1:13" x14ac:dyDescent="0.2">
      <c r="A13871" t="s">
        <v>759</v>
      </c>
      <c r="B13871" t="s">
        <v>386</v>
      </c>
      <c r="C13871" t="s">
        <v>407</v>
      </c>
      <c r="D13871">
        <v>3932</v>
      </c>
      <c r="E13871">
        <v>2020</v>
      </c>
      <c r="F13871">
        <v>1</v>
      </c>
      <c r="G13871">
        <v>13762</v>
      </c>
      <c r="H13871" s="1" t="s">
        <v>1827</v>
      </c>
      <c r="I13871">
        <v>0</v>
      </c>
      <c r="J13871">
        <f>IF($H13871=0,1,IF($I13871&lt;=1,2,0))</f>
        <v>2</v>
      </c>
      <c r="K13871">
        <v>4</v>
      </c>
      <c r="L13871">
        <f>IF(AND($J13871=0,$K13871=0),0,1)</f>
        <v>1</v>
      </c>
      <c r="M13871" t="s">
        <v>761</v>
      </c>
    </row>
    <row r="13872" spans="1:13" x14ac:dyDescent="0.2">
      <c r="A13872" t="s">
        <v>759</v>
      </c>
      <c r="B13872" t="s">
        <v>386</v>
      </c>
      <c r="C13872" t="s">
        <v>407</v>
      </c>
      <c r="D13872">
        <v>3932</v>
      </c>
      <c r="E13872">
        <v>2020</v>
      </c>
      <c r="F13872">
        <v>3</v>
      </c>
      <c r="G13872">
        <v>13765</v>
      </c>
      <c r="H13872" s="1" t="s">
        <v>1827</v>
      </c>
      <c r="I13872">
        <v>0</v>
      </c>
      <c r="J13872">
        <f>IF($H13872=0,1,IF($I13872&lt;=1,2,0))</f>
        <v>2</v>
      </c>
      <c r="K13872">
        <v>4</v>
      </c>
      <c r="L13872">
        <f>IF(AND($J13872=0,$K13872=0),0,1)</f>
        <v>1</v>
      </c>
      <c r="M13872" t="s">
        <v>761</v>
      </c>
    </row>
    <row r="13873" spans="1:13" x14ac:dyDescent="0.2">
      <c r="A13873" t="s">
        <v>759</v>
      </c>
      <c r="B13873" t="s">
        <v>386</v>
      </c>
      <c r="C13873" t="s">
        <v>407</v>
      </c>
      <c r="D13873">
        <v>3932</v>
      </c>
      <c r="E13873">
        <v>2020</v>
      </c>
      <c r="F13873">
        <v>4</v>
      </c>
      <c r="G13873">
        <v>13766</v>
      </c>
      <c r="H13873" s="1" t="s">
        <v>1827</v>
      </c>
      <c r="I13873">
        <v>0</v>
      </c>
      <c r="J13873">
        <f>IF($H13873=0,1,IF($I13873&lt;=1,2,0))</f>
        <v>2</v>
      </c>
      <c r="K13873">
        <v>4</v>
      </c>
      <c r="L13873">
        <f>IF(AND($J13873=0,$K13873=0),0,1)</f>
        <v>1</v>
      </c>
      <c r="M13873" t="s">
        <v>761</v>
      </c>
    </row>
    <row r="13874" spans="1:13" x14ac:dyDescent="0.2">
      <c r="A13874" t="s">
        <v>759</v>
      </c>
      <c r="B13874" t="s">
        <v>386</v>
      </c>
      <c r="C13874" t="s">
        <v>407</v>
      </c>
      <c r="D13874">
        <v>3932</v>
      </c>
      <c r="E13874">
        <v>2020</v>
      </c>
      <c r="F13874">
        <v>6</v>
      </c>
      <c r="G13874">
        <v>13768</v>
      </c>
      <c r="H13874" s="1" t="s">
        <v>1827</v>
      </c>
      <c r="I13874">
        <v>0</v>
      </c>
      <c r="J13874">
        <f>IF($H13874=0,1,IF($I13874&lt;=1,2,0))</f>
        <v>2</v>
      </c>
      <c r="K13874">
        <v>4</v>
      </c>
      <c r="L13874">
        <f>IF(AND($J13874=0,$K13874=0),0,1)</f>
        <v>1</v>
      </c>
      <c r="M13874" t="s">
        <v>761</v>
      </c>
    </row>
    <row r="13875" spans="1:13" x14ac:dyDescent="0.2">
      <c r="A13875" t="s">
        <v>759</v>
      </c>
      <c r="B13875" t="s">
        <v>386</v>
      </c>
      <c r="C13875" t="s">
        <v>407</v>
      </c>
      <c r="D13875">
        <v>3932</v>
      </c>
      <c r="E13875">
        <v>2020</v>
      </c>
      <c r="F13875">
        <v>7</v>
      </c>
      <c r="G13875">
        <v>13769</v>
      </c>
      <c r="H13875" s="1" t="s">
        <v>1827</v>
      </c>
      <c r="I13875">
        <v>0</v>
      </c>
      <c r="J13875">
        <f>IF($H13875=0,1,IF($I13875&lt;=1,2,0))</f>
        <v>2</v>
      </c>
      <c r="K13875">
        <v>4</v>
      </c>
      <c r="L13875">
        <f>IF(AND($J13875=0,$K13875=0),0,1)</f>
        <v>1</v>
      </c>
      <c r="M13875" t="s">
        <v>761</v>
      </c>
    </row>
    <row r="13876" spans="1:13" x14ac:dyDescent="0.2">
      <c r="A13876" t="s">
        <v>759</v>
      </c>
      <c r="B13876" t="s">
        <v>386</v>
      </c>
      <c r="C13876" t="s">
        <v>407</v>
      </c>
      <c r="D13876">
        <v>3932</v>
      </c>
      <c r="E13876">
        <v>2020</v>
      </c>
      <c r="F13876">
        <v>8</v>
      </c>
      <c r="G13876">
        <v>13770</v>
      </c>
      <c r="H13876" s="1" t="s">
        <v>1827</v>
      </c>
      <c r="I13876">
        <v>0</v>
      </c>
      <c r="J13876">
        <f>IF($H13876=0,1,IF($I13876&lt;=1,2,0))</f>
        <v>2</v>
      </c>
      <c r="K13876">
        <v>4</v>
      </c>
      <c r="L13876">
        <f>IF(AND($J13876=0,$K13876=0),0,1)</f>
        <v>1</v>
      </c>
      <c r="M13876" t="s">
        <v>761</v>
      </c>
    </row>
    <row r="13877" spans="1:13" x14ac:dyDescent="0.2">
      <c r="A13877" t="s">
        <v>759</v>
      </c>
      <c r="B13877" t="s">
        <v>386</v>
      </c>
      <c r="C13877" t="s">
        <v>407</v>
      </c>
      <c r="D13877">
        <v>3932</v>
      </c>
      <c r="E13877">
        <v>2020</v>
      </c>
      <c r="F13877">
        <v>10</v>
      </c>
      <c r="G13877">
        <v>15466</v>
      </c>
      <c r="H13877" s="1" t="s">
        <v>1827</v>
      </c>
      <c r="I13877">
        <v>0</v>
      </c>
      <c r="J13877">
        <f>IF($H13877=0,1,IF($I13877&lt;=1,2,0))</f>
        <v>2</v>
      </c>
      <c r="K13877">
        <v>4</v>
      </c>
      <c r="L13877">
        <f>IF(AND($J13877=0,$K13877=0),0,1)</f>
        <v>1</v>
      </c>
      <c r="M13877" t="s">
        <v>761</v>
      </c>
    </row>
    <row r="13878" spans="1:13" x14ac:dyDescent="0.2">
      <c r="A13878" t="s">
        <v>759</v>
      </c>
      <c r="B13878" t="s">
        <v>386</v>
      </c>
      <c r="C13878" t="s">
        <v>407</v>
      </c>
      <c r="D13878">
        <v>3932</v>
      </c>
      <c r="E13878">
        <v>2020</v>
      </c>
      <c r="F13878">
        <v>11</v>
      </c>
      <c r="G13878">
        <v>22379</v>
      </c>
      <c r="H13878" s="1" t="s">
        <v>1827</v>
      </c>
      <c r="I13878">
        <v>0</v>
      </c>
      <c r="J13878">
        <f>IF($H13878=0,1,IF($I13878&lt;=1,2,0))</f>
        <v>2</v>
      </c>
      <c r="K13878">
        <v>4</v>
      </c>
      <c r="L13878">
        <f>IF(AND($J13878=0,$K13878=0),0,1)</f>
        <v>1</v>
      </c>
      <c r="M13878" t="s">
        <v>761</v>
      </c>
    </row>
    <row r="13879" spans="1:13" x14ac:dyDescent="0.2">
      <c r="A13879" t="s">
        <v>759</v>
      </c>
      <c r="B13879" t="s">
        <v>386</v>
      </c>
      <c r="C13879" t="s">
        <v>407</v>
      </c>
      <c r="D13879">
        <v>5001</v>
      </c>
      <c r="E13879">
        <v>2020</v>
      </c>
      <c r="F13879">
        <v>1</v>
      </c>
      <c r="G13879">
        <v>13689</v>
      </c>
      <c r="H13879" s="1">
        <v>3</v>
      </c>
      <c r="I13879">
        <v>1</v>
      </c>
      <c r="J13879">
        <f>IF($H13879=0,1,IF($I13879&lt;=1,2,0))</f>
        <v>2</v>
      </c>
      <c r="K13879">
        <v>0</v>
      </c>
      <c r="L13879">
        <f>IF(AND($J13879=0,$K13879=0),0,1)</f>
        <v>1</v>
      </c>
      <c r="M13879" t="s">
        <v>1302</v>
      </c>
    </row>
    <row r="13880" spans="1:13" x14ac:dyDescent="0.2">
      <c r="A13880" t="s">
        <v>759</v>
      </c>
      <c r="B13880" t="s">
        <v>386</v>
      </c>
      <c r="C13880" t="s">
        <v>407</v>
      </c>
      <c r="D13880">
        <v>5101</v>
      </c>
      <c r="E13880">
        <v>2020</v>
      </c>
      <c r="F13880">
        <v>1</v>
      </c>
      <c r="G13880">
        <v>13696</v>
      </c>
      <c r="H13880" s="1">
        <v>3</v>
      </c>
      <c r="I13880">
        <v>0</v>
      </c>
      <c r="J13880">
        <f>IF($H13880=0,1,IF($I13880&lt;=1,2,0))</f>
        <v>2</v>
      </c>
      <c r="K13880">
        <v>0</v>
      </c>
      <c r="L13880">
        <f>IF(AND($J13880=0,$K13880=0),0,1)</f>
        <v>1</v>
      </c>
      <c r="M13880" t="s">
        <v>762</v>
      </c>
    </row>
    <row r="13881" spans="1:13" x14ac:dyDescent="0.2">
      <c r="A13881" t="s">
        <v>759</v>
      </c>
      <c r="B13881" t="s">
        <v>386</v>
      </c>
      <c r="C13881" t="s">
        <v>407</v>
      </c>
      <c r="D13881">
        <v>5104</v>
      </c>
      <c r="E13881">
        <v>2020</v>
      </c>
      <c r="F13881">
        <v>1</v>
      </c>
      <c r="G13881">
        <v>21077</v>
      </c>
      <c r="H13881" s="1">
        <v>3</v>
      </c>
      <c r="I13881">
        <v>3</v>
      </c>
      <c r="J13881">
        <f>IF($H13881=0,1,IF($I13881&lt;=1,2,0))</f>
        <v>0</v>
      </c>
      <c r="K13881">
        <v>4</v>
      </c>
      <c r="L13881">
        <f>IF(AND($J13881=0,$K13881=0),0,1)</f>
        <v>1</v>
      </c>
      <c r="M13881" t="s">
        <v>762</v>
      </c>
    </row>
    <row r="13882" spans="1:13" x14ac:dyDescent="0.2">
      <c r="A13882" t="s">
        <v>759</v>
      </c>
      <c r="B13882" t="s">
        <v>386</v>
      </c>
      <c r="C13882" t="s">
        <v>407</v>
      </c>
      <c r="D13882">
        <v>5200</v>
      </c>
      <c r="E13882">
        <v>2020</v>
      </c>
      <c r="F13882">
        <v>1</v>
      </c>
      <c r="G13882">
        <v>13699</v>
      </c>
      <c r="H13882" s="1">
        <v>3</v>
      </c>
      <c r="I13882">
        <v>0</v>
      </c>
      <c r="J13882">
        <f>IF($H13882=0,1,IF($I13882&lt;=1,2,0))</f>
        <v>2</v>
      </c>
      <c r="K13882">
        <v>0</v>
      </c>
      <c r="L13882">
        <f>IF(AND($J13882=0,$K13882=0),0,1)</f>
        <v>1</v>
      </c>
      <c r="M13882" t="s">
        <v>1302</v>
      </c>
    </row>
    <row r="13883" spans="1:13" x14ac:dyDescent="0.2">
      <c r="A13883" t="s">
        <v>759</v>
      </c>
      <c r="B13883" t="s">
        <v>386</v>
      </c>
      <c r="C13883" t="s">
        <v>407</v>
      </c>
      <c r="D13883">
        <v>5300</v>
      </c>
      <c r="E13883">
        <v>2020</v>
      </c>
      <c r="F13883">
        <v>1</v>
      </c>
      <c r="G13883">
        <v>13704</v>
      </c>
      <c r="H13883" s="1">
        <v>3</v>
      </c>
      <c r="I13883">
        <v>0</v>
      </c>
      <c r="J13883">
        <f>IF($H13883=0,1,IF($I13883&lt;=1,2,0))</f>
        <v>2</v>
      </c>
      <c r="K13883">
        <v>0</v>
      </c>
      <c r="L13883">
        <f>IF(AND($J13883=0,$K13883=0),0,1)</f>
        <v>1</v>
      </c>
      <c r="M13883" t="s">
        <v>1302</v>
      </c>
    </row>
    <row r="13884" spans="1:13" x14ac:dyDescent="0.2">
      <c r="A13884" t="s">
        <v>759</v>
      </c>
      <c r="B13884" t="s">
        <v>386</v>
      </c>
      <c r="C13884" t="s">
        <v>407</v>
      </c>
      <c r="D13884">
        <v>5412</v>
      </c>
      <c r="E13884">
        <v>2020</v>
      </c>
      <c r="F13884">
        <v>1</v>
      </c>
      <c r="G13884">
        <v>13709</v>
      </c>
      <c r="H13884" s="1">
        <v>3</v>
      </c>
      <c r="I13884">
        <v>3</v>
      </c>
      <c r="J13884">
        <f>IF($H13884=0,1,IF($I13884&lt;=1,2,0))</f>
        <v>0</v>
      </c>
      <c r="K13884">
        <v>4</v>
      </c>
      <c r="L13884">
        <f>IF(AND($J13884=0,$K13884=0),0,1)</f>
        <v>1</v>
      </c>
      <c r="M13884" t="s">
        <v>1302</v>
      </c>
    </row>
    <row r="13885" spans="1:13" x14ac:dyDescent="0.2">
      <c r="A13885" t="s">
        <v>759</v>
      </c>
      <c r="B13885" t="s">
        <v>386</v>
      </c>
      <c r="C13885" t="s">
        <v>407</v>
      </c>
      <c r="D13885">
        <v>5430</v>
      </c>
      <c r="E13885">
        <v>2020</v>
      </c>
      <c r="F13885">
        <v>1</v>
      </c>
      <c r="G13885">
        <v>13714</v>
      </c>
      <c r="H13885" s="1">
        <v>3</v>
      </c>
      <c r="I13885">
        <v>1</v>
      </c>
      <c r="J13885">
        <f>IF($H13885=0,1,IF($I13885&lt;=1,2,0))</f>
        <v>2</v>
      </c>
      <c r="K13885">
        <v>0</v>
      </c>
      <c r="L13885">
        <f>IF(AND($J13885=0,$K13885=0),0,1)</f>
        <v>1</v>
      </c>
      <c r="M13885" t="s">
        <v>762</v>
      </c>
    </row>
    <row r="13886" spans="1:13" x14ac:dyDescent="0.2">
      <c r="A13886" t="s">
        <v>759</v>
      </c>
      <c r="B13886" t="s">
        <v>386</v>
      </c>
      <c r="C13886" t="s">
        <v>407</v>
      </c>
      <c r="D13886">
        <v>5500</v>
      </c>
      <c r="E13886">
        <v>2020</v>
      </c>
      <c r="F13886">
        <v>1</v>
      </c>
      <c r="G13886">
        <v>13718</v>
      </c>
      <c r="H13886" s="1">
        <v>3</v>
      </c>
      <c r="I13886">
        <v>2</v>
      </c>
      <c r="J13886">
        <f>IF($H13886=0,1,IF($I13886&lt;=1,2,0))</f>
        <v>0</v>
      </c>
      <c r="K13886">
        <v>4</v>
      </c>
      <c r="L13886">
        <f>IF(AND($J13886=0,$K13886=0),0,1)</f>
        <v>1</v>
      </c>
      <c r="M13886" t="s">
        <v>1302</v>
      </c>
    </row>
    <row r="13887" spans="1:13" x14ac:dyDescent="0.2">
      <c r="A13887" t="s">
        <v>759</v>
      </c>
      <c r="B13887" t="s">
        <v>386</v>
      </c>
      <c r="C13887" t="s">
        <v>407</v>
      </c>
      <c r="D13887">
        <v>5700</v>
      </c>
      <c r="E13887">
        <v>2020</v>
      </c>
      <c r="F13887">
        <v>1</v>
      </c>
      <c r="G13887">
        <v>13722</v>
      </c>
      <c r="H13887" s="1">
        <v>3</v>
      </c>
      <c r="I13887">
        <v>0</v>
      </c>
      <c r="J13887">
        <f>IF($H13887=0,1,IF($I13887&lt;=1,2,0))</f>
        <v>2</v>
      </c>
      <c r="K13887">
        <v>0</v>
      </c>
      <c r="L13887">
        <f>IF(AND($J13887=0,$K13887=0),0,1)</f>
        <v>1</v>
      </c>
      <c r="M13887" t="s">
        <v>762</v>
      </c>
    </row>
    <row r="13888" spans="1:13" x14ac:dyDescent="0.2">
      <c r="A13888" t="s">
        <v>759</v>
      </c>
      <c r="B13888" t="s">
        <v>386</v>
      </c>
      <c r="C13888" t="s">
        <v>407</v>
      </c>
      <c r="D13888">
        <v>5700</v>
      </c>
      <c r="E13888">
        <v>2020</v>
      </c>
      <c r="F13888">
        <v>2</v>
      </c>
      <c r="G13888">
        <v>13724</v>
      </c>
      <c r="H13888" s="1">
        <v>3</v>
      </c>
      <c r="I13888">
        <v>0</v>
      </c>
      <c r="J13888">
        <f>IF($H13888=0,1,IF($I13888&lt;=1,2,0))</f>
        <v>2</v>
      </c>
      <c r="K13888">
        <v>0</v>
      </c>
      <c r="L13888">
        <f>IF(AND($J13888=0,$K13888=0),0,1)</f>
        <v>1</v>
      </c>
      <c r="M13888" t="s">
        <v>762</v>
      </c>
    </row>
    <row r="13889" spans="1:13" x14ac:dyDescent="0.2">
      <c r="A13889" t="s">
        <v>759</v>
      </c>
      <c r="B13889" t="s">
        <v>386</v>
      </c>
      <c r="C13889" t="s">
        <v>407</v>
      </c>
      <c r="D13889">
        <v>5800</v>
      </c>
      <c r="E13889">
        <v>2020</v>
      </c>
      <c r="F13889">
        <v>1</v>
      </c>
      <c r="G13889">
        <v>13729</v>
      </c>
      <c r="H13889" s="1">
        <v>0</v>
      </c>
      <c r="I13889">
        <v>25</v>
      </c>
      <c r="J13889">
        <f>IF($H13889=0,1,IF($I13889&lt;=1,2,0))</f>
        <v>1</v>
      </c>
      <c r="K13889">
        <v>0</v>
      </c>
      <c r="L13889">
        <f>IF(AND($J13889=0,$K13889=0),0,1)</f>
        <v>1</v>
      </c>
      <c r="M13889" t="s">
        <v>762</v>
      </c>
    </row>
    <row r="13890" spans="1:13" x14ac:dyDescent="0.2">
      <c r="A13890" t="s">
        <v>759</v>
      </c>
      <c r="B13890" t="s">
        <v>386</v>
      </c>
      <c r="C13890" t="s">
        <v>407</v>
      </c>
      <c r="D13890">
        <v>5840</v>
      </c>
      <c r="E13890">
        <v>2020</v>
      </c>
      <c r="F13890">
        <v>1</v>
      </c>
      <c r="G13890">
        <v>13730</v>
      </c>
      <c r="H13890" s="1">
        <v>3</v>
      </c>
      <c r="I13890">
        <v>25</v>
      </c>
      <c r="J13890">
        <f>IF($H13890=0,1,IF($I13890&lt;=1,2,0))</f>
        <v>0</v>
      </c>
      <c r="K13890">
        <v>4</v>
      </c>
      <c r="L13890">
        <f>IF(AND($J13890=0,$K13890=0),0,1)</f>
        <v>1</v>
      </c>
      <c r="M13890" t="s">
        <v>762</v>
      </c>
    </row>
    <row r="13891" spans="1:13" x14ac:dyDescent="0.2">
      <c r="A13891" t="s">
        <v>759</v>
      </c>
      <c r="B13891" t="s">
        <v>386</v>
      </c>
      <c r="C13891" t="s">
        <v>407</v>
      </c>
      <c r="D13891">
        <v>5850</v>
      </c>
      <c r="E13891">
        <v>2020</v>
      </c>
      <c r="F13891">
        <v>1</v>
      </c>
      <c r="G13891">
        <v>13732</v>
      </c>
      <c r="H13891" s="1">
        <v>3</v>
      </c>
      <c r="I13891">
        <v>25</v>
      </c>
      <c r="J13891">
        <f>IF($H13891=0,1,IF($I13891&lt;=1,2,0))</f>
        <v>0</v>
      </c>
      <c r="K13891">
        <v>4</v>
      </c>
      <c r="L13891">
        <f>IF(AND($J13891=0,$K13891=0),0,1)</f>
        <v>1</v>
      </c>
      <c r="M13891" t="s">
        <v>1303</v>
      </c>
    </row>
    <row r="13892" spans="1:13" x14ac:dyDescent="0.2">
      <c r="A13892" t="s">
        <v>759</v>
      </c>
      <c r="B13892" t="s">
        <v>386</v>
      </c>
      <c r="C13892" t="s">
        <v>407</v>
      </c>
      <c r="D13892">
        <v>5860</v>
      </c>
      <c r="E13892">
        <v>2020</v>
      </c>
      <c r="F13892">
        <v>1</v>
      </c>
      <c r="G13892">
        <v>13733</v>
      </c>
      <c r="H13892" s="1">
        <v>3</v>
      </c>
      <c r="I13892">
        <v>25</v>
      </c>
      <c r="J13892">
        <f>IF($H13892=0,1,IF($I13892&lt;=1,2,0))</f>
        <v>0</v>
      </c>
      <c r="K13892">
        <v>4</v>
      </c>
      <c r="L13892">
        <f>IF(AND($J13892=0,$K13892=0),0,1)</f>
        <v>1</v>
      </c>
      <c r="M13892" t="s">
        <v>1302</v>
      </c>
    </row>
    <row r="13893" spans="1:13" x14ac:dyDescent="0.2">
      <c r="A13893" t="s">
        <v>759</v>
      </c>
      <c r="B13893" t="s">
        <v>386</v>
      </c>
      <c r="C13893" t="s">
        <v>407</v>
      </c>
      <c r="D13893">
        <v>5932</v>
      </c>
      <c r="E13893">
        <v>2020</v>
      </c>
      <c r="F13893">
        <v>5</v>
      </c>
      <c r="G13893">
        <v>13754</v>
      </c>
      <c r="H13893" s="1" t="s">
        <v>1827</v>
      </c>
      <c r="I13893">
        <v>1</v>
      </c>
      <c r="J13893">
        <f>IF($H13893=0,1,IF($I13893&lt;=1,2,0))</f>
        <v>2</v>
      </c>
      <c r="K13893">
        <v>0</v>
      </c>
      <c r="L13893">
        <f>IF(AND($J13893=0,$K13893=0),0,1)</f>
        <v>1</v>
      </c>
      <c r="M13893" t="s">
        <v>761</v>
      </c>
    </row>
    <row r="13894" spans="1:13" x14ac:dyDescent="0.2">
      <c r="A13894" t="s">
        <v>759</v>
      </c>
      <c r="B13894" t="s">
        <v>386</v>
      </c>
      <c r="C13894" t="s">
        <v>407</v>
      </c>
      <c r="D13894">
        <v>5932</v>
      </c>
      <c r="E13894">
        <v>2020</v>
      </c>
      <c r="F13894">
        <v>6</v>
      </c>
      <c r="G13894">
        <v>13757</v>
      </c>
      <c r="H13894" s="1" t="s">
        <v>1827</v>
      </c>
      <c r="I13894">
        <v>1</v>
      </c>
      <c r="J13894">
        <f>IF($H13894=0,1,IF($I13894&lt;=1,2,0))</f>
        <v>2</v>
      </c>
      <c r="K13894">
        <v>0</v>
      </c>
      <c r="L13894">
        <f>IF(AND($J13894=0,$K13894=0),0,1)</f>
        <v>1</v>
      </c>
      <c r="M13894" t="s">
        <v>761</v>
      </c>
    </row>
    <row r="13895" spans="1:13" x14ac:dyDescent="0.2">
      <c r="A13895" t="s">
        <v>759</v>
      </c>
      <c r="B13895" t="s">
        <v>386</v>
      </c>
      <c r="C13895" t="s">
        <v>407</v>
      </c>
      <c r="D13895">
        <v>5932</v>
      </c>
      <c r="E13895">
        <v>2020</v>
      </c>
      <c r="F13895">
        <v>7</v>
      </c>
      <c r="G13895">
        <v>13759</v>
      </c>
      <c r="H13895" s="1" t="s">
        <v>1827</v>
      </c>
      <c r="I13895">
        <v>1</v>
      </c>
      <c r="J13895">
        <f>IF($H13895=0,1,IF($I13895&lt;=1,2,0))</f>
        <v>2</v>
      </c>
      <c r="K13895">
        <v>0</v>
      </c>
      <c r="L13895">
        <f>IF(AND($J13895=0,$K13895=0),0,1)</f>
        <v>1</v>
      </c>
      <c r="M13895" t="s">
        <v>761</v>
      </c>
    </row>
    <row r="13896" spans="1:13" x14ac:dyDescent="0.2">
      <c r="A13896" t="s">
        <v>759</v>
      </c>
      <c r="B13896" t="s">
        <v>386</v>
      </c>
      <c r="C13896" t="s">
        <v>407</v>
      </c>
      <c r="D13896">
        <v>5932</v>
      </c>
      <c r="E13896">
        <v>2020</v>
      </c>
      <c r="F13896">
        <v>8</v>
      </c>
      <c r="G13896">
        <v>13760</v>
      </c>
      <c r="H13896" s="1" t="s">
        <v>1827</v>
      </c>
      <c r="I13896">
        <v>1</v>
      </c>
      <c r="J13896">
        <f>IF($H13896=0,1,IF($I13896&lt;=1,2,0))</f>
        <v>2</v>
      </c>
      <c r="K13896">
        <v>0</v>
      </c>
      <c r="L13896">
        <f>IF(AND($J13896=0,$K13896=0),0,1)</f>
        <v>1</v>
      </c>
      <c r="M13896" t="s">
        <v>761</v>
      </c>
    </row>
    <row r="13897" spans="1:13" x14ac:dyDescent="0.2">
      <c r="A13897" t="s">
        <v>759</v>
      </c>
      <c r="B13897" t="s">
        <v>386</v>
      </c>
      <c r="C13897" t="s">
        <v>407</v>
      </c>
      <c r="D13897">
        <v>5932</v>
      </c>
      <c r="E13897">
        <v>2020</v>
      </c>
      <c r="F13897">
        <v>11</v>
      </c>
      <c r="G13897">
        <v>22381</v>
      </c>
      <c r="H13897" s="1" t="s">
        <v>1827</v>
      </c>
      <c r="I13897">
        <v>1</v>
      </c>
      <c r="J13897">
        <f>IF($H13897=0,1,IF($I13897&lt;=1,2,0))</f>
        <v>2</v>
      </c>
      <c r="K13897">
        <v>0</v>
      </c>
      <c r="L13897">
        <f>IF(AND($J13897=0,$K13897=0),0,1)</f>
        <v>1</v>
      </c>
      <c r="M13897" t="s">
        <v>761</v>
      </c>
    </row>
    <row r="13898" spans="1:13" x14ac:dyDescent="0.2">
      <c r="A13898" t="s">
        <v>759</v>
      </c>
      <c r="B13898" t="s">
        <v>386</v>
      </c>
      <c r="C13898" t="s">
        <v>407</v>
      </c>
      <c r="D13898">
        <v>5932</v>
      </c>
      <c r="E13898">
        <v>2020</v>
      </c>
      <c r="F13898">
        <v>3</v>
      </c>
      <c r="G13898">
        <v>13750</v>
      </c>
      <c r="H13898" s="1" t="s">
        <v>1827</v>
      </c>
      <c r="I13898">
        <v>0</v>
      </c>
      <c r="J13898">
        <f>IF($H13898=0,1,IF($I13898&lt;=1,2,0))</f>
        <v>2</v>
      </c>
      <c r="K13898">
        <v>0</v>
      </c>
      <c r="L13898">
        <f>IF(AND($J13898=0,$K13898=0),0,1)</f>
        <v>1</v>
      </c>
      <c r="M13898" t="s">
        <v>761</v>
      </c>
    </row>
    <row r="13899" spans="1:13" x14ac:dyDescent="0.2">
      <c r="A13899" t="s">
        <v>759</v>
      </c>
      <c r="B13899" t="s">
        <v>386</v>
      </c>
      <c r="C13899" t="s">
        <v>407</v>
      </c>
      <c r="D13899">
        <v>5932</v>
      </c>
      <c r="E13899">
        <v>2020</v>
      </c>
      <c r="F13899">
        <v>4</v>
      </c>
      <c r="G13899">
        <v>13751</v>
      </c>
      <c r="H13899" s="1" t="s">
        <v>1827</v>
      </c>
      <c r="I13899">
        <v>0</v>
      </c>
      <c r="J13899">
        <f>IF($H13899=0,1,IF($I13899&lt;=1,2,0))</f>
        <v>2</v>
      </c>
      <c r="K13899">
        <v>0</v>
      </c>
      <c r="L13899">
        <f>IF(AND($J13899=0,$K13899=0),0,1)</f>
        <v>1</v>
      </c>
      <c r="M13899" t="s">
        <v>761</v>
      </c>
    </row>
    <row r="13900" spans="1:13" x14ac:dyDescent="0.2">
      <c r="A13900" t="s">
        <v>759</v>
      </c>
      <c r="B13900" t="s">
        <v>386</v>
      </c>
      <c r="C13900" t="s">
        <v>407</v>
      </c>
      <c r="D13900">
        <v>5932</v>
      </c>
      <c r="E13900">
        <v>2020</v>
      </c>
      <c r="F13900">
        <v>9</v>
      </c>
      <c r="G13900">
        <v>13761</v>
      </c>
      <c r="H13900" s="1" t="s">
        <v>1827</v>
      </c>
      <c r="I13900">
        <v>0</v>
      </c>
      <c r="J13900">
        <f>IF($H13900=0,1,IF($I13900&lt;=1,2,0))</f>
        <v>2</v>
      </c>
      <c r="K13900">
        <v>0</v>
      </c>
      <c r="L13900">
        <f>IF(AND($J13900=0,$K13900=0),0,1)</f>
        <v>1</v>
      </c>
      <c r="M13900" t="s">
        <v>761</v>
      </c>
    </row>
    <row r="13901" spans="1:13" x14ac:dyDescent="0.2">
      <c r="A13901" t="s">
        <v>759</v>
      </c>
      <c r="B13901" t="s">
        <v>386</v>
      </c>
      <c r="C13901" t="s">
        <v>407</v>
      </c>
      <c r="D13901">
        <v>6812</v>
      </c>
      <c r="E13901">
        <v>2020</v>
      </c>
      <c r="F13901">
        <v>1</v>
      </c>
      <c r="G13901">
        <v>13734</v>
      </c>
      <c r="H13901" s="1">
        <v>0</v>
      </c>
      <c r="I13901">
        <v>21</v>
      </c>
      <c r="J13901">
        <f>IF($H13901=0,1,IF($I13901&lt;=1,2,0))</f>
        <v>1</v>
      </c>
      <c r="K13901">
        <v>0</v>
      </c>
      <c r="L13901">
        <f>IF(AND($J13901=0,$K13901=0),0,1)</f>
        <v>1</v>
      </c>
      <c r="M13901" t="s">
        <v>762</v>
      </c>
    </row>
    <row r="13902" spans="1:13" x14ac:dyDescent="0.2">
      <c r="A13902" t="s">
        <v>759</v>
      </c>
      <c r="B13902" t="s">
        <v>386</v>
      </c>
      <c r="C13902" t="s">
        <v>407</v>
      </c>
      <c r="D13902">
        <v>6842</v>
      </c>
      <c r="E13902">
        <v>2020</v>
      </c>
      <c r="F13902">
        <v>1</v>
      </c>
      <c r="G13902">
        <v>13735</v>
      </c>
      <c r="H13902" s="1">
        <v>3</v>
      </c>
      <c r="I13902">
        <v>21</v>
      </c>
      <c r="J13902">
        <f>IF($H13902=0,1,IF($I13902&lt;=1,2,0))</f>
        <v>0</v>
      </c>
      <c r="K13902">
        <v>4</v>
      </c>
      <c r="L13902">
        <f>IF(AND($J13902=0,$K13902=0),0,1)</f>
        <v>1</v>
      </c>
      <c r="M13902" t="s">
        <v>762</v>
      </c>
    </row>
    <row r="13903" spans="1:13" x14ac:dyDescent="0.2">
      <c r="A13903" t="s">
        <v>759</v>
      </c>
      <c r="B13903" t="s">
        <v>386</v>
      </c>
      <c r="C13903" t="s">
        <v>407</v>
      </c>
      <c r="D13903">
        <v>6852</v>
      </c>
      <c r="E13903">
        <v>2020</v>
      </c>
      <c r="F13903">
        <v>1</v>
      </c>
      <c r="G13903">
        <v>13737</v>
      </c>
      <c r="H13903" s="1">
        <v>3</v>
      </c>
      <c r="I13903">
        <v>21</v>
      </c>
      <c r="J13903">
        <f>IF($H13903=0,1,IF($I13903&lt;=1,2,0))</f>
        <v>0</v>
      </c>
      <c r="K13903">
        <v>4</v>
      </c>
      <c r="L13903">
        <f>IF(AND($J13903=0,$K13903=0),0,1)</f>
        <v>1</v>
      </c>
      <c r="M13903" t="s">
        <v>762</v>
      </c>
    </row>
    <row r="13904" spans="1:13" x14ac:dyDescent="0.2">
      <c r="A13904" t="s">
        <v>759</v>
      </c>
      <c r="B13904" t="s">
        <v>386</v>
      </c>
      <c r="C13904" t="s">
        <v>407</v>
      </c>
      <c r="D13904">
        <v>6862</v>
      </c>
      <c r="E13904">
        <v>2020</v>
      </c>
      <c r="F13904">
        <v>1</v>
      </c>
      <c r="G13904">
        <v>13738</v>
      </c>
      <c r="H13904" s="1">
        <v>3</v>
      </c>
      <c r="I13904">
        <v>21</v>
      </c>
      <c r="J13904">
        <f>IF($H13904=0,1,IF($I13904&lt;=1,2,0))</f>
        <v>0</v>
      </c>
      <c r="K13904">
        <v>4</v>
      </c>
      <c r="L13904">
        <f>IF(AND($J13904=0,$K13904=0),0,1)</f>
        <v>1</v>
      </c>
      <c r="M13904" t="s">
        <v>762</v>
      </c>
    </row>
    <row r="13905" spans="1:13" x14ac:dyDescent="0.2">
      <c r="A13905" t="s">
        <v>759</v>
      </c>
      <c r="B13905" t="s">
        <v>386</v>
      </c>
      <c r="C13905" t="s">
        <v>407</v>
      </c>
      <c r="D13905">
        <v>8000</v>
      </c>
      <c r="E13905">
        <v>2020</v>
      </c>
      <c r="F13905">
        <v>1</v>
      </c>
      <c r="G13905">
        <v>13798</v>
      </c>
      <c r="H13905" s="1">
        <v>3</v>
      </c>
      <c r="I13905">
        <v>7</v>
      </c>
      <c r="J13905">
        <f>IF($H13905=0,1,IF($I13905&lt;=1,2,0))</f>
        <v>0</v>
      </c>
      <c r="K13905">
        <v>4</v>
      </c>
      <c r="L13905">
        <f>IF(AND($J13905=0,$K13905=0),0,1)</f>
        <v>1</v>
      </c>
      <c r="M13905" t="s">
        <v>1302</v>
      </c>
    </row>
    <row r="13906" spans="1:13" x14ac:dyDescent="0.2">
      <c r="A13906" t="s">
        <v>759</v>
      </c>
      <c r="B13906" t="s">
        <v>386</v>
      </c>
      <c r="C13906" t="s">
        <v>407</v>
      </c>
      <c r="D13906">
        <v>8206</v>
      </c>
      <c r="E13906">
        <v>2020</v>
      </c>
      <c r="F13906">
        <v>1</v>
      </c>
      <c r="G13906">
        <v>13796</v>
      </c>
      <c r="H13906" s="1">
        <v>3</v>
      </c>
      <c r="I13906">
        <v>10</v>
      </c>
      <c r="J13906">
        <f>IF($H13906=0,1,IF($I13906&lt;=1,2,0))</f>
        <v>0</v>
      </c>
      <c r="K13906">
        <v>4</v>
      </c>
      <c r="L13906">
        <f>IF(AND($J13906=0,$K13906=0),0,1)</f>
        <v>1</v>
      </c>
      <c r="M13906" t="s">
        <v>1304</v>
      </c>
    </row>
    <row r="13907" spans="1:13" x14ac:dyDescent="0.2">
      <c r="A13907" t="s">
        <v>759</v>
      </c>
      <c r="B13907" t="s">
        <v>386</v>
      </c>
      <c r="C13907" t="s">
        <v>407</v>
      </c>
      <c r="D13907">
        <v>8301</v>
      </c>
      <c r="E13907">
        <v>2020</v>
      </c>
      <c r="F13907">
        <v>1</v>
      </c>
      <c r="G13907">
        <v>13740</v>
      </c>
      <c r="H13907" s="1">
        <v>3</v>
      </c>
      <c r="I13907">
        <v>11</v>
      </c>
      <c r="J13907">
        <f>IF($H13907=0,1,IF($I13907&lt;=1,2,0))</f>
        <v>0</v>
      </c>
      <c r="K13907">
        <v>4</v>
      </c>
      <c r="L13907">
        <f>IF(AND($J13907=0,$K13907=0),0,1)</f>
        <v>1</v>
      </c>
      <c r="M13907" t="s">
        <v>762</v>
      </c>
    </row>
    <row r="13908" spans="1:13" x14ac:dyDescent="0.2">
      <c r="A13908" t="s">
        <v>759</v>
      </c>
      <c r="B13908" t="s">
        <v>386</v>
      </c>
      <c r="C13908" t="s">
        <v>407</v>
      </c>
      <c r="D13908">
        <v>8320</v>
      </c>
      <c r="E13908">
        <v>2020</v>
      </c>
      <c r="F13908">
        <v>1</v>
      </c>
      <c r="G13908">
        <v>20061</v>
      </c>
      <c r="H13908" s="1">
        <v>3</v>
      </c>
      <c r="I13908">
        <v>13</v>
      </c>
      <c r="J13908">
        <f>IF($H13908=0,1,IF($I13908&lt;=1,2,0))</f>
        <v>0</v>
      </c>
      <c r="K13908">
        <v>4</v>
      </c>
      <c r="L13908">
        <f>IF(AND($J13908=0,$K13908=0),0,1)</f>
        <v>1</v>
      </c>
      <c r="M13908" t="s">
        <v>1304</v>
      </c>
    </row>
    <row r="13909" spans="1:13" x14ac:dyDescent="0.2">
      <c r="A13909" t="s">
        <v>765</v>
      </c>
      <c r="B13909" t="s">
        <v>17</v>
      </c>
      <c r="C13909" t="s">
        <v>9</v>
      </c>
      <c r="D13909">
        <v>2101</v>
      </c>
      <c r="E13909">
        <v>2020</v>
      </c>
      <c r="F13909">
        <v>2</v>
      </c>
      <c r="G13909">
        <v>24474</v>
      </c>
      <c r="H13909" s="1">
        <v>4</v>
      </c>
      <c r="I13909">
        <v>3</v>
      </c>
      <c r="J13909">
        <f>IF($H13909=0,1,IF($I13909&lt;=1,2,0))</f>
        <v>0</v>
      </c>
      <c r="K13909">
        <v>4</v>
      </c>
      <c r="L13909">
        <f>IF(AND($J13909=0,$K13909=0),0,1)</f>
        <v>1</v>
      </c>
      <c r="M13909" t="s">
        <v>1305</v>
      </c>
    </row>
    <row r="13910" spans="1:13" x14ac:dyDescent="0.2">
      <c r="A13910" t="s">
        <v>767</v>
      </c>
      <c r="B13910" t="s">
        <v>6</v>
      </c>
      <c r="C13910" t="s">
        <v>2</v>
      </c>
      <c r="D13910">
        <v>1050</v>
      </c>
      <c r="E13910">
        <v>2020</v>
      </c>
      <c r="F13910">
        <v>1</v>
      </c>
      <c r="G13910">
        <v>277</v>
      </c>
      <c r="H13910" s="1">
        <v>3</v>
      </c>
      <c r="I13910">
        <v>87</v>
      </c>
      <c r="J13910">
        <f>IF($H13910=0,1,IF($I13910&lt;=1,2,0))</f>
        <v>0</v>
      </c>
      <c r="K13910">
        <v>7</v>
      </c>
      <c r="L13910">
        <f>IF(AND($J13910=0,$K13910=0),0,1)</f>
        <v>1</v>
      </c>
    </row>
    <row r="13911" spans="1:13" x14ac:dyDescent="0.2">
      <c r="A13911" t="s">
        <v>767</v>
      </c>
      <c r="B13911" t="s">
        <v>6</v>
      </c>
      <c r="C13911" t="s">
        <v>2</v>
      </c>
      <c r="D13911">
        <v>2140</v>
      </c>
      <c r="E13911">
        <v>2020</v>
      </c>
      <c r="F13911">
        <v>0</v>
      </c>
      <c r="G13911">
        <v>768</v>
      </c>
      <c r="H13911" s="1">
        <v>3</v>
      </c>
      <c r="I13911">
        <v>42</v>
      </c>
      <c r="J13911">
        <f>IF($H13911=0,1,IF($I13911&lt;=1,2,0))</f>
        <v>0</v>
      </c>
      <c r="K13911">
        <v>7</v>
      </c>
      <c r="L13911">
        <f>IF(AND($J13911=0,$K13911=0),0,1)</f>
        <v>1</v>
      </c>
    </row>
    <row r="13912" spans="1:13" x14ac:dyDescent="0.2">
      <c r="A13912" t="s">
        <v>767</v>
      </c>
      <c r="B13912" t="s">
        <v>6</v>
      </c>
      <c r="C13912" t="s">
        <v>2</v>
      </c>
      <c r="D13912">
        <v>2140</v>
      </c>
      <c r="E13912">
        <v>2020</v>
      </c>
      <c r="F13912">
        <v>1</v>
      </c>
      <c r="G13912">
        <v>767</v>
      </c>
      <c r="H13912" s="1">
        <v>3</v>
      </c>
      <c r="I13912">
        <v>12</v>
      </c>
      <c r="J13912">
        <f>IF($H13912=0,1,IF($I13912&lt;=1,2,0))</f>
        <v>0</v>
      </c>
      <c r="K13912">
        <v>7</v>
      </c>
      <c r="L13912">
        <f>IF(AND($J13912=0,$K13912=0),0,1)</f>
        <v>1</v>
      </c>
    </row>
    <row r="13913" spans="1:13" x14ac:dyDescent="0.2">
      <c r="A13913" t="s">
        <v>767</v>
      </c>
      <c r="B13913" t="s">
        <v>6</v>
      </c>
      <c r="C13913" t="s">
        <v>2</v>
      </c>
      <c r="D13913">
        <v>3514</v>
      </c>
      <c r="E13913">
        <v>2020</v>
      </c>
      <c r="F13913">
        <v>1</v>
      </c>
      <c r="G13913">
        <v>297</v>
      </c>
      <c r="H13913" s="1">
        <v>4</v>
      </c>
      <c r="I13913">
        <v>16</v>
      </c>
      <c r="J13913">
        <f>IF($H13913=0,1,IF($I13913&lt;=1,2,0))</f>
        <v>0</v>
      </c>
      <c r="K13913">
        <v>7</v>
      </c>
      <c r="L13913">
        <f>IF(AND($J13913=0,$K13913=0),0,1)</f>
        <v>1</v>
      </c>
    </row>
    <row r="13914" spans="1:13" x14ac:dyDescent="0.2">
      <c r="A13914" t="s">
        <v>767</v>
      </c>
      <c r="B13914" t="s">
        <v>6</v>
      </c>
      <c r="C13914" t="s">
        <v>2</v>
      </c>
      <c r="D13914">
        <v>3518</v>
      </c>
      <c r="E13914">
        <v>2020</v>
      </c>
      <c r="F13914">
        <v>1</v>
      </c>
      <c r="G13914">
        <v>298</v>
      </c>
      <c r="H13914" s="1">
        <v>4</v>
      </c>
      <c r="I13914">
        <v>21</v>
      </c>
      <c r="J13914">
        <f>IF($H13914=0,1,IF($I13914&lt;=1,2,0))</f>
        <v>0</v>
      </c>
      <c r="K13914">
        <v>7</v>
      </c>
      <c r="L13914">
        <f>IF(AND($J13914=0,$K13914=0),0,1)</f>
        <v>1</v>
      </c>
    </row>
    <row r="13915" spans="1:13" x14ac:dyDescent="0.2">
      <c r="A13915" t="s">
        <v>767</v>
      </c>
      <c r="B13915" t="s">
        <v>6</v>
      </c>
      <c r="C13915" t="s">
        <v>2</v>
      </c>
      <c r="D13915">
        <v>3814</v>
      </c>
      <c r="E13915">
        <v>2020</v>
      </c>
      <c r="F13915">
        <v>1</v>
      </c>
      <c r="G13915">
        <v>806</v>
      </c>
      <c r="H13915" s="1">
        <v>1</v>
      </c>
      <c r="I13915">
        <v>6</v>
      </c>
      <c r="J13915">
        <f>IF($H13915=0,1,IF($I13915&lt;=1,2,0))</f>
        <v>0</v>
      </c>
      <c r="K13915">
        <v>7</v>
      </c>
      <c r="L13915">
        <f>IF(AND($J13915=0,$K13915=0),0,1)</f>
        <v>1</v>
      </c>
    </row>
    <row r="13916" spans="1:13" x14ac:dyDescent="0.2">
      <c r="A13916" t="s">
        <v>767</v>
      </c>
      <c r="B13916" t="s">
        <v>6</v>
      </c>
      <c r="C13916" t="s">
        <v>2</v>
      </c>
      <c r="D13916">
        <v>3814</v>
      </c>
      <c r="E13916">
        <v>2020</v>
      </c>
      <c r="F13916">
        <v>2</v>
      </c>
      <c r="G13916">
        <v>807</v>
      </c>
      <c r="H13916" s="1">
        <v>1</v>
      </c>
      <c r="I13916">
        <v>1</v>
      </c>
      <c r="J13916">
        <f>IF($H13916=0,1,IF($I13916&lt;=1,2,0))</f>
        <v>2</v>
      </c>
      <c r="K13916">
        <v>7</v>
      </c>
      <c r="L13916">
        <f>IF(AND($J13916=0,$K13916=0),0,1)</f>
        <v>1</v>
      </c>
    </row>
    <row r="13917" spans="1:13" x14ac:dyDescent="0.2">
      <c r="A13917" t="s">
        <v>767</v>
      </c>
      <c r="B13917" t="s">
        <v>6</v>
      </c>
      <c r="C13917" t="s">
        <v>2</v>
      </c>
      <c r="D13917">
        <v>3999</v>
      </c>
      <c r="E13917">
        <v>2020</v>
      </c>
      <c r="F13917">
        <v>1</v>
      </c>
      <c r="G13917">
        <v>974</v>
      </c>
      <c r="H13917" s="1" t="s">
        <v>1823</v>
      </c>
      <c r="I13917">
        <v>0</v>
      </c>
      <c r="J13917">
        <f>IF($H13917=0,1,IF($I13917&lt;=1,2,0))</f>
        <v>2</v>
      </c>
      <c r="K13917">
        <v>7</v>
      </c>
      <c r="L13917">
        <f>IF(AND($J13917=0,$K13917=0),0,1)</f>
        <v>1</v>
      </c>
    </row>
    <row r="13918" spans="1:13" x14ac:dyDescent="0.2">
      <c r="A13918" t="s">
        <v>767</v>
      </c>
      <c r="B13918" t="s">
        <v>6</v>
      </c>
      <c r="C13918" t="s">
        <v>9</v>
      </c>
      <c r="D13918">
        <v>4998</v>
      </c>
      <c r="E13918">
        <v>2020</v>
      </c>
      <c r="F13918">
        <v>1</v>
      </c>
      <c r="G13918">
        <v>24866</v>
      </c>
      <c r="H13918" s="1">
        <v>3</v>
      </c>
      <c r="I13918">
        <v>1</v>
      </c>
      <c r="J13918">
        <f>IF($H13918=0,1,IF($I13918&lt;=1,2,0))</f>
        <v>2</v>
      </c>
      <c r="K13918">
        <v>9</v>
      </c>
      <c r="L13918">
        <f>IF(AND($J13918=0,$K13918=0),0,1)</f>
        <v>1</v>
      </c>
    </row>
    <row r="13919" spans="1:13" x14ac:dyDescent="0.2">
      <c r="A13919" t="s">
        <v>767</v>
      </c>
      <c r="B13919" t="s">
        <v>6</v>
      </c>
      <c r="C13919" t="s">
        <v>11</v>
      </c>
      <c r="D13919">
        <v>6999</v>
      </c>
      <c r="E13919">
        <v>2020</v>
      </c>
      <c r="F13919">
        <v>1</v>
      </c>
      <c r="G13919">
        <v>24782</v>
      </c>
      <c r="H13919" s="1">
        <v>4</v>
      </c>
      <c r="I13919">
        <v>1</v>
      </c>
      <c r="J13919">
        <f>IF($H13919=0,1,IF($I13919&lt;=1,2,0))</f>
        <v>2</v>
      </c>
      <c r="K13919">
        <v>9</v>
      </c>
      <c r="L13919">
        <f>IF(AND($J13919=0,$K13919=0),0,1)</f>
        <v>1</v>
      </c>
    </row>
    <row r="13920" spans="1:13" x14ac:dyDescent="0.2">
      <c r="A13920" t="s">
        <v>769</v>
      </c>
      <c r="B13920" t="s">
        <v>386</v>
      </c>
      <c r="C13920" t="s">
        <v>407</v>
      </c>
      <c r="D13920">
        <v>5800</v>
      </c>
      <c r="E13920">
        <v>2020</v>
      </c>
      <c r="F13920">
        <v>1</v>
      </c>
      <c r="G13920">
        <v>15443</v>
      </c>
      <c r="H13920" s="1" t="s">
        <v>1827</v>
      </c>
      <c r="I13920">
        <v>2</v>
      </c>
      <c r="J13920">
        <f>IF($H13920=0,1,IF($I13920&lt;=1,2,0))</f>
        <v>0</v>
      </c>
      <c r="K13920">
        <v>4</v>
      </c>
      <c r="L13920">
        <f>IF(AND($J13920=0,$K13920=0),0,1)</f>
        <v>1</v>
      </c>
    </row>
    <row r="13921" spans="1:13" x14ac:dyDescent="0.2">
      <c r="A13921" t="s">
        <v>769</v>
      </c>
      <c r="B13921" t="s">
        <v>386</v>
      </c>
      <c r="C13921" t="s">
        <v>34</v>
      </c>
      <c r="D13921">
        <v>9000</v>
      </c>
      <c r="E13921">
        <v>2020</v>
      </c>
      <c r="F13921">
        <v>1</v>
      </c>
      <c r="G13921">
        <v>13821</v>
      </c>
      <c r="H13921" s="1">
        <v>0</v>
      </c>
      <c r="I13921">
        <v>79</v>
      </c>
      <c r="J13921">
        <f>IF($H13921=0,1,IF($I13921&lt;=1,2,0))</f>
        <v>1</v>
      </c>
      <c r="K13921">
        <v>5</v>
      </c>
      <c r="L13921">
        <f>IF(AND($J13921=0,$K13921=0),0,1)</f>
        <v>1</v>
      </c>
      <c r="M13921" t="s">
        <v>1306</v>
      </c>
    </row>
    <row r="13922" spans="1:13" x14ac:dyDescent="0.2">
      <c r="A13922" t="s">
        <v>769</v>
      </c>
      <c r="B13922" t="s">
        <v>386</v>
      </c>
      <c r="C13922" t="s">
        <v>34</v>
      </c>
      <c r="D13922">
        <v>9001</v>
      </c>
      <c r="E13922">
        <v>2020</v>
      </c>
      <c r="F13922">
        <v>1</v>
      </c>
      <c r="G13922">
        <v>17318</v>
      </c>
      <c r="H13922" s="1">
        <v>0</v>
      </c>
      <c r="I13922">
        <v>9</v>
      </c>
      <c r="J13922">
        <f>IF($H13922=0,1,IF($I13922&lt;=1,2,0))</f>
        <v>1</v>
      </c>
      <c r="K13922">
        <v>5</v>
      </c>
      <c r="L13922">
        <f>IF(AND($J13922=0,$K13922=0),0,1)</f>
        <v>1</v>
      </c>
    </row>
    <row r="13923" spans="1:13" x14ac:dyDescent="0.2">
      <c r="A13923" t="s">
        <v>769</v>
      </c>
      <c r="B13923" t="s">
        <v>386</v>
      </c>
      <c r="C13923" t="s">
        <v>407</v>
      </c>
      <c r="D13923">
        <v>9800</v>
      </c>
      <c r="E13923">
        <v>2020</v>
      </c>
      <c r="F13923">
        <v>1</v>
      </c>
      <c r="G13923">
        <v>13822</v>
      </c>
      <c r="H13923" s="1" t="s">
        <v>1828</v>
      </c>
      <c r="I13923">
        <v>0</v>
      </c>
      <c r="J13923">
        <f>IF($H13923=0,1,IF($I13923&lt;=1,2,0))</f>
        <v>2</v>
      </c>
      <c r="K13923">
        <v>5</v>
      </c>
      <c r="L13923">
        <f>IF(AND($J13923=0,$K13923=0),0,1)</f>
        <v>1</v>
      </c>
      <c r="M13923" t="s">
        <v>1043</v>
      </c>
    </row>
    <row r="13924" spans="1:13" x14ac:dyDescent="0.2">
      <c r="A13924" t="s">
        <v>772</v>
      </c>
      <c r="B13924" t="s">
        <v>17</v>
      </c>
      <c r="C13924" t="s">
        <v>9</v>
      </c>
      <c r="D13924">
        <v>3101</v>
      </c>
      <c r="E13924">
        <v>2020</v>
      </c>
      <c r="F13924">
        <v>1</v>
      </c>
      <c r="G13924">
        <v>11974</v>
      </c>
      <c r="H13924" s="1">
        <v>3</v>
      </c>
      <c r="I13924">
        <v>1</v>
      </c>
      <c r="J13924">
        <f>IF($H13924=0,1,IF($I13924&lt;=1,2,0))</f>
        <v>2</v>
      </c>
      <c r="K13924">
        <v>0</v>
      </c>
      <c r="L13924">
        <f>IF(AND($J13924=0,$K13924=0),0,1)</f>
        <v>1</v>
      </c>
      <c r="M13924" t="s">
        <v>181</v>
      </c>
    </row>
    <row r="13925" spans="1:13" x14ac:dyDescent="0.2">
      <c r="A13925" t="s">
        <v>0</v>
      </c>
      <c r="B13925" t="s">
        <v>1</v>
      </c>
      <c r="C13925" t="s">
        <v>2</v>
      </c>
      <c r="D13925">
        <v>3997</v>
      </c>
      <c r="E13925">
        <v>2021</v>
      </c>
      <c r="F13925">
        <v>2</v>
      </c>
      <c r="G13925">
        <v>5</v>
      </c>
      <c r="H13925" s="1">
        <v>4</v>
      </c>
      <c r="I13925">
        <v>11</v>
      </c>
      <c r="J13925">
        <f>IF($H13925=0,1,IF($I13925&lt;=1,2,0))</f>
        <v>0</v>
      </c>
      <c r="K13925">
        <v>7</v>
      </c>
      <c r="L13925">
        <f>IF(AND($J13925=0,$K13925=0),0,1)</f>
        <v>1</v>
      </c>
      <c r="M13925" t="s">
        <v>4</v>
      </c>
    </row>
    <row r="13926" spans="1:13" x14ac:dyDescent="0.2">
      <c r="A13926" t="s">
        <v>5</v>
      </c>
      <c r="B13926" t="s">
        <v>6</v>
      </c>
      <c r="C13926" t="s">
        <v>7</v>
      </c>
      <c r="D13926">
        <v>1010</v>
      </c>
      <c r="E13926">
        <v>2021</v>
      </c>
      <c r="F13926">
        <v>1</v>
      </c>
      <c r="G13926">
        <v>17993</v>
      </c>
      <c r="H13926" s="1">
        <v>0</v>
      </c>
      <c r="I13926">
        <v>13</v>
      </c>
      <c r="J13926">
        <f>IF($H13926=0,1,IF($I13926&lt;=1,2,0))</f>
        <v>1</v>
      </c>
      <c r="K13926">
        <v>0</v>
      </c>
      <c r="L13926">
        <f>IF(AND($J13926=0,$K13926=0),0,1)</f>
        <v>1</v>
      </c>
      <c r="M13926" t="s">
        <v>1308</v>
      </c>
    </row>
    <row r="13927" spans="1:13" x14ac:dyDescent="0.2">
      <c r="A13927" t="s">
        <v>5</v>
      </c>
      <c r="B13927" t="s">
        <v>6</v>
      </c>
      <c r="C13927" t="s">
        <v>7</v>
      </c>
      <c r="D13927">
        <v>1010</v>
      </c>
      <c r="E13927">
        <v>2021</v>
      </c>
      <c r="F13927">
        <v>3</v>
      </c>
      <c r="G13927">
        <v>17995</v>
      </c>
      <c r="H13927" s="1">
        <v>0</v>
      </c>
      <c r="I13927">
        <v>12</v>
      </c>
      <c r="J13927">
        <f>IF($H13927=0,1,IF($I13927&lt;=1,2,0))</f>
        <v>1</v>
      </c>
      <c r="K13927">
        <v>0</v>
      </c>
      <c r="L13927">
        <f>IF(AND($J13927=0,$K13927=0),0,1)</f>
        <v>1</v>
      </c>
      <c r="M13927" t="s">
        <v>1308</v>
      </c>
    </row>
    <row r="13928" spans="1:13" x14ac:dyDescent="0.2">
      <c r="A13928" t="s">
        <v>5</v>
      </c>
      <c r="B13928" t="s">
        <v>6</v>
      </c>
      <c r="C13928" t="s">
        <v>7</v>
      </c>
      <c r="D13928">
        <v>1010</v>
      </c>
      <c r="E13928">
        <v>2021</v>
      </c>
      <c r="F13928">
        <v>2</v>
      </c>
      <c r="G13928">
        <v>17994</v>
      </c>
      <c r="H13928" s="1">
        <v>0</v>
      </c>
      <c r="I13928">
        <v>8</v>
      </c>
      <c r="J13928">
        <f>IF($H13928=0,1,IF($I13928&lt;=1,2,0))</f>
        <v>1</v>
      </c>
      <c r="K13928">
        <v>0</v>
      </c>
      <c r="L13928">
        <f>IF(AND($J13928=0,$K13928=0),0,1)</f>
        <v>1</v>
      </c>
      <c r="M13928" t="s">
        <v>1309</v>
      </c>
    </row>
    <row r="13929" spans="1:13" x14ac:dyDescent="0.2">
      <c r="A13929" t="s">
        <v>5</v>
      </c>
      <c r="B13929" t="s">
        <v>6</v>
      </c>
      <c r="C13929" t="s">
        <v>7</v>
      </c>
      <c r="D13929">
        <v>1010</v>
      </c>
      <c r="E13929">
        <v>2021</v>
      </c>
      <c r="F13929">
        <v>4</v>
      </c>
      <c r="G13929">
        <v>17996</v>
      </c>
      <c r="H13929" s="1">
        <v>0</v>
      </c>
      <c r="I13929">
        <v>4</v>
      </c>
      <c r="J13929">
        <f>IF($H13929=0,1,IF($I13929&lt;=1,2,0))</f>
        <v>1</v>
      </c>
      <c r="K13929">
        <v>0</v>
      </c>
      <c r="L13929">
        <f>IF(AND($J13929=0,$K13929=0),0,1)</f>
        <v>1</v>
      </c>
      <c r="M13929" t="s">
        <v>1309</v>
      </c>
    </row>
    <row r="13930" spans="1:13" x14ac:dyDescent="0.2">
      <c r="A13930" t="s">
        <v>5</v>
      </c>
      <c r="B13930" t="s">
        <v>6</v>
      </c>
      <c r="C13930" t="s">
        <v>7</v>
      </c>
      <c r="D13930">
        <v>3901</v>
      </c>
      <c r="E13930">
        <v>2021</v>
      </c>
      <c r="F13930">
        <v>1</v>
      </c>
      <c r="G13930">
        <v>20507</v>
      </c>
      <c r="H13930" s="1" t="s">
        <v>1823</v>
      </c>
      <c r="I13930">
        <v>1</v>
      </c>
      <c r="J13930">
        <f>IF($H13930=0,1,IF($I13930&lt;=1,2,0))</f>
        <v>2</v>
      </c>
      <c r="K13930">
        <v>8</v>
      </c>
      <c r="L13930">
        <f>IF(AND($J13930=0,$K13930=0),0,1)</f>
        <v>1</v>
      </c>
    </row>
    <row r="13931" spans="1:13" x14ac:dyDescent="0.2">
      <c r="A13931" t="s">
        <v>5</v>
      </c>
      <c r="B13931" t="s">
        <v>6</v>
      </c>
      <c r="C13931" t="s">
        <v>7</v>
      </c>
      <c r="D13931">
        <v>3901</v>
      </c>
      <c r="E13931">
        <v>2021</v>
      </c>
      <c r="F13931">
        <v>2</v>
      </c>
      <c r="G13931">
        <v>20506</v>
      </c>
      <c r="H13931" s="1" t="s">
        <v>1823</v>
      </c>
      <c r="I13931">
        <v>0</v>
      </c>
      <c r="J13931">
        <f>IF($H13931=0,1,IF($I13931&lt;=1,2,0))</f>
        <v>2</v>
      </c>
      <c r="K13931">
        <v>8</v>
      </c>
      <c r="L13931">
        <f>IF(AND($J13931=0,$K13931=0),0,1)</f>
        <v>1</v>
      </c>
    </row>
    <row r="13932" spans="1:13" x14ac:dyDescent="0.2">
      <c r="A13932" t="s">
        <v>5</v>
      </c>
      <c r="B13932" t="s">
        <v>6</v>
      </c>
      <c r="C13932" t="s">
        <v>7</v>
      </c>
      <c r="D13932">
        <v>3901</v>
      </c>
      <c r="E13932">
        <v>2021</v>
      </c>
      <c r="F13932">
        <v>3</v>
      </c>
      <c r="G13932">
        <v>20508</v>
      </c>
      <c r="H13932" s="1" t="s">
        <v>1823</v>
      </c>
      <c r="I13932">
        <v>0</v>
      </c>
      <c r="J13932">
        <f>IF($H13932=0,1,IF($I13932&lt;=1,2,0))</f>
        <v>2</v>
      </c>
      <c r="K13932">
        <v>8</v>
      </c>
      <c r="L13932">
        <f>IF(AND($J13932=0,$K13932=0),0,1)</f>
        <v>1</v>
      </c>
    </row>
    <row r="13933" spans="1:13" x14ac:dyDescent="0.2">
      <c r="A13933" t="s">
        <v>5</v>
      </c>
      <c r="B13933" t="s">
        <v>6</v>
      </c>
      <c r="C13933" t="s">
        <v>7</v>
      </c>
      <c r="D13933">
        <v>3901</v>
      </c>
      <c r="E13933">
        <v>2021</v>
      </c>
      <c r="F13933">
        <v>4</v>
      </c>
      <c r="G13933">
        <v>20510</v>
      </c>
      <c r="H13933" s="1" t="s">
        <v>1823</v>
      </c>
      <c r="I13933">
        <v>0</v>
      </c>
      <c r="J13933">
        <f>IF($H13933=0,1,IF($I13933&lt;=1,2,0))</f>
        <v>2</v>
      </c>
      <c r="K13933">
        <v>8</v>
      </c>
      <c r="L13933">
        <f>IF(AND($J13933=0,$K13933=0),0,1)</f>
        <v>1</v>
      </c>
    </row>
    <row r="13934" spans="1:13" x14ac:dyDescent="0.2">
      <c r="A13934" t="s">
        <v>5</v>
      </c>
      <c r="B13934" t="s">
        <v>6</v>
      </c>
      <c r="C13934" t="s">
        <v>7</v>
      </c>
      <c r="D13934">
        <v>3901</v>
      </c>
      <c r="E13934">
        <v>2021</v>
      </c>
      <c r="F13934">
        <v>5</v>
      </c>
      <c r="G13934">
        <v>20511</v>
      </c>
      <c r="H13934" s="1" t="s">
        <v>1823</v>
      </c>
      <c r="I13934">
        <v>0</v>
      </c>
      <c r="J13934">
        <f>IF($H13934=0,1,IF($I13934&lt;=1,2,0))</f>
        <v>2</v>
      </c>
      <c r="K13934">
        <v>8</v>
      </c>
      <c r="L13934">
        <f>IF(AND($J13934=0,$K13934=0),0,1)</f>
        <v>1</v>
      </c>
    </row>
    <row r="13935" spans="1:13" x14ac:dyDescent="0.2">
      <c r="A13935" t="s">
        <v>5</v>
      </c>
      <c r="B13935" t="s">
        <v>6</v>
      </c>
      <c r="C13935" t="s">
        <v>7</v>
      </c>
      <c r="D13935">
        <v>3901</v>
      </c>
      <c r="E13935">
        <v>2021</v>
      </c>
      <c r="F13935">
        <v>6</v>
      </c>
      <c r="G13935">
        <v>20512</v>
      </c>
      <c r="H13935" s="1" t="s">
        <v>1823</v>
      </c>
      <c r="I13935">
        <v>0</v>
      </c>
      <c r="J13935">
        <f>IF($H13935=0,1,IF($I13935&lt;=1,2,0))</f>
        <v>2</v>
      </c>
      <c r="K13935">
        <v>8</v>
      </c>
      <c r="L13935">
        <f>IF(AND($J13935=0,$K13935=0),0,1)</f>
        <v>1</v>
      </c>
    </row>
    <row r="13936" spans="1:13" x14ac:dyDescent="0.2">
      <c r="A13936" t="s">
        <v>5</v>
      </c>
      <c r="B13936" t="s">
        <v>6</v>
      </c>
      <c r="C13936" t="s">
        <v>7</v>
      </c>
      <c r="D13936">
        <v>3997</v>
      </c>
      <c r="E13936">
        <v>2021</v>
      </c>
      <c r="F13936">
        <v>1</v>
      </c>
      <c r="G13936">
        <v>20505</v>
      </c>
      <c r="H13936" s="1" t="s">
        <v>1823</v>
      </c>
      <c r="I13936">
        <v>0</v>
      </c>
      <c r="J13936">
        <f>IF($H13936=0,1,IF($I13936&lt;=1,2,0))</f>
        <v>2</v>
      </c>
      <c r="K13936">
        <v>9</v>
      </c>
      <c r="L13936">
        <f>IF(AND($J13936=0,$K13936=0),0,1)</f>
        <v>1</v>
      </c>
    </row>
    <row r="13937" spans="1:13" x14ac:dyDescent="0.2">
      <c r="A13937" t="s">
        <v>5</v>
      </c>
      <c r="B13937" t="s">
        <v>6</v>
      </c>
      <c r="C13937" t="s">
        <v>11</v>
      </c>
      <c r="D13937">
        <v>6100</v>
      </c>
      <c r="E13937">
        <v>2021</v>
      </c>
      <c r="F13937">
        <v>1</v>
      </c>
      <c r="G13937">
        <v>13604</v>
      </c>
      <c r="H13937" s="1">
        <v>4</v>
      </c>
      <c r="I13937">
        <v>6</v>
      </c>
      <c r="J13937">
        <f>IF($H13937=0,1,IF($I13937&lt;=1,2,0))</f>
        <v>0</v>
      </c>
      <c r="K13937">
        <v>4</v>
      </c>
      <c r="L13937">
        <f>IF(AND($J13937=0,$K13937=0),0,1)</f>
        <v>1</v>
      </c>
      <c r="M13937" t="s">
        <v>1315</v>
      </c>
    </row>
    <row r="13938" spans="1:13" x14ac:dyDescent="0.2">
      <c r="A13938" t="s">
        <v>5</v>
      </c>
      <c r="B13938" t="s">
        <v>6</v>
      </c>
      <c r="C13938" t="s">
        <v>11</v>
      </c>
      <c r="D13938">
        <v>6999</v>
      </c>
      <c r="E13938">
        <v>2021</v>
      </c>
      <c r="F13938">
        <v>1</v>
      </c>
      <c r="G13938">
        <v>13606</v>
      </c>
      <c r="H13938" s="1">
        <v>4</v>
      </c>
      <c r="I13938">
        <v>0</v>
      </c>
      <c r="J13938">
        <f>IF($H13938=0,1,IF($I13938&lt;=1,2,0))</f>
        <v>2</v>
      </c>
      <c r="K13938">
        <v>9</v>
      </c>
      <c r="L13938">
        <f>IF(AND($J13938=0,$K13938=0),0,1)</f>
        <v>1</v>
      </c>
    </row>
    <row r="13939" spans="1:13" x14ac:dyDescent="0.2">
      <c r="A13939" t="s">
        <v>5</v>
      </c>
      <c r="B13939" t="s">
        <v>6</v>
      </c>
      <c r="C13939" t="s">
        <v>11</v>
      </c>
      <c r="D13939">
        <v>9900</v>
      </c>
      <c r="E13939">
        <v>2021</v>
      </c>
      <c r="F13939">
        <v>1</v>
      </c>
      <c r="G13939">
        <v>20500</v>
      </c>
      <c r="H13939" s="1">
        <v>3</v>
      </c>
      <c r="I13939">
        <v>1</v>
      </c>
      <c r="J13939">
        <f>IF($H13939=0,1,IF($I13939&lt;=1,2,0))</f>
        <v>2</v>
      </c>
      <c r="K13939">
        <v>5</v>
      </c>
      <c r="L13939">
        <f>IF(AND($J13939=0,$K13939=0),0,1)</f>
        <v>1</v>
      </c>
    </row>
    <row r="13940" spans="1:13" x14ac:dyDescent="0.2">
      <c r="A13940" t="s">
        <v>5</v>
      </c>
      <c r="B13940" t="s">
        <v>6</v>
      </c>
      <c r="C13940" t="s">
        <v>11</v>
      </c>
      <c r="D13940">
        <v>9900</v>
      </c>
      <c r="E13940">
        <v>2021</v>
      </c>
      <c r="F13940">
        <v>2</v>
      </c>
      <c r="G13940">
        <v>20501</v>
      </c>
      <c r="H13940" s="1">
        <v>3</v>
      </c>
      <c r="I13940">
        <v>0</v>
      </c>
      <c r="J13940">
        <f>IF($H13940=0,1,IF($I13940&lt;=1,2,0))</f>
        <v>2</v>
      </c>
      <c r="K13940">
        <v>5</v>
      </c>
      <c r="L13940">
        <f>IF(AND($J13940=0,$K13940=0),0,1)</f>
        <v>1</v>
      </c>
    </row>
    <row r="13941" spans="1:13" x14ac:dyDescent="0.2">
      <c r="A13941" t="s">
        <v>5</v>
      </c>
      <c r="B13941" t="s">
        <v>6</v>
      </c>
      <c r="C13941" t="s">
        <v>11</v>
      </c>
      <c r="D13941">
        <v>9900</v>
      </c>
      <c r="E13941">
        <v>2021</v>
      </c>
      <c r="F13941">
        <v>3</v>
      </c>
      <c r="G13941">
        <v>20502</v>
      </c>
      <c r="H13941" s="1">
        <v>3</v>
      </c>
      <c r="I13941">
        <v>0</v>
      </c>
      <c r="J13941">
        <f>IF($H13941=0,1,IF($I13941&lt;=1,2,0))</f>
        <v>2</v>
      </c>
      <c r="K13941">
        <v>5</v>
      </c>
      <c r="L13941">
        <f>IF(AND($J13941=0,$K13941=0),0,1)</f>
        <v>1</v>
      </c>
    </row>
    <row r="13942" spans="1:13" x14ac:dyDescent="0.2">
      <c r="A13942" t="s">
        <v>5</v>
      </c>
      <c r="B13942" t="s">
        <v>6</v>
      </c>
      <c r="C13942" t="s">
        <v>11</v>
      </c>
      <c r="D13942">
        <v>9900</v>
      </c>
      <c r="E13942">
        <v>2021</v>
      </c>
      <c r="F13942">
        <v>4</v>
      </c>
      <c r="G13942">
        <v>20504</v>
      </c>
      <c r="H13942" s="1">
        <v>3</v>
      </c>
      <c r="I13942">
        <v>0</v>
      </c>
      <c r="J13942">
        <f>IF($H13942=0,1,IF($I13942&lt;=1,2,0))</f>
        <v>2</v>
      </c>
      <c r="K13942">
        <v>5</v>
      </c>
      <c r="L13942">
        <f>IF(AND($J13942=0,$K13942=0),0,1)</f>
        <v>1</v>
      </c>
    </row>
    <row r="13943" spans="1:13" x14ac:dyDescent="0.2">
      <c r="A13943" t="s">
        <v>5</v>
      </c>
      <c r="B13943" t="s">
        <v>6</v>
      </c>
      <c r="C13943" t="s">
        <v>11</v>
      </c>
      <c r="D13943">
        <v>9900</v>
      </c>
      <c r="E13943">
        <v>2021</v>
      </c>
      <c r="F13943">
        <v>5</v>
      </c>
      <c r="G13943">
        <v>20513</v>
      </c>
      <c r="H13943" s="1">
        <v>3</v>
      </c>
      <c r="I13943">
        <v>0</v>
      </c>
      <c r="J13943">
        <f>IF($H13943=0,1,IF($I13943&lt;=1,2,0))</f>
        <v>2</v>
      </c>
      <c r="K13943">
        <v>5</v>
      </c>
      <c r="L13943">
        <f>IF(AND($J13943=0,$K13943=0),0,1)</f>
        <v>1</v>
      </c>
    </row>
    <row r="13944" spans="1:13" x14ac:dyDescent="0.2">
      <c r="A13944" t="s">
        <v>5</v>
      </c>
      <c r="B13944" t="s">
        <v>6</v>
      </c>
      <c r="C13944" t="s">
        <v>11</v>
      </c>
      <c r="D13944">
        <v>9900</v>
      </c>
      <c r="E13944">
        <v>2021</v>
      </c>
      <c r="F13944">
        <v>6</v>
      </c>
      <c r="G13944">
        <v>20514</v>
      </c>
      <c r="H13944" s="1">
        <v>3</v>
      </c>
      <c r="I13944">
        <v>0</v>
      </c>
      <c r="J13944">
        <f>IF($H13944=0,1,IF($I13944&lt;=1,2,0))</f>
        <v>2</v>
      </c>
      <c r="K13944">
        <v>5</v>
      </c>
      <c r="L13944">
        <f>IF(AND($J13944=0,$K13944=0),0,1)</f>
        <v>1</v>
      </c>
    </row>
    <row r="13945" spans="1:13" x14ac:dyDescent="0.2">
      <c r="A13945" t="s">
        <v>14</v>
      </c>
      <c r="B13945" t="s">
        <v>1</v>
      </c>
      <c r="C13945" t="s">
        <v>2</v>
      </c>
      <c r="D13945">
        <v>3253</v>
      </c>
      <c r="E13945">
        <v>2021</v>
      </c>
      <c r="F13945">
        <v>1</v>
      </c>
      <c r="G13945">
        <v>1</v>
      </c>
      <c r="H13945" s="1">
        <v>4</v>
      </c>
      <c r="I13945">
        <v>33</v>
      </c>
      <c r="J13945">
        <f>IF($H13945=0,1,IF($I13945&lt;=1,2,0))</f>
        <v>0</v>
      </c>
      <c r="K13945">
        <v>7</v>
      </c>
      <c r="L13945">
        <f>IF(AND($J13945=0,$K13945=0),0,1)</f>
        <v>1</v>
      </c>
    </row>
    <row r="13946" spans="1:13" x14ac:dyDescent="0.2">
      <c r="A13946" t="s">
        <v>15</v>
      </c>
      <c r="B13946" t="s">
        <v>1</v>
      </c>
      <c r="C13946" t="s">
        <v>2</v>
      </c>
      <c r="D13946">
        <v>2005</v>
      </c>
      <c r="E13946">
        <v>2021</v>
      </c>
      <c r="F13946">
        <v>1</v>
      </c>
      <c r="G13946">
        <v>57</v>
      </c>
      <c r="H13946" s="1">
        <v>3</v>
      </c>
      <c r="I13946">
        <v>22</v>
      </c>
      <c r="J13946">
        <f>IF($H13946=0,1,IF($I13946&lt;=1,2,0))</f>
        <v>0</v>
      </c>
      <c r="K13946">
        <v>7</v>
      </c>
      <c r="L13946">
        <f>IF(AND($J13946=0,$K13946=0),0,1)</f>
        <v>1</v>
      </c>
    </row>
    <row r="13947" spans="1:13" x14ac:dyDescent="0.2">
      <c r="A13947" t="s">
        <v>15</v>
      </c>
      <c r="B13947" t="s">
        <v>1</v>
      </c>
      <c r="C13947" t="s">
        <v>2</v>
      </c>
      <c r="D13947">
        <v>3099</v>
      </c>
      <c r="E13947">
        <v>2021</v>
      </c>
      <c r="F13947">
        <v>1</v>
      </c>
      <c r="G13947">
        <v>879</v>
      </c>
      <c r="H13947" s="1">
        <v>4</v>
      </c>
      <c r="I13947">
        <v>1</v>
      </c>
      <c r="J13947">
        <f>IF($H13947=0,1,IF($I13947&lt;=1,2,0))</f>
        <v>2</v>
      </c>
      <c r="K13947">
        <v>7</v>
      </c>
      <c r="L13947">
        <f>IF(AND($J13947=0,$K13947=0),0,1)</f>
        <v>1</v>
      </c>
    </row>
    <row r="13948" spans="1:13" x14ac:dyDescent="0.2">
      <c r="A13948" t="s">
        <v>15</v>
      </c>
      <c r="B13948" t="s">
        <v>1</v>
      </c>
      <c r="C13948" t="s">
        <v>2</v>
      </c>
      <c r="D13948">
        <v>3110</v>
      </c>
      <c r="E13948">
        <v>2021</v>
      </c>
      <c r="F13948">
        <v>1</v>
      </c>
      <c r="G13948">
        <v>777</v>
      </c>
      <c r="H13948" s="1">
        <v>4</v>
      </c>
      <c r="I13948">
        <v>11</v>
      </c>
      <c r="J13948">
        <f>IF($H13948=0,1,IF($I13948&lt;=1,2,0))</f>
        <v>0</v>
      </c>
      <c r="K13948">
        <v>7</v>
      </c>
      <c r="L13948">
        <f>IF(AND($J13948=0,$K13948=0),0,1)</f>
        <v>1</v>
      </c>
      <c r="M13948" t="s">
        <v>1316</v>
      </c>
    </row>
    <row r="13949" spans="1:13" x14ac:dyDescent="0.2">
      <c r="A13949" t="s">
        <v>15</v>
      </c>
      <c r="B13949" t="s">
        <v>1</v>
      </c>
      <c r="C13949" t="s">
        <v>2</v>
      </c>
      <c r="D13949">
        <v>3585</v>
      </c>
      <c r="E13949">
        <v>2021</v>
      </c>
      <c r="F13949">
        <v>1</v>
      </c>
      <c r="G13949">
        <v>673</v>
      </c>
      <c r="H13949" s="1">
        <v>4</v>
      </c>
      <c r="I13949">
        <v>16</v>
      </c>
      <c r="J13949">
        <f>IF($H13949=0,1,IF($I13949&lt;=1,2,0))</f>
        <v>0</v>
      </c>
      <c r="K13949">
        <v>7</v>
      </c>
      <c r="L13949">
        <f>IF(AND($J13949=0,$K13949=0),0,1)</f>
        <v>1</v>
      </c>
    </row>
    <row r="13950" spans="1:13" x14ac:dyDescent="0.2">
      <c r="A13950" t="s">
        <v>15</v>
      </c>
      <c r="B13950" t="s">
        <v>1</v>
      </c>
      <c r="C13950" t="s">
        <v>2</v>
      </c>
      <c r="D13950">
        <v>3998</v>
      </c>
      <c r="E13950">
        <v>2021</v>
      </c>
      <c r="F13950">
        <v>1</v>
      </c>
      <c r="G13950">
        <v>2</v>
      </c>
      <c r="H13950" s="1">
        <v>4</v>
      </c>
      <c r="I13950">
        <v>0</v>
      </c>
      <c r="J13950">
        <f>IF($H13950=0,1,IF($I13950&lt;=1,2,0))</f>
        <v>2</v>
      </c>
      <c r="K13950">
        <v>7</v>
      </c>
      <c r="L13950">
        <f>IF(AND($J13950=0,$K13950=0),0,1)</f>
        <v>1</v>
      </c>
    </row>
    <row r="13951" spans="1:13" x14ac:dyDescent="0.2">
      <c r="A13951" t="s">
        <v>16</v>
      </c>
      <c r="B13951" t="s">
        <v>17</v>
      </c>
      <c r="C13951" t="s">
        <v>2</v>
      </c>
      <c r="D13951">
        <v>1001</v>
      </c>
      <c r="E13951">
        <v>2021</v>
      </c>
      <c r="F13951">
        <v>1</v>
      </c>
      <c r="G13951">
        <v>209</v>
      </c>
      <c r="H13951" s="1">
        <v>4</v>
      </c>
      <c r="I13951">
        <v>116</v>
      </c>
      <c r="J13951">
        <f>IF($H13951=0,1,IF($I13951&lt;=1,2,0))</f>
        <v>0</v>
      </c>
      <c r="K13951">
        <v>7</v>
      </c>
      <c r="L13951">
        <f>IF(AND($J13951=0,$K13951=0),0,1)</f>
        <v>1</v>
      </c>
      <c r="M13951" t="s">
        <v>1317</v>
      </c>
    </row>
    <row r="13952" spans="1:13" x14ac:dyDescent="0.2">
      <c r="A13952" t="s">
        <v>16</v>
      </c>
      <c r="B13952" t="s">
        <v>17</v>
      </c>
      <c r="C13952" t="s">
        <v>2</v>
      </c>
      <c r="D13952">
        <v>2005</v>
      </c>
      <c r="E13952">
        <v>2021</v>
      </c>
      <c r="F13952">
        <v>1</v>
      </c>
      <c r="G13952">
        <v>207</v>
      </c>
      <c r="H13952" s="1">
        <v>3</v>
      </c>
      <c r="I13952">
        <v>11</v>
      </c>
      <c r="J13952">
        <f>IF($H13952=0,1,IF($I13952&lt;=1,2,0))</f>
        <v>0</v>
      </c>
      <c r="K13952">
        <v>7</v>
      </c>
      <c r="L13952">
        <f>IF(AND($J13952=0,$K13952=0),0,1)</f>
        <v>1</v>
      </c>
      <c r="M13952" t="s">
        <v>1318</v>
      </c>
    </row>
    <row r="13953" spans="1:13" x14ac:dyDescent="0.2">
      <c r="A13953" t="s">
        <v>16</v>
      </c>
      <c r="B13953" t="s">
        <v>17</v>
      </c>
      <c r="C13953" t="s">
        <v>2</v>
      </c>
      <c r="D13953">
        <v>2007</v>
      </c>
      <c r="E13953">
        <v>2021</v>
      </c>
      <c r="F13953">
        <v>1</v>
      </c>
      <c r="G13953">
        <v>208</v>
      </c>
      <c r="H13953" s="1">
        <v>3</v>
      </c>
      <c r="I13953">
        <v>3</v>
      </c>
      <c r="J13953">
        <f>IF($H13953=0,1,IF($I13953&lt;=1,2,0))</f>
        <v>0</v>
      </c>
      <c r="K13953">
        <v>7</v>
      </c>
      <c r="L13953">
        <f>IF(AND($J13953=0,$K13953=0),0,1)</f>
        <v>1</v>
      </c>
      <c r="M13953" t="s">
        <v>1318</v>
      </c>
    </row>
    <row r="13954" spans="1:13" x14ac:dyDescent="0.2">
      <c r="A13954" t="s">
        <v>16</v>
      </c>
      <c r="B13954" t="s">
        <v>17</v>
      </c>
      <c r="C13954" t="s">
        <v>2</v>
      </c>
      <c r="D13954">
        <v>3003</v>
      </c>
      <c r="E13954">
        <v>2021</v>
      </c>
      <c r="F13954">
        <v>1</v>
      </c>
      <c r="G13954">
        <v>212</v>
      </c>
      <c r="H13954" s="1">
        <v>3</v>
      </c>
      <c r="I13954">
        <v>20</v>
      </c>
      <c r="J13954">
        <f>IF($H13954=0,1,IF($I13954&lt;=1,2,0))</f>
        <v>0</v>
      </c>
      <c r="K13954">
        <v>7</v>
      </c>
      <c r="L13954">
        <f>IF(AND($J13954=0,$K13954=0),0,1)</f>
        <v>1</v>
      </c>
      <c r="M13954" t="s">
        <v>787</v>
      </c>
    </row>
    <row r="13955" spans="1:13" x14ac:dyDescent="0.2">
      <c r="A13955" t="s">
        <v>16</v>
      </c>
      <c r="B13955" t="s">
        <v>17</v>
      </c>
      <c r="C13955" t="s">
        <v>2</v>
      </c>
      <c r="D13955">
        <v>3099</v>
      </c>
      <c r="E13955">
        <v>2021</v>
      </c>
      <c r="F13955">
        <v>1</v>
      </c>
      <c r="G13955">
        <v>791</v>
      </c>
      <c r="H13955" s="1">
        <v>1</v>
      </c>
      <c r="I13955">
        <v>2</v>
      </c>
      <c r="J13955">
        <f>IF($H13955=0,1,IF($I13955&lt;=1,2,0))</f>
        <v>0</v>
      </c>
      <c r="K13955">
        <v>7</v>
      </c>
      <c r="L13955">
        <f>IF(AND($J13955=0,$K13955=0),0,1)</f>
        <v>1</v>
      </c>
    </row>
    <row r="13956" spans="1:13" x14ac:dyDescent="0.2">
      <c r="A13956" t="s">
        <v>16</v>
      </c>
      <c r="B13956" t="s">
        <v>17</v>
      </c>
      <c r="C13956" t="s">
        <v>2</v>
      </c>
      <c r="D13956">
        <v>3099</v>
      </c>
      <c r="E13956">
        <v>2021</v>
      </c>
      <c r="F13956">
        <v>3</v>
      </c>
      <c r="G13956">
        <v>884</v>
      </c>
      <c r="H13956" s="1">
        <v>2</v>
      </c>
      <c r="I13956">
        <v>1</v>
      </c>
      <c r="J13956">
        <f>IF($H13956=0,1,IF($I13956&lt;=1,2,0))</f>
        <v>2</v>
      </c>
      <c r="K13956">
        <v>7</v>
      </c>
      <c r="L13956">
        <f>IF(AND($J13956=0,$K13956=0),0,1)</f>
        <v>1</v>
      </c>
    </row>
    <row r="13957" spans="1:13" x14ac:dyDescent="0.2">
      <c r="A13957" t="s">
        <v>16</v>
      </c>
      <c r="B13957" t="s">
        <v>17</v>
      </c>
      <c r="C13957" t="s">
        <v>2</v>
      </c>
      <c r="D13957">
        <v>3099</v>
      </c>
      <c r="E13957">
        <v>2021</v>
      </c>
      <c r="F13957">
        <v>2</v>
      </c>
      <c r="G13957">
        <v>883</v>
      </c>
      <c r="H13957" s="1">
        <v>3</v>
      </c>
      <c r="I13957">
        <v>0</v>
      </c>
      <c r="J13957">
        <f>IF($H13957=0,1,IF($I13957&lt;=1,2,0))</f>
        <v>2</v>
      </c>
      <c r="K13957">
        <v>7</v>
      </c>
      <c r="L13957">
        <f>IF(AND($J13957=0,$K13957=0),0,1)</f>
        <v>1</v>
      </c>
    </row>
    <row r="13958" spans="1:13" x14ac:dyDescent="0.2">
      <c r="A13958" t="s">
        <v>16</v>
      </c>
      <c r="B13958" t="s">
        <v>17</v>
      </c>
      <c r="C13958" t="s">
        <v>2</v>
      </c>
      <c r="D13958">
        <v>3173</v>
      </c>
      <c r="E13958">
        <v>2021</v>
      </c>
      <c r="F13958">
        <v>4</v>
      </c>
      <c r="G13958">
        <v>821</v>
      </c>
      <c r="H13958" s="1">
        <v>0</v>
      </c>
      <c r="I13958">
        <v>15</v>
      </c>
      <c r="J13958">
        <f>IF($H13958=0,1,IF($I13958&lt;=1,2,0))</f>
        <v>1</v>
      </c>
      <c r="K13958">
        <v>7</v>
      </c>
      <c r="L13958">
        <f>IF(AND($J13958=0,$K13958=0),0,1)</f>
        <v>1</v>
      </c>
      <c r="M13958" t="s">
        <v>1325</v>
      </c>
    </row>
    <row r="13959" spans="1:13" x14ac:dyDescent="0.2">
      <c r="A13959" t="s">
        <v>16</v>
      </c>
      <c r="B13959" t="s">
        <v>17</v>
      </c>
      <c r="C13959" t="s">
        <v>2</v>
      </c>
      <c r="D13959">
        <v>3173</v>
      </c>
      <c r="E13959">
        <v>2021</v>
      </c>
      <c r="F13959">
        <v>1</v>
      </c>
      <c r="G13959">
        <v>817</v>
      </c>
      <c r="H13959" s="1">
        <v>0</v>
      </c>
      <c r="I13959">
        <v>12</v>
      </c>
      <c r="J13959">
        <f>IF($H13959=0,1,IF($I13959&lt;=1,2,0))</f>
        <v>1</v>
      </c>
      <c r="K13959">
        <v>7</v>
      </c>
      <c r="L13959">
        <f>IF(AND($J13959=0,$K13959=0),0,1)</f>
        <v>1</v>
      </c>
      <c r="M13959" t="s">
        <v>1322</v>
      </c>
    </row>
    <row r="13960" spans="1:13" x14ac:dyDescent="0.2">
      <c r="A13960" t="s">
        <v>16</v>
      </c>
      <c r="B13960" t="s">
        <v>17</v>
      </c>
      <c r="C13960" t="s">
        <v>2</v>
      </c>
      <c r="D13960">
        <v>3173</v>
      </c>
      <c r="E13960">
        <v>2021</v>
      </c>
      <c r="F13960">
        <v>7</v>
      </c>
      <c r="G13960">
        <v>823</v>
      </c>
      <c r="H13960" s="1">
        <v>0</v>
      </c>
      <c r="I13960">
        <v>12</v>
      </c>
      <c r="J13960">
        <f>IF($H13960=0,1,IF($I13960&lt;=1,2,0))</f>
        <v>1</v>
      </c>
      <c r="K13960">
        <v>7</v>
      </c>
      <c r="L13960">
        <f>IF(AND($J13960=0,$K13960=0),0,1)</f>
        <v>1</v>
      </c>
    </row>
    <row r="13961" spans="1:13" x14ac:dyDescent="0.2">
      <c r="A13961" t="s">
        <v>16</v>
      </c>
      <c r="B13961" t="s">
        <v>17</v>
      </c>
      <c r="C13961" t="s">
        <v>2</v>
      </c>
      <c r="D13961">
        <v>3173</v>
      </c>
      <c r="E13961">
        <v>2021</v>
      </c>
      <c r="F13961">
        <v>2</v>
      </c>
      <c r="G13961">
        <v>819</v>
      </c>
      <c r="H13961" s="1">
        <v>0</v>
      </c>
      <c r="I13961">
        <v>9</v>
      </c>
      <c r="J13961">
        <f>IF($H13961=0,1,IF($I13961&lt;=1,2,0))</f>
        <v>1</v>
      </c>
      <c r="K13961">
        <v>7</v>
      </c>
      <c r="L13961">
        <f>IF(AND($J13961=0,$K13961=0),0,1)</f>
        <v>1</v>
      </c>
      <c r="M13961" t="s">
        <v>1323</v>
      </c>
    </row>
    <row r="13962" spans="1:13" x14ac:dyDescent="0.2">
      <c r="A13962" t="s">
        <v>16</v>
      </c>
      <c r="B13962" t="s">
        <v>17</v>
      </c>
      <c r="C13962" t="s">
        <v>2</v>
      </c>
      <c r="D13962">
        <v>3173</v>
      </c>
      <c r="E13962">
        <v>2021</v>
      </c>
      <c r="F13962">
        <v>6</v>
      </c>
      <c r="G13962">
        <v>822</v>
      </c>
      <c r="H13962" s="1">
        <v>0</v>
      </c>
      <c r="I13962">
        <v>1</v>
      </c>
      <c r="J13962">
        <f>IF($H13962=0,1,IF($I13962&lt;=1,2,0))</f>
        <v>1</v>
      </c>
      <c r="K13962">
        <v>7</v>
      </c>
      <c r="L13962">
        <f>IF(AND($J13962=0,$K13962=0),0,1)</f>
        <v>1</v>
      </c>
      <c r="M13962" t="s">
        <v>1327</v>
      </c>
    </row>
    <row r="13963" spans="1:13" x14ac:dyDescent="0.2">
      <c r="A13963" t="s">
        <v>16</v>
      </c>
      <c r="B13963" t="s">
        <v>17</v>
      </c>
      <c r="C13963" t="s">
        <v>2</v>
      </c>
      <c r="D13963">
        <v>3173</v>
      </c>
      <c r="E13963">
        <v>2021</v>
      </c>
      <c r="F13963">
        <v>3</v>
      </c>
      <c r="G13963">
        <v>820</v>
      </c>
      <c r="H13963" s="1">
        <v>0</v>
      </c>
      <c r="I13963">
        <v>0</v>
      </c>
      <c r="J13963">
        <f>IF($H13963=0,1,IF($I13963&lt;=1,2,0))</f>
        <v>1</v>
      </c>
      <c r="K13963">
        <v>7</v>
      </c>
      <c r="L13963">
        <f>IF(AND($J13963=0,$K13963=0),0,1)</f>
        <v>1</v>
      </c>
      <c r="M13963" t="s">
        <v>1324</v>
      </c>
    </row>
    <row r="13964" spans="1:13" x14ac:dyDescent="0.2">
      <c r="A13964" t="s">
        <v>16</v>
      </c>
      <c r="B13964" t="s">
        <v>17</v>
      </c>
      <c r="C13964" t="s">
        <v>2</v>
      </c>
      <c r="D13964">
        <v>3173</v>
      </c>
      <c r="E13964">
        <v>2021</v>
      </c>
      <c r="F13964">
        <v>5</v>
      </c>
      <c r="G13964">
        <v>825</v>
      </c>
      <c r="H13964" s="1">
        <v>0</v>
      </c>
      <c r="I13964">
        <v>0</v>
      </c>
      <c r="J13964">
        <f>IF($H13964=0,1,IF($I13964&lt;=1,2,0))</f>
        <v>1</v>
      </c>
      <c r="K13964">
        <v>7</v>
      </c>
      <c r="L13964">
        <f>IF(AND($J13964=0,$K13964=0),0,1)</f>
        <v>1</v>
      </c>
      <c r="M13964" t="s">
        <v>1326</v>
      </c>
    </row>
    <row r="13965" spans="1:13" x14ac:dyDescent="0.2">
      <c r="A13965" t="s">
        <v>16</v>
      </c>
      <c r="B13965" t="s">
        <v>17</v>
      </c>
      <c r="C13965" t="s">
        <v>2</v>
      </c>
      <c r="D13965">
        <v>3173</v>
      </c>
      <c r="E13965">
        <v>2021</v>
      </c>
      <c r="F13965">
        <v>8</v>
      </c>
      <c r="G13965">
        <v>824</v>
      </c>
      <c r="H13965" s="1">
        <v>0</v>
      </c>
      <c r="I13965">
        <v>0</v>
      </c>
      <c r="J13965">
        <f>IF($H13965=0,1,IF($I13965&lt;=1,2,0))</f>
        <v>1</v>
      </c>
      <c r="K13965">
        <v>7</v>
      </c>
      <c r="L13965">
        <f>IF(AND($J13965=0,$K13965=0),0,1)</f>
        <v>1</v>
      </c>
      <c r="M13965" t="s">
        <v>1328</v>
      </c>
    </row>
    <row r="13966" spans="1:13" x14ac:dyDescent="0.2">
      <c r="A13966" t="s">
        <v>16</v>
      </c>
      <c r="B13966" t="s">
        <v>17</v>
      </c>
      <c r="C13966" t="s">
        <v>2</v>
      </c>
      <c r="D13966">
        <v>3530</v>
      </c>
      <c r="E13966">
        <v>2021</v>
      </c>
      <c r="F13966">
        <v>1</v>
      </c>
      <c r="G13966">
        <v>213</v>
      </c>
      <c r="H13966" s="1">
        <v>4</v>
      </c>
      <c r="I13966">
        <v>17</v>
      </c>
      <c r="J13966">
        <f>IF($H13966=0,1,IF($I13966&lt;=1,2,0))</f>
        <v>0</v>
      </c>
      <c r="K13966">
        <v>7</v>
      </c>
      <c r="L13966">
        <f>IF(AND($J13966=0,$K13966=0),0,1)</f>
        <v>1</v>
      </c>
      <c r="M13966" t="s">
        <v>2030</v>
      </c>
    </row>
    <row r="13967" spans="1:13" x14ac:dyDescent="0.2">
      <c r="A13967" t="s">
        <v>16</v>
      </c>
      <c r="B13967" t="s">
        <v>17</v>
      </c>
      <c r="C13967" t="s">
        <v>2</v>
      </c>
      <c r="D13967">
        <v>3667</v>
      </c>
      <c r="E13967">
        <v>2021</v>
      </c>
      <c r="F13967">
        <v>1</v>
      </c>
      <c r="G13967">
        <v>214</v>
      </c>
      <c r="H13967" s="1">
        <v>4</v>
      </c>
      <c r="I13967">
        <v>222</v>
      </c>
      <c r="J13967">
        <f>IF($H13967=0,1,IF($I13967&lt;=1,2,0))</f>
        <v>0</v>
      </c>
      <c r="K13967">
        <v>7</v>
      </c>
      <c r="L13967">
        <f>IF(AND($J13967=0,$K13967=0),0,1)</f>
        <v>1</v>
      </c>
      <c r="M13967" t="s">
        <v>1331</v>
      </c>
    </row>
    <row r="13968" spans="1:13" x14ac:dyDescent="0.2">
      <c r="A13968" t="s">
        <v>16</v>
      </c>
      <c r="B13968" t="s">
        <v>17</v>
      </c>
      <c r="C13968" t="s">
        <v>2</v>
      </c>
      <c r="D13968">
        <v>3673</v>
      </c>
      <c r="E13968">
        <v>2021</v>
      </c>
      <c r="F13968">
        <v>1</v>
      </c>
      <c r="G13968">
        <v>550</v>
      </c>
      <c r="H13968" s="1">
        <v>4</v>
      </c>
      <c r="I13968">
        <v>48</v>
      </c>
      <c r="J13968">
        <f>IF($H13968=0,1,IF($I13968&lt;=1,2,0))</f>
        <v>0</v>
      </c>
      <c r="K13968">
        <v>7</v>
      </c>
      <c r="L13968">
        <f>IF(AND($J13968=0,$K13968=0),0,1)</f>
        <v>1</v>
      </c>
      <c r="M13968" t="s">
        <v>1332</v>
      </c>
    </row>
    <row r="13969" spans="1:13" x14ac:dyDescent="0.2">
      <c r="A13969" t="s">
        <v>16</v>
      </c>
      <c r="B13969" t="s">
        <v>17</v>
      </c>
      <c r="C13969" t="s">
        <v>2</v>
      </c>
      <c r="D13969">
        <v>3675</v>
      </c>
      <c r="E13969">
        <v>2021</v>
      </c>
      <c r="F13969">
        <v>1</v>
      </c>
      <c r="G13969">
        <v>215</v>
      </c>
      <c r="H13969" s="1">
        <v>3</v>
      </c>
      <c r="I13969">
        <v>57</v>
      </c>
      <c r="J13969">
        <f>IF($H13969=0,1,IF($I13969&lt;=1,2,0))</f>
        <v>0</v>
      </c>
      <c r="K13969">
        <v>7</v>
      </c>
      <c r="L13969">
        <f>IF(AND($J13969=0,$K13969=0),0,1)</f>
        <v>1</v>
      </c>
      <c r="M13969" t="s">
        <v>2031</v>
      </c>
    </row>
    <row r="13970" spans="1:13" x14ac:dyDescent="0.2">
      <c r="A13970" t="s">
        <v>16</v>
      </c>
      <c r="B13970" t="s">
        <v>17</v>
      </c>
      <c r="C13970" t="s">
        <v>2</v>
      </c>
      <c r="D13970">
        <v>3910</v>
      </c>
      <c r="E13970">
        <v>2021</v>
      </c>
      <c r="F13970">
        <v>1</v>
      </c>
      <c r="G13970">
        <v>750</v>
      </c>
      <c r="H13970" s="1">
        <v>4</v>
      </c>
      <c r="I13970">
        <v>11</v>
      </c>
      <c r="J13970">
        <f>IF($H13970=0,1,IF($I13970&lt;=1,2,0))</f>
        <v>0</v>
      </c>
      <c r="K13970">
        <v>7</v>
      </c>
      <c r="L13970">
        <f>IF(AND($J13970=0,$K13970=0),0,1)</f>
        <v>1</v>
      </c>
      <c r="M13970" t="s">
        <v>1333</v>
      </c>
    </row>
    <row r="13971" spans="1:13" x14ac:dyDescent="0.2">
      <c r="A13971" t="s">
        <v>16</v>
      </c>
      <c r="B13971" t="s">
        <v>17</v>
      </c>
      <c r="C13971" t="s">
        <v>2</v>
      </c>
      <c r="D13971">
        <v>3959</v>
      </c>
      <c r="E13971">
        <v>2021</v>
      </c>
      <c r="F13971">
        <v>1</v>
      </c>
      <c r="G13971">
        <v>211</v>
      </c>
      <c r="H13971" s="1">
        <v>3</v>
      </c>
      <c r="I13971">
        <v>16</v>
      </c>
      <c r="J13971">
        <f>IF($H13971=0,1,IF($I13971&lt;=1,2,0))</f>
        <v>0</v>
      </c>
      <c r="K13971">
        <v>7</v>
      </c>
      <c r="L13971">
        <f>IF(AND($J13971=0,$K13971=0),0,1)</f>
        <v>1</v>
      </c>
    </row>
    <row r="13972" spans="1:13" x14ac:dyDescent="0.2">
      <c r="A13972" t="s">
        <v>16</v>
      </c>
      <c r="B13972" t="s">
        <v>17</v>
      </c>
      <c r="C13972" t="s">
        <v>2</v>
      </c>
      <c r="D13972">
        <v>3968</v>
      </c>
      <c r="E13972">
        <v>2021</v>
      </c>
      <c r="F13972">
        <v>1</v>
      </c>
      <c r="G13972">
        <v>216</v>
      </c>
      <c r="H13972" s="1">
        <v>4</v>
      </c>
      <c r="I13972">
        <v>14</v>
      </c>
      <c r="J13972">
        <f>IF($H13972=0,1,IF($I13972&lt;=1,2,0))</f>
        <v>0</v>
      </c>
      <c r="K13972">
        <v>7</v>
      </c>
      <c r="L13972">
        <f>IF(AND($J13972=0,$K13972=0),0,1)</f>
        <v>1</v>
      </c>
      <c r="M13972" t="s">
        <v>1334</v>
      </c>
    </row>
    <row r="13973" spans="1:13" x14ac:dyDescent="0.2">
      <c r="A13973" t="s">
        <v>16</v>
      </c>
      <c r="B13973" t="s">
        <v>17</v>
      </c>
      <c r="C13973" t="s">
        <v>2</v>
      </c>
      <c r="D13973">
        <v>3970</v>
      </c>
      <c r="E13973">
        <v>2021</v>
      </c>
      <c r="F13973">
        <v>1</v>
      </c>
      <c r="G13973">
        <v>210</v>
      </c>
      <c r="H13973" s="1">
        <v>4</v>
      </c>
      <c r="I13973">
        <v>13</v>
      </c>
      <c r="J13973">
        <f>IF($H13973=0,1,IF($I13973&lt;=1,2,0))</f>
        <v>0</v>
      </c>
      <c r="K13973">
        <v>7</v>
      </c>
      <c r="L13973">
        <f>IF(AND($J13973=0,$K13973=0),0,1)</f>
        <v>1</v>
      </c>
    </row>
    <row r="13974" spans="1:13" x14ac:dyDescent="0.2">
      <c r="A13974" t="s">
        <v>16</v>
      </c>
      <c r="B13974" t="s">
        <v>17</v>
      </c>
      <c r="C13974" t="s">
        <v>2</v>
      </c>
      <c r="D13974">
        <v>3970</v>
      </c>
      <c r="E13974">
        <v>2021</v>
      </c>
      <c r="F13974">
        <v>2</v>
      </c>
      <c r="G13974">
        <v>619</v>
      </c>
      <c r="H13974" s="1">
        <v>4</v>
      </c>
      <c r="I13974">
        <v>8</v>
      </c>
      <c r="J13974">
        <f>IF($H13974=0,1,IF($I13974&lt;=1,2,0))</f>
        <v>0</v>
      </c>
      <c r="K13974">
        <v>7</v>
      </c>
      <c r="L13974">
        <f>IF(AND($J13974=0,$K13974=0),0,1)</f>
        <v>1</v>
      </c>
    </row>
    <row r="13975" spans="1:13" x14ac:dyDescent="0.2">
      <c r="A13975" t="s">
        <v>16</v>
      </c>
      <c r="B13975" t="s">
        <v>17</v>
      </c>
      <c r="C13975" t="s">
        <v>11</v>
      </c>
      <c r="D13975">
        <v>5000</v>
      </c>
      <c r="E13975">
        <v>2021</v>
      </c>
      <c r="F13975">
        <v>1</v>
      </c>
      <c r="G13975">
        <v>11282</v>
      </c>
      <c r="H13975" s="1">
        <v>4</v>
      </c>
      <c r="I13975">
        <v>12</v>
      </c>
      <c r="J13975">
        <f>IF($H13975=0,1,IF($I13975&lt;=1,2,0))</f>
        <v>0</v>
      </c>
      <c r="K13975">
        <v>4</v>
      </c>
      <c r="L13975">
        <f>IF(AND($J13975=0,$K13975=0),0,1)</f>
        <v>1</v>
      </c>
      <c r="M13975" t="s">
        <v>35</v>
      </c>
    </row>
    <row r="13976" spans="1:13" x14ac:dyDescent="0.2">
      <c r="A13976" t="s">
        <v>16</v>
      </c>
      <c r="B13976" t="s">
        <v>17</v>
      </c>
      <c r="C13976" t="s">
        <v>11</v>
      </c>
      <c r="D13976">
        <v>5002</v>
      </c>
      <c r="E13976">
        <v>2021</v>
      </c>
      <c r="F13976">
        <v>1</v>
      </c>
      <c r="G13976">
        <v>11285</v>
      </c>
      <c r="H13976" s="1">
        <v>4</v>
      </c>
      <c r="I13976">
        <v>16</v>
      </c>
      <c r="J13976">
        <f>IF($H13976=0,1,IF($I13976&lt;=1,2,0))</f>
        <v>0</v>
      </c>
      <c r="K13976">
        <v>4</v>
      </c>
      <c r="L13976">
        <f>IF(AND($J13976=0,$K13976=0),0,1)</f>
        <v>1</v>
      </c>
      <c r="M13976" t="s">
        <v>36</v>
      </c>
    </row>
    <row r="13977" spans="1:13" x14ac:dyDescent="0.2">
      <c r="A13977" t="s">
        <v>16</v>
      </c>
      <c r="B13977" t="s">
        <v>17</v>
      </c>
      <c r="C13977" t="s">
        <v>11</v>
      </c>
      <c r="D13977">
        <v>9000</v>
      </c>
      <c r="E13977">
        <v>2021</v>
      </c>
      <c r="F13977">
        <v>24</v>
      </c>
      <c r="G13977">
        <v>11325</v>
      </c>
      <c r="H13977" s="1">
        <v>4</v>
      </c>
      <c r="I13977">
        <v>3</v>
      </c>
      <c r="J13977">
        <f>IF($H13977=0,1,IF($I13977&lt;=1,2,0))</f>
        <v>0</v>
      </c>
      <c r="K13977">
        <v>5</v>
      </c>
      <c r="L13977">
        <f>IF(AND($J13977=0,$K13977=0),0,1)</f>
        <v>1</v>
      </c>
    </row>
    <row r="13978" spans="1:13" x14ac:dyDescent="0.2">
      <c r="A13978" t="s">
        <v>16</v>
      </c>
      <c r="B13978" t="s">
        <v>17</v>
      </c>
      <c r="C13978" t="s">
        <v>11</v>
      </c>
      <c r="D13978">
        <v>9000</v>
      </c>
      <c r="E13978">
        <v>2021</v>
      </c>
      <c r="F13978">
        <v>28</v>
      </c>
      <c r="G13978">
        <v>11332</v>
      </c>
      <c r="H13978" s="1">
        <v>4</v>
      </c>
      <c r="I13978">
        <v>2</v>
      </c>
      <c r="J13978">
        <f>IF($H13978=0,1,IF($I13978&lt;=1,2,0))</f>
        <v>0</v>
      </c>
      <c r="K13978">
        <v>5</v>
      </c>
      <c r="L13978">
        <f>IF(AND($J13978=0,$K13978=0),0,1)</f>
        <v>1</v>
      </c>
    </row>
    <row r="13979" spans="1:13" x14ac:dyDescent="0.2">
      <c r="A13979" t="s">
        <v>16</v>
      </c>
      <c r="B13979" t="s">
        <v>17</v>
      </c>
      <c r="C13979" t="s">
        <v>11</v>
      </c>
      <c r="D13979">
        <v>9000</v>
      </c>
      <c r="E13979">
        <v>2021</v>
      </c>
      <c r="F13979">
        <v>1</v>
      </c>
      <c r="G13979">
        <v>11286</v>
      </c>
      <c r="H13979" s="1">
        <v>4</v>
      </c>
      <c r="I13979">
        <v>1</v>
      </c>
      <c r="J13979">
        <f>IF($H13979=0,1,IF($I13979&lt;=1,2,0))</f>
        <v>2</v>
      </c>
      <c r="K13979">
        <v>5</v>
      </c>
      <c r="L13979">
        <f>IF(AND($J13979=0,$K13979=0),0,1)</f>
        <v>1</v>
      </c>
    </row>
    <row r="13980" spans="1:13" x14ac:dyDescent="0.2">
      <c r="A13980" t="s">
        <v>16</v>
      </c>
      <c r="B13980" t="s">
        <v>17</v>
      </c>
      <c r="C13980" t="s">
        <v>11</v>
      </c>
      <c r="D13980">
        <v>9000</v>
      </c>
      <c r="E13980">
        <v>2021</v>
      </c>
      <c r="F13980">
        <v>2</v>
      </c>
      <c r="G13980">
        <v>11287</v>
      </c>
      <c r="H13980" s="1">
        <v>4</v>
      </c>
      <c r="I13980">
        <v>1</v>
      </c>
      <c r="J13980">
        <f>IF($H13980=0,1,IF($I13980&lt;=1,2,0))</f>
        <v>2</v>
      </c>
      <c r="K13980">
        <v>5</v>
      </c>
      <c r="L13980">
        <f>IF(AND($J13980=0,$K13980=0),0,1)</f>
        <v>1</v>
      </c>
    </row>
    <row r="13981" spans="1:13" x14ac:dyDescent="0.2">
      <c r="A13981" t="s">
        <v>16</v>
      </c>
      <c r="B13981" t="s">
        <v>17</v>
      </c>
      <c r="C13981" t="s">
        <v>11</v>
      </c>
      <c r="D13981">
        <v>9000</v>
      </c>
      <c r="E13981">
        <v>2021</v>
      </c>
      <c r="F13981">
        <v>3</v>
      </c>
      <c r="G13981">
        <v>11288</v>
      </c>
      <c r="H13981" s="1">
        <v>4</v>
      </c>
      <c r="I13981">
        <v>1</v>
      </c>
      <c r="J13981">
        <f>IF($H13981=0,1,IF($I13981&lt;=1,2,0))</f>
        <v>2</v>
      </c>
      <c r="K13981">
        <v>5</v>
      </c>
      <c r="L13981">
        <f>IF(AND($J13981=0,$K13981=0),0,1)</f>
        <v>1</v>
      </c>
    </row>
    <row r="13982" spans="1:13" x14ac:dyDescent="0.2">
      <c r="A13982" t="s">
        <v>16</v>
      </c>
      <c r="B13982" t="s">
        <v>17</v>
      </c>
      <c r="C13982" t="s">
        <v>11</v>
      </c>
      <c r="D13982">
        <v>9000</v>
      </c>
      <c r="E13982">
        <v>2021</v>
      </c>
      <c r="F13982">
        <v>4</v>
      </c>
      <c r="G13982">
        <v>11289</v>
      </c>
      <c r="H13982" s="1">
        <v>4</v>
      </c>
      <c r="I13982">
        <v>1</v>
      </c>
      <c r="J13982">
        <f>IF($H13982=0,1,IF($I13982&lt;=1,2,0))</f>
        <v>2</v>
      </c>
      <c r="K13982">
        <v>5</v>
      </c>
      <c r="L13982">
        <f>IF(AND($J13982=0,$K13982=0),0,1)</f>
        <v>1</v>
      </c>
    </row>
    <row r="13983" spans="1:13" x14ac:dyDescent="0.2">
      <c r="A13983" t="s">
        <v>16</v>
      </c>
      <c r="B13983" t="s">
        <v>17</v>
      </c>
      <c r="C13983" t="s">
        <v>11</v>
      </c>
      <c r="D13983">
        <v>9000</v>
      </c>
      <c r="E13983">
        <v>2021</v>
      </c>
      <c r="F13983">
        <v>7</v>
      </c>
      <c r="G13983">
        <v>11301</v>
      </c>
      <c r="H13983" s="1">
        <v>4</v>
      </c>
      <c r="I13983">
        <v>1</v>
      </c>
      <c r="J13983">
        <f>IF($H13983=0,1,IF($I13983&lt;=1,2,0))</f>
        <v>2</v>
      </c>
      <c r="K13983">
        <v>5</v>
      </c>
      <c r="L13983">
        <f>IF(AND($J13983=0,$K13983=0),0,1)</f>
        <v>1</v>
      </c>
    </row>
    <row r="13984" spans="1:13" x14ac:dyDescent="0.2">
      <c r="A13984" t="s">
        <v>16</v>
      </c>
      <c r="B13984" t="s">
        <v>17</v>
      </c>
      <c r="C13984" t="s">
        <v>11</v>
      </c>
      <c r="D13984">
        <v>9000</v>
      </c>
      <c r="E13984">
        <v>2021</v>
      </c>
      <c r="F13984">
        <v>18</v>
      </c>
      <c r="G13984">
        <v>11315</v>
      </c>
      <c r="H13984" s="1">
        <v>4</v>
      </c>
      <c r="I13984">
        <v>1</v>
      </c>
      <c r="J13984">
        <f>IF($H13984=0,1,IF($I13984&lt;=1,2,0))</f>
        <v>2</v>
      </c>
      <c r="K13984">
        <v>5</v>
      </c>
      <c r="L13984">
        <f>IF(AND($J13984=0,$K13984=0),0,1)</f>
        <v>1</v>
      </c>
    </row>
    <row r="13985" spans="1:12" x14ac:dyDescent="0.2">
      <c r="A13985" t="s">
        <v>16</v>
      </c>
      <c r="B13985" t="s">
        <v>17</v>
      </c>
      <c r="C13985" t="s">
        <v>11</v>
      </c>
      <c r="D13985">
        <v>9000</v>
      </c>
      <c r="E13985">
        <v>2021</v>
      </c>
      <c r="F13985">
        <v>19</v>
      </c>
      <c r="G13985">
        <v>11317</v>
      </c>
      <c r="H13985" s="1">
        <v>4</v>
      </c>
      <c r="I13985">
        <v>1</v>
      </c>
      <c r="J13985">
        <f>IF($H13985=0,1,IF($I13985&lt;=1,2,0))</f>
        <v>2</v>
      </c>
      <c r="K13985">
        <v>5</v>
      </c>
      <c r="L13985">
        <f>IF(AND($J13985=0,$K13985=0),0,1)</f>
        <v>1</v>
      </c>
    </row>
    <row r="13986" spans="1:12" x14ac:dyDescent="0.2">
      <c r="A13986" t="s">
        <v>16</v>
      </c>
      <c r="B13986" t="s">
        <v>17</v>
      </c>
      <c r="C13986" t="s">
        <v>11</v>
      </c>
      <c r="D13986">
        <v>9000</v>
      </c>
      <c r="E13986">
        <v>2021</v>
      </c>
      <c r="F13986">
        <v>20</v>
      </c>
      <c r="G13986">
        <v>11319</v>
      </c>
      <c r="H13986" s="1">
        <v>4</v>
      </c>
      <c r="I13986">
        <v>1</v>
      </c>
      <c r="J13986">
        <f>IF($H13986=0,1,IF($I13986&lt;=1,2,0))</f>
        <v>2</v>
      </c>
      <c r="K13986">
        <v>5</v>
      </c>
      <c r="L13986">
        <f>IF(AND($J13986=0,$K13986=0),0,1)</f>
        <v>1</v>
      </c>
    </row>
    <row r="13987" spans="1:12" x14ac:dyDescent="0.2">
      <c r="A13987" t="s">
        <v>16</v>
      </c>
      <c r="B13987" t="s">
        <v>17</v>
      </c>
      <c r="C13987" t="s">
        <v>11</v>
      </c>
      <c r="D13987">
        <v>9000</v>
      </c>
      <c r="E13987">
        <v>2021</v>
      </c>
      <c r="F13987">
        <v>29</v>
      </c>
      <c r="G13987">
        <v>11334</v>
      </c>
      <c r="H13987" s="1">
        <v>4</v>
      </c>
      <c r="I13987">
        <v>1</v>
      </c>
      <c r="J13987">
        <f>IF($H13987=0,1,IF($I13987&lt;=1,2,0))</f>
        <v>2</v>
      </c>
      <c r="K13987">
        <v>5</v>
      </c>
      <c r="L13987">
        <f>IF(AND($J13987=0,$K13987=0),0,1)</f>
        <v>1</v>
      </c>
    </row>
    <row r="13988" spans="1:12" x14ac:dyDescent="0.2">
      <c r="A13988" t="s">
        <v>16</v>
      </c>
      <c r="B13988" t="s">
        <v>17</v>
      </c>
      <c r="C13988" t="s">
        <v>11</v>
      </c>
      <c r="D13988">
        <v>9000</v>
      </c>
      <c r="E13988">
        <v>2021</v>
      </c>
      <c r="F13988">
        <v>33</v>
      </c>
      <c r="G13988">
        <v>11342</v>
      </c>
      <c r="H13988" s="1">
        <v>4</v>
      </c>
      <c r="I13988">
        <v>1</v>
      </c>
      <c r="J13988">
        <f>IF($H13988=0,1,IF($I13988&lt;=1,2,0))</f>
        <v>2</v>
      </c>
      <c r="K13988">
        <v>5</v>
      </c>
      <c r="L13988">
        <f>IF(AND($J13988=0,$K13988=0),0,1)</f>
        <v>1</v>
      </c>
    </row>
    <row r="13989" spans="1:12" x14ac:dyDescent="0.2">
      <c r="A13989" t="s">
        <v>16</v>
      </c>
      <c r="B13989" t="s">
        <v>17</v>
      </c>
      <c r="C13989" t="s">
        <v>11</v>
      </c>
      <c r="D13989">
        <v>9000</v>
      </c>
      <c r="E13989">
        <v>2021</v>
      </c>
      <c r="F13989">
        <v>5</v>
      </c>
      <c r="G13989">
        <v>11299</v>
      </c>
      <c r="H13989" s="1">
        <v>4</v>
      </c>
      <c r="I13989">
        <v>0</v>
      </c>
      <c r="J13989">
        <f>IF($H13989=0,1,IF($I13989&lt;=1,2,0))</f>
        <v>2</v>
      </c>
      <c r="K13989">
        <v>5</v>
      </c>
      <c r="L13989">
        <f>IF(AND($J13989=0,$K13989=0),0,1)</f>
        <v>1</v>
      </c>
    </row>
    <row r="13990" spans="1:12" x14ac:dyDescent="0.2">
      <c r="A13990" t="s">
        <v>16</v>
      </c>
      <c r="B13990" t="s">
        <v>17</v>
      </c>
      <c r="C13990" t="s">
        <v>11</v>
      </c>
      <c r="D13990">
        <v>9000</v>
      </c>
      <c r="E13990">
        <v>2021</v>
      </c>
      <c r="F13990">
        <v>6</v>
      </c>
      <c r="G13990">
        <v>11300</v>
      </c>
      <c r="H13990" s="1">
        <v>4</v>
      </c>
      <c r="I13990">
        <v>0</v>
      </c>
      <c r="J13990">
        <f>IF($H13990=0,1,IF($I13990&lt;=1,2,0))</f>
        <v>2</v>
      </c>
      <c r="K13990">
        <v>5</v>
      </c>
      <c r="L13990">
        <f>IF(AND($J13990=0,$K13990=0),0,1)</f>
        <v>1</v>
      </c>
    </row>
    <row r="13991" spans="1:12" x14ac:dyDescent="0.2">
      <c r="A13991" t="s">
        <v>16</v>
      </c>
      <c r="B13991" t="s">
        <v>17</v>
      </c>
      <c r="C13991" t="s">
        <v>11</v>
      </c>
      <c r="D13991">
        <v>9000</v>
      </c>
      <c r="E13991">
        <v>2021</v>
      </c>
      <c r="F13991">
        <v>8</v>
      </c>
      <c r="G13991">
        <v>11302</v>
      </c>
      <c r="H13991" s="1">
        <v>4</v>
      </c>
      <c r="I13991">
        <v>0</v>
      </c>
      <c r="J13991">
        <f>IF($H13991=0,1,IF($I13991&lt;=1,2,0))</f>
        <v>2</v>
      </c>
      <c r="K13991">
        <v>5</v>
      </c>
      <c r="L13991">
        <f>IF(AND($J13991=0,$K13991=0),0,1)</f>
        <v>1</v>
      </c>
    </row>
    <row r="13992" spans="1:12" x14ac:dyDescent="0.2">
      <c r="A13992" t="s">
        <v>16</v>
      </c>
      <c r="B13992" t="s">
        <v>17</v>
      </c>
      <c r="C13992" t="s">
        <v>11</v>
      </c>
      <c r="D13992">
        <v>9000</v>
      </c>
      <c r="E13992">
        <v>2021</v>
      </c>
      <c r="F13992">
        <v>9</v>
      </c>
      <c r="G13992">
        <v>11303</v>
      </c>
      <c r="H13992" s="1">
        <v>4</v>
      </c>
      <c r="I13992">
        <v>0</v>
      </c>
      <c r="J13992">
        <f>IF($H13992=0,1,IF($I13992&lt;=1,2,0))</f>
        <v>2</v>
      </c>
      <c r="K13992">
        <v>5</v>
      </c>
      <c r="L13992">
        <f>IF(AND($J13992=0,$K13992=0),0,1)</f>
        <v>1</v>
      </c>
    </row>
    <row r="13993" spans="1:12" x14ac:dyDescent="0.2">
      <c r="A13993" t="s">
        <v>16</v>
      </c>
      <c r="B13993" t="s">
        <v>17</v>
      </c>
      <c r="C13993" t="s">
        <v>11</v>
      </c>
      <c r="D13993">
        <v>9000</v>
      </c>
      <c r="E13993">
        <v>2021</v>
      </c>
      <c r="F13993">
        <v>10</v>
      </c>
      <c r="G13993">
        <v>11305</v>
      </c>
      <c r="H13993" s="1">
        <v>4</v>
      </c>
      <c r="I13993">
        <v>0</v>
      </c>
      <c r="J13993">
        <f>IF($H13993=0,1,IF($I13993&lt;=1,2,0))</f>
        <v>2</v>
      </c>
      <c r="K13993">
        <v>5</v>
      </c>
      <c r="L13993">
        <f>IF(AND($J13993=0,$K13993=0),0,1)</f>
        <v>1</v>
      </c>
    </row>
    <row r="13994" spans="1:12" x14ac:dyDescent="0.2">
      <c r="A13994" t="s">
        <v>16</v>
      </c>
      <c r="B13994" t="s">
        <v>17</v>
      </c>
      <c r="C13994" t="s">
        <v>11</v>
      </c>
      <c r="D13994">
        <v>9000</v>
      </c>
      <c r="E13994">
        <v>2021</v>
      </c>
      <c r="F13994">
        <v>11</v>
      </c>
      <c r="G13994">
        <v>11306</v>
      </c>
      <c r="H13994" s="1">
        <v>4</v>
      </c>
      <c r="I13994">
        <v>0</v>
      </c>
      <c r="J13994">
        <f>IF($H13994=0,1,IF($I13994&lt;=1,2,0))</f>
        <v>2</v>
      </c>
      <c r="K13994">
        <v>5</v>
      </c>
      <c r="L13994">
        <f>IF(AND($J13994=0,$K13994=0),0,1)</f>
        <v>1</v>
      </c>
    </row>
    <row r="13995" spans="1:12" x14ac:dyDescent="0.2">
      <c r="A13995" t="s">
        <v>16</v>
      </c>
      <c r="B13995" t="s">
        <v>17</v>
      </c>
      <c r="C13995" t="s">
        <v>11</v>
      </c>
      <c r="D13995">
        <v>9000</v>
      </c>
      <c r="E13995">
        <v>2021</v>
      </c>
      <c r="F13995">
        <v>12</v>
      </c>
      <c r="G13995">
        <v>11308</v>
      </c>
      <c r="H13995" s="1">
        <v>4</v>
      </c>
      <c r="I13995">
        <v>0</v>
      </c>
      <c r="J13995">
        <f>IF($H13995=0,1,IF($I13995&lt;=1,2,0))</f>
        <v>2</v>
      </c>
      <c r="K13995">
        <v>5</v>
      </c>
      <c r="L13995">
        <f>IF(AND($J13995=0,$K13995=0),0,1)</f>
        <v>1</v>
      </c>
    </row>
    <row r="13996" spans="1:12" x14ac:dyDescent="0.2">
      <c r="A13996" t="s">
        <v>16</v>
      </c>
      <c r="B13996" t="s">
        <v>17</v>
      </c>
      <c r="C13996" t="s">
        <v>11</v>
      </c>
      <c r="D13996">
        <v>9000</v>
      </c>
      <c r="E13996">
        <v>2021</v>
      </c>
      <c r="F13996">
        <v>13</v>
      </c>
      <c r="G13996">
        <v>11309</v>
      </c>
      <c r="H13996" s="1">
        <v>4</v>
      </c>
      <c r="I13996">
        <v>0</v>
      </c>
      <c r="J13996">
        <f>IF($H13996=0,1,IF($I13996&lt;=1,2,0))</f>
        <v>2</v>
      </c>
      <c r="K13996">
        <v>5</v>
      </c>
      <c r="L13996">
        <f>IF(AND($J13996=0,$K13996=0),0,1)</f>
        <v>1</v>
      </c>
    </row>
    <row r="13997" spans="1:12" x14ac:dyDescent="0.2">
      <c r="A13997" t="s">
        <v>16</v>
      </c>
      <c r="B13997" t="s">
        <v>17</v>
      </c>
      <c r="C13997" t="s">
        <v>11</v>
      </c>
      <c r="D13997">
        <v>9000</v>
      </c>
      <c r="E13997">
        <v>2021</v>
      </c>
      <c r="F13997">
        <v>14</v>
      </c>
      <c r="G13997">
        <v>11310</v>
      </c>
      <c r="H13997" s="1">
        <v>4</v>
      </c>
      <c r="I13997">
        <v>0</v>
      </c>
      <c r="J13997">
        <f>IF($H13997=0,1,IF($I13997&lt;=1,2,0))</f>
        <v>2</v>
      </c>
      <c r="K13997">
        <v>5</v>
      </c>
      <c r="L13997">
        <f>IF(AND($J13997=0,$K13997=0),0,1)</f>
        <v>1</v>
      </c>
    </row>
    <row r="13998" spans="1:12" x14ac:dyDescent="0.2">
      <c r="A13998" t="s">
        <v>16</v>
      </c>
      <c r="B13998" t="s">
        <v>17</v>
      </c>
      <c r="C13998" t="s">
        <v>11</v>
      </c>
      <c r="D13998">
        <v>9000</v>
      </c>
      <c r="E13998">
        <v>2021</v>
      </c>
      <c r="F13998">
        <v>15</v>
      </c>
      <c r="G13998">
        <v>11311</v>
      </c>
      <c r="H13998" s="1">
        <v>4</v>
      </c>
      <c r="I13998">
        <v>0</v>
      </c>
      <c r="J13998">
        <f>IF($H13998=0,1,IF($I13998&lt;=1,2,0))</f>
        <v>2</v>
      </c>
      <c r="K13998">
        <v>5</v>
      </c>
      <c r="L13998">
        <f>IF(AND($J13998=0,$K13998=0),0,1)</f>
        <v>1</v>
      </c>
    </row>
    <row r="13999" spans="1:12" x14ac:dyDescent="0.2">
      <c r="A13999" t="s">
        <v>16</v>
      </c>
      <c r="B13999" t="s">
        <v>17</v>
      </c>
      <c r="C13999" t="s">
        <v>11</v>
      </c>
      <c r="D13999">
        <v>9000</v>
      </c>
      <c r="E13999">
        <v>2021</v>
      </c>
      <c r="F13999">
        <v>16</v>
      </c>
      <c r="G13999">
        <v>11312</v>
      </c>
      <c r="H13999" s="1">
        <v>4</v>
      </c>
      <c r="I13999">
        <v>0</v>
      </c>
      <c r="J13999">
        <f>IF($H13999=0,1,IF($I13999&lt;=1,2,0))</f>
        <v>2</v>
      </c>
      <c r="K13999">
        <v>5</v>
      </c>
      <c r="L13999">
        <f>IF(AND($J13999=0,$K13999=0),0,1)</f>
        <v>1</v>
      </c>
    </row>
    <row r="14000" spans="1:12" x14ac:dyDescent="0.2">
      <c r="A14000" t="s">
        <v>16</v>
      </c>
      <c r="B14000" t="s">
        <v>17</v>
      </c>
      <c r="C14000" t="s">
        <v>11</v>
      </c>
      <c r="D14000">
        <v>9000</v>
      </c>
      <c r="E14000">
        <v>2021</v>
      </c>
      <c r="F14000">
        <v>17</v>
      </c>
      <c r="G14000">
        <v>11314</v>
      </c>
      <c r="H14000" s="1">
        <v>4</v>
      </c>
      <c r="I14000">
        <v>0</v>
      </c>
      <c r="J14000">
        <f>IF($H14000=0,1,IF($I14000&lt;=1,2,0))</f>
        <v>2</v>
      </c>
      <c r="K14000">
        <v>5</v>
      </c>
      <c r="L14000">
        <f>IF(AND($J14000=0,$K14000=0),0,1)</f>
        <v>1</v>
      </c>
    </row>
    <row r="14001" spans="1:12" x14ac:dyDescent="0.2">
      <c r="A14001" t="s">
        <v>16</v>
      </c>
      <c r="B14001" t="s">
        <v>17</v>
      </c>
      <c r="C14001" t="s">
        <v>11</v>
      </c>
      <c r="D14001">
        <v>9000</v>
      </c>
      <c r="E14001">
        <v>2021</v>
      </c>
      <c r="F14001">
        <v>21</v>
      </c>
      <c r="G14001">
        <v>11321</v>
      </c>
      <c r="H14001" s="1">
        <v>4</v>
      </c>
      <c r="I14001">
        <v>0</v>
      </c>
      <c r="J14001">
        <f>IF($H14001=0,1,IF($I14001&lt;=1,2,0))</f>
        <v>2</v>
      </c>
      <c r="K14001">
        <v>5</v>
      </c>
      <c r="L14001">
        <f>IF(AND($J14001=0,$K14001=0),0,1)</f>
        <v>1</v>
      </c>
    </row>
    <row r="14002" spans="1:12" x14ac:dyDescent="0.2">
      <c r="A14002" t="s">
        <v>16</v>
      </c>
      <c r="B14002" t="s">
        <v>17</v>
      </c>
      <c r="C14002" t="s">
        <v>11</v>
      </c>
      <c r="D14002">
        <v>9000</v>
      </c>
      <c r="E14002">
        <v>2021</v>
      </c>
      <c r="F14002">
        <v>22</v>
      </c>
      <c r="G14002">
        <v>11322</v>
      </c>
      <c r="H14002" s="1">
        <v>4</v>
      </c>
      <c r="I14002">
        <v>0</v>
      </c>
      <c r="J14002">
        <f>IF($H14002=0,1,IF($I14002&lt;=1,2,0))</f>
        <v>2</v>
      </c>
      <c r="K14002">
        <v>5</v>
      </c>
      <c r="L14002">
        <f>IF(AND($J14002=0,$K14002=0),0,1)</f>
        <v>1</v>
      </c>
    </row>
    <row r="14003" spans="1:12" x14ac:dyDescent="0.2">
      <c r="A14003" t="s">
        <v>16</v>
      </c>
      <c r="B14003" t="s">
        <v>17</v>
      </c>
      <c r="C14003" t="s">
        <v>11</v>
      </c>
      <c r="D14003">
        <v>9000</v>
      </c>
      <c r="E14003">
        <v>2021</v>
      </c>
      <c r="F14003">
        <v>23</v>
      </c>
      <c r="G14003">
        <v>11324</v>
      </c>
      <c r="H14003" s="1">
        <v>4</v>
      </c>
      <c r="I14003">
        <v>0</v>
      </c>
      <c r="J14003">
        <f>IF($H14003=0,1,IF($I14003&lt;=1,2,0))</f>
        <v>2</v>
      </c>
      <c r="K14003">
        <v>5</v>
      </c>
      <c r="L14003">
        <f>IF(AND($J14003=0,$K14003=0),0,1)</f>
        <v>1</v>
      </c>
    </row>
    <row r="14004" spans="1:12" x14ac:dyDescent="0.2">
      <c r="A14004" t="s">
        <v>16</v>
      </c>
      <c r="B14004" t="s">
        <v>17</v>
      </c>
      <c r="C14004" t="s">
        <v>11</v>
      </c>
      <c r="D14004">
        <v>9000</v>
      </c>
      <c r="E14004">
        <v>2021</v>
      </c>
      <c r="F14004">
        <v>25</v>
      </c>
      <c r="G14004">
        <v>11326</v>
      </c>
      <c r="H14004" s="1">
        <v>4</v>
      </c>
      <c r="I14004">
        <v>0</v>
      </c>
      <c r="J14004">
        <f>IF($H14004=0,1,IF($I14004&lt;=1,2,0))</f>
        <v>2</v>
      </c>
      <c r="K14004">
        <v>5</v>
      </c>
      <c r="L14004">
        <f>IF(AND($J14004=0,$K14004=0),0,1)</f>
        <v>1</v>
      </c>
    </row>
    <row r="14005" spans="1:12" x14ac:dyDescent="0.2">
      <c r="A14005" t="s">
        <v>16</v>
      </c>
      <c r="B14005" t="s">
        <v>17</v>
      </c>
      <c r="C14005" t="s">
        <v>11</v>
      </c>
      <c r="D14005">
        <v>9000</v>
      </c>
      <c r="E14005">
        <v>2021</v>
      </c>
      <c r="F14005">
        <v>26</v>
      </c>
      <c r="G14005">
        <v>11327</v>
      </c>
      <c r="H14005" s="1">
        <v>4</v>
      </c>
      <c r="I14005">
        <v>0</v>
      </c>
      <c r="J14005">
        <f>IF($H14005=0,1,IF($I14005&lt;=1,2,0))</f>
        <v>2</v>
      </c>
      <c r="K14005">
        <v>5</v>
      </c>
      <c r="L14005">
        <f>IF(AND($J14005=0,$K14005=0),0,1)</f>
        <v>1</v>
      </c>
    </row>
    <row r="14006" spans="1:12" x14ac:dyDescent="0.2">
      <c r="A14006" t="s">
        <v>16</v>
      </c>
      <c r="B14006" t="s">
        <v>17</v>
      </c>
      <c r="C14006" t="s">
        <v>11</v>
      </c>
      <c r="D14006">
        <v>9000</v>
      </c>
      <c r="E14006">
        <v>2021</v>
      </c>
      <c r="F14006">
        <v>27</v>
      </c>
      <c r="G14006">
        <v>11329</v>
      </c>
      <c r="H14006" s="1">
        <v>4</v>
      </c>
      <c r="I14006">
        <v>0</v>
      </c>
      <c r="J14006">
        <f>IF($H14006=0,1,IF($I14006&lt;=1,2,0))</f>
        <v>2</v>
      </c>
      <c r="K14006">
        <v>5</v>
      </c>
      <c r="L14006">
        <f>IF(AND($J14006=0,$K14006=0),0,1)</f>
        <v>1</v>
      </c>
    </row>
    <row r="14007" spans="1:12" x14ac:dyDescent="0.2">
      <c r="A14007" t="s">
        <v>16</v>
      </c>
      <c r="B14007" t="s">
        <v>17</v>
      </c>
      <c r="C14007" t="s">
        <v>11</v>
      </c>
      <c r="D14007">
        <v>9000</v>
      </c>
      <c r="E14007">
        <v>2021</v>
      </c>
      <c r="F14007">
        <v>30</v>
      </c>
      <c r="G14007">
        <v>11336</v>
      </c>
      <c r="H14007" s="1">
        <v>4</v>
      </c>
      <c r="I14007">
        <v>0</v>
      </c>
      <c r="J14007">
        <f>IF($H14007=0,1,IF($I14007&lt;=1,2,0))</f>
        <v>2</v>
      </c>
      <c r="K14007">
        <v>5</v>
      </c>
      <c r="L14007">
        <f>IF(AND($J14007=0,$K14007=0),0,1)</f>
        <v>1</v>
      </c>
    </row>
    <row r="14008" spans="1:12" x14ac:dyDescent="0.2">
      <c r="A14008" t="s">
        <v>16</v>
      </c>
      <c r="B14008" t="s">
        <v>17</v>
      </c>
      <c r="C14008" t="s">
        <v>11</v>
      </c>
      <c r="D14008">
        <v>9000</v>
      </c>
      <c r="E14008">
        <v>2021</v>
      </c>
      <c r="F14008">
        <v>31</v>
      </c>
      <c r="G14008">
        <v>11338</v>
      </c>
      <c r="H14008" s="1">
        <v>4</v>
      </c>
      <c r="I14008">
        <v>0</v>
      </c>
      <c r="J14008">
        <f>IF($H14008=0,1,IF($I14008&lt;=1,2,0))</f>
        <v>2</v>
      </c>
      <c r="K14008">
        <v>5</v>
      </c>
      <c r="L14008">
        <f>IF(AND($J14008=0,$K14008=0),0,1)</f>
        <v>1</v>
      </c>
    </row>
    <row r="14009" spans="1:12" x14ac:dyDescent="0.2">
      <c r="A14009" t="s">
        <v>16</v>
      </c>
      <c r="B14009" t="s">
        <v>17</v>
      </c>
      <c r="C14009" t="s">
        <v>11</v>
      </c>
      <c r="D14009">
        <v>9000</v>
      </c>
      <c r="E14009">
        <v>2021</v>
      </c>
      <c r="F14009">
        <v>32</v>
      </c>
      <c r="G14009">
        <v>11340</v>
      </c>
      <c r="H14009" s="1">
        <v>4</v>
      </c>
      <c r="I14009">
        <v>0</v>
      </c>
      <c r="J14009">
        <f>IF($H14009=0,1,IF($I14009&lt;=1,2,0))</f>
        <v>2</v>
      </c>
      <c r="K14009">
        <v>5</v>
      </c>
      <c r="L14009">
        <f>IF(AND($J14009=0,$K14009=0),0,1)</f>
        <v>1</v>
      </c>
    </row>
    <row r="14010" spans="1:12" x14ac:dyDescent="0.2">
      <c r="A14010" t="s">
        <v>16</v>
      </c>
      <c r="B14010" t="s">
        <v>17</v>
      </c>
      <c r="C14010" t="s">
        <v>11</v>
      </c>
      <c r="D14010">
        <v>9000</v>
      </c>
      <c r="E14010">
        <v>2021</v>
      </c>
      <c r="F14010">
        <v>34</v>
      </c>
      <c r="G14010">
        <v>11343</v>
      </c>
      <c r="H14010" s="1">
        <v>4</v>
      </c>
      <c r="I14010">
        <v>0</v>
      </c>
      <c r="J14010">
        <f>IF($H14010=0,1,IF($I14010&lt;=1,2,0))</f>
        <v>2</v>
      </c>
      <c r="K14010">
        <v>5</v>
      </c>
      <c r="L14010">
        <f>IF(AND($J14010=0,$K14010=0),0,1)</f>
        <v>1</v>
      </c>
    </row>
    <row r="14011" spans="1:12" x14ac:dyDescent="0.2">
      <c r="A14011" t="s">
        <v>16</v>
      </c>
      <c r="B14011" t="s">
        <v>17</v>
      </c>
      <c r="C14011" t="s">
        <v>11</v>
      </c>
      <c r="D14011">
        <v>9001</v>
      </c>
      <c r="E14011">
        <v>2021</v>
      </c>
      <c r="F14011">
        <v>15</v>
      </c>
      <c r="G14011">
        <v>11377</v>
      </c>
      <c r="H14011" s="1">
        <v>3</v>
      </c>
      <c r="I14011">
        <v>1</v>
      </c>
      <c r="J14011">
        <f>IF($H14011=0,1,IF($I14011&lt;=1,2,0))</f>
        <v>2</v>
      </c>
      <c r="K14011">
        <v>5</v>
      </c>
      <c r="L14011">
        <f>IF(AND($J14011=0,$K14011=0),0,1)</f>
        <v>1</v>
      </c>
    </row>
    <row r="14012" spans="1:12" x14ac:dyDescent="0.2">
      <c r="A14012" t="s">
        <v>16</v>
      </c>
      <c r="B14012" t="s">
        <v>17</v>
      </c>
      <c r="C14012" t="s">
        <v>11</v>
      </c>
      <c r="D14012">
        <v>9001</v>
      </c>
      <c r="E14012">
        <v>2021</v>
      </c>
      <c r="F14012">
        <v>27</v>
      </c>
      <c r="G14012">
        <v>11389</v>
      </c>
      <c r="H14012" s="1">
        <v>3</v>
      </c>
      <c r="I14012">
        <v>1</v>
      </c>
      <c r="J14012">
        <f>IF($H14012=0,1,IF($I14012&lt;=1,2,0))</f>
        <v>2</v>
      </c>
      <c r="K14012">
        <v>5</v>
      </c>
      <c r="L14012">
        <f>IF(AND($J14012=0,$K14012=0),0,1)</f>
        <v>1</v>
      </c>
    </row>
    <row r="14013" spans="1:12" x14ac:dyDescent="0.2">
      <c r="A14013" t="s">
        <v>16</v>
      </c>
      <c r="B14013" t="s">
        <v>17</v>
      </c>
      <c r="C14013" t="s">
        <v>11</v>
      </c>
      <c r="D14013">
        <v>9001</v>
      </c>
      <c r="E14013">
        <v>2021</v>
      </c>
      <c r="F14013">
        <v>29</v>
      </c>
      <c r="G14013">
        <v>11391</v>
      </c>
      <c r="H14013" s="1">
        <v>3</v>
      </c>
      <c r="I14013">
        <v>1</v>
      </c>
      <c r="J14013">
        <f>IF($H14013=0,1,IF($I14013&lt;=1,2,0))</f>
        <v>2</v>
      </c>
      <c r="K14013">
        <v>5</v>
      </c>
      <c r="L14013">
        <f>IF(AND($J14013=0,$K14013=0),0,1)</f>
        <v>1</v>
      </c>
    </row>
    <row r="14014" spans="1:12" x14ac:dyDescent="0.2">
      <c r="A14014" t="s">
        <v>16</v>
      </c>
      <c r="B14014" t="s">
        <v>17</v>
      </c>
      <c r="C14014" t="s">
        <v>11</v>
      </c>
      <c r="D14014">
        <v>9001</v>
      </c>
      <c r="E14014">
        <v>2021</v>
      </c>
      <c r="F14014">
        <v>1</v>
      </c>
      <c r="G14014">
        <v>11363</v>
      </c>
      <c r="H14014" s="1">
        <v>3</v>
      </c>
      <c r="I14014">
        <v>0</v>
      </c>
      <c r="J14014">
        <f>IF($H14014=0,1,IF($I14014&lt;=1,2,0))</f>
        <v>2</v>
      </c>
      <c r="K14014">
        <v>5</v>
      </c>
      <c r="L14014">
        <f>IF(AND($J14014=0,$K14014=0),0,1)</f>
        <v>1</v>
      </c>
    </row>
    <row r="14015" spans="1:12" x14ac:dyDescent="0.2">
      <c r="A14015" t="s">
        <v>16</v>
      </c>
      <c r="B14015" t="s">
        <v>17</v>
      </c>
      <c r="C14015" t="s">
        <v>11</v>
      </c>
      <c r="D14015">
        <v>9001</v>
      </c>
      <c r="E14015">
        <v>2021</v>
      </c>
      <c r="F14015">
        <v>2</v>
      </c>
      <c r="G14015">
        <v>11364</v>
      </c>
      <c r="H14015" s="1">
        <v>3</v>
      </c>
      <c r="I14015">
        <v>0</v>
      </c>
      <c r="J14015">
        <f>IF($H14015=0,1,IF($I14015&lt;=1,2,0))</f>
        <v>2</v>
      </c>
      <c r="K14015">
        <v>5</v>
      </c>
      <c r="L14015">
        <f>IF(AND($J14015=0,$K14015=0),0,1)</f>
        <v>1</v>
      </c>
    </row>
    <row r="14016" spans="1:12" x14ac:dyDescent="0.2">
      <c r="A14016" t="s">
        <v>16</v>
      </c>
      <c r="B14016" t="s">
        <v>17</v>
      </c>
      <c r="C14016" t="s">
        <v>11</v>
      </c>
      <c r="D14016">
        <v>9001</v>
      </c>
      <c r="E14016">
        <v>2021</v>
      </c>
      <c r="F14016">
        <v>3</v>
      </c>
      <c r="G14016">
        <v>11365</v>
      </c>
      <c r="H14016" s="1">
        <v>3</v>
      </c>
      <c r="I14016">
        <v>0</v>
      </c>
      <c r="J14016">
        <f>IF($H14016=0,1,IF($I14016&lt;=1,2,0))</f>
        <v>2</v>
      </c>
      <c r="K14016">
        <v>5</v>
      </c>
      <c r="L14016">
        <f>IF(AND($J14016=0,$K14016=0),0,1)</f>
        <v>1</v>
      </c>
    </row>
    <row r="14017" spans="1:12" x14ac:dyDescent="0.2">
      <c r="A14017" t="s">
        <v>16</v>
      </c>
      <c r="B14017" t="s">
        <v>17</v>
      </c>
      <c r="C14017" t="s">
        <v>11</v>
      </c>
      <c r="D14017">
        <v>9001</v>
      </c>
      <c r="E14017">
        <v>2021</v>
      </c>
      <c r="F14017">
        <v>4</v>
      </c>
      <c r="G14017">
        <v>11366</v>
      </c>
      <c r="H14017" s="1">
        <v>3</v>
      </c>
      <c r="I14017">
        <v>0</v>
      </c>
      <c r="J14017">
        <f>IF($H14017=0,1,IF($I14017&lt;=1,2,0))</f>
        <v>2</v>
      </c>
      <c r="K14017">
        <v>5</v>
      </c>
      <c r="L14017">
        <f>IF(AND($J14017=0,$K14017=0),0,1)</f>
        <v>1</v>
      </c>
    </row>
    <row r="14018" spans="1:12" x14ac:dyDescent="0.2">
      <c r="A14018" t="s">
        <v>16</v>
      </c>
      <c r="B14018" t="s">
        <v>17</v>
      </c>
      <c r="C14018" t="s">
        <v>11</v>
      </c>
      <c r="D14018">
        <v>9001</v>
      </c>
      <c r="E14018">
        <v>2021</v>
      </c>
      <c r="F14018">
        <v>5</v>
      </c>
      <c r="G14018">
        <v>11367</v>
      </c>
      <c r="H14018" s="1">
        <v>3</v>
      </c>
      <c r="I14018">
        <v>0</v>
      </c>
      <c r="J14018">
        <f>IF($H14018=0,1,IF($I14018&lt;=1,2,0))</f>
        <v>2</v>
      </c>
      <c r="K14018">
        <v>5</v>
      </c>
      <c r="L14018">
        <f>IF(AND($J14018=0,$K14018=0),0,1)</f>
        <v>1</v>
      </c>
    </row>
    <row r="14019" spans="1:12" x14ac:dyDescent="0.2">
      <c r="A14019" t="s">
        <v>16</v>
      </c>
      <c r="B14019" t="s">
        <v>17</v>
      </c>
      <c r="C14019" t="s">
        <v>11</v>
      </c>
      <c r="D14019">
        <v>9001</v>
      </c>
      <c r="E14019">
        <v>2021</v>
      </c>
      <c r="F14019">
        <v>6</v>
      </c>
      <c r="G14019">
        <v>11368</v>
      </c>
      <c r="H14019" s="1">
        <v>3</v>
      </c>
      <c r="I14019">
        <v>0</v>
      </c>
      <c r="J14019">
        <f>IF($H14019=0,1,IF($I14019&lt;=1,2,0))</f>
        <v>2</v>
      </c>
      <c r="K14019">
        <v>5</v>
      </c>
      <c r="L14019">
        <f>IF(AND($J14019=0,$K14019=0),0,1)</f>
        <v>1</v>
      </c>
    </row>
    <row r="14020" spans="1:12" x14ac:dyDescent="0.2">
      <c r="A14020" t="s">
        <v>16</v>
      </c>
      <c r="B14020" t="s">
        <v>17</v>
      </c>
      <c r="C14020" t="s">
        <v>11</v>
      </c>
      <c r="D14020">
        <v>9001</v>
      </c>
      <c r="E14020">
        <v>2021</v>
      </c>
      <c r="F14020">
        <v>7</v>
      </c>
      <c r="G14020">
        <v>11369</v>
      </c>
      <c r="H14020" s="1">
        <v>3</v>
      </c>
      <c r="I14020">
        <v>0</v>
      </c>
      <c r="J14020">
        <f>IF($H14020=0,1,IF($I14020&lt;=1,2,0))</f>
        <v>2</v>
      </c>
      <c r="K14020">
        <v>5</v>
      </c>
      <c r="L14020">
        <f>IF(AND($J14020=0,$K14020=0),0,1)</f>
        <v>1</v>
      </c>
    </row>
    <row r="14021" spans="1:12" x14ac:dyDescent="0.2">
      <c r="A14021" t="s">
        <v>16</v>
      </c>
      <c r="B14021" t="s">
        <v>17</v>
      </c>
      <c r="C14021" t="s">
        <v>11</v>
      </c>
      <c r="D14021">
        <v>9001</v>
      </c>
      <c r="E14021">
        <v>2021</v>
      </c>
      <c r="F14021">
        <v>8</v>
      </c>
      <c r="G14021">
        <v>11370</v>
      </c>
      <c r="H14021" s="1">
        <v>3</v>
      </c>
      <c r="I14021">
        <v>0</v>
      </c>
      <c r="J14021">
        <f>IF($H14021=0,1,IF($I14021&lt;=1,2,0))</f>
        <v>2</v>
      </c>
      <c r="K14021">
        <v>5</v>
      </c>
      <c r="L14021">
        <f>IF(AND($J14021=0,$K14021=0),0,1)</f>
        <v>1</v>
      </c>
    </row>
    <row r="14022" spans="1:12" x14ac:dyDescent="0.2">
      <c r="A14022" t="s">
        <v>16</v>
      </c>
      <c r="B14022" t="s">
        <v>17</v>
      </c>
      <c r="C14022" t="s">
        <v>11</v>
      </c>
      <c r="D14022">
        <v>9001</v>
      </c>
      <c r="E14022">
        <v>2021</v>
      </c>
      <c r="F14022">
        <v>9</v>
      </c>
      <c r="G14022">
        <v>11371</v>
      </c>
      <c r="H14022" s="1">
        <v>3</v>
      </c>
      <c r="I14022">
        <v>0</v>
      </c>
      <c r="J14022">
        <f>IF($H14022=0,1,IF($I14022&lt;=1,2,0))</f>
        <v>2</v>
      </c>
      <c r="K14022">
        <v>5</v>
      </c>
      <c r="L14022">
        <f>IF(AND($J14022=0,$K14022=0),0,1)</f>
        <v>1</v>
      </c>
    </row>
    <row r="14023" spans="1:12" x14ac:dyDescent="0.2">
      <c r="A14023" t="s">
        <v>16</v>
      </c>
      <c r="B14023" t="s">
        <v>17</v>
      </c>
      <c r="C14023" t="s">
        <v>11</v>
      </c>
      <c r="D14023">
        <v>9001</v>
      </c>
      <c r="E14023">
        <v>2021</v>
      </c>
      <c r="F14023">
        <v>10</v>
      </c>
      <c r="G14023">
        <v>11372</v>
      </c>
      <c r="H14023" s="1">
        <v>3</v>
      </c>
      <c r="I14023">
        <v>0</v>
      </c>
      <c r="J14023">
        <f>IF($H14023=0,1,IF($I14023&lt;=1,2,0))</f>
        <v>2</v>
      </c>
      <c r="K14023">
        <v>5</v>
      </c>
      <c r="L14023">
        <f>IF(AND($J14023=0,$K14023=0),0,1)</f>
        <v>1</v>
      </c>
    </row>
    <row r="14024" spans="1:12" x14ac:dyDescent="0.2">
      <c r="A14024" t="s">
        <v>16</v>
      </c>
      <c r="B14024" t="s">
        <v>17</v>
      </c>
      <c r="C14024" t="s">
        <v>11</v>
      </c>
      <c r="D14024">
        <v>9001</v>
      </c>
      <c r="E14024">
        <v>2021</v>
      </c>
      <c r="F14024">
        <v>11</v>
      </c>
      <c r="G14024">
        <v>11373</v>
      </c>
      <c r="H14024" s="1">
        <v>3</v>
      </c>
      <c r="I14024">
        <v>0</v>
      </c>
      <c r="J14024">
        <f>IF($H14024=0,1,IF($I14024&lt;=1,2,0))</f>
        <v>2</v>
      </c>
      <c r="K14024">
        <v>5</v>
      </c>
      <c r="L14024">
        <f>IF(AND($J14024=0,$K14024=0),0,1)</f>
        <v>1</v>
      </c>
    </row>
    <row r="14025" spans="1:12" x14ac:dyDescent="0.2">
      <c r="A14025" t="s">
        <v>16</v>
      </c>
      <c r="B14025" t="s">
        <v>17</v>
      </c>
      <c r="C14025" t="s">
        <v>11</v>
      </c>
      <c r="D14025">
        <v>9001</v>
      </c>
      <c r="E14025">
        <v>2021</v>
      </c>
      <c r="F14025">
        <v>12</v>
      </c>
      <c r="G14025">
        <v>11374</v>
      </c>
      <c r="H14025" s="1">
        <v>3</v>
      </c>
      <c r="I14025">
        <v>0</v>
      </c>
      <c r="J14025">
        <f>IF($H14025=0,1,IF($I14025&lt;=1,2,0))</f>
        <v>2</v>
      </c>
      <c r="K14025">
        <v>5</v>
      </c>
      <c r="L14025">
        <f>IF(AND($J14025=0,$K14025=0),0,1)</f>
        <v>1</v>
      </c>
    </row>
    <row r="14026" spans="1:12" x14ac:dyDescent="0.2">
      <c r="A14026" t="s">
        <v>16</v>
      </c>
      <c r="B14026" t="s">
        <v>17</v>
      </c>
      <c r="C14026" t="s">
        <v>11</v>
      </c>
      <c r="D14026">
        <v>9001</v>
      </c>
      <c r="E14026">
        <v>2021</v>
      </c>
      <c r="F14026">
        <v>13</v>
      </c>
      <c r="G14026">
        <v>11375</v>
      </c>
      <c r="H14026" s="1">
        <v>3</v>
      </c>
      <c r="I14026">
        <v>0</v>
      </c>
      <c r="J14026">
        <f>IF($H14026=0,1,IF($I14026&lt;=1,2,0))</f>
        <v>2</v>
      </c>
      <c r="K14026">
        <v>5</v>
      </c>
      <c r="L14026">
        <f>IF(AND($J14026=0,$K14026=0),0,1)</f>
        <v>1</v>
      </c>
    </row>
    <row r="14027" spans="1:12" x14ac:dyDescent="0.2">
      <c r="A14027" t="s">
        <v>16</v>
      </c>
      <c r="B14027" t="s">
        <v>17</v>
      </c>
      <c r="C14027" t="s">
        <v>11</v>
      </c>
      <c r="D14027">
        <v>9001</v>
      </c>
      <c r="E14027">
        <v>2021</v>
      </c>
      <c r="F14027">
        <v>14</v>
      </c>
      <c r="G14027">
        <v>11376</v>
      </c>
      <c r="H14027" s="1">
        <v>3</v>
      </c>
      <c r="I14027">
        <v>0</v>
      </c>
      <c r="J14027">
        <f>IF($H14027=0,1,IF($I14027&lt;=1,2,0))</f>
        <v>2</v>
      </c>
      <c r="K14027">
        <v>5</v>
      </c>
      <c r="L14027">
        <f>IF(AND($J14027=0,$K14027=0),0,1)</f>
        <v>1</v>
      </c>
    </row>
    <row r="14028" spans="1:12" x14ac:dyDescent="0.2">
      <c r="A14028" t="s">
        <v>16</v>
      </c>
      <c r="B14028" t="s">
        <v>17</v>
      </c>
      <c r="C14028" t="s">
        <v>11</v>
      </c>
      <c r="D14028">
        <v>9001</v>
      </c>
      <c r="E14028">
        <v>2021</v>
      </c>
      <c r="F14028">
        <v>16</v>
      </c>
      <c r="G14028">
        <v>11378</v>
      </c>
      <c r="H14028" s="1">
        <v>3</v>
      </c>
      <c r="I14028">
        <v>0</v>
      </c>
      <c r="J14028">
        <f>IF($H14028=0,1,IF($I14028&lt;=1,2,0))</f>
        <v>2</v>
      </c>
      <c r="K14028">
        <v>5</v>
      </c>
      <c r="L14028">
        <f>IF(AND($J14028=0,$K14028=0),0,1)</f>
        <v>1</v>
      </c>
    </row>
    <row r="14029" spans="1:12" x14ac:dyDescent="0.2">
      <c r="A14029" t="s">
        <v>16</v>
      </c>
      <c r="B14029" t="s">
        <v>17</v>
      </c>
      <c r="C14029" t="s">
        <v>11</v>
      </c>
      <c r="D14029">
        <v>9001</v>
      </c>
      <c r="E14029">
        <v>2021</v>
      </c>
      <c r="F14029">
        <v>17</v>
      </c>
      <c r="G14029">
        <v>11379</v>
      </c>
      <c r="H14029" s="1">
        <v>3</v>
      </c>
      <c r="I14029">
        <v>0</v>
      </c>
      <c r="J14029">
        <f>IF($H14029=0,1,IF($I14029&lt;=1,2,0))</f>
        <v>2</v>
      </c>
      <c r="K14029">
        <v>5</v>
      </c>
      <c r="L14029">
        <f>IF(AND($J14029=0,$K14029=0),0,1)</f>
        <v>1</v>
      </c>
    </row>
    <row r="14030" spans="1:12" x14ac:dyDescent="0.2">
      <c r="A14030" t="s">
        <v>16</v>
      </c>
      <c r="B14030" t="s">
        <v>17</v>
      </c>
      <c r="C14030" t="s">
        <v>11</v>
      </c>
      <c r="D14030">
        <v>9001</v>
      </c>
      <c r="E14030">
        <v>2021</v>
      </c>
      <c r="F14030">
        <v>18</v>
      </c>
      <c r="G14030">
        <v>11380</v>
      </c>
      <c r="H14030" s="1">
        <v>3</v>
      </c>
      <c r="I14030">
        <v>0</v>
      </c>
      <c r="J14030">
        <f>IF($H14030=0,1,IF($I14030&lt;=1,2,0))</f>
        <v>2</v>
      </c>
      <c r="K14030">
        <v>5</v>
      </c>
      <c r="L14030">
        <f>IF(AND($J14030=0,$K14030=0),0,1)</f>
        <v>1</v>
      </c>
    </row>
    <row r="14031" spans="1:12" x14ac:dyDescent="0.2">
      <c r="A14031" t="s">
        <v>16</v>
      </c>
      <c r="B14031" t="s">
        <v>17</v>
      </c>
      <c r="C14031" t="s">
        <v>11</v>
      </c>
      <c r="D14031">
        <v>9001</v>
      </c>
      <c r="E14031">
        <v>2021</v>
      </c>
      <c r="F14031">
        <v>19</v>
      </c>
      <c r="G14031">
        <v>11381</v>
      </c>
      <c r="H14031" s="1">
        <v>3</v>
      </c>
      <c r="I14031">
        <v>0</v>
      </c>
      <c r="J14031">
        <f>IF($H14031=0,1,IF($I14031&lt;=1,2,0))</f>
        <v>2</v>
      </c>
      <c r="K14031">
        <v>5</v>
      </c>
      <c r="L14031">
        <f>IF(AND($J14031=0,$K14031=0),0,1)</f>
        <v>1</v>
      </c>
    </row>
    <row r="14032" spans="1:12" x14ac:dyDescent="0.2">
      <c r="A14032" t="s">
        <v>16</v>
      </c>
      <c r="B14032" t="s">
        <v>17</v>
      </c>
      <c r="C14032" t="s">
        <v>11</v>
      </c>
      <c r="D14032">
        <v>9001</v>
      </c>
      <c r="E14032">
        <v>2021</v>
      </c>
      <c r="F14032">
        <v>20</v>
      </c>
      <c r="G14032">
        <v>11382</v>
      </c>
      <c r="H14032" s="1">
        <v>3</v>
      </c>
      <c r="I14032">
        <v>0</v>
      </c>
      <c r="J14032">
        <f>IF($H14032=0,1,IF($I14032&lt;=1,2,0))</f>
        <v>2</v>
      </c>
      <c r="K14032">
        <v>5</v>
      </c>
      <c r="L14032">
        <f>IF(AND($J14032=0,$K14032=0),0,1)</f>
        <v>1</v>
      </c>
    </row>
    <row r="14033" spans="1:13" x14ac:dyDescent="0.2">
      <c r="A14033" t="s">
        <v>16</v>
      </c>
      <c r="B14033" t="s">
        <v>17</v>
      </c>
      <c r="C14033" t="s">
        <v>11</v>
      </c>
      <c r="D14033">
        <v>9001</v>
      </c>
      <c r="E14033">
        <v>2021</v>
      </c>
      <c r="F14033">
        <v>21</v>
      </c>
      <c r="G14033">
        <v>11383</v>
      </c>
      <c r="H14033" s="1">
        <v>3</v>
      </c>
      <c r="I14033">
        <v>0</v>
      </c>
      <c r="J14033">
        <f>IF($H14033=0,1,IF($I14033&lt;=1,2,0))</f>
        <v>2</v>
      </c>
      <c r="K14033">
        <v>5</v>
      </c>
      <c r="L14033">
        <f>IF(AND($J14033=0,$K14033=0),0,1)</f>
        <v>1</v>
      </c>
    </row>
    <row r="14034" spans="1:13" x14ac:dyDescent="0.2">
      <c r="A14034" t="s">
        <v>16</v>
      </c>
      <c r="B14034" t="s">
        <v>17</v>
      </c>
      <c r="C14034" t="s">
        <v>11</v>
      </c>
      <c r="D14034">
        <v>9001</v>
      </c>
      <c r="E14034">
        <v>2021</v>
      </c>
      <c r="F14034">
        <v>22</v>
      </c>
      <c r="G14034">
        <v>11384</v>
      </c>
      <c r="H14034" s="1">
        <v>3</v>
      </c>
      <c r="I14034">
        <v>0</v>
      </c>
      <c r="J14034">
        <f>IF($H14034=0,1,IF($I14034&lt;=1,2,0))</f>
        <v>2</v>
      </c>
      <c r="K14034">
        <v>5</v>
      </c>
      <c r="L14034">
        <f>IF(AND($J14034=0,$K14034=0),0,1)</f>
        <v>1</v>
      </c>
    </row>
    <row r="14035" spans="1:13" x14ac:dyDescent="0.2">
      <c r="A14035" t="s">
        <v>16</v>
      </c>
      <c r="B14035" t="s">
        <v>17</v>
      </c>
      <c r="C14035" t="s">
        <v>11</v>
      </c>
      <c r="D14035">
        <v>9001</v>
      </c>
      <c r="E14035">
        <v>2021</v>
      </c>
      <c r="F14035">
        <v>23</v>
      </c>
      <c r="G14035">
        <v>11385</v>
      </c>
      <c r="H14035" s="1">
        <v>3</v>
      </c>
      <c r="I14035">
        <v>0</v>
      </c>
      <c r="J14035">
        <f>IF($H14035=0,1,IF($I14035&lt;=1,2,0))</f>
        <v>2</v>
      </c>
      <c r="K14035">
        <v>5</v>
      </c>
      <c r="L14035">
        <f>IF(AND($J14035=0,$K14035=0),0,1)</f>
        <v>1</v>
      </c>
    </row>
    <row r="14036" spans="1:13" x14ac:dyDescent="0.2">
      <c r="A14036" t="s">
        <v>16</v>
      </c>
      <c r="B14036" t="s">
        <v>17</v>
      </c>
      <c r="C14036" t="s">
        <v>11</v>
      </c>
      <c r="D14036">
        <v>9001</v>
      </c>
      <c r="E14036">
        <v>2021</v>
      </c>
      <c r="F14036">
        <v>24</v>
      </c>
      <c r="G14036">
        <v>11386</v>
      </c>
      <c r="H14036" s="1">
        <v>3</v>
      </c>
      <c r="I14036">
        <v>0</v>
      </c>
      <c r="J14036">
        <f>IF($H14036=0,1,IF($I14036&lt;=1,2,0))</f>
        <v>2</v>
      </c>
      <c r="K14036">
        <v>5</v>
      </c>
      <c r="L14036">
        <f>IF(AND($J14036=0,$K14036=0),0,1)</f>
        <v>1</v>
      </c>
    </row>
    <row r="14037" spans="1:13" x14ac:dyDescent="0.2">
      <c r="A14037" t="s">
        <v>16</v>
      </c>
      <c r="B14037" t="s">
        <v>17</v>
      </c>
      <c r="C14037" t="s">
        <v>11</v>
      </c>
      <c r="D14037">
        <v>9001</v>
      </c>
      <c r="E14037">
        <v>2021</v>
      </c>
      <c r="F14037">
        <v>25</v>
      </c>
      <c r="G14037">
        <v>11387</v>
      </c>
      <c r="H14037" s="1">
        <v>3</v>
      </c>
      <c r="I14037">
        <v>0</v>
      </c>
      <c r="J14037">
        <f>IF($H14037=0,1,IF($I14037&lt;=1,2,0))</f>
        <v>2</v>
      </c>
      <c r="K14037">
        <v>5</v>
      </c>
      <c r="L14037">
        <f>IF(AND($J14037=0,$K14037=0),0,1)</f>
        <v>1</v>
      </c>
    </row>
    <row r="14038" spans="1:13" x14ac:dyDescent="0.2">
      <c r="A14038" t="s">
        <v>16</v>
      </c>
      <c r="B14038" t="s">
        <v>17</v>
      </c>
      <c r="C14038" t="s">
        <v>11</v>
      </c>
      <c r="D14038">
        <v>9001</v>
      </c>
      <c r="E14038">
        <v>2021</v>
      </c>
      <c r="F14038">
        <v>26</v>
      </c>
      <c r="G14038">
        <v>11388</v>
      </c>
      <c r="H14038" s="1">
        <v>3</v>
      </c>
      <c r="I14038">
        <v>0</v>
      </c>
      <c r="J14038">
        <f>IF($H14038=0,1,IF($I14038&lt;=1,2,0))</f>
        <v>2</v>
      </c>
      <c r="K14038">
        <v>5</v>
      </c>
      <c r="L14038">
        <f>IF(AND($J14038=0,$K14038=0),0,1)</f>
        <v>1</v>
      </c>
    </row>
    <row r="14039" spans="1:13" x14ac:dyDescent="0.2">
      <c r="A14039" t="s">
        <v>16</v>
      </c>
      <c r="B14039" t="s">
        <v>17</v>
      </c>
      <c r="C14039" t="s">
        <v>11</v>
      </c>
      <c r="D14039">
        <v>9001</v>
      </c>
      <c r="E14039">
        <v>2021</v>
      </c>
      <c r="F14039">
        <v>28</v>
      </c>
      <c r="G14039">
        <v>11390</v>
      </c>
      <c r="H14039" s="1">
        <v>3</v>
      </c>
      <c r="I14039">
        <v>0</v>
      </c>
      <c r="J14039">
        <f>IF($H14039=0,1,IF($I14039&lt;=1,2,0))</f>
        <v>2</v>
      </c>
      <c r="K14039">
        <v>5</v>
      </c>
      <c r="L14039">
        <f>IF(AND($J14039=0,$K14039=0),0,1)</f>
        <v>1</v>
      </c>
    </row>
    <row r="14040" spans="1:13" x14ac:dyDescent="0.2">
      <c r="A14040" t="s">
        <v>16</v>
      </c>
      <c r="B14040" t="s">
        <v>17</v>
      </c>
      <c r="C14040" t="s">
        <v>11</v>
      </c>
      <c r="D14040">
        <v>9001</v>
      </c>
      <c r="E14040">
        <v>2021</v>
      </c>
      <c r="F14040">
        <v>30</v>
      </c>
      <c r="G14040">
        <v>11392</v>
      </c>
      <c r="H14040" s="1">
        <v>3</v>
      </c>
      <c r="I14040">
        <v>0</v>
      </c>
      <c r="J14040">
        <f>IF($H14040=0,1,IF($I14040&lt;=1,2,0))</f>
        <v>2</v>
      </c>
      <c r="K14040">
        <v>5</v>
      </c>
      <c r="L14040">
        <f>IF(AND($J14040=0,$K14040=0),0,1)</f>
        <v>1</v>
      </c>
    </row>
    <row r="14041" spans="1:13" x14ac:dyDescent="0.2">
      <c r="A14041" t="s">
        <v>16</v>
      </c>
      <c r="B14041" t="s">
        <v>17</v>
      </c>
      <c r="C14041" t="s">
        <v>11</v>
      </c>
      <c r="D14041">
        <v>9001</v>
      </c>
      <c r="E14041">
        <v>2021</v>
      </c>
      <c r="F14041">
        <v>31</v>
      </c>
      <c r="G14041">
        <v>11393</v>
      </c>
      <c r="H14041" s="1">
        <v>3</v>
      </c>
      <c r="I14041">
        <v>0</v>
      </c>
      <c r="J14041">
        <f>IF($H14041=0,1,IF($I14041&lt;=1,2,0))</f>
        <v>2</v>
      </c>
      <c r="K14041">
        <v>5</v>
      </c>
      <c r="L14041">
        <f>IF(AND($J14041=0,$K14041=0),0,1)</f>
        <v>1</v>
      </c>
    </row>
    <row r="14042" spans="1:13" x14ac:dyDescent="0.2">
      <c r="A14042" t="s">
        <v>16</v>
      </c>
      <c r="B14042" t="s">
        <v>17</v>
      </c>
      <c r="C14042" t="s">
        <v>11</v>
      </c>
      <c r="D14042">
        <v>9001</v>
      </c>
      <c r="E14042">
        <v>2021</v>
      </c>
      <c r="F14042">
        <v>32</v>
      </c>
      <c r="G14042">
        <v>11394</v>
      </c>
      <c r="H14042" s="1">
        <v>3</v>
      </c>
      <c r="I14042">
        <v>0</v>
      </c>
      <c r="J14042">
        <f>IF($H14042=0,1,IF($I14042&lt;=1,2,0))</f>
        <v>2</v>
      </c>
      <c r="K14042">
        <v>5</v>
      </c>
      <c r="L14042">
        <f>IF(AND($J14042=0,$K14042=0),0,1)</f>
        <v>1</v>
      </c>
    </row>
    <row r="14043" spans="1:13" x14ac:dyDescent="0.2">
      <c r="A14043" t="s">
        <v>16</v>
      </c>
      <c r="B14043" t="s">
        <v>17</v>
      </c>
      <c r="C14043" t="s">
        <v>11</v>
      </c>
      <c r="D14043">
        <v>9001</v>
      </c>
      <c r="E14043">
        <v>2021</v>
      </c>
      <c r="F14043">
        <v>33</v>
      </c>
      <c r="G14043">
        <v>11395</v>
      </c>
      <c r="H14043" s="1">
        <v>3</v>
      </c>
      <c r="I14043">
        <v>0</v>
      </c>
      <c r="J14043">
        <f>IF($H14043=0,1,IF($I14043&lt;=1,2,0))</f>
        <v>2</v>
      </c>
      <c r="K14043">
        <v>5</v>
      </c>
      <c r="L14043">
        <f>IF(AND($J14043=0,$K14043=0),0,1)</f>
        <v>1</v>
      </c>
    </row>
    <row r="14044" spans="1:13" x14ac:dyDescent="0.2">
      <c r="A14044" t="s">
        <v>16</v>
      </c>
      <c r="B14044" t="s">
        <v>17</v>
      </c>
      <c r="C14044" t="s">
        <v>11</v>
      </c>
      <c r="D14044">
        <v>9001</v>
      </c>
      <c r="E14044">
        <v>2021</v>
      </c>
      <c r="F14044">
        <v>34</v>
      </c>
      <c r="G14044">
        <v>11396</v>
      </c>
      <c r="H14044" s="1">
        <v>3</v>
      </c>
      <c r="I14044">
        <v>0</v>
      </c>
      <c r="J14044">
        <f>IF($H14044=0,1,IF($I14044&lt;=1,2,0))</f>
        <v>2</v>
      </c>
      <c r="K14044">
        <v>5</v>
      </c>
      <c r="L14044">
        <f>IF(AND($J14044=0,$K14044=0),0,1)</f>
        <v>1</v>
      </c>
    </row>
    <row r="14045" spans="1:13" x14ac:dyDescent="0.2">
      <c r="A14045" t="s">
        <v>44</v>
      </c>
      <c r="B14045" t="s">
        <v>6</v>
      </c>
      <c r="C14045" t="s">
        <v>2</v>
      </c>
      <c r="D14045">
        <v>3401</v>
      </c>
      <c r="E14045">
        <v>2021</v>
      </c>
      <c r="F14045">
        <v>1</v>
      </c>
      <c r="G14045">
        <v>363</v>
      </c>
      <c r="H14045" s="1">
        <v>4</v>
      </c>
      <c r="I14045">
        <v>7</v>
      </c>
      <c r="J14045">
        <f>IF($H14045=0,1,IF($I14045&lt;=1,2,0))</f>
        <v>0</v>
      </c>
      <c r="K14045">
        <v>7</v>
      </c>
      <c r="L14045">
        <f>IF(AND($J14045=0,$K14045=0),0,1)</f>
        <v>1</v>
      </c>
    </row>
    <row r="14046" spans="1:13" x14ac:dyDescent="0.2">
      <c r="A14046" t="s">
        <v>44</v>
      </c>
      <c r="B14046" t="s">
        <v>6</v>
      </c>
      <c r="C14046" t="s">
        <v>2</v>
      </c>
      <c r="D14046">
        <v>3470</v>
      </c>
      <c r="E14046">
        <v>2021</v>
      </c>
      <c r="F14046">
        <v>1</v>
      </c>
      <c r="G14046">
        <v>778</v>
      </c>
      <c r="H14046" s="1">
        <v>3</v>
      </c>
      <c r="I14046">
        <v>14</v>
      </c>
      <c r="J14046">
        <f>IF($H14046=0,1,IF($I14046&lt;=1,2,0))</f>
        <v>0</v>
      </c>
      <c r="K14046">
        <v>7</v>
      </c>
      <c r="L14046">
        <f>IF(AND($J14046=0,$K14046=0),0,1)</f>
        <v>1</v>
      </c>
    </row>
    <row r="14047" spans="1:13" x14ac:dyDescent="0.2">
      <c r="A14047" t="s">
        <v>44</v>
      </c>
      <c r="B14047" t="s">
        <v>6</v>
      </c>
      <c r="C14047" t="s">
        <v>2</v>
      </c>
      <c r="D14047">
        <v>3702</v>
      </c>
      <c r="E14047">
        <v>2021</v>
      </c>
      <c r="F14047">
        <v>1</v>
      </c>
      <c r="G14047">
        <v>798</v>
      </c>
      <c r="H14047" s="1">
        <v>1</v>
      </c>
      <c r="I14047">
        <v>8</v>
      </c>
      <c r="J14047">
        <f>IF($H14047=0,1,IF($I14047&lt;=1,2,0))</f>
        <v>0</v>
      </c>
      <c r="K14047">
        <v>7</v>
      </c>
      <c r="L14047">
        <f>IF(AND($J14047=0,$K14047=0),0,1)</f>
        <v>1</v>
      </c>
      <c r="M14047" t="s">
        <v>818</v>
      </c>
    </row>
    <row r="14048" spans="1:13" x14ac:dyDescent="0.2">
      <c r="A14048" t="s">
        <v>44</v>
      </c>
      <c r="B14048" t="s">
        <v>6</v>
      </c>
      <c r="C14048" t="s">
        <v>9</v>
      </c>
      <c r="D14048">
        <v>3998</v>
      </c>
      <c r="E14048">
        <v>2021</v>
      </c>
      <c r="F14048">
        <v>2</v>
      </c>
      <c r="G14048">
        <v>18117</v>
      </c>
      <c r="H14048" s="1" t="s">
        <v>1823</v>
      </c>
      <c r="I14048">
        <v>1</v>
      </c>
      <c r="J14048">
        <f>IF($H14048=0,1,IF($I14048&lt;=1,2,0))</f>
        <v>2</v>
      </c>
      <c r="K14048">
        <v>9</v>
      </c>
      <c r="L14048">
        <f>IF(AND($J14048=0,$K14048=0),0,1)</f>
        <v>1</v>
      </c>
    </row>
    <row r="14049" spans="1:12" x14ac:dyDescent="0.2">
      <c r="A14049" t="s">
        <v>44</v>
      </c>
      <c r="B14049" t="s">
        <v>6</v>
      </c>
      <c r="C14049" t="s">
        <v>9</v>
      </c>
      <c r="D14049">
        <v>3998</v>
      </c>
      <c r="E14049">
        <v>2021</v>
      </c>
      <c r="F14049">
        <v>3</v>
      </c>
      <c r="G14049">
        <v>20493</v>
      </c>
      <c r="H14049" s="1" t="s">
        <v>1823</v>
      </c>
      <c r="I14049">
        <v>1</v>
      </c>
      <c r="J14049">
        <f>IF($H14049=0,1,IF($I14049&lt;=1,2,0))</f>
        <v>2</v>
      </c>
      <c r="K14049">
        <v>9</v>
      </c>
      <c r="L14049">
        <f>IF(AND($J14049=0,$K14049=0),0,1)</f>
        <v>1</v>
      </c>
    </row>
    <row r="14050" spans="1:12" x14ac:dyDescent="0.2">
      <c r="A14050" t="s">
        <v>44</v>
      </c>
      <c r="B14050" t="s">
        <v>6</v>
      </c>
      <c r="C14050" t="s">
        <v>9</v>
      </c>
      <c r="D14050">
        <v>3998</v>
      </c>
      <c r="E14050">
        <v>2021</v>
      </c>
      <c r="F14050">
        <v>1</v>
      </c>
      <c r="G14050">
        <v>17893</v>
      </c>
      <c r="H14050" s="1" t="s">
        <v>1823</v>
      </c>
      <c r="I14050">
        <v>0</v>
      </c>
      <c r="J14050">
        <f>IF($H14050=0,1,IF($I14050&lt;=1,2,0))</f>
        <v>2</v>
      </c>
      <c r="K14050">
        <v>9</v>
      </c>
      <c r="L14050">
        <f>IF(AND($J14050=0,$K14050=0),0,1)</f>
        <v>1</v>
      </c>
    </row>
    <row r="14051" spans="1:12" x14ac:dyDescent="0.2">
      <c r="A14051" t="s">
        <v>44</v>
      </c>
      <c r="B14051" t="s">
        <v>6</v>
      </c>
      <c r="C14051" t="s">
        <v>2</v>
      </c>
      <c r="D14051">
        <v>3999</v>
      </c>
      <c r="E14051">
        <v>2021</v>
      </c>
      <c r="F14051">
        <v>1</v>
      </c>
      <c r="G14051">
        <v>874</v>
      </c>
      <c r="H14051" s="1">
        <v>4</v>
      </c>
      <c r="I14051">
        <v>1</v>
      </c>
      <c r="J14051">
        <f>IF($H14051=0,1,IF($I14051&lt;=1,2,0))</f>
        <v>2</v>
      </c>
      <c r="K14051">
        <v>7</v>
      </c>
      <c r="L14051">
        <f>IF(AND($J14051=0,$K14051=0),0,1)</f>
        <v>1</v>
      </c>
    </row>
    <row r="14052" spans="1:12" x14ac:dyDescent="0.2">
      <c r="A14052" t="s">
        <v>50</v>
      </c>
      <c r="B14052" t="s">
        <v>6</v>
      </c>
      <c r="C14052" t="s">
        <v>21</v>
      </c>
      <c r="D14052">
        <v>3996</v>
      </c>
      <c r="E14052">
        <v>2021</v>
      </c>
      <c r="F14052" t="s">
        <v>1349</v>
      </c>
      <c r="G14052">
        <v>18937</v>
      </c>
      <c r="H14052" s="1">
        <v>0</v>
      </c>
      <c r="I14052">
        <v>3</v>
      </c>
      <c r="J14052">
        <f>IF($H14052=0,1,IF($I14052&lt;=1,2,0))</f>
        <v>1</v>
      </c>
      <c r="K14052">
        <v>0</v>
      </c>
      <c r="L14052">
        <f>IF(AND($J14052=0,$K14052=0),0,1)</f>
        <v>1</v>
      </c>
    </row>
    <row r="14053" spans="1:12" x14ac:dyDescent="0.2">
      <c r="A14053" t="s">
        <v>50</v>
      </c>
      <c r="B14053" t="s">
        <v>6</v>
      </c>
      <c r="C14053" t="s">
        <v>21</v>
      </c>
      <c r="D14053">
        <v>3997</v>
      </c>
      <c r="E14053">
        <v>2021</v>
      </c>
      <c r="F14053">
        <v>1</v>
      </c>
      <c r="G14053">
        <v>10658</v>
      </c>
      <c r="H14053" s="1">
        <v>3</v>
      </c>
      <c r="I14053">
        <v>0</v>
      </c>
      <c r="J14053">
        <f>IF($H14053=0,1,IF($I14053&lt;=1,2,0))</f>
        <v>2</v>
      </c>
      <c r="K14053">
        <v>9</v>
      </c>
      <c r="L14053">
        <f>IF(AND($J14053=0,$K14053=0),0,1)</f>
        <v>1</v>
      </c>
    </row>
    <row r="14054" spans="1:12" x14ac:dyDescent="0.2">
      <c r="A14054" t="s">
        <v>50</v>
      </c>
      <c r="B14054" t="s">
        <v>6</v>
      </c>
      <c r="C14054" t="s">
        <v>21</v>
      </c>
      <c r="D14054">
        <v>3997</v>
      </c>
      <c r="E14054">
        <v>2021</v>
      </c>
      <c r="F14054">
        <v>2</v>
      </c>
      <c r="G14054">
        <v>10659</v>
      </c>
      <c r="H14054" s="1">
        <v>3</v>
      </c>
      <c r="I14054">
        <v>0</v>
      </c>
      <c r="J14054">
        <f>IF($H14054=0,1,IF($I14054&lt;=1,2,0))</f>
        <v>2</v>
      </c>
      <c r="K14054">
        <v>9</v>
      </c>
      <c r="L14054">
        <f>IF(AND($J14054=0,$K14054=0),0,1)</f>
        <v>1</v>
      </c>
    </row>
    <row r="14055" spans="1:12" x14ac:dyDescent="0.2">
      <c r="A14055" t="s">
        <v>50</v>
      </c>
      <c r="B14055" t="s">
        <v>6</v>
      </c>
      <c r="C14055" t="s">
        <v>21</v>
      </c>
      <c r="D14055">
        <v>3997</v>
      </c>
      <c r="E14055">
        <v>2021</v>
      </c>
      <c r="F14055">
        <v>3</v>
      </c>
      <c r="G14055">
        <v>10660</v>
      </c>
      <c r="H14055" s="1">
        <v>3</v>
      </c>
      <c r="I14055">
        <v>0</v>
      </c>
      <c r="J14055">
        <f>IF($H14055=0,1,IF($I14055&lt;=1,2,0))</f>
        <v>2</v>
      </c>
      <c r="K14055">
        <v>9</v>
      </c>
      <c r="L14055">
        <f>IF(AND($J14055=0,$K14055=0),0,1)</f>
        <v>1</v>
      </c>
    </row>
    <row r="14056" spans="1:12" x14ac:dyDescent="0.2">
      <c r="A14056" t="s">
        <v>50</v>
      </c>
      <c r="B14056" t="s">
        <v>6</v>
      </c>
      <c r="C14056" t="s">
        <v>21</v>
      </c>
      <c r="D14056">
        <v>3997</v>
      </c>
      <c r="E14056">
        <v>2021</v>
      </c>
      <c r="F14056">
        <v>4</v>
      </c>
      <c r="G14056">
        <v>10661</v>
      </c>
      <c r="H14056" s="1">
        <v>3</v>
      </c>
      <c r="I14056">
        <v>0</v>
      </c>
      <c r="J14056">
        <f>IF($H14056=0,1,IF($I14056&lt;=1,2,0))</f>
        <v>2</v>
      </c>
      <c r="K14056">
        <v>9</v>
      </c>
      <c r="L14056">
        <f>IF(AND($J14056=0,$K14056=0),0,1)</f>
        <v>1</v>
      </c>
    </row>
    <row r="14057" spans="1:12" x14ac:dyDescent="0.2">
      <c r="A14057" t="s">
        <v>50</v>
      </c>
      <c r="B14057" t="s">
        <v>6</v>
      </c>
      <c r="C14057" t="s">
        <v>21</v>
      </c>
      <c r="D14057">
        <v>3997</v>
      </c>
      <c r="E14057">
        <v>2021</v>
      </c>
      <c r="F14057">
        <v>5</v>
      </c>
      <c r="G14057">
        <v>10662</v>
      </c>
      <c r="H14057" s="1">
        <v>3</v>
      </c>
      <c r="I14057">
        <v>0</v>
      </c>
      <c r="J14057">
        <f>IF($H14057=0,1,IF($I14057&lt;=1,2,0))</f>
        <v>2</v>
      </c>
      <c r="K14057">
        <v>9</v>
      </c>
      <c r="L14057">
        <f>IF(AND($J14057=0,$K14057=0),0,1)</f>
        <v>1</v>
      </c>
    </row>
    <row r="14058" spans="1:12" x14ac:dyDescent="0.2">
      <c r="A14058" t="s">
        <v>50</v>
      </c>
      <c r="B14058" t="s">
        <v>6</v>
      </c>
      <c r="C14058" t="s">
        <v>21</v>
      </c>
      <c r="D14058">
        <v>3997</v>
      </c>
      <c r="E14058">
        <v>2021</v>
      </c>
      <c r="F14058">
        <v>6</v>
      </c>
      <c r="G14058">
        <v>10663</v>
      </c>
      <c r="H14058" s="1">
        <v>3</v>
      </c>
      <c r="I14058">
        <v>0</v>
      </c>
      <c r="J14058">
        <f>IF($H14058=0,1,IF($I14058&lt;=1,2,0))</f>
        <v>2</v>
      </c>
      <c r="K14058">
        <v>9</v>
      </c>
      <c r="L14058">
        <f>IF(AND($J14058=0,$K14058=0),0,1)</f>
        <v>1</v>
      </c>
    </row>
    <row r="14059" spans="1:12" x14ac:dyDescent="0.2">
      <c r="A14059" t="s">
        <v>50</v>
      </c>
      <c r="B14059" t="s">
        <v>6</v>
      </c>
      <c r="C14059" t="s">
        <v>21</v>
      </c>
      <c r="D14059">
        <v>3997</v>
      </c>
      <c r="E14059">
        <v>2021</v>
      </c>
      <c r="F14059">
        <v>7</v>
      </c>
      <c r="G14059">
        <v>10664</v>
      </c>
      <c r="H14059" s="1">
        <v>3</v>
      </c>
      <c r="I14059">
        <v>0</v>
      </c>
      <c r="J14059">
        <f>IF($H14059=0,1,IF($I14059&lt;=1,2,0))</f>
        <v>2</v>
      </c>
      <c r="K14059">
        <v>9</v>
      </c>
      <c r="L14059">
        <f>IF(AND($J14059=0,$K14059=0),0,1)</f>
        <v>1</v>
      </c>
    </row>
    <row r="14060" spans="1:12" x14ac:dyDescent="0.2">
      <c r="A14060" t="s">
        <v>50</v>
      </c>
      <c r="B14060" t="s">
        <v>6</v>
      </c>
      <c r="C14060" t="s">
        <v>21</v>
      </c>
      <c r="D14060">
        <v>3997</v>
      </c>
      <c r="E14060">
        <v>2021</v>
      </c>
      <c r="F14060">
        <v>8</v>
      </c>
      <c r="G14060">
        <v>10665</v>
      </c>
      <c r="H14060" s="1">
        <v>3</v>
      </c>
      <c r="I14060">
        <v>0</v>
      </c>
      <c r="J14060">
        <f>IF($H14060=0,1,IF($I14060&lt;=1,2,0))</f>
        <v>2</v>
      </c>
      <c r="K14060">
        <v>9</v>
      </c>
      <c r="L14060">
        <f>IF(AND($J14060=0,$K14060=0),0,1)</f>
        <v>1</v>
      </c>
    </row>
    <row r="14061" spans="1:12" x14ac:dyDescent="0.2">
      <c r="A14061" t="s">
        <v>50</v>
      </c>
      <c r="B14061" t="s">
        <v>6</v>
      </c>
      <c r="C14061" t="s">
        <v>21</v>
      </c>
      <c r="D14061">
        <v>3997</v>
      </c>
      <c r="E14061">
        <v>2021</v>
      </c>
      <c r="F14061">
        <v>9</v>
      </c>
      <c r="G14061">
        <v>10666</v>
      </c>
      <c r="H14061" s="1">
        <v>3</v>
      </c>
      <c r="I14061">
        <v>0</v>
      </c>
      <c r="J14061">
        <f>IF($H14061=0,1,IF($I14061&lt;=1,2,0))</f>
        <v>2</v>
      </c>
      <c r="K14061">
        <v>9</v>
      </c>
      <c r="L14061">
        <f>IF(AND($J14061=0,$K14061=0),0,1)</f>
        <v>1</v>
      </c>
    </row>
    <row r="14062" spans="1:12" x14ac:dyDescent="0.2">
      <c r="A14062" t="s">
        <v>50</v>
      </c>
      <c r="B14062" t="s">
        <v>6</v>
      </c>
      <c r="C14062" t="s">
        <v>21</v>
      </c>
      <c r="D14062">
        <v>3997</v>
      </c>
      <c r="E14062">
        <v>2021</v>
      </c>
      <c r="F14062">
        <v>10</v>
      </c>
      <c r="G14062">
        <v>10667</v>
      </c>
      <c r="H14062" s="1">
        <v>3</v>
      </c>
      <c r="I14062">
        <v>0</v>
      </c>
      <c r="J14062">
        <f>IF($H14062=0,1,IF($I14062&lt;=1,2,0))</f>
        <v>2</v>
      </c>
      <c r="K14062">
        <v>9</v>
      </c>
      <c r="L14062">
        <f>IF(AND($J14062=0,$K14062=0),0,1)</f>
        <v>1</v>
      </c>
    </row>
    <row r="14063" spans="1:12" x14ac:dyDescent="0.2">
      <c r="A14063" t="s">
        <v>50</v>
      </c>
      <c r="B14063" t="s">
        <v>6</v>
      </c>
      <c r="C14063" t="s">
        <v>21</v>
      </c>
      <c r="D14063">
        <v>3998</v>
      </c>
      <c r="E14063">
        <v>2021</v>
      </c>
      <c r="F14063">
        <v>1</v>
      </c>
      <c r="G14063">
        <v>10668</v>
      </c>
      <c r="H14063" s="1">
        <v>3</v>
      </c>
      <c r="I14063">
        <v>0</v>
      </c>
      <c r="J14063">
        <f>IF($H14063=0,1,IF($I14063&lt;=1,2,0))</f>
        <v>2</v>
      </c>
      <c r="K14063">
        <v>9</v>
      </c>
      <c r="L14063">
        <f>IF(AND($J14063=0,$K14063=0),0,1)</f>
        <v>1</v>
      </c>
    </row>
    <row r="14064" spans="1:12" x14ac:dyDescent="0.2">
      <c r="A14064" t="s">
        <v>50</v>
      </c>
      <c r="B14064" t="s">
        <v>6</v>
      </c>
      <c r="C14064" t="s">
        <v>21</v>
      </c>
      <c r="D14064">
        <v>3998</v>
      </c>
      <c r="E14064">
        <v>2021</v>
      </c>
      <c r="F14064">
        <v>2</v>
      </c>
      <c r="G14064">
        <v>10669</v>
      </c>
      <c r="H14064" s="1">
        <v>3</v>
      </c>
      <c r="I14064">
        <v>0</v>
      </c>
      <c r="J14064">
        <f>IF($H14064=0,1,IF($I14064&lt;=1,2,0))</f>
        <v>2</v>
      </c>
      <c r="K14064">
        <v>9</v>
      </c>
      <c r="L14064">
        <f>IF(AND($J14064=0,$K14064=0),0,1)</f>
        <v>1</v>
      </c>
    </row>
    <row r="14065" spans="1:13" x14ac:dyDescent="0.2">
      <c r="A14065" t="s">
        <v>50</v>
      </c>
      <c r="B14065" t="s">
        <v>6</v>
      </c>
      <c r="C14065" t="s">
        <v>21</v>
      </c>
      <c r="D14065">
        <v>3998</v>
      </c>
      <c r="E14065">
        <v>2021</v>
      </c>
      <c r="F14065">
        <v>3</v>
      </c>
      <c r="G14065">
        <v>10670</v>
      </c>
      <c r="H14065" s="1">
        <v>3</v>
      </c>
      <c r="I14065">
        <v>0</v>
      </c>
      <c r="J14065">
        <f>IF($H14065=0,1,IF($I14065&lt;=1,2,0))</f>
        <v>2</v>
      </c>
      <c r="K14065">
        <v>9</v>
      </c>
      <c r="L14065">
        <f>IF(AND($J14065=0,$K14065=0),0,1)</f>
        <v>1</v>
      </c>
    </row>
    <row r="14066" spans="1:13" x14ac:dyDescent="0.2">
      <c r="A14066" t="s">
        <v>50</v>
      </c>
      <c r="B14066" t="s">
        <v>6</v>
      </c>
      <c r="C14066" t="s">
        <v>21</v>
      </c>
      <c r="D14066">
        <v>3998</v>
      </c>
      <c r="E14066">
        <v>2021</v>
      </c>
      <c r="F14066">
        <v>4</v>
      </c>
      <c r="G14066">
        <v>10671</v>
      </c>
      <c r="H14066" s="1">
        <v>3</v>
      </c>
      <c r="I14066">
        <v>0</v>
      </c>
      <c r="J14066">
        <f>IF($H14066=0,1,IF($I14066&lt;=1,2,0))</f>
        <v>2</v>
      </c>
      <c r="K14066">
        <v>9</v>
      </c>
      <c r="L14066">
        <f>IF(AND($J14066=0,$K14066=0),0,1)</f>
        <v>1</v>
      </c>
    </row>
    <row r="14067" spans="1:13" x14ac:dyDescent="0.2">
      <c r="A14067" t="s">
        <v>50</v>
      </c>
      <c r="B14067" t="s">
        <v>6</v>
      </c>
      <c r="C14067" t="s">
        <v>21</v>
      </c>
      <c r="D14067">
        <v>3998</v>
      </c>
      <c r="E14067">
        <v>2021</v>
      </c>
      <c r="F14067">
        <v>5</v>
      </c>
      <c r="G14067">
        <v>10672</v>
      </c>
      <c r="H14067" s="1">
        <v>3</v>
      </c>
      <c r="I14067">
        <v>0</v>
      </c>
      <c r="J14067">
        <f>IF($H14067=0,1,IF($I14067&lt;=1,2,0))</f>
        <v>2</v>
      </c>
      <c r="K14067">
        <v>9</v>
      </c>
      <c r="L14067">
        <f>IF(AND($J14067=0,$K14067=0),0,1)</f>
        <v>1</v>
      </c>
    </row>
    <row r="14068" spans="1:13" x14ac:dyDescent="0.2">
      <c r="A14068" t="s">
        <v>50</v>
      </c>
      <c r="B14068" t="s">
        <v>6</v>
      </c>
      <c r="C14068" t="s">
        <v>21</v>
      </c>
      <c r="D14068">
        <v>3998</v>
      </c>
      <c r="E14068">
        <v>2021</v>
      </c>
      <c r="F14068">
        <v>7</v>
      </c>
      <c r="G14068">
        <v>10673</v>
      </c>
      <c r="H14068" s="1">
        <v>3</v>
      </c>
      <c r="I14068">
        <v>0</v>
      </c>
      <c r="J14068">
        <f>IF($H14068=0,1,IF($I14068&lt;=1,2,0))</f>
        <v>2</v>
      </c>
      <c r="K14068">
        <v>9</v>
      </c>
      <c r="L14068">
        <f>IF(AND($J14068=0,$K14068=0),0,1)</f>
        <v>1</v>
      </c>
    </row>
    <row r="14069" spans="1:13" x14ac:dyDescent="0.2">
      <c r="A14069" t="s">
        <v>50</v>
      </c>
      <c r="B14069" t="s">
        <v>6</v>
      </c>
      <c r="C14069" t="s">
        <v>21</v>
      </c>
      <c r="D14069">
        <v>3998</v>
      </c>
      <c r="E14069">
        <v>2021</v>
      </c>
      <c r="F14069">
        <v>8</v>
      </c>
      <c r="G14069">
        <v>10674</v>
      </c>
      <c r="H14069" s="1">
        <v>3</v>
      </c>
      <c r="I14069">
        <v>0</v>
      </c>
      <c r="J14069">
        <f>IF($H14069=0,1,IF($I14069&lt;=1,2,0))</f>
        <v>2</v>
      </c>
      <c r="K14069">
        <v>9</v>
      </c>
      <c r="L14069">
        <f>IF(AND($J14069=0,$K14069=0),0,1)</f>
        <v>1</v>
      </c>
    </row>
    <row r="14070" spans="1:13" x14ac:dyDescent="0.2">
      <c r="A14070" t="s">
        <v>50</v>
      </c>
      <c r="B14070" t="s">
        <v>6</v>
      </c>
      <c r="C14070" t="s">
        <v>21</v>
      </c>
      <c r="D14070">
        <v>3998</v>
      </c>
      <c r="E14070">
        <v>2021</v>
      </c>
      <c r="F14070">
        <v>9</v>
      </c>
      <c r="G14070">
        <v>10675</v>
      </c>
      <c r="H14070" s="1">
        <v>3</v>
      </c>
      <c r="I14070">
        <v>0</v>
      </c>
      <c r="J14070">
        <f>IF($H14070=0,1,IF($I14070&lt;=1,2,0))</f>
        <v>2</v>
      </c>
      <c r="K14070">
        <v>9</v>
      </c>
      <c r="L14070">
        <f>IF(AND($J14070=0,$K14070=0),0,1)</f>
        <v>1</v>
      </c>
    </row>
    <row r="14071" spans="1:13" x14ac:dyDescent="0.2">
      <c r="A14071" t="s">
        <v>50</v>
      </c>
      <c r="B14071" t="s">
        <v>6</v>
      </c>
      <c r="C14071" t="s">
        <v>21</v>
      </c>
      <c r="D14071">
        <v>3998</v>
      </c>
      <c r="E14071">
        <v>2021</v>
      </c>
      <c r="F14071">
        <v>11</v>
      </c>
      <c r="G14071">
        <v>10676</v>
      </c>
      <c r="H14071" s="1">
        <v>3</v>
      </c>
      <c r="I14071">
        <v>0</v>
      </c>
      <c r="J14071">
        <f>IF($H14071=0,1,IF($I14071&lt;=1,2,0))</f>
        <v>2</v>
      </c>
      <c r="K14071">
        <v>9</v>
      </c>
      <c r="L14071">
        <f>IF(AND($J14071=0,$K14071=0),0,1)</f>
        <v>1</v>
      </c>
    </row>
    <row r="14072" spans="1:13" x14ac:dyDescent="0.2">
      <c r="A14072" t="s">
        <v>50</v>
      </c>
      <c r="B14072" t="s">
        <v>6</v>
      </c>
      <c r="C14072" t="s">
        <v>21</v>
      </c>
      <c r="D14072">
        <v>3998</v>
      </c>
      <c r="E14072">
        <v>2021</v>
      </c>
      <c r="F14072">
        <v>16</v>
      </c>
      <c r="G14072">
        <v>10677</v>
      </c>
      <c r="H14072" s="1">
        <v>3</v>
      </c>
      <c r="I14072">
        <v>0</v>
      </c>
      <c r="J14072">
        <f>IF($H14072=0,1,IF($I14072&lt;=1,2,0))</f>
        <v>2</v>
      </c>
      <c r="K14072">
        <v>9</v>
      </c>
      <c r="L14072">
        <f>IF(AND($J14072=0,$K14072=0),0,1)</f>
        <v>1</v>
      </c>
    </row>
    <row r="14073" spans="1:13" x14ac:dyDescent="0.2">
      <c r="A14073" t="s">
        <v>54</v>
      </c>
      <c r="B14073" t="s">
        <v>6</v>
      </c>
      <c r="C14073" t="s">
        <v>21</v>
      </c>
      <c r="D14073">
        <v>1012</v>
      </c>
      <c r="E14073">
        <v>2021</v>
      </c>
      <c r="F14073">
        <v>2</v>
      </c>
      <c r="G14073">
        <v>20524</v>
      </c>
      <c r="H14073" s="1">
        <v>0</v>
      </c>
      <c r="I14073">
        <v>20</v>
      </c>
      <c r="J14073">
        <f>IF($H14073=0,1,IF($I14073&lt;=1,2,0))</f>
        <v>1</v>
      </c>
      <c r="K14073">
        <v>0</v>
      </c>
      <c r="L14073">
        <f>IF(AND($J14073=0,$K14073=0),0,1)</f>
        <v>1</v>
      </c>
    </row>
    <row r="14074" spans="1:13" x14ac:dyDescent="0.2">
      <c r="A14074" t="s">
        <v>54</v>
      </c>
      <c r="B14074" t="s">
        <v>6</v>
      </c>
      <c r="C14074" t="s">
        <v>21</v>
      </c>
      <c r="D14074">
        <v>1012</v>
      </c>
      <c r="E14074">
        <v>2021</v>
      </c>
      <c r="F14074">
        <v>1</v>
      </c>
      <c r="G14074">
        <v>20311</v>
      </c>
      <c r="H14074" s="1">
        <v>0</v>
      </c>
      <c r="I14074">
        <v>13</v>
      </c>
      <c r="J14074">
        <f>IF($H14074=0,1,IF($I14074&lt;=1,2,0))</f>
        <v>1</v>
      </c>
      <c r="K14074">
        <v>0</v>
      </c>
      <c r="L14074">
        <f>IF(AND($J14074=0,$K14074=0),0,1)</f>
        <v>1</v>
      </c>
    </row>
    <row r="14075" spans="1:13" x14ac:dyDescent="0.2">
      <c r="A14075" t="s">
        <v>54</v>
      </c>
      <c r="B14075" t="s">
        <v>6</v>
      </c>
      <c r="C14075" t="s">
        <v>21</v>
      </c>
      <c r="D14075">
        <v>1012</v>
      </c>
      <c r="E14075">
        <v>2021</v>
      </c>
      <c r="F14075">
        <v>3</v>
      </c>
      <c r="G14075">
        <v>20664</v>
      </c>
      <c r="H14075" s="1">
        <v>0</v>
      </c>
      <c r="I14075">
        <v>0</v>
      </c>
      <c r="J14075">
        <f>IF($H14075=0,1,IF($I14075&lt;=1,2,0))</f>
        <v>1</v>
      </c>
      <c r="K14075">
        <v>0</v>
      </c>
      <c r="L14075">
        <f>IF(AND($J14075=0,$K14075=0),0,1)</f>
        <v>1</v>
      </c>
    </row>
    <row r="14076" spans="1:13" x14ac:dyDescent="0.2">
      <c r="A14076" t="s">
        <v>54</v>
      </c>
      <c r="B14076" t="s">
        <v>6</v>
      </c>
      <c r="C14076" t="s">
        <v>21</v>
      </c>
      <c r="D14076">
        <v>1017</v>
      </c>
      <c r="E14076">
        <v>2021</v>
      </c>
      <c r="F14076">
        <v>8</v>
      </c>
      <c r="G14076">
        <v>869</v>
      </c>
      <c r="H14076" s="1">
        <v>0</v>
      </c>
      <c r="I14076">
        <v>16</v>
      </c>
      <c r="J14076">
        <f>IF($H14076=0,1,IF($I14076&lt;=1,2,0))</f>
        <v>1</v>
      </c>
      <c r="K14076">
        <v>0</v>
      </c>
      <c r="L14076">
        <f>IF(AND($J14076=0,$K14076=0),0,1)</f>
        <v>1</v>
      </c>
    </row>
    <row r="14077" spans="1:13" x14ac:dyDescent="0.2">
      <c r="A14077" t="s">
        <v>54</v>
      </c>
      <c r="B14077" t="s">
        <v>6</v>
      </c>
      <c r="C14077" t="s">
        <v>21</v>
      </c>
      <c r="D14077">
        <v>1017</v>
      </c>
      <c r="E14077">
        <v>2021</v>
      </c>
      <c r="F14077">
        <v>1</v>
      </c>
      <c r="G14077">
        <v>836</v>
      </c>
      <c r="H14077" s="1">
        <v>0</v>
      </c>
      <c r="I14077">
        <v>15</v>
      </c>
      <c r="J14077">
        <f>IF($H14077=0,1,IF($I14077&lt;=1,2,0))</f>
        <v>1</v>
      </c>
      <c r="K14077">
        <v>0</v>
      </c>
      <c r="L14077">
        <f>IF(AND($J14077=0,$K14077=0),0,1)</f>
        <v>1</v>
      </c>
      <c r="M14077" t="s">
        <v>1352</v>
      </c>
    </row>
    <row r="14078" spans="1:13" x14ac:dyDescent="0.2">
      <c r="A14078" t="s">
        <v>54</v>
      </c>
      <c r="B14078" t="s">
        <v>6</v>
      </c>
      <c r="C14078" t="s">
        <v>21</v>
      </c>
      <c r="D14078">
        <v>1017</v>
      </c>
      <c r="E14078">
        <v>2021</v>
      </c>
      <c r="F14078">
        <v>3</v>
      </c>
      <c r="G14078">
        <v>838</v>
      </c>
      <c r="H14078" s="1">
        <v>0</v>
      </c>
      <c r="I14078">
        <v>15</v>
      </c>
      <c r="J14078">
        <f>IF($H14078=0,1,IF($I14078&lt;=1,2,0))</f>
        <v>1</v>
      </c>
      <c r="K14078">
        <v>0</v>
      </c>
      <c r="L14078">
        <f>IF(AND($J14078=0,$K14078=0),0,1)</f>
        <v>1</v>
      </c>
    </row>
    <row r="14079" spans="1:13" x14ac:dyDescent="0.2">
      <c r="A14079" t="s">
        <v>54</v>
      </c>
      <c r="B14079" t="s">
        <v>6</v>
      </c>
      <c r="C14079" t="s">
        <v>21</v>
      </c>
      <c r="D14079">
        <v>1017</v>
      </c>
      <c r="E14079">
        <v>2021</v>
      </c>
      <c r="F14079">
        <v>4</v>
      </c>
      <c r="G14079">
        <v>839</v>
      </c>
      <c r="H14079" s="1">
        <v>0</v>
      </c>
      <c r="I14079">
        <v>15</v>
      </c>
      <c r="J14079">
        <f>IF($H14079=0,1,IF($I14079&lt;=1,2,0))</f>
        <v>1</v>
      </c>
      <c r="K14079">
        <v>0</v>
      </c>
      <c r="L14079">
        <f>IF(AND($J14079=0,$K14079=0),0,1)</f>
        <v>1</v>
      </c>
      <c r="M14079" t="s">
        <v>1352</v>
      </c>
    </row>
    <row r="14080" spans="1:13" x14ac:dyDescent="0.2">
      <c r="A14080" t="s">
        <v>54</v>
      </c>
      <c r="B14080" t="s">
        <v>6</v>
      </c>
      <c r="C14080" t="s">
        <v>21</v>
      </c>
      <c r="D14080">
        <v>1017</v>
      </c>
      <c r="E14080">
        <v>2021</v>
      </c>
      <c r="F14080">
        <v>2</v>
      </c>
      <c r="G14080">
        <v>837</v>
      </c>
      <c r="H14080" s="1">
        <v>0</v>
      </c>
      <c r="I14080">
        <v>14</v>
      </c>
      <c r="J14080">
        <f>IF($H14080=0,1,IF($I14080&lt;=1,2,0))</f>
        <v>1</v>
      </c>
      <c r="K14080">
        <v>0</v>
      </c>
      <c r="L14080">
        <f>IF(AND($J14080=0,$K14080=0),0,1)</f>
        <v>1</v>
      </c>
      <c r="M14080" t="s">
        <v>1352</v>
      </c>
    </row>
    <row r="14081" spans="1:13" x14ac:dyDescent="0.2">
      <c r="A14081" t="s">
        <v>54</v>
      </c>
      <c r="B14081" t="s">
        <v>6</v>
      </c>
      <c r="C14081" t="s">
        <v>21</v>
      </c>
      <c r="D14081">
        <v>1017</v>
      </c>
      <c r="E14081">
        <v>2021</v>
      </c>
      <c r="F14081">
        <v>6</v>
      </c>
      <c r="G14081">
        <v>867</v>
      </c>
      <c r="H14081" s="1">
        <v>0</v>
      </c>
      <c r="I14081">
        <v>14</v>
      </c>
      <c r="J14081">
        <f>IF($H14081=0,1,IF($I14081&lt;=1,2,0))</f>
        <v>1</v>
      </c>
      <c r="K14081">
        <v>0</v>
      </c>
      <c r="L14081">
        <f>IF(AND($J14081=0,$K14081=0),0,1)</f>
        <v>1</v>
      </c>
      <c r="M14081" t="s">
        <v>1353</v>
      </c>
    </row>
    <row r="14082" spans="1:13" x14ac:dyDescent="0.2">
      <c r="A14082" t="s">
        <v>54</v>
      </c>
      <c r="B14082" t="s">
        <v>6</v>
      </c>
      <c r="C14082" t="s">
        <v>21</v>
      </c>
      <c r="D14082">
        <v>1017</v>
      </c>
      <c r="E14082">
        <v>2021</v>
      </c>
      <c r="F14082">
        <v>9</v>
      </c>
      <c r="G14082">
        <v>870</v>
      </c>
      <c r="H14082" s="1">
        <v>0</v>
      </c>
      <c r="I14082">
        <v>14</v>
      </c>
      <c r="J14082">
        <f>IF($H14082=0,1,IF($I14082&lt;=1,2,0))</f>
        <v>1</v>
      </c>
      <c r="K14082">
        <v>0</v>
      </c>
      <c r="L14082">
        <f>IF(AND($J14082=0,$K14082=0),0,1)</f>
        <v>1</v>
      </c>
      <c r="M14082" t="s">
        <v>1354</v>
      </c>
    </row>
    <row r="14083" spans="1:13" x14ac:dyDescent="0.2">
      <c r="A14083" t="s">
        <v>54</v>
      </c>
      <c r="B14083" t="s">
        <v>6</v>
      </c>
      <c r="C14083" t="s">
        <v>21</v>
      </c>
      <c r="D14083">
        <v>1017</v>
      </c>
      <c r="E14083">
        <v>2021</v>
      </c>
      <c r="F14083">
        <v>10</v>
      </c>
      <c r="G14083">
        <v>871</v>
      </c>
      <c r="H14083" s="1">
        <v>0</v>
      </c>
      <c r="I14083">
        <v>14</v>
      </c>
      <c r="J14083">
        <f>IF($H14083=0,1,IF($I14083&lt;=1,2,0))</f>
        <v>1</v>
      </c>
      <c r="K14083">
        <v>0</v>
      </c>
      <c r="L14083">
        <f>IF(AND($J14083=0,$K14083=0),0,1)</f>
        <v>1</v>
      </c>
      <c r="M14083" t="s">
        <v>1355</v>
      </c>
    </row>
    <row r="14084" spans="1:13" x14ac:dyDescent="0.2">
      <c r="A14084" t="s">
        <v>54</v>
      </c>
      <c r="B14084" t="s">
        <v>6</v>
      </c>
      <c r="C14084" t="s">
        <v>21</v>
      </c>
      <c r="D14084">
        <v>1017</v>
      </c>
      <c r="E14084">
        <v>2021</v>
      </c>
      <c r="F14084">
        <v>5</v>
      </c>
      <c r="G14084">
        <v>840</v>
      </c>
      <c r="H14084" s="1">
        <v>0</v>
      </c>
      <c r="I14084">
        <v>9</v>
      </c>
      <c r="J14084">
        <f>IF($H14084=0,1,IF($I14084&lt;=1,2,0))</f>
        <v>1</v>
      </c>
      <c r="K14084">
        <v>0</v>
      </c>
      <c r="L14084">
        <f>IF(AND($J14084=0,$K14084=0),0,1)</f>
        <v>1</v>
      </c>
      <c r="M14084" t="s">
        <v>1352</v>
      </c>
    </row>
    <row r="14085" spans="1:13" x14ac:dyDescent="0.2">
      <c r="A14085" t="s">
        <v>54</v>
      </c>
      <c r="B14085" t="s">
        <v>6</v>
      </c>
      <c r="C14085" t="s">
        <v>21</v>
      </c>
      <c r="D14085">
        <v>1017</v>
      </c>
      <c r="E14085">
        <v>2021</v>
      </c>
      <c r="F14085">
        <v>7</v>
      </c>
      <c r="G14085">
        <v>868</v>
      </c>
      <c r="H14085" s="1">
        <v>0</v>
      </c>
      <c r="I14085">
        <v>8</v>
      </c>
      <c r="J14085">
        <f>IF($H14085=0,1,IF($I14085&lt;=1,2,0))</f>
        <v>1</v>
      </c>
      <c r="K14085">
        <v>0</v>
      </c>
      <c r="L14085">
        <f>IF(AND($J14085=0,$K14085=0),0,1)</f>
        <v>1</v>
      </c>
      <c r="M14085" t="s">
        <v>1354</v>
      </c>
    </row>
    <row r="14086" spans="1:13" x14ac:dyDescent="0.2">
      <c r="A14086" t="s">
        <v>54</v>
      </c>
      <c r="B14086" t="s">
        <v>6</v>
      </c>
      <c r="C14086" t="s">
        <v>21</v>
      </c>
      <c r="D14086">
        <v>1108</v>
      </c>
      <c r="E14086">
        <v>2021</v>
      </c>
      <c r="F14086">
        <v>4</v>
      </c>
      <c r="G14086">
        <v>20194</v>
      </c>
      <c r="H14086" s="1">
        <v>0</v>
      </c>
      <c r="I14086">
        <v>16</v>
      </c>
      <c r="J14086">
        <f>IF($H14086=0,1,IF($I14086&lt;=1,2,0))</f>
        <v>1</v>
      </c>
      <c r="K14086">
        <v>0</v>
      </c>
      <c r="L14086">
        <f>IF(AND($J14086=0,$K14086=0),0,1)</f>
        <v>1</v>
      </c>
    </row>
    <row r="14087" spans="1:13" x14ac:dyDescent="0.2">
      <c r="A14087" t="s">
        <v>54</v>
      </c>
      <c r="B14087" t="s">
        <v>6</v>
      </c>
      <c r="C14087" t="s">
        <v>21</v>
      </c>
      <c r="D14087">
        <v>1108</v>
      </c>
      <c r="E14087">
        <v>2021</v>
      </c>
      <c r="F14087">
        <v>1</v>
      </c>
      <c r="G14087">
        <v>20191</v>
      </c>
      <c r="H14087" s="1">
        <v>0</v>
      </c>
      <c r="I14087">
        <v>14</v>
      </c>
      <c r="J14087">
        <f>IF($H14087=0,1,IF($I14087&lt;=1,2,0))</f>
        <v>1</v>
      </c>
      <c r="K14087">
        <v>0</v>
      </c>
      <c r="L14087">
        <f>IF(AND($J14087=0,$K14087=0),0,1)</f>
        <v>1</v>
      </c>
    </row>
    <row r="14088" spans="1:13" x14ac:dyDescent="0.2">
      <c r="A14088" t="s">
        <v>54</v>
      </c>
      <c r="B14088" t="s">
        <v>6</v>
      </c>
      <c r="C14088" t="s">
        <v>21</v>
      </c>
      <c r="D14088">
        <v>1108</v>
      </c>
      <c r="E14088">
        <v>2021</v>
      </c>
      <c r="F14088">
        <v>3</v>
      </c>
      <c r="G14088">
        <v>20193</v>
      </c>
      <c r="H14088" s="1">
        <v>0</v>
      </c>
      <c r="I14088">
        <v>14</v>
      </c>
      <c r="J14088">
        <f>IF($H14088=0,1,IF($I14088&lt;=1,2,0))</f>
        <v>1</v>
      </c>
      <c r="K14088">
        <v>0</v>
      </c>
      <c r="L14088">
        <f>IF(AND($J14088=0,$K14088=0),0,1)</f>
        <v>1</v>
      </c>
    </row>
    <row r="14089" spans="1:13" x14ac:dyDescent="0.2">
      <c r="A14089" t="s">
        <v>54</v>
      </c>
      <c r="B14089" t="s">
        <v>6</v>
      </c>
      <c r="C14089" t="s">
        <v>21</v>
      </c>
      <c r="D14089">
        <v>1108</v>
      </c>
      <c r="E14089">
        <v>2021</v>
      </c>
      <c r="F14089">
        <v>6</v>
      </c>
      <c r="G14089">
        <v>20196</v>
      </c>
      <c r="H14089" s="1">
        <v>0</v>
      </c>
      <c r="I14089">
        <v>13</v>
      </c>
      <c r="J14089">
        <f>IF($H14089=0,1,IF($I14089&lt;=1,2,0))</f>
        <v>1</v>
      </c>
      <c r="K14089">
        <v>0</v>
      </c>
      <c r="L14089">
        <f>IF(AND($J14089=0,$K14089=0),0,1)</f>
        <v>1</v>
      </c>
    </row>
    <row r="14090" spans="1:13" x14ac:dyDescent="0.2">
      <c r="A14090" t="s">
        <v>54</v>
      </c>
      <c r="B14090" t="s">
        <v>6</v>
      </c>
      <c r="C14090" t="s">
        <v>21</v>
      </c>
      <c r="D14090">
        <v>1108</v>
      </c>
      <c r="E14090">
        <v>2021</v>
      </c>
      <c r="F14090">
        <v>5</v>
      </c>
      <c r="G14090">
        <v>20195</v>
      </c>
      <c r="H14090" s="1">
        <v>0</v>
      </c>
      <c r="I14090">
        <v>10</v>
      </c>
      <c r="J14090">
        <f>IF($H14090=0,1,IF($I14090&lt;=1,2,0))</f>
        <v>1</v>
      </c>
      <c r="K14090">
        <v>0</v>
      </c>
      <c r="L14090">
        <f>IF(AND($J14090=0,$K14090=0),0,1)</f>
        <v>1</v>
      </c>
    </row>
    <row r="14091" spans="1:13" x14ac:dyDescent="0.2">
      <c r="A14091" t="s">
        <v>54</v>
      </c>
      <c r="B14091" t="s">
        <v>6</v>
      </c>
      <c r="C14091" t="s">
        <v>21</v>
      </c>
      <c r="D14091">
        <v>1108</v>
      </c>
      <c r="E14091">
        <v>2021</v>
      </c>
      <c r="F14091">
        <v>7</v>
      </c>
      <c r="G14091">
        <v>20197</v>
      </c>
      <c r="H14091" s="1">
        <v>0</v>
      </c>
      <c r="I14091">
        <v>10</v>
      </c>
      <c r="J14091">
        <f>IF($H14091=0,1,IF($I14091&lt;=1,2,0))</f>
        <v>1</v>
      </c>
      <c r="K14091">
        <v>0</v>
      </c>
      <c r="L14091">
        <f>IF(AND($J14091=0,$K14091=0),0,1)</f>
        <v>1</v>
      </c>
    </row>
    <row r="14092" spans="1:13" x14ac:dyDescent="0.2">
      <c r="A14092" t="s">
        <v>54</v>
      </c>
      <c r="B14092" t="s">
        <v>6</v>
      </c>
      <c r="C14092" t="s">
        <v>21</v>
      </c>
      <c r="D14092">
        <v>1108</v>
      </c>
      <c r="E14092">
        <v>2021</v>
      </c>
      <c r="F14092">
        <v>8</v>
      </c>
      <c r="G14092">
        <v>20198</v>
      </c>
      <c r="H14092" s="1">
        <v>0</v>
      </c>
      <c r="I14092">
        <v>9</v>
      </c>
      <c r="J14092">
        <f>IF($H14092=0,1,IF($I14092&lt;=1,2,0))</f>
        <v>1</v>
      </c>
      <c r="K14092">
        <v>0</v>
      </c>
      <c r="L14092">
        <f>IF(AND($J14092=0,$K14092=0),0,1)</f>
        <v>1</v>
      </c>
    </row>
    <row r="14093" spans="1:13" x14ac:dyDescent="0.2">
      <c r="A14093" t="s">
        <v>54</v>
      </c>
      <c r="B14093" t="s">
        <v>6</v>
      </c>
      <c r="C14093" t="s">
        <v>21</v>
      </c>
      <c r="D14093">
        <v>1108</v>
      </c>
      <c r="E14093">
        <v>2021</v>
      </c>
      <c r="F14093">
        <v>2</v>
      </c>
      <c r="G14093">
        <v>20192</v>
      </c>
      <c r="H14093" s="1">
        <v>0</v>
      </c>
      <c r="I14093">
        <v>4</v>
      </c>
      <c r="J14093">
        <f>IF($H14093=0,1,IF($I14093&lt;=1,2,0))</f>
        <v>1</v>
      </c>
      <c r="K14093">
        <v>0</v>
      </c>
      <c r="L14093">
        <f>IF(AND($J14093=0,$K14093=0),0,1)</f>
        <v>1</v>
      </c>
    </row>
    <row r="14094" spans="1:13" x14ac:dyDescent="0.2">
      <c r="A14094" t="s">
        <v>54</v>
      </c>
      <c r="B14094" t="s">
        <v>6</v>
      </c>
      <c r="C14094" t="s">
        <v>2</v>
      </c>
      <c r="D14094">
        <v>2427</v>
      </c>
      <c r="E14094">
        <v>2021</v>
      </c>
      <c r="F14094">
        <v>1</v>
      </c>
      <c r="G14094">
        <v>710</v>
      </c>
      <c r="H14094" s="1">
        <v>3</v>
      </c>
      <c r="I14094">
        <v>18</v>
      </c>
      <c r="J14094">
        <f>IF($H14094=0,1,IF($I14094&lt;=1,2,0))</f>
        <v>0</v>
      </c>
      <c r="K14094">
        <v>7</v>
      </c>
      <c r="L14094">
        <f>IF(AND($J14094=0,$K14094=0),0,1)</f>
        <v>1</v>
      </c>
      <c r="M14094" t="s">
        <v>1356</v>
      </c>
    </row>
    <row r="14095" spans="1:13" x14ac:dyDescent="0.2">
      <c r="A14095" t="s">
        <v>54</v>
      </c>
      <c r="B14095" t="s">
        <v>6</v>
      </c>
      <c r="C14095" t="s">
        <v>2</v>
      </c>
      <c r="D14095">
        <v>3871</v>
      </c>
      <c r="E14095">
        <v>2021</v>
      </c>
      <c r="F14095">
        <v>1</v>
      </c>
      <c r="G14095">
        <v>535</v>
      </c>
      <c r="H14095" s="1">
        <v>4</v>
      </c>
      <c r="I14095">
        <v>27</v>
      </c>
      <c r="J14095">
        <f>IF($H14095=0,1,IF($I14095&lt;=1,2,0))</f>
        <v>0</v>
      </c>
      <c r="K14095">
        <v>7</v>
      </c>
      <c r="L14095">
        <f>IF(AND($J14095=0,$K14095=0),0,1)</f>
        <v>1</v>
      </c>
      <c r="M14095" t="s">
        <v>1361</v>
      </c>
    </row>
    <row r="14096" spans="1:13" x14ac:dyDescent="0.2">
      <c r="A14096" t="s">
        <v>54</v>
      </c>
      <c r="B14096" t="s">
        <v>6</v>
      </c>
      <c r="C14096" t="s">
        <v>2</v>
      </c>
      <c r="D14096">
        <v>3932</v>
      </c>
      <c r="E14096">
        <v>2021</v>
      </c>
      <c r="F14096">
        <v>1</v>
      </c>
      <c r="G14096">
        <v>709</v>
      </c>
      <c r="H14096" s="1">
        <v>4</v>
      </c>
      <c r="I14096">
        <v>18</v>
      </c>
      <c r="J14096">
        <f>IF($H14096=0,1,IF($I14096&lt;=1,2,0))</f>
        <v>0</v>
      </c>
      <c r="K14096">
        <v>7</v>
      </c>
      <c r="L14096">
        <f>IF(AND($J14096=0,$K14096=0),0,1)</f>
        <v>1</v>
      </c>
      <c r="M14096" t="s">
        <v>1360</v>
      </c>
    </row>
    <row r="14097" spans="1:13" x14ac:dyDescent="0.2">
      <c r="A14097" t="s">
        <v>54</v>
      </c>
      <c r="B14097" t="s">
        <v>6</v>
      </c>
      <c r="C14097" t="s">
        <v>9</v>
      </c>
      <c r="D14097">
        <v>3997</v>
      </c>
      <c r="E14097">
        <v>2021</v>
      </c>
      <c r="F14097">
        <v>4</v>
      </c>
      <c r="G14097">
        <v>11614</v>
      </c>
      <c r="H14097" s="1" t="s">
        <v>1825</v>
      </c>
      <c r="I14097">
        <v>1</v>
      </c>
      <c r="J14097">
        <f>IF($H14097=0,1,IF($I14097&lt;=1,2,0))</f>
        <v>2</v>
      </c>
      <c r="K14097">
        <v>9</v>
      </c>
      <c r="L14097">
        <f>IF(AND($J14097=0,$K14097=0),0,1)</f>
        <v>1</v>
      </c>
      <c r="M14097" t="s">
        <v>1363</v>
      </c>
    </row>
    <row r="14098" spans="1:13" x14ac:dyDescent="0.2">
      <c r="A14098" t="s">
        <v>54</v>
      </c>
      <c r="B14098" t="s">
        <v>6</v>
      </c>
      <c r="C14098" t="s">
        <v>9</v>
      </c>
      <c r="D14098">
        <v>3997</v>
      </c>
      <c r="E14098">
        <v>2021</v>
      </c>
      <c r="F14098">
        <v>10</v>
      </c>
      <c r="G14098">
        <v>11645</v>
      </c>
      <c r="H14098" s="1" t="s">
        <v>1825</v>
      </c>
      <c r="I14098">
        <v>1</v>
      </c>
      <c r="J14098">
        <f>IF($H14098=0,1,IF($I14098&lt;=1,2,0))</f>
        <v>2</v>
      </c>
      <c r="K14098">
        <v>9</v>
      </c>
      <c r="L14098">
        <f>IF(AND($J14098=0,$K14098=0),0,1)</f>
        <v>1</v>
      </c>
      <c r="M14098" t="s">
        <v>1363</v>
      </c>
    </row>
    <row r="14099" spans="1:13" x14ac:dyDescent="0.2">
      <c r="A14099" t="s">
        <v>54</v>
      </c>
      <c r="B14099" t="s">
        <v>6</v>
      </c>
      <c r="C14099" t="s">
        <v>9</v>
      </c>
      <c r="D14099">
        <v>3997</v>
      </c>
      <c r="E14099">
        <v>2021</v>
      </c>
      <c r="F14099">
        <v>15</v>
      </c>
      <c r="G14099">
        <v>11654</v>
      </c>
      <c r="H14099" s="1" t="s">
        <v>1825</v>
      </c>
      <c r="I14099">
        <v>1</v>
      </c>
      <c r="J14099">
        <f>IF($H14099=0,1,IF($I14099&lt;=1,2,0))</f>
        <v>2</v>
      </c>
      <c r="K14099">
        <v>9</v>
      </c>
      <c r="L14099">
        <f>IF(AND($J14099=0,$K14099=0),0,1)</f>
        <v>1</v>
      </c>
      <c r="M14099" t="s">
        <v>1363</v>
      </c>
    </row>
    <row r="14100" spans="1:13" x14ac:dyDescent="0.2">
      <c r="A14100" t="s">
        <v>54</v>
      </c>
      <c r="B14100" t="s">
        <v>6</v>
      </c>
      <c r="C14100" t="s">
        <v>9</v>
      </c>
      <c r="D14100">
        <v>3997</v>
      </c>
      <c r="E14100">
        <v>2021</v>
      </c>
      <c r="F14100">
        <v>1</v>
      </c>
      <c r="G14100">
        <v>11612</v>
      </c>
      <c r="H14100" s="1" t="s">
        <v>1825</v>
      </c>
      <c r="I14100">
        <v>0</v>
      </c>
      <c r="J14100">
        <f>IF($H14100=0,1,IF($I14100&lt;=1,2,0))</f>
        <v>2</v>
      </c>
      <c r="K14100">
        <v>9</v>
      </c>
      <c r="L14100">
        <f>IF(AND($J14100=0,$K14100=0),0,1)</f>
        <v>1</v>
      </c>
      <c r="M14100" t="s">
        <v>1363</v>
      </c>
    </row>
    <row r="14101" spans="1:13" x14ac:dyDescent="0.2">
      <c r="A14101" t="s">
        <v>54</v>
      </c>
      <c r="B14101" t="s">
        <v>6</v>
      </c>
      <c r="C14101" t="s">
        <v>9</v>
      </c>
      <c r="D14101">
        <v>3997</v>
      </c>
      <c r="E14101">
        <v>2021</v>
      </c>
      <c r="F14101">
        <v>2</v>
      </c>
      <c r="G14101">
        <v>11609</v>
      </c>
      <c r="H14101" s="1" t="s">
        <v>1825</v>
      </c>
      <c r="I14101">
        <v>0</v>
      </c>
      <c r="J14101">
        <f>IF($H14101=0,1,IF($I14101&lt;=1,2,0))</f>
        <v>2</v>
      </c>
      <c r="K14101">
        <v>9</v>
      </c>
      <c r="L14101">
        <f>IF(AND($J14101=0,$K14101=0),0,1)</f>
        <v>1</v>
      </c>
      <c r="M14101" t="s">
        <v>1363</v>
      </c>
    </row>
    <row r="14102" spans="1:13" x14ac:dyDescent="0.2">
      <c r="A14102" t="s">
        <v>54</v>
      </c>
      <c r="B14102" t="s">
        <v>6</v>
      </c>
      <c r="C14102" t="s">
        <v>9</v>
      </c>
      <c r="D14102">
        <v>3997</v>
      </c>
      <c r="E14102">
        <v>2021</v>
      </c>
      <c r="F14102">
        <v>3</v>
      </c>
      <c r="G14102">
        <v>11610</v>
      </c>
      <c r="H14102" s="1" t="s">
        <v>1825</v>
      </c>
      <c r="I14102">
        <v>0</v>
      </c>
      <c r="J14102">
        <f>IF($H14102=0,1,IF($I14102&lt;=1,2,0))</f>
        <v>2</v>
      </c>
      <c r="K14102">
        <v>9</v>
      </c>
      <c r="L14102">
        <f>IF(AND($J14102=0,$K14102=0),0,1)</f>
        <v>1</v>
      </c>
      <c r="M14102" t="s">
        <v>1363</v>
      </c>
    </row>
    <row r="14103" spans="1:13" x14ac:dyDescent="0.2">
      <c r="A14103" t="s">
        <v>54</v>
      </c>
      <c r="B14103" t="s">
        <v>6</v>
      </c>
      <c r="C14103" t="s">
        <v>9</v>
      </c>
      <c r="D14103">
        <v>3997</v>
      </c>
      <c r="E14103">
        <v>2021</v>
      </c>
      <c r="F14103">
        <v>5</v>
      </c>
      <c r="G14103">
        <v>11636</v>
      </c>
      <c r="H14103" s="1" t="s">
        <v>1825</v>
      </c>
      <c r="I14103">
        <v>0</v>
      </c>
      <c r="J14103">
        <f>IF($H14103=0,1,IF($I14103&lt;=1,2,0))</f>
        <v>2</v>
      </c>
      <c r="K14103">
        <v>9</v>
      </c>
      <c r="L14103">
        <f>IF(AND($J14103=0,$K14103=0),0,1)</f>
        <v>1</v>
      </c>
      <c r="M14103" t="s">
        <v>1363</v>
      </c>
    </row>
    <row r="14104" spans="1:13" x14ac:dyDescent="0.2">
      <c r="A14104" t="s">
        <v>54</v>
      </c>
      <c r="B14104" t="s">
        <v>6</v>
      </c>
      <c r="C14104" t="s">
        <v>9</v>
      </c>
      <c r="D14104">
        <v>3997</v>
      </c>
      <c r="E14104">
        <v>2021</v>
      </c>
      <c r="F14104">
        <v>6</v>
      </c>
      <c r="G14104">
        <v>11639</v>
      </c>
      <c r="H14104" s="1" t="s">
        <v>1825</v>
      </c>
      <c r="I14104">
        <v>0</v>
      </c>
      <c r="J14104">
        <f>IF($H14104=0,1,IF($I14104&lt;=1,2,0))</f>
        <v>2</v>
      </c>
      <c r="K14104">
        <v>9</v>
      </c>
      <c r="L14104">
        <f>IF(AND($J14104=0,$K14104=0),0,1)</f>
        <v>1</v>
      </c>
      <c r="M14104" t="s">
        <v>1363</v>
      </c>
    </row>
    <row r="14105" spans="1:13" x14ac:dyDescent="0.2">
      <c r="A14105" t="s">
        <v>54</v>
      </c>
      <c r="B14105" t="s">
        <v>6</v>
      </c>
      <c r="C14105" t="s">
        <v>9</v>
      </c>
      <c r="D14105">
        <v>3997</v>
      </c>
      <c r="E14105">
        <v>2021</v>
      </c>
      <c r="F14105">
        <v>7</v>
      </c>
      <c r="G14105">
        <v>11640</v>
      </c>
      <c r="H14105" s="1" t="s">
        <v>1825</v>
      </c>
      <c r="I14105">
        <v>0</v>
      </c>
      <c r="J14105">
        <f>IF($H14105=0,1,IF($I14105&lt;=1,2,0))</f>
        <v>2</v>
      </c>
      <c r="K14105">
        <v>9</v>
      </c>
      <c r="L14105">
        <f>IF(AND($J14105=0,$K14105=0),0,1)</f>
        <v>1</v>
      </c>
      <c r="M14105" t="s">
        <v>1363</v>
      </c>
    </row>
    <row r="14106" spans="1:13" x14ac:dyDescent="0.2">
      <c r="A14106" t="s">
        <v>54</v>
      </c>
      <c r="B14106" t="s">
        <v>6</v>
      </c>
      <c r="C14106" t="s">
        <v>9</v>
      </c>
      <c r="D14106">
        <v>3997</v>
      </c>
      <c r="E14106">
        <v>2021</v>
      </c>
      <c r="F14106">
        <v>8</v>
      </c>
      <c r="G14106">
        <v>11641</v>
      </c>
      <c r="H14106" s="1" t="s">
        <v>1825</v>
      </c>
      <c r="I14106">
        <v>0</v>
      </c>
      <c r="J14106">
        <f>IF($H14106=0,1,IF($I14106&lt;=1,2,0))</f>
        <v>2</v>
      </c>
      <c r="K14106">
        <v>9</v>
      </c>
      <c r="L14106">
        <f>IF(AND($J14106=0,$K14106=0),0,1)</f>
        <v>1</v>
      </c>
      <c r="M14106" t="s">
        <v>1363</v>
      </c>
    </row>
    <row r="14107" spans="1:13" x14ac:dyDescent="0.2">
      <c r="A14107" t="s">
        <v>54</v>
      </c>
      <c r="B14107" t="s">
        <v>6</v>
      </c>
      <c r="C14107" t="s">
        <v>9</v>
      </c>
      <c r="D14107">
        <v>3997</v>
      </c>
      <c r="E14107">
        <v>2021</v>
      </c>
      <c r="F14107">
        <v>9</v>
      </c>
      <c r="G14107">
        <v>11644</v>
      </c>
      <c r="H14107" s="1" t="s">
        <v>1825</v>
      </c>
      <c r="I14107">
        <v>0</v>
      </c>
      <c r="J14107">
        <f>IF($H14107=0,1,IF($I14107&lt;=1,2,0))</f>
        <v>2</v>
      </c>
      <c r="K14107">
        <v>9</v>
      </c>
      <c r="L14107">
        <f>IF(AND($J14107=0,$K14107=0),0,1)</f>
        <v>1</v>
      </c>
      <c r="M14107" t="s">
        <v>1363</v>
      </c>
    </row>
    <row r="14108" spans="1:13" x14ac:dyDescent="0.2">
      <c r="A14108" t="s">
        <v>54</v>
      </c>
      <c r="B14108" t="s">
        <v>6</v>
      </c>
      <c r="C14108" t="s">
        <v>9</v>
      </c>
      <c r="D14108">
        <v>3997</v>
      </c>
      <c r="E14108">
        <v>2021</v>
      </c>
      <c r="F14108">
        <v>11</v>
      </c>
      <c r="G14108">
        <v>11648</v>
      </c>
      <c r="H14108" s="1" t="s">
        <v>1825</v>
      </c>
      <c r="I14108">
        <v>0</v>
      </c>
      <c r="J14108">
        <f>IF($H14108=0,1,IF($I14108&lt;=1,2,0))</f>
        <v>2</v>
      </c>
      <c r="K14108">
        <v>9</v>
      </c>
      <c r="L14108">
        <f>IF(AND($J14108=0,$K14108=0),0,1)</f>
        <v>1</v>
      </c>
      <c r="M14108" t="s">
        <v>1363</v>
      </c>
    </row>
    <row r="14109" spans="1:13" x14ac:dyDescent="0.2">
      <c r="A14109" t="s">
        <v>54</v>
      </c>
      <c r="B14109" t="s">
        <v>6</v>
      </c>
      <c r="C14109" t="s">
        <v>9</v>
      </c>
      <c r="D14109">
        <v>3997</v>
      </c>
      <c r="E14109">
        <v>2021</v>
      </c>
      <c r="F14109">
        <v>13</v>
      </c>
      <c r="G14109">
        <v>11650</v>
      </c>
      <c r="H14109" s="1" t="s">
        <v>1825</v>
      </c>
      <c r="I14109">
        <v>0</v>
      </c>
      <c r="J14109">
        <f>IF($H14109=0,1,IF($I14109&lt;=1,2,0))</f>
        <v>2</v>
      </c>
      <c r="K14109">
        <v>9</v>
      </c>
      <c r="L14109">
        <f>IF(AND($J14109=0,$K14109=0),0,1)</f>
        <v>1</v>
      </c>
      <c r="M14109" t="s">
        <v>1363</v>
      </c>
    </row>
    <row r="14110" spans="1:13" x14ac:dyDescent="0.2">
      <c r="A14110" t="s">
        <v>54</v>
      </c>
      <c r="B14110" t="s">
        <v>6</v>
      </c>
      <c r="C14110" t="s">
        <v>9</v>
      </c>
      <c r="D14110">
        <v>3997</v>
      </c>
      <c r="E14110">
        <v>2021</v>
      </c>
      <c r="F14110">
        <v>14</v>
      </c>
      <c r="G14110">
        <v>11652</v>
      </c>
      <c r="H14110" s="1" t="s">
        <v>1825</v>
      </c>
      <c r="I14110">
        <v>0</v>
      </c>
      <c r="J14110">
        <f>IF($H14110=0,1,IF($I14110&lt;=1,2,0))</f>
        <v>2</v>
      </c>
      <c r="K14110">
        <v>9</v>
      </c>
      <c r="L14110">
        <f>IF(AND($J14110=0,$K14110=0),0,1)</f>
        <v>1</v>
      </c>
      <c r="M14110" t="s">
        <v>1363</v>
      </c>
    </row>
    <row r="14111" spans="1:13" x14ac:dyDescent="0.2">
      <c r="A14111" t="s">
        <v>54</v>
      </c>
      <c r="B14111" t="s">
        <v>6</v>
      </c>
      <c r="C14111" t="s">
        <v>9</v>
      </c>
      <c r="D14111">
        <v>3997</v>
      </c>
      <c r="E14111">
        <v>2021</v>
      </c>
      <c r="F14111">
        <v>16</v>
      </c>
      <c r="G14111">
        <v>11657</v>
      </c>
      <c r="H14111" s="1" t="s">
        <v>1825</v>
      </c>
      <c r="I14111">
        <v>0</v>
      </c>
      <c r="J14111">
        <f>IF($H14111=0,1,IF($I14111&lt;=1,2,0))</f>
        <v>2</v>
      </c>
      <c r="K14111">
        <v>9</v>
      </c>
      <c r="L14111">
        <f>IF(AND($J14111=0,$K14111=0),0,1)</f>
        <v>1</v>
      </c>
      <c r="M14111" t="s">
        <v>1363</v>
      </c>
    </row>
    <row r="14112" spans="1:13" x14ac:dyDescent="0.2">
      <c r="A14112" t="s">
        <v>54</v>
      </c>
      <c r="B14112" t="s">
        <v>6</v>
      </c>
      <c r="C14112" t="s">
        <v>9</v>
      </c>
      <c r="D14112">
        <v>3997</v>
      </c>
      <c r="E14112">
        <v>2021</v>
      </c>
      <c r="F14112">
        <v>17</v>
      </c>
      <c r="G14112">
        <v>11660</v>
      </c>
      <c r="H14112" s="1" t="s">
        <v>1825</v>
      </c>
      <c r="I14112">
        <v>0</v>
      </c>
      <c r="J14112">
        <f>IF($H14112=0,1,IF($I14112&lt;=1,2,0))</f>
        <v>2</v>
      </c>
      <c r="K14112">
        <v>9</v>
      </c>
      <c r="L14112">
        <f>IF(AND($J14112=0,$K14112=0),0,1)</f>
        <v>1</v>
      </c>
      <c r="M14112" t="s">
        <v>1363</v>
      </c>
    </row>
    <row r="14113" spans="1:13" x14ac:dyDescent="0.2">
      <c r="A14113" t="s">
        <v>54</v>
      </c>
      <c r="B14113" t="s">
        <v>6</v>
      </c>
      <c r="C14113" t="s">
        <v>9</v>
      </c>
      <c r="D14113">
        <v>3997</v>
      </c>
      <c r="E14113">
        <v>2021</v>
      </c>
      <c r="F14113">
        <v>18</v>
      </c>
      <c r="G14113">
        <v>11661</v>
      </c>
      <c r="H14113" s="1" t="s">
        <v>1825</v>
      </c>
      <c r="I14113">
        <v>0</v>
      </c>
      <c r="J14113">
        <f>IF($H14113=0,1,IF($I14113&lt;=1,2,0))</f>
        <v>2</v>
      </c>
      <c r="K14113">
        <v>9</v>
      </c>
      <c r="L14113">
        <f>IF(AND($J14113=0,$K14113=0),0,1)</f>
        <v>1</v>
      </c>
      <c r="M14113" t="s">
        <v>1363</v>
      </c>
    </row>
    <row r="14114" spans="1:13" x14ac:dyDescent="0.2">
      <c r="A14114" t="s">
        <v>54</v>
      </c>
      <c r="B14114" t="s">
        <v>6</v>
      </c>
      <c r="C14114" t="s">
        <v>9</v>
      </c>
      <c r="D14114">
        <v>3997</v>
      </c>
      <c r="E14114">
        <v>2021</v>
      </c>
      <c r="F14114">
        <v>19</v>
      </c>
      <c r="G14114">
        <v>11663</v>
      </c>
      <c r="H14114" s="1" t="s">
        <v>1825</v>
      </c>
      <c r="I14114">
        <v>0</v>
      </c>
      <c r="J14114">
        <f>IF($H14114=0,1,IF($I14114&lt;=1,2,0))</f>
        <v>2</v>
      </c>
      <c r="K14114">
        <v>9</v>
      </c>
      <c r="L14114">
        <f>IF(AND($J14114=0,$K14114=0),0,1)</f>
        <v>1</v>
      </c>
      <c r="M14114" t="s">
        <v>1363</v>
      </c>
    </row>
    <row r="14115" spans="1:13" x14ac:dyDescent="0.2">
      <c r="A14115" t="s">
        <v>54</v>
      </c>
      <c r="B14115" t="s">
        <v>6</v>
      </c>
      <c r="C14115" t="s">
        <v>9</v>
      </c>
      <c r="D14115">
        <v>3997</v>
      </c>
      <c r="E14115">
        <v>2021</v>
      </c>
      <c r="F14115">
        <v>20</v>
      </c>
      <c r="G14115">
        <v>11666</v>
      </c>
      <c r="H14115" s="1" t="s">
        <v>1825</v>
      </c>
      <c r="I14115">
        <v>0</v>
      </c>
      <c r="J14115">
        <f>IF($H14115=0,1,IF($I14115&lt;=1,2,0))</f>
        <v>2</v>
      </c>
      <c r="K14115">
        <v>9</v>
      </c>
      <c r="L14115">
        <f>IF(AND($J14115=0,$K14115=0),0,1)</f>
        <v>1</v>
      </c>
      <c r="M14115" t="s">
        <v>1363</v>
      </c>
    </row>
    <row r="14116" spans="1:13" x14ac:dyDescent="0.2">
      <c r="A14116" t="s">
        <v>54</v>
      </c>
      <c r="B14116" t="s">
        <v>6</v>
      </c>
      <c r="C14116" t="s">
        <v>9</v>
      </c>
      <c r="D14116">
        <v>3997</v>
      </c>
      <c r="E14116">
        <v>2021</v>
      </c>
      <c r="F14116">
        <v>21</v>
      </c>
      <c r="G14116">
        <v>11668</v>
      </c>
      <c r="H14116" s="1" t="s">
        <v>1825</v>
      </c>
      <c r="I14116">
        <v>0</v>
      </c>
      <c r="J14116">
        <f>IF($H14116=0,1,IF($I14116&lt;=1,2,0))</f>
        <v>2</v>
      </c>
      <c r="K14116">
        <v>9</v>
      </c>
      <c r="L14116">
        <f>IF(AND($J14116=0,$K14116=0),0,1)</f>
        <v>1</v>
      </c>
      <c r="M14116" t="s">
        <v>1363</v>
      </c>
    </row>
    <row r="14117" spans="1:13" x14ac:dyDescent="0.2">
      <c r="A14117" t="s">
        <v>54</v>
      </c>
      <c r="B14117" t="s">
        <v>6</v>
      </c>
      <c r="C14117" t="s">
        <v>9</v>
      </c>
      <c r="D14117">
        <v>3997</v>
      </c>
      <c r="E14117">
        <v>2021</v>
      </c>
      <c r="F14117">
        <v>22</v>
      </c>
      <c r="G14117">
        <v>11670</v>
      </c>
      <c r="H14117" s="1" t="s">
        <v>1825</v>
      </c>
      <c r="I14117">
        <v>0</v>
      </c>
      <c r="J14117">
        <f>IF($H14117=0,1,IF($I14117&lt;=1,2,0))</f>
        <v>2</v>
      </c>
      <c r="K14117">
        <v>9</v>
      </c>
      <c r="L14117">
        <f>IF(AND($J14117=0,$K14117=0),0,1)</f>
        <v>1</v>
      </c>
      <c r="M14117" t="s">
        <v>1363</v>
      </c>
    </row>
    <row r="14118" spans="1:13" x14ac:dyDescent="0.2">
      <c r="A14118" t="s">
        <v>54</v>
      </c>
      <c r="B14118" t="s">
        <v>6</v>
      </c>
      <c r="C14118" t="s">
        <v>9</v>
      </c>
      <c r="D14118">
        <v>3997</v>
      </c>
      <c r="E14118">
        <v>2021</v>
      </c>
      <c r="F14118">
        <v>23</v>
      </c>
      <c r="G14118">
        <v>11671</v>
      </c>
      <c r="H14118" s="1" t="s">
        <v>1825</v>
      </c>
      <c r="I14118">
        <v>0</v>
      </c>
      <c r="J14118">
        <f>IF($H14118=0,1,IF($I14118&lt;=1,2,0))</f>
        <v>2</v>
      </c>
      <c r="K14118">
        <v>9</v>
      </c>
      <c r="L14118">
        <f>IF(AND($J14118=0,$K14118=0),0,1)</f>
        <v>1</v>
      </c>
      <c r="M14118" t="s">
        <v>1363</v>
      </c>
    </row>
    <row r="14119" spans="1:13" x14ac:dyDescent="0.2">
      <c r="A14119" t="s">
        <v>54</v>
      </c>
      <c r="B14119" t="s">
        <v>6</v>
      </c>
      <c r="C14119" t="s">
        <v>9</v>
      </c>
      <c r="D14119">
        <v>3997</v>
      </c>
      <c r="E14119">
        <v>2021</v>
      </c>
      <c r="F14119">
        <v>24</v>
      </c>
      <c r="G14119">
        <v>11674</v>
      </c>
      <c r="H14119" s="1" t="s">
        <v>1825</v>
      </c>
      <c r="I14119">
        <v>0</v>
      </c>
      <c r="J14119">
        <f>IF($H14119=0,1,IF($I14119&lt;=1,2,0))</f>
        <v>2</v>
      </c>
      <c r="K14119">
        <v>9</v>
      </c>
      <c r="L14119">
        <f>IF(AND($J14119=0,$K14119=0),0,1)</f>
        <v>1</v>
      </c>
      <c r="M14119" t="s">
        <v>1363</v>
      </c>
    </row>
    <row r="14120" spans="1:13" x14ac:dyDescent="0.2">
      <c r="A14120" t="s">
        <v>54</v>
      </c>
      <c r="B14120" t="s">
        <v>6</v>
      </c>
      <c r="C14120" t="s">
        <v>9</v>
      </c>
      <c r="D14120">
        <v>3997</v>
      </c>
      <c r="E14120">
        <v>2021</v>
      </c>
      <c r="F14120">
        <v>25</v>
      </c>
      <c r="G14120">
        <v>11675</v>
      </c>
      <c r="H14120" s="1" t="s">
        <v>1825</v>
      </c>
      <c r="I14120">
        <v>0</v>
      </c>
      <c r="J14120">
        <f>IF($H14120=0,1,IF($I14120&lt;=1,2,0))</f>
        <v>2</v>
      </c>
      <c r="K14120">
        <v>9</v>
      </c>
      <c r="L14120">
        <f>IF(AND($J14120=0,$K14120=0),0,1)</f>
        <v>1</v>
      </c>
      <c r="M14120" t="s">
        <v>1363</v>
      </c>
    </row>
    <row r="14121" spans="1:13" x14ac:dyDescent="0.2">
      <c r="A14121" t="s">
        <v>54</v>
      </c>
      <c r="B14121" t="s">
        <v>6</v>
      </c>
      <c r="C14121" t="s">
        <v>9</v>
      </c>
      <c r="D14121">
        <v>3997</v>
      </c>
      <c r="E14121">
        <v>2021</v>
      </c>
      <c r="F14121">
        <v>26</v>
      </c>
      <c r="G14121">
        <v>11676</v>
      </c>
      <c r="H14121" s="1" t="s">
        <v>1825</v>
      </c>
      <c r="I14121">
        <v>0</v>
      </c>
      <c r="J14121">
        <f>IF($H14121=0,1,IF($I14121&lt;=1,2,0))</f>
        <v>2</v>
      </c>
      <c r="K14121">
        <v>9</v>
      </c>
      <c r="L14121">
        <f>IF(AND($J14121=0,$K14121=0),0,1)</f>
        <v>1</v>
      </c>
      <c r="M14121" t="s">
        <v>1363</v>
      </c>
    </row>
    <row r="14122" spans="1:13" x14ac:dyDescent="0.2">
      <c r="A14122" t="s">
        <v>54</v>
      </c>
      <c r="B14122" t="s">
        <v>6</v>
      </c>
      <c r="C14122" t="s">
        <v>9</v>
      </c>
      <c r="D14122">
        <v>3997</v>
      </c>
      <c r="E14122">
        <v>2021</v>
      </c>
      <c r="F14122">
        <v>27</v>
      </c>
      <c r="G14122">
        <v>11680</v>
      </c>
      <c r="H14122" s="1" t="s">
        <v>1825</v>
      </c>
      <c r="I14122">
        <v>0</v>
      </c>
      <c r="J14122">
        <f>IF($H14122=0,1,IF($I14122&lt;=1,2,0))</f>
        <v>2</v>
      </c>
      <c r="K14122">
        <v>9</v>
      </c>
      <c r="L14122">
        <f>IF(AND($J14122=0,$K14122=0),0,1)</f>
        <v>1</v>
      </c>
      <c r="M14122" t="s">
        <v>1363</v>
      </c>
    </row>
    <row r="14123" spans="1:13" x14ac:dyDescent="0.2">
      <c r="A14123" t="s">
        <v>54</v>
      </c>
      <c r="B14123" t="s">
        <v>6</v>
      </c>
      <c r="C14123" t="s">
        <v>9</v>
      </c>
      <c r="D14123">
        <v>3997</v>
      </c>
      <c r="E14123">
        <v>2021</v>
      </c>
      <c r="F14123">
        <v>28</v>
      </c>
      <c r="G14123">
        <v>11682</v>
      </c>
      <c r="H14123" s="1" t="s">
        <v>1825</v>
      </c>
      <c r="I14123">
        <v>0</v>
      </c>
      <c r="J14123">
        <f>IF($H14123=0,1,IF($I14123&lt;=1,2,0))</f>
        <v>2</v>
      </c>
      <c r="K14123">
        <v>9</v>
      </c>
      <c r="L14123">
        <f>IF(AND($J14123=0,$K14123=0),0,1)</f>
        <v>1</v>
      </c>
      <c r="M14123" t="s">
        <v>1363</v>
      </c>
    </row>
    <row r="14124" spans="1:13" x14ac:dyDescent="0.2">
      <c r="A14124" t="s">
        <v>54</v>
      </c>
      <c r="B14124" t="s">
        <v>6</v>
      </c>
      <c r="C14124" t="s">
        <v>9</v>
      </c>
      <c r="D14124">
        <v>3997</v>
      </c>
      <c r="E14124">
        <v>2021</v>
      </c>
      <c r="F14124">
        <v>29</v>
      </c>
      <c r="G14124">
        <v>14178</v>
      </c>
      <c r="H14124" s="1" t="s">
        <v>1825</v>
      </c>
      <c r="I14124">
        <v>0</v>
      </c>
      <c r="J14124">
        <f>IF($H14124=0,1,IF($I14124&lt;=1,2,0))</f>
        <v>2</v>
      </c>
      <c r="K14124">
        <v>9</v>
      </c>
      <c r="L14124">
        <f>IF(AND($J14124=0,$K14124=0),0,1)</f>
        <v>1</v>
      </c>
    </row>
    <row r="14125" spans="1:13" x14ac:dyDescent="0.2">
      <c r="A14125" t="s">
        <v>54</v>
      </c>
      <c r="B14125" t="s">
        <v>6</v>
      </c>
      <c r="C14125" t="s">
        <v>9</v>
      </c>
      <c r="D14125">
        <v>3997</v>
      </c>
      <c r="E14125">
        <v>2021</v>
      </c>
      <c r="F14125">
        <v>30</v>
      </c>
      <c r="G14125">
        <v>14179</v>
      </c>
      <c r="H14125" s="1" t="s">
        <v>1825</v>
      </c>
      <c r="I14125">
        <v>0</v>
      </c>
      <c r="J14125">
        <f>IF($H14125=0,1,IF($I14125&lt;=1,2,0))</f>
        <v>2</v>
      </c>
      <c r="K14125">
        <v>9</v>
      </c>
      <c r="L14125">
        <f>IF(AND($J14125=0,$K14125=0),0,1)</f>
        <v>1</v>
      </c>
    </row>
    <row r="14126" spans="1:13" x14ac:dyDescent="0.2">
      <c r="A14126" t="s">
        <v>54</v>
      </c>
      <c r="B14126" t="s">
        <v>6</v>
      </c>
      <c r="C14126" t="s">
        <v>9</v>
      </c>
      <c r="D14126">
        <v>3997</v>
      </c>
      <c r="E14126">
        <v>2021</v>
      </c>
      <c r="F14126">
        <v>119</v>
      </c>
      <c r="G14126">
        <v>11664</v>
      </c>
      <c r="H14126" s="1" t="s">
        <v>1825</v>
      </c>
      <c r="I14126">
        <v>0</v>
      </c>
      <c r="J14126">
        <f>IF($H14126=0,1,IF($I14126&lt;=1,2,0))</f>
        <v>2</v>
      </c>
      <c r="K14126">
        <v>9</v>
      </c>
      <c r="L14126">
        <f>IF(AND($J14126=0,$K14126=0),0,1)</f>
        <v>1</v>
      </c>
      <c r="M14126" t="s">
        <v>1363</v>
      </c>
    </row>
    <row r="14127" spans="1:13" x14ac:dyDescent="0.2">
      <c r="A14127" t="s">
        <v>54</v>
      </c>
      <c r="B14127" t="s">
        <v>6</v>
      </c>
      <c r="C14127" t="s">
        <v>11</v>
      </c>
      <c r="D14127">
        <v>6155</v>
      </c>
      <c r="E14127">
        <v>2021</v>
      </c>
      <c r="F14127">
        <v>1</v>
      </c>
      <c r="G14127">
        <v>18044</v>
      </c>
      <c r="H14127" s="1">
        <v>3</v>
      </c>
      <c r="I14127">
        <v>12</v>
      </c>
      <c r="J14127">
        <f>IF($H14127=0,1,IF($I14127&lt;=1,2,0))</f>
        <v>0</v>
      </c>
      <c r="K14127">
        <v>4</v>
      </c>
      <c r="L14127">
        <f>IF(AND($J14127=0,$K14127=0),0,1)</f>
        <v>1</v>
      </c>
      <c r="M14127" t="s">
        <v>1371</v>
      </c>
    </row>
    <row r="14128" spans="1:13" x14ac:dyDescent="0.2">
      <c r="A14128" t="s">
        <v>54</v>
      </c>
      <c r="B14128" t="s">
        <v>6</v>
      </c>
      <c r="C14128" t="s">
        <v>11</v>
      </c>
      <c r="D14128">
        <v>9101</v>
      </c>
      <c r="E14128">
        <v>2021</v>
      </c>
      <c r="F14128">
        <v>20</v>
      </c>
      <c r="G14128">
        <v>20526</v>
      </c>
      <c r="H14128" s="1" t="s">
        <v>1826</v>
      </c>
      <c r="I14128">
        <v>1</v>
      </c>
      <c r="J14128">
        <f>IF($H14128=0,1,IF($I14128&lt;=1,2,0))</f>
        <v>2</v>
      </c>
      <c r="K14128">
        <v>5</v>
      </c>
      <c r="L14128">
        <f>IF(AND($J14128=0,$K14128=0),0,1)</f>
        <v>1</v>
      </c>
    </row>
    <row r="14129" spans="1:13" x14ac:dyDescent="0.2">
      <c r="A14129" t="s">
        <v>54</v>
      </c>
      <c r="B14129" t="s">
        <v>6</v>
      </c>
      <c r="C14129" t="s">
        <v>11</v>
      </c>
      <c r="D14129">
        <v>9101</v>
      </c>
      <c r="E14129">
        <v>2021</v>
      </c>
      <c r="F14129">
        <v>1</v>
      </c>
      <c r="G14129">
        <v>11170</v>
      </c>
      <c r="H14129" s="1" t="s">
        <v>1826</v>
      </c>
      <c r="I14129">
        <v>0</v>
      </c>
      <c r="J14129">
        <f>IF($H14129=0,1,IF($I14129&lt;=1,2,0))</f>
        <v>2</v>
      </c>
      <c r="K14129">
        <v>5</v>
      </c>
      <c r="L14129">
        <f>IF(AND($J14129=0,$K14129=0),0,1)</f>
        <v>1</v>
      </c>
      <c r="M14129" t="s">
        <v>1372</v>
      </c>
    </row>
    <row r="14130" spans="1:13" x14ac:dyDescent="0.2">
      <c r="A14130" t="s">
        <v>54</v>
      </c>
      <c r="B14130" t="s">
        <v>6</v>
      </c>
      <c r="C14130" t="s">
        <v>11</v>
      </c>
      <c r="D14130">
        <v>9101</v>
      </c>
      <c r="E14130">
        <v>2021</v>
      </c>
      <c r="F14130">
        <v>2</v>
      </c>
      <c r="G14130">
        <v>11171</v>
      </c>
      <c r="H14130" s="1" t="s">
        <v>1826</v>
      </c>
      <c r="I14130">
        <v>0</v>
      </c>
      <c r="J14130">
        <f>IF($H14130=0,1,IF($I14130&lt;=1,2,0))</f>
        <v>2</v>
      </c>
      <c r="K14130">
        <v>5</v>
      </c>
      <c r="L14130">
        <f>IF(AND($J14130=0,$K14130=0),0,1)</f>
        <v>1</v>
      </c>
      <c r="M14130" t="s">
        <v>1372</v>
      </c>
    </row>
    <row r="14131" spans="1:13" x14ac:dyDescent="0.2">
      <c r="A14131" t="s">
        <v>54</v>
      </c>
      <c r="B14131" t="s">
        <v>6</v>
      </c>
      <c r="C14131" t="s">
        <v>11</v>
      </c>
      <c r="D14131">
        <v>9101</v>
      </c>
      <c r="E14131">
        <v>2021</v>
      </c>
      <c r="F14131">
        <v>3</v>
      </c>
      <c r="G14131">
        <v>11185</v>
      </c>
      <c r="H14131" s="1" t="s">
        <v>1826</v>
      </c>
      <c r="I14131">
        <v>0</v>
      </c>
      <c r="J14131">
        <f>IF($H14131=0,1,IF($I14131&lt;=1,2,0))</f>
        <v>2</v>
      </c>
      <c r="K14131">
        <v>5</v>
      </c>
      <c r="L14131">
        <f>IF(AND($J14131=0,$K14131=0),0,1)</f>
        <v>1</v>
      </c>
      <c r="M14131" t="s">
        <v>1372</v>
      </c>
    </row>
    <row r="14132" spans="1:13" x14ac:dyDescent="0.2">
      <c r="A14132" t="s">
        <v>54</v>
      </c>
      <c r="B14132" t="s">
        <v>6</v>
      </c>
      <c r="C14132" t="s">
        <v>11</v>
      </c>
      <c r="D14132">
        <v>9101</v>
      </c>
      <c r="E14132">
        <v>2021</v>
      </c>
      <c r="F14132">
        <v>4</v>
      </c>
      <c r="G14132">
        <v>11172</v>
      </c>
      <c r="H14132" s="1" t="s">
        <v>1826</v>
      </c>
      <c r="I14132">
        <v>0</v>
      </c>
      <c r="J14132">
        <f>IF($H14132=0,1,IF($I14132&lt;=1,2,0))</f>
        <v>2</v>
      </c>
      <c r="K14132">
        <v>5</v>
      </c>
      <c r="L14132">
        <f>IF(AND($J14132=0,$K14132=0),0,1)</f>
        <v>1</v>
      </c>
      <c r="M14132" t="s">
        <v>1372</v>
      </c>
    </row>
    <row r="14133" spans="1:13" x14ac:dyDescent="0.2">
      <c r="A14133" t="s">
        <v>54</v>
      </c>
      <c r="B14133" t="s">
        <v>6</v>
      </c>
      <c r="C14133" t="s">
        <v>11</v>
      </c>
      <c r="D14133">
        <v>9101</v>
      </c>
      <c r="E14133">
        <v>2021</v>
      </c>
      <c r="F14133">
        <v>5</v>
      </c>
      <c r="G14133">
        <v>11173</v>
      </c>
      <c r="H14133" s="1" t="s">
        <v>1826</v>
      </c>
      <c r="I14133">
        <v>0</v>
      </c>
      <c r="J14133">
        <f>IF($H14133=0,1,IF($I14133&lt;=1,2,0))</f>
        <v>2</v>
      </c>
      <c r="K14133">
        <v>5</v>
      </c>
      <c r="L14133">
        <f>IF(AND($J14133=0,$K14133=0),0,1)</f>
        <v>1</v>
      </c>
    </row>
    <row r="14134" spans="1:13" x14ac:dyDescent="0.2">
      <c r="A14134" t="s">
        <v>54</v>
      </c>
      <c r="B14134" t="s">
        <v>6</v>
      </c>
      <c r="C14134" t="s">
        <v>11</v>
      </c>
      <c r="D14134">
        <v>9101</v>
      </c>
      <c r="E14134">
        <v>2021</v>
      </c>
      <c r="F14134">
        <v>6</v>
      </c>
      <c r="G14134">
        <v>11174</v>
      </c>
      <c r="H14134" s="1" t="s">
        <v>1826</v>
      </c>
      <c r="I14134">
        <v>0</v>
      </c>
      <c r="J14134">
        <f>IF($H14134=0,1,IF($I14134&lt;=1,2,0))</f>
        <v>2</v>
      </c>
      <c r="K14134">
        <v>5</v>
      </c>
      <c r="L14134">
        <f>IF(AND($J14134=0,$K14134=0),0,1)</f>
        <v>1</v>
      </c>
      <c r="M14134" t="s">
        <v>1372</v>
      </c>
    </row>
    <row r="14135" spans="1:13" x14ac:dyDescent="0.2">
      <c r="A14135" t="s">
        <v>54</v>
      </c>
      <c r="B14135" t="s">
        <v>6</v>
      </c>
      <c r="C14135" t="s">
        <v>11</v>
      </c>
      <c r="D14135">
        <v>9101</v>
      </c>
      <c r="E14135">
        <v>2021</v>
      </c>
      <c r="F14135">
        <v>7</v>
      </c>
      <c r="G14135">
        <v>11175</v>
      </c>
      <c r="H14135" s="1" t="s">
        <v>1826</v>
      </c>
      <c r="I14135">
        <v>0</v>
      </c>
      <c r="J14135">
        <f>IF($H14135=0,1,IF($I14135&lt;=1,2,0))</f>
        <v>2</v>
      </c>
      <c r="K14135">
        <v>5</v>
      </c>
      <c r="L14135">
        <f>IF(AND($J14135=0,$K14135=0),0,1)</f>
        <v>1</v>
      </c>
      <c r="M14135" t="s">
        <v>1372</v>
      </c>
    </row>
    <row r="14136" spans="1:13" x14ac:dyDescent="0.2">
      <c r="A14136" t="s">
        <v>54</v>
      </c>
      <c r="B14136" t="s">
        <v>6</v>
      </c>
      <c r="C14136" t="s">
        <v>11</v>
      </c>
      <c r="D14136">
        <v>9101</v>
      </c>
      <c r="E14136">
        <v>2021</v>
      </c>
      <c r="F14136">
        <v>8</v>
      </c>
      <c r="G14136">
        <v>11176</v>
      </c>
      <c r="H14136" s="1" t="s">
        <v>1826</v>
      </c>
      <c r="I14136">
        <v>0</v>
      </c>
      <c r="J14136">
        <f>IF($H14136=0,1,IF($I14136&lt;=1,2,0))</f>
        <v>2</v>
      </c>
      <c r="K14136">
        <v>5</v>
      </c>
      <c r="L14136">
        <f>IF(AND($J14136=0,$K14136=0),0,1)</f>
        <v>1</v>
      </c>
      <c r="M14136" t="s">
        <v>1372</v>
      </c>
    </row>
    <row r="14137" spans="1:13" x14ac:dyDescent="0.2">
      <c r="A14137" t="s">
        <v>54</v>
      </c>
      <c r="B14137" t="s">
        <v>6</v>
      </c>
      <c r="C14137" t="s">
        <v>11</v>
      </c>
      <c r="D14137">
        <v>9101</v>
      </c>
      <c r="E14137">
        <v>2021</v>
      </c>
      <c r="F14137">
        <v>9</v>
      </c>
      <c r="G14137">
        <v>11177</v>
      </c>
      <c r="H14137" s="1" t="s">
        <v>1826</v>
      </c>
      <c r="I14137">
        <v>0</v>
      </c>
      <c r="J14137">
        <f>IF($H14137=0,1,IF($I14137&lt;=1,2,0))</f>
        <v>2</v>
      </c>
      <c r="K14137">
        <v>5</v>
      </c>
      <c r="L14137">
        <f>IF(AND($J14137=0,$K14137=0),0,1)</f>
        <v>1</v>
      </c>
      <c r="M14137" t="s">
        <v>1372</v>
      </c>
    </row>
    <row r="14138" spans="1:13" x14ac:dyDescent="0.2">
      <c r="A14138" t="s">
        <v>54</v>
      </c>
      <c r="B14138" t="s">
        <v>6</v>
      </c>
      <c r="C14138" t="s">
        <v>11</v>
      </c>
      <c r="D14138">
        <v>9101</v>
      </c>
      <c r="E14138">
        <v>2021</v>
      </c>
      <c r="F14138">
        <v>10</v>
      </c>
      <c r="G14138">
        <v>11178</v>
      </c>
      <c r="H14138" s="1" t="s">
        <v>1826</v>
      </c>
      <c r="I14138">
        <v>0</v>
      </c>
      <c r="J14138">
        <f>IF($H14138=0,1,IF($I14138&lt;=1,2,0))</f>
        <v>2</v>
      </c>
      <c r="K14138">
        <v>5</v>
      </c>
      <c r="L14138">
        <f>IF(AND($J14138=0,$K14138=0),0,1)</f>
        <v>1</v>
      </c>
      <c r="M14138" t="s">
        <v>1372</v>
      </c>
    </row>
    <row r="14139" spans="1:13" x14ac:dyDescent="0.2">
      <c r="A14139" t="s">
        <v>54</v>
      </c>
      <c r="B14139" t="s">
        <v>6</v>
      </c>
      <c r="C14139" t="s">
        <v>11</v>
      </c>
      <c r="D14139">
        <v>9101</v>
      </c>
      <c r="E14139">
        <v>2021</v>
      </c>
      <c r="F14139">
        <v>11</v>
      </c>
      <c r="G14139">
        <v>11179</v>
      </c>
      <c r="H14139" s="1" t="s">
        <v>1826</v>
      </c>
      <c r="I14139">
        <v>0</v>
      </c>
      <c r="J14139">
        <f>IF($H14139=0,1,IF($I14139&lt;=1,2,0))</f>
        <v>2</v>
      </c>
      <c r="K14139">
        <v>5</v>
      </c>
      <c r="L14139">
        <f>IF(AND($J14139=0,$K14139=0),0,1)</f>
        <v>1</v>
      </c>
      <c r="M14139" t="s">
        <v>1372</v>
      </c>
    </row>
    <row r="14140" spans="1:13" x14ac:dyDescent="0.2">
      <c r="A14140" t="s">
        <v>54</v>
      </c>
      <c r="B14140" t="s">
        <v>6</v>
      </c>
      <c r="C14140" t="s">
        <v>11</v>
      </c>
      <c r="D14140">
        <v>9101</v>
      </c>
      <c r="E14140">
        <v>2021</v>
      </c>
      <c r="F14140">
        <v>13</v>
      </c>
      <c r="G14140">
        <v>11181</v>
      </c>
      <c r="H14140" s="1" t="s">
        <v>1826</v>
      </c>
      <c r="I14140">
        <v>0</v>
      </c>
      <c r="J14140">
        <f>IF($H14140=0,1,IF($I14140&lt;=1,2,0))</f>
        <v>2</v>
      </c>
      <c r="K14140">
        <v>5</v>
      </c>
      <c r="L14140">
        <f>IF(AND($J14140=0,$K14140=0),0,1)</f>
        <v>1</v>
      </c>
      <c r="M14140" t="s">
        <v>1372</v>
      </c>
    </row>
    <row r="14141" spans="1:13" x14ac:dyDescent="0.2">
      <c r="A14141" t="s">
        <v>54</v>
      </c>
      <c r="B14141" t="s">
        <v>6</v>
      </c>
      <c r="C14141" t="s">
        <v>11</v>
      </c>
      <c r="D14141">
        <v>9101</v>
      </c>
      <c r="E14141">
        <v>2021</v>
      </c>
      <c r="F14141">
        <v>14</v>
      </c>
      <c r="G14141">
        <v>11182</v>
      </c>
      <c r="H14141" s="1" t="s">
        <v>1826</v>
      </c>
      <c r="I14141">
        <v>0</v>
      </c>
      <c r="J14141">
        <f>IF($H14141=0,1,IF($I14141&lt;=1,2,0))</f>
        <v>2</v>
      </c>
      <c r="K14141">
        <v>5</v>
      </c>
      <c r="L14141">
        <f>IF(AND($J14141=0,$K14141=0),0,1)</f>
        <v>1</v>
      </c>
      <c r="M14141" t="s">
        <v>1372</v>
      </c>
    </row>
    <row r="14142" spans="1:13" x14ac:dyDescent="0.2">
      <c r="A14142" t="s">
        <v>54</v>
      </c>
      <c r="B14142" t="s">
        <v>6</v>
      </c>
      <c r="C14142" t="s">
        <v>11</v>
      </c>
      <c r="D14142">
        <v>9101</v>
      </c>
      <c r="E14142">
        <v>2021</v>
      </c>
      <c r="F14142">
        <v>15</v>
      </c>
      <c r="G14142">
        <v>11183</v>
      </c>
      <c r="H14142" s="1" t="s">
        <v>1826</v>
      </c>
      <c r="I14142">
        <v>0</v>
      </c>
      <c r="J14142">
        <f>IF($H14142=0,1,IF($I14142&lt;=1,2,0))</f>
        <v>2</v>
      </c>
      <c r="K14142">
        <v>5</v>
      </c>
      <c r="L14142">
        <f>IF(AND($J14142=0,$K14142=0),0,1)</f>
        <v>1</v>
      </c>
      <c r="M14142" t="s">
        <v>1372</v>
      </c>
    </row>
    <row r="14143" spans="1:13" x14ac:dyDescent="0.2">
      <c r="A14143" t="s">
        <v>54</v>
      </c>
      <c r="B14143" t="s">
        <v>6</v>
      </c>
      <c r="C14143" t="s">
        <v>11</v>
      </c>
      <c r="D14143">
        <v>9101</v>
      </c>
      <c r="E14143">
        <v>2021</v>
      </c>
      <c r="F14143">
        <v>16</v>
      </c>
      <c r="G14143">
        <v>11184</v>
      </c>
      <c r="H14143" s="1" t="s">
        <v>1826</v>
      </c>
      <c r="I14143">
        <v>0</v>
      </c>
      <c r="J14143">
        <f>IF($H14143=0,1,IF($I14143&lt;=1,2,0))</f>
        <v>2</v>
      </c>
      <c r="K14143">
        <v>5</v>
      </c>
      <c r="L14143">
        <f>IF(AND($J14143=0,$K14143=0),0,1)</f>
        <v>1</v>
      </c>
      <c r="M14143" t="s">
        <v>1372</v>
      </c>
    </row>
    <row r="14144" spans="1:13" x14ac:dyDescent="0.2">
      <c r="A14144" t="s">
        <v>54</v>
      </c>
      <c r="B14144" t="s">
        <v>6</v>
      </c>
      <c r="C14144" t="s">
        <v>11</v>
      </c>
      <c r="D14144">
        <v>9101</v>
      </c>
      <c r="E14144">
        <v>2021</v>
      </c>
      <c r="F14144">
        <v>17</v>
      </c>
      <c r="G14144">
        <v>11186</v>
      </c>
      <c r="H14144" s="1" t="s">
        <v>1826</v>
      </c>
      <c r="I14144">
        <v>0</v>
      </c>
      <c r="J14144">
        <f>IF($H14144=0,1,IF($I14144&lt;=1,2,0))</f>
        <v>2</v>
      </c>
      <c r="K14144">
        <v>5</v>
      </c>
      <c r="L14144">
        <f>IF(AND($J14144=0,$K14144=0),0,1)</f>
        <v>1</v>
      </c>
      <c r="M14144" t="s">
        <v>1372</v>
      </c>
    </row>
    <row r="14145" spans="1:13" x14ac:dyDescent="0.2">
      <c r="A14145" t="s">
        <v>54</v>
      </c>
      <c r="B14145" t="s">
        <v>6</v>
      </c>
      <c r="C14145" t="s">
        <v>11</v>
      </c>
      <c r="D14145">
        <v>9101</v>
      </c>
      <c r="E14145">
        <v>2021</v>
      </c>
      <c r="F14145">
        <v>18</v>
      </c>
      <c r="G14145">
        <v>11187</v>
      </c>
      <c r="H14145" s="1" t="s">
        <v>1826</v>
      </c>
      <c r="I14145">
        <v>0</v>
      </c>
      <c r="J14145">
        <f>IF($H14145=0,1,IF($I14145&lt;=1,2,0))</f>
        <v>2</v>
      </c>
      <c r="K14145">
        <v>5</v>
      </c>
      <c r="L14145">
        <f>IF(AND($J14145=0,$K14145=0),0,1)</f>
        <v>1</v>
      </c>
      <c r="M14145" t="s">
        <v>1372</v>
      </c>
    </row>
    <row r="14146" spans="1:13" x14ac:dyDescent="0.2">
      <c r="A14146" t="s">
        <v>54</v>
      </c>
      <c r="B14146" t="s">
        <v>6</v>
      </c>
      <c r="C14146" t="s">
        <v>11</v>
      </c>
      <c r="D14146">
        <v>9101</v>
      </c>
      <c r="E14146">
        <v>2021</v>
      </c>
      <c r="F14146">
        <v>19</v>
      </c>
      <c r="G14146">
        <v>14180</v>
      </c>
      <c r="H14146" s="1" t="s">
        <v>1826</v>
      </c>
      <c r="I14146">
        <v>0</v>
      </c>
      <c r="J14146">
        <f>IF($H14146=0,1,IF($I14146&lt;=1,2,0))</f>
        <v>2</v>
      </c>
      <c r="K14146">
        <v>5</v>
      </c>
      <c r="L14146">
        <f>IF(AND($J14146=0,$K14146=0),0,1)</f>
        <v>1</v>
      </c>
    </row>
    <row r="14147" spans="1:13" x14ac:dyDescent="0.2">
      <c r="A14147" t="s">
        <v>54</v>
      </c>
      <c r="B14147" t="s">
        <v>6</v>
      </c>
      <c r="C14147" t="s">
        <v>11</v>
      </c>
      <c r="D14147">
        <v>9102</v>
      </c>
      <c r="E14147">
        <v>2021</v>
      </c>
      <c r="F14147">
        <v>1</v>
      </c>
      <c r="G14147">
        <v>11188</v>
      </c>
      <c r="H14147" s="1" t="s">
        <v>1826</v>
      </c>
      <c r="I14147">
        <v>0</v>
      </c>
      <c r="J14147">
        <f>IF($H14147=0,1,IF($I14147&lt;=1,2,0))</f>
        <v>2</v>
      </c>
      <c r="K14147">
        <v>5</v>
      </c>
      <c r="L14147">
        <f>IF(AND($J14147=0,$K14147=0),0,1)</f>
        <v>1</v>
      </c>
      <c r="M14147" t="s">
        <v>1372</v>
      </c>
    </row>
    <row r="14148" spans="1:13" x14ac:dyDescent="0.2">
      <c r="A14148" t="s">
        <v>54</v>
      </c>
      <c r="B14148" t="s">
        <v>6</v>
      </c>
      <c r="C14148" t="s">
        <v>11</v>
      </c>
      <c r="D14148">
        <v>9102</v>
      </c>
      <c r="E14148">
        <v>2021</v>
      </c>
      <c r="F14148">
        <v>2</v>
      </c>
      <c r="G14148">
        <v>11189</v>
      </c>
      <c r="H14148" s="1" t="s">
        <v>1826</v>
      </c>
      <c r="I14148">
        <v>0</v>
      </c>
      <c r="J14148">
        <f>IF($H14148=0,1,IF($I14148&lt;=1,2,0))</f>
        <v>2</v>
      </c>
      <c r="K14148">
        <v>5</v>
      </c>
      <c r="L14148">
        <f>IF(AND($J14148=0,$K14148=0),0,1)</f>
        <v>1</v>
      </c>
      <c r="M14148" t="s">
        <v>1372</v>
      </c>
    </row>
    <row r="14149" spans="1:13" x14ac:dyDescent="0.2">
      <c r="A14149" t="s">
        <v>54</v>
      </c>
      <c r="B14149" t="s">
        <v>6</v>
      </c>
      <c r="C14149" t="s">
        <v>11</v>
      </c>
      <c r="D14149">
        <v>9102</v>
      </c>
      <c r="E14149">
        <v>2021</v>
      </c>
      <c r="F14149">
        <v>3</v>
      </c>
      <c r="G14149">
        <v>11190</v>
      </c>
      <c r="H14149" s="1" t="s">
        <v>1826</v>
      </c>
      <c r="I14149">
        <v>0</v>
      </c>
      <c r="J14149">
        <f>IF($H14149=0,1,IF($I14149&lt;=1,2,0))</f>
        <v>2</v>
      </c>
      <c r="K14149">
        <v>5</v>
      </c>
      <c r="L14149">
        <f>IF(AND($J14149=0,$K14149=0),0,1)</f>
        <v>1</v>
      </c>
      <c r="M14149" t="s">
        <v>1372</v>
      </c>
    </row>
    <row r="14150" spans="1:13" x14ac:dyDescent="0.2">
      <c r="A14150" t="s">
        <v>54</v>
      </c>
      <c r="B14150" t="s">
        <v>6</v>
      </c>
      <c r="C14150" t="s">
        <v>11</v>
      </c>
      <c r="D14150">
        <v>9102</v>
      </c>
      <c r="E14150">
        <v>2021</v>
      </c>
      <c r="F14150">
        <v>5</v>
      </c>
      <c r="G14150">
        <v>11192</v>
      </c>
      <c r="H14150" s="1" t="s">
        <v>1826</v>
      </c>
      <c r="I14150">
        <v>0</v>
      </c>
      <c r="J14150">
        <f>IF($H14150=0,1,IF($I14150&lt;=1,2,0))</f>
        <v>2</v>
      </c>
      <c r="K14150">
        <v>5</v>
      </c>
      <c r="L14150">
        <f>IF(AND($J14150=0,$K14150=0),0,1)</f>
        <v>1</v>
      </c>
      <c r="M14150" t="s">
        <v>1372</v>
      </c>
    </row>
    <row r="14151" spans="1:13" x14ac:dyDescent="0.2">
      <c r="A14151" t="s">
        <v>54</v>
      </c>
      <c r="B14151" t="s">
        <v>6</v>
      </c>
      <c r="C14151" t="s">
        <v>11</v>
      </c>
      <c r="D14151">
        <v>9102</v>
      </c>
      <c r="E14151">
        <v>2021</v>
      </c>
      <c r="F14151">
        <v>6</v>
      </c>
      <c r="G14151">
        <v>11193</v>
      </c>
      <c r="H14151" s="1" t="s">
        <v>1826</v>
      </c>
      <c r="I14151">
        <v>0</v>
      </c>
      <c r="J14151">
        <f>IF($H14151=0,1,IF($I14151&lt;=1,2,0))</f>
        <v>2</v>
      </c>
      <c r="K14151">
        <v>5</v>
      </c>
      <c r="L14151">
        <f>IF(AND($J14151=0,$K14151=0),0,1)</f>
        <v>1</v>
      </c>
      <c r="M14151" t="s">
        <v>1372</v>
      </c>
    </row>
    <row r="14152" spans="1:13" x14ac:dyDescent="0.2">
      <c r="A14152" t="s">
        <v>54</v>
      </c>
      <c r="B14152" t="s">
        <v>6</v>
      </c>
      <c r="C14152" t="s">
        <v>11</v>
      </c>
      <c r="D14152">
        <v>9102</v>
      </c>
      <c r="E14152">
        <v>2021</v>
      </c>
      <c r="F14152">
        <v>7</v>
      </c>
      <c r="G14152">
        <v>11194</v>
      </c>
      <c r="H14152" s="1" t="s">
        <v>1826</v>
      </c>
      <c r="I14152">
        <v>0</v>
      </c>
      <c r="J14152">
        <f>IF($H14152=0,1,IF($I14152&lt;=1,2,0))</f>
        <v>2</v>
      </c>
      <c r="K14152">
        <v>5</v>
      </c>
      <c r="L14152">
        <f>IF(AND($J14152=0,$K14152=0),0,1)</f>
        <v>1</v>
      </c>
      <c r="M14152" t="s">
        <v>1372</v>
      </c>
    </row>
    <row r="14153" spans="1:13" x14ac:dyDescent="0.2">
      <c r="A14153" t="s">
        <v>54</v>
      </c>
      <c r="B14153" t="s">
        <v>6</v>
      </c>
      <c r="C14153" t="s">
        <v>11</v>
      </c>
      <c r="D14153">
        <v>9102</v>
      </c>
      <c r="E14153">
        <v>2021</v>
      </c>
      <c r="F14153">
        <v>8</v>
      </c>
      <c r="G14153">
        <v>11828</v>
      </c>
      <c r="H14153" s="1" t="s">
        <v>1826</v>
      </c>
      <c r="I14153">
        <v>0</v>
      </c>
      <c r="J14153">
        <f>IF($H14153=0,1,IF($I14153&lt;=1,2,0))</f>
        <v>2</v>
      </c>
      <c r="K14153">
        <v>5</v>
      </c>
      <c r="L14153">
        <f>IF(AND($J14153=0,$K14153=0),0,1)</f>
        <v>1</v>
      </c>
      <c r="M14153" t="s">
        <v>1372</v>
      </c>
    </row>
    <row r="14154" spans="1:13" x14ac:dyDescent="0.2">
      <c r="A14154" t="s">
        <v>54</v>
      </c>
      <c r="B14154" t="s">
        <v>6</v>
      </c>
      <c r="C14154" t="s">
        <v>11</v>
      </c>
      <c r="D14154">
        <v>9103</v>
      </c>
      <c r="E14154">
        <v>2021</v>
      </c>
      <c r="F14154">
        <v>1</v>
      </c>
      <c r="G14154">
        <v>11683</v>
      </c>
      <c r="H14154" s="1" t="s">
        <v>1826</v>
      </c>
      <c r="I14154">
        <v>0</v>
      </c>
      <c r="J14154">
        <f>IF($H14154=0,1,IF($I14154&lt;=1,2,0))</f>
        <v>2</v>
      </c>
      <c r="K14154">
        <v>5</v>
      </c>
      <c r="L14154">
        <f>IF(AND($J14154=0,$K14154=0),0,1)</f>
        <v>1</v>
      </c>
      <c r="M14154" t="s">
        <v>1363</v>
      </c>
    </row>
    <row r="14155" spans="1:13" x14ac:dyDescent="0.2">
      <c r="A14155" t="s">
        <v>54</v>
      </c>
      <c r="B14155" t="s">
        <v>6</v>
      </c>
      <c r="C14155" t="s">
        <v>11</v>
      </c>
      <c r="D14155">
        <v>9105</v>
      </c>
      <c r="E14155">
        <v>2021</v>
      </c>
      <c r="F14155">
        <v>1</v>
      </c>
      <c r="G14155">
        <v>11607</v>
      </c>
      <c r="H14155" s="1" t="s">
        <v>1826</v>
      </c>
      <c r="I14155">
        <v>0</v>
      </c>
      <c r="J14155">
        <f>IF($H14155=0,1,IF($I14155&lt;=1,2,0))</f>
        <v>2</v>
      </c>
      <c r="K14155">
        <v>5</v>
      </c>
      <c r="L14155">
        <f>IF(AND($J14155=0,$K14155=0),0,1)</f>
        <v>1</v>
      </c>
      <c r="M14155" t="s">
        <v>1376</v>
      </c>
    </row>
    <row r="14156" spans="1:13" x14ac:dyDescent="0.2">
      <c r="A14156" t="s">
        <v>54</v>
      </c>
      <c r="B14156" t="s">
        <v>6</v>
      </c>
      <c r="C14156" t="s">
        <v>11</v>
      </c>
      <c r="D14156">
        <v>9105</v>
      </c>
      <c r="E14156">
        <v>2021</v>
      </c>
      <c r="F14156">
        <v>2</v>
      </c>
      <c r="G14156">
        <v>11750</v>
      </c>
      <c r="H14156" s="1" t="s">
        <v>1826</v>
      </c>
      <c r="I14156">
        <v>0</v>
      </c>
      <c r="J14156">
        <f>IF($H14156=0,1,IF($I14156&lt;=1,2,0))</f>
        <v>2</v>
      </c>
      <c r="K14156">
        <v>5</v>
      </c>
      <c r="L14156">
        <f>IF(AND($J14156=0,$K14156=0),0,1)</f>
        <v>1</v>
      </c>
      <c r="M14156" t="s">
        <v>1372</v>
      </c>
    </row>
    <row r="14157" spans="1:13" x14ac:dyDescent="0.2">
      <c r="A14157" t="s">
        <v>54</v>
      </c>
      <c r="B14157" t="s">
        <v>6</v>
      </c>
      <c r="C14157" t="s">
        <v>11</v>
      </c>
      <c r="D14157">
        <v>9105</v>
      </c>
      <c r="E14157">
        <v>2021</v>
      </c>
      <c r="F14157">
        <v>3</v>
      </c>
      <c r="G14157">
        <v>11752</v>
      </c>
      <c r="H14157" s="1" t="s">
        <v>1826</v>
      </c>
      <c r="I14157">
        <v>0</v>
      </c>
      <c r="J14157">
        <f>IF($H14157=0,1,IF($I14157&lt;=1,2,0))</f>
        <v>2</v>
      </c>
      <c r="K14157">
        <v>5</v>
      </c>
      <c r="L14157">
        <f>IF(AND($J14157=0,$K14157=0),0,1)</f>
        <v>1</v>
      </c>
      <c r="M14157" t="s">
        <v>1372</v>
      </c>
    </row>
    <row r="14158" spans="1:13" x14ac:dyDescent="0.2">
      <c r="A14158" t="s">
        <v>54</v>
      </c>
      <c r="B14158" t="s">
        <v>6</v>
      </c>
      <c r="C14158" t="s">
        <v>11</v>
      </c>
      <c r="D14158">
        <v>9105</v>
      </c>
      <c r="E14158">
        <v>2021</v>
      </c>
      <c r="F14158">
        <v>4</v>
      </c>
      <c r="G14158">
        <v>11754</v>
      </c>
      <c r="H14158" s="1" t="s">
        <v>1826</v>
      </c>
      <c r="I14158">
        <v>0</v>
      </c>
      <c r="J14158">
        <f>IF($H14158=0,1,IF($I14158&lt;=1,2,0))</f>
        <v>2</v>
      </c>
      <c r="K14158">
        <v>5</v>
      </c>
      <c r="L14158">
        <f>IF(AND($J14158=0,$K14158=0),0,1)</f>
        <v>1</v>
      </c>
      <c r="M14158" t="s">
        <v>1372</v>
      </c>
    </row>
    <row r="14159" spans="1:13" x14ac:dyDescent="0.2">
      <c r="A14159" t="s">
        <v>54</v>
      </c>
      <c r="B14159" t="s">
        <v>6</v>
      </c>
      <c r="C14159" t="s">
        <v>11</v>
      </c>
      <c r="D14159">
        <v>9105</v>
      </c>
      <c r="E14159">
        <v>2021</v>
      </c>
      <c r="F14159">
        <v>5</v>
      </c>
      <c r="G14159">
        <v>11755</v>
      </c>
      <c r="H14159" s="1" t="s">
        <v>1826</v>
      </c>
      <c r="I14159">
        <v>0</v>
      </c>
      <c r="J14159">
        <f>IF($H14159=0,1,IF($I14159&lt;=1,2,0))</f>
        <v>2</v>
      </c>
      <c r="K14159">
        <v>5</v>
      </c>
      <c r="L14159">
        <f>IF(AND($J14159=0,$K14159=0),0,1)</f>
        <v>1</v>
      </c>
      <c r="M14159" t="s">
        <v>1372</v>
      </c>
    </row>
    <row r="14160" spans="1:13" x14ac:dyDescent="0.2">
      <c r="A14160" t="s">
        <v>54</v>
      </c>
      <c r="B14160" t="s">
        <v>6</v>
      </c>
      <c r="C14160" t="s">
        <v>11</v>
      </c>
      <c r="D14160">
        <v>9105</v>
      </c>
      <c r="E14160">
        <v>2021</v>
      </c>
      <c r="F14160">
        <v>6</v>
      </c>
      <c r="G14160">
        <v>11757</v>
      </c>
      <c r="H14160" s="1" t="s">
        <v>1826</v>
      </c>
      <c r="I14160">
        <v>0</v>
      </c>
      <c r="J14160">
        <f>IF($H14160=0,1,IF($I14160&lt;=1,2,0))</f>
        <v>2</v>
      </c>
      <c r="K14160">
        <v>5</v>
      </c>
      <c r="L14160">
        <f>IF(AND($J14160=0,$K14160=0),0,1)</f>
        <v>1</v>
      </c>
      <c r="M14160" t="s">
        <v>1372</v>
      </c>
    </row>
    <row r="14161" spans="1:13" x14ac:dyDescent="0.2">
      <c r="A14161" t="s">
        <v>54</v>
      </c>
      <c r="B14161" t="s">
        <v>6</v>
      </c>
      <c r="C14161" t="s">
        <v>11</v>
      </c>
      <c r="D14161">
        <v>9105</v>
      </c>
      <c r="E14161">
        <v>2021</v>
      </c>
      <c r="F14161">
        <v>7</v>
      </c>
      <c r="G14161">
        <v>11758</v>
      </c>
      <c r="H14161" s="1" t="s">
        <v>1826</v>
      </c>
      <c r="I14161">
        <v>0</v>
      </c>
      <c r="J14161">
        <f>IF($H14161=0,1,IF($I14161&lt;=1,2,0))</f>
        <v>2</v>
      </c>
      <c r="K14161">
        <v>5</v>
      </c>
      <c r="L14161">
        <f>IF(AND($J14161=0,$K14161=0),0,1)</f>
        <v>1</v>
      </c>
      <c r="M14161" t="s">
        <v>1372</v>
      </c>
    </row>
    <row r="14162" spans="1:13" x14ac:dyDescent="0.2">
      <c r="A14162" t="s">
        <v>54</v>
      </c>
      <c r="B14162" t="s">
        <v>6</v>
      </c>
      <c r="C14162" t="s">
        <v>11</v>
      </c>
      <c r="D14162">
        <v>9105</v>
      </c>
      <c r="E14162">
        <v>2021</v>
      </c>
      <c r="F14162">
        <v>8</v>
      </c>
      <c r="G14162">
        <v>11759</v>
      </c>
      <c r="H14162" s="1" t="s">
        <v>1826</v>
      </c>
      <c r="I14162">
        <v>0</v>
      </c>
      <c r="J14162">
        <f>IF($H14162=0,1,IF($I14162&lt;=1,2,0))</f>
        <v>2</v>
      </c>
      <c r="K14162">
        <v>5</v>
      </c>
      <c r="L14162">
        <f>IF(AND($J14162=0,$K14162=0),0,1)</f>
        <v>1</v>
      </c>
      <c r="M14162" t="s">
        <v>1372</v>
      </c>
    </row>
    <row r="14163" spans="1:13" x14ac:dyDescent="0.2">
      <c r="A14163" t="s">
        <v>54</v>
      </c>
      <c r="B14163" t="s">
        <v>6</v>
      </c>
      <c r="C14163" t="s">
        <v>11</v>
      </c>
      <c r="D14163">
        <v>9105</v>
      </c>
      <c r="E14163">
        <v>2021</v>
      </c>
      <c r="F14163">
        <v>9</v>
      </c>
      <c r="G14163">
        <v>11761</v>
      </c>
      <c r="H14163" s="1" t="s">
        <v>1826</v>
      </c>
      <c r="I14163">
        <v>0</v>
      </c>
      <c r="J14163">
        <f>IF($H14163=0,1,IF($I14163&lt;=1,2,0))</f>
        <v>2</v>
      </c>
      <c r="K14163">
        <v>5</v>
      </c>
      <c r="L14163">
        <f>IF(AND($J14163=0,$K14163=0),0,1)</f>
        <v>1</v>
      </c>
      <c r="M14163" t="s">
        <v>1372</v>
      </c>
    </row>
    <row r="14164" spans="1:13" x14ac:dyDescent="0.2">
      <c r="A14164" t="s">
        <v>54</v>
      </c>
      <c r="B14164" t="s">
        <v>6</v>
      </c>
      <c r="C14164" t="s">
        <v>11</v>
      </c>
      <c r="D14164">
        <v>9105</v>
      </c>
      <c r="E14164">
        <v>2021</v>
      </c>
      <c r="F14164">
        <v>10</v>
      </c>
      <c r="G14164">
        <v>11764</v>
      </c>
      <c r="H14164" s="1" t="s">
        <v>1826</v>
      </c>
      <c r="I14164">
        <v>0</v>
      </c>
      <c r="J14164">
        <f>IF($H14164=0,1,IF($I14164&lt;=1,2,0))</f>
        <v>2</v>
      </c>
      <c r="K14164">
        <v>5</v>
      </c>
      <c r="L14164">
        <f>IF(AND($J14164=0,$K14164=0),0,1)</f>
        <v>1</v>
      </c>
      <c r="M14164" t="s">
        <v>1372</v>
      </c>
    </row>
    <row r="14165" spans="1:13" x14ac:dyDescent="0.2">
      <c r="A14165" t="s">
        <v>54</v>
      </c>
      <c r="B14165" t="s">
        <v>6</v>
      </c>
      <c r="C14165" t="s">
        <v>11</v>
      </c>
      <c r="D14165">
        <v>9105</v>
      </c>
      <c r="E14165">
        <v>2021</v>
      </c>
      <c r="F14165">
        <v>11</v>
      </c>
      <c r="G14165">
        <v>11767</v>
      </c>
      <c r="H14165" s="1" t="s">
        <v>1826</v>
      </c>
      <c r="I14165">
        <v>0</v>
      </c>
      <c r="J14165">
        <f>IF($H14165=0,1,IF($I14165&lt;=1,2,0))</f>
        <v>2</v>
      </c>
      <c r="K14165">
        <v>5</v>
      </c>
      <c r="L14165">
        <f>IF(AND($J14165=0,$K14165=0),0,1)</f>
        <v>1</v>
      </c>
      <c r="M14165" t="s">
        <v>1372</v>
      </c>
    </row>
    <row r="14166" spans="1:13" x14ac:dyDescent="0.2">
      <c r="A14166" t="s">
        <v>54</v>
      </c>
      <c r="B14166" t="s">
        <v>6</v>
      </c>
      <c r="C14166" t="s">
        <v>11</v>
      </c>
      <c r="D14166">
        <v>9105</v>
      </c>
      <c r="E14166">
        <v>2021</v>
      </c>
      <c r="F14166">
        <v>12</v>
      </c>
      <c r="G14166">
        <v>11768</v>
      </c>
      <c r="H14166" s="1" t="s">
        <v>1826</v>
      </c>
      <c r="I14166">
        <v>0</v>
      </c>
      <c r="J14166">
        <f>IF($H14166=0,1,IF($I14166&lt;=1,2,0))</f>
        <v>2</v>
      </c>
      <c r="K14166">
        <v>5</v>
      </c>
      <c r="L14166">
        <f>IF(AND($J14166=0,$K14166=0),0,1)</f>
        <v>1</v>
      </c>
      <c r="M14166" t="s">
        <v>1372</v>
      </c>
    </row>
    <row r="14167" spans="1:13" x14ac:dyDescent="0.2">
      <c r="A14167" t="s">
        <v>54</v>
      </c>
      <c r="B14167" t="s">
        <v>6</v>
      </c>
      <c r="C14167" t="s">
        <v>11</v>
      </c>
      <c r="D14167">
        <v>9105</v>
      </c>
      <c r="E14167">
        <v>2021</v>
      </c>
      <c r="F14167">
        <v>13</v>
      </c>
      <c r="G14167">
        <v>11771</v>
      </c>
      <c r="H14167" s="1" t="s">
        <v>1826</v>
      </c>
      <c r="I14167">
        <v>0</v>
      </c>
      <c r="J14167">
        <f>IF($H14167=0,1,IF($I14167&lt;=1,2,0))</f>
        <v>2</v>
      </c>
      <c r="K14167">
        <v>5</v>
      </c>
      <c r="L14167">
        <f>IF(AND($J14167=0,$K14167=0),0,1)</f>
        <v>1</v>
      </c>
      <c r="M14167" t="s">
        <v>1372</v>
      </c>
    </row>
    <row r="14168" spans="1:13" x14ac:dyDescent="0.2">
      <c r="A14168" t="s">
        <v>54</v>
      </c>
      <c r="B14168" t="s">
        <v>6</v>
      </c>
      <c r="C14168" t="s">
        <v>11</v>
      </c>
      <c r="D14168">
        <v>9105</v>
      </c>
      <c r="E14168">
        <v>2021</v>
      </c>
      <c r="F14168">
        <v>14</v>
      </c>
      <c r="G14168">
        <v>11772</v>
      </c>
      <c r="H14168" s="1" t="s">
        <v>1826</v>
      </c>
      <c r="I14168">
        <v>0</v>
      </c>
      <c r="J14168">
        <f>IF($H14168=0,1,IF($I14168&lt;=1,2,0))</f>
        <v>2</v>
      </c>
      <c r="K14168">
        <v>5</v>
      </c>
      <c r="L14168">
        <f>IF(AND($J14168=0,$K14168=0),0,1)</f>
        <v>1</v>
      </c>
      <c r="M14168" t="s">
        <v>1372</v>
      </c>
    </row>
    <row r="14169" spans="1:13" x14ac:dyDescent="0.2">
      <c r="A14169" t="s">
        <v>54</v>
      </c>
      <c r="B14169" t="s">
        <v>6</v>
      </c>
      <c r="C14169" t="s">
        <v>11</v>
      </c>
      <c r="D14169">
        <v>9105</v>
      </c>
      <c r="E14169">
        <v>2021</v>
      </c>
      <c r="F14169">
        <v>15</v>
      </c>
      <c r="G14169">
        <v>11776</v>
      </c>
      <c r="H14169" s="1" t="s">
        <v>1826</v>
      </c>
      <c r="I14169">
        <v>0</v>
      </c>
      <c r="J14169">
        <f>IF($H14169=0,1,IF($I14169&lt;=1,2,0))</f>
        <v>2</v>
      </c>
      <c r="K14169">
        <v>5</v>
      </c>
      <c r="L14169">
        <f>IF(AND($J14169=0,$K14169=0),0,1)</f>
        <v>1</v>
      </c>
      <c r="M14169" t="s">
        <v>1372</v>
      </c>
    </row>
    <row r="14170" spans="1:13" x14ac:dyDescent="0.2">
      <c r="A14170" t="s">
        <v>54</v>
      </c>
      <c r="B14170" t="s">
        <v>6</v>
      </c>
      <c r="C14170" t="s">
        <v>11</v>
      </c>
      <c r="D14170">
        <v>9105</v>
      </c>
      <c r="E14170">
        <v>2021</v>
      </c>
      <c r="F14170">
        <v>16</v>
      </c>
      <c r="G14170">
        <v>11777</v>
      </c>
      <c r="H14170" s="1" t="s">
        <v>1826</v>
      </c>
      <c r="I14170">
        <v>0</v>
      </c>
      <c r="J14170">
        <f>IF($H14170=0,1,IF($I14170&lt;=1,2,0))</f>
        <v>2</v>
      </c>
      <c r="K14170">
        <v>5</v>
      </c>
      <c r="L14170">
        <f>IF(AND($J14170=0,$K14170=0),0,1)</f>
        <v>1</v>
      </c>
      <c r="M14170" t="s">
        <v>1372</v>
      </c>
    </row>
    <row r="14171" spans="1:13" x14ac:dyDescent="0.2">
      <c r="A14171" t="s">
        <v>54</v>
      </c>
      <c r="B14171" t="s">
        <v>6</v>
      </c>
      <c r="C14171" t="s">
        <v>11</v>
      </c>
      <c r="D14171">
        <v>9105</v>
      </c>
      <c r="E14171">
        <v>2021</v>
      </c>
      <c r="F14171">
        <v>17</v>
      </c>
      <c r="G14171">
        <v>11778</v>
      </c>
      <c r="H14171" s="1" t="s">
        <v>1826</v>
      </c>
      <c r="I14171">
        <v>0</v>
      </c>
      <c r="J14171">
        <f>IF($H14171=0,1,IF($I14171&lt;=1,2,0))</f>
        <v>2</v>
      </c>
      <c r="K14171">
        <v>5</v>
      </c>
      <c r="L14171">
        <f>IF(AND($J14171=0,$K14171=0),0,1)</f>
        <v>1</v>
      </c>
      <c r="M14171" t="s">
        <v>1372</v>
      </c>
    </row>
    <row r="14172" spans="1:13" x14ac:dyDescent="0.2">
      <c r="A14172" t="s">
        <v>54</v>
      </c>
      <c r="B14172" t="s">
        <v>6</v>
      </c>
      <c r="C14172" t="s">
        <v>11</v>
      </c>
      <c r="D14172">
        <v>9105</v>
      </c>
      <c r="E14172">
        <v>2021</v>
      </c>
      <c r="F14172">
        <v>18</v>
      </c>
      <c r="G14172">
        <v>11780</v>
      </c>
      <c r="H14172" s="1" t="s">
        <v>1826</v>
      </c>
      <c r="I14172">
        <v>0</v>
      </c>
      <c r="J14172">
        <f>IF($H14172=0,1,IF($I14172&lt;=1,2,0))</f>
        <v>2</v>
      </c>
      <c r="K14172">
        <v>5</v>
      </c>
      <c r="L14172">
        <f>IF(AND($J14172=0,$K14172=0),0,1)</f>
        <v>1</v>
      </c>
      <c r="M14172" t="s">
        <v>1372</v>
      </c>
    </row>
    <row r="14173" spans="1:13" x14ac:dyDescent="0.2">
      <c r="A14173" t="s">
        <v>54</v>
      </c>
      <c r="B14173" t="s">
        <v>6</v>
      </c>
      <c r="C14173" t="s">
        <v>11</v>
      </c>
      <c r="D14173">
        <v>9105</v>
      </c>
      <c r="E14173">
        <v>2021</v>
      </c>
      <c r="F14173">
        <v>19</v>
      </c>
      <c r="G14173">
        <v>14181</v>
      </c>
      <c r="H14173" s="1" t="s">
        <v>1826</v>
      </c>
      <c r="I14173">
        <v>0</v>
      </c>
      <c r="J14173">
        <f>IF($H14173=0,1,IF($I14173&lt;=1,2,0))</f>
        <v>2</v>
      </c>
      <c r="K14173">
        <v>5</v>
      </c>
      <c r="L14173">
        <f>IF(AND($J14173=0,$K14173=0),0,1)</f>
        <v>1</v>
      </c>
    </row>
    <row r="14174" spans="1:13" x14ac:dyDescent="0.2">
      <c r="A14174" t="s">
        <v>54</v>
      </c>
      <c r="B14174" t="s">
        <v>6</v>
      </c>
      <c r="C14174" t="s">
        <v>11</v>
      </c>
      <c r="D14174">
        <v>9105</v>
      </c>
      <c r="E14174">
        <v>2021</v>
      </c>
      <c r="F14174">
        <v>20</v>
      </c>
      <c r="G14174">
        <v>20527</v>
      </c>
      <c r="H14174" s="1" t="s">
        <v>1826</v>
      </c>
      <c r="I14174">
        <v>0</v>
      </c>
      <c r="J14174">
        <f>IF($H14174=0,1,IF($I14174&lt;=1,2,0))</f>
        <v>2</v>
      </c>
      <c r="K14174">
        <v>5</v>
      </c>
      <c r="L14174">
        <f>IF(AND($J14174=0,$K14174=0),0,1)</f>
        <v>1</v>
      </c>
    </row>
    <row r="14175" spans="1:13" x14ac:dyDescent="0.2">
      <c r="A14175" t="s">
        <v>54</v>
      </c>
      <c r="B14175" t="s">
        <v>6</v>
      </c>
      <c r="C14175" t="s">
        <v>11</v>
      </c>
      <c r="D14175">
        <v>9110</v>
      </c>
      <c r="E14175">
        <v>2021</v>
      </c>
      <c r="F14175">
        <v>1</v>
      </c>
      <c r="G14175">
        <v>10124</v>
      </c>
      <c r="H14175" s="1" t="s">
        <v>1826</v>
      </c>
      <c r="I14175">
        <v>0</v>
      </c>
      <c r="J14175">
        <f>IF($H14175=0,1,IF($I14175&lt;=1,2,0))</f>
        <v>2</v>
      </c>
      <c r="K14175">
        <v>5</v>
      </c>
      <c r="L14175">
        <f>IF(AND($J14175=0,$K14175=0),0,1)</f>
        <v>1</v>
      </c>
      <c r="M14175" t="s">
        <v>853</v>
      </c>
    </row>
    <row r="14176" spans="1:13" x14ac:dyDescent="0.2">
      <c r="A14176" t="s">
        <v>54</v>
      </c>
      <c r="B14176" t="s">
        <v>6</v>
      </c>
      <c r="C14176" t="s">
        <v>11</v>
      </c>
      <c r="D14176">
        <v>9111</v>
      </c>
      <c r="E14176">
        <v>2021</v>
      </c>
      <c r="F14176">
        <v>1</v>
      </c>
      <c r="G14176">
        <v>10125</v>
      </c>
      <c r="H14176" s="1" t="s">
        <v>1826</v>
      </c>
      <c r="I14176">
        <v>0</v>
      </c>
      <c r="J14176">
        <f>IF($H14176=0,1,IF($I14176&lt;=1,2,0))</f>
        <v>2</v>
      </c>
      <c r="K14176">
        <v>5</v>
      </c>
      <c r="L14176">
        <f>IF(AND($J14176=0,$K14176=0),0,1)</f>
        <v>1</v>
      </c>
      <c r="M14176" t="s">
        <v>853</v>
      </c>
    </row>
    <row r="14177" spans="1:13" x14ac:dyDescent="0.2">
      <c r="A14177" t="s">
        <v>54</v>
      </c>
      <c r="B14177" t="s">
        <v>6</v>
      </c>
      <c r="C14177" t="s">
        <v>11</v>
      </c>
      <c r="D14177">
        <v>9999</v>
      </c>
      <c r="E14177">
        <v>2021</v>
      </c>
      <c r="F14177">
        <v>1</v>
      </c>
      <c r="G14177">
        <v>10315</v>
      </c>
      <c r="H14177" s="1">
        <v>0</v>
      </c>
      <c r="I14177">
        <v>19</v>
      </c>
      <c r="J14177">
        <f>IF($H14177=0,1,IF($I14177&lt;=1,2,0))</f>
        <v>1</v>
      </c>
      <c r="K14177">
        <v>5</v>
      </c>
      <c r="L14177">
        <f>IF(AND($J14177=0,$K14177=0),0,1)</f>
        <v>1</v>
      </c>
      <c r="M14177" t="s">
        <v>1377</v>
      </c>
    </row>
    <row r="14178" spans="1:13" x14ac:dyDescent="0.2">
      <c r="A14178" t="s">
        <v>70</v>
      </c>
      <c r="B14178" t="s">
        <v>71</v>
      </c>
      <c r="C14178" t="s">
        <v>72</v>
      </c>
      <c r="D14178">
        <v>3999</v>
      </c>
      <c r="E14178">
        <v>2021</v>
      </c>
      <c r="F14178">
        <v>1</v>
      </c>
      <c r="G14178">
        <v>12623</v>
      </c>
      <c r="H14178" s="1" t="s">
        <v>1837</v>
      </c>
      <c r="I14178">
        <v>0</v>
      </c>
      <c r="J14178">
        <f>IF($H14178=0,1,IF($I14178&lt;=1,2,0))</f>
        <v>2</v>
      </c>
      <c r="K14178">
        <v>9</v>
      </c>
      <c r="L14178">
        <f>IF(AND($J14178=0,$K14178=0),0,1)</f>
        <v>1</v>
      </c>
    </row>
    <row r="14179" spans="1:13" x14ac:dyDescent="0.2">
      <c r="A14179" t="s">
        <v>70</v>
      </c>
      <c r="B14179" t="s">
        <v>71</v>
      </c>
      <c r="C14179" t="s">
        <v>72</v>
      </c>
      <c r="D14179">
        <v>3999</v>
      </c>
      <c r="E14179">
        <v>2021</v>
      </c>
      <c r="F14179">
        <v>2</v>
      </c>
      <c r="G14179">
        <v>12624</v>
      </c>
      <c r="H14179" s="1" t="s">
        <v>1837</v>
      </c>
      <c r="I14179">
        <v>0</v>
      </c>
      <c r="J14179">
        <f>IF($H14179=0,1,IF($I14179&lt;=1,2,0))</f>
        <v>2</v>
      </c>
      <c r="K14179">
        <v>9</v>
      </c>
      <c r="L14179">
        <f>IF(AND($J14179=0,$K14179=0),0,1)</f>
        <v>1</v>
      </c>
    </row>
    <row r="14180" spans="1:13" x14ac:dyDescent="0.2">
      <c r="A14180" t="s">
        <v>70</v>
      </c>
      <c r="B14180" t="s">
        <v>71</v>
      </c>
      <c r="C14180" t="s">
        <v>72</v>
      </c>
      <c r="D14180">
        <v>3999</v>
      </c>
      <c r="E14180">
        <v>2021</v>
      </c>
      <c r="F14180">
        <v>3</v>
      </c>
      <c r="G14180">
        <v>12625</v>
      </c>
      <c r="H14180" s="1" t="s">
        <v>1837</v>
      </c>
      <c r="I14180">
        <v>0</v>
      </c>
      <c r="J14180">
        <f>IF($H14180=0,1,IF($I14180&lt;=1,2,0))</f>
        <v>2</v>
      </c>
      <c r="K14180">
        <v>9</v>
      </c>
      <c r="L14180">
        <f>IF(AND($J14180=0,$K14180=0),0,1)</f>
        <v>1</v>
      </c>
    </row>
    <row r="14181" spans="1:13" x14ac:dyDescent="0.2">
      <c r="A14181" t="s">
        <v>70</v>
      </c>
      <c r="B14181" t="s">
        <v>71</v>
      </c>
      <c r="C14181" t="s">
        <v>72</v>
      </c>
      <c r="D14181">
        <v>3999</v>
      </c>
      <c r="E14181">
        <v>2021</v>
      </c>
      <c r="F14181">
        <v>4</v>
      </c>
      <c r="G14181">
        <v>12626</v>
      </c>
      <c r="H14181" s="1" t="s">
        <v>1837</v>
      </c>
      <c r="I14181">
        <v>0</v>
      </c>
      <c r="J14181">
        <f>IF($H14181=0,1,IF($I14181&lt;=1,2,0))</f>
        <v>2</v>
      </c>
      <c r="K14181">
        <v>9</v>
      </c>
      <c r="L14181">
        <f>IF(AND($J14181=0,$K14181=0),0,1)</f>
        <v>1</v>
      </c>
    </row>
    <row r="14182" spans="1:13" x14ac:dyDescent="0.2">
      <c r="A14182" t="s">
        <v>70</v>
      </c>
      <c r="B14182" t="s">
        <v>71</v>
      </c>
      <c r="C14182" t="s">
        <v>72</v>
      </c>
      <c r="D14182">
        <v>4999</v>
      </c>
      <c r="E14182">
        <v>2021</v>
      </c>
      <c r="F14182">
        <v>2</v>
      </c>
      <c r="G14182">
        <v>12627</v>
      </c>
      <c r="H14182" s="1" t="s">
        <v>1827</v>
      </c>
      <c r="I14182">
        <v>2</v>
      </c>
      <c r="J14182">
        <f>IF($H14182=0,1,IF($I14182&lt;=1,2,0))</f>
        <v>0</v>
      </c>
      <c r="K14182">
        <v>9</v>
      </c>
      <c r="L14182">
        <f>IF(AND($J14182=0,$K14182=0),0,1)</f>
        <v>1</v>
      </c>
    </row>
    <row r="14183" spans="1:13" x14ac:dyDescent="0.2">
      <c r="A14183" t="s">
        <v>70</v>
      </c>
      <c r="B14183" t="s">
        <v>71</v>
      </c>
      <c r="C14183" t="s">
        <v>72</v>
      </c>
      <c r="D14183">
        <v>4999</v>
      </c>
      <c r="E14183">
        <v>2021</v>
      </c>
      <c r="F14183">
        <v>4</v>
      </c>
      <c r="G14183">
        <v>20589</v>
      </c>
      <c r="H14183" s="1" t="s">
        <v>1827</v>
      </c>
      <c r="I14183">
        <v>1</v>
      </c>
      <c r="J14183">
        <f>IF($H14183=0,1,IF($I14183&lt;=1,2,0))</f>
        <v>2</v>
      </c>
      <c r="K14183">
        <v>9</v>
      </c>
      <c r="L14183">
        <f>IF(AND($J14183=0,$K14183=0),0,1)</f>
        <v>1</v>
      </c>
    </row>
    <row r="14184" spans="1:13" x14ac:dyDescent="0.2">
      <c r="A14184" t="s">
        <v>70</v>
      </c>
      <c r="B14184" t="s">
        <v>71</v>
      </c>
      <c r="C14184" t="s">
        <v>72</v>
      </c>
      <c r="D14184">
        <v>4999</v>
      </c>
      <c r="E14184">
        <v>2021</v>
      </c>
      <c r="F14184">
        <v>3</v>
      </c>
      <c r="G14184">
        <v>12628</v>
      </c>
      <c r="H14184" s="1" t="s">
        <v>1827</v>
      </c>
      <c r="I14184">
        <v>0</v>
      </c>
      <c r="J14184">
        <f>IF($H14184=0,1,IF($I14184&lt;=1,2,0))</f>
        <v>2</v>
      </c>
      <c r="K14184">
        <v>9</v>
      </c>
      <c r="L14184">
        <f>IF(AND($J14184=0,$K14184=0),0,1)</f>
        <v>1</v>
      </c>
    </row>
    <row r="14185" spans="1:13" x14ac:dyDescent="0.2">
      <c r="A14185" t="s">
        <v>70</v>
      </c>
      <c r="B14185" t="s">
        <v>71</v>
      </c>
      <c r="C14185" t="s">
        <v>72</v>
      </c>
      <c r="D14185">
        <v>6650</v>
      </c>
      <c r="E14185">
        <v>2021</v>
      </c>
      <c r="F14185">
        <v>4</v>
      </c>
      <c r="G14185">
        <v>18515</v>
      </c>
      <c r="H14185" s="1" t="s">
        <v>1828</v>
      </c>
      <c r="I14185">
        <v>1</v>
      </c>
      <c r="J14185">
        <f>IF($H14185=0,1,IF($I14185&lt;=1,2,0))</f>
        <v>2</v>
      </c>
      <c r="K14185">
        <v>0</v>
      </c>
      <c r="L14185">
        <f>IF(AND($J14185=0,$K14185=0),0,1)</f>
        <v>1</v>
      </c>
    </row>
    <row r="14186" spans="1:13" x14ac:dyDescent="0.2">
      <c r="A14186" t="s">
        <v>70</v>
      </c>
      <c r="B14186" t="s">
        <v>71</v>
      </c>
      <c r="C14186" t="s">
        <v>72</v>
      </c>
      <c r="D14186">
        <v>6650</v>
      </c>
      <c r="E14186">
        <v>2021</v>
      </c>
      <c r="F14186">
        <v>20</v>
      </c>
      <c r="G14186">
        <v>12632</v>
      </c>
      <c r="H14186" s="1" t="s">
        <v>1828</v>
      </c>
      <c r="I14186">
        <v>1</v>
      </c>
      <c r="J14186">
        <f>IF($H14186=0,1,IF($I14186&lt;=1,2,0))</f>
        <v>2</v>
      </c>
      <c r="K14186">
        <v>0</v>
      </c>
      <c r="L14186">
        <f>IF(AND($J14186=0,$K14186=0),0,1)</f>
        <v>1</v>
      </c>
    </row>
    <row r="14187" spans="1:13" x14ac:dyDescent="0.2">
      <c r="A14187" t="s">
        <v>70</v>
      </c>
      <c r="B14187" t="s">
        <v>71</v>
      </c>
      <c r="C14187" t="s">
        <v>72</v>
      </c>
      <c r="D14187">
        <v>6650</v>
      </c>
      <c r="E14187">
        <v>2021</v>
      </c>
      <c r="F14187">
        <v>10</v>
      </c>
      <c r="G14187">
        <v>12629</v>
      </c>
      <c r="H14187" s="1" t="s">
        <v>1828</v>
      </c>
      <c r="I14187">
        <v>0</v>
      </c>
      <c r="J14187">
        <f>IF($H14187=0,1,IF($I14187&lt;=1,2,0))</f>
        <v>2</v>
      </c>
      <c r="K14187">
        <v>0</v>
      </c>
      <c r="L14187">
        <f>IF(AND($J14187=0,$K14187=0),0,1)</f>
        <v>1</v>
      </c>
    </row>
    <row r="14188" spans="1:13" x14ac:dyDescent="0.2">
      <c r="A14188" t="s">
        <v>70</v>
      </c>
      <c r="B14188" t="s">
        <v>71</v>
      </c>
      <c r="C14188" t="s">
        <v>72</v>
      </c>
      <c r="D14188">
        <v>6650</v>
      </c>
      <c r="E14188">
        <v>2021</v>
      </c>
      <c r="F14188">
        <v>17</v>
      </c>
      <c r="G14188">
        <v>12630</v>
      </c>
      <c r="H14188" s="1" t="s">
        <v>1828</v>
      </c>
      <c r="I14188">
        <v>0</v>
      </c>
      <c r="J14188">
        <f>IF($H14188=0,1,IF($I14188&lt;=1,2,0))</f>
        <v>2</v>
      </c>
      <c r="K14188">
        <v>0</v>
      </c>
      <c r="L14188">
        <f>IF(AND($J14188=0,$K14188=0),0,1)</f>
        <v>1</v>
      </c>
    </row>
    <row r="14189" spans="1:13" x14ac:dyDescent="0.2">
      <c r="A14189" t="s">
        <v>70</v>
      </c>
      <c r="B14189" t="s">
        <v>71</v>
      </c>
      <c r="C14189" t="s">
        <v>72</v>
      </c>
      <c r="D14189">
        <v>6650</v>
      </c>
      <c r="E14189">
        <v>2021</v>
      </c>
      <c r="F14189">
        <v>24</v>
      </c>
      <c r="G14189">
        <v>12633</v>
      </c>
      <c r="H14189" s="1" t="s">
        <v>1828</v>
      </c>
      <c r="I14189">
        <v>0</v>
      </c>
      <c r="J14189">
        <f>IF($H14189=0,1,IF($I14189&lt;=1,2,0))</f>
        <v>2</v>
      </c>
      <c r="K14189">
        <v>0</v>
      </c>
      <c r="L14189">
        <f>IF(AND($J14189=0,$K14189=0),0,1)</f>
        <v>1</v>
      </c>
    </row>
    <row r="14190" spans="1:13" x14ac:dyDescent="0.2">
      <c r="A14190" t="s">
        <v>70</v>
      </c>
      <c r="B14190" t="s">
        <v>71</v>
      </c>
      <c r="C14190" t="s">
        <v>72</v>
      </c>
      <c r="D14190">
        <v>6650</v>
      </c>
      <c r="E14190">
        <v>2021</v>
      </c>
      <c r="F14190">
        <v>27</v>
      </c>
      <c r="G14190">
        <v>12634</v>
      </c>
      <c r="H14190" s="1" t="s">
        <v>1828</v>
      </c>
      <c r="I14190">
        <v>0</v>
      </c>
      <c r="J14190">
        <f>IF($H14190=0,1,IF($I14190&lt;=1,2,0))</f>
        <v>2</v>
      </c>
      <c r="K14190">
        <v>0</v>
      </c>
      <c r="L14190">
        <f>IF(AND($J14190=0,$K14190=0),0,1)</f>
        <v>1</v>
      </c>
    </row>
    <row r="14191" spans="1:13" x14ac:dyDescent="0.2">
      <c r="A14191" t="s">
        <v>70</v>
      </c>
      <c r="B14191" t="s">
        <v>71</v>
      </c>
      <c r="C14191" t="s">
        <v>72</v>
      </c>
      <c r="D14191">
        <v>6650</v>
      </c>
      <c r="E14191">
        <v>2021</v>
      </c>
      <c r="F14191">
        <v>28</v>
      </c>
      <c r="G14191">
        <v>12635</v>
      </c>
      <c r="H14191" s="1" t="s">
        <v>1828</v>
      </c>
      <c r="I14191">
        <v>0</v>
      </c>
      <c r="J14191">
        <f>IF($H14191=0,1,IF($I14191&lt;=1,2,0))</f>
        <v>2</v>
      </c>
      <c r="K14191">
        <v>0</v>
      </c>
      <c r="L14191">
        <f>IF(AND($J14191=0,$K14191=0),0,1)</f>
        <v>1</v>
      </c>
    </row>
    <row r="14192" spans="1:13" x14ac:dyDescent="0.2">
      <c r="A14192" t="s">
        <v>70</v>
      </c>
      <c r="B14192" t="s">
        <v>71</v>
      </c>
      <c r="C14192" t="s">
        <v>72</v>
      </c>
      <c r="D14192">
        <v>6650</v>
      </c>
      <c r="E14192">
        <v>2021</v>
      </c>
      <c r="F14192">
        <v>29</v>
      </c>
      <c r="G14192">
        <v>12636</v>
      </c>
      <c r="H14192" s="1" t="s">
        <v>1828</v>
      </c>
      <c r="I14192">
        <v>0</v>
      </c>
      <c r="J14192">
        <f>IF($H14192=0,1,IF($I14192&lt;=1,2,0))</f>
        <v>2</v>
      </c>
      <c r="K14192">
        <v>0</v>
      </c>
      <c r="L14192">
        <f>IF(AND($J14192=0,$K14192=0),0,1)</f>
        <v>1</v>
      </c>
    </row>
    <row r="14193" spans="1:12" x14ac:dyDescent="0.2">
      <c r="A14193" t="s">
        <v>70</v>
      </c>
      <c r="B14193" t="s">
        <v>71</v>
      </c>
      <c r="C14193" t="s">
        <v>72</v>
      </c>
      <c r="D14193">
        <v>6650</v>
      </c>
      <c r="E14193">
        <v>2021</v>
      </c>
      <c r="F14193">
        <v>31</v>
      </c>
      <c r="G14193">
        <v>12637</v>
      </c>
      <c r="H14193" s="1" t="s">
        <v>1828</v>
      </c>
      <c r="I14193">
        <v>0</v>
      </c>
      <c r="J14193">
        <f>IF($H14193=0,1,IF($I14193&lt;=1,2,0))</f>
        <v>2</v>
      </c>
      <c r="K14193">
        <v>0</v>
      </c>
      <c r="L14193">
        <f>IF(AND($J14193=0,$K14193=0),0,1)</f>
        <v>1</v>
      </c>
    </row>
    <row r="14194" spans="1:12" x14ac:dyDescent="0.2">
      <c r="A14194" t="s">
        <v>70</v>
      </c>
      <c r="B14194" t="s">
        <v>71</v>
      </c>
      <c r="C14194" t="s">
        <v>72</v>
      </c>
      <c r="D14194">
        <v>6650</v>
      </c>
      <c r="E14194">
        <v>2021</v>
      </c>
      <c r="F14194">
        <v>37</v>
      </c>
      <c r="G14194">
        <v>12638</v>
      </c>
      <c r="H14194" s="1" t="s">
        <v>1828</v>
      </c>
      <c r="I14194">
        <v>0</v>
      </c>
      <c r="J14194">
        <f>IF($H14194=0,1,IF($I14194&lt;=1,2,0))</f>
        <v>2</v>
      </c>
      <c r="K14194">
        <v>0</v>
      </c>
      <c r="L14194">
        <f>IF(AND($J14194=0,$K14194=0),0,1)</f>
        <v>1</v>
      </c>
    </row>
    <row r="14195" spans="1:12" x14ac:dyDescent="0.2">
      <c r="A14195" t="s">
        <v>70</v>
      </c>
      <c r="B14195" t="s">
        <v>71</v>
      </c>
      <c r="C14195" t="s">
        <v>72</v>
      </c>
      <c r="D14195">
        <v>6650</v>
      </c>
      <c r="E14195">
        <v>2021</v>
      </c>
      <c r="F14195">
        <v>40</v>
      </c>
      <c r="G14195">
        <v>20368</v>
      </c>
      <c r="H14195" s="1" t="s">
        <v>1828</v>
      </c>
      <c r="I14195">
        <v>0</v>
      </c>
      <c r="J14195">
        <f>IF($H14195=0,1,IF($I14195&lt;=1,2,0))</f>
        <v>2</v>
      </c>
      <c r="K14195">
        <v>0</v>
      </c>
      <c r="L14195">
        <f>IF(AND($J14195=0,$K14195=0),0,1)</f>
        <v>1</v>
      </c>
    </row>
    <row r="14196" spans="1:12" x14ac:dyDescent="0.2">
      <c r="A14196" t="s">
        <v>70</v>
      </c>
      <c r="B14196" t="s">
        <v>71</v>
      </c>
      <c r="C14196" t="s">
        <v>72</v>
      </c>
      <c r="D14196">
        <v>9301</v>
      </c>
      <c r="E14196">
        <v>2021</v>
      </c>
      <c r="F14196">
        <v>10</v>
      </c>
      <c r="G14196">
        <v>12643</v>
      </c>
      <c r="H14196" s="1" t="s">
        <v>1829</v>
      </c>
      <c r="I14196">
        <v>7</v>
      </c>
      <c r="J14196">
        <f>IF($H14196=0,1,IF($I14196&lt;=1,2,0))</f>
        <v>0</v>
      </c>
      <c r="K14196">
        <v>5</v>
      </c>
      <c r="L14196">
        <f>IF(AND($J14196=0,$K14196=0),0,1)</f>
        <v>1</v>
      </c>
    </row>
    <row r="14197" spans="1:12" x14ac:dyDescent="0.2">
      <c r="A14197" t="s">
        <v>70</v>
      </c>
      <c r="B14197" t="s">
        <v>71</v>
      </c>
      <c r="C14197" t="s">
        <v>72</v>
      </c>
      <c r="D14197">
        <v>9301</v>
      </c>
      <c r="E14197">
        <v>2021</v>
      </c>
      <c r="F14197">
        <v>34</v>
      </c>
      <c r="G14197">
        <v>12659</v>
      </c>
      <c r="H14197" s="1" t="s">
        <v>1829</v>
      </c>
      <c r="I14197">
        <v>6</v>
      </c>
      <c r="J14197">
        <f>IF($H14197=0,1,IF($I14197&lt;=1,2,0))</f>
        <v>0</v>
      </c>
      <c r="K14197">
        <v>5</v>
      </c>
      <c r="L14197">
        <f>IF(AND($J14197=0,$K14197=0),0,1)</f>
        <v>1</v>
      </c>
    </row>
    <row r="14198" spans="1:12" x14ac:dyDescent="0.2">
      <c r="A14198" t="s">
        <v>70</v>
      </c>
      <c r="B14198" t="s">
        <v>71</v>
      </c>
      <c r="C14198" t="s">
        <v>72</v>
      </c>
      <c r="D14198">
        <v>9301</v>
      </c>
      <c r="E14198">
        <v>2021</v>
      </c>
      <c r="F14198">
        <v>9</v>
      </c>
      <c r="G14198">
        <v>12642</v>
      </c>
      <c r="H14198" s="1" t="s">
        <v>1829</v>
      </c>
      <c r="I14198">
        <v>5</v>
      </c>
      <c r="J14198">
        <f>IF($H14198=0,1,IF($I14198&lt;=1,2,0))</f>
        <v>0</v>
      </c>
      <c r="K14198">
        <v>5</v>
      </c>
      <c r="L14198">
        <f>IF(AND($J14198=0,$K14198=0),0,1)</f>
        <v>1</v>
      </c>
    </row>
    <row r="14199" spans="1:12" x14ac:dyDescent="0.2">
      <c r="A14199" t="s">
        <v>70</v>
      </c>
      <c r="B14199" t="s">
        <v>71</v>
      </c>
      <c r="C14199" t="s">
        <v>72</v>
      </c>
      <c r="D14199">
        <v>9301</v>
      </c>
      <c r="E14199">
        <v>2021</v>
      </c>
      <c r="F14199">
        <v>17</v>
      </c>
      <c r="G14199">
        <v>12647</v>
      </c>
      <c r="H14199" s="1" t="s">
        <v>1829</v>
      </c>
      <c r="I14199">
        <v>4</v>
      </c>
      <c r="J14199">
        <f>IF($H14199=0,1,IF($I14199&lt;=1,2,0))</f>
        <v>0</v>
      </c>
      <c r="K14199">
        <v>5</v>
      </c>
      <c r="L14199">
        <f>IF(AND($J14199=0,$K14199=0),0,1)</f>
        <v>1</v>
      </c>
    </row>
    <row r="14200" spans="1:12" x14ac:dyDescent="0.2">
      <c r="A14200" t="s">
        <v>70</v>
      </c>
      <c r="B14200" t="s">
        <v>71</v>
      </c>
      <c r="C14200" t="s">
        <v>72</v>
      </c>
      <c r="D14200">
        <v>9301</v>
      </c>
      <c r="E14200">
        <v>2021</v>
      </c>
      <c r="F14200">
        <v>18</v>
      </c>
      <c r="G14200">
        <v>12648</v>
      </c>
      <c r="H14200" s="1" t="s">
        <v>1829</v>
      </c>
      <c r="I14200">
        <v>3</v>
      </c>
      <c r="J14200">
        <f>IF($H14200=0,1,IF($I14200&lt;=1,2,0))</f>
        <v>0</v>
      </c>
      <c r="K14200">
        <v>5</v>
      </c>
      <c r="L14200">
        <f>IF(AND($J14200=0,$K14200=0),0,1)</f>
        <v>1</v>
      </c>
    </row>
    <row r="14201" spans="1:12" x14ac:dyDescent="0.2">
      <c r="A14201" t="s">
        <v>70</v>
      </c>
      <c r="B14201" t="s">
        <v>71</v>
      </c>
      <c r="C14201" t="s">
        <v>72</v>
      </c>
      <c r="D14201">
        <v>9301</v>
      </c>
      <c r="E14201">
        <v>2021</v>
      </c>
      <c r="F14201">
        <v>24</v>
      </c>
      <c r="G14201">
        <v>12652</v>
      </c>
      <c r="H14201" s="1" t="s">
        <v>1829</v>
      </c>
      <c r="I14201">
        <v>3</v>
      </c>
      <c r="J14201">
        <f>IF($H14201=0,1,IF($I14201&lt;=1,2,0))</f>
        <v>0</v>
      </c>
      <c r="K14201">
        <v>5</v>
      </c>
      <c r="L14201">
        <f>IF(AND($J14201=0,$K14201=0),0,1)</f>
        <v>1</v>
      </c>
    </row>
    <row r="14202" spans="1:12" x14ac:dyDescent="0.2">
      <c r="A14202" t="s">
        <v>70</v>
      </c>
      <c r="B14202" t="s">
        <v>71</v>
      </c>
      <c r="C14202" t="s">
        <v>72</v>
      </c>
      <c r="D14202">
        <v>9301</v>
      </c>
      <c r="E14202">
        <v>2021</v>
      </c>
      <c r="F14202">
        <v>28</v>
      </c>
      <c r="G14202">
        <v>12655</v>
      </c>
      <c r="H14202" s="1" t="s">
        <v>1829</v>
      </c>
      <c r="I14202">
        <v>3</v>
      </c>
      <c r="J14202">
        <f>IF($H14202=0,1,IF($I14202&lt;=1,2,0))</f>
        <v>0</v>
      </c>
      <c r="K14202">
        <v>5</v>
      </c>
      <c r="L14202">
        <f>IF(AND($J14202=0,$K14202=0),0,1)</f>
        <v>1</v>
      </c>
    </row>
    <row r="14203" spans="1:12" x14ac:dyDescent="0.2">
      <c r="A14203" t="s">
        <v>70</v>
      </c>
      <c r="B14203" t="s">
        <v>71</v>
      </c>
      <c r="C14203" t="s">
        <v>72</v>
      </c>
      <c r="D14203">
        <v>9301</v>
      </c>
      <c r="E14203">
        <v>2021</v>
      </c>
      <c r="F14203">
        <v>35</v>
      </c>
      <c r="G14203">
        <v>12660</v>
      </c>
      <c r="H14203" s="1" t="s">
        <v>1829</v>
      </c>
      <c r="I14203">
        <v>3</v>
      </c>
      <c r="J14203">
        <f>IF($H14203=0,1,IF($I14203&lt;=1,2,0))</f>
        <v>0</v>
      </c>
      <c r="K14203">
        <v>5</v>
      </c>
      <c r="L14203">
        <f>IF(AND($J14203=0,$K14203=0),0,1)</f>
        <v>1</v>
      </c>
    </row>
    <row r="14204" spans="1:12" x14ac:dyDescent="0.2">
      <c r="A14204" t="s">
        <v>70</v>
      </c>
      <c r="B14204" t="s">
        <v>71</v>
      </c>
      <c r="C14204" t="s">
        <v>72</v>
      </c>
      <c r="D14204">
        <v>9301</v>
      </c>
      <c r="E14204">
        <v>2021</v>
      </c>
      <c r="F14204">
        <v>15</v>
      </c>
      <c r="G14204">
        <v>12646</v>
      </c>
      <c r="H14204" s="1" t="s">
        <v>1829</v>
      </c>
      <c r="I14204">
        <v>2</v>
      </c>
      <c r="J14204">
        <f>IF($H14204=0,1,IF($I14204&lt;=1,2,0))</f>
        <v>0</v>
      </c>
      <c r="K14204">
        <v>5</v>
      </c>
      <c r="L14204">
        <f>IF(AND($J14204=0,$K14204=0),0,1)</f>
        <v>1</v>
      </c>
    </row>
    <row r="14205" spans="1:12" x14ac:dyDescent="0.2">
      <c r="A14205" t="s">
        <v>70</v>
      </c>
      <c r="B14205" t="s">
        <v>71</v>
      </c>
      <c r="C14205" t="s">
        <v>72</v>
      </c>
      <c r="D14205">
        <v>9301</v>
      </c>
      <c r="E14205">
        <v>2021</v>
      </c>
      <c r="F14205">
        <v>22</v>
      </c>
      <c r="G14205">
        <v>12651</v>
      </c>
      <c r="H14205" s="1" t="s">
        <v>1829</v>
      </c>
      <c r="I14205">
        <v>2</v>
      </c>
      <c r="J14205">
        <f>IF($H14205=0,1,IF($I14205&lt;=1,2,0))</f>
        <v>0</v>
      </c>
      <c r="K14205">
        <v>5</v>
      </c>
      <c r="L14205">
        <f>IF(AND($J14205=0,$K14205=0),0,1)</f>
        <v>1</v>
      </c>
    </row>
    <row r="14206" spans="1:12" x14ac:dyDescent="0.2">
      <c r="A14206" t="s">
        <v>70</v>
      </c>
      <c r="B14206" t="s">
        <v>71</v>
      </c>
      <c r="C14206" t="s">
        <v>72</v>
      </c>
      <c r="D14206">
        <v>9301</v>
      </c>
      <c r="E14206">
        <v>2021</v>
      </c>
      <c r="F14206">
        <v>32</v>
      </c>
      <c r="G14206">
        <v>12658</v>
      </c>
      <c r="H14206" s="1" t="s">
        <v>1829</v>
      </c>
      <c r="I14206">
        <v>2</v>
      </c>
      <c r="J14206">
        <f>IF($H14206=0,1,IF($I14206&lt;=1,2,0))</f>
        <v>0</v>
      </c>
      <c r="K14206">
        <v>5</v>
      </c>
      <c r="L14206">
        <f>IF(AND($J14206=0,$K14206=0),0,1)</f>
        <v>1</v>
      </c>
    </row>
    <row r="14207" spans="1:12" x14ac:dyDescent="0.2">
      <c r="A14207" t="s">
        <v>70</v>
      </c>
      <c r="B14207" t="s">
        <v>71</v>
      </c>
      <c r="C14207" t="s">
        <v>72</v>
      </c>
      <c r="D14207">
        <v>9301</v>
      </c>
      <c r="E14207">
        <v>2021</v>
      </c>
      <c r="F14207">
        <v>37</v>
      </c>
      <c r="G14207">
        <v>20485</v>
      </c>
      <c r="H14207" s="1" t="s">
        <v>1829</v>
      </c>
      <c r="I14207">
        <v>2</v>
      </c>
      <c r="J14207">
        <f>IF($H14207=0,1,IF($I14207&lt;=1,2,0))</f>
        <v>0</v>
      </c>
      <c r="K14207">
        <v>5</v>
      </c>
      <c r="L14207">
        <f>IF(AND($J14207=0,$K14207=0),0,1)</f>
        <v>1</v>
      </c>
    </row>
    <row r="14208" spans="1:12" x14ac:dyDescent="0.2">
      <c r="A14208" t="s">
        <v>70</v>
      </c>
      <c r="B14208" t="s">
        <v>71</v>
      </c>
      <c r="C14208" t="s">
        <v>72</v>
      </c>
      <c r="D14208">
        <v>9301</v>
      </c>
      <c r="E14208">
        <v>2021</v>
      </c>
      <c r="F14208">
        <v>4</v>
      </c>
      <c r="G14208">
        <v>18516</v>
      </c>
      <c r="H14208" s="1" t="s">
        <v>1829</v>
      </c>
      <c r="I14208">
        <v>1</v>
      </c>
      <c r="J14208">
        <f>IF($H14208=0,1,IF($I14208&lt;=1,2,0))</f>
        <v>2</v>
      </c>
      <c r="K14208">
        <v>5</v>
      </c>
      <c r="L14208">
        <f>IF(AND($J14208=0,$K14208=0),0,1)</f>
        <v>1</v>
      </c>
    </row>
    <row r="14209" spans="1:12" x14ac:dyDescent="0.2">
      <c r="A14209" t="s">
        <v>70</v>
      </c>
      <c r="B14209" t="s">
        <v>71</v>
      </c>
      <c r="C14209" t="s">
        <v>72</v>
      </c>
      <c r="D14209">
        <v>9301</v>
      </c>
      <c r="E14209">
        <v>2021</v>
      </c>
      <c r="F14209">
        <v>5</v>
      </c>
      <c r="G14209">
        <v>12641</v>
      </c>
      <c r="H14209" s="1" t="s">
        <v>1829</v>
      </c>
      <c r="I14209">
        <v>1</v>
      </c>
      <c r="J14209">
        <f>IF($H14209=0,1,IF($I14209&lt;=1,2,0))</f>
        <v>2</v>
      </c>
      <c r="K14209">
        <v>5</v>
      </c>
      <c r="L14209">
        <f>IF(AND($J14209=0,$K14209=0),0,1)</f>
        <v>1</v>
      </c>
    </row>
    <row r="14210" spans="1:12" x14ac:dyDescent="0.2">
      <c r="A14210" t="s">
        <v>70</v>
      </c>
      <c r="B14210" t="s">
        <v>71</v>
      </c>
      <c r="C14210" t="s">
        <v>72</v>
      </c>
      <c r="D14210">
        <v>9301</v>
      </c>
      <c r="E14210">
        <v>2021</v>
      </c>
      <c r="F14210">
        <v>11</v>
      </c>
      <c r="G14210">
        <v>12644</v>
      </c>
      <c r="H14210" s="1" t="s">
        <v>1829</v>
      </c>
      <c r="I14210">
        <v>1</v>
      </c>
      <c r="J14210">
        <f>IF($H14210=0,1,IF($I14210&lt;=1,2,0))</f>
        <v>2</v>
      </c>
      <c r="K14210">
        <v>5</v>
      </c>
      <c r="L14210">
        <f>IF(AND($J14210=0,$K14210=0),0,1)</f>
        <v>1</v>
      </c>
    </row>
    <row r="14211" spans="1:12" x14ac:dyDescent="0.2">
      <c r="A14211" t="s">
        <v>70</v>
      </c>
      <c r="B14211" t="s">
        <v>71</v>
      </c>
      <c r="C14211" t="s">
        <v>72</v>
      </c>
      <c r="D14211">
        <v>9301</v>
      </c>
      <c r="E14211">
        <v>2021</v>
      </c>
      <c r="F14211">
        <v>13</v>
      </c>
      <c r="G14211">
        <v>12645</v>
      </c>
      <c r="H14211" s="1" t="s">
        <v>1829</v>
      </c>
      <c r="I14211">
        <v>1</v>
      </c>
      <c r="J14211">
        <f>IF($H14211=0,1,IF($I14211&lt;=1,2,0))</f>
        <v>2</v>
      </c>
      <c r="K14211">
        <v>5</v>
      </c>
      <c r="L14211">
        <f>IF(AND($J14211=0,$K14211=0),0,1)</f>
        <v>1</v>
      </c>
    </row>
    <row r="14212" spans="1:12" x14ac:dyDescent="0.2">
      <c r="A14212" t="s">
        <v>70</v>
      </c>
      <c r="B14212" t="s">
        <v>71</v>
      </c>
      <c r="C14212" t="s">
        <v>72</v>
      </c>
      <c r="D14212">
        <v>9301</v>
      </c>
      <c r="E14212">
        <v>2021</v>
      </c>
      <c r="F14212">
        <v>16</v>
      </c>
      <c r="G14212">
        <v>20111</v>
      </c>
      <c r="H14212" s="1" t="s">
        <v>1829</v>
      </c>
      <c r="I14212">
        <v>1</v>
      </c>
      <c r="J14212">
        <f>IF($H14212=0,1,IF($I14212&lt;=1,2,0))</f>
        <v>2</v>
      </c>
      <c r="K14212">
        <v>5</v>
      </c>
      <c r="L14212">
        <f>IF(AND($J14212=0,$K14212=0),0,1)</f>
        <v>1</v>
      </c>
    </row>
    <row r="14213" spans="1:12" x14ac:dyDescent="0.2">
      <c r="A14213" t="s">
        <v>70</v>
      </c>
      <c r="B14213" t="s">
        <v>71</v>
      </c>
      <c r="C14213" t="s">
        <v>72</v>
      </c>
      <c r="D14213">
        <v>9301</v>
      </c>
      <c r="E14213">
        <v>2021</v>
      </c>
      <c r="F14213">
        <v>25</v>
      </c>
      <c r="G14213">
        <v>12653</v>
      </c>
      <c r="H14213" s="1" t="s">
        <v>1829</v>
      </c>
      <c r="I14213">
        <v>1</v>
      </c>
      <c r="J14213">
        <f>IF($H14213=0,1,IF($I14213&lt;=1,2,0))</f>
        <v>2</v>
      </c>
      <c r="K14213">
        <v>5</v>
      </c>
      <c r="L14213">
        <f>IF(AND($J14213=0,$K14213=0),0,1)</f>
        <v>1</v>
      </c>
    </row>
    <row r="14214" spans="1:12" x14ac:dyDescent="0.2">
      <c r="A14214" t="s">
        <v>70</v>
      </c>
      <c r="B14214" t="s">
        <v>71</v>
      </c>
      <c r="C14214" t="s">
        <v>72</v>
      </c>
      <c r="D14214">
        <v>9301</v>
      </c>
      <c r="E14214">
        <v>2021</v>
      </c>
      <c r="F14214">
        <v>30</v>
      </c>
      <c r="G14214">
        <v>12656</v>
      </c>
      <c r="H14214" s="1" t="s">
        <v>1829</v>
      </c>
      <c r="I14214">
        <v>1</v>
      </c>
      <c r="J14214">
        <f>IF($H14214=0,1,IF($I14214&lt;=1,2,0))</f>
        <v>2</v>
      </c>
      <c r="K14214">
        <v>5</v>
      </c>
      <c r="L14214">
        <f>IF(AND($J14214=0,$K14214=0),0,1)</f>
        <v>1</v>
      </c>
    </row>
    <row r="14215" spans="1:12" x14ac:dyDescent="0.2">
      <c r="A14215" t="s">
        <v>70</v>
      </c>
      <c r="B14215" t="s">
        <v>71</v>
      </c>
      <c r="C14215" t="s">
        <v>72</v>
      </c>
      <c r="D14215">
        <v>9301</v>
      </c>
      <c r="E14215">
        <v>2021</v>
      </c>
      <c r="F14215">
        <v>31</v>
      </c>
      <c r="G14215">
        <v>12657</v>
      </c>
      <c r="H14215" s="1" t="s">
        <v>1829</v>
      </c>
      <c r="I14215">
        <v>1</v>
      </c>
      <c r="J14215">
        <f>IF($H14215=0,1,IF($I14215&lt;=1,2,0))</f>
        <v>2</v>
      </c>
      <c r="K14215">
        <v>5</v>
      </c>
      <c r="L14215">
        <f>IF(AND($J14215=0,$K14215=0),0,1)</f>
        <v>1</v>
      </c>
    </row>
    <row r="14216" spans="1:12" x14ac:dyDescent="0.2">
      <c r="A14216" t="s">
        <v>70</v>
      </c>
      <c r="B14216" t="s">
        <v>71</v>
      </c>
      <c r="C14216" t="s">
        <v>72</v>
      </c>
      <c r="D14216">
        <v>9301</v>
      </c>
      <c r="E14216">
        <v>2021</v>
      </c>
      <c r="F14216">
        <v>36</v>
      </c>
      <c r="G14216">
        <v>12661</v>
      </c>
      <c r="H14216" s="1" t="s">
        <v>1829</v>
      </c>
      <c r="I14216">
        <v>1</v>
      </c>
      <c r="J14216">
        <f>IF($H14216=0,1,IF($I14216&lt;=1,2,0))</f>
        <v>2</v>
      </c>
      <c r="K14216">
        <v>5</v>
      </c>
      <c r="L14216">
        <f>IF(AND($J14216=0,$K14216=0),0,1)</f>
        <v>1</v>
      </c>
    </row>
    <row r="14217" spans="1:12" x14ac:dyDescent="0.2">
      <c r="A14217" t="s">
        <v>70</v>
      </c>
      <c r="B14217" t="s">
        <v>71</v>
      </c>
      <c r="C14217" t="s">
        <v>72</v>
      </c>
      <c r="D14217">
        <v>9301</v>
      </c>
      <c r="E14217">
        <v>2021</v>
      </c>
      <c r="F14217">
        <v>3</v>
      </c>
      <c r="G14217">
        <v>12640</v>
      </c>
      <c r="H14217" s="1" t="s">
        <v>1829</v>
      </c>
      <c r="I14217">
        <v>0</v>
      </c>
      <c r="J14217">
        <f>IF($H14217=0,1,IF($I14217&lt;=1,2,0))</f>
        <v>2</v>
      </c>
      <c r="K14217">
        <v>5</v>
      </c>
      <c r="L14217">
        <f>IF(AND($J14217=0,$K14217=0),0,1)</f>
        <v>1</v>
      </c>
    </row>
    <row r="14218" spans="1:12" x14ac:dyDescent="0.2">
      <c r="A14218" t="s">
        <v>70</v>
      </c>
      <c r="B14218" t="s">
        <v>71</v>
      </c>
      <c r="C14218" t="s">
        <v>72</v>
      </c>
      <c r="D14218">
        <v>9301</v>
      </c>
      <c r="E14218">
        <v>2021</v>
      </c>
      <c r="F14218">
        <v>19</v>
      </c>
      <c r="G14218">
        <v>12649</v>
      </c>
      <c r="H14218" s="1" t="s">
        <v>1829</v>
      </c>
      <c r="I14218">
        <v>0</v>
      </c>
      <c r="J14218">
        <f>IF($H14218=0,1,IF($I14218&lt;=1,2,0))</f>
        <v>2</v>
      </c>
      <c r="K14218">
        <v>5</v>
      </c>
      <c r="L14218">
        <f>IF(AND($J14218=0,$K14218=0),0,1)</f>
        <v>1</v>
      </c>
    </row>
    <row r="14219" spans="1:12" x14ac:dyDescent="0.2">
      <c r="A14219" t="s">
        <v>70</v>
      </c>
      <c r="B14219" t="s">
        <v>71</v>
      </c>
      <c r="C14219" t="s">
        <v>72</v>
      </c>
      <c r="D14219">
        <v>9301</v>
      </c>
      <c r="E14219">
        <v>2021</v>
      </c>
      <c r="F14219">
        <v>21</v>
      </c>
      <c r="G14219">
        <v>12650</v>
      </c>
      <c r="H14219" s="1" t="s">
        <v>1829</v>
      </c>
      <c r="I14219">
        <v>0</v>
      </c>
      <c r="J14219">
        <f>IF($H14219=0,1,IF($I14219&lt;=1,2,0))</f>
        <v>2</v>
      </c>
      <c r="K14219">
        <v>5</v>
      </c>
      <c r="L14219">
        <f>IF(AND($J14219=0,$K14219=0),0,1)</f>
        <v>1</v>
      </c>
    </row>
    <row r="14220" spans="1:12" x14ac:dyDescent="0.2">
      <c r="A14220" t="s">
        <v>70</v>
      </c>
      <c r="B14220" t="s">
        <v>71</v>
      </c>
      <c r="C14220" t="s">
        <v>72</v>
      </c>
      <c r="D14220">
        <v>9301</v>
      </c>
      <c r="E14220">
        <v>2021</v>
      </c>
      <c r="F14220">
        <v>26</v>
      </c>
      <c r="G14220">
        <v>12654</v>
      </c>
      <c r="H14220" s="1" t="s">
        <v>1829</v>
      </c>
      <c r="I14220">
        <v>0</v>
      </c>
      <c r="J14220">
        <f>IF($H14220=0,1,IF($I14220&lt;=1,2,0))</f>
        <v>2</v>
      </c>
      <c r="K14220">
        <v>5</v>
      </c>
      <c r="L14220">
        <f>IF(AND($J14220=0,$K14220=0),0,1)</f>
        <v>1</v>
      </c>
    </row>
    <row r="14221" spans="1:12" x14ac:dyDescent="0.2">
      <c r="A14221" t="s">
        <v>75</v>
      </c>
      <c r="B14221" t="s">
        <v>71</v>
      </c>
      <c r="C14221" t="s">
        <v>72</v>
      </c>
      <c r="D14221">
        <v>2001</v>
      </c>
      <c r="E14221">
        <v>2021</v>
      </c>
      <c r="F14221" t="s">
        <v>79</v>
      </c>
      <c r="G14221">
        <v>12735</v>
      </c>
      <c r="H14221" s="1">
        <v>0</v>
      </c>
      <c r="I14221">
        <v>30</v>
      </c>
      <c r="J14221">
        <f>IF($H14221=0,1,IF($I14221&lt;=1,2,0))</f>
        <v>1</v>
      </c>
      <c r="K14221">
        <v>0</v>
      </c>
      <c r="L14221">
        <f>IF(AND($J14221=0,$K14221=0),0,1)</f>
        <v>1</v>
      </c>
    </row>
    <row r="14222" spans="1:12" x14ac:dyDescent="0.2">
      <c r="A14222" t="s">
        <v>75</v>
      </c>
      <c r="B14222" t="s">
        <v>71</v>
      </c>
      <c r="C14222" t="s">
        <v>72</v>
      </c>
      <c r="D14222">
        <v>2001</v>
      </c>
      <c r="E14222">
        <v>2021</v>
      </c>
      <c r="F14222" t="s">
        <v>81</v>
      </c>
      <c r="G14222">
        <v>12737</v>
      </c>
      <c r="H14222" s="1">
        <v>0</v>
      </c>
      <c r="I14222">
        <v>30</v>
      </c>
      <c r="J14222">
        <f>IF($H14222=0,1,IF($I14222&lt;=1,2,0))</f>
        <v>1</v>
      </c>
      <c r="K14222">
        <v>0</v>
      </c>
      <c r="L14222">
        <f>IF(AND($J14222=0,$K14222=0),0,1)</f>
        <v>1</v>
      </c>
    </row>
    <row r="14223" spans="1:12" x14ac:dyDescent="0.2">
      <c r="A14223" t="s">
        <v>75</v>
      </c>
      <c r="B14223" t="s">
        <v>71</v>
      </c>
      <c r="C14223" t="s">
        <v>72</v>
      </c>
      <c r="D14223">
        <v>2001</v>
      </c>
      <c r="E14223">
        <v>2021</v>
      </c>
      <c r="F14223" t="s">
        <v>82</v>
      </c>
      <c r="G14223">
        <v>12738</v>
      </c>
      <c r="H14223" s="1">
        <v>0</v>
      </c>
      <c r="I14223">
        <v>30</v>
      </c>
      <c r="J14223">
        <f>IF($H14223=0,1,IF($I14223&lt;=1,2,0))</f>
        <v>1</v>
      </c>
      <c r="K14223">
        <v>0</v>
      </c>
      <c r="L14223">
        <f>IF(AND($J14223=0,$K14223=0),0,1)</f>
        <v>1</v>
      </c>
    </row>
    <row r="14224" spans="1:12" x14ac:dyDescent="0.2">
      <c r="A14224" t="s">
        <v>75</v>
      </c>
      <c r="B14224" t="s">
        <v>71</v>
      </c>
      <c r="C14224" t="s">
        <v>72</v>
      </c>
      <c r="D14224">
        <v>2001</v>
      </c>
      <c r="E14224">
        <v>2021</v>
      </c>
      <c r="F14224" t="s">
        <v>59</v>
      </c>
      <c r="G14224">
        <v>12731</v>
      </c>
      <c r="H14224" s="1">
        <v>0</v>
      </c>
      <c r="I14224">
        <v>29</v>
      </c>
      <c r="J14224">
        <f>IF($H14224=0,1,IF($I14224&lt;=1,2,0))</f>
        <v>1</v>
      </c>
      <c r="K14224">
        <v>0</v>
      </c>
      <c r="L14224">
        <f>IF(AND($J14224=0,$K14224=0),0,1)</f>
        <v>1</v>
      </c>
    </row>
    <row r="14225" spans="1:13" x14ac:dyDescent="0.2">
      <c r="A14225" t="s">
        <v>75</v>
      </c>
      <c r="B14225" t="s">
        <v>71</v>
      </c>
      <c r="C14225" t="s">
        <v>72</v>
      </c>
      <c r="D14225">
        <v>2001</v>
      </c>
      <c r="E14225">
        <v>2021</v>
      </c>
      <c r="F14225" t="s">
        <v>78</v>
      </c>
      <c r="G14225">
        <v>12734</v>
      </c>
      <c r="H14225" s="1">
        <v>0</v>
      </c>
      <c r="I14225">
        <v>29</v>
      </c>
      <c r="J14225">
        <f>IF($H14225=0,1,IF($I14225&lt;=1,2,0))</f>
        <v>1</v>
      </c>
      <c r="K14225">
        <v>0</v>
      </c>
      <c r="L14225">
        <f>IF(AND($J14225=0,$K14225=0),0,1)</f>
        <v>1</v>
      </c>
    </row>
    <row r="14226" spans="1:13" x14ac:dyDescent="0.2">
      <c r="A14226" t="s">
        <v>75</v>
      </c>
      <c r="B14226" t="s">
        <v>71</v>
      </c>
      <c r="C14226" t="s">
        <v>72</v>
      </c>
      <c r="D14226">
        <v>2001</v>
      </c>
      <c r="E14226">
        <v>2021</v>
      </c>
      <c r="F14226" t="s">
        <v>60</v>
      </c>
      <c r="G14226">
        <v>12732</v>
      </c>
      <c r="H14226" s="1">
        <v>0</v>
      </c>
      <c r="I14226">
        <v>27</v>
      </c>
      <c r="J14226">
        <f>IF($H14226=0,1,IF($I14226&lt;=1,2,0))</f>
        <v>1</v>
      </c>
      <c r="K14226">
        <v>0</v>
      </c>
      <c r="L14226">
        <f>IF(AND($J14226=0,$K14226=0),0,1)</f>
        <v>1</v>
      </c>
    </row>
    <row r="14227" spans="1:13" x14ac:dyDescent="0.2">
      <c r="A14227" t="s">
        <v>75</v>
      </c>
      <c r="B14227" t="s">
        <v>71</v>
      </c>
      <c r="C14227" t="s">
        <v>72</v>
      </c>
      <c r="D14227">
        <v>2001</v>
      </c>
      <c r="E14227">
        <v>2021</v>
      </c>
      <c r="F14227" t="s">
        <v>80</v>
      </c>
      <c r="G14227">
        <v>12736</v>
      </c>
      <c r="H14227" s="1">
        <v>0</v>
      </c>
      <c r="I14227">
        <v>27</v>
      </c>
      <c r="J14227">
        <f>IF($H14227=0,1,IF($I14227&lt;=1,2,0))</f>
        <v>1</v>
      </c>
      <c r="K14227">
        <v>0</v>
      </c>
      <c r="L14227">
        <f>IF(AND($J14227=0,$K14227=0),0,1)</f>
        <v>1</v>
      </c>
    </row>
    <row r="14228" spans="1:13" x14ac:dyDescent="0.2">
      <c r="A14228" t="s">
        <v>75</v>
      </c>
      <c r="B14228" t="s">
        <v>71</v>
      </c>
      <c r="C14228" t="s">
        <v>72</v>
      </c>
      <c r="D14228">
        <v>2001</v>
      </c>
      <c r="E14228">
        <v>2021</v>
      </c>
      <c r="F14228" t="s">
        <v>83</v>
      </c>
      <c r="G14228">
        <v>12739</v>
      </c>
      <c r="H14228" s="1">
        <v>0</v>
      </c>
      <c r="I14228">
        <v>23</v>
      </c>
      <c r="J14228">
        <f>IF($H14228=0,1,IF($I14228&lt;=1,2,0))</f>
        <v>1</v>
      </c>
      <c r="K14228">
        <v>0</v>
      </c>
      <c r="L14228">
        <f>IF(AND($J14228=0,$K14228=0),0,1)</f>
        <v>1</v>
      </c>
    </row>
    <row r="14229" spans="1:13" x14ac:dyDescent="0.2">
      <c r="A14229" t="s">
        <v>75</v>
      </c>
      <c r="B14229" t="s">
        <v>71</v>
      </c>
      <c r="C14229" t="s">
        <v>72</v>
      </c>
      <c r="D14229">
        <v>2001</v>
      </c>
      <c r="E14229">
        <v>2021</v>
      </c>
      <c r="F14229" t="s">
        <v>77</v>
      </c>
      <c r="G14229">
        <v>12733</v>
      </c>
      <c r="H14229" s="1">
        <v>0</v>
      </c>
      <c r="I14229">
        <v>17</v>
      </c>
      <c r="J14229">
        <f>IF($H14229=0,1,IF($I14229&lt;=1,2,0))</f>
        <v>1</v>
      </c>
      <c r="K14229">
        <v>0</v>
      </c>
      <c r="L14229">
        <f>IF(AND($J14229=0,$K14229=0),0,1)</f>
        <v>1</v>
      </c>
    </row>
    <row r="14230" spans="1:13" x14ac:dyDescent="0.2">
      <c r="A14230" t="s">
        <v>75</v>
      </c>
      <c r="B14230" t="s">
        <v>71</v>
      </c>
      <c r="C14230" t="s">
        <v>72</v>
      </c>
      <c r="D14230">
        <v>3900</v>
      </c>
      <c r="E14230">
        <v>2021</v>
      </c>
      <c r="F14230">
        <v>12</v>
      </c>
      <c r="G14230">
        <v>18883</v>
      </c>
      <c r="H14230" s="1" t="s">
        <v>1830</v>
      </c>
      <c r="I14230">
        <v>2</v>
      </c>
      <c r="J14230">
        <f>IF($H14230=0,1,IF($I14230&lt;=1,2,0))</f>
        <v>0</v>
      </c>
      <c r="K14230">
        <v>9</v>
      </c>
      <c r="L14230">
        <f>IF(AND($J14230=0,$K14230=0),0,1)</f>
        <v>1</v>
      </c>
    </row>
    <row r="14231" spans="1:13" x14ac:dyDescent="0.2">
      <c r="A14231" t="s">
        <v>75</v>
      </c>
      <c r="B14231" t="s">
        <v>71</v>
      </c>
      <c r="C14231" t="s">
        <v>72</v>
      </c>
      <c r="D14231">
        <v>6100</v>
      </c>
      <c r="E14231">
        <v>2021</v>
      </c>
      <c r="F14231">
        <v>1</v>
      </c>
      <c r="G14231">
        <v>12748</v>
      </c>
      <c r="H14231" s="1">
        <v>0</v>
      </c>
      <c r="I14231">
        <v>32</v>
      </c>
      <c r="J14231">
        <f>IF($H14231=0,1,IF($I14231&lt;=1,2,0))</f>
        <v>1</v>
      </c>
      <c r="K14231">
        <v>0</v>
      </c>
      <c r="L14231">
        <f>IF(AND($J14231=0,$K14231=0),0,1)</f>
        <v>1</v>
      </c>
    </row>
    <row r="14232" spans="1:13" x14ac:dyDescent="0.2">
      <c r="A14232" t="s">
        <v>86</v>
      </c>
      <c r="B14232" t="s">
        <v>71</v>
      </c>
      <c r="C14232" t="s">
        <v>72</v>
      </c>
      <c r="D14232">
        <v>3900</v>
      </c>
      <c r="E14232">
        <v>2021</v>
      </c>
      <c r="F14232">
        <v>11</v>
      </c>
      <c r="G14232">
        <v>18882</v>
      </c>
      <c r="H14232" s="1" t="s">
        <v>1830</v>
      </c>
      <c r="I14232">
        <v>1</v>
      </c>
      <c r="J14232">
        <f>IF($H14232=0,1,IF($I14232&lt;=1,2,0))</f>
        <v>2</v>
      </c>
      <c r="K14232">
        <v>9</v>
      </c>
      <c r="L14232">
        <f>IF(AND($J14232=0,$K14232=0),0,1)</f>
        <v>1</v>
      </c>
    </row>
    <row r="14233" spans="1:13" x14ac:dyDescent="0.2">
      <c r="A14233" t="s">
        <v>86</v>
      </c>
      <c r="B14233" t="s">
        <v>71</v>
      </c>
      <c r="C14233" t="s">
        <v>72</v>
      </c>
      <c r="D14233">
        <v>3900</v>
      </c>
      <c r="E14233">
        <v>2021</v>
      </c>
      <c r="F14233">
        <v>14</v>
      </c>
      <c r="G14233">
        <v>20426</v>
      </c>
      <c r="H14233" s="1" t="s">
        <v>1830</v>
      </c>
      <c r="I14233">
        <v>1</v>
      </c>
      <c r="J14233">
        <f>IF($H14233=0,1,IF($I14233&lt;=1,2,0))</f>
        <v>2</v>
      </c>
      <c r="K14233">
        <v>9</v>
      </c>
      <c r="L14233">
        <f>IF(AND($J14233=0,$K14233=0),0,1)</f>
        <v>1</v>
      </c>
    </row>
    <row r="14234" spans="1:13" x14ac:dyDescent="0.2">
      <c r="A14234" t="s">
        <v>86</v>
      </c>
      <c r="B14234" t="s">
        <v>71</v>
      </c>
      <c r="C14234" t="s">
        <v>72</v>
      </c>
      <c r="D14234">
        <v>4010</v>
      </c>
      <c r="E14234">
        <v>2021</v>
      </c>
      <c r="F14234" t="s">
        <v>84</v>
      </c>
      <c r="G14234">
        <v>16100</v>
      </c>
      <c r="H14234" s="1">
        <v>3</v>
      </c>
      <c r="I14234">
        <v>0</v>
      </c>
      <c r="J14234">
        <f>IF($H14234=0,1,IF($I14234&lt;=1,2,0))</f>
        <v>2</v>
      </c>
      <c r="K14234">
        <v>0</v>
      </c>
      <c r="L14234">
        <f>IF(AND($J14234=0,$K14234=0),0,1)</f>
        <v>1</v>
      </c>
      <c r="M14234" t="s">
        <v>85</v>
      </c>
    </row>
    <row r="14235" spans="1:13" x14ac:dyDescent="0.2">
      <c r="A14235" t="s">
        <v>86</v>
      </c>
      <c r="B14235" t="s">
        <v>71</v>
      </c>
      <c r="C14235" t="s">
        <v>72</v>
      </c>
      <c r="D14235">
        <v>4100</v>
      </c>
      <c r="E14235">
        <v>2021</v>
      </c>
      <c r="F14235" t="s">
        <v>84</v>
      </c>
      <c r="G14235">
        <v>16101</v>
      </c>
      <c r="H14235" s="1">
        <v>3</v>
      </c>
      <c r="I14235">
        <v>1</v>
      </c>
      <c r="J14235">
        <f>IF($H14235=0,1,IF($I14235&lt;=1,2,0))</f>
        <v>2</v>
      </c>
      <c r="K14235">
        <v>0</v>
      </c>
      <c r="L14235">
        <f>IF(AND($J14235=0,$K14235=0),0,1)</f>
        <v>1</v>
      </c>
      <c r="M14235" t="s">
        <v>85</v>
      </c>
    </row>
    <row r="14236" spans="1:13" x14ac:dyDescent="0.2">
      <c r="A14236" t="s">
        <v>86</v>
      </c>
      <c r="B14236" t="s">
        <v>71</v>
      </c>
      <c r="C14236" t="s">
        <v>72</v>
      </c>
      <c r="D14236">
        <v>6365</v>
      </c>
      <c r="E14236">
        <v>2021</v>
      </c>
      <c r="F14236">
        <v>1</v>
      </c>
      <c r="G14236">
        <v>13949</v>
      </c>
      <c r="H14236" s="1">
        <v>3</v>
      </c>
      <c r="I14236">
        <v>1</v>
      </c>
      <c r="J14236">
        <f>IF($H14236=0,1,IF($I14236&lt;=1,2,0))</f>
        <v>2</v>
      </c>
      <c r="K14236">
        <v>0</v>
      </c>
      <c r="L14236">
        <f>IF(AND($J14236=0,$K14236=0),0,1)</f>
        <v>1</v>
      </c>
      <c r="M14236" t="s">
        <v>91</v>
      </c>
    </row>
    <row r="14237" spans="1:13" x14ac:dyDescent="0.2">
      <c r="A14237" t="s">
        <v>86</v>
      </c>
      <c r="B14237" t="s">
        <v>71</v>
      </c>
      <c r="C14237" t="s">
        <v>72</v>
      </c>
      <c r="D14237">
        <v>6380</v>
      </c>
      <c r="E14237">
        <v>2021</v>
      </c>
      <c r="F14237">
        <v>1</v>
      </c>
      <c r="G14237">
        <v>13951</v>
      </c>
      <c r="H14237" s="1">
        <v>3</v>
      </c>
      <c r="I14237">
        <v>0</v>
      </c>
      <c r="J14237">
        <f>IF($H14237=0,1,IF($I14237&lt;=1,2,0))</f>
        <v>2</v>
      </c>
      <c r="K14237">
        <v>0</v>
      </c>
      <c r="L14237">
        <f>IF(AND($J14237=0,$K14237=0),0,1)</f>
        <v>1</v>
      </c>
      <c r="M14237" t="s">
        <v>92</v>
      </c>
    </row>
    <row r="14238" spans="1:13" x14ac:dyDescent="0.2">
      <c r="A14238" t="s">
        <v>93</v>
      </c>
      <c r="B14238" t="s">
        <v>17</v>
      </c>
      <c r="C14238" t="s">
        <v>21</v>
      </c>
      <c r="D14238">
        <v>3997</v>
      </c>
      <c r="E14238">
        <v>2021</v>
      </c>
      <c r="F14238">
        <v>3</v>
      </c>
      <c r="G14238">
        <v>625</v>
      </c>
      <c r="H14238" s="1" t="s">
        <v>1832</v>
      </c>
      <c r="I14238">
        <v>3</v>
      </c>
      <c r="J14238">
        <f>IF($H14238=0,1,IF($I14238&lt;=1,2,0))</f>
        <v>0</v>
      </c>
      <c r="K14238">
        <v>9</v>
      </c>
      <c r="L14238">
        <f>IF(AND($J14238=0,$K14238=0),0,1)</f>
        <v>1</v>
      </c>
      <c r="M14238" t="s">
        <v>1383</v>
      </c>
    </row>
    <row r="14239" spans="1:13" x14ac:dyDescent="0.2">
      <c r="A14239" t="s">
        <v>93</v>
      </c>
      <c r="B14239" t="s">
        <v>17</v>
      </c>
      <c r="C14239" t="s">
        <v>21</v>
      </c>
      <c r="D14239">
        <v>3997</v>
      </c>
      <c r="E14239">
        <v>2021</v>
      </c>
      <c r="F14239">
        <v>1</v>
      </c>
      <c r="G14239">
        <v>623</v>
      </c>
      <c r="H14239" s="1" t="s">
        <v>1832</v>
      </c>
      <c r="I14239">
        <v>0</v>
      </c>
      <c r="J14239">
        <f>IF($H14239=0,1,IF($I14239&lt;=1,2,0))</f>
        <v>2</v>
      </c>
      <c r="K14239">
        <v>9</v>
      </c>
      <c r="L14239">
        <f>IF(AND($J14239=0,$K14239=0),0,1)</f>
        <v>1</v>
      </c>
      <c r="M14239" t="s">
        <v>1383</v>
      </c>
    </row>
    <row r="14240" spans="1:13" x14ac:dyDescent="0.2">
      <c r="A14240" t="s">
        <v>93</v>
      </c>
      <c r="B14240" t="s">
        <v>17</v>
      </c>
      <c r="C14240" t="s">
        <v>21</v>
      </c>
      <c r="D14240">
        <v>3997</v>
      </c>
      <c r="E14240">
        <v>2021</v>
      </c>
      <c r="F14240">
        <v>2</v>
      </c>
      <c r="G14240">
        <v>624</v>
      </c>
      <c r="H14240" s="1" t="s">
        <v>1832</v>
      </c>
      <c r="I14240">
        <v>0</v>
      </c>
      <c r="J14240">
        <f>IF($H14240=0,1,IF($I14240&lt;=1,2,0))</f>
        <v>2</v>
      </c>
      <c r="K14240">
        <v>9</v>
      </c>
      <c r="L14240">
        <f>IF(AND($J14240=0,$K14240=0),0,1)</f>
        <v>1</v>
      </c>
      <c r="M14240" t="s">
        <v>1383</v>
      </c>
    </row>
    <row r="14241" spans="1:13" x14ac:dyDescent="0.2">
      <c r="A14241" t="s">
        <v>93</v>
      </c>
      <c r="B14241" t="s">
        <v>17</v>
      </c>
      <c r="C14241" t="s">
        <v>21</v>
      </c>
      <c r="D14241">
        <v>3997</v>
      </c>
      <c r="E14241">
        <v>2021</v>
      </c>
      <c r="F14241">
        <v>4</v>
      </c>
      <c r="G14241">
        <v>626</v>
      </c>
      <c r="H14241" s="1" t="s">
        <v>1832</v>
      </c>
      <c r="I14241">
        <v>0</v>
      </c>
      <c r="J14241">
        <f>IF($H14241=0,1,IF($I14241&lt;=1,2,0))</f>
        <v>2</v>
      </c>
      <c r="K14241">
        <v>9</v>
      </c>
      <c r="L14241">
        <f>IF(AND($J14241=0,$K14241=0),0,1)</f>
        <v>1</v>
      </c>
      <c r="M14241" t="s">
        <v>1383</v>
      </c>
    </row>
    <row r="14242" spans="1:13" x14ac:dyDescent="0.2">
      <c r="A14242" t="s">
        <v>93</v>
      </c>
      <c r="B14242" t="s">
        <v>17</v>
      </c>
      <c r="C14242" t="s">
        <v>21</v>
      </c>
      <c r="D14242">
        <v>3997</v>
      </c>
      <c r="E14242">
        <v>2021</v>
      </c>
      <c r="F14242">
        <v>5</v>
      </c>
      <c r="G14242">
        <v>627</v>
      </c>
      <c r="H14242" s="1" t="s">
        <v>1832</v>
      </c>
      <c r="I14242">
        <v>0</v>
      </c>
      <c r="J14242">
        <f>IF($H14242=0,1,IF($I14242&lt;=1,2,0))</f>
        <v>2</v>
      </c>
      <c r="K14242">
        <v>9</v>
      </c>
      <c r="L14242">
        <f>IF(AND($J14242=0,$K14242=0),0,1)</f>
        <v>1</v>
      </c>
      <c r="M14242" t="s">
        <v>1383</v>
      </c>
    </row>
    <row r="14243" spans="1:13" x14ac:dyDescent="0.2">
      <c r="A14243" t="s">
        <v>93</v>
      </c>
      <c r="B14243" t="s">
        <v>17</v>
      </c>
      <c r="C14243" t="s">
        <v>21</v>
      </c>
      <c r="D14243">
        <v>3997</v>
      </c>
      <c r="E14243">
        <v>2021</v>
      </c>
      <c r="F14243">
        <v>6</v>
      </c>
      <c r="G14243">
        <v>792</v>
      </c>
      <c r="H14243" s="1">
        <v>1</v>
      </c>
      <c r="I14243">
        <v>0</v>
      </c>
      <c r="J14243">
        <f>IF($H14243=0,1,IF($I14243&lt;=1,2,0))</f>
        <v>2</v>
      </c>
      <c r="K14243">
        <v>9</v>
      </c>
      <c r="L14243">
        <f>IF(AND($J14243=0,$K14243=0),0,1)</f>
        <v>1</v>
      </c>
    </row>
    <row r="14244" spans="1:13" x14ac:dyDescent="0.2">
      <c r="A14244" t="s">
        <v>93</v>
      </c>
      <c r="B14244" t="s">
        <v>17</v>
      </c>
      <c r="C14244" t="s">
        <v>102</v>
      </c>
      <c r="D14244">
        <v>4000</v>
      </c>
      <c r="E14244">
        <v>2021</v>
      </c>
      <c r="F14244">
        <v>1</v>
      </c>
      <c r="G14244">
        <v>11922</v>
      </c>
      <c r="H14244" s="1">
        <v>3</v>
      </c>
      <c r="I14244">
        <v>3</v>
      </c>
      <c r="J14244">
        <f>IF($H14244=0,1,IF($I14244&lt;=1,2,0))</f>
        <v>0</v>
      </c>
      <c r="K14244">
        <v>6</v>
      </c>
      <c r="L14244">
        <f>IF(AND($J14244=0,$K14244=0),0,1)</f>
        <v>1</v>
      </c>
      <c r="M14244" t="s">
        <v>1864</v>
      </c>
    </row>
    <row r="14245" spans="1:13" x14ac:dyDescent="0.2">
      <c r="A14245" t="s">
        <v>93</v>
      </c>
      <c r="B14245" t="s">
        <v>17</v>
      </c>
      <c r="C14245" t="s">
        <v>102</v>
      </c>
      <c r="D14245">
        <v>4001</v>
      </c>
      <c r="E14245">
        <v>2021</v>
      </c>
      <c r="F14245">
        <v>1</v>
      </c>
      <c r="G14245">
        <v>10800</v>
      </c>
      <c r="H14245" s="1">
        <v>9</v>
      </c>
      <c r="I14245">
        <v>83</v>
      </c>
      <c r="J14245">
        <f>IF($H14245=0,1,IF($I14245&lt;=1,2,0))</f>
        <v>0</v>
      </c>
      <c r="K14245">
        <v>6</v>
      </c>
      <c r="L14245">
        <f>IF(AND($J14245=0,$K14245=0),0,1)</f>
        <v>1</v>
      </c>
      <c r="M14245" t="s">
        <v>1384</v>
      </c>
    </row>
    <row r="14246" spans="1:13" x14ac:dyDescent="0.2">
      <c r="A14246" t="s">
        <v>93</v>
      </c>
      <c r="B14246" t="s">
        <v>17</v>
      </c>
      <c r="C14246" t="s">
        <v>102</v>
      </c>
      <c r="D14246">
        <v>4003</v>
      </c>
      <c r="E14246">
        <v>2021</v>
      </c>
      <c r="F14246">
        <v>1</v>
      </c>
      <c r="G14246">
        <v>10811</v>
      </c>
      <c r="H14246" s="1">
        <v>9</v>
      </c>
      <c r="I14246">
        <v>83</v>
      </c>
      <c r="J14246">
        <f>IF($H14246=0,1,IF($I14246&lt;=1,2,0))</f>
        <v>0</v>
      </c>
      <c r="K14246">
        <v>6</v>
      </c>
      <c r="L14246">
        <f>IF(AND($J14246=0,$K14246=0),0,1)</f>
        <v>1</v>
      </c>
      <c r="M14246" t="s">
        <v>1384</v>
      </c>
    </row>
    <row r="14247" spans="1:13" x14ac:dyDescent="0.2">
      <c r="A14247" t="s">
        <v>93</v>
      </c>
      <c r="B14247" t="s">
        <v>17</v>
      </c>
      <c r="C14247" t="s">
        <v>102</v>
      </c>
      <c r="D14247">
        <v>4005</v>
      </c>
      <c r="E14247">
        <v>2021</v>
      </c>
      <c r="F14247">
        <v>1</v>
      </c>
      <c r="G14247">
        <v>10822</v>
      </c>
      <c r="H14247" s="1">
        <v>9</v>
      </c>
      <c r="I14247">
        <v>207</v>
      </c>
      <c r="J14247">
        <f>IF($H14247=0,1,IF($I14247&lt;=1,2,0))</f>
        <v>0</v>
      </c>
      <c r="K14247">
        <v>6</v>
      </c>
      <c r="L14247">
        <f>IF(AND($J14247=0,$K14247=0),0,1)</f>
        <v>1</v>
      </c>
      <c r="M14247" t="s">
        <v>1384</v>
      </c>
    </row>
    <row r="14248" spans="1:13" x14ac:dyDescent="0.2">
      <c r="A14248" t="s">
        <v>93</v>
      </c>
      <c r="B14248" t="s">
        <v>17</v>
      </c>
      <c r="C14248" t="s">
        <v>102</v>
      </c>
      <c r="D14248">
        <v>4023</v>
      </c>
      <c r="E14248">
        <v>2021</v>
      </c>
      <c r="F14248">
        <v>1</v>
      </c>
      <c r="G14248">
        <v>11708</v>
      </c>
      <c r="H14248" s="1">
        <v>3</v>
      </c>
      <c r="I14248">
        <v>83</v>
      </c>
      <c r="J14248">
        <f>IF($H14248=0,1,IF($I14248&lt;=1,2,0))</f>
        <v>0</v>
      </c>
      <c r="K14248">
        <v>6</v>
      </c>
      <c r="L14248">
        <f>IF(AND($J14248=0,$K14248=0),0,1)</f>
        <v>1</v>
      </c>
      <c r="M14248" t="s">
        <v>103</v>
      </c>
    </row>
    <row r="14249" spans="1:13" x14ac:dyDescent="0.2">
      <c r="A14249" t="s">
        <v>93</v>
      </c>
      <c r="B14249" t="s">
        <v>17</v>
      </c>
      <c r="C14249" t="s">
        <v>102</v>
      </c>
      <c r="D14249">
        <v>4032</v>
      </c>
      <c r="E14249">
        <v>2021</v>
      </c>
      <c r="F14249">
        <v>1</v>
      </c>
      <c r="G14249">
        <v>11783</v>
      </c>
      <c r="H14249" s="1">
        <v>3</v>
      </c>
      <c r="I14249">
        <v>9</v>
      </c>
      <c r="J14249">
        <f>IF($H14249=0,1,IF($I14249&lt;=1,2,0))</f>
        <v>0</v>
      </c>
      <c r="K14249">
        <v>6</v>
      </c>
      <c r="L14249">
        <f>IF(AND($J14249=0,$K14249=0),0,1)</f>
        <v>1</v>
      </c>
      <c r="M14249" t="s">
        <v>104</v>
      </c>
    </row>
    <row r="14250" spans="1:13" x14ac:dyDescent="0.2">
      <c r="A14250" t="s">
        <v>93</v>
      </c>
      <c r="B14250" t="s">
        <v>17</v>
      </c>
      <c r="C14250" t="s">
        <v>102</v>
      </c>
      <c r="D14250">
        <v>4040</v>
      </c>
      <c r="E14250">
        <v>2021</v>
      </c>
      <c r="F14250">
        <v>1</v>
      </c>
      <c r="G14250">
        <v>11786</v>
      </c>
      <c r="H14250" s="1">
        <v>9</v>
      </c>
      <c r="I14250">
        <v>8</v>
      </c>
      <c r="J14250">
        <f>IF($H14250=0,1,IF($I14250&lt;=1,2,0))</f>
        <v>0</v>
      </c>
      <c r="K14250">
        <v>6</v>
      </c>
      <c r="L14250">
        <f>IF(AND($J14250=0,$K14250=0),0,1)</f>
        <v>1</v>
      </c>
      <c r="M14250" t="s">
        <v>104</v>
      </c>
    </row>
    <row r="14251" spans="1:13" x14ac:dyDescent="0.2">
      <c r="A14251" t="s">
        <v>93</v>
      </c>
      <c r="B14251" t="s">
        <v>17</v>
      </c>
      <c r="C14251" t="s">
        <v>102</v>
      </c>
      <c r="D14251">
        <v>4050</v>
      </c>
      <c r="E14251">
        <v>2021</v>
      </c>
      <c r="F14251">
        <v>1</v>
      </c>
      <c r="G14251">
        <v>11693</v>
      </c>
      <c r="H14251" s="1">
        <v>1.5</v>
      </c>
      <c r="I14251">
        <v>2</v>
      </c>
      <c r="J14251">
        <f>IF($H14251=0,1,IF($I14251&lt;=1,2,0))</f>
        <v>0</v>
      </c>
      <c r="K14251">
        <v>6</v>
      </c>
      <c r="L14251">
        <f>IF(AND($J14251=0,$K14251=0),0,1)</f>
        <v>1</v>
      </c>
      <c r="M14251" t="s">
        <v>2035</v>
      </c>
    </row>
    <row r="14252" spans="1:13" x14ac:dyDescent="0.2">
      <c r="A14252" t="s">
        <v>93</v>
      </c>
      <c r="B14252" t="s">
        <v>17</v>
      </c>
      <c r="C14252" t="s">
        <v>102</v>
      </c>
      <c r="D14252">
        <v>4080</v>
      </c>
      <c r="E14252">
        <v>2021</v>
      </c>
      <c r="F14252">
        <v>1</v>
      </c>
      <c r="G14252">
        <v>11789</v>
      </c>
      <c r="H14252" s="1">
        <v>1.5</v>
      </c>
      <c r="I14252">
        <v>2</v>
      </c>
      <c r="J14252">
        <f>IF($H14252=0,1,IF($I14252&lt;=1,2,0))</f>
        <v>0</v>
      </c>
      <c r="K14252">
        <v>6</v>
      </c>
      <c r="L14252">
        <f>IF(AND($J14252=0,$K14252=0),0,1)</f>
        <v>1</v>
      </c>
      <c r="M14252" t="s">
        <v>105</v>
      </c>
    </row>
    <row r="14253" spans="1:13" x14ac:dyDescent="0.2">
      <c r="A14253" t="s">
        <v>93</v>
      </c>
      <c r="B14253" t="s">
        <v>17</v>
      </c>
      <c r="C14253" t="s">
        <v>102</v>
      </c>
      <c r="D14253">
        <v>4101</v>
      </c>
      <c r="E14253">
        <v>2021</v>
      </c>
      <c r="F14253">
        <v>5</v>
      </c>
      <c r="G14253">
        <v>10805</v>
      </c>
      <c r="H14253" s="1">
        <v>0</v>
      </c>
      <c r="I14253">
        <v>11</v>
      </c>
      <c r="J14253">
        <f>IF($H14253=0,1,IF($I14253&lt;=1,2,0))</f>
        <v>1</v>
      </c>
      <c r="K14253">
        <v>6</v>
      </c>
      <c r="L14253">
        <f>IF(AND($J14253=0,$K14253=0),0,1)</f>
        <v>1</v>
      </c>
    </row>
    <row r="14254" spans="1:13" x14ac:dyDescent="0.2">
      <c r="A14254" t="s">
        <v>93</v>
      </c>
      <c r="B14254" t="s">
        <v>17</v>
      </c>
      <c r="C14254" t="s">
        <v>102</v>
      </c>
      <c r="D14254">
        <v>4101</v>
      </c>
      <c r="E14254">
        <v>2021</v>
      </c>
      <c r="F14254">
        <v>7</v>
      </c>
      <c r="G14254">
        <v>10808</v>
      </c>
      <c r="H14254" s="1">
        <v>0</v>
      </c>
      <c r="I14254">
        <v>11</v>
      </c>
      <c r="J14254">
        <f>IF($H14254=0,1,IF($I14254&lt;=1,2,0))</f>
        <v>1</v>
      </c>
      <c r="K14254">
        <v>6</v>
      </c>
      <c r="L14254">
        <f>IF(AND($J14254=0,$K14254=0),0,1)</f>
        <v>1</v>
      </c>
    </row>
    <row r="14255" spans="1:13" x14ac:dyDescent="0.2">
      <c r="A14255" t="s">
        <v>93</v>
      </c>
      <c r="B14255" t="s">
        <v>17</v>
      </c>
      <c r="C14255" t="s">
        <v>102</v>
      </c>
      <c r="D14255">
        <v>4101</v>
      </c>
      <c r="E14255">
        <v>2021</v>
      </c>
      <c r="F14255">
        <v>8</v>
      </c>
      <c r="G14255">
        <v>10809</v>
      </c>
      <c r="H14255" s="1">
        <v>0</v>
      </c>
      <c r="I14255">
        <v>11</v>
      </c>
      <c r="J14255">
        <f>IF($H14255=0,1,IF($I14255&lt;=1,2,0))</f>
        <v>1</v>
      </c>
      <c r="K14255">
        <v>6</v>
      </c>
      <c r="L14255">
        <f>IF(AND($J14255=0,$K14255=0),0,1)</f>
        <v>1</v>
      </c>
    </row>
    <row r="14256" spans="1:13" x14ac:dyDescent="0.2">
      <c r="A14256" t="s">
        <v>93</v>
      </c>
      <c r="B14256" t="s">
        <v>17</v>
      </c>
      <c r="C14256" t="s">
        <v>102</v>
      </c>
      <c r="D14256">
        <v>4101</v>
      </c>
      <c r="E14256">
        <v>2021</v>
      </c>
      <c r="F14256">
        <v>2</v>
      </c>
      <c r="G14256">
        <v>10802</v>
      </c>
      <c r="H14256" s="1">
        <v>0</v>
      </c>
      <c r="I14256">
        <v>10</v>
      </c>
      <c r="J14256">
        <f>IF($H14256=0,1,IF($I14256&lt;=1,2,0))</f>
        <v>1</v>
      </c>
      <c r="K14256">
        <v>6</v>
      </c>
      <c r="L14256">
        <f>IF(AND($J14256=0,$K14256=0),0,1)</f>
        <v>1</v>
      </c>
    </row>
    <row r="14257" spans="1:12" x14ac:dyDescent="0.2">
      <c r="A14257" t="s">
        <v>93</v>
      </c>
      <c r="B14257" t="s">
        <v>17</v>
      </c>
      <c r="C14257" t="s">
        <v>102</v>
      </c>
      <c r="D14257">
        <v>4101</v>
      </c>
      <c r="E14257">
        <v>2021</v>
      </c>
      <c r="F14257">
        <v>3</v>
      </c>
      <c r="G14257">
        <v>10803</v>
      </c>
      <c r="H14257" s="1">
        <v>0</v>
      </c>
      <c r="I14257">
        <v>10</v>
      </c>
      <c r="J14257">
        <f>IF($H14257=0,1,IF($I14257&lt;=1,2,0))</f>
        <v>1</v>
      </c>
      <c r="K14257">
        <v>6</v>
      </c>
      <c r="L14257">
        <f>IF(AND($J14257=0,$K14257=0),0,1)</f>
        <v>1</v>
      </c>
    </row>
    <row r="14258" spans="1:12" x14ac:dyDescent="0.2">
      <c r="A14258" t="s">
        <v>93</v>
      </c>
      <c r="B14258" t="s">
        <v>17</v>
      </c>
      <c r="C14258" t="s">
        <v>102</v>
      </c>
      <c r="D14258">
        <v>4101</v>
      </c>
      <c r="E14258">
        <v>2021</v>
      </c>
      <c r="F14258">
        <v>4</v>
      </c>
      <c r="G14258">
        <v>10804</v>
      </c>
      <c r="H14258" s="1">
        <v>0</v>
      </c>
      <c r="I14258">
        <v>10</v>
      </c>
      <c r="J14258">
        <f>IF($H14258=0,1,IF($I14258&lt;=1,2,0))</f>
        <v>1</v>
      </c>
      <c r="K14258">
        <v>6</v>
      </c>
      <c r="L14258">
        <f>IF(AND($J14258=0,$K14258=0),0,1)</f>
        <v>1</v>
      </c>
    </row>
    <row r="14259" spans="1:12" x14ac:dyDescent="0.2">
      <c r="A14259" t="s">
        <v>93</v>
      </c>
      <c r="B14259" t="s">
        <v>17</v>
      </c>
      <c r="C14259" t="s">
        <v>102</v>
      </c>
      <c r="D14259">
        <v>4101</v>
      </c>
      <c r="E14259">
        <v>2021</v>
      </c>
      <c r="F14259">
        <v>6</v>
      </c>
      <c r="G14259">
        <v>10807</v>
      </c>
      <c r="H14259" s="1">
        <v>0</v>
      </c>
      <c r="I14259">
        <v>10</v>
      </c>
      <c r="J14259">
        <f>IF($H14259=0,1,IF($I14259&lt;=1,2,0))</f>
        <v>1</v>
      </c>
      <c r="K14259">
        <v>6</v>
      </c>
      <c r="L14259">
        <f>IF(AND($J14259=0,$K14259=0),0,1)</f>
        <v>1</v>
      </c>
    </row>
    <row r="14260" spans="1:12" x14ac:dyDescent="0.2">
      <c r="A14260" t="s">
        <v>93</v>
      </c>
      <c r="B14260" t="s">
        <v>17</v>
      </c>
      <c r="C14260" t="s">
        <v>102</v>
      </c>
      <c r="D14260">
        <v>4101</v>
      </c>
      <c r="E14260">
        <v>2021</v>
      </c>
      <c r="F14260">
        <v>1</v>
      </c>
      <c r="G14260">
        <v>10801</v>
      </c>
      <c r="H14260" s="1">
        <v>0</v>
      </c>
      <c r="I14260">
        <v>9</v>
      </c>
      <c r="J14260">
        <f>IF($H14260=0,1,IF($I14260&lt;=1,2,0))</f>
        <v>1</v>
      </c>
      <c r="K14260">
        <v>6</v>
      </c>
      <c r="L14260">
        <f>IF(AND($J14260=0,$K14260=0),0,1)</f>
        <v>1</v>
      </c>
    </row>
    <row r="14261" spans="1:12" x14ac:dyDescent="0.2">
      <c r="A14261" t="s">
        <v>93</v>
      </c>
      <c r="B14261" t="s">
        <v>17</v>
      </c>
      <c r="C14261" t="s">
        <v>102</v>
      </c>
      <c r="D14261">
        <v>4103</v>
      </c>
      <c r="E14261">
        <v>2021</v>
      </c>
      <c r="F14261">
        <v>1</v>
      </c>
      <c r="G14261">
        <v>10812</v>
      </c>
      <c r="H14261" s="1">
        <v>0</v>
      </c>
      <c r="I14261">
        <v>10</v>
      </c>
      <c r="J14261">
        <f>IF($H14261=0,1,IF($I14261&lt;=1,2,0))</f>
        <v>1</v>
      </c>
      <c r="K14261">
        <v>6</v>
      </c>
      <c r="L14261">
        <f>IF(AND($J14261=0,$K14261=0),0,1)</f>
        <v>1</v>
      </c>
    </row>
    <row r="14262" spans="1:12" x14ac:dyDescent="0.2">
      <c r="A14262" t="s">
        <v>93</v>
      </c>
      <c r="B14262" t="s">
        <v>17</v>
      </c>
      <c r="C14262" t="s">
        <v>102</v>
      </c>
      <c r="D14262">
        <v>4103</v>
      </c>
      <c r="E14262">
        <v>2021</v>
      </c>
      <c r="F14262">
        <v>7</v>
      </c>
      <c r="G14262">
        <v>10820</v>
      </c>
      <c r="H14262" s="1">
        <v>0</v>
      </c>
      <c r="I14262">
        <v>10</v>
      </c>
      <c r="J14262">
        <f>IF($H14262=0,1,IF($I14262&lt;=1,2,0))</f>
        <v>1</v>
      </c>
      <c r="K14262">
        <v>6</v>
      </c>
      <c r="L14262">
        <f>IF(AND($J14262=0,$K14262=0),0,1)</f>
        <v>1</v>
      </c>
    </row>
    <row r="14263" spans="1:12" x14ac:dyDescent="0.2">
      <c r="A14263" t="s">
        <v>93</v>
      </c>
      <c r="B14263" t="s">
        <v>17</v>
      </c>
      <c r="C14263" t="s">
        <v>102</v>
      </c>
      <c r="D14263">
        <v>4103</v>
      </c>
      <c r="E14263">
        <v>2021</v>
      </c>
      <c r="F14263">
        <v>6</v>
      </c>
      <c r="G14263">
        <v>10819</v>
      </c>
      <c r="H14263" s="1">
        <v>0</v>
      </c>
      <c r="I14263">
        <v>9</v>
      </c>
      <c r="J14263">
        <f>IF($H14263=0,1,IF($I14263&lt;=1,2,0))</f>
        <v>1</v>
      </c>
      <c r="K14263">
        <v>6</v>
      </c>
      <c r="L14263">
        <f>IF(AND($J14263=0,$K14263=0),0,1)</f>
        <v>1</v>
      </c>
    </row>
    <row r="14264" spans="1:12" x14ac:dyDescent="0.2">
      <c r="A14264" t="s">
        <v>93</v>
      </c>
      <c r="B14264" t="s">
        <v>17</v>
      </c>
      <c r="C14264" t="s">
        <v>102</v>
      </c>
      <c r="D14264">
        <v>4103</v>
      </c>
      <c r="E14264">
        <v>2021</v>
      </c>
      <c r="F14264">
        <v>8</v>
      </c>
      <c r="G14264">
        <v>10821</v>
      </c>
      <c r="H14264" s="1">
        <v>0</v>
      </c>
      <c r="I14264">
        <v>8</v>
      </c>
      <c r="J14264">
        <f>IF($H14264=0,1,IF($I14264&lt;=1,2,0))</f>
        <v>1</v>
      </c>
      <c r="K14264">
        <v>6</v>
      </c>
      <c r="L14264">
        <f>IF(AND($J14264=0,$K14264=0),0,1)</f>
        <v>1</v>
      </c>
    </row>
    <row r="14265" spans="1:12" x14ac:dyDescent="0.2">
      <c r="A14265" t="s">
        <v>93</v>
      </c>
      <c r="B14265" t="s">
        <v>17</v>
      </c>
      <c r="C14265" t="s">
        <v>102</v>
      </c>
      <c r="D14265">
        <v>4103</v>
      </c>
      <c r="E14265">
        <v>2021</v>
      </c>
      <c r="F14265">
        <v>4</v>
      </c>
      <c r="G14265">
        <v>10816</v>
      </c>
      <c r="H14265" s="1">
        <v>0</v>
      </c>
      <c r="I14265">
        <v>7</v>
      </c>
      <c r="J14265">
        <f>IF($H14265=0,1,IF($I14265&lt;=1,2,0))</f>
        <v>1</v>
      </c>
      <c r="K14265">
        <v>6</v>
      </c>
      <c r="L14265">
        <f>IF(AND($J14265=0,$K14265=0),0,1)</f>
        <v>1</v>
      </c>
    </row>
    <row r="14266" spans="1:12" x14ac:dyDescent="0.2">
      <c r="A14266" t="s">
        <v>93</v>
      </c>
      <c r="B14266" t="s">
        <v>17</v>
      </c>
      <c r="C14266" t="s">
        <v>102</v>
      </c>
      <c r="D14266">
        <v>4103</v>
      </c>
      <c r="E14266">
        <v>2021</v>
      </c>
      <c r="F14266">
        <v>5</v>
      </c>
      <c r="G14266">
        <v>10818</v>
      </c>
      <c r="H14266" s="1">
        <v>0</v>
      </c>
      <c r="I14266">
        <v>6</v>
      </c>
      <c r="J14266">
        <f>IF($H14266=0,1,IF($I14266&lt;=1,2,0))</f>
        <v>1</v>
      </c>
      <c r="K14266">
        <v>6</v>
      </c>
      <c r="L14266">
        <f>IF(AND($J14266=0,$K14266=0),0,1)</f>
        <v>1</v>
      </c>
    </row>
    <row r="14267" spans="1:12" x14ac:dyDescent="0.2">
      <c r="A14267" t="s">
        <v>93</v>
      </c>
      <c r="B14267" t="s">
        <v>17</v>
      </c>
      <c r="C14267" t="s">
        <v>102</v>
      </c>
      <c r="D14267">
        <v>4103</v>
      </c>
      <c r="E14267">
        <v>2021</v>
      </c>
      <c r="F14267">
        <v>2</v>
      </c>
      <c r="G14267">
        <v>10813</v>
      </c>
      <c r="H14267" s="1">
        <v>0</v>
      </c>
      <c r="I14267">
        <v>5</v>
      </c>
      <c r="J14267">
        <f>IF($H14267=0,1,IF($I14267&lt;=1,2,0))</f>
        <v>1</v>
      </c>
      <c r="K14267">
        <v>6</v>
      </c>
      <c r="L14267">
        <f>IF(AND($J14267=0,$K14267=0),0,1)</f>
        <v>1</v>
      </c>
    </row>
    <row r="14268" spans="1:12" x14ac:dyDescent="0.2">
      <c r="A14268" t="s">
        <v>93</v>
      </c>
      <c r="B14268" t="s">
        <v>17</v>
      </c>
      <c r="C14268" t="s">
        <v>102</v>
      </c>
      <c r="D14268">
        <v>4103</v>
      </c>
      <c r="E14268">
        <v>2021</v>
      </c>
      <c r="F14268">
        <v>3</v>
      </c>
      <c r="G14268">
        <v>10815</v>
      </c>
      <c r="H14268" s="1">
        <v>0</v>
      </c>
      <c r="I14268">
        <v>4</v>
      </c>
      <c r="J14268">
        <f>IF($H14268=0,1,IF($I14268&lt;=1,2,0))</f>
        <v>1</v>
      </c>
      <c r="K14268">
        <v>6</v>
      </c>
      <c r="L14268">
        <f>IF(AND($J14268=0,$K14268=0),0,1)</f>
        <v>1</v>
      </c>
    </row>
    <row r="14269" spans="1:12" x14ac:dyDescent="0.2">
      <c r="A14269" t="s">
        <v>93</v>
      </c>
      <c r="B14269" t="s">
        <v>17</v>
      </c>
      <c r="C14269" t="s">
        <v>102</v>
      </c>
      <c r="D14269">
        <v>4105</v>
      </c>
      <c r="E14269">
        <v>2021</v>
      </c>
      <c r="F14269">
        <v>4</v>
      </c>
      <c r="G14269">
        <v>10826</v>
      </c>
      <c r="H14269" s="1">
        <v>0</v>
      </c>
      <c r="I14269">
        <v>13</v>
      </c>
      <c r="J14269">
        <f>IF($H14269=0,1,IF($I14269&lt;=1,2,0))</f>
        <v>1</v>
      </c>
      <c r="K14269">
        <v>6</v>
      </c>
      <c r="L14269">
        <f>IF(AND($J14269=0,$K14269=0),0,1)</f>
        <v>1</v>
      </c>
    </row>
    <row r="14270" spans="1:12" x14ac:dyDescent="0.2">
      <c r="A14270" t="s">
        <v>93</v>
      </c>
      <c r="B14270" t="s">
        <v>17</v>
      </c>
      <c r="C14270" t="s">
        <v>102</v>
      </c>
      <c r="D14270">
        <v>4105</v>
      </c>
      <c r="E14270">
        <v>2021</v>
      </c>
      <c r="F14270">
        <v>2</v>
      </c>
      <c r="G14270">
        <v>10824</v>
      </c>
      <c r="H14270" s="1">
        <v>0</v>
      </c>
      <c r="I14270">
        <v>12</v>
      </c>
      <c r="J14270">
        <f>IF($H14270=0,1,IF($I14270&lt;=1,2,0))</f>
        <v>1</v>
      </c>
      <c r="K14270">
        <v>6</v>
      </c>
      <c r="L14270">
        <f>IF(AND($J14270=0,$K14270=0),0,1)</f>
        <v>1</v>
      </c>
    </row>
    <row r="14271" spans="1:12" x14ac:dyDescent="0.2">
      <c r="A14271" t="s">
        <v>93</v>
      </c>
      <c r="B14271" t="s">
        <v>17</v>
      </c>
      <c r="C14271" t="s">
        <v>102</v>
      </c>
      <c r="D14271">
        <v>4105</v>
      </c>
      <c r="E14271">
        <v>2021</v>
      </c>
      <c r="F14271">
        <v>11</v>
      </c>
      <c r="G14271">
        <v>10833</v>
      </c>
      <c r="H14271" s="1">
        <v>0</v>
      </c>
      <c r="I14271">
        <v>12</v>
      </c>
      <c r="J14271">
        <f>IF($H14271=0,1,IF($I14271&lt;=1,2,0))</f>
        <v>1</v>
      </c>
      <c r="K14271">
        <v>6</v>
      </c>
      <c r="L14271">
        <f>IF(AND($J14271=0,$K14271=0),0,1)</f>
        <v>1</v>
      </c>
    </row>
    <row r="14272" spans="1:12" x14ac:dyDescent="0.2">
      <c r="A14272" t="s">
        <v>93</v>
      </c>
      <c r="B14272" t="s">
        <v>17</v>
      </c>
      <c r="C14272" t="s">
        <v>102</v>
      </c>
      <c r="D14272">
        <v>4105</v>
      </c>
      <c r="E14272">
        <v>2021</v>
      </c>
      <c r="F14272">
        <v>14</v>
      </c>
      <c r="G14272">
        <v>10836</v>
      </c>
      <c r="H14272" s="1">
        <v>0</v>
      </c>
      <c r="I14272">
        <v>12</v>
      </c>
      <c r="J14272">
        <f>IF($H14272=0,1,IF($I14272&lt;=1,2,0))</f>
        <v>1</v>
      </c>
      <c r="K14272">
        <v>6</v>
      </c>
      <c r="L14272">
        <f>IF(AND($J14272=0,$K14272=0),0,1)</f>
        <v>1</v>
      </c>
    </row>
    <row r="14273" spans="1:13" x14ac:dyDescent="0.2">
      <c r="A14273" t="s">
        <v>93</v>
      </c>
      <c r="B14273" t="s">
        <v>17</v>
      </c>
      <c r="C14273" t="s">
        <v>102</v>
      </c>
      <c r="D14273">
        <v>4105</v>
      </c>
      <c r="E14273">
        <v>2021</v>
      </c>
      <c r="F14273">
        <v>16</v>
      </c>
      <c r="G14273">
        <v>10838</v>
      </c>
      <c r="H14273" s="1">
        <v>0</v>
      </c>
      <c r="I14273">
        <v>12</v>
      </c>
      <c r="J14273">
        <f>IF($H14273=0,1,IF($I14273&lt;=1,2,0))</f>
        <v>1</v>
      </c>
      <c r="K14273">
        <v>6</v>
      </c>
      <c r="L14273">
        <f>IF(AND($J14273=0,$K14273=0),0,1)</f>
        <v>1</v>
      </c>
    </row>
    <row r="14274" spans="1:13" x14ac:dyDescent="0.2">
      <c r="A14274" t="s">
        <v>93</v>
      </c>
      <c r="B14274" t="s">
        <v>17</v>
      </c>
      <c r="C14274" t="s">
        <v>102</v>
      </c>
      <c r="D14274">
        <v>4105</v>
      </c>
      <c r="E14274">
        <v>2021</v>
      </c>
      <c r="F14274">
        <v>18</v>
      </c>
      <c r="G14274">
        <v>10840</v>
      </c>
      <c r="H14274" s="1">
        <v>0</v>
      </c>
      <c r="I14274">
        <v>12</v>
      </c>
      <c r="J14274">
        <f>IF($H14274=0,1,IF($I14274&lt;=1,2,0))</f>
        <v>1</v>
      </c>
      <c r="K14274">
        <v>6</v>
      </c>
      <c r="L14274">
        <f>IF(AND($J14274=0,$K14274=0),0,1)</f>
        <v>1</v>
      </c>
    </row>
    <row r="14275" spans="1:13" x14ac:dyDescent="0.2">
      <c r="A14275" t="s">
        <v>93</v>
      </c>
      <c r="B14275" t="s">
        <v>17</v>
      </c>
      <c r="C14275" t="s">
        <v>102</v>
      </c>
      <c r="D14275">
        <v>4105</v>
      </c>
      <c r="E14275">
        <v>2021</v>
      </c>
      <c r="F14275">
        <v>1</v>
      </c>
      <c r="G14275">
        <v>10823</v>
      </c>
      <c r="H14275" s="1">
        <v>0</v>
      </c>
      <c r="I14275">
        <v>11</v>
      </c>
      <c r="J14275">
        <f>IF($H14275=0,1,IF($I14275&lt;=1,2,0))</f>
        <v>1</v>
      </c>
      <c r="K14275">
        <v>6</v>
      </c>
      <c r="L14275">
        <f>IF(AND($J14275=0,$K14275=0),0,1)</f>
        <v>1</v>
      </c>
    </row>
    <row r="14276" spans="1:13" x14ac:dyDescent="0.2">
      <c r="A14276" t="s">
        <v>93</v>
      </c>
      <c r="B14276" t="s">
        <v>17</v>
      </c>
      <c r="C14276" t="s">
        <v>102</v>
      </c>
      <c r="D14276">
        <v>4105</v>
      </c>
      <c r="E14276">
        <v>2021</v>
      </c>
      <c r="F14276">
        <v>6</v>
      </c>
      <c r="G14276">
        <v>10828</v>
      </c>
      <c r="H14276" s="1">
        <v>0</v>
      </c>
      <c r="I14276">
        <v>11</v>
      </c>
      <c r="J14276">
        <f>IF($H14276=0,1,IF($I14276&lt;=1,2,0))</f>
        <v>1</v>
      </c>
      <c r="K14276">
        <v>6</v>
      </c>
      <c r="L14276">
        <f>IF(AND($J14276=0,$K14276=0),0,1)</f>
        <v>1</v>
      </c>
    </row>
    <row r="14277" spans="1:13" x14ac:dyDescent="0.2">
      <c r="A14277" t="s">
        <v>93</v>
      </c>
      <c r="B14277" t="s">
        <v>17</v>
      </c>
      <c r="C14277" t="s">
        <v>102</v>
      </c>
      <c r="D14277">
        <v>4105</v>
      </c>
      <c r="E14277">
        <v>2021</v>
      </c>
      <c r="F14277">
        <v>12</v>
      </c>
      <c r="G14277">
        <v>10834</v>
      </c>
      <c r="H14277" s="1">
        <v>0</v>
      </c>
      <c r="I14277">
        <v>11</v>
      </c>
      <c r="J14277">
        <f>IF($H14277=0,1,IF($I14277&lt;=1,2,0))</f>
        <v>1</v>
      </c>
      <c r="K14277">
        <v>6</v>
      </c>
      <c r="L14277">
        <f>IF(AND($J14277=0,$K14277=0),0,1)</f>
        <v>1</v>
      </c>
    </row>
    <row r="14278" spans="1:13" x14ac:dyDescent="0.2">
      <c r="A14278" t="s">
        <v>93</v>
      </c>
      <c r="B14278" t="s">
        <v>17</v>
      </c>
      <c r="C14278" t="s">
        <v>102</v>
      </c>
      <c r="D14278">
        <v>4105</v>
      </c>
      <c r="E14278">
        <v>2021</v>
      </c>
      <c r="F14278">
        <v>15</v>
      </c>
      <c r="G14278">
        <v>10837</v>
      </c>
      <c r="H14278" s="1">
        <v>0</v>
      </c>
      <c r="I14278">
        <v>11</v>
      </c>
      <c r="J14278">
        <f>IF($H14278=0,1,IF($I14278&lt;=1,2,0))</f>
        <v>1</v>
      </c>
      <c r="K14278">
        <v>6</v>
      </c>
      <c r="L14278">
        <f>IF(AND($J14278=0,$K14278=0),0,1)</f>
        <v>1</v>
      </c>
    </row>
    <row r="14279" spans="1:13" x14ac:dyDescent="0.2">
      <c r="A14279" t="s">
        <v>93</v>
      </c>
      <c r="B14279" t="s">
        <v>17</v>
      </c>
      <c r="C14279" t="s">
        <v>102</v>
      </c>
      <c r="D14279">
        <v>4105</v>
      </c>
      <c r="E14279">
        <v>2021</v>
      </c>
      <c r="F14279">
        <v>5</v>
      </c>
      <c r="G14279">
        <v>10827</v>
      </c>
      <c r="H14279" s="1">
        <v>0</v>
      </c>
      <c r="I14279">
        <v>10</v>
      </c>
      <c r="J14279">
        <f>IF($H14279=0,1,IF($I14279&lt;=1,2,0))</f>
        <v>1</v>
      </c>
      <c r="K14279">
        <v>6</v>
      </c>
      <c r="L14279">
        <f>IF(AND($J14279=0,$K14279=0),0,1)</f>
        <v>1</v>
      </c>
    </row>
    <row r="14280" spans="1:13" x14ac:dyDescent="0.2">
      <c r="A14280" t="s">
        <v>93</v>
      </c>
      <c r="B14280" t="s">
        <v>17</v>
      </c>
      <c r="C14280" t="s">
        <v>102</v>
      </c>
      <c r="D14280">
        <v>4105</v>
      </c>
      <c r="E14280">
        <v>2021</v>
      </c>
      <c r="F14280">
        <v>7</v>
      </c>
      <c r="G14280">
        <v>10829</v>
      </c>
      <c r="H14280" s="1">
        <v>0</v>
      </c>
      <c r="I14280">
        <v>10</v>
      </c>
      <c r="J14280">
        <f>IF($H14280=0,1,IF($I14280&lt;=1,2,0))</f>
        <v>1</v>
      </c>
      <c r="K14280">
        <v>6</v>
      </c>
      <c r="L14280">
        <f>IF(AND($J14280=0,$K14280=0),0,1)</f>
        <v>1</v>
      </c>
    </row>
    <row r="14281" spans="1:13" x14ac:dyDescent="0.2">
      <c r="A14281" t="s">
        <v>93</v>
      </c>
      <c r="B14281" t="s">
        <v>17</v>
      </c>
      <c r="C14281" t="s">
        <v>102</v>
      </c>
      <c r="D14281">
        <v>4105</v>
      </c>
      <c r="E14281">
        <v>2021</v>
      </c>
      <c r="F14281">
        <v>9</v>
      </c>
      <c r="G14281">
        <v>10831</v>
      </c>
      <c r="H14281" s="1">
        <v>0</v>
      </c>
      <c r="I14281">
        <v>10</v>
      </c>
      <c r="J14281">
        <f>IF($H14281=0,1,IF($I14281&lt;=1,2,0))</f>
        <v>1</v>
      </c>
      <c r="K14281">
        <v>6</v>
      </c>
      <c r="L14281">
        <f>IF(AND($J14281=0,$K14281=0),0,1)</f>
        <v>1</v>
      </c>
    </row>
    <row r="14282" spans="1:13" x14ac:dyDescent="0.2">
      <c r="A14282" t="s">
        <v>93</v>
      </c>
      <c r="B14282" t="s">
        <v>17</v>
      </c>
      <c r="C14282" t="s">
        <v>102</v>
      </c>
      <c r="D14282">
        <v>4105</v>
      </c>
      <c r="E14282">
        <v>2021</v>
      </c>
      <c r="F14282">
        <v>10</v>
      </c>
      <c r="G14282">
        <v>10832</v>
      </c>
      <c r="H14282" s="1">
        <v>0</v>
      </c>
      <c r="I14282">
        <v>10</v>
      </c>
      <c r="J14282">
        <f>IF($H14282=0,1,IF($I14282&lt;=1,2,0))</f>
        <v>1</v>
      </c>
      <c r="K14282">
        <v>6</v>
      </c>
      <c r="L14282">
        <f>IF(AND($J14282=0,$K14282=0),0,1)</f>
        <v>1</v>
      </c>
    </row>
    <row r="14283" spans="1:13" x14ac:dyDescent="0.2">
      <c r="A14283" t="s">
        <v>93</v>
      </c>
      <c r="B14283" t="s">
        <v>17</v>
      </c>
      <c r="C14283" t="s">
        <v>102</v>
      </c>
      <c r="D14283">
        <v>4105</v>
      </c>
      <c r="E14283">
        <v>2021</v>
      </c>
      <c r="F14283">
        <v>13</v>
      </c>
      <c r="G14283">
        <v>10835</v>
      </c>
      <c r="H14283" s="1">
        <v>0</v>
      </c>
      <c r="I14283">
        <v>10</v>
      </c>
      <c r="J14283">
        <f>IF($H14283=0,1,IF($I14283&lt;=1,2,0))</f>
        <v>1</v>
      </c>
      <c r="K14283">
        <v>6</v>
      </c>
      <c r="L14283">
        <f>IF(AND($J14283=0,$K14283=0),0,1)</f>
        <v>1</v>
      </c>
    </row>
    <row r="14284" spans="1:13" x14ac:dyDescent="0.2">
      <c r="A14284" t="s">
        <v>93</v>
      </c>
      <c r="B14284" t="s">
        <v>17</v>
      </c>
      <c r="C14284" t="s">
        <v>102</v>
      </c>
      <c r="D14284">
        <v>4105</v>
      </c>
      <c r="E14284">
        <v>2021</v>
      </c>
      <c r="F14284">
        <v>3</v>
      </c>
      <c r="G14284">
        <v>10825</v>
      </c>
      <c r="H14284" s="1">
        <v>0</v>
      </c>
      <c r="I14284">
        <v>8</v>
      </c>
      <c r="J14284">
        <f>IF($H14284=0,1,IF($I14284&lt;=1,2,0))</f>
        <v>1</v>
      </c>
      <c r="K14284">
        <v>6</v>
      </c>
      <c r="L14284">
        <f>IF(AND($J14284=0,$K14284=0),0,1)</f>
        <v>1</v>
      </c>
    </row>
    <row r="14285" spans="1:13" x14ac:dyDescent="0.2">
      <c r="A14285" t="s">
        <v>93</v>
      </c>
      <c r="B14285" t="s">
        <v>17</v>
      </c>
      <c r="C14285" t="s">
        <v>102</v>
      </c>
      <c r="D14285">
        <v>4105</v>
      </c>
      <c r="E14285">
        <v>2021</v>
      </c>
      <c r="F14285">
        <v>8</v>
      </c>
      <c r="G14285">
        <v>10830</v>
      </c>
      <c r="H14285" s="1">
        <v>0</v>
      </c>
      <c r="I14285">
        <v>8</v>
      </c>
      <c r="J14285">
        <f>IF($H14285=0,1,IF($I14285&lt;=1,2,0))</f>
        <v>1</v>
      </c>
      <c r="K14285">
        <v>6</v>
      </c>
      <c r="L14285">
        <f>IF(AND($J14285=0,$K14285=0),0,1)</f>
        <v>1</v>
      </c>
    </row>
    <row r="14286" spans="1:13" x14ac:dyDescent="0.2">
      <c r="A14286" t="s">
        <v>93</v>
      </c>
      <c r="B14286" t="s">
        <v>17</v>
      </c>
      <c r="C14286" t="s">
        <v>102</v>
      </c>
      <c r="D14286">
        <v>4105</v>
      </c>
      <c r="E14286">
        <v>2021</v>
      </c>
      <c r="F14286">
        <v>17</v>
      </c>
      <c r="G14286">
        <v>10839</v>
      </c>
      <c r="H14286" s="1">
        <v>0</v>
      </c>
      <c r="I14286">
        <v>6</v>
      </c>
      <c r="J14286">
        <f>IF($H14286=0,1,IF($I14286&lt;=1,2,0))</f>
        <v>1</v>
      </c>
      <c r="K14286">
        <v>6</v>
      </c>
      <c r="L14286">
        <f>IF(AND($J14286=0,$K14286=0),0,1)</f>
        <v>1</v>
      </c>
    </row>
    <row r="14287" spans="1:13" x14ac:dyDescent="0.2">
      <c r="A14287" t="s">
        <v>93</v>
      </c>
      <c r="B14287" t="s">
        <v>17</v>
      </c>
      <c r="C14287" t="s">
        <v>102</v>
      </c>
      <c r="D14287">
        <v>4111</v>
      </c>
      <c r="E14287">
        <v>2021</v>
      </c>
      <c r="F14287">
        <v>1</v>
      </c>
      <c r="G14287">
        <v>11742</v>
      </c>
      <c r="H14287" s="1">
        <v>3</v>
      </c>
      <c r="I14287">
        <v>68</v>
      </c>
      <c r="J14287">
        <f>IF($H14287=0,1,IF($I14287&lt;=1,2,0))</f>
        <v>0</v>
      </c>
      <c r="K14287">
        <v>6</v>
      </c>
      <c r="L14287">
        <f>IF(AND($J14287=0,$K14287=0),0,1)</f>
        <v>1</v>
      </c>
      <c r="M14287" t="s">
        <v>1385</v>
      </c>
    </row>
    <row r="14288" spans="1:13" x14ac:dyDescent="0.2">
      <c r="A14288" t="s">
        <v>93</v>
      </c>
      <c r="B14288" t="s">
        <v>17</v>
      </c>
      <c r="C14288" t="s">
        <v>102</v>
      </c>
      <c r="D14288">
        <v>4113</v>
      </c>
      <c r="E14288">
        <v>2021</v>
      </c>
      <c r="F14288">
        <v>1</v>
      </c>
      <c r="G14288">
        <v>11743</v>
      </c>
      <c r="H14288" s="1">
        <v>3</v>
      </c>
      <c r="I14288">
        <v>85</v>
      </c>
      <c r="J14288">
        <f>IF($H14288=0,1,IF($I14288&lt;=1,2,0))</f>
        <v>0</v>
      </c>
      <c r="K14288">
        <v>6</v>
      </c>
      <c r="L14288">
        <f>IF(AND($J14288=0,$K14288=0),0,1)</f>
        <v>1</v>
      </c>
      <c r="M14288" t="s">
        <v>1385</v>
      </c>
    </row>
    <row r="14289" spans="1:13" x14ac:dyDescent="0.2">
      <c r="A14289" t="s">
        <v>93</v>
      </c>
      <c r="B14289" t="s">
        <v>17</v>
      </c>
      <c r="C14289" t="s">
        <v>102</v>
      </c>
      <c r="D14289">
        <v>4114</v>
      </c>
      <c r="E14289">
        <v>2021</v>
      </c>
      <c r="F14289">
        <v>1</v>
      </c>
      <c r="G14289">
        <v>11744</v>
      </c>
      <c r="H14289" s="1">
        <v>3</v>
      </c>
      <c r="I14289">
        <v>85</v>
      </c>
      <c r="J14289">
        <f>IF($H14289=0,1,IF($I14289&lt;=1,2,0))</f>
        <v>0</v>
      </c>
      <c r="K14289">
        <v>6</v>
      </c>
      <c r="L14289">
        <f>IF(AND($J14289=0,$K14289=0),0,1)</f>
        <v>1</v>
      </c>
      <c r="M14289" t="s">
        <v>1385</v>
      </c>
    </row>
    <row r="14290" spans="1:13" x14ac:dyDescent="0.2">
      <c r="A14290" t="s">
        <v>93</v>
      </c>
      <c r="B14290" t="s">
        <v>17</v>
      </c>
      <c r="C14290" t="s">
        <v>102</v>
      </c>
      <c r="D14290">
        <v>4341</v>
      </c>
      <c r="E14290">
        <v>2021</v>
      </c>
      <c r="F14290">
        <v>1</v>
      </c>
      <c r="G14290">
        <v>11603</v>
      </c>
      <c r="H14290" s="1">
        <v>3</v>
      </c>
      <c r="I14290">
        <v>45</v>
      </c>
      <c r="J14290">
        <f>IF($H14290=0,1,IF($I14290&lt;=1,2,0))</f>
        <v>0</v>
      </c>
      <c r="K14290">
        <v>6</v>
      </c>
      <c r="L14290">
        <f>IF(AND($J14290=0,$K14290=0),0,1)</f>
        <v>1</v>
      </c>
      <c r="M14290" t="s">
        <v>2036</v>
      </c>
    </row>
    <row r="14291" spans="1:13" x14ac:dyDescent="0.2">
      <c r="A14291" t="s">
        <v>93</v>
      </c>
      <c r="B14291" t="s">
        <v>17</v>
      </c>
      <c r="C14291" t="s">
        <v>102</v>
      </c>
      <c r="D14291">
        <v>4348</v>
      </c>
      <c r="E14291">
        <v>2021</v>
      </c>
      <c r="F14291">
        <v>2</v>
      </c>
      <c r="G14291">
        <v>10842</v>
      </c>
      <c r="H14291" s="1">
        <v>3</v>
      </c>
      <c r="I14291">
        <v>29</v>
      </c>
      <c r="J14291">
        <f>IF($H14291=0,1,IF($I14291&lt;=1,2,0))</f>
        <v>0</v>
      </c>
      <c r="K14291">
        <v>6</v>
      </c>
      <c r="L14291">
        <f>IF(AND($J14291=0,$K14291=0),0,1)</f>
        <v>1</v>
      </c>
      <c r="M14291" t="s">
        <v>108</v>
      </c>
    </row>
    <row r="14292" spans="1:13" x14ac:dyDescent="0.2">
      <c r="A14292" t="s">
        <v>93</v>
      </c>
      <c r="B14292" t="s">
        <v>17</v>
      </c>
      <c r="C14292" t="s">
        <v>102</v>
      </c>
      <c r="D14292">
        <v>4348</v>
      </c>
      <c r="E14292">
        <v>2021</v>
      </c>
      <c r="F14292">
        <v>3</v>
      </c>
      <c r="G14292">
        <v>10843</v>
      </c>
      <c r="H14292" s="1">
        <v>3</v>
      </c>
      <c r="I14292">
        <v>29</v>
      </c>
      <c r="J14292">
        <f>IF($H14292=0,1,IF($I14292&lt;=1,2,0))</f>
        <v>0</v>
      </c>
      <c r="K14292">
        <v>6</v>
      </c>
      <c r="L14292">
        <f>IF(AND($J14292=0,$K14292=0),0,1)</f>
        <v>1</v>
      </c>
      <c r="M14292" t="s">
        <v>108</v>
      </c>
    </row>
    <row r="14293" spans="1:13" x14ac:dyDescent="0.2">
      <c r="A14293" t="s">
        <v>93</v>
      </c>
      <c r="B14293" t="s">
        <v>17</v>
      </c>
      <c r="C14293" t="s">
        <v>102</v>
      </c>
      <c r="D14293">
        <v>4348</v>
      </c>
      <c r="E14293">
        <v>2021</v>
      </c>
      <c r="F14293">
        <v>1</v>
      </c>
      <c r="G14293">
        <v>10841</v>
      </c>
      <c r="H14293" s="1">
        <v>3</v>
      </c>
      <c r="I14293">
        <v>26</v>
      </c>
      <c r="J14293">
        <f>IF($H14293=0,1,IF($I14293&lt;=1,2,0))</f>
        <v>0</v>
      </c>
      <c r="K14293">
        <v>6</v>
      </c>
      <c r="L14293">
        <f>IF(AND($J14293=0,$K14293=0),0,1)</f>
        <v>1</v>
      </c>
      <c r="M14293" t="s">
        <v>107</v>
      </c>
    </row>
    <row r="14294" spans="1:13" x14ac:dyDescent="0.2">
      <c r="A14294" t="s">
        <v>93</v>
      </c>
      <c r="B14294" t="s">
        <v>17</v>
      </c>
      <c r="C14294" t="s">
        <v>102</v>
      </c>
      <c r="D14294">
        <v>4374</v>
      </c>
      <c r="E14294">
        <v>2021</v>
      </c>
      <c r="F14294">
        <v>1</v>
      </c>
      <c r="G14294">
        <v>10844</v>
      </c>
      <c r="H14294" s="1">
        <v>3</v>
      </c>
      <c r="I14294">
        <v>21</v>
      </c>
      <c r="J14294">
        <f>IF($H14294=0,1,IF($I14294&lt;=1,2,0))</f>
        <v>0</v>
      </c>
      <c r="K14294">
        <v>6</v>
      </c>
      <c r="L14294">
        <f>IF(AND($J14294=0,$K14294=0),0,1)</f>
        <v>1</v>
      </c>
      <c r="M14294" t="s">
        <v>1973</v>
      </c>
    </row>
    <row r="14295" spans="1:13" x14ac:dyDescent="0.2">
      <c r="A14295" t="s">
        <v>93</v>
      </c>
      <c r="B14295" t="s">
        <v>17</v>
      </c>
      <c r="C14295" t="s">
        <v>102</v>
      </c>
      <c r="D14295">
        <v>4399</v>
      </c>
      <c r="E14295">
        <v>2021</v>
      </c>
      <c r="F14295">
        <v>1</v>
      </c>
      <c r="G14295">
        <v>11695</v>
      </c>
      <c r="H14295" s="1">
        <v>3</v>
      </c>
      <c r="I14295">
        <v>8</v>
      </c>
      <c r="J14295">
        <f>IF($H14295=0,1,IF($I14295&lt;=1,2,0))</f>
        <v>0</v>
      </c>
      <c r="K14295">
        <v>6</v>
      </c>
      <c r="L14295">
        <f>IF(AND($J14295=0,$K14295=0),0,1)</f>
        <v>1</v>
      </c>
      <c r="M14295" t="s">
        <v>860</v>
      </c>
    </row>
    <row r="14296" spans="1:13" x14ac:dyDescent="0.2">
      <c r="A14296" t="s">
        <v>93</v>
      </c>
      <c r="B14296" t="s">
        <v>17</v>
      </c>
      <c r="C14296" t="s">
        <v>102</v>
      </c>
      <c r="D14296">
        <v>4407</v>
      </c>
      <c r="E14296">
        <v>2021</v>
      </c>
      <c r="F14296">
        <v>1</v>
      </c>
      <c r="G14296">
        <v>11643</v>
      </c>
      <c r="H14296" s="1">
        <v>1.5</v>
      </c>
      <c r="I14296">
        <v>21</v>
      </c>
      <c r="J14296">
        <f>IF($H14296=0,1,IF($I14296&lt;=1,2,0))</f>
        <v>0</v>
      </c>
      <c r="K14296">
        <v>6</v>
      </c>
      <c r="L14296">
        <f>IF(AND($J14296=0,$K14296=0),0,1)</f>
        <v>1</v>
      </c>
      <c r="M14296" t="s">
        <v>2037</v>
      </c>
    </row>
    <row r="14297" spans="1:13" x14ac:dyDescent="0.2">
      <c r="A14297" t="s">
        <v>93</v>
      </c>
      <c r="B14297" t="s">
        <v>17</v>
      </c>
      <c r="C14297" t="s">
        <v>102</v>
      </c>
      <c r="D14297">
        <v>4469</v>
      </c>
      <c r="E14297">
        <v>2021</v>
      </c>
      <c r="F14297">
        <v>1</v>
      </c>
      <c r="G14297">
        <v>10845</v>
      </c>
      <c r="H14297" s="1">
        <v>3</v>
      </c>
      <c r="I14297">
        <v>111</v>
      </c>
      <c r="J14297">
        <f>IF($H14297=0,1,IF($I14297&lt;=1,2,0))</f>
        <v>0</v>
      </c>
      <c r="K14297">
        <v>6</v>
      </c>
      <c r="L14297">
        <f>IF(AND($J14297=0,$K14297=0),0,1)</f>
        <v>1</v>
      </c>
      <c r="M14297" t="s">
        <v>1973</v>
      </c>
    </row>
    <row r="14298" spans="1:13" x14ac:dyDescent="0.2">
      <c r="A14298" t="s">
        <v>93</v>
      </c>
      <c r="B14298" t="s">
        <v>17</v>
      </c>
      <c r="C14298" t="s">
        <v>102</v>
      </c>
      <c r="D14298">
        <v>4507</v>
      </c>
      <c r="E14298">
        <v>2021</v>
      </c>
      <c r="F14298">
        <v>1</v>
      </c>
      <c r="G14298">
        <v>11696</v>
      </c>
      <c r="H14298" s="1">
        <v>3</v>
      </c>
      <c r="I14298">
        <v>7</v>
      </c>
      <c r="J14298">
        <f>IF($H14298=0,1,IF($I14298&lt;=1,2,0))</f>
        <v>0</v>
      </c>
      <c r="K14298">
        <v>6</v>
      </c>
      <c r="L14298">
        <f>IF(AND($J14298=0,$K14298=0),0,1)</f>
        <v>1</v>
      </c>
      <c r="M14298" t="s">
        <v>860</v>
      </c>
    </row>
    <row r="14299" spans="1:13" x14ac:dyDescent="0.2">
      <c r="A14299" t="s">
        <v>93</v>
      </c>
      <c r="B14299" t="s">
        <v>17</v>
      </c>
      <c r="C14299" t="s">
        <v>102</v>
      </c>
      <c r="D14299">
        <v>4510</v>
      </c>
      <c r="E14299">
        <v>2021</v>
      </c>
      <c r="F14299">
        <v>1</v>
      </c>
      <c r="G14299">
        <v>11798</v>
      </c>
      <c r="H14299" s="1">
        <v>6</v>
      </c>
      <c r="I14299">
        <v>24</v>
      </c>
      <c r="J14299">
        <f>IF($H14299=0,1,IF($I14299&lt;=1,2,0))</f>
        <v>0</v>
      </c>
      <c r="K14299">
        <v>6</v>
      </c>
      <c r="L14299">
        <f>IF(AND($J14299=0,$K14299=0),0,1)</f>
        <v>1</v>
      </c>
      <c r="M14299" t="s">
        <v>110</v>
      </c>
    </row>
    <row r="14300" spans="1:13" x14ac:dyDescent="0.2">
      <c r="A14300" t="s">
        <v>93</v>
      </c>
      <c r="B14300" t="s">
        <v>17</v>
      </c>
      <c r="C14300" t="s">
        <v>102</v>
      </c>
      <c r="D14300">
        <v>4534</v>
      </c>
      <c r="E14300">
        <v>2021</v>
      </c>
      <c r="F14300">
        <v>1</v>
      </c>
      <c r="G14300">
        <v>11709</v>
      </c>
      <c r="H14300" s="1">
        <v>3</v>
      </c>
      <c r="I14300">
        <v>36</v>
      </c>
      <c r="J14300">
        <f>IF($H14300=0,1,IF($I14300&lt;=1,2,0))</f>
        <v>0</v>
      </c>
      <c r="K14300">
        <v>6</v>
      </c>
      <c r="L14300">
        <f>IF(AND($J14300=0,$K14300=0),0,1)</f>
        <v>1</v>
      </c>
      <c r="M14300" t="s">
        <v>1870</v>
      </c>
    </row>
    <row r="14301" spans="1:13" x14ac:dyDescent="0.2">
      <c r="A14301" t="s">
        <v>93</v>
      </c>
      <c r="B14301" t="s">
        <v>17</v>
      </c>
      <c r="C14301" t="s">
        <v>102</v>
      </c>
      <c r="D14301">
        <v>4560</v>
      </c>
      <c r="E14301">
        <v>2021</v>
      </c>
      <c r="F14301">
        <v>1</v>
      </c>
      <c r="G14301">
        <v>11706</v>
      </c>
      <c r="H14301" s="1">
        <v>3</v>
      </c>
      <c r="I14301">
        <v>50</v>
      </c>
      <c r="J14301">
        <f>IF($H14301=0,1,IF($I14301&lt;=1,2,0))</f>
        <v>0</v>
      </c>
      <c r="K14301">
        <v>6</v>
      </c>
      <c r="L14301">
        <f>IF(AND($J14301=0,$K14301=0),0,1)</f>
        <v>1</v>
      </c>
      <c r="M14301" t="s">
        <v>864</v>
      </c>
    </row>
    <row r="14302" spans="1:13" x14ac:dyDescent="0.2">
      <c r="A14302" t="s">
        <v>93</v>
      </c>
      <c r="B14302" t="s">
        <v>17</v>
      </c>
      <c r="C14302" t="s">
        <v>102</v>
      </c>
      <c r="D14302">
        <v>4560</v>
      </c>
      <c r="E14302">
        <v>2021</v>
      </c>
      <c r="F14302">
        <v>2</v>
      </c>
      <c r="G14302">
        <v>11707</v>
      </c>
      <c r="H14302" s="1">
        <v>3</v>
      </c>
      <c r="I14302">
        <v>37</v>
      </c>
      <c r="J14302">
        <f>IF($H14302=0,1,IF($I14302&lt;=1,2,0))</f>
        <v>0</v>
      </c>
      <c r="K14302">
        <v>6</v>
      </c>
      <c r="L14302">
        <f>IF(AND($J14302=0,$K14302=0),0,1)</f>
        <v>1</v>
      </c>
      <c r="M14302" t="s">
        <v>864</v>
      </c>
    </row>
    <row r="14303" spans="1:13" x14ac:dyDescent="0.2">
      <c r="A14303" t="s">
        <v>93</v>
      </c>
      <c r="B14303" t="s">
        <v>17</v>
      </c>
      <c r="C14303" t="s">
        <v>102</v>
      </c>
      <c r="D14303">
        <v>4597</v>
      </c>
      <c r="E14303">
        <v>2021</v>
      </c>
      <c r="F14303">
        <v>1</v>
      </c>
      <c r="G14303">
        <v>11655</v>
      </c>
      <c r="H14303" s="1">
        <v>3</v>
      </c>
      <c r="I14303">
        <v>17</v>
      </c>
      <c r="J14303">
        <f>IF($H14303=0,1,IF($I14303&lt;=1,2,0))</f>
        <v>0</v>
      </c>
      <c r="K14303">
        <v>6</v>
      </c>
      <c r="L14303">
        <f>IF(AND($J14303=0,$K14303=0),0,1)</f>
        <v>1</v>
      </c>
      <c r="M14303" t="s">
        <v>2038</v>
      </c>
    </row>
    <row r="14304" spans="1:13" x14ac:dyDescent="0.2">
      <c r="A14304" t="s">
        <v>93</v>
      </c>
      <c r="B14304" t="s">
        <v>17</v>
      </c>
      <c r="C14304" t="s">
        <v>102</v>
      </c>
      <c r="D14304">
        <v>4620</v>
      </c>
      <c r="E14304">
        <v>2021</v>
      </c>
      <c r="F14304">
        <v>1</v>
      </c>
      <c r="G14304">
        <v>11658</v>
      </c>
      <c r="H14304" s="1">
        <v>3</v>
      </c>
      <c r="I14304">
        <v>8</v>
      </c>
      <c r="J14304">
        <f>IF($H14304=0,1,IF($I14304&lt;=1,2,0))</f>
        <v>0</v>
      </c>
      <c r="K14304">
        <v>6</v>
      </c>
      <c r="L14304">
        <f>IF(AND($J14304=0,$K14304=0),0,1)</f>
        <v>1</v>
      </c>
      <c r="M14304" t="s">
        <v>2039</v>
      </c>
    </row>
    <row r="14305" spans="1:13" x14ac:dyDescent="0.2">
      <c r="A14305" t="s">
        <v>93</v>
      </c>
      <c r="B14305" t="s">
        <v>17</v>
      </c>
      <c r="C14305" t="s">
        <v>102</v>
      </c>
      <c r="D14305">
        <v>4625</v>
      </c>
      <c r="E14305">
        <v>2021</v>
      </c>
      <c r="F14305">
        <v>1</v>
      </c>
      <c r="G14305">
        <v>11746</v>
      </c>
      <c r="H14305" s="1">
        <v>3</v>
      </c>
      <c r="I14305">
        <v>9</v>
      </c>
      <c r="J14305">
        <f>IF($H14305=0,1,IF($I14305&lt;=1,2,0))</f>
        <v>0</v>
      </c>
      <c r="K14305">
        <v>6</v>
      </c>
      <c r="L14305">
        <f>IF(AND($J14305=0,$K14305=0),0,1)</f>
        <v>1</v>
      </c>
      <c r="M14305" t="s">
        <v>114</v>
      </c>
    </row>
    <row r="14306" spans="1:13" x14ac:dyDescent="0.2">
      <c r="A14306" t="s">
        <v>93</v>
      </c>
      <c r="B14306" t="s">
        <v>17</v>
      </c>
      <c r="C14306" t="s">
        <v>102</v>
      </c>
      <c r="D14306">
        <v>4634</v>
      </c>
      <c r="E14306">
        <v>2021</v>
      </c>
      <c r="F14306">
        <v>1</v>
      </c>
      <c r="G14306">
        <v>11747</v>
      </c>
      <c r="H14306" s="1">
        <v>3</v>
      </c>
      <c r="I14306">
        <v>15</v>
      </c>
      <c r="J14306">
        <f>IF($H14306=0,1,IF($I14306&lt;=1,2,0))</f>
        <v>0</v>
      </c>
      <c r="K14306">
        <v>6</v>
      </c>
      <c r="L14306">
        <f>IF(AND($J14306=0,$K14306=0),0,1)</f>
        <v>1</v>
      </c>
      <c r="M14306" t="s">
        <v>114</v>
      </c>
    </row>
    <row r="14307" spans="1:13" x14ac:dyDescent="0.2">
      <c r="A14307" t="s">
        <v>93</v>
      </c>
      <c r="B14307" t="s">
        <v>17</v>
      </c>
      <c r="C14307" t="s">
        <v>102</v>
      </c>
      <c r="D14307">
        <v>4715</v>
      </c>
      <c r="E14307">
        <v>2021</v>
      </c>
      <c r="F14307">
        <v>1</v>
      </c>
      <c r="G14307">
        <v>11710</v>
      </c>
      <c r="H14307" s="1">
        <v>3</v>
      </c>
      <c r="I14307">
        <v>15</v>
      </c>
      <c r="J14307">
        <f>IF($H14307=0,1,IF($I14307&lt;=1,2,0))</f>
        <v>0</v>
      </c>
      <c r="K14307">
        <v>6</v>
      </c>
      <c r="L14307">
        <f>IF(AND($J14307=0,$K14307=0),0,1)</f>
        <v>1</v>
      </c>
      <c r="M14307" t="s">
        <v>1388</v>
      </c>
    </row>
    <row r="14308" spans="1:13" x14ac:dyDescent="0.2">
      <c r="A14308" t="s">
        <v>93</v>
      </c>
      <c r="B14308" t="s">
        <v>17</v>
      </c>
      <c r="C14308" t="s">
        <v>102</v>
      </c>
      <c r="D14308">
        <v>4726</v>
      </c>
      <c r="E14308">
        <v>2021</v>
      </c>
      <c r="F14308">
        <v>1</v>
      </c>
      <c r="G14308">
        <v>11711</v>
      </c>
      <c r="H14308" s="1">
        <v>3</v>
      </c>
      <c r="I14308">
        <v>8</v>
      </c>
      <c r="J14308">
        <f>IF($H14308=0,1,IF($I14308&lt;=1,2,0))</f>
        <v>0</v>
      </c>
      <c r="K14308">
        <v>6</v>
      </c>
      <c r="L14308">
        <f>IF(AND($J14308=0,$K14308=0),0,1)</f>
        <v>1</v>
      </c>
      <c r="M14308" t="s">
        <v>1870</v>
      </c>
    </row>
    <row r="14309" spans="1:13" x14ac:dyDescent="0.2">
      <c r="A14309" t="s">
        <v>93</v>
      </c>
      <c r="B14309" t="s">
        <v>17</v>
      </c>
      <c r="C14309" t="s">
        <v>102</v>
      </c>
      <c r="D14309">
        <v>4776</v>
      </c>
      <c r="E14309">
        <v>2021</v>
      </c>
      <c r="F14309">
        <v>1</v>
      </c>
      <c r="G14309">
        <v>11748</v>
      </c>
      <c r="H14309" s="1">
        <v>3</v>
      </c>
      <c r="I14309">
        <v>14</v>
      </c>
      <c r="J14309">
        <f>IF($H14309=0,1,IF($I14309&lt;=1,2,0))</f>
        <v>0</v>
      </c>
      <c r="K14309">
        <v>6</v>
      </c>
      <c r="L14309">
        <f>IF(AND($J14309=0,$K14309=0),0,1)</f>
        <v>1</v>
      </c>
      <c r="M14309" t="s">
        <v>114</v>
      </c>
    </row>
    <row r="14310" spans="1:13" x14ac:dyDescent="0.2">
      <c r="A14310" t="s">
        <v>93</v>
      </c>
      <c r="B14310" t="s">
        <v>17</v>
      </c>
      <c r="C14310" t="s">
        <v>102</v>
      </c>
      <c r="D14310">
        <v>4815</v>
      </c>
      <c r="E14310">
        <v>2021</v>
      </c>
      <c r="F14310">
        <v>1</v>
      </c>
      <c r="G14310">
        <v>11720</v>
      </c>
      <c r="H14310" s="1">
        <v>3</v>
      </c>
      <c r="I14310">
        <v>15</v>
      </c>
      <c r="J14310">
        <f>IF($H14310=0,1,IF($I14310&lt;=1,2,0))</f>
        <v>0</v>
      </c>
      <c r="K14310">
        <v>6</v>
      </c>
      <c r="L14310">
        <f>IF(AND($J14310=0,$K14310=0),0,1)</f>
        <v>1</v>
      </c>
      <c r="M14310" t="s">
        <v>865</v>
      </c>
    </row>
    <row r="14311" spans="1:13" x14ac:dyDescent="0.2">
      <c r="A14311" t="s">
        <v>93</v>
      </c>
      <c r="B14311" t="s">
        <v>17</v>
      </c>
      <c r="C14311" t="s">
        <v>102</v>
      </c>
      <c r="D14311">
        <v>4832</v>
      </c>
      <c r="E14311">
        <v>2021</v>
      </c>
      <c r="F14311">
        <v>1</v>
      </c>
      <c r="G14311">
        <v>11713</v>
      </c>
      <c r="H14311" s="1">
        <v>3</v>
      </c>
      <c r="I14311">
        <v>25</v>
      </c>
      <c r="J14311">
        <f>IF($H14311=0,1,IF($I14311&lt;=1,2,0))</f>
        <v>0</v>
      </c>
      <c r="K14311">
        <v>6</v>
      </c>
      <c r="L14311">
        <f>IF(AND($J14311=0,$K14311=0),0,1)</f>
        <v>1</v>
      </c>
      <c r="M14311" t="s">
        <v>1870</v>
      </c>
    </row>
    <row r="14312" spans="1:13" x14ac:dyDescent="0.2">
      <c r="A14312" t="s">
        <v>93</v>
      </c>
      <c r="B14312" t="s">
        <v>17</v>
      </c>
      <c r="C14312" t="s">
        <v>102</v>
      </c>
      <c r="D14312">
        <v>4845</v>
      </c>
      <c r="E14312">
        <v>2021</v>
      </c>
      <c r="F14312">
        <v>1</v>
      </c>
      <c r="G14312">
        <v>11738</v>
      </c>
      <c r="H14312" s="1">
        <v>3</v>
      </c>
      <c r="I14312">
        <v>41</v>
      </c>
      <c r="J14312">
        <f>IF($H14312=0,1,IF($I14312&lt;=1,2,0))</f>
        <v>0</v>
      </c>
      <c r="K14312">
        <v>6</v>
      </c>
      <c r="L14312">
        <f>IF(AND($J14312=0,$K14312=0),0,1)</f>
        <v>1</v>
      </c>
      <c r="M14312" t="s">
        <v>866</v>
      </c>
    </row>
    <row r="14313" spans="1:13" x14ac:dyDescent="0.2">
      <c r="A14313" t="s">
        <v>93</v>
      </c>
      <c r="B14313" t="s">
        <v>17</v>
      </c>
      <c r="C14313" t="s">
        <v>102</v>
      </c>
      <c r="D14313">
        <v>4856</v>
      </c>
      <c r="E14313">
        <v>2021</v>
      </c>
      <c r="F14313">
        <v>1</v>
      </c>
      <c r="G14313">
        <v>11749</v>
      </c>
      <c r="H14313" s="1">
        <v>3</v>
      </c>
      <c r="I14313">
        <v>20</v>
      </c>
      <c r="J14313">
        <f>IF($H14313=0,1,IF($I14313&lt;=1,2,0))</f>
        <v>0</v>
      </c>
      <c r="K14313">
        <v>6</v>
      </c>
      <c r="L14313">
        <f>IF(AND($J14313=0,$K14313=0),0,1)</f>
        <v>1</v>
      </c>
      <c r="M14313" t="s">
        <v>1874</v>
      </c>
    </row>
    <row r="14314" spans="1:13" x14ac:dyDescent="0.2">
      <c r="A14314" t="s">
        <v>93</v>
      </c>
      <c r="B14314" t="s">
        <v>17</v>
      </c>
      <c r="C14314" t="s">
        <v>102</v>
      </c>
      <c r="D14314">
        <v>4892</v>
      </c>
      <c r="E14314">
        <v>2021</v>
      </c>
      <c r="F14314">
        <v>1</v>
      </c>
      <c r="G14314">
        <v>10637</v>
      </c>
      <c r="H14314" s="1">
        <v>3</v>
      </c>
      <c r="I14314">
        <v>12</v>
      </c>
      <c r="J14314">
        <f>IF($H14314=0,1,IF($I14314&lt;=1,2,0))</f>
        <v>0</v>
      </c>
      <c r="K14314">
        <v>6</v>
      </c>
      <c r="L14314">
        <f>IF(AND($J14314=0,$K14314=0),0,1)</f>
        <v>1</v>
      </c>
      <c r="M14314" t="s">
        <v>117</v>
      </c>
    </row>
    <row r="14315" spans="1:13" x14ac:dyDescent="0.2">
      <c r="A14315" t="s">
        <v>93</v>
      </c>
      <c r="B14315" t="s">
        <v>17</v>
      </c>
      <c r="C14315" t="s">
        <v>102</v>
      </c>
      <c r="D14315">
        <v>4987</v>
      </c>
      <c r="E14315">
        <v>2021</v>
      </c>
      <c r="F14315">
        <v>1</v>
      </c>
      <c r="G14315">
        <v>11717</v>
      </c>
      <c r="H14315" s="1">
        <v>3</v>
      </c>
      <c r="I14315">
        <v>21</v>
      </c>
      <c r="J14315">
        <f>IF($H14315=0,1,IF($I14315&lt;=1,2,0))</f>
        <v>0</v>
      </c>
      <c r="K14315">
        <v>6</v>
      </c>
      <c r="L14315">
        <f>IF(AND($J14315=0,$K14315=0),0,1)</f>
        <v>1</v>
      </c>
      <c r="M14315" t="s">
        <v>1870</v>
      </c>
    </row>
    <row r="14316" spans="1:13" x14ac:dyDescent="0.2">
      <c r="A14316" t="s">
        <v>93</v>
      </c>
      <c r="B14316" t="s">
        <v>17</v>
      </c>
      <c r="C14316" t="s">
        <v>102</v>
      </c>
      <c r="D14316">
        <v>4988</v>
      </c>
      <c r="E14316">
        <v>2021</v>
      </c>
      <c r="F14316">
        <v>1</v>
      </c>
      <c r="G14316">
        <v>18186</v>
      </c>
      <c r="H14316" s="1">
        <v>3</v>
      </c>
      <c r="I14316">
        <v>25</v>
      </c>
      <c r="J14316">
        <f>IF($H14316=0,1,IF($I14316&lt;=1,2,0))</f>
        <v>0</v>
      </c>
      <c r="K14316">
        <v>6</v>
      </c>
      <c r="L14316">
        <f>IF(AND($J14316=0,$K14316=0),0,1)</f>
        <v>1</v>
      </c>
      <c r="M14316" t="s">
        <v>863</v>
      </c>
    </row>
    <row r="14317" spans="1:13" x14ac:dyDescent="0.2">
      <c r="A14317" t="s">
        <v>93</v>
      </c>
      <c r="B14317" t="s">
        <v>17</v>
      </c>
      <c r="C14317" t="s">
        <v>102</v>
      </c>
      <c r="D14317">
        <v>6305</v>
      </c>
      <c r="E14317">
        <v>2021</v>
      </c>
      <c r="F14317">
        <v>1</v>
      </c>
      <c r="G14317">
        <v>11801</v>
      </c>
      <c r="H14317" s="1">
        <v>6</v>
      </c>
      <c r="I14317">
        <v>8</v>
      </c>
      <c r="J14317">
        <f>IF($H14317=0,1,IF($I14317&lt;=1,2,0))</f>
        <v>0</v>
      </c>
      <c r="K14317">
        <v>6</v>
      </c>
      <c r="L14317">
        <f>IF(AND($J14317=0,$K14317=0),0,1)</f>
        <v>1</v>
      </c>
      <c r="M14317" t="s">
        <v>1876</v>
      </c>
    </row>
    <row r="14318" spans="1:13" x14ac:dyDescent="0.2">
      <c r="A14318" t="s">
        <v>93</v>
      </c>
      <c r="B14318" t="s">
        <v>17</v>
      </c>
      <c r="C14318" t="s">
        <v>102</v>
      </c>
      <c r="D14318">
        <v>6451</v>
      </c>
      <c r="E14318">
        <v>2021</v>
      </c>
      <c r="F14318">
        <v>1</v>
      </c>
      <c r="G14318">
        <v>11662</v>
      </c>
      <c r="H14318" s="1">
        <v>3</v>
      </c>
      <c r="I14318">
        <v>22</v>
      </c>
      <c r="J14318">
        <f>IF($H14318=0,1,IF($I14318&lt;=1,2,0))</f>
        <v>0</v>
      </c>
      <c r="K14318">
        <v>6</v>
      </c>
      <c r="L14318">
        <f>IF(AND($J14318=0,$K14318=0),0,1)</f>
        <v>1</v>
      </c>
      <c r="M14318" t="s">
        <v>2040</v>
      </c>
    </row>
    <row r="14319" spans="1:13" x14ac:dyDescent="0.2">
      <c r="A14319" t="s">
        <v>93</v>
      </c>
      <c r="B14319" t="s">
        <v>17</v>
      </c>
      <c r="C14319" t="s">
        <v>102</v>
      </c>
      <c r="D14319">
        <v>6455</v>
      </c>
      <c r="E14319">
        <v>2021</v>
      </c>
      <c r="F14319">
        <v>1</v>
      </c>
      <c r="G14319">
        <v>11665</v>
      </c>
      <c r="H14319" s="1">
        <v>3</v>
      </c>
      <c r="I14319">
        <v>9</v>
      </c>
      <c r="J14319">
        <f>IF($H14319=0,1,IF($I14319&lt;=1,2,0))</f>
        <v>0</v>
      </c>
      <c r="K14319">
        <v>6</v>
      </c>
      <c r="L14319">
        <f>IF(AND($J14319=0,$K14319=0),0,1)</f>
        <v>1</v>
      </c>
      <c r="M14319" t="s">
        <v>2040</v>
      </c>
    </row>
    <row r="14320" spans="1:13" x14ac:dyDescent="0.2">
      <c r="A14320" t="s">
        <v>93</v>
      </c>
      <c r="B14320" t="s">
        <v>17</v>
      </c>
      <c r="C14320" t="s">
        <v>102</v>
      </c>
      <c r="D14320">
        <v>6740</v>
      </c>
      <c r="E14320">
        <v>2021</v>
      </c>
      <c r="F14320">
        <v>1</v>
      </c>
      <c r="G14320">
        <v>11847</v>
      </c>
      <c r="H14320" s="1">
        <v>3</v>
      </c>
      <c r="I14320">
        <v>25</v>
      </c>
      <c r="J14320">
        <f>IF($H14320=0,1,IF($I14320&lt;=1,2,0))</f>
        <v>0</v>
      </c>
      <c r="K14320">
        <v>6</v>
      </c>
      <c r="L14320">
        <f>IF(AND($J14320=0,$K14320=0),0,1)</f>
        <v>1</v>
      </c>
      <c r="M14320" t="s">
        <v>122</v>
      </c>
    </row>
    <row r="14321" spans="1:13" x14ac:dyDescent="0.2">
      <c r="A14321" t="s">
        <v>93</v>
      </c>
      <c r="B14321" t="s">
        <v>17</v>
      </c>
      <c r="C14321" t="s">
        <v>102</v>
      </c>
      <c r="D14321">
        <v>6756</v>
      </c>
      <c r="E14321">
        <v>2021</v>
      </c>
      <c r="F14321">
        <v>1</v>
      </c>
      <c r="G14321">
        <v>11719</v>
      </c>
      <c r="H14321" s="1">
        <v>3</v>
      </c>
      <c r="I14321">
        <v>8</v>
      </c>
      <c r="J14321">
        <f>IF($H14321=0,1,IF($I14321&lt;=1,2,0))</f>
        <v>0</v>
      </c>
      <c r="K14321">
        <v>6</v>
      </c>
      <c r="L14321">
        <f>IF(AND($J14321=0,$K14321=0),0,1)</f>
        <v>1</v>
      </c>
      <c r="M14321" t="s">
        <v>1389</v>
      </c>
    </row>
    <row r="14322" spans="1:13" x14ac:dyDescent="0.2">
      <c r="A14322" t="s">
        <v>93</v>
      </c>
      <c r="B14322" t="s">
        <v>17</v>
      </c>
      <c r="C14322" t="s">
        <v>102</v>
      </c>
      <c r="D14322">
        <v>6767</v>
      </c>
      <c r="E14322">
        <v>2021</v>
      </c>
      <c r="F14322">
        <v>1</v>
      </c>
      <c r="G14322">
        <v>11856</v>
      </c>
      <c r="H14322" s="1">
        <v>3</v>
      </c>
      <c r="I14322">
        <v>27</v>
      </c>
      <c r="J14322">
        <f>IF($H14322=0,1,IF($I14322&lt;=1,2,0))</f>
        <v>0</v>
      </c>
      <c r="K14322">
        <v>6</v>
      </c>
      <c r="L14322">
        <f>IF(AND($J14322=0,$K14322=0),0,1)</f>
        <v>1</v>
      </c>
      <c r="M14322" t="s">
        <v>124</v>
      </c>
    </row>
    <row r="14323" spans="1:13" x14ac:dyDescent="0.2">
      <c r="A14323" t="s">
        <v>93</v>
      </c>
      <c r="B14323" t="s">
        <v>17</v>
      </c>
      <c r="C14323" t="s">
        <v>102</v>
      </c>
      <c r="D14323">
        <v>6784</v>
      </c>
      <c r="E14323">
        <v>2021</v>
      </c>
      <c r="F14323">
        <v>1</v>
      </c>
      <c r="G14323">
        <v>11860</v>
      </c>
      <c r="H14323" s="1">
        <v>1.5</v>
      </c>
      <c r="I14323">
        <v>7</v>
      </c>
      <c r="J14323">
        <f>IF($H14323=0,1,IF($I14323&lt;=1,2,0))</f>
        <v>0</v>
      </c>
      <c r="K14323">
        <v>6</v>
      </c>
      <c r="L14323">
        <f>IF(AND($J14323=0,$K14323=0),0,1)</f>
        <v>1</v>
      </c>
      <c r="M14323" t="s">
        <v>869</v>
      </c>
    </row>
    <row r="14324" spans="1:13" x14ac:dyDescent="0.2">
      <c r="A14324" t="s">
        <v>93</v>
      </c>
      <c r="B14324" t="s">
        <v>17</v>
      </c>
      <c r="C14324" t="s">
        <v>102</v>
      </c>
      <c r="D14324">
        <v>6790</v>
      </c>
      <c r="E14324">
        <v>2021</v>
      </c>
      <c r="F14324">
        <v>1</v>
      </c>
      <c r="G14324">
        <v>11863</v>
      </c>
      <c r="H14324" s="1">
        <v>3</v>
      </c>
      <c r="I14324">
        <v>12</v>
      </c>
      <c r="J14324">
        <f>IF($H14324=0,1,IF($I14324&lt;=1,2,0))</f>
        <v>0</v>
      </c>
      <c r="K14324">
        <v>6</v>
      </c>
      <c r="L14324">
        <f>IF(AND($J14324=0,$K14324=0),0,1)</f>
        <v>1</v>
      </c>
      <c r="M14324" t="s">
        <v>125</v>
      </c>
    </row>
    <row r="14325" spans="1:13" x14ac:dyDescent="0.2">
      <c r="A14325" t="s">
        <v>93</v>
      </c>
      <c r="B14325" t="s">
        <v>17</v>
      </c>
      <c r="C14325" t="s">
        <v>102</v>
      </c>
      <c r="D14325">
        <v>6813</v>
      </c>
      <c r="E14325">
        <v>2021</v>
      </c>
      <c r="F14325">
        <v>1</v>
      </c>
      <c r="G14325">
        <v>11669</v>
      </c>
      <c r="H14325" s="1">
        <v>3</v>
      </c>
      <c r="I14325">
        <v>17</v>
      </c>
      <c r="J14325">
        <f>IF($H14325=0,1,IF($I14325&lt;=1,2,0))</f>
        <v>0</v>
      </c>
      <c r="K14325">
        <v>6</v>
      </c>
      <c r="L14325">
        <f>IF(AND($J14325=0,$K14325=0),0,1)</f>
        <v>1</v>
      </c>
      <c r="M14325" t="s">
        <v>2041</v>
      </c>
    </row>
    <row r="14326" spans="1:13" x14ac:dyDescent="0.2">
      <c r="A14326" t="s">
        <v>93</v>
      </c>
      <c r="B14326" t="s">
        <v>17</v>
      </c>
      <c r="C14326" t="s">
        <v>102</v>
      </c>
      <c r="D14326">
        <v>6820</v>
      </c>
      <c r="E14326">
        <v>2021</v>
      </c>
      <c r="F14326">
        <v>1</v>
      </c>
      <c r="G14326">
        <v>12619</v>
      </c>
      <c r="H14326" s="1">
        <v>9</v>
      </c>
      <c r="I14326">
        <v>44</v>
      </c>
      <c r="J14326">
        <f>IF($H14326=0,1,IF($I14326&lt;=1,2,0))</f>
        <v>0</v>
      </c>
      <c r="K14326">
        <v>6</v>
      </c>
      <c r="L14326">
        <f>IF(AND($J14326=0,$K14326=0),0,1)</f>
        <v>1</v>
      </c>
      <c r="M14326" t="s">
        <v>871</v>
      </c>
    </row>
    <row r="14327" spans="1:13" x14ac:dyDescent="0.2">
      <c r="A14327" t="s">
        <v>93</v>
      </c>
      <c r="B14327" t="s">
        <v>17</v>
      </c>
      <c r="C14327" t="s">
        <v>102</v>
      </c>
      <c r="D14327">
        <v>6830</v>
      </c>
      <c r="E14327">
        <v>2021</v>
      </c>
      <c r="F14327">
        <v>1</v>
      </c>
      <c r="G14327">
        <v>10627</v>
      </c>
      <c r="H14327" s="1">
        <v>3</v>
      </c>
      <c r="I14327">
        <v>16</v>
      </c>
      <c r="J14327">
        <f>IF($H14327=0,1,IF($I14327&lt;=1,2,0))</f>
        <v>0</v>
      </c>
      <c r="K14327">
        <v>6</v>
      </c>
      <c r="L14327">
        <f>IF(AND($J14327=0,$K14327=0),0,1)</f>
        <v>1</v>
      </c>
      <c r="M14327" t="s">
        <v>1390</v>
      </c>
    </row>
    <row r="14328" spans="1:13" x14ac:dyDescent="0.2">
      <c r="A14328" t="s">
        <v>93</v>
      </c>
      <c r="B14328" t="s">
        <v>17</v>
      </c>
      <c r="C14328" t="s">
        <v>102</v>
      </c>
      <c r="D14328">
        <v>6837</v>
      </c>
      <c r="E14328">
        <v>2021</v>
      </c>
      <c r="F14328">
        <v>1</v>
      </c>
      <c r="G14328">
        <v>11672</v>
      </c>
      <c r="H14328" s="1">
        <v>3</v>
      </c>
      <c r="I14328">
        <v>24</v>
      </c>
      <c r="J14328">
        <f>IF($H14328=0,1,IF($I14328&lt;=1,2,0))</f>
        <v>0</v>
      </c>
      <c r="K14328">
        <v>6</v>
      </c>
      <c r="L14328">
        <f>IF(AND($J14328=0,$K14328=0),0,1)</f>
        <v>1</v>
      </c>
      <c r="M14328" t="s">
        <v>1391</v>
      </c>
    </row>
    <row r="14329" spans="1:13" x14ac:dyDescent="0.2">
      <c r="A14329" t="s">
        <v>93</v>
      </c>
      <c r="B14329" t="s">
        <v>17</v>
      </c>
      <c r="C14329" t="s">
        <v>102</v>
      </c>
      <c r="D14329">
        <v>6840</v>
      </c>
      <c r="E14329">
        <v>2021</v>
      </c>
      <c r="F14329">
        <v>1</v>
      </c>
      <c r="G14329">
        <v>18197</v>
      </c>
      <c r="H14329" s="1">
        <v>3</v>
      </c>
      <c r="I14329">
        <v>15</v>
      </c>
      <c r="J14329">
        <f>IF($H14329=0,1,IF($I14329&lt;=1,2,0))</f>
        <v>0</v>
      </c>
      <c r="K14329">
        <v>6</v>
      </c>
      <c r="L14329">
        <f>IF(AND($J14329=0,$K14329=0),0,1)</f>
        <v>1</v>
      </c>
      <c r="M14329" t="s">
        <v>1973</v>
      </c>
    </row>
    <row r="14330" spans="1:13" x14ac:dyDescent="0.2">
      <c r="A14330" t="s">
        <v>93</v>
      </c>
      <c r="B14330" t="s">
        <v>17</v>
      </c>
      <c r="C14330" t="s">
        <v>102</v>
      </c>
      <c r="D14330">
        <v>6857</v>
      </c>
      <c r="E14330">
        <v>2021</v>
      </c>
      <c r="F14330">
        <v>1</v>
      </c>
      <c r="G14330">
        <v>11753</v>
      </c>
      <c r="H14330" s="1">
        <v>3</v>
      </c>
      <c r="I14330">
        <v>17</v>
      </c>
      <c r="J14330">
        <f>IF($H14330=0,1,IF($I14330&lt;=1,2,0))</f>
        <v>0</v>
      </c>
      <c r="K14330">
        <v>6</v>
      </c>
      <c r="L14330">
        <f>IF(AND($J14330=0,$K14330=0),0,1)</f>
        <v>1</v>
      </c>
      <c r="M14330" t="s">
        <v>1392</v>
      </c>
    </row>
    <row r="14331" spans="1:13" x14ac:dyDescent="0.2">
      <c r="A14331" t="s">
        <v>93</v>
      </c>
      <c r="B14331" t="s">
        <v>17</v>
      </c>
      <c r="C14331" t="s">
        <v>102</v>
      </c>
      <c r="D14331">
        <v>6868</v>
      </c>
      <c r="E14331">
        <v>2021</v>
      </c>
      <c r="F14331">
        <v>0</v>
      </c>
      <c r="G14331">
        <v>11697</v>
      </c>
      <c r="H14331" s="1">
        <v>3</v>
      </c>
      <c r="I14331">
        <v>9</v>
      </c>
      <c r="J14331">
        <f>IF($H14331=0,1,IF($I14331&lt;=1,2,0))</f>
        <v>0</v>
      </c>
      <c r="K14331">
        <v>6</v>
      </c>
      <c r="L14331">
        <f>IF(AND($J14331=0,$K14331=0),0,1)</f>
        <v>1</v>
      </c>
      <c r="M14331" t="s">
        <v>860</v>
      </c>
    </row>
    <row r="14332" spans="1:13" x14ac:dyDescent="0.2">
      <c r="A14332" t="s">
        <v>93</v>
      </c>
      <c r="B14332" t="s">
        <v>17</v>
      </c>
      <c r="C14332" t="s">
        <v>102</v>
      </c>
      <c r="D14332">
        <v>6875</v>
      </c>
      <c r="E14332">
        <v>2021</v>
      </c>
      <c r="F14332">
        <v>1</v>
      </c>
      <c r="G14332">
        <v>11673</v>
      </c>
      <c r="H14332" s="1">
        <v>3</v>
      </c>
      <c r="I14332">
        <v>9</v>
      </c>
      <c r="J14332">
        <f>IF($H14332=0,1,IF($I14332&lt;=1,2,0))</f>
        <v>0</v>
      </c>
      <c r="K14332">
        <v>6</v>
      </c>
      <c r="L14332">
        <f>IF(AND($J14332=0,$K14332=0),0,1)</f>
        <v>1</v>
      </c>
      <c r="M14332" t="s">
        <v>2042</v>
      </c>
    </row>
    <row r="14333" spans="1:13" x14ac:dyDescent="0.2">
      <c r="A14333" t="s">
        <v>93</v>
      </c>
      <c r="B14333" t="s">
        <v>17</v>
      </c>
      <c r="C14333" t="s">
        <v>102</v>
      </c>
      <c r="D14333">
        <v>6877</v>
      </c>
      <c r="E14333">
        <v>2021</v>
      </c>
      <c r="F14333">
        <v>1</v>
      </c>
      <c r="G14333">
        <v>11688</v>
      </c>
      <c r="H14333" s="1">
        <v>3</v>
      </c>
      <c r="I14333">
        <v>27</v>
      </c>
      <c r="J14333">
        <f>IF($H14333=0,1,IF($I14333&lt;=1,2,0))</f>
        <v>0</v>
      </c>
      <c r="K14333">
        <v>6</v>
      </c>
      <c r="L14333">
        <f>IF(AND($J14333=0,$K14333=0),0,1)</f>
        <v>1</v>
      </c>
      <c r="M14333" t="s">
        <v>2041</v>
      </c>
    </row>
    <row r="14334" spans="1:13" x14ac:dyDescent="0.2">
      <c r="A14334" t="s">
        <v>93</v>
      </c>
      <c r="B14334" t="s">
        <v>17</v>
      </c>
      <c r="C14334" t="s">
        <v>102</v>
      </c>
      <c r="D14334">
        <v>6892</v>
      </c>
      <c r="E14334">
        <v>2021</v>
      </c>
      <c r="F14334">
        <v>1</v>
      </c>
      <c r="G14334">
        <v>11756</v>
      </c>
      <c r="H14334" s="1">
        <v>3</v>
      </c>
      <c r="I14334">
        <v>12</v>
      </c>
      <c r="J14334">
        <f>IF($H14334=0,1,IF($I14334&lt;=1,2,0))</f>
        <v>0</v>
      </c>
      <c r="K14334">
        <v>6</v>
      </c>
      <c r="L14334">
        <f>IF(AND($J14334=0,$K14334=0),0,1)</f>
        <v>1</v>
      </c>
      <c r="M14334" t="s">
        <v>114</v>
      </c>
    </row>
    <row r="14335" spans="1:13" x14ac:dyDescent="0.2">
      <c r="A14335" t="s">
        <v>93</v>
      </c>
      <c r="B14335" t="s">
        <v>17</v>
      </c>
      <c r="C14335" t="s">
        <v>102</v>
      </c>
      <c r="D14335">
        <v>6893</v>
      </c>
      <c r="E14335">
        <v>2021</v>
      </c>
      <c r="F14335">
        <v>1</v>
      </c>
      <c r="G14335">
        <v>11765</v>
      </c>
      <c r="H14335" s="1">
        <v>3</v>
      </c>
      <c r="I14335">
        <v>10</v>
      </c>
      <c r="J14335">
        <f>IF($H14335=0,1,IF($I14335&lt;=1,2,0))</f>
        <v>0</v>
      </c>
      <c r="K14335">
        <v>6</v>
      </c>
      <c r="L14335">
        <f>IF(AND($J14335=0,$K14335=0),0,1)</f>
        <v>1</v>
      </c>
      <c r="M14335" t="s">
        <v>114</v>
      </c>
    </row>
    <row r="14336" spans="1:13" x14ac:dyDescent="0.2">
      <c r="A14336" t="s">
        <v>93</v>
      </c>
      <c r="B14336" t="s">
        <v>17</v>
      </c>
      <c r="C14336" t="s">
        <v>102</v>
      </c>
      <c r="D14336">
        <v>6894</v>
      </c>
      <c r="E14336">
        <v>2021</v>
      </c>
      <c r="F14336">
        <v>1</v>
      </c>
      <c r="G14336">
        <v>11770</v>
      </c>
      <c r="H14336" s="1">
        <v>3</v>
      </c>
      <c r="I14336">
        <v>9</v>
      </c>
      <c r="J14336">
        <f>IF($H14336=0,1,IF($I14336&lt;=1,2,0))</f>
        <v>0</v>
      </c>
      <c r="K14336">
        <v>6</v>
      </c>
      <c r="L14336">
        <f>IF(AND($J14336=0,$K14336=0),0,1)</f>
        <v>1</v>
      </c>
      <c r="M14336" t="s">
        <v>114</v>
      </c>
    </row>
    <row r="14337" spans="1:13" x14ac:dyDescent="0.2">
      <c r="A14337" t="s">
        <v>93</v>
      </c>
      <c r="B14337" t="s">
        <v>17</v>
      </c>
      <c r="C14337" t="s">
        <v>102</v>
      </c>
      <c r="D14337">
        <v>6895</v>
      </c>
      <c r="E14337">
        <v>2021</v>
      </c>
      <c r="F14337">
        <v>1</v>
      </c>
      <c r="G14337">
        <v>11624</v>
      </c>
      <c r="H14337" s="1">
        <v>3</v>
      </c>
      <c r="I14337">
        <v>8</v>
      </c>
      <c r="J14337">
        <f>IF($H14337=0,1,IF($I14337&lt;=1,2,0))</f>
        <v>0</v>
      </c>
      <c r="K14337">
        <v>6</v>
      </c>
      <c r="L14337">
        <f>IF(AND($J14337=0,$K14337=0),0,1)</f>
        <v>1</v>
      </c>
    </row>
    <row r="14338" spans="1:13" x14ac:dyDescent="0.2">
      <c r="A14338" t="s">
        <v>93</v>
      </c>
      <c r="B14338" t="s">
        <v>17</v>
      </c>
      <c r="C14338" t="s">
        <v>102</v>
      </c>
      <c r="D14338">
        <v>6897</v>
      </c>
      <c r="E14338">
        <v>2021</v>
      </c>
      <c r="F14338">
        <v>1</v>
      </c>
      <c r="G14338">
        <v>11638</v>
      </c>
      <c r="H14338" s="1">
        <v>3</v>
      </c>
      <c r="I14338">
        <v>5</v>
      </c>
      <c r="J14338">
        <f>IF($H14338=0,1,IF($I14338&lt;=1,2,0))</f>
        <v>0</v>
      </c>
      <c r="K14338">
        <v>6</v>
      </c>
      <c r="L14338">
        <f>IF(AND($J14338=0,$K14338=0),0,1)</f>
        <v>1</v>
      </c>
      <c r="M14338" t="s">
        <v>1393</v>
      </c>
    </row>
    <row r="14339" spans="1:13" x14ac:dyDescent="0.2">
      <c r="A14339" t="s">
        <v>93</v>
      </c>
      <c r="B14339" t="s">
        <v>17</v>
      </c>
      <c r="C14339" t="s">
        <v>102</v>
      </c>
      <c r="D14339">
        <v>6899</v>
      </c>
      <c r="E14339">
        <v>2021</v>
      </c>
      <c r="F14339">
        <v>1</v>
      </c>
      <c r="G14339">
        <v>11692</v>
      </c>
      <c r="H14339" s="1">
        <v>3</v>
      </c>
      <c r="I14339">
        <v>10</v>
      </c>
      <c r="J14339">
        <f>IF($H14339=0,1,IF($I14339&lt;=1,2,0))</f>
        <v>0</v>
      </c>
      <c r="K14339">
        <v>6</v>
      </c>
      <c r="L14339">
        <f>IF(AND($J14339=0,$K14339=0),0,1)</f>
        <v>1</v>
      </c>
      <c r="M14339" t="s">
        <v>2042</v>
      </c>
    </row>
    <row r="14340" spans="1:13" x14ac:dyDescent="0.2">
      <c r="A14340" t="s">
        <v>93</v>
      </c>
      <c r="B14340" t="s">
        <v>17</v>
      </c>
      <c r="C14340" t="s">
        <v>102</v>
      </c>
      <c r="D14340">
        <v>6900</v>
      </c>
      <c r="E14340">
        <v>2021</v>
      </c>
      <c r="F14340">
        <v>1</v>
      </c>
      <c r="G14340">
        <v>11694</v>
      </c>
      <c r="H14340" s="1" t="s">
        <v>1833</v>
      </c>
      <c r="I14340">
        <v>2</v>
      </c>
      <c r="J14340">
        <f>IF($H14340=0,1,IF($I14340&lt;=1,2,0))</f>
        <v>0</v>
      </c>
      <c r="K14340">
        <v>6</v>
      </c>
      <c r="L14340">
        <f>IF(AND($J14340=0,$K14340=0),0,1)</f>
        <v>1</v>
      </c>
      <c r="M14340" t="s">
        <v>873</v>
      </c>
    </row>
    <row r="14341" spans="1:13" x14ac:dyDescent="0.2">
      <c r="A14341" t="s">
        <v>93</v>
      </c>
      <c r="B14341" t="s">
        <v>17</v>
      </c>
      <c r="C14341" t="s">
        <v>102</v>
      </c>
      <c r="D14341">
        <v>6904</v>
      </c>
      <c r="E14341">
        <v>2021</v>
      </c>
      <c r="F14341">
        <v>1</v>
      </c>
      <c r="G14341">
        <v>11702</v>
      </c>
      <c r="H14341" s="1">
        <v>3</v>
      </c>
      <c r="I14341">
        <v>15</v>
      </c>
      <c r="J14341">
        <f>IF($H14341=0,1,IF($I14341&lt;=1,2,0))</f>
        <v>0</v>
      </c>
      <c r="K14341">
        <v>6</v>
      </c>
      <c r="L14341">
        <f>IF(AND($J14341=0,$K14341=0),0,1)</f>
        <v>1</v>
      </c>
      <c r="M14341" t="s">
        <v>2041</v>
      </c>
    </row>
    <row r="14342" spans="1:13" x14ac:dyDescent="0.2">
      <c r="A14342" t="s">
        <v>93</v>
      </c>
      <c r="B14342" t="s">
        <v>17</v>
      </c>
      <c r="C14342" t="s">
        <v>102</v>
      </c>
      <c r="D14342">
        <v>6934</v>
      </c>
      <c r="E14342">
        <v>2021</v>
      </c>
      <c r="F14342">
        <v>1</v>
      </c>
      <c r="G14342">
        <v>11866</v>
      </c>
      <c r="H14342" s="1">
        <v>3</v>
      </c>
      <c r="I14342">
        <v>25</v>
      </c>
      <c r="J14342">
        <f>IF($H14342=0,1,IF($I14342&lt;=1,2,0))</f>
        <v>0</v>
      </c>
      <c r="K14342">
        <v>6</v>
      </c>
      <c r="L14342">
        <f>IF(AND($J14342=0,$K14342=0),0,1)</f>
        <v>1</v>
      </c>
      <c r="M14342" t="s">
        <v>1890</v>
      </c>
    </row>
    <row r="14343" spans="1:13" x14ac:dyDescent="0.2">
      <c r="A14343" t="s">
        <v>93</v>
      </c>
      <c r="B14343" t="s">
        <v>17</v>
      </c>
      <c r="C14343" t="s">
        <v>102</v>
      </c>
      <c r="D14343">
        <v>6936</v>
      </c>
      <c r="E14343">
        <v>2021</v>
      </c>
      <c r="F14343">
        <v>1</v>
      </c>
      <c r="G14343">
        <v>11878</v>
      </c>
      <c r="H14343" s="1">
        <v>1.5</v>
      </c>
      <c r="I14343">
        <v>11</v>
      </c>
      <c r="J14343">
        <f>IF($H14343=0,1,IF($I14343&lt;=1,2,0))</f>
        <v>0</v>
      </c>
      <c r="K14343">
        <v>6</v>
      </c>
      <c r="L14343">
        <f>IF(AND($J14343=0,$K14343=0),0,1)</f>
        <v>1</v>
      </c>
      <c r="M14343" t="s">
        <v>874</v>
      </c>
    </row>
    <row r="14344" spans="1:13" x14ac:dyDescent="0.2">
      <c r="A14344" t="s">
        <v>93</v>
      </c>
      <c r="B14344" t="s">
        <v>17</v>
      </c>
      <c r="C14344" t="s">
        <v>102</v>
      </c>
      <c r="D14344">
        <v>6940</v>
      </c>
      <c r="E14344">
        <v>2021</v>
      </c>
      <c r="F14344">
        <v>1</v>
      </c>
      <c r="G14344">
        <v>12601</v>
      </c>
      <c r="H14344" s="1">
        <v>3</v>
      </c>
      <c r="I14344">
        <v>20</v>
      </c>
      <c r="J14344">
        <f>IF($H14344=0,1,IF($I14344&lt;=1,2,0))</f>
        <v>0</v>
      </c>
      <c r="K14344">
        <v>6</v>
      </c>
      <c r="L14344">
        <f>IF(AND($J14344=0,$K14344=0),0,1)</f>
        <v>1</v>
      </c>
      <c r="M14344" t="s">
        <v>1390</v>
      </c>
    </row>
    <row r="14345" spans="1:13" x14ac:dyDescent="0.2">
      <c r="A14345" t="s">
        <v>93</v>
      </c>
      <c r="B14345" t="s">
        <v>17</v>
      </c>
      <c r="C14345" t="s">
        <v>102</v>
      </c>
      <c r="D14345">
        <v>8904</v>
      </c>
      <c r="E14345">
        <v>2021</v>
      </c>
      <c r="F14345">
        <v>1</v>
      </c>
      <c r="G14345">
        <v>11775</v>
      </c>
      <c r="H14345" s="1">
        <v>3</v>
      </c>
      <c r="I14345">
        <v>6</v>
      </c>
      <c r="J14345">
        <f>IF($H14345=0,1,IF($I14345&lt;=1,2,0))</f>
        <v>0</v>
      </c>
      <c r="K14345">
        <v>6</v>
      </c>
      <c r="L14345">
        <f>IF(AND($J14345=0,$K14345=0),0,1)</f>
        <v>1</v>
      </c>
    </row>
    <row r="14346" spans="1:13" x14ac:dyDescent="0.2">
      <c r="A14346" t="s">
        <v>129</v>
      </c>
      <c r="B14346" t="s">
        <v>6</v>
      </c>
      <c r="C14346" t="s">
        <v>21</v>
      </c>
      <c r="D14346">
        <v>1360</v>
      </c>
      <c r="E14346">
        <v>2021</v>
      </c>
      <c r="F14346">
        <v>1</v>
      </c>
      <c r="G14346">
        <v>18660</v>
      </c>
      <c r="H14346" s="1">
        <v>0</v>
      </c>
      <c r="I14346">
        <v>10</v>
      </c>
      <c r="J14346">
        <f>IF($H14346=0,1,IF($I14346&lt;=1,2,0))</f>
        <v>1</v>
      </c>
      <c r="K14346">
        <v>0</v>
      </c>
      <c r="L14346">
        <f>IF(AND($J14346=0,$K14346=0),0,1)</f>
        <v>1</v>
      </c>
    </row>
    <row r="14347" spans="1:13" x14ac:dyDescent="0.2">
      <c r="A14347" t="s">
        <v>129</v>
      </c>
      <c r="B14347" t="s">
        <v>6</v>
      </c>
      <c r="C14347" t="s">
        <v>21</v>
      </c>
      <c r="D14347">
        <v>1360</v>
      </c>
      <c r="E14347">
        <v>2021</v>
      </c>
      <c r="F14347">
        <v>2</v>
      </c>
      <c r="G14347">
        <v>18661</v>
      </c>
      <c r="H14347" s="1">
        <v>0</v>
      </c>
      <c r="I14347">
        <v>10</v>
      </c>
      <c r="J14347">
        <f>IF($H14347=0,1,IF($I14347&lt;=1,2,0))</f>
        <v>1</v>
      </c>
      <c r="K14347">
        <v>0</v>
      </c>
      <c r="L14347">
        <f>IF(AND($J14347=0,$K14347=0),0,1)</f>
        <v>1</v>
      </c>
    </row>
    <row r="14348" spans="1:13" x14ac:dyDescent="0.2">
      <c r="A14348" t="s">
        <v>129</v>
      </c>
      <c r="B14348" t="s">
        <v>6</v>
      </c>
      <c r="C14348" t="s">
        <v>21</v>
      </c>
      <c r="D14348">
        <v>1360</v>
      </c>
      <c r="E14348">
        <v>2021</v>
      </c>
      <c r="F14348">
        <v>3</v>
      </c>
      <c r="G14348">
        <v>18662</v>
      </c>
      <c r="H14348" s="1">
        <v>0</v>
      </c>
      <c r="I14348">
        <v>10</v>
      </c>
      <c r="J14348">
        <f>IF($H14348=0,1,IF($I14348&lt;=1,2,0))</f>
        <v>1</v>
      </c>
      <c r="K14348">
        <v>0</v>
      </c>
      <c r="L14348">
        <f>IF(AND($J14348=0,$K14348=0),0,1)</f>
        <v>1</v>
      </c>
    </row>
    <row r="14349" spans="1:13" x14ac:dyDescent="0.2">
      <c r="A14349" t="s">
        <v>129</v>
      </c>
      <c r="B14349" t="s">
        <v>6</v>
      </c>
      <c r="C14349" t="s">
        <v>21</v>
      </c>
      <c r="D14349">
        <v>1360</v>
      </c>
      <c r="E14349">
        <v>2021</v>
      </c>
      <c r="F14349">
        <v>4</v>
      </c>
      <c r="G14349">
        <v>18663</v>
      </c>
      <c r="H14349" s="1">
        <v>0</v>
      </c>
      <c r="I14349">
        <v>9</v>
      </c>
      <c r="J14349">
        <f>IF($H14349=0,1,IF($I14349&lt;=1,2,0))</f>
        <v>1</v>
      </c>
      <c r="K14349">
        <v>0</v>
      </c>
      <c r="L14349">
        <f>IF(AND($J14349=0,$K14349=0),0,1)</f>
        <v>1</v>
      </c>
    </row>
    <row r="14350" spans="1:13" x14ac:dyDescent="0.2">
      <c r="A14350" t="s">
        <v>129</v>
      </c>
      <c r="B14350" t="s">
        <v>6</v>
      </c>
      <c r="C14350" t="s">
        <v>21</v>
      </c>
      <c r="D14350">
        <v>1360</v>
      </c>
      <c r="E14350">
        <v>2021</v>
      </c>
      <c r="F14350">
        <v>5</v>
      </c>
      <c r="G14350">
        <v>18664</v>
      </c>
      <c r="H14350" s="1">
        <v>0</v>
      </c>
      <c r="I14350">
        <v>5</v>
      </c>
      <c r="J14350">
        <f>IF($H14350=0,1,IF($I14350&lt;=1,2,0))</f>
        <v>1</v>
      </c>
      <c r="K14350">
        <v>0</v>
      </c>
      <c r="L14350">
        <f>IF(AND($J14350=0,$K14350=0),0,1)</f>
        <v>1</v>
      </c>
    </row>
    <row r="14351" spans="1:13" x14ac:dyDescent="0.2">
      <c r="A14351" t="s">
        <v>129</v>
      </c>
      <c r="B14351" t="s">
        <v>6</v>
      </c>
      <c r="C14351" t="s">
        <v>21</v>
      </c>
      <c r="D14351">
        <v>1360</v>
      </c>
      <c r="E14351">
        <v>2021</v>
      </c>
      <c r="F14351">
        <v>6</v>
      </c>
      <c r="G14351">
        <v>18665</v>
      </c>
      <c r="H14351" s="1">
        <v>0</v>
      </c>
      <c r="I14351">
        <v>5</v>
      </c>
      <c r="J14351">
        <f>IF($H14351=0,1,IF($I14351&lt;=1,2,0))</f>
        <v>1</v>
      </c>
      <c r="K14351">
        <v>0</v>
      </c>
      <c r="L14351">
        <f>IF(AND($J14351=0,$K14351=0),0,1)</f>
        <v>1</v>
      </c>
    </row>
    <row r="14352" spans="1:13" x14ac:dyDescent="0.2">
      <c r="A14352" t="s">
        <v>129</v>
      </c>
      <c r="B14352" t="s">
        <v>6</v>
      </c>
      <c r="C14352" t="s">
        <v>21</v>
      </c>
      <c r="D14352">
        <v>1371</v>
      </c>
      <c r="E14352">
        <v>2021</v>
      </c>
      <c r="F14352">
        <v>3</v>
      </c>
      <c r="G14352">
        <v>18671</v>
      </c>
      <c r="H14352" s="1">
        <v>0</v>
      </c>
      <c r="I14352">
        <v>13</v>
      </c>
      <c r="J14352">
        <f>IF($H14352=0,1,IF($I14352&lt;=1,2,0))</f>
        <v>1</v>
      </c>
      <c r="K14352">
        <v>0</v>
      </c>
      <c r="L14352">
        <f>IF(AND($J14352=0,$K14352=0),0,1)</f>
        <v>1</v>
      </c>
    </row>
    <row r="14353" spans="1:13" x14ac:dyDescent="0.2">
      <c r="A14353" t="s">
        <v>129</v>
      </c>
      <c r="B14353" t="s">
        <v>6</v>
      </c>
      <c r="C14353" t="s">
        <v>21</v>
      </c>
      <c r="D14353">
        <v>1371</v>
      </c>
      <c r="E14353">
        <v>2021</v>
      </c>
      <c r="F14353">
        <v>1</v>
      </c>
      <c r="G14353">
        <v>18669</v>
      </c>
      <c r="H14353" s="1">
        <v>0</v>
      </c>
      <c r="I14353">
        <v>12</v>
      </c>
      <c r="J14353">
        <f>IF($H14353=0,1,IF($I14353&lt;=1,2,0))</f>
        <v>1</v>
      </c>
      <c r="K14353">
        <v>0</v>
      </c>
      <c r="L14353">
        <f>IF(AND($J14353=0,$K14353=0),0,1)</f>
        <v>1</v>
      </c>
    </row>
    <row r="14354" spans="1:13" x14ac:dyDescent="0.2">
      <c r="A14354" t="s">
        <v>129</v>
      </c>
      <c r="B14354" t="s">
        <v>6</v>
      </c>
      <c r="C14354" t="s">
        <v>21</v>
      </c>
      <c r="D14354">
        <v>1371</v>
      </c>
      <c r="E14354">
        <v>2021</v>
      </c>
      <c r="F14354">
        <v>6</v>
      </c>
      <c r="G14354">
        <v>18674</v>
      </c>
      <c r="H14354" s="1">
        <v>0</v>
      </c>
      <c r="I14354">
        <v>11</v>
      </c>
      <c r="J14354">
        <f>IF($H14354=0,1,IF($I14354&lt;=1,2,0))</f>
        <v>1</v>
      </c>
      <c r="K14354">
        <v>0</v>
      </c>
      <c r="L14354">
        <f>IF(AND($J14354=0,$K14354=0),0,1)</f>
        <v>1</v>
      </c>
    </row>
    <row r="14355" spans="1:13" x14ac:dyDescent="0.2">
      <c r="A14355" t="s">
        <v>129</v>
      </c>
      <c r="B14355" t="s">
        <v>6</v>
      </c>
      <c r="C14355" t="s">
        <v>21</v>
      </c>
      <c r="D14355">
        <v>1371</v>
      </c>
      <c r="E14355">
        <v>2021</v>
      </c>
      <c r="F14355">
        <v>4</v>
      </c>
      <c r="G14355">
        <v>18672</v>
      </c>
      <c r="H14355" s="1">
        <v>0</v>
      </c>
      <c r="I14355">
        <v>8</v>
      </c>
      <c r="J14355">
        <f>IF($H14355=0,1,IF($I14355&lt;=1,2,0))</f>
        <v>1</v>
      </c>
      <c r="K14355">
        <v>0</v>
      </c>
      <c r="L14355">
        <f>IF(AND($J14355=0,$K14355=0),0,1)</f>
        <v>1</v>
      </c>
    </row>
    <row r="14356" spans="1:13" x14ac:dyDescent="0.2">
      <c r="A14356" t="s">
        <v>129</v>
      </c>
      <c r="B14356" t="s">
        <v>6</v>
      </c>
      <c r="C14356" t="s">
        <v>21</v>
      </c>
      <c r="D14356">
        <v>1371</v>
      </c>
      <c r="E14356">
        <v>2021</v>
      </c>
      <c r="F14356">
        <v>2</v>
      </c>
      <c r="G14356">
        <v>18670</v>
      </c>
      <c r="H14356" s="1">
        <v>0</v>
      </c>
      <c r="I14356">
        <v>7</v>
      </c>
      <c r="J14356">
        <f>IF($H14356=0,1,IF($I14356&lt;=1,2,0))</f>
        <v>1</v>
      </c>
      <c r="K14356">
        <v>0</v>
      </c>
      <c r="L14356">
        <f>IF(AND($J14356=0,$K14356=0),0,1)</f>
        <v>1</v>
      </c>
    </row>
    <row r="14357" spans="1:13" x14ac:dyDescent="0.2">
      <c r="A14357" t="s">
        <v>129</v>
      </c>
      <c r="B14357" t="s">
        <v>6</v>
      </c>
      <c r="C14357" t="s">
        <v>21</v>
      </c>
      <c r="D14357">
        <v>1371</v>
      </c>
      <c r="E14357">
        <v>2021</v>
      </c>
      <c r="F14357">
        <v>5</v>
      </c>
      <c r="G14357">
        <v>18673</v>
      </c>
      <c r="H14357" s="1">
        <v>0</v>
      </c>
      <c r="I14357">
        <v>3</v>
      </c>
      <c r="J14357">
        <f>IF($H14357=0,1,IF($I14357&lt;=1,2,0))</f>
        <v>1</v>
      </c>
      <c r="K14357">
        <v>0</v>
      </c>
      <c r="L14357">
        <f>IF(AND($J14357=0,$K14357=0),0,1)</f>
        <v>1</v>
      </c>
    </row>
    <row r="14358" spans="1:13" x14ac:dyDescent="0.2">
      <c r="A14358" t="s">
        <v>129</v>
      </c>
      <c r="B14358" t="s">
        <v>6</v>
      </c>
      <c r="C14358" t="s">
        <v>21</v>
      </c>
      <c r="D14358">
        <v>1375</v>
      </c>
      <c r="E14358">
        <v>2021</v>
      </c>
      <c r="F14358">
        <v>4</v>
      </c>
      <c r="G14358">
        <v>18678</v>
      </c>
      <c r="H14358" s="1">
        <v>0</v>
      </c>
      <c r="I14358">
        <v>13</v>
      </c>
      <c r="J14358">
        <f>IF($H14358=0,1,IF($I14358&lt;=1,2,0))</f>
        <v>1</v>
      </c>
      <c r="K14358">
        <v>0</v>
      </c>
      <c r="L14358">
        <f>IF(AND($J14358=0,$K14358=0),0,1)</f>
        <v>1</v>
      </c>
    </row>
    <row r="14359" spans="1:13" x14ac:dyDescent="0.2">
      <c r="A14359" t="s">
        <v>129</v>
      </c>
      <c r="B14359" t="s">
        <v>6</v>
      </c>
      <c r="C14359" t="s">
        <v>21</v>
      </c>
      <c r="D14359">
        <v>1375</v>
      </c>
      <c r="E14359">
        <v>2021</v>
      </c>
      <c r="F14359">
        <v>3</v>
      </c>
      <c r="G14359">
        <v>18677</v>
      </c>
      <c r="H14359" s="1">
        <v>0</v>
      </c>
      <c r="I14359">
        <v>11</v>
      </c>
      <c r="J14359">
        <f>IF($H14359=0,1,IF($I14359&lt;=1,2,0))</f>
        <v>1</v>
      </c>
      <c r="K14359">
        <v>0</v>
      </c>
      <c r="L14359">
        <f>IF(AND($J14359=0,$K14359=0),0,1)</f>
        <v>1</v>
      </c>
    </row>
    <row r="14360" spans="1:13" x14ac:dyDescent="0.2">
      <c r="A14360" t="s">
        <v>129</v>
      </c>
      <c r="B14360" t="s">
        <v>6</v>
      </c>
      <c r="C14360" t="s">
        <v>21</v>
      </c>
      <c r="D14360">
        <v>1375</v>
      </c>
      <c r="E14360">
        <v>2021</v>
      </c>
      <c r="F14360">
        <v>2</v>
      </c>
      <c r="G14360">
        <v>18676</v>
      </c>
      <c r="H14360" s="1">
        <v>0</v>
      </c>
      <c r="I14360">
        <v>9</v>
      </c>
      <c r="J14360">
        <f>IF($H14360=0,1,IF($I14360&lt;=1,2,0))</f>
        <v>1</v>
      </c>
      <c r="K14360">
        <v>0</v>
      </c>
      <c r="L14360">
        <f>IF(AND($J14360=0,$K14360=0),0,1)</f>
        <v>1</v>
      </c>
    </row>
    <row r="14361" spans="1:13" x14ac:dyDescent="0.2">
      <c r="A14361" t="s">
        <v>129</v>
      </c>
      <c r="B14361" t="s">
        <v>6</v>
      </c>
      <c r="C14361" t="s">
        <v>21</v>
      </c>
      <c r="D14361">
        <v>1375</v>
      </c>
      <c r="E14361">
        <v>2021</v>
      </c>
      <c r="F14361">
        <v>1</v>
      </c>
      <c r="G14361">
        <v>18675</v>
      </c>
      <c r="H14361" s="1">
        <v>0</v>
      </c>
      <c r="I14361">
        <v>8</v>
      </c>
      <c r="J14361">
        <f>IF($H14361=0,1,IF($I14361&lt;=1,2,0))</f>
        <v>1</v>
      </c>
      <c r="K14361">
        <v>0</v>
      </c>
      <c r="L14361">
        <f>IF(AND($J14361=0,$K14361=0),0,1)</f>
        <v>1</v>
      </c>
    </row>
    <row r="14362" spans="1:13" x14ac:dyDescent="0.2">
      <c r="A14362" t="s">
        <v>130</v>
      </c>
      <c r="B14362" t="s">
        <v>6</v>
      </c>
      <c r="C14362" t="s">
        <v>21</v>
      </c>
      <c r="D14362">
        <v>2113</v>
      </c>
      <c r="E14362">
        <v>2021</v>
      </c>
      <c r="F14362">
        <v>6</v>
      </c>
      <c r="G14362">
        <v>15365</v>
      </c>
      <c r="H14362" s="1">
        <v>0</v>
      </c>
      <c r="I14362">
        <v>16</v>
      </c>
      <c r="J14362">
        <f>IF($H14362=0,1,IF($I14362&lt;=1,2,0))</f>
        <v>1</v>
      </c>
      <c r="K14362">
        <v>0</v>
      </c>
      <c r="L14362">
        <f>IF(AND($J14362=0,$K14362=0),0,1)</f>
        <v>1</v>
      </c>
    </row>
    <row r="14363" spans="1:13" x14ac:dyDescent="0.2">
      <c r="A14363" t="s">
        <v>130</v>
      </c>
      <c r="B14363" t="s">
        <v>6</v>
      </c>
      <c r="C14363" t="s">
        <v>21</v>
      </c>
      <c r="D14363">
        <v>2113</v>
      </c>
      <c r="E14363">
        <v>2021</v>
      </c>
      <c r="F14363">
        <v>2</v>
      </c>
      <c r="G14363">
        <v>11163</v>
      </c>
      <c r="H14363" s="1">
        <v>0</v>
      </c>
      <c r="I14363">
        <v>11</v>
      </c>
      <c r="J14363">
        <f>IF($H14363=0,1,IF($I14363&lt;=1,2,0))</f>
        <v>1</v>
      </c>
      <c r="K14363">
        <v>0</v>
      </c>
      <c r="L14363">
        <f>IF(AND($J14363=0,$K14363=0),0,1)</f>
        <v>1</v>
      </c>
      <c r="M14363" t="s">
        <v>1394</v>
      </c>
    </row>
    <row r="14364" spans="1:13" x14ac:dyDescent="0.2">
      <c r="A14364" t="s">
        <v>130</v>
      </c>
      <c r="B14364" t="s">
        <v>6</v>
      </c>
      <c r="C14364" t="s">
        <v>21</v>
      </c>
      <c r="D14364">
        <v>2113</v>
      </c>
      <c r="E14364">
        <v>2021</v>
      </c>
      <c r="F14364">
        <v>1</v>
      </c>
      <c r="G14364">
        <v>11056</v>
      </c>
      <c r="H14364" s="1">
        <v>0</v>
      </c>
      <c r="I14364">
        <v>10</v>
      </c>
      <c r="J14364">
        <f>IF($H14364=0,1,IF($I14364&lt;=1,2,0))</f>
        <v>1</v>
      </c>
      <c r="K14364">
        <v>0</v>
      </c>
      <c r="L14364">
        <f>IF(AND($J14364=0,$K14364=0),0,1)</f>
        <v>1</v>
      </c>
      <c r="M14364" t="s">
        <v>1394</v>
      </c>
    </row>
    <row r="14365" spans="1:13" x14ac:dyDescent="0.2">
      <c r="A14365" t="s">
        <v>130</v>
      </c>
      <c r="B14365" t="s">
        <v>6</v>
      </c>
      <c r="C14365" t="s">
        <v>21</v>
      </c>
      <c r="D14365">
        <v>2113</v>
      </c>
      <c r="E14365">
        <v>2021</v>
      </c>
      <c r="F14365">
        <v>5</v>
      </c>
      <c r="G14365">
        <v>15364</v>
      </c>
      <c r="H14365" s="1">
        <v>0</v>
      </c>
      <c r="I14365">
        <v>10</v>
      </c>
      <c r="J14365">
        <f>IF($H14365=0,1,IF($I14365&lt;=1,2,0))</f>
        <v>1</v>
      </c>
      <c r="K14365">
        <v>0</v>
      </c>
      <c r="L14365">
        <f>IF(AND($J14365=0,$K14365=0),0,1)</f>
        <v>1</v>
      </c>
    </row>
    <row r="14366" spans="1:13" x14ac:dyDescent="0.2">
      <c r="A14366" t="s">
        <v>130</v>
      </c>
      <c r="B14366" t="s">
        <v>6</v>
      </c>
      <c r="C14366" t="s">
        <v>21</v>
      </c>
      <c r="D14366">
        <v>2113</v>
      </c>
      <c r="E14366">
        <v>2021</v>
      </c>
      <c r="F14366">
        <v>4</v>
      </c>
      <c r="G14366">
        <v>11167</v>
      </c>
      <c r="H14366" s="1">
        <v>0</v>
      </c>
      <c r="I14366">
        <v>9</v>
      </c>
      <c r="J14366">
        <f>IF($H14366=0,1,IF($I14366&lt;=1,2,0))</f>
        <v>1</v>
      </c>
      <c r="K14366">
        <v>0</v>
      </c>
      <c r="L14366">
        <f>IF(AND($J14366=0,$K14366=0),0,1)</f>
        <v>1</v>
      </c>
      <c r="M14366" t="s">
        <v>1394</v>
      </c>
    </row>
    <row r="14367" spans="1:13" x14ac:dyDescent="0.2">
      <c r="A14367" t="s">
        <v>130</v>
      </c>
      <c r="B14367" t="s">
        <v>6</v>
      </c>
      <c r="C14367" t="s">
        <v>21</v>
      </c>
      <c r="D14367">
        <v>2113</v>
      </c>
      <c r="E14367">
        <v>2021</v>
      </c>
      <c r="F14367">
        <v>3</v>
      </c>
      <c r="G14367">
        <v>11164</v>
      </c>
      <c r="H14367" s="1">
        <v>0</v>
      </c>
      <c r="I14367">
        <v>8</v>
      </c>
      <c r="J14367">
        <f>IF($H14367=0,1,IF($I14367&lt;=1,2,0))</f>
        <v>1</v>
      </c>
      <c r="K14367">
        <v>0</v>
      </c>
      <c r="L14367">
        <f>IF(AND($J14367=0,$K14367=0),0,1)</f>
        <v>1</v>
      </c>
      <c r="M14367" t="s">
        <v>1394</v>
      </c>
    </row>
    <row r="14368" spans="1:13" x14ac:dyDescent="0.2">
      <c r="A14368" t="s">
        <v>130</v>
      </c>
      <c r="B14368" t="s">
        <v>6</v>
      </c>
      <c r="C14368" t="s">
        <v>2</v>
      </c>
      <c r="D14368">
        <v>3000</v>
      </c>
      <c r="E14368">
        <v>2021</v>
      </c>
      <c r="F14368">
        <v>1</v>
      </c>
      <c r="G14368">
        <v>397</v>
      </c>
      <c r="H14368" s="1">
        <v>4</v>
      </c>
      <c r="I14368">
        <v>10</v>
      </c>
      <c r="J14368">
        <f>IF($H14368=0,1,IF($I14368&lt;=1,2,0))</f>
        <v>0</v>
      </c>
      <c r="K14368">
        <v>7</v>
      </c>
      <c r="L14368">
        <f>IF(AND($J14368=0,$K14368=0),0,1)</f>
        <v>1</v>
      </c>
      <c r="M14368" t="s">
        <v>1396</v>
      </c>
    </row>
    <row r="14369" spans="1:13" x14ac:dyDescent="0.2">
      <c r="A14369" t="s">
        <v>132</v>
      </c>
      <c r="B14369" t="s">
        <v>133</v>
      </c>
      <c r="C14369" t="s">
        <v>9</v>
      </c>
      <c r="D14369">
        <v>3997</v>
      </c>
      <c r="E14369">
        <v>2021</v>
      </c>
      <c r="F14369">
        <v>1</v>
      </c>
      <c r="G14369">
        <v>13263</v>
      </c>
      <c r="H14369" s="1">
        <v>3</v>
      </c>
      <c r="I14369">
        <v>4</v>
      </c>
      <c r="J14369">
        <f>IF($H14369=0,1,IF($I14369&lt;=1,2,0))</f>
        <v>0</v>
      </c>
      <c r="K14369">
        <v>9</v>
      </c>
      <c r="L14369">
        <f>IF(AND($J14369=0,$K14369=0),0,1)</f>
        <v>1</v>
      </c>
    </row>
    <row r="14370" spans="1:13" x14ac:dyDescent="0.2">
      <c r="A14370" t="s">
        <v>132</v>
      </c>
      <c r="B14370" t="s">
        <v>133</v>
      </c>
      <c r="C14370" t="s">
        <v>11</v>
      </c>
      <c r="D14370">
        <v>9003</v>
      </c>
      <c r="E14370">
        <v>2021</v>
      </c>
      <c r="F14370">
        <v>1</v>
      </c>
      <c r="G14370">
        <v>13266</v>
      </c>
      <c r="H14370" s="1">
        <v>3</v>
      </c>
      <c r="I14370">
        <v>16</v>
      </c>
      <c r="J14370">
        <f>IF($H14370=0,1,IF($I14370&lt;=1,2,0))</f>
        <v>0</v>
      </c>
      <c r="K14370">
        <v>5</v>
      </c>
      <c r="L14370">
        <f>IF(AND($J14370=0,$K14370=0),0,1)</f>
        <v>1</v>
      </c>
    </row>
    <row r="14371" spans="1:13" x14ac:dyDescent="0.2">
      <c r="A14371" t="s">
        <v>134</v>
      </c>
      <c r="B14371" t="s">
        <v>133</v>
      </c>
      <c r="C14371" t="s">
        <v>7</v>
      </c>
      <c r="D14371">
        <v>3511</v>
      </c>
      <c r="E14371">
        <v>2021</v>
      </c>
      <c r="F14371">
        <v>2</v>
      </c>
      <c r="G14371">
        <v>11687</v>
      </c>
      <c r="H14371" s="1">
        <v>0</v>
      </c>
      <c r="I14371">
        <v>24</v>
      </c>
      <c r="J14371">
        <f>IF($H14371=0,1,IF($I14371&lt;=1,2,0))</f>
        <v>1</v>
      </c>
      <c r="K14371">
        <v>0</v>
      </c>
      <c r="L14371">
        <f>IF(AND($J14371=0,$K14371=0),0,1)</f>
        <v>1</v>
      </c>
      <c r="M14371" t="s">
        <v>1397</v>
      </c>
    </row>
    <row r="14372" spans="1:13" x14ac:dyDescent="0.2">
      <c r="A14372" t="s">
        <v>134</v>
      </c>
      <c r="B14372" t="s">
        <v>133</v>
      </c>
      <c r="C14372" t="s">
        <v>7</v>
      </c>
      <c r="D14372">
        <v>3511</v>
      </c>
      <c r="E14372">
        <v>2021</v>
      </c>
      <c r="F14372">
        <v>1</v>
      </c>
      <c r="G14372">
        <v>11686</v>
      </c>
      <c r="H14372" s="1">
        <v>0</v>
      </c>
      <c r="I14372">
        <v>18</v>
      </c>
      <c r="J14372">
        <f>IF($H14372=0,1,IF($I14372&lt;=1,2,0))</f>
        <v>1</v>
      </c>
      <c r="K14372">
        <v>0</v>
      </c>
      <c r="L14372">
        <f>IF(AND($J14372=0,$K14372=0),0,1)</f>
        <v>1</v>
      </c>
      <c r="M14372" t="s">
        <v>1397</v>
      </c>
    </row>
    <row r="14373" spans="1:13" x14ac:dyDescent="0.2">
      <c r="A14373" t="s">
        <v>134</v>
      </c>
      <c r="B14373" t="s">
        <v>133</v>
      </c>
      <c r="C14373" t="s">
        <v>7</v>
      </c>
      <c r="D14373">
        <v>3511</v>
      </c>
      <c r="E14373">
        <v>2021</v>
      </c>
      <c r="F14373">
        <v>3</v>
      </c>
      <c r="G14373">
        <v>11689</v>
      </c>
      <c r="H14373" s="1">
        <v>0</v>
      </c>
      <c r="I14373">
        <v>16</v>
      </c>
      <c r="J14373">
        <f>IF($H14373=0,1,IF($I14373&lt;=1,2,0))</f>
        <v>1</v>
      </c>
      <c r="K14373">
        <v>0</v>
      </c>
      <c r="L14373">
        <f>IF(AND($J14373=0,$K14373=0),0,1)</f>
        <v>1</v>
      </c>
      <c r="M14373" t="s">
        <v>1397</v>
      </c>
    </row>
    <row r="14374" spans="1:13" x14ac:dyDescent="0.2">
      <c r="A14374" t="s">
        <v>134</v>
      </c>
      <c r="B14374" t="s">
        <v>133</v>
      </c>
      <c r="C14374" t="s">
        <v>9</v>
      </c>
      <c r="D14374">
        <v>4505</v>
      </c>
      <c r="E14374">
        <v>2021</v>
      </c>
      <c r="F14374">
        <v>1</v>
      </c>
      <c r="G14374">
        <v>11691</v>
      </c>
      <c r="H14374" s="1">
        <v>0</v>
      </c>
      <c r="I14374">
        <v>11</v>
      </c>
      <c r="J14374">
        <f>IF($H14374=0,1,IF($I14374&lt;=1,2,0))</f>
        <v>1</v>
      </c>
      <c r="K14374">
        <v>0</v>
      </c>
      <c r="L14374">
        <f>IF(AND($J14374=0,$K14374=0),0,1)</f>
        <v>1</v>
      </c>
      <c r="M14374" t="s">
        <v>2045</v>
      </c>
    </row>
    <row r="14375" spans="1:13" x14ac:dyDescent="0.2">
      <c r="A14375" t="s">
        <v>134</v>
      </c>
      <c r="B14375" t="s">
        <v>133</v>
      </c>
      <c r="C14375" t="s">
        <v>9</v>
      </c>
      <c r="D14375">
        <v>4505</v>
      </c>
      <c r="E14375">
        <v>2021</v>
      </c>
      <c r="F14375">
        <v>2</v>
      </c>
      <c r="G14375">
        <v>17468</v>
      </c>
      <c r="H14375" s="1">
        <v>0</v>
      </c>
      <c r="I14375">
        <v>9</v>
      </c>
      <c r="J14375">
        <f>IF($H14375=0,1,IF($I14375&lt;=1,2,0))</f>
        <v>1</v>
      </c>
      <c r="K14375">
        <v>0</v>
      </c>
      <c r="L14375">
        <f>IF(AND($J14375=0,$K14375=0),0,1)</f>
        <v>1</v>
      </c>
      <c r="M14375" t="s">
        <v>2045</v>
      </c>
    </row>
    <row r="14376" spans="1:13" x14ac:dyDescent="0.2">
      <c r="A14376" t="s">
        <v>139</v>
      </c>
      <c r="B14376" t="s">
        <v>17</v>
      </c>
      <c r="C14376" t="s">
        <v>9</v>
      </c>
      <c r="D14376">
        <v>3101</v>
      </c>
      <c r="E14376">
        <v>2021</v>
      </c>
      <c r="F14376">
        <v>1</v>
      </c>
      <c r="G14376">
        <v>11732</v>
      </c>
      <c r="H14376" s="1">
        <v>3</v>
      </c>
      <c r="I14376">
        <v>0</v>
      </c>
      <c r="J14376">
        <f>IF($H14376=0,1,IF($I14376&lt;=1,2,0))</f>
        <v>2</v>
      </c>
      <c r="K14376">
        <v>0</v>
      </c>
      <c r="L14376">
        <f>IF(AND($J14376=0,$K14376=0),0,1)</f>
        <v>1</v>
      </c>
      <c r="M14376" t="s">
        <v>879</v>
      </c>
    </row>
    <row r="14377" spans="1:13" x14ac:dyDescent="0.2">
      <c r="A14377" t="s">
        <v>140</v>
      </c>
      <c r="B14377" t="s">
        <v>133</v>
      </c>
      <c r="C14377" t="s">
        <v>11</v>
      </c>
      <c r="D14377">
        <v>4000</v>
      </c>
      <c r="E14377">
        <v>2021</v>
      </c>
      <c r="F14377">
        <v>1</v>
      </c>
      <c r="G14377">
        <v>12911</v>
      </c>
      <c r="H14377" s="1">
        <v>3</v>
      </c>
      <c r="I14377">
        <v>4</v>
      </c>
      <c r="J14377">
        <f>IF($H14377=0,1,IF($I14377&lt;=1,2,0))</f>
        <v>0</v>
      </c>
      <c r="K14377">
        <v>4</v>
      </c>
      <c r="L14377">
        <f>IF(AND($J14377=0,$K14377=0),0,1)</f>
        <v>1</v>
      </c>
      <c r="M14377" t="s">
        <v>1399</v>
      </c>
    </row>
    <row r="14378" spans="1:13" x14ac:dyDescent="0.2">
      <c r="A14378" t="s">
        <v>140</v>
      </c>
      <c r="B14378" t="s">
        <v>133</v>
      </c>
      <c r="C14378" t="s">
        <v>11</v>
      </c>
      <c r="D14378">
        <v>4099</v>
      </c>
      <c r="E14378">
        <v>2021</v>
      </c>
      <c r="F14378">
        <v>1</v>
      </c>
      <c r="G14378">
        <v>13434</v>
      </c>
      <c r="H14378" s="1">
        <v>1</v>
      </c>
      <c r="I14378">
        <v>22</v>
      </c>
      <c r="J14378">
        <f>IF($H14378=0,1,IF($I14378&lt;=1,2,0))</f>
        <v>0</v>
      </c>
      <c r="K14378">
        <v>4</v>
      </c>
      <c r="L14378">
        <f>IF(AND($J14378=0,$K14378=0),0,1)</f>
        <v>1</v>
      </c>
      <c r="M14378" t="s">
        <v>1399</v>
      </c>
    </row>
    <row r="14379" spans="1:13" x14ac:dyDescent="0.2">
      <c r="A14379" t="s">
        <v>140</v>
      </c>
      <c r="B14379" t="s">
        <v>133</v>
      </c>
      <c r="C14379" t="s">
        <v>11</v>
      </c>
      <c r="D14379">
        <v>6001</v>
      </c>
      <c r="E14379">
        <v>2021</v>
      </c>
      <c r="F14379">
        <v>6</v>
      </c>
      <c r="G14379">
        <v>13443</v>
      </c>
      <c r="H14379" s="1" t="s">
        <v>1834</v>
      </c>
      <c r="I14379">
        <v>1</v>
      </c>
      <c r="J14379">
        <f>IF($H14379=0,1,IF($I14379&lt;=1,2,0))</f>
        <v>2</v>
      </c>
      <c r="K14379">
        <v>0</v>
      </c>
      <c r="L14379">
        <f>IF(AND($J14379=0,$K14379=0),0,1)</f>
        <v>1</v>
      </c>
    </row>
    <row r="14380" spans="1:13" x14ac:dyDescent="0.2">
      <c r="A14380" t="s">
        <v>140</v>
      </c>
      <c r="B14380" t="s">
        <v>133</v>
      </c>
      <c r="C14380" t="s">
        <v>11</v>
      </c>
      <c r="D14380">
        <v>6001</v>
      </c>
      <c r="E14380">
        <v>2021</v>
      </c>
      <c r="F14380">
        <v>12</v>
      </c>
      <c r="G14380">
        <v>13448</v>
      </c>
      <c r="H14380" s="1" t="s">
        <v>1834</v>
      </c>
      <c r="I14380">
        <v>1</v>
      </c>
      <c r="J14380">
        <f>IF($H14380=0,1,IF($I14380&lt;=1,2,0))</f>
        <v>2</v>
      </c>
      <c r="K14380">
        <v>0</v>
      </c>
      <c r="L14380">
        <f>IF(AND($J14380=0,$K14380=0),0,1)</f>
        <v>1</v>
      </c>
    </row>
    <row r="14381" spans="1:13" x14ac:dyDescent="0.2">
      <c r="A14381" t="s">
        <v>140</v>
      </c>
      <c r="B14381" t="s">
        <v>133</v>
      </c>
      <c r="C14381" t="s">
        <v>11</v>
      </c>
      <c r="D14381">
        <v>6001</v>
      </c>
      <c r="E14381">
        <v>2021</v>
      </c>
      <c r="F14381">
        <v>14</v>
      </c>
      <c r="G14381">
        <v>13451</v>
      </c>
      <c r="H14381" s="1" t="s">
        <v>1834</v>
      </c>
      <c r="I14381">
        <v>1</v>
      </c>
      <c r="J14381">
        <f>IF($H14381=0,1,IF($I14381&lt;=1,2,0))</f>
        <v>2</v>
      </c>
      <c r="K14381">
        <v>0</v>
      </c>
      <c r="L14381">
        <f>IF(AND($J14381=0,$K14381=0),0,1)</f>
        <v>1</v>
      </c>
    </row>
    <row r="14382" spans="1:13" x14ac:dyDescent="0.2">
      <c r="A14382" t="s">
        <v>140</v>
      </c>
      <c r="B14382" t="s">
        <v>133</v>
      </c>
      <c r="C14382" t="s">
        <v>11</v>
      </c>
      <c r="D14382">
        <v>6001</v>
      </c>
      <c r="E14382">
        <v>2021</v>
      </c>
      <c r="F14382">
        <v>21</v>
      </c>
      <c r="G14382">
        <v>13457</v>
      </c>
      <c r="H14382" s="1" t="s">
        <v>1834</v>
      </c>
      <c r="I14382">
        <v>1</v>
      </c>
      <c r="J14382">
        <f>IF($H14382=0,1,IF($I14382&lt;=1,2,0))</f>
        <v>2</v>
      </c>
      <c r="K14382">
        <v>0</v>
      </c>
      <c r="L14382">
        <f>IF(AND($J14382=0,$K14382=0),0,1)</f>
        <v>1</v>
      </c>
    </row>
    <row r="14383" spans="1:13" x14ac:dyDescent="0.2">
      <c r="A14383" t="s">
        <v>140</v>
      </c>
      <c r="B14383" t="s">
        <v>133</v>
      </c>
      <c r="C14383" t="s">
        <v>11</v>
      </c>
      <c r="D14383">
        <v>6001</v>
      </c>
      <c r="E14383">
        <v>2021</v>
      </c>
      <c r="F14383">
        <v>23</v>
      </c>
      <c r="G14383">
        <v>13459</v>
      </c>
      <c r="H14383" s="1" t="s">
        <v>1834</v>
      </c>
      <c r="I14383">
        <v>1</v>
      </c>
      <c r="J14383">
        <f>IF($H14383=0,1,IF($I14383&lt;=1,2,0))</f>
        <v>2</v>
      </c>
      <c r="K14383">
        <v>0</v>
      </c>
      <c r="L14383">
        <f>IF(AND($J14383=0,$K14383=0),0,1)</f>
        <v>1</v>
      </c>
    </row>
    <row r="14384" spans="1:13" x14ac:dyDescent="0.2">
      <c r="A14384" t="s">
        <v>140</v>
      </c>
      <c r="B14384" t="s">
        <v>133</v>
      </c>
      <c r="C14384" t="s">
        <v>11</v>
      </c>
      <c r="D14384">
        <v>6001</v>
      </c>
      <c r="E14384">
        <v>2021</v>
      </c>
      <c r="F14384">
        <v>1</v>
      </c>
      <c r="G14384">
        <v>13436</v>
      </c>
      <c r="H14384" s="1" t="s">
        <v>1834</v>
      </c>
      <c r="I14384">
        <v>0</v>
      </c>
      <c r="J14384">
        <f>IF($H14384=0,1,IF($I14384&lt;=1,2,0))</f>
        <v>2</v>
      </c>
      <c r="K14384">
        <v>0</v>
      </c>
      <c r="L14384">
        <f>IF(AND($J14384=0,$K14384=0),0,1)</f>
        <v>1</v>
      </c>
    </row>
    <row r="14385" spans="1:12" x14ac:dyDescent="0.2">
      <c r="A14385" t="s">
        <v>140</v>
      </c>
      <c r="B14385" t="s">
        <v>133</v>
      </c>
      <c r="C14385" t="s">
        <v>11</v>
      </c>
      <c r="D14385">
        <v>6001</v>
      </c>
      <c r="E14385">
        <v>2021</v>
      </c>
      <c r="F14385">
        <v>3</v>
      </c>
      <c r="G14385">
        <v>13438</v>
      </c>
      <c r="H14385" s="1" t="s">
        <v>1834</v>
      </c>
      <c r="I14385">
        <v>0</v>
      </c>
      <c r="J14385">
        <f>IF($H14385=0,1,IF($I14385&lt;=1,2,0))</f>
        <v>2</v>
      </c>
      <c r="K14385">
        <v>0</v>
      </c>
      <c r="L14385">
        <f>IF(AND($J14385=0,$K14385=0),0,1)</f>
        <v>1</v>
      </c>
    </row>
    <row r="14386" spans="1:12" x14ac:dyDescent="0.2">
      <c r="A14386" t="s">
        <v>140</v>
      </c>
      <c r="B14386" t="s">
        <v>133</v>
      </c>
      <c r="C14386" t="s">
        <v>11</v>
      </c>
      <c r="D14386">
        <v>6001</v>
      </c>
      <c r="E14386">
        <v>2021</v>
      </c>
      <c r="F14386">
        <v>5</v>
      </c>
      <c r="G14386">
        <v>13442</v>
      </c>
      <c r="H14386" s="1" t="s">
        <v>1834</v>
      </c>
      <c r="I14386">
        <v>0</v>
      </c>
      <c r="J14386">
        <f>IF($H14386=0,1,IF($I14386&lt;=1,2,0))</f>
        <v>2</v>
      </c>
      <c r="K14386">
        <v>0</v>
      </c>
      <c r="L14386">
        <f>IF(AND($J14386=0,$K14386=0),0,1)</f>
        <v>1</v>
      </c>
    </row>
    <row r="14387" spans="1:12" x14ac:dyDescent="0.2">
      <c r="A14387" t="s">
        <v>140</v>
      </c>
      <c r="B14387" t="s">
        <v>133</v>
      </c>
      <c r="C14387" t="s">
        <v>11</v>
      </c>
      <c r="D14387">
        <v>6001</v>
      </c>
      <c r="E14387">
        <v>2021</v>
      </c>
      <c r="F14387">
        <v>8</v>
      </c>
      <c r="G14387">
        <v>13445</v>
      </c>
      <c r="H14387" s="1" t="s">
        <v>1834</v>
      </c>
      <c r="I14387">
        <v>0</v>
      </c>
      <c r="J14387">
        <f>IF($H14387=0,1,IF($I14387&lt;=1,2,0))</f>
        <v>2</v>
      </c>
      <c r="K14387">
        <v>0</v>
      </c>
      <c r="L14387">
        <f>IF(AND($J14387=0,$K14387=0),0,1)</f>
        <v>1</v>
      </c>
    </row>
    <row r="14388" spans="1:12" x14ac:dyDescent="0.2">
      <c r="A14388" t="s">
        <v>140</v>
      </c>
      <c r="B14388" t="s">
        <v>133</v>
      </c>
      <c r="C14388" t="s">
        <v>11</v>
      </c>
      <c r="D14388">
        <v>6001</v>
      </c>
      <c r="E14388">
        <v>2021</v>
      </c>
      <c r="F14388">
        <v>11</v>
      </c>
      <c r="G14388">
        <v>13447</v>
      </c>
      <c r="H14388" s="1" t="s">
        <v>1834</v>
      </c>
      <c r="I14388">
        <v>0</v>
      </c>
      <c r="J14388">
        <f>IF($H14388=0,1,IF($I14388&lt;=1,2,0))</f>
        <v>2</v>
      </c>
      <c r="K14388">
        <v>0</v>
      </c>
      <c r="L14388">
        <f>IF(AND($J14388=0,$K14388=0),0,1)</f>
        <v>1</v>
      </c>
    </row>
    <row r="14389" spans="1:12" x14ac:dyDescent="0.2">
      <c r="A14389" t="s">
        <v>140</v>
      </c>
      <c r="B14389" t="s">
        <v>133</v>
      </c>
      <c r="C14389" t="s">
        <v>11</v>
      </c>
      <c r="D14389">
        <v>6001</v>
      </c>
      <c r="E14389">
        <v>2021</v>
      </c>
      <c r="F14389">
        <v>17</v>
      </c>
      <c r="G14389">
        <v>13455</v>
      </c>
      <c r="H14389" s="1" t="s">
        <v>1834</v>
      </c>
      <c r="I14389">
        <v>0</v>
      </c>
      <c r="J14389">
        <f>IF($H14389=0,1,IF($I14389&lt;=1,2,0))</f>
        <v>2</v>
      </c>
      <c r="K14389">
        <v>0</v>
      </c>
      <c r="L14389">
        <f>IF(AND($J14389=0,$K14389=0),0,1)</f>
        <v>1</v>
      </c>
    </row>
    <row r="14390" spans="1:12" x14ac:dyDescent="0.2">
      <c r="A14390" t="s">
        <v>140</v>
      </c>
      <c r="B14390" t="s">
        <v>133</v>
      </c>
      <c r="C14390" t="s">
        <v>11</v>
      </c>
      <c r="D14390">
        <v>6001</v>
      </c>
      <c r="E14390">
        <v>2021</v>
      </c>
      <c r="F14390">
        <v>18</v>
      </c>
      <c r="G14390">
        <v>13456</v>
      </c>
      <c r="H14390" s="1" t="s">
        <v>1834</v>
      </c>
      <c r="I14390">
        <v>0</v>
      </c>
      <c r="J14390">
        <f>IF($H14390=0,1,IF($I14390&lt;=1,2,0))</f>
        <v>2</v>
      </c>
      <c r="K14390">
        <v>0</v>
      </c>
      <c r="L14390">
        <f>IF(AND($J14390=0,$K14390=0),0,1)</f>
        <v>1</v>
      </c>
    </row>
    <row r="14391" spans="1:12" x14ac:dyDescent="0.2">
      <c r="A14391" t="s">
        <v>140</v>
      </c>
      <c r="B14391" t="s">
        <v>133</v>
      </c>
      <c r="C14391" t="s">
        <v>11</v>
      </c>
      <c r="D14391">
        <v>6001</v>
      </c>
      <c r="E14391">
        <v>2021</v>
      </c>
      <c r="F14391">
        <v>22</v>
      </c>
      <c r="G14391">
        <v>13458</v>
      </c>
      <c r="H14391" s="1" t="s">
        <v>1834</v>
      </c>
      <c r="I14391">
        <v>0</v>
      </c>
      <c r="J14391">
        <f>IF($H14391=0,1,IF($I14391&lt;=1,2,0))</f>
        <v>2</v>
      </c>
      <c r="K14391">
        <v>0</v>
      </c>
      <c r="L14391">
        <f>IF(AND($J14391=0,$K14391=0),0,1)</f>
        <v>1</v>
      </c>
    </row>
    <row r="14392" spans="1:12" x14ac:dyDescent="0.2">
      <c r="A14392" t="s">
        <v>140</v>
      </c>
      <c r="B14392" t="s">
        <v>133</v>
      </c>
      <c r="C14392" t="s">
        <v>11</v>
      </c>
      <c r="D14392">
        <v>8001</v>
      </c>
      <c r="E14392">
        <v>2021</v>
      </c>
      <c r="F14392">
        <v>1</v>
      </c>
      <c r="G14392">
        <v>18820</v>
      </c>
      <c r="H14392" s="1" t="s">
        <v>1834</v>
      </c>
      <c r="I14392">
        <v>1</v>
      </c>
      <c r="J14392">
        <f>IF($H14392=0,1,IF($I14392&lt;=1,2,0))</f>
        <v>2</v>
      </c>
      <c r="K14392">
        <v>0</v>
      </c>
      <c r="L14392">
        <f>IF(AND($J14392=0,$K14392=0),0,1)</f>
        <v>1</v>
      </c>
    </row>
    <row r="14393" spans="1:12" x14ac:dyDescent="0.2">
      <c r="A14393" t="s">
        <v>140</v>
      </c>
      <c r="B14393" t="s">
        <v>133</v>
      </c>
      <c r="C14393" t="s">
        <v>11</v>
      </c>
      <c r="D14393">
        <v>8001</v>
      </c>
      <c r="E14393">
        <v>2021</v>
      </c>
      <c r="F14393">
        <v>2</v>
      </c>
      <c r="G14393">
        <v>18821</v>
      </c>
      <c r="H14393" s="1" t="s">
        <v>1834</v>
      </c>
      <c r="I14393">
        <v>0</v>
      </c>
      <c r="J14393">
        <f>IF($H14393=0,1,IF($I14393&lt;=1,2,0))</f>
        <v>2</v>
      </c>
      <c r="K14393">
        <v>0</v>
      </c>
      <c r="L14393">
        <f>IF(AND($J14393=0,$K14393=0),0,1)</f>
        <v>1</v>
      </c>
    </row>
    <row r="14394" spans="1:12" x14ac:dyDescent="0.2">
      <c r="A14394" t="s">
        <v>140</v>
      </c>
      <c r="B14394" t="s">
        <v>133</v>
      </c>
      <c r="C14394" t="s">
        <v>11</v>
      </c>
      <c r="D14394">
        <v>8001</v>
      </c>
      <c r="E14394">
        <v>2021</v>
      </c>
      <c r="F14394">
        <v>3</v>
      </c>
      <c r="G14394">
        <v>18822</v>
      </c>
      <c r="H14394" s="1" t="s">
        <v>1834</v>
      </c>
      <c r="I14394">
        <v>0</v>
      </c>
      <c r="J14394">
        <f>IF($H14394=0,1,IF($I14394&lt;=1,2,0))</f>
        <v>2</v>
      </c>
      <c r="K14394">
        <v>0</v>
      </c>
      <c r="L14394">
        <f>IF(AND($J14394=0,$K14394=0),0,1)</f>
        <v>1</v>
      </c>
    </row>
    <row r="14395" spans="1:12" x14ac:dyDescent="0.2">
      <c r="A14395" t="s">
        <v>140</v>
      </c>
      <c r="B14395" t="s">
        <v>133</v>
      </c>
      <c r="C14395" t="s">
        <v>11</v>
      </c>
      <c r="D14395">
        <v>8001</v>
      </c>
      <c r="E14395">
        <v>2021</v>
      </c>
      <c r="F14395">
        <v>4</v>
      </c>
      <c r="G14395">
        <v>18823</v>
      </c>
      <c r="H14395" s="1" t="s">
        <v>1834</v>
      </c>
      <c r="I14395">
        <v>0</v>
      </c>
      <c r="J14395">
        <f>IF($H14395=0,1,IF($I14395&lt;=1,2,0))</f>
        <v>2</v>
      </c>
      <c r="K14395">
        <v>0</v>
      </c>
      <c r="L14395">
        <f>IF(AND($J14395=0,$K14395=0),0,1)</f>
        <v>1</v>
      </c>
    </row>
    <row r="14396" spans="1:12" x14ac:dyDescent="0.2">
      <c r="A14396" t="s">
        <v>140</v>
      </c>
      <c r="B14396" t="s">
        <v>133</v>
      </c>
      <c r="C14396" t="s">
        <v>11</v>
      </c>
      <c r="D14396">
        <v>8001</v>
      </c>
      <c r="E14396">
        <v>2021</v>
      </c>
      <c r="F14396">
        <v>6</v>
      </c>
      <c r="G14396">
        <v>18824</v>
      </c>
      <c r="H14396" s="1" t="s">
        <v>1834</v>
      </c>
      <c r="I14396">
        <v>0</v>
      </c>
      <c r="J14396">
        <f>IF($H14396=0,1,IF($I14396&lt;=1,2,0))</f>
        <v>2</v>
      </c>
      <c r="K14396">
        <v>0</v>
      </c>
      <c r="L14396">
        <f>IF(AND($J14396=0,$K14396=0),0,1)</f>
        <v>1</v>
      </c>
    </row>
    <row r="14397" spans="1:12" x14ac:dyDescent="0.2">
      <c r="A14397" t="s">
        <v>140</v>
      </c>
      <c r="B14397" t="s">
        <v>133</v>
      </c>
      <c r="C14397" t="s">
        <v>11</v>
      </c>
      <c r="D14397">
        <v>8010</v>
      </c>
      <c r="E14397">
        <v>2021</v>
      </c>
      <c r="F14397">
        <v>1</v>
      </c>
      <c r="G14397">
        <v>13460</v>
      </c>
      <c r="H14397" s="1">
        <v>2</v>
      </c>
      <c r="I14397">
        <v>1</v>
      </c>
      <c r="J14397">
        <f>IF($H14397=0,1,IF($I14397&lt;=1,2,0))</f>
        <v>2</v>
      </c>
      <c r="K14397">
        <v>0</v>
      </c>
      <c r="L14397">
        <f>IF(AND($J14397=0,$K14397=0),0,1)</f>
        <v>1</v>
      </c>
    </row>
    <row r="14398" spans="1:12" x14ac:dyDescent="0.2">
      <c r="A14398" t="s">
        <v>140</v>
      </c>
      <c r="B14398" t="s">
        <v>133</v>
      </c>
      <c r="C14398" t="s">
        <v>11</v>
      </c>
      <c r="D14398">
        <v>8010</v>
      </c>
      <c r="E14398">
        <v>2021</v>
      </c>
      <c r="F14398">
        <v>2</v>
      </c>
      <c r="G14398">
        <v>13461</v>
      </c>
      <c r="H14398" s="1">
        <v>2</v>
      </c>
      <c r="I14398">
        <v>1</v>
      </c>
      <c r="J14398">
        <f>IF($H14398=0,1,IF($I14398&lt;=1,2,0))</f>
        <v>2</v>
      </c>
      <c r="K14398">
        <v>0</v>
      </c>
      <c r="L14398">
        <f>IF(AND($J14398=0,$K14398=0),0,1)</f>
        <v>1</v>
      </c>
    </row>
    <row r="14399" spans="1:12" x14ac:dyDescent="0.2">
      <c r="A14399" t="s">
        <v>140</v>
      </c>
      <c r="B14399" t="s">
        <v>133</v>
      </c>
      <c r="C14399" t="s">
        <v>11</v>
      </c>
      <c r="D14399">
        <v>8010</v>
      </c>
      <c r="E14399">
        <v>2021</v>
      </c>
      <c r="F14399">
        <v>3</v>
      </c>
      <c r="G14399">
        <v>13462</v>
      </c>
      <c r="H14399" s="1">
        <v>2</v>
      </c>
      <c r="I14399">
        <v>1</v>
      </c>
      <c r="J14399">
        <f>IF($H14399=0,1,IF($I14399&lt;=1,2,0))</f>
        <v>2</v>
      </c>
      <c r="K14399">
        <v>0</v>
      </c>
      <c r="L14399">
        <f>IF(AND($J14399=0,$K14399=0),0,1)</f>
        <v>1</v>
      </c>
    </row>
    <row r="14400" spans="1:12" x14ac:dyDescent="0.2">
      <c r="A14400" t="s">
        <v>140</v>
      </c>
      <c r="B14400" t="s">
        <v>133</v>
      </c>
      <c r="C14400" t="s">
        <v>11</v>
      </c>
      <c r="D14400">
        <v>8010</v>
      </c>
      <c r="E14400">
        <v>2021</v>
      </c>
      <c r="F14400">
        <v>5</v>
      </c>
      <c r="G14400">
        <v>13464</v>
      </c>
      <c r="H14400" s="1">
        <v>2</v>
      </c>
      <c r="I14400">
        <v>1</v>
      </c>
      <c r="J14400">
        <f>IF($H14400=0,1,IF($I14400&lt;=1,2,0))</f>
        <v>2</v>
      </c>
      <c r="K14400">
        <v>0</v>
      </c>
      <c r="L14400">
        <f>IF(AND($J14400=0,$K14400=0),0,1)</f>
        <v>1</v>
      </c>
    </row>
    <row r="14401" spans="1:12" x14ac:dyDescent="0.2">
      <c r="A14401" t="s">
        <v>140</v>
      </c>
      <c r="B14401" t="s">
        <v>133</v>
      </c>
      <c r="C14401" t="s">
        <v>11</v>
      </c>
      <c r="D14401">
        <v>8010</v>
      </c>
      <c r="E14401">
        <v>2021</v>
      </c>
      <c r="F14401">
        <v>6</v>
      </c>
      <c r="G14401">
        <v>13465</v>
      </c>
      <c r="H14401" s="1">
        <v>2</v>
      </c>
      <c r="I14401">
        <v>1</v>
      </c>
      <c r="J14401">
        <f>IF($H14401=0,1,IF($I14401&lt;=1,2,0))</f>
        <v>2</v>
      </c>
      <c r="K14401">
        <v>0</v>
      </c>
      <c r="L14401">
        <f>IF(AND($J14401=0,$K14401=0),0,1)</f>
        <v>1</v>
      </c>
    </row>
    <row r="14402" spans="1:12" x14ac:dyDescent="0.2">
      <c r="A14402" t="s">
        <v>140</v>
      </c>
      <c r="B14402" t="s">
        <v>133</v>
      </c>
      <c r="C14402" t="s">
        <v>11</v>
      </c>
      <c r="D14402">
        <v>8010</v>
      </c>
      <c r="E14402">
        <v>2021</v>
      </c>
      <c r="F14402">
        <v>7</v>
      </c>
      <c r="G14402">
        <v>18825</v>
      </c>
      <c r="H14402" s="1">
        <v>2</v>
      </c>
      <c r="I14402">
        <v>1</v>
      </c>
      <c r="J14402">
        <f>IF($H14402=0,1,IF($I14402&lt;=1,2,0))</f>
        <v>2</v>
      </c>
      <c r="K14402">
        <v>0</v>
      </c>
      <c r="L14402">
        <f>IF(AND($J14402=0,$K14402=0),0,1)</f>
        <v>1</v>
      </c>
    </row>
    <row r="14403" spans="1:12" x14ac:dyDescent="0.2">
      <c r="A14403" t="s">
        <v>140</v>
      </c>
      <c r="B14403" t="s">
        <v>133</v>
      </c>
      <c r="C14403" t="s">
        <v>11</v>
      </c>
      <c r="D14403">
        <v>8010</v>
      </c>
      <c r="E14403">
        <v>2021</v>
      </c>
      <c r="F14403">
        <v>4</v>
      </c>
      <c r="G14403">
        <v>13463</v>
      </c>
      <c r="H14403" s="1">
        <v>2</v>
      </c>
      <c r="I14403">
        <v>0</v>
      </c>
      <c r="J14403">
        <f>IF($H14403=0,1,IF($I14403&lt;=1,2,0))</f>
        <v>2</v>
      </c>
      <c r="K14403">
        <v>0</v>
      </c>
      <c r="L14403">
        <f>IF(AND($J14403=0,$K14403=0),0,1)</f>
        <v>1</v>
      </c>
    </row>
    <row r="14404" spans="1:12" x14ac:dyDescent="0.2">
      <c r="A14404" t="s">
        <v>140</v>
      </c>
      <c r="B14404" t="s">
        <v>133</v>
      </c>
      <c r="C14404" t="s">
        <v>11</v>
      </c>
      <c r="D14404">
        <v>9001</v>
      </c>
      <c r="E14404">
        <v>2021</v>
      </c>
      <c r="F14404">
        <v>1</v>
      </c>
      <c r="G14404">
        <v>13473</v>
      </c>
      <c r="H14404" s="1" t="s">
        <v>1834</v>
      </c>
      <c r="I14404">
        <v>1</v>
      </c>
      <c r="J14404">
        <f>IF($H14404=0,1,IF($I14404&lt;=1,2,0))</f>
        <v>2</v>
      </c>
      <c r="K14404">
        <v>5</v>
      </c>
      <c r="L14404">
        <f>IF(AND($J14404=0,$K14404=0),0,1)</f>
        <v>1</v>
      </c>
    </row>
    <row r="14405" spans="1:12" x14ac:dyDescent="0.2">
      <c r="A14405" t="s">
        <v>140</v>
      </c>
      <c r="B14405" t="s">
        <v>133</v>
      </c>
      <c r="C14405" t="s">
        <v>11</v>
      </c>
      <c r="D14405">
        <v>9001</v>
      </c>
      <c r="E14405">
        <v>2021</v>
      </c>
      <c r="F14405">
        <v>2</v>
      </c>
      <c r="G14405">
        <v>13466</v>
      </c>
      <c r="H14405" s="1" t="s">
        <v>1834</v>
      </c>
      <c r="I14405">
        <v>1</v>
      </c>
      <c r="J14405">
        <f>IF($H14405=0,1,IF($I14405&lt;=1,2,0))</f>
        <v>2</v>
      </c>
      <c r="K14405">
        <v>5</v>
      </c>
      <c r="L14405">
        <f>IF(AND($J14405=0,$K14405=0),0,1)</f>
        <v>1</v>
      </c>
    </row>
    <row r="14406" spans="1:12" x14ac:dyDescent="0.2">
      <c r="A14406" t="s">
        <v>140</v>
      </c>
      <c r="B14406" t="s">
        <v>133</v>
      </c>
      <c r="C14406" t="s">
        <v>11</v>
      </c>
      <c r="D14406">
        <v>9001</v>
      </c>
      <c r="E14406">
        <v>2021</v>
      </c>
      <c r="F14406">
        <v>9</v>
      </c>
      <c r="G14406">
        <v>13471</v>
      </c>
      <c r="H14406" s="1" t="s">
        <v>1834</v>
      </c>
      <c r="I14406">
        <v>1</v>
      </c>
      <c r="J14406">
        <f>IF($H14406=0,1,IF($I14406&lt;=1,2,0))</f>
        <v>2</v>
      </c>
      <c r="K14406">
        <v>5</v>
      </c>
      <c r="L14406">
        <f>IF(AND($J14406=0,$K14406=0),0,1)</f>
        <v>1</v>
      </c>
    </row>
    <row r="14407" spans="1:12" x14ac:dyDescent="0.2">
      <c r="A14407" t="s">
        <v>140</v>
      </c>
      <c r="B14407" t="s">
        <v>133</v>
      </c>
      <c r="C14407" t="s">
        <v>11</v>
      </c>
      <c r="D14407">
        <v>9001</v>
      </c>
      <c r="E14407">
        <v>2021</v>
      </c>
      <c r="F14407">
        <v>10</v>
      </c>
      <c r="G14407">
        <v>13470</v>
      </c>
      <c r="H14407" s="1" t="s">
        <v>1834</v>
      </c>
      <c r="I14407">
        <v>1</v>
      </c>
      <c r="J14407">
        <f>IF($H14407=0,1,IF($I14407&lt;=1,2,0))</f>
        <v>2</v>
      </c>
      <c r="K14407">
        <v>5</v>
      </c>
      <c r="L14407">
        <f>IF(AND($J14407=0,$K14407=0),0,1)</f>
        <v>1</v>
      </c>
    </row>
    <row r="14408" spans="1:12" x14ac:dyDescent="0.2">
      <c r="A14408" t="s">
        <v>140</v>
      </c>
      <c r="B14408" t="s">
        <v>133</v>
      </c>
      <c r="C14408" t="s">
        <v>11</v>
      </c>
      <c r="D14408">
        <v>9001</v>
      </c>
      <c r="E14408">
        <v>2021</v>
      </c>
      <c r="F14408">
        <v>11</v>
      </c>
      <c r="G14408">
        <v>13477</v>
      </c>
      <c r="H14408" s="1" t="s">
        <v>1834</v>
      </c>
      <c r="I14408">
        <v>1</v>
      </c>
      <c r="J14408">
        <f>IF($H14408=0,1,IF($I14408&lt;=1,2,0))</f>
        <v>2</v>
      </c>
      <c r="K14408">
        <v>5</v>
      </c>
      <c r="L14408">
        <f>IF(AND($J14408=0,$K14408=0),0,1)</f>
        <v>1</v>
      </c>
    </row>
    <row r="14409" spans="1:12" x14ac:dyDescent="0.2">
      <c r="A14409" t="s">
        <v>140</v>
      </c>
      <c r="B14409" t="s">
        <v>133</v>
      </c>
      <c r="C14409" t="s">
        <v>11</v>
      </c>
      <c r="D14409">
        <v>9001</v>
      </c>
      <c r="E14409">
        <v>2021</v>
      </c>
      <c r="F14409">
        <v>3</v>
      </c>
      <c r="G14409">
        <v>13467</v>
      </c>
      <c r="H14409" s="1" t="s">
        <v>1834</v>
      </c>
      <c r="I14409">
        <v>0</v>
      </c>
      <c r="J14409">
        <f>IF($H14409=0,1,IF($I14409&lt;=1,2,0))</f>
        <v>2</v>
      </c>
      <c r="K14409">
        <v>5</v>
      </c>
      <c r="L14409">
        <f>IF(AND($J14409=0,$K14409=0),0,1)</f>
        <v>1</v>
      </c>
    </row>
    <row r="14410" spans="1:12" x14ac:dyDescent="0.2">
      <c r="A14410" t="s">
        <v>140</v>
      </c>
      <c r="B14410" t="s">
        <v>133</v>
      </c>
      <c r="C14410" t="s">
        <v>11</v>
      </c>
      <c r="D14410">
        <v>9001</v>
      </c>
      <c r="E14410">
        <v>2021</v>
      </c>
      <c r="F14410">
        <v>5</v>
      </c>
      <c r="G14410">
        <v>13469</v>
      </c>
      <c r="H14410" s="1" t="s">
        <v>1834</v>
      </c>
      <c r="I14410">
        <v>0</v>
      </c>
      <c r="J14410">
        <f>IF($H14410=0,1,IF($I14410&lt;=1,2,0))</f>
        <v>2</v>
      </c>
      <c r="K14410">
        <v>5</v>
      </c>
      <c r="L14410">
        <f>IF(AND($J14410=0,$K14410=0),0,1)</f>
        <v>1</v>
      </c>
    </row>
    <row r="14411" spans="1:12" x14ac:dyDescent="0.2">
      <c r="A14411" t="s">
        <v>140</v>
      </c>
      <c r="B14411" t="s">
        <v>133</v>
      </c>
      <c r="C14411" t="s">
        <v>11</v>
      </c>
      <c r="D14411">
        <v>9001</v>
      </c>
      <c r="E14411">
        <v>2021</v>
      </c>
      <c r="F14411">
        <v>7</v>
      </c>
      <c r="G14411">
        <v>18826</v>
      </c>
      <c r="H14411" s="1" t="s">
        <v>1834</v>
      </c>
      <c r="I14411">
        <v>0</v>
      </c>
      <c r="J14411">
        <f>IF($H14411=0,1,IF($I14411&lt;=1,2,0))</f>
        <v>2</v>
      </c>
      <c r="K14411">
        <v>5</v>
      </c>
      <c r="L14411">
        <f>IF(AND($J14411=0,$K14411=0),0,1)</f>
        <v>1</v>
      </c>
    </row>
    <row r="14412" spans="1:12" x14ac:dyDescent="0.2">
      <c r="A14412" t="s">
        <v>140</v>
      </c>
      <c r="B14412" t="s">
        <v>133</v>
      </c>
      <c r="C14412" t="s">
        <v>11</v>
      </c>
      <c r="D14412">
        <v>9001</v>
      </c>
      <c r="E14412">
        <v>2021</v>
      </c>
      <c r="F14412">
        <v>8</v>
      </c>
      <c r="G14412">
        <v>18827</v>
      </c>
      <c r="H14412" s="1" t="s">
        <v>1834</v>
      </c>
      <c r="I14412">
        <v>0</v>
      </c>
      <c r="J14412">
        <f>IF($H14412=0,1,IF($I14412&lt;=1,2,0))</f>
        <v>2</v>
      </c>
      <c r="K14412">
        <v>5</v>
      </c>
      <c r="L14412">
        <f>IF(AND($J14412=0,$K14412=0),0,1)</f>
        <v>1</v>
      </c>
    </row>
    <row r="14413" spans="1:12" x14ac:dyDescent="0.2">
      <c r="A14413" t="s">
        <v>140</v>
      </c>
      <c r="B14413" t="s">
        <v>133</v>
      </c>
      <c r="C14413" t="s">
        <v>11</v>
      </c>
      <c r="D14413">
        <v>9999</v>
      </c>
      <c r="E14413">
        <v>2021</v>
      </c>
      <c r="F14413">
        <v>7</v>
      </c>
      <c r="G14413">
        <v>20115</v>
      </c>
      <c r="H14413" s="1">
        <v>0</v>
      </c>
      <c r="I14413">
        <v>1</v>
      </c>
      <c r="J14413">
        <f>IF($H14413=0,1,IF($I14413&lt;=1,2,0))</f>
        <v>1</v>
      </c>
      <c r="K14413">
        <v>5</v>
      </c>
      <c r="L14413">
        <f>IF(AND($J14413=0,$K14413=0),0,1)</f>
        <v>1</v>
      </c>
    </row>
    <row r="14414" spans="1:12" x14ac:dyDescent="0.2">
      <c r="A14414" t="s">
        <v>140</v>
      </c>
      <c r="B14414" t="s">
        <v>133</v>
      </c>
      <c r="C14414" t="s">
        <v>11</v>
      </c>
      <c r="D14414">
        <v>9999</v>
      </c>
      <c r="E14414">
        <v>2021</v>
      </c>
      <c r="F14414">
        <v>2</v>
      </c>
      <c r="G14414">
        <v>13472</v>
      </c>
      <c r="H14414" s="1">
        <v>0</v>
      </c>
      <c r="I14414">
        <v>0</v>
      </c>
      <c r="J14414">
        <f>IF($H14414=0,1,IF($I14414&lt;=1,2,0))</f>
        <v>1</v>
      </c>
      <c r="K14414">
        <v>5</v>
      </c>
      <c r="L14414">
        <f>IF(AND($J14414=0,$K14414=0),0,1)</f>
        <v>1</v>
      </c>
    </row>
    <row r="14415" spans="1:12" x14ac:dyDescent="0.2">
      <c r="A14415" t="s">
        <v>140</v>
      </c>
      <c r="B14415" t="s">
        <v>133</v>
      </c>
      <c r="C14415" t="s">
        <v>11</v>
      </c>
      <c r="D14415">
        <v>9999</v>
      </c>
      <c r="E14415">
        <v>2021</v>
      </c>
      <c r="F14415">
        <v>3</v>
      </c>
      <c r="G14415">
        <v>20116</v>
      </c>
      <c r="H14415" s="1">
        <v>0</v>
      </c>
      <c r="I14415">
        <v>0</v>
      </c>
      <c r="J14415">
        <f>IF($H14415=0,1,IF($I14415&lt;=1,2,0))</f>
        <v>1</v>
      </c>
      <c r="K14415">
        <v>5</v>
      </c>
      <c r="L14415">
        <f>IF(AND($J14415=0,$K14415=0),0,1)</f>
        <v>1</v>
      </c>
    </row>
    <row r="14416" spans="1:12" x14ac:dyDescent="0.2">
      <c r="A14416" t="s">
        <v>140</v>
      </c>
      <c r="B14416" t="s">
        <v>133</v>
      </c>
      <c r="C14416" t="s">
        <v>11</v>
      </c>
      <c r="D14416">
        <v>9999</v>
      </c>
      <c r="E14416">
        <v>2021</v>
      </c>
      <c r="F14416">
        <v>6</v>
      </c>
      <c r="G14416">
        <v>13475</v>
      </c>
      <c r="H14416" s="1">
        <v>0</v>
      </c>
      <c r="I14416">
        <v>0</v>
      </c>
      <c r="J14416">
        <f>IF($H14416=0,1,IF($I14416&lt;=1,2,0))</f>
        <v>1</v>
      </c>
      <c r="K14416">
        <v>5</v>
      </c>
      <c r="L14416">
        <f>IF(AND($J14416=0,$K14416=0),0,1)</f>
        <v>1</v>
      </c>
    </row>
    <row r="14417" spans="1:13" x14ac:dyDescent="0.2">
      <c r="A14417" t="s">
        <v>142</v>
      </c>
      <c r="B14417" t="s">
        <v>133</v>
      </c>
      <c r="C14417" t="s">
        <v>2</v>
      </c>
      <c r="D14417">
        <v>1001</v>
      </c>
      <c r="E14417">
        <v>2021</v>
      </c>
      <c r="F14417">
        <v>1</v>
      </c>
      <c r="G14417">
        <v>300</v>
      </c>
      <c r="H14417" s="1">
        <v>3</v>
      </c>
      <c r="I14417">
        <v>21</v>
      </c>
      <c r="J14417">
        <f>IF($H14417=0,1,IF($I14417&lt;=1,2,0))</f>
        <v>0</v>
      </c>
      <c r="K14417">
        <v>7</v>
      </c>
      <c r="L14417">
        <f>IF(AND($J14417=0,$K14417=0),0,1)</f>
        <v>1</v>
      </c>
    </row>
    <row r="14418" spans="1:13" x14ac:dyDescent="0.2">
      <c r="A14418" t="s">
        <v>142</v>
      </c>
      <c r="B14418" t="s">
        <v>133</v>
      </c>
      <c r="C14418" t="s">
        <v>2</v>
      </c>
      <c r="D14418">
        <v>1500</v>
      </c>
      <c r="E14418">
        <v>2021</v>
      </c>
      <c r="F14418">
        <v>1</v>
      </c>
      <c r="G14418">
        <v>302</v>
      </c>
      <c r="H14418" s="1">
        <v>3</v>
      </c>
      <c r="I14418">
        <v>244</v>
      </c>
      <c r="J14418">
        <f>IF($H14418=0,1,IF($I14418&lt;=1,2,0))</f>
        <v>0</v>
      </c>
      <c r="K14418">
        <v>7</v>
      </c>
      <c r="L14418">
        <f>IF(AND($J14418=0,$K14418=0),0,1)</f>
        <v>1</v>
      </c>
      <c r="M14418" t="s">
        <v>1402</v>
      </c>
    </row>
    <row r="14419" spans="1:13" x14ac:dyDescent="0.2">
      <c r="A14419" t="s">
        <v>142</v>
      </c>
      <c r="B14419" t="s">
        <v>133</v>
      </c>
      <c r="C14419" t="s">
        <v>2</v>
      </c>
      <c r="D14419">
        <v>1501</v>
      </c>
      <c r="E14419">
        <v>2021</v>
      </c>
      <c r="F14419">
        <v>1</v>
      </c>
      <c r="G14419">
        <v>303</v>
      </c>
      <c r="H14419" s="1">
        <v>2</v>
      </c>
      <c r="I14419">
        <v>15</v>
      </c>
      <c r="J14419">
        <f>IF($H14419=0,1,IF($I14419&lt;=1,2,0))</f>
        <v>0</v>
      </c>
      <c r="K14419">
        <v>7</v>
      </c>
      <c r="L14419">
        <f>IF(AND($J14419=0,$K14419=0),0,1)</f>
        <v>1</v>
      </c>
      <c r="M14419" t="s">
        <v>1403</v>
      </c>
    </row>
    <row r="14420" spans="1:13" x14ac:dyDescent="0.2">
      <c r="A14420" t="s">
        <v>142</v>
      </c>
      <c r="B14420" t="s">
        <v>133</v>
      </c>
      <c r="C14420" t="s">
        <v>2</v>
      </c>
      <c r="D14420">
        <v>1501</v>
      </c>
      <c r="E14420">
        <v>2021</v>
      </c>
      <c r="F14420">
        <v>3</v>
      </c>
      <c r="G14420">
        <v>305</v>
      </c>
      <c r="H14420" s="1">
        <v>2</v>
      </c>
      <c r="I14420">
        <v>15</v>
      </c>
      <c r="J14420">
        <f>IF($H14420=0,1,IF($I14420&lt;=1,2,0))</f>
        <v>0</v>
      </c>
      <c r="K14420">
        <v>7</v>
      </c>
      <c r="L14420">
        <f>IF(AND($J14420=0,$K14420=0),0,1)</f>
        <v>1</v>
      </c>
      <c r="M14420" t="s">
        <v>1403</v>
      </c>
    </row>
    <row r="14421" spans="1:13" x14ac:dyDescent="0.2">
      <c r="A14421" t="s">
        <v>142</v>
      </c>
      <c r="B14421" t="s">
        <v>133</v>
      </c>
      <c r="C14421" t="s">
        <v>2</v>
      </c>
      <c r="D14421">
        <v>1501</v>
      </c>
      <c r="E14421">
        <v>2021</v>
      </c>
      <c r="F14421">
        <v>6</v>
      </c>
      <c r="G14421">
        <v>308</v>
      </c>
      <c r="H14421" s="1">
        <v>2</v>
      </c>
      <c r="I14421">
        <v>15</v>
      </c>
      <c r="J14421">
        <f>IF($H14421=0,1,IF($I14421&lt;=1,2,0))</f>
        <v>0</v>
      </c>
      <c r="K14421">
        <v>7</v>
      </c>
      <c r="L14421">
        <f>IF(AND($J14421=0,$K14421=0),0,1)</f>
        <v>1</v>
      </c>
      <c r="M14421" t="s">
        <v>1403</v>
      </c>
    </row>
    <row r="14422" spans="1:13" x14ac:dyDescent="0.2">
      <c r="A14422" t="s">
        <v>142</v>
      </c>
      <c r="B14422" t="s">
        <v>133</v>
      </c>
      <c r="C14422" t="s">
        <v>2</v>
      </c>
      <c r="D14422">
        <v>1501</v>
      </c>
      <c r="E14422">
        <v>2021</v>
      </c>
      <c r="F14422">
        <v>10</v>
      </c>
      <c r="G14422">
        <v>312</v>
      </c>
      <c r="H14422" s="1">
        <v>2</v>
      </c>
      <c r="I14422">
        <v>15</v>
      </c>
      <c r="J14422">
        <f>IF($H14422=0,1,IF($I14422&lt;=1,2,0))</f>
        <v>0</v>
      </c>
      <c r="K14422">
        <v>7</v>
      </c>
      <c r="L14422">
        <f>IF(AND($J14422=0,$K14422=0),0,1)</f>
        <v>1</v>
      </c>
      <c r="M14422" t="s">
        <v>1403</v>
      </c>
    </row>
    <row r="14423" spans="1:13" x14ac:dyDescent="0.2">
      <c r="A14423" t="s">
        <v>142</v>
      </c>
      <c r="B14423" t="s">
        <v>133</v>
      </c>
      <c r="C14423" t="s">
        <v>2</v>
      </c>
      <c r="D14423">
        <v>1501</v>
      </c>
      <c r="E14423">
        <v>2021</v>
      </c>
      <c r="F14423">
        <v>13</v>
      </c>
      <c r="G14423">
        <v>315</v>
      </c>
      <c r="H14423" s="1">
        <v>2</v>
      </c>
      <c r="I14423">
        <v>15</v>
      </c>
      <c r="J14423">
        <f>IF($H14423=0,1,IF($I14423&lt;=1,2,0))</f>
        <v>0</v>
      </c>
      <c r="K14423">
        <v>7</v>
      </c>
      <c r="L14423">
        <f>IF(AND($J14423=0,$K14423=0),0,1)</f>
        <v>1</v>
      </c>
      <c r="M14423" t="s">
        <v>1403</v>
      </c>
    </row>
    <row r="14424" spans="1:13" x14ac:dyDescent="0.2">
      <c r="A14424" t="s">
        <v>142</v>
      </c>
      <c r="B14424" t="s">
        <v>133</v>
      </c>
      <c r="C14424" t="s">
        <v>2</v>
      </c>
      <c r="D14424">
        <v>1501</v>
      </c>
      <c r="E14424">
        <v>2021</v>
      </c>
      <c r="F14424">
        <v>14</v>
      </c>
      <c r="G14424">
        <v>757</v>
      </c>
      <c r="H14424" s="1">
        <v>2</v>
      </c>
      <c r="I14424">
        <v>15</v>
      </c>
      <c r="J14424">
        <f>IF($H14424=0,1,IF($I14424&lt;=1,2,0))</f>
        <v>0</v>
      </c>
      <c r="K14424">
        <v>7</v>
      </c>
      <c r="L14424">
        <f>IF(AND($J14424=0,$K14424=0),0,1)</f>
        <v>1</v>
      </c>
      <c r="M14424" t="s">
        <v>1403</v>
      </c>
    </row>
    <row r="14425" spans="1:13" x14ac:dyDescent="0.2">
      <c r="A14425" t="s">
        <v>142</v>
      </c>
      <c r="B14425" t="s">
        <v>133</v>
      </c>
      <c r="C14425" t="s">
        <v>2</v>
      </c>
      <c r="D14425">
        <v>1501</v>
      </c>
      <c r="E14425">
        <v>2021</v>
      </c>
      <c r="F14425">
        <v>2</v>
      </c>
      <c r="G14425">
        <v>304</v>
      </c>
      <c r="H14425" s="1">
        <v>2</v>
      </c>
      <c r="I14425">
        <v>14</v>
      </c>
      <c r="J14425">
        <f>IF($H14425=0,1,IF($I14425&lt;=1,2,0))</f>
        <v>0</v>
      </c>
      <c r="K14425">
        <v>7</v>
      </c>
      <c r="L14425">
        <f>IF(AND($J14425=0,$K14425=0),0,1)</f>
        <v>1</v>
      </c>
      <c r="M14425" t="s">
        <v>1403</v>
      </c>
    </row>
    <row r="14426" spans="1:13" x14ac:dyDescent="0.2">
      <c r="A14426" t="s">
        <v>142</v>
      </c>
      <c r="B14426" t="s">
        <v>133</v>
      </c>
      <c r="C14426" t="s">
        <v>2</v>
      </c>
      <c r="D14426">
        <v>1501</v>
      </c>
      <c r="E14426">
        <v>2021</v>
      </c>
      <c r="F14426">
        <v>4</v>
      </c>
      <c r="G14426">
        <v>306</v>
      </c>
      <c r="H14426" s="1">
        <v>2</v>
      </c>
      <c r="I14426">
        <v>14</v>
      </c>
      <c r="J14426">
        <f>IF($H14426=0,1,IF($I14426&lt;=1,2,0))</f>
        <v>0</v>
      </c>
      <c r="K14426">
        <v>7</v>
      </c>
      <c r="L14426">
        <f>IF(AND($J14426=0,$K14426=0),0,1)</f>
        <v>1</v>
      </c>
      <c r="M14426" t="s">
        <v>1403</v>
      </c>
    </row>
    <row r="14427" spans="1:13" x14ac:dyDescent="0.2">
      <c r="A14427" t="s">
        <v>142</v>
      </c>
      <c r="B14427" t="s">
        <v>133</v>
      </c>
      <c r="C14427" t="s">
        <v>2</v>
      </c>
      <c r="D14427">
        <v>1501</v>
      </c>
      <c r="E14427">
        <v>2021</v>
      </c>
      <c r="F14427">
        <v>7</v>
      </c>
      <c r="G14427">
        <v>309</v>
      </c>
      <c r="H14427" s="1">
        <v>2</v>
      </c>
      <c r="I14427">
        <v>14</v>
      </c>
      <c r="J14427">
        <f>IF($H14427=0,1,IF($I14427&lt;=1,2,0))</f>
        <v>0</v>
      </c>
      <c r="K14427">
        <v>7</v>
      </c>
      <c r="L14427">
        <f>IF(AND($J14427=0,$K14427=0),0,1)</f>
        <v>1</v>
      </c>
      <c r="M14427" t="s">
        <v>1403</v>
      </c>
    </row>
    <row r="14428" spans="1:13" x14ac:dyDescent="0.2">
      <c r="A14428" t="s">
        <v>142</v>
      </c>
      <c r="B14428" t="s">
        <v>133</v>
      </c>
      <c r="C14428" t="s">
        <v>2</v>
      </c>
      <c r="D14428">
        <v>1501</v>
      </c>
      <c r="E14428">
        <v>2021</v>
      </c>
      <c r="F14428">
        <v>8</v>
      </c>
      <c r="G14428">
        <v>310</v>
      </c>
      <c r="H14428" s="1">
        <v>2</v>
      </c>
      <c r="I14428">
        <v>14</v>
      </c>
      <c r="J14428">
        <f>IF($H14428=0,1,IF($I14428&lt;=1,2,0))</f>
        <v>0</v>
      </c>
      <c r="K14428">
        <v>7</v>
      </c>
      <c r="L14428">
        <f>IF(AND($J14428=0,$K14428=0),0,1)</f>
        <v>1</v>
      </c>
      <c r="M14428" t="s">
        <v>1403</v>
      </c>
    </row>
    <row r="14429" spans="1:13" x14ac:dyDescent="0.2">
      <c r="A14429" t="s">
        <v>142</v>
      </c>
      <c r="B14429" t="s">
        <v>133</v>
      </c>
      <c r="C14429" t="s">
        <v>2</v>
      </c>
      <c r="D14429">
        <v>1501</v>
      </c>
      <c r="E14429">
        <v>2021</v>
      </c>
      <c r="F14429">
        <v>9</v>
      </c>
      <c r="G14429">
        <v>311</v>
      </c>
      <c r="H14429" s="1">
        <v>2</v>
      </c>
      <c r="I14429">
        <v>14</v>
      </c>
      <c r="J14429">
        <f>IF($H14429=0,1,IF($I14429&lt;=1,2,0))</f>
        <v>0</v>
      </c>
      <c r="K14429">
        <v>7</v>
      </c>
      <c r="L14429">
        <f>IF(AND($J14429=0,$K14429=0),0,1)</f>
        <v>1</v>
      </c>
      <c r="M14429" t="s">
        <v>1403</v>
      </c>
    </row>
    <row r="14430" spans="1:13" x14ac:dyDescent="0.2">
      <c r="A14430" t="s">
        <v>142</v>
      </c>
      <c r="B14430" t="s">
        <v>133</v>
      </c>
      <c r="C14430" t="s">
        <v>2</v>
      </c>
      <c r="D14430">
        <v>1501</v>
      </c>
      <c r="E14430">
        <v>2021</v>
      </c>
      <c r="F14430">
        <v>11</v>
      </c>
      <c r="G14430">
        <v>313</v>
      </c>
      <c r="H14430" s="1">
        <v>2</v>
      </c>
      <c r="I14430">
        <v>14</v>
      </c>
      <c r="J14430">
        <f>IF($H14430=0,1,IF($I14430&lt;=1,2,0))</f>
        <v>0</v>
      </c>
      <c r="K14430">
        <v>7</v>
      </c>
      <c r="L14430">
        <f>IF(AND($J14430=0,$K14430=0),0,1)</f>
        <v>1</v>
      </c>
      <c r="M14430" t="s">
        <v>1403</v>
      </c>
    </row>
    <row r="14431" spans="1:13" x14ac:dyDescent="0.2">
      <c r="A14431" t="s">
        <v>142</v>
      </c>
      <c r="B14431" t="s">
        <v>133</v>
      </c>
      <c r="C14431" t="s">
        <v>2</v>
      </c>
      <c r="D14431">
        <v>1501</v>
      </c>
      <c r="E14431">
        <v>2021</v>
      </c>
      <c r="F14431">
        <v>12</v>
      </c>
      <c r="G14431">
        <v>314</v>
      </c>
      <c r="H14431" s="1">
        <v>2</v>
      </c>
      <c r="I14431">
        <v>14</v>
      </c>
      <c r="J14431">
        <f>IF($H14431=0,1,IF($I14431&lt;=1,2,0))</f>
        <v>0</v>
      </c>
      <c r="K14431">
        <v>7</v>
      </c>
      <c r="L14431">
        <f>IF(AND($J14431=0,$K14431=0),0,1)</f>
        <v>1</v>
      </c>
      <c r="M14431" t="s">
        <v>1403</v>
      </c>
    </row>
    <row r="14432" spans="1:13" x14ac:dyDescent="0.2">
      <c r="A14432" t="s">
        <v>142</v>
      </c>
      <c r="B14432" t="s">
        <v>133</v>
      </c>
      <c r="C14432" t="s">
        <v>2</v>
      </c>
      <c r="D14432">
        <v>1501</v>
      </c>
      <c r="E14432">
        <v>2021</v>
      </c>
      <c r="F14432">
        <v>5</v>
      </c>
      <c r="G14432">
        <v>307</v>
      </c>
      <c r="H14432" s="1">
        <v>2</v>
      </c>
      <c r="I14432">
        <v>12</v>
      </c>
      <c r="J14432">
        <f>IF($H14432=0,1,IF($I14432&lt;=1,2,0))</f>
        <v>0</v>
      </c>
      <c r="K14432">
        <v>7</v>
      </c>
      <c r="L14432">
        <f>IF(AND($J14432=0,$K14432=0),0,1)</f>
        <v>1</v>
      </c>
      <c r="M14432" t="s">
        <v>1403</v>
      </c>
    </row>
    <row r="14433" spans="1:13" x14ac:dyDescent="0.2">
      <c r="A14433" t="s">
        <v>142</v>
      </c>
      <c r="B14433" t="s">
        <v>133</v>
      </c>
      <c r="C14433" t="s">
        <v>2</v>
      </c>
      <c r="D14433">
        <v>1510</v>
      </c>
      <c r="E14433">
        <v>2021</v>
      </c>
      <c r="F14433">
        <v>3</v>
      </c>
      <c r="G14433">
        <v>801</v>
      </c>
      <c r="H14433" s="1">
        <v>0</v>
      </c>
      <c r="I14433">
        <v>23</v>
      </c>
      <c r="J14433">
        <f>IF($H14433=0,1,IF($I14433&lt;=1,2,0))</f>
        <v>1</v>
      </c>
      <c r="K14433">
        <v>7</v>
      </c>
      <c r="L14433">
        <f>IF(AND($J14433=0,$K14433=0),0,1)</f>
        <v>1</v>
      </c>
      <c r="M14433" t="s">
        <v>885</v>
      </c>
    </row>
    <row r="14434" spans="1:13" x14ac:dyDescent="0.2">
      <c r="A14434" t="s">
        <v>142</v>
      </c>
      <c r="B14434" t="s">
        <v>133</v>
      </c>
      <c r="C14434" t="s">
        <v>2</v>
      </c>
      <c r="D14434">
        <v>1510</v>
      </c>
      <c r="E14434">
        <v>2021</v>
      </c>
      <c r="F14434">
        <v>2</v>
      </c>
      <c r="G14434">
        <v>800</v>
      </c>
      <c r="H14434" s="1">
        <v>0</v>
      </c>
      <c r="I14434">
        <v>22</v>
      </c>
      <c r="J14434">
        <f>IF($H14434=0,1,IF($I14434&lt;=1,2,0))</f>
        <v>1</v>
      </c>
      <c r="K14434">
        <v>7</v>
      </c>
      <c r="L14434">
        <f>IF(AND($J14434=0,$K14434=0),0,1)</f>
        <v>1</v>
      </c>
      <c r="M14434" t="s">
        <v>885</v>
      </c>
    </row>
    <row r="14435" spans="1:13" x14ac:dyDescent="0.2">
      <c r="A14435" t="s">
        <v>142</v>
      </c>
      <c r="B14435" t="s">
        <v>133</v>
      </c>
      <c r="C14435" t="s">
        <v>2</v>
      </c>
      <c r="D14435">
        <v>1510</v>
      </c>
      <c r="E14435">
        <v>2021</v>
      </c>
      <c r="F14435">
        <v>1</v>
      </c>
      <c r="G14435">
        <v>799</v>
      </c>
      <c r="H14435" s="1">
        <v>0</v>
      </c>
      <c r="I14435">
        <v>21</v>
      </c>
      <c r="J14435">
        <f>IF($H14435=0,1,IF($I14435&lt;=1,2,0))</f>
        <v>1</v>
      </c>
      <c r="K14435">
        <v>7</v>
      </c>
      <c r="L14435">
        <f>IF(AND($J14435=0,$K14435=0),0,1)</f>
        <v>1</v>
      </c>
      <c r="M14435" t="s">
        <v>885</v>
      </c>
    </row>
    <row r="14436" spans="1:13" x14ac:dyDescent="0.2">
      <c r="A14436" t="s">
        <v>142</v>
      </c>
      <c r="B14436" t="s">
        <v>133</v>
      </c>
      <c r="C14436" t="s">
        <v>2</v>
      </c>
      <c r="D14436">
        <v>1510</v>
      </c>
      <c r="E14436">
        <v>2021</v>
      </c>
      <c r="F14436">
        <v>6</v>
      </c>
      <c r="G14436">
        <v>804</v>
      </c>
      <c r="H14436" s="1">
        <v>0</v>
      </c>
      <c r="I14436">
        <v>21</v>
      </c>
      <c r="J14436">
        <f>IF($H14436=0,1,IF($I14436&lt;=1,2,0))</f>
        <v>1</v>
      </c>
      <c r="K14436">
        <v>7</v>
      </c>
      <c r="L14436">
        <f>IF(AND($J14436=0,$K14436=0),0,1)</f>
        <v>1</v>
      </c>
      <c r="M14436" t="s">
        <v>885</v>
      </c>
    </row>
    <row r="14437" spans="1:13" x14ac:dyDescent="0.2">
      <c r="A14437" t="s">
        <v>142</v>
      </c>
      <c r="B14437" t="s">
        <v>133</v>
      </c>
      <c r="C14437" t="s">
        <v>2</v>
      </c>
      <c r="D14437">
        <v>1510</v>
      </c>
      <c r="E14437">
        <v>2021</v>
      </c>
      <c r="F14437">
        <v>4</v>
      </c>
      <c r="G14437">
        <v>802</v>
      </c>
      <c r="H14437" s="1">
        <v>0</v>
      </c>
      <c r="I14437">
        <v>20</v>
      </c>
      <c r="J14437">
        <f>IF($H14437=0,1,IF($I14437&lt;=1,2,0))</f>
        <v>1</v>
      </c>
      <c r="K14437">
        <v>7</v>
      </c>
      <c r="L14437">
        <f>IF(AND($J14437=0,$K14437=0),0,1)</f>
        <v>1</v>
      </c>
      <c r="M14437" t="s">
        <v>885</v>
      </c>
    </row>
    <row r="14438" spans="1:13" x14ac:dyDescent="0.2">
      <c r="A14438" t="s">
        <v>142</v>
      </c>
      <c r="B14438" t="s">
        <v>133</v>
      </c>
      <c r="C14438" t="s">
        <v>2</v>
      </c>
      <c r="D14438">
        <v>1510</v>
      </c>
      <c r="E14438">
        <v>2021</v>
      </c>
      <c r="F14438">
        <v>5</v>
      </c>
      <c r="G14438">
        <v>803</v>
      </c>
      <c r="H14438" s="1">
        <v>0</v>
      </c>
      <c r="I14438">
        <v>19</v>
      </c>
      <c r="J14438">
        <f>IF($H14438=0,1,IF($I14438&lt;=1,2,0))</f>
        <v>1</v>
      </c>
      <c r="K14438">
        <v>7</v>
      </c>
      <c r="L14438">
        <f>IF(AND($J14438=0,$K14438=0),0,1)</f>
        <v>1</v>
      </c>
      <c r="M14438" t="s">
        <v>885</v>
      </c>
    </row>
    <row r="14439" spans="1:13" x14ac:dyDescent="0.2">
      <c r="A14439" t="s">
        <v>142</v>
      </c>
      <c r="B14439" t="s">
        <v>133</v>
      </c>
      <c r="C14439" t="s">
        <v>2</v>
      </c>
      <c r="D14439">
        <v>1510</v>
      </c>
      <c r="E14439">
        <v>2021</v>
      </c>
      <c r="F14439">
        <v>7</v>
      </c>
      <c r="G14439">
        <v>805</v>
      </c>
      <c r="H14439" s="1">
        <v>0</v>
      </c>
      <c r="I14439">
        <v>19</v>
      </c>
      <c r="J14439">
        <f>IF($H14439=0,1,IF($I14439&lt;=1,2,0))</f>
        <v>1</v>
      </c>
      <c r="K14439">
        <v>7</v>
      </c>
      <c r="L14439">
        <f>IF(AND($J14439=0,$K14439=0),0,1)</f>
        <v>1</v>
      </c>
      <c r="M14439" t="s">
        <v>885</v>
      </c>
    </row>
    <row r="14440" spans="1:13" x14ac:dyDescent="0.2">
      <c r="A14440" t="s">
        <v>142</v>
      </c>
      <c r="B14440" t="s">
        <v>133</v>
      </c>
      <c r="C14440" t="s">
        <v>2</v>
      </c>
      <c r="D14440">
        <v>1510</v>
      </c>
      <c r="E14440">
        <v>2021</v>
      </c>
      <c r="F14440">
        <v>8</v>
      </c>
      <c r="G14440">
        <v>806</v>
      </c>
      <c r="H14440" s="1">
        <v>0</v>
      </c>
      <c r="I14440">
        <v>18</v>
      </c>
      <c r="J14440">
        <f>IF($H14440=0,1,IF($I14440&lt;=1,2,0))</f>
        <v>1</v>
      </c>
      <c r="K14440">
        <v>7</v>
      </c>
      <c r="L14440">
        <f>IF(AND($J14440=0,$K14440=0),0,1)</f>
        <v>1</v>
      </c>
      <c r="M14440" t="s">
        <v>885</v>
      </c>
    </row>
    <row r="14441" spans="1:13" x14ac:dyDescent="0.2">
      <c r="A14441" t="s">
        <v>142</v>
      </c>
      <c r="B14441" t="s">
        <v>133</v>
      </c>
      <c r="C14441" t="s">
        <v>2</v>
      </c>
      <c r="D14441">
        <v>1510</v>
      </c>
      <c r="E14441">
        <v>2021</v>
      </c>
      <c r="F14441">
        <v>11</v>
      </c>
      <c r="G14441">
        <v>809</v>
      </c>
      <c r="H14441" s="1">
        <v>0</v>
      </c>
      <c r="I14441">
        <v>18</v>
      </c>
      <c r="J14441">
        <f>IF($H14441=0,1,IF($I14441&lt;=1,2,0))</f>
        <v>1</v>
      </c>
      <c r="K14441">
        <v>7</v>
      </c>
      <c r="L14441">
        <f>IF(AND($J14441=0,$K14441=0),0,1)</f>
        <v>1</v>
      </c>
      <c r="M14441" t="s">
        <v>885</v>
      </c>
    </row>
    <row r="14442" spans="1:13" x14ac:dyDescent="0.2">
      <c r="A14442" t="s">
        <v>142</v>
      </c>
      <c r="B14442" t="s">
        <v>133</v>
      </c>
      <c r="C14442" t="s">
        <v>2</v>
      </c>
      <c r="D14442">
        <v>1510</v>
      </c>
      <c r="E14442">
        <v>2021</v>
      </c>
      <c r="F14442">
        <v>13</v>
      </c>
      <c r="G14442">
        <v>811</v>
      </c>
      <c r="H14442" s="1">
        <v>0</v>
      </c>
      <c r="I14442">
        <v>18</v>
      </c>
      <c r="J14442">
        <f>IF($H14442=0,1,IF($I14442&lt;=1,2,0))</f>
        <v>1</v>
      </c>
      <c r="K14442">
        <v>7</v>
      </c>
      <c r="L14442">
        <f>IF(AND($J14442=0,$K14442=0),0,1)</f>
        <v>1</v>
      </c>
      <c r="M14442" t="s">
        <v>885</v>
      </c>
    </row>
    <row r="14443" spans="1:13" x14ac:dyDescent="0.2">
      <c r="A14443" t="s">
        <v>142</v>
      </c>
      <c r="B14443" t="s">
        <v>133</v>
      </c>
      <c r="C14443" t="s">
        <v>2</v>
      </c>
      <c r="D14443">
        <v>1510</v>
      </c>
      <c r="E14443">
        <v>2021</v>
      </c>
      <c r="F14443">
        <v>12</v>
      </c>
      <c r="G14443">
        <v>810</v>
      </c>
      <c r="H14443" s="1">
        <v>0</v>
      </c>
      <c r="I14443">
        <v>16</v>
      </c>
      <c r="J14443">
        <f>IF($H14443=0,1,IF($I14443&lt;=1,2,0))</f>
        <v>1</v>
      </c>
      <c r="K14443">
        <v>7</v>
      </c>
      <c r="L14443">
        <f>IF(AND($J14443=0,$K14443=0),0,1)</f>
        <v>1</v>
      </c>
      <c r="M14443" t="s">
        <v>885</v>
      </c>
    </row>
    <row r="14444" spans="1:13" x14ac:dyDescent="0.2">
      <c r="A14444" t="s">
        <v>142</v>
      </c>
      <c r="B14444" t="s">
        <v>133</v>
      </c>
      <c r="C14444" t="s">
        <v>2</v>
      </c>
      <c r="D14444">
        <v>1510</v>
      </c>
      <c r="E14444">
        <v>2021</v>
      </c>
      <c r="F14444">
        <v>9</v>
      </c>
      <c r="G14444">
        <v>807</v>
      </c>
      <c r="H14444" s="1">
        <v>0</v>
      </c>
      <c r="I14444">
        <v>15</v>
      </c>
      <c r="J14444">
        <f>IF($H14444=0,1,IF($I14444&lt;=1,2,0))</f>
        <v>1</v>
      </c>
      <c r="K14444">
        <v>7</v>
      </c>
      <c r="L14444">
        <f>IF(AND($J14444=0,$K14444=0),0,1)</f>
        <v>1</v>
      </c>
      <c r="M14444" t="s">
        <v>885</v>
      </c>
    </row>
    <row r="14445" spans="1:13" x14ac:dyDescent="0.2">
      <c r="A14445" t="s">
        <v>142</v>
      </c>
      <c r="B14445" t="s">
        <v>133</v>
      </c>
      <c r="C14445" t="s">
        <v>2</v>
      </c>
      <c r="D14445">
        <v>1510</v>
      </c>
      <c r="E14445">
        <v>2021</v>
      </c>
      <c r="F14445">
        <v>10</v>
      </c>
      <c r="G14445">
        <v>808</v>
      </c>
      <c r="H14445" s="1">
        <v>0</v>
      </c>
      <c r="I14445">
        <v>14</v>
      </c>
      <c r="J14445">
        <f>IF($H14445=0,1,IF($I14445&lt;=1,2,0))</f>
        <v>1</v>
      </c>
      <c r="K14445">
        <v>7</v>
      </c>
      <c r="L14445">
        <f>IF(AND($J14445=0,$K14445=0),0,1)</f>
        <v>1</v>
      </c>
      <c r="M14445" t="s">
        <v>885</v>
      </c>
    </row>
    <row r="14446" spans="1:13" x14ac:dyDescent="0.2">
      <c r="A14446" t="s">
        <v>142</v>
      </c>
      <c r="B14446" t="s">
        <v>133</v>
      </c>
      <c r="C14446" t="s">
        <v>2</v>
      </c>
      <c r="D14446">
        <v>1511</v>
      </c>
      <c r="E14446">
        <v>2021</v>
      </c>
      <c r="F14446">
        <v>1</v>
      </c>
      <c r="G14446">
        <v>316</v>
      </c>
      <c r="H14446" s="1">
        <v>0</v>
      </c>
      <c r="I14446">
        <v>204</v>
      </c>
      <c r="J14446">
        <f>IF($H14446=0,1,IF($I14446&lt;=1,2,0))</f>
        <v>1</v>
      </c>
      <c r="K14446">
        <v>7</v>
      </c>
      <c r="L14446">
        <f>IF(AND($J14446=0,$K14446=0),0,1)</f>
        <v>1</v>
      </c>
      <c r="M14446" t="s">
        <v>1404</v>
      </c>
    </row>
    <row r="14447" spans="1:13" x14ac:dyDescent="0.2">
      <c r="A14447" t="s">
        <v>142</v>
      </c>
      <c r="B14447" t="s">
        <v>133</v>
      </c>
      <c r="C14447" t="s">
        <v>2</v>
      </c>
      <c r="D14447">
        <v>1599</v>
      </c>
      <c r="E14447">
        <v>2021</v>
      </c>
      <c r="F14447">
        <v>1</v>
      </c>
      <c r="G14447">
        <v>533</v>
      </c>
      <c r="H14447" s="1">
        <v>1</v>
      </c>
      <c r="I14447">
        <v>12</v>
      </c>
      <c r="J14447">
        <f>IF($H14447=0,1,IF($I14447&lt;=1,2,0))</f>
        <v>0</v>
      </c>
      <c r="K14447">
        <v>7</v>
      </c>
      <c r="L14447">
        <f>IF(AND($J14447=0,$K14447=0),0,1)</f>
        <v>1</v>
      </c>
      <c r="M14447" t="s">
        <v>1405</v>
      </c>
    </row>
    <row r="14448" spans="1:13" x14ac:dyDescent="0.2">
      <c r="A14448" t="s">
        <v>142</v>
      </c>
      <c r="B14448" t="s">
        <v>133</v>
      </c>
      <c r="C14448" t="s">
        <v>7</v>
      </c>
      <c r="D14448">
        <v>2015</v>
      </c>
      <c r="E14448">
        <v>2021</v>
      </c>
      <c r="F14448">
        <v>5</v>
      </c>
      <c r="G14448">
        <v>14973</v>
      </c>
      <c r="H14448" s="1">
        <v>0</v>
      </c>
      <c r="I14448">
        <v>30</v>
      </c>
      <c r="J14448">
        <f>IF($H14448=0,1,IF($I14448&lt;=1,2,0))</f>
        <v>1</v>
      </c>
      <c r="K14448">
        <v>0</v>
      </c>
      <c r="L14448">
        <f>IF(AND($J14448=0,$K14448=0),0,1)</f>
        <v>1</v>
      </c>
      <c r="M14448" t="s">
        <v>1408</v>
      </c>
    </row>
    <row r="14449" spans="1:13" x14ac:dyDescent="0.2">
      <c r="A14449" t="s">
        <v>142</v>
      </c>
      <c r="B14449" t="s">
        <v>133</v>
      </c>
      <c r="C14449" t="s">
        <v>7</v>
      </c>
      <c r="D14449">
        <v>2015</v>
      </c>
      <c r="E14449">
        <v>2021</v>
      </c>
      <c r="F14449">
        <v>4</v>
      </c>
      <c r="G14449">
        <v>14972</v>
      </c>
      <c r="H14449" s="1">
        <v>0</v>
      </c>
      <c r="I14449">
        <v>29</v>
      </c>
      <c r="J14449">
        <f>IF($H14449=0,1,IF($I14449&lt;=1,2,0))</f>
        <v>1</v>
      </c>
      <c r="K14449">
        <v>0</v>
      </c>
      <c r="L14449">
        <f>IF(AND($J14449=0,$K14449=0),0,1)</f>
        <v>1</v>
      </c>
      <c r="M14449" t="s">
        <v>1408</v>
      </c>
    </row>
    <row r="14450" spans="1:13" x14ac:dyDescent="0.2">
      <c r="A14450" t="s">
        <v>142</v>
      </c>
      <c r="B14450" t="s">
        <v>133</v>
      </c>
      <c r="C14450" t="s">
        <v>7</v>
      </c>
      <c r="D14450">
        <v>2015</v>
      </c>
      <c r="E14450">
        <v>2021</v>
      </c>
      <c r="F14450">
        <v>10</v>
      </c>
      <c r="G14450">
        <v>14978</v>
      </c>
      <c r="H14450" s="1">
        <v>0</v>
      </c>
      <c r="I14450">
        <v>27</v>
      </c>
      <c r="J14450">
        <f>IF($H14450=0,1,IF($I14450&lt;=1,2,0))</f>
        <v>1</v>
      </c>
      <c r="K14450">
        <v>0</v>
      </c>
      <c r="L14450">
        <f>IF(AND($J14450=0,$K14450=0),0,1)</f>
        <v>1</v>
      </c>
      <c r="M14450" t="s">
        <v>1408</v>
      </c>
    </row>
    <row r="14451" spans="1:13" x14ac:dyDescent="0.2">
      <c r="A14451" t="s">
        <v>142</v>
      </c>
      <c r="B14451" t="s">
        <v>133</v>
      </c>
      <c r="C14451" t="s">
        <v>7</v>
      </c>
      <c r="D14451">
        <v>2015</v>
      </c>
      <c r="E14451">
        <v>2021</v>
      </c>
      <c r="F14451">
        <v>8</v>
      </c>
      <c r="G14451">
        <v>14977</v>
      </c>
      <c r="H14451" s="1">
        <v>0</v>
      </c>
      <c r="I14451">
        <v>26</v>
      </c>
      <c r="J14451">
        <f>IF($H14451=0,1,IF($I14451&lt;=1,2,0))</f>
        <v>1</v>
      </c>
      <c r="K14451">
        <v>0</v>
      </c>
      <c r="L14451">
        <f>IF(AND($J14451=0,$K14451=0),0,1)</f>
        <v>1</v>
      </c>
      <c r="M14451" t="s">
        <v>1408</v>
      </c>
    </row>
    <row r="14452" spans="1:13" x14ac:dyDescent="0.2">
      <c r="A14452" t="s">
        <v>142</v>
      </c>
      <c r="B14452" t="s">
        <v>133</v>
      </c>
      <c r="C14452" t="s">
        <v>7</v>
      </c>
      <c r="D14452">
        <v>2015</v>
      </c>
      <c r="E14452">
        <v>2021</v>
      </c>
      <c r="F14452">
        <v>3</v>
      </c>
      <c r="G14452">
        <v>14971</v>
      </c>
      <c r="H14452" s="1">
        <v>0</v>
      </c>
      <c r="I14452">
        <v>25</v>
      </c>
      <c r="J14452">
        <f>IF($H14452=0,1,IF($I14452&lt;=1,2,0))</f>
        <v>1</v>
      </c>
      <c r="K14452">
        <v>0</v>
      </c>
      <c r="L14452">
        <f>IF(AND($J14452=0,$K14452=0),0,1)</f>
        <v>1</v>
      </c>
      <c r="M14452" t="s">
        <v>1408</v>
      </c>
    </row>
    <row r="14453" spans="1:13" x14ac:dyDescent="0.2">
      <c r="A14453" t="s">
        <v>142</v>
      </c>
      <c r="B14453" t="s">
        <v>133</v>
      </c>
      <c r="C14453" t="s">
        <v>7</v>
      </c>
      <c r="D14453">
        <v>2015</v>
      </c>
      <c r="E14453">
        <v>2021</v>
      </c>
      <c r="F14453">
        <v>12</v>
      </c>
      <c r="G14453">
        <v>14980</v>
      </c>
      <c r="H14453" s="1">
        <v>0</v>
      </c>
      <c r="I14453">
        <v>25</v>
      </c>
      <c r="J14453">
        <f>IF($H14453=0,1,IF($I14453&lt;=1,2,0))</f>
        <v>1</v>
      </c>
      <c r="K14453">
        <v>0</v>
      </c>
      <c r="L14453">
        <f>IF(AND($J14453=0,$K14453=0),0,1)</f>
        <v>1</v>
      </c>
      <c r="M14453" t="s">
        <v>1408</v>
      </c>
    </row>
    <row r="14454" spans="1:13" x14ac:dyDescent="0.2">
      <c r="A14454" t="s">
        <v>142</v>
      </c>
      <c r="B14454" t="s">
        <v>133</v>
      </c>
      <c r="C14454" t="s">
        <v>7</v>
      </c>
      <c r="D14454">
        <v>2015</v>
      </c>
      <c r="E14454">
        <v>2021</v>
      </c>
      <c r="F14454">
        <v>1</v>
      </c>
      <c r="G14454">
        <v>14969</v>
      </c>
      <c r="H14454" s="1">
        <v>0</v>
      </c>
      <c r="I14454">
        <v>23</v>
      </c>
      <c r="J14454">
        <f>IF($H14454=0,1,IF($I14454&lt;=1,2,0))</f>
        <v>1</v>
      </c>
      <c r="K14454">
        <v>0</v>
      </c>
      <c r="L14454">
        <f>IF(AND($J14454=0,$K14454=0),0,1)</f>
        <v>1</v>
      </c>
      <c r="M14454" t="s">
        <v>151</v>
      </c>
    </row>
    <row r="14455" spans="1:13" x14ac:dyDescent="0.2">
      <c r="A14455" t="s">
        <v>142</v>
      </c>
      <c r="B14455" t="s">
        <v>133</v>
      </c>
      <c r="C14455" t="s">
        <v>7</v>
      </c>
      <c r="D14455">
        <v>2015</v>
      </c>
      <c r="E14455">
        <v>2021</v>
      </c>
      <c r="F14455">
        <v>14</v>
      </c>
      <c r="G14455">
        <v>14982</v>
      </c>
      <c r="H14455" s="1">
        <v>0</v>
      </c>
      <c r="I14455">
        <v>23</v>
      </c>
      <c r="J14455">
        <f>IF($H14455=0,1,IF($I14455&lt;=1,2,0))</f>
        <v>1</v>
      </c>
      <c r="K14455">
        <v>0</v>
      </c>
      <c r="L14455">
        <f>IF(AND($J14455=0,$K14455=0),0,1)</f>
        <v>1</v>
      </c>
      <c r="M14455" t="s">
        <v>1408</v>
      </c>
    </row>
    <row r="14456" spans="1:13" x14ac:dyDescent="0.2">
      <c r="A14456" t="s">
        <v>142</v>
      </c>
      <c r="B14456" t="s">
        <v>133</v>
      </c>
      <c r="C14456" t="s">
        <v>7</v>
      </c>
      <c r="D14456">
        <v>2015</v>
      </c>
      <c r="E14456">
        <v>2021</v>
      </c>
      <c r="F14456">
        <v>2</v>
      </c>
      <c r="G14456">
        <v>14970</v>
      </c>
      <c r="H14456" s="1">
        <v>0</v>
      </c>
      <c r="I14456">
        <v>20</v>
      </c>
      <c r="J14456">
        <f>IF($H14456=0,1,IF($I14456&lt;=1,2,0))</f>
        <v>1</v>
      </c>
      <c r="K14456">
        <v>0</v>
      </c>
      <c r="L14456">
        <f>IF(AND($J14456=0,$K14456=0),0,1)</f>
        <v>1</v>
      </c>
      <c r="M14456" t="s">
        <v>151</v>
      </c>
    </row>
    <row r="14457" spans="1:13" x14ac:dyDescent="0.2">
      <c r="A14457" t="s">
        <v>142</v>
      </c>
      <c r="B14457" t="s">
        <v>133</v>
      </c>
      <c r="C14457" t="s">
        <v>7</v>
      </c>
      <c r="D14457">
        <v>2015</v>
      </c>
      <c r="E14457">
        <v>2021</v>
      </c>
      <c r="F14457">
        <v>6</v>
      </c>
      <c r="G14457">
        <v>14974</v>
      </c>
      <c r="H14457" s="1">
        <v>0</v>
      </c>
      <c r="I14457">
        <v>20</v>
      </c>
      <c r="J14457">
        <f>IF($H14457=0,1,IF($I14457&lt;=1,2,0))</f>
        <v>1</v>
      </c>
      <c r="K14457">
        <v>0</v>
      </c>
      <c r="L14457">
        <f>IF(AND($J14457=0,$K14457=0),0,1)</f>
        <v>1</v>
      </c>
      <c r="M14457" t="s">
        <v>1408</v>
      </c>
    </row>
    <row r="14458" spans="1:13" x14ac:dyDescent="0.2">
      <c r="A14458" t="s">
        <v>142</v>
      </c>
      <c r="B14458" t="s">
        <v>133</v>
      </c>
      <c r="C14458" t="s">
        <v>7</v>
      </c>
      <c r="D14458">
        <v>2015</v>
      </c>
      <c r="E14458">
        <v>2021</v>
      </c>
      <c r="F14458">
        <v>11</v>
      </c>
      <c r="G14458">
        <v>14979</v>
      </c>
      <c r="H14458" s="1">
        <v>0</v>
      </c>
      <c r="I14458">
        <v>20</v>
      </c>
      <c r="J14458">
        <f>IF($H14458=0,1,IF($I14458&lt;=1,2,0))</f>
        <v>1</v>
      </c>
      <c r="K14458">
        <v>0</v>
      </c>
      <c r="L14458">
        <f>IF(AND($J14458=0,$K14458=0),0,1)</f>
        <v>1</v>
      </c>
      <c r="M14458" t="s">
        <v>1408</v>
      </c>
    </row>
    <row r="14459" spans="1:13" x14ac:dyDescent="0.2">
      <c r="A14459" t="s">
        <v>142</v>
      </c>
      <c r="B14459" t="s">
        <v>133</v>
      </c>
      <c r="C14459" t="s">
        <v>7</v>
      </c>
      <c r="D14459">
        <v>2015</v>
      </c>
      <c r="E14459">
        <v>2021</v>
      </c>
      <c r="F14459">
        <v>13</v>
      </c>
      <c r="G14459">
        <v>14981</v>
      </c>
      <c r="H14459" s="1">
        <v>0</v>
      </c>
      <c r="I14459">
        <v>19</v>
      </c>
      <c r="J14459">
        <f>IF($H14459=0,1,IF($I14459&lt;=1,2,0))</f>
        <v>1</v>
      </c>
      <c r="K14459">
        <v>0</v>
      </c>
      <c r="L14459">
        <f>IF(AND($J14459=0,$K14459=0),0,1)</f>
        <v>1</v>
      </c>
      <c r="M14459" t="s">
        <v>1408</v>
      </c>
    </row>
    <row r="14460" spans="1:13" x14ac:dyDescent="0.2">
      <c r="A14460" t="s">
        <v>142</v>
      </c>
      <c r="B14460" t="s">
        <v>133</v>
      </c>
      <c r="C14460" t="s">
        <v>7</v>
      </c>
      <c r="D14460">
        <v>2015</v>
      </c>
      <c r="E14460">
        <v>2021</v>
      </c>
      <c r="F14460">
        <v>7</v>
      </c>
      <c r="G14460">
        <v>14975</v>
      </c>
      <c r="H14460" s="1">
        <v>0</v>
      </c>
      <c r="I14460">
        <v>15</v>
      </c>
      <c r="J14460">
        <f>IF($H14460=0,1,IF($I14460&lt;=1,2,0))</f>
        <v>1</v>
      </c>
      <c r="K14460">
        <v>0</v>
      </c>
      <c r="L14460">
        <f>IF(AND($J14460=0,$K14460=0),0,1)</f>
        <v>1</v>
      </c>
      <c r="M14460" t="s">
        <v>1408</v>
      </c>
    </row>
    <row r="14461" spans="1:13" x14ac:dyDescent="0.2">
      <c r="A14461" t="s">
        <v>142</v>
      </c>
      <c r="B14461" t="s">
        <v>133</v>
      </c>
      <c r="C14461" t="s">
        <v>7</v>
      </c>
      <c r="D14461">
        <v>2015</v>
      </c>
      <c r="E14461">
        <v>2021</v>
      </c>
      <c r="F14461">
        <v>15</v>
      </c>
      <c r="G14461">
        <v>20395</v>
      </c>
      <c r="H14461" s="1">
        <v>0</v>
      </c>
      <c r="I14461">
        <v>14</v>
      </c>
      <c r="J14461">
        <f>IF($H14461=0,1,IF($I14461&lt;=1,2,0))</f>
        <v>1</v>
      </c>
      <c r="K14461">
        <v>0</v>
      </c>
      <c r="L14461">
        <f>IF(AND($J14461=0,$K14461=0),0,1)</f>
        <v>1</v>
      </c>
    </row>
    <row r="14462" spans="1:13" x14ac:dyDescent="0.2">
      <c r="A14462" t="s">
        <v>142</v>
      </c>
      <c r="B14462" t="s">
        <v>133</v>
      </c>
      <c r="C14462" t="s">
        <v>7</v>
      </c>
      <c r="D14462">
        <v>2015</v>
      </c>
      <c r="E14462">
        <v>2021</v>
      </c>
      <c r="F14462">
        <v>9</v>
      </c>
      <c r="G14462">
        <v>14976</v>
      </c>
      <c r="H14462" s="1">
        <v>0</v>
      </c>
      <c r="I14462">
        <v>13</v>
      </c>
      <c r="J14462">
        <f>IF($H14462=0,1,IF($I14462&lt;=1,2,0))</f>
        <v>1</v>
      </c>
      <c r="K14462">
        <v>0</v>
      </c>
      <c r="L14462">
        <f>IF(AND($J14462=0,$K14462=0),0,1)</f>
        <v>1</v>
      </c>
      <c r="M14462" t="s">
        <v>1408</v>
      </c>
    </row>
    <row r="14463" spans="1:13" x14ac:dyDescent="0.2">
      <c r="A14463" t="s">
        <v>142</v>
      </c>
      <c r="B14463" t="s">
        <v>133</v>
      </c>
      <c r="C14463" t="s">
        <v>2</v>
      </c>
      <c r="D14463">
        <v>2100</v>
      </c>
      <c r="E14463">
        <v>2021</v>
      </c>
      <c r="F14463">
        <v>1</v>
      </c>
      <c r="G14463">
        <v>317</v>
      </c>
      <c r="H14463" s="1">
        <v>3</v>
      </c>
      <c r="I14463">
        <v>33</v>
      </c>
      <c r="J14463">
        <f>IF($H14463=0,1,IF($I14463&lt;=1,2,0))</f>
        <v>0</v>
      </c>
      <c r="K14463">
        <v>7</v>
      </c>
      <c r="L14463">
        <f>IF(AND($J14463=0,$K14463=0),0,1)</f>
        <v>1</v>
      </c>
      <c r="M14463" t="s">
        <v>1895</v>
      </c>
    </row>
    <row r="14464" spans="1:13" x14ac:dyDescent="0.2">
      <c r="A14464" t="s">
        <v>142</v>
      </c>
      <c r="B14464" t="s">
        <v>133</v>
      </c>
      <c r="C14464" t="s">
        <v>2</v>
      </c>
      <c r="D14464">
        <v>2500</v>
      </c>
      <c r="E14464">
        <v>2021</v>
      </c>
      <c r="F14464">
        <v>1</v>
      </c>
      <c r="G14464">
        <v>318</v>
      </c>
      <c r="H14464" s="1">
        <v>3</v>
      </c>
      <c r="I14464">
        <v>17</v>
      </c>
      <c r="J14464">
        <f>IF($H14464=0,1,IF($I14464&lt;=1,2,0))</f>
        <v>0</v>
      </c>
      <c r="K14464">
        <v>7</v>
      </c>
      <c r="L14464">
        <f>IF(AND($J14464=0,$K14464=0),0,1)</f>
        <v>1</v>
      </c>
      <c r="M14464" t="s">
        <v>1409</v>
      </c>
    </row>
    <row r="14465" spans="1:13" x14ac:dyDescent="0.2">
      <c r="A14465" t="s">
        <v>142</v>
      </c>
      <c r="B14465" t="s">
        <v>133</v>
      </c>
      <c r="C14465" t="s">
        <v>9</v>
      </c>
      <c r="D14465">
        <v>2501</v>
      </c>
      <c r="E14465">
        <v>2021</v>
      </c>
      <c r="F14465">
        <v>3</v>
      </c>
      <c r="G14465">
        <v>12971</v>
      </c>
      <c r="H14465" s="1">
        <v>3</v>
      </c>
      <c r="I14465">
        <v>30</v>
      </c>
      <c r="J14465">
        <f>IF($H14465=0,1,IF($I14465&lt;=1,2,0))</f>
        <v>0</v>
      </c>
      <c r="K14465">
        <v>8</v>
      </c>
      <c r="L14465">
        <f>IF(AND($J14465=0,$K14465=0),0,1)</f>
        <v>1</v>
      </c>
    </row>
    <row r="14466" spans="1:13" x14ac:dyDescent="0.2">
      <c r="A14466" t="s">
        <v>142</v>
      </c>
      <c r="B14466" t="s">
        <v>133</v>
      </c>
      <c r="C14466" t="s">
        <v>9</v>
      </c>
      <c r="D14466">
        <v>2501</v>
      </c>
      <c r="E14466">
        <v>2021</v>
      </c>
      <c r="F14466">
        <v>2</v>
      </c>
      <c r="G14466">
        <v>12970</v>
      </c>
      <c r="H14466" s="1">
        <v>3</v>
      </c>
      <c r="I14466">
        <v>29</v>
      </c>
      <c r="J14466">
        <f>IF($H14466=0,1,IF($I14466&lt;=1,2,0))</f>
        <v>0</v>
      </c>
      <c r="K14466">
        <v>8</v>
      </c>
      <c r="L14466">
        <f>IF(AND($J14466=0,$K14466=0),0,1)</f>
        <v>1</v>
      </c>
    </row>
    <row r="14467" spans="1:13" x14ac:dyDescent="0.2">
      <c r="A14467" t="s">
        <v>142</v>
      </c>
      <c r="B14467" t="s">
        <v>133</v>
      </c>
      <c r="C14467" t="s">
        <v>9</v>
      </c>
      <c r="D14467">
        <v>2501</v>
      </c>
      <c r="E14467">
        <v>2021</v>
      </c>
      <c r="F14467">
        <v>4</v>
      </c>
      <c r="G14467">
        <v>12972</v>
      </c>
      <c r="H14467" s="1">
        <v>3</v>
      </c>
      <c r="I14467">
        <v>29</v>
      </c>
      <c r="J14467">
        <f>IF($H14467=0,1,IF($I14467&lt;=1,2,0))</f>
        <v>0</v>
      </c>
      <c r="K14467">
        <v>8</v>
      </c>
      <c r="L14467">
        <f>IF(AND($J14467=0,$K14467=0),0,1)</f>
        <v>1</v>
      </c>
    </row>
    <row r="14468" spans="1:13" x14ac:dyDescent="0.2">
      <c r="A14468" t="s">
        <v>142</v>
      </c>
      <c r="B14468" t="s">
        <v>133</v>
      </c>
      <c r="C14468" t="s">
        <v>9</v>
      </c>
      <c r="D14468">
        <v>2501</v>
      </c>
      <c r="E14468">
        <v>2021</v>
      </c>
      <c r="F14468">
        <v>1</v>
      </c>
      <c r="G14468">
        <v>12968</v>
      </c>
      <c r="H14468" s="1">
        <v>3</v>
      </c>
      <c r="I14468">
        <v>28</v>
      </c>
      <c r="J14468">
        <f>IF($H14468=0,1,IF($I14468&lt;=1,2,0))</f>
        <v>0</v>
      </c>
      <c r="K14468">
        <v>8</v>
      </c>
      <c r="L14468">
        <f>IF(AND($J14468=0,$K14468=0),0,1)</f>
        <v>1</v>
      </c>
    </row>
    <row r="14469" spans="1:13" x14ac:dyDescent="0.2">
      <c r="A14469" t="s">
        <v>142</v>
      </c>
      <c r="B14469" t="s">
        <v>133</v>
      </c>
      <c r="C14469" t="s">
        <v>9</v>
      </c>
      <c r="D14469">
        <v>2501</v>
      </c>
      <c r="E14469">
        <v>2021</v>
      </c>
      <c r="F14469">
        <v>5</v>
      </c>
      <c r="G14469">
        <v>12973</v>
      </c>
      <c r="H14469" s="1">
        <v>3</v>
      </c>
      <c r="I14469">
        <v>22</v>
      </c>
      <c r="J14469">
        <f>IF($H14469=0,1,IF($I14469&lt;=1,2,0))</f>
        <v>0</v>
      </c>
      <c r="K14469">
        <v>8</v>
      </c>
      <c r="L14469">
        <f>IF(AND($J14469=0,$K14469=0),0,1)</f>
        <v>1</v>
      </c>
    </row>
    <row r="14470" spans="1:13" x14ac:dyDescent="0.2">
      <c r="A14470" t="s">
        <v>142</v>
      </c>
      <c r="B14470" t="s">
        <v>133</v>
      </c>
      <c r="C14470" t="s">
        <v>2</v>
      </c>
      <c r="D14470">
        <v>2841</v>
      </c>
      <c r="E14470">
        <v>2021</v>
      </c>
      <c r="F14470">
        <v>1</v>
      </c>
      <c r="G14470">
        <v>319</v>
      </c>
      <c r="H14470" s="1">
        <v>3</v>
      </c>
      <c r="I14470">
        <v>17</v>
      </c>
      <c r="J14470">
        <f>IF($H14470=0,1,IF($I14470&lt;=1,2,0))</f>
        <v>0</v>
      </c>
      <c r="K14470">
        <v>7</v>
      </c>
      <c r="L14470">
        <f>IF(AND($J14470=0,$K14470=0),0,1)</f>
        <v>1</v>
      </c>
      <c r="M14470" t="s">
        <v>1895</v>
      </c>
    </row>
    <row r="14471" spans="1:13" x14ac:dyDescent="0.2">
      <c r="A14471" t="s">
        <v>142</v>
      </c>
      <c r="B14471" t="s">
        <v>133</v>
      </c>
      <c r="C14471" t="s">
        <v>9</v>
      </c>
      <c r="D14471">
        <v>3004</v>
      </c>
      <c r="E14471">
        <v>2021</v>
      </c>
      <c r="F14471" t="s">
        <v>1349</v>
      </c>
      <c r="G14471">
        <v>18939</v>
      </c>
      <c r="H14471" s="1">
        <v>0</v>
      </c>
      <c r="I14471">
        <v>1</v>
      </c>
      <c r="J14471">
        <f>IF($H14471=0,1,IF($I14471&lt;=1,2,0))</f>
        <v>1</v>
      </c>
      <c r="K14471">
        <v>0</v>
      </c>
      <c r="L14471">
        <f>IF(AND($J14471=0,$K14471=0),0,1)</f>
        <v>1</v>
      </c>
    </row>
    <row r="14472" spans="1:13" x14ac:dyDescent="0.2">
      <c r="A14472" t="s">
        <v>142</v>
      </c>
      <c r="B14472" t="s">
        <v>133</v>
      </c>
      <c r="C14472" t="s">
        <v>7</v>
      </c>
      <c r="D14472">
        <v>3014</v>
      </c>
      <c r="E14472">
        <v>2021</v>
      </c>
      <c r="F14472">
        <v>5</v>
      </c>
      <c r="G14472">
        <v>18646</v>
      </c>
      <c r="H14472" s="1">
        <v>0</v>
      </c>
      <c r="I14472">
        <v>21</v>
      </c>
      <c r="J14472">
        <f>IF($H14472=0,1,IF($I14472&lt;=1,2,0))</f>
        <v>1</v>
      </c>
      <c r="K14472">
        <v>0</v>
      </c>
      <c r="L14472">
        <f>IF(AND($J14472=0,$K14472=0),0,1)</f>
        <v>1</v>
      </c>
      <c r="M14472" t="s">
        <v>1410</v>
      </c>
    </row>
    <row r="14473" spans="1:13" x14ac:dyDescent="0.2">
      <c r="A14473" t="s">
        <v>142</v>
      </c>
      <c r="B14473" t="s">
        <v>133</v>
      </c>
      <c r="C14473" t="s">
        <v>7</v>
      </c>
      <c r="D14473">
        <v>3014</v>
      </c>
      <c r="E14473">
        <v>2021</v>
      </c>
      <c r="F14473">
        <v>4</v>
      </c>
      <c r="G14473">
        <v>18645</v>
      </c>
      <c r="H14473" s="1">
        <v>0</v>
      </c>
      <c r="I14473">
        <v>16</v>
      </c>
      <c r="J14473">
        <f>IF($H14473=0,1,IF($I14473&lt;=1,2,0))</f>
        <v>1</v>
      </c>
      <c r="K14473">
        <v>0</v>
      </c>
      <c r="L14473">
        <f>IF(AND($J14473=0,$K14473=0),0,1)</f>
        <v>1</v>
      </c>
      <c r="M14473" t="s">
        <v>1410</v>
      </c>
    </row>
    <row r="14474" spans="1:13" x14ac:dyDescent="0.2">
      <c r="A14474" t="s">
        <v>142</v>
      </c>
      <c r="B14474" t="s">
        <v>133</v>
      </c>
      <c r="C14474" t="s">
        <v>7</v>
      </c>
      <c r="D14474">
        <v>3014</v>
      </c>
      <c r="E14474">
        <v>2021</v>
      </c>
      <c r="F14474">
        <v>1</v>
      </c>
      <c r="G14474">
        <v>18642</v>
      </c>
      <c r="H14474" s="1">
        <v>0</v>
      </c>
      <c r="I14474">
        <v>14</v>
      </c>
      <c r="J14474">
        <f>IF($H14474=0,1,IF($I14474&lt;=1,2,0))</f>
        <v>1</v>
      </c>
      <c r="K14474">
        <v>0</v>
      </c>
      <c r="L14474">
        <f>IF(AND($J14474=0,$K14474=0),0,1)</f>
        <v>1</v>
      </c>
      <c r="M14474" t="s">
        <v>1410</v>
      </c>
    </row>
    <row r="14475" spans="1:13" x14ac:dyDescent="0.2">
      <c r="A14475" t="s">
        <v>142</v>
      </c>
      <c r="B14475" t="s">
        <v>133</v>
      </c>
      <c r="C14475" t="s">
        <v>7</v>
      </c>
      <c r="D14475">
        <v>3014</v>
      </c>
      <c r="E14475">
        <v>2021</v>
      </c>
      <c r="F14475">
        <v>2</v>
      </c>
      <c r="G14475">
        <v>18643</v>
      </c>
      <c r="H14475" s="1">
        <v>0</v>
      </c>
      <c r="I14475">
        <v>14</v>
      </c>
      <c r="J14475">
        <f>IF($H14475=0,1,IF($I14475&lt;=1,2,0))</f>
        <v>1</v>
      </c>
      <c r="K14475">
        <v>0</v>
      </c>
      <c r="L14475">
        <f>IF(AND($J14475=0,$K14475=0),0,1)</f>
        <v>1</v>
      </c>
      <c r="M14475" t="s">
        <v>1410</v>
      </c>
    </row>
    <row r="14476" spans="1:13" x14ac:dyDescent="0.2">
      <c r="A14476" t="s">
        <v>142</v>
      </c>
      <c r="B14476" t="s">
        <v>133</v>
      </c>
      <c r="C14476" t="s">
        <v>7</v>
      </c>
      <c r="D14476">
        <v>3014</v>
      </c>
      <c r="E14476">
        <v>2021</v>
      </c>
      <c r="F14476">
        <v>6</v>
      </c>
      <c r="G14476">
        <v>18748</v>
      </c>
      <c r="H14476" s="1">
        <v>0</v>
      </c>
      <c r="I14476">
        <v>14</v>
      </c>
      <c r="J14476">
        <f>IF($H14476=0,1,IF($I14476&lt;=1,2,0))</f>
        <v>1</v>
      </c>
      <c r="K14476">
        <v>0</v>
      </c>
      <c r="L14476">
        <f>IF(AND($J14476=0,$K14476=0),0,1)</f>
        <v>1</v>
      </c>
      <c r="M14476" t="s">
        <v>1411</v>
      </c>
    </row>
    <row r="14477" spans="1:13" x14ac:dyDescent="0.2">
      <c r="A14477" t="s">
        <v>142</v>
      </c>
      <c r="B14477" t="s">
        <v>133</v>
      </c>
      <c r="C14477" t="s">
        <v>7</v>
      </c>
      <c r="D14477">
        <v>3014</v>
      </c>
      <c r="E14477">
        <v>2021</v>
      </c>
      <c r="F14477">
        <v>3</v>
      </c>
      <c r="G14477">
        <v>18644</v>
      </c>
      <c r="H14477" s="1">
        <v>0</v>
      </c>
      <c r="I14477">
        <v>11</v>
      </c>
      <c r="J14477">
        <f>IF($H14477=0,1,IF($I14477&lt;=1,2,0))</f>
        <v>1</v>
      </c>
      <c r="K14477">
        <v>0</v>
      </c>
      <c r="L14477">
        <f>IF(AND($J14477=0,$K14477=0),0,1)</f>
        <v>1</v>
      </c>
      <c r="M14477" t="s">
        <v>1410</v>
      </c>
    </row>
    <row r="14478" spans="1:13" x14ac:dyDescent="0.2">
      <c r="A14478" t="s">
        <v>142</v>
      </c>
      <c r="B14478" t="s">
        <v>133</v>
      </c>
      <c r="C14478" t="s">
        <v>9</v>
      </c>
      <c r="D14478">
        <v>3073</v>
      </c>
      <c r="E14478">
        <v>2021</v>
      </c>
      <c r="F14478" t="s">
        <v>1349</v>
      </c>
      <c r="G14478">
        <v>18940</v>
      </c>
      <c r="H14478" s="1">
        <v>0</v>
      </c>
      <c r="I14478">
        <v>3</v>
      </c>
      <c r="J14478">
        <f>IF($H14478=0,1,IF($I14478&lt;=1,2,0))</f>
        <v>1</v>
      </c>
      <c r="K14478">
        <v>0</v>
      </c>
      <c r="L14478">
        <f>IF(AND($J14478=0,$K14478=0),0,1)</f>
        <v>1</v>
      </c>
    </row>
    <row r="14479" spans="1:13" x14ac:dyDescent="0.2">
      <c r="A14479" t="s">
        <v>142</v>
      </c>
      <c r="B14479" t="s">
        <v>133</v>
      </c>
      <c r="C14479" t="s">
        <v>2</v>
      </c>
      <c r="D14479">
        <v>3303</v>
      </c>
      <c r="E14479">
        <v>2021</v>
      </c>
      <c r="F14479">
        <v>1</v>
      </c>
      <c r="G14479">
        <v>755</v>
      </c>
      <c r="H14479" s="1">
        <v>3</v>
      </c>
      <c r="I14479">
        <v>12</v>
      </c>
      <c r="J14479">
        <f>IF($H14479=0,1,IF($I14479&lt;=1,2,0))</f>
        <v>0</v>
      </c>
      <c r="K14479">
        <v>7</v>
      </c>
      <c r="L14479">
        <f>IF(AND($J14479=0,$K14479=0),0,1)</f>
        <v>1</v>
      </c>
      <c r="M14479" t="s">
        <v>1414</v>
      </c>
    </row>
    <row r="14480" spans="1:13" x14ac:dyDescent="0.2">
      <c r="A14480" t="s">
        <v>142</v>
      </c>
      <c r="B14480" t="s">
        <v>133</v>
      </c>
      <c r="C14480" t="s">
        <v>2</v>
      </c>
      <c r="D14480">
        <v>3305</v>
      </c>
      <c r="E14480">
        <v>2021</v>
      </c>
      <c r="F14480">
        <v>1</v>
      </c>
      <c r="G14480">
        <v>320</v>
      </c>
      <c r="H14480" s="1">
        <v>3</v>
      </c>
      <c r="I14480">
        <v>12</v>
      </c>
      <c r="J14480">
        <f>IF($H14480=0,1,IF($I14480&lt;=1,2,0))</f>
        <v>0</v>
      </c>
      <c r="K14480">
        <v>7</v>
      </c>
      <c r="L14480">
        <f>IF(AND($J14480=0,$K14480=0),0,1)</f>
        <v>1</v>
      </c>
      <c r="M14480" t="s">
        <v>1415</v>
      </c>
    </row>
    <row r="14481" spans="1:13" x14ac:dyDescent="0.2">
      <c r="A14481" t="s">
        <v>142</v>
      </c>
      <c r="B14481" t="s">
        <v>133</v>
      </c>
      <c r="C14481" t="s">
        <v>2</v>
      </c>
      <c r="D14481">
        <v>3310</v>
      </c>
      <c r="E14481">
        <v>2021</v>
      </c>
      <c r="F14481">
        <v>1</v>
      </c>
      <c r="G14481">
        <v>321</v>
      </c>
      <c r="H14481" s="1">
        <v>3</v>
      </c>
      <c r="I14481">
        <v>28</v>
      </c>
      <c r="J14481">
        <f>IF($H14481=0,1,IF($I14481&lt;=1,2,0))</f>
        <v>0</v>
      </c>
      <c r="K14481">
        <v>7</v>
      </c>
      <c r="L14481">
        <f>IF(AND($J14481=0,$K14481=0),0,1)</f>
        <v>1</v>
      </c>
      <c r="M14481" t="s">
        <v>2047</v>
      </c>
    </row>
    <row r="14482" spans="1:13" x14ac:dyDescent="0.2">
      <c r="A14482" t="s">
        <v>142</v>
      </c>
      <c r="B14482" t="s">
        <v>133</v>
      </c>
      <c r="C14482" t="s">
        <v>2</v>
      </c>
      <c r="D14482">
        <v>3311</v>
      </c>
      <c r="E14482">
        <v>2021</v>
      </c>
      <c r="F14482">
        <v>1</v>
      </c>
      <c r="G14482">
        <v>322</v>
      </c>
      <c r="H14482" s="1">
        <v>3</v>
      </c>
      <c r="I14482">
        <v>17</v>
      </c>
      <c r="J14482">
        <f>IF($H14482=0,1,IF($I14482&lt;=1,2,0))</f>
        <v>0</v>
      </c>
      <c r="K14482">
        <v>7</v>
      </c>
      <c r="L14482">
        <f>IF(AND($J14482=0,$K14482=0),0,1)</f>
        <v>1</v>
      </c>
      <c r="M14482" t="s">
        <v>1414</v>
      </c>
    </row>
    <row r="14483" spans="1:13" x14ac:dyDescent="0.2">
      <c r="A14483" t="s">
        <v>142</v>
      </c>
      <c r="B14483" t="s">
        <v>133</v>
      </c>
      <c r="C14483" t="s">
        <v>2</v>
      </c>
      <c r="D14483">
        <v>3320</v>
      </c>
      <c r="E14483">
        <v>2021</v>
      </c>
      <c r="F14483">
        <v>1</v>
      </c>
      <c r="G14483">
        <v>323</v>
      </c>
      <c r="H14483" s="1">
        <v>3</v>
      </c>
      <c r="I14483">
        <v>53</v>
      </c>
      <c r="J14483">
        <f>IF($H14483=0,1,IF($I14483&lt;=1,2,0))</f>
        <v>0</v>
      </c>
      <c r="K14483">
        <v>7</v>
      </c>
      <c r="L14483">
        <f>IF(AND($J14483=0,$K14483=0),0,1)</f>
        <v>1</v>
      </c>
      <c r="M14483" t="s">
        <v>2047</v>
      </c>
    </row>
    <row r="14484" spans="1:13" x14ac:dyDescent="0.2">
      <c r="A14484" t="s">
        <v>142</v>
      </c>
      <c r="B14484" t="s">
        <v>133</v>
      </c>
      <c r="C14484" t="s">
        <v>2</v>
      </c>
      <c r="D14484">
        <v>3362</v>
      </c>
      <c r="E14484">
        <v>2021</v>
      </c>
      <c r="F14484">
        <v>1</v>
      </c>
      <c r="G14484">
        <v>325</v>
      </c>
      <c r="H14484" s="1">
        <v>3</v>
      </c>
      <c r="I14484">
        <v>61</v>
      </c>
      <c r="J14484">
        <f>IF($H14484=0,1,IF($I14484&lt;=1,2,0))</f>
        <v>0</v>
      </c>
      <c r="K14484">
        <v>7</v>
      </c>
      <c r="L14484">
        <f>IF(AND($J14484=0,$K14484=0),0,1)</f>
        <v>1</v>
      </c>
      <c r="M14484" t="s">
        <v>1417</v>
      </c>
    </row>
    <row r="14485" spans="1:13" x14ac:dyDescent="0.2">
      <c r="A14485" t="s">
        <v>142</v>
      </c>
      <c r="B14485" t="s">
        <v>133</v>
      </c>
      <c r="C14485" t="s">
        <v>9</v>
      </c>
      <c r="D14485">
        <v>3510</v>
      </c>
      <c r="E14485">
        <v>2021</v>
      </c>
      <c r="F14485">
        <v>1</v>
      </c>
      <c r="G14485">
        <v>10113</v>
      </c>
      <c r="H14485" s="1">
        <v>0</v>
      </c>
      <c r="I14485">
        <v>30</v>
      </c>
      <c r="J14485">
        <f>IF($H14485=0,1,IF($I14485&lt;=1,2,0))</f>
        <v>1</v>
      </c>
      <c r="K14485">
        <v>0</v>
      </c>
      <c r="L14485">
        <f>IF(AND($J14485=0,$K14485=0),0,1)</f>
        <v>1</v>
      </c>
    </row>
    <row r="14486" spans="1:13" x14ac:dyDescent="0.2">
      <c r="A14486" t="s">
        <v>142</v>
      </c>
      <c r="B14486" t="s">
        <v>133</v>
      </c>
      <c r="C14486" t="s">
        <v>9</v>
      </c>
      <c r="D14486">
        <v>3510</v>
      </c>
      <c r="E14486">
        <v>2021</v>
      </c>
      <c r="F14486">
        <v>2</v>
      </c>
      <c r="G14486">
        <v>10114</v>
      </c>
      <c r="H14486" s="1">
        <v>0</v>
      </c>
      <c r="I14486">
        <v>18</v>
      </c>
      <c r="J14486">
        <f>IF($H14486=0,1,IF($I14486&lt;=1,2,0))</f>
        <v>1</v>
      </c>
      <c r="K14486">
        <v>0</v>
      </c>
      <c r="L14486">
        <f>IF(AND($J14486=0,$K14486=0),0,1)</f>
        <v>1</v>
      </c>
    </row>
    <row r="14487" spans="1:13" x14ac:dyDescent="0.2">
      <c r="A14487" t="s">
        <v>142</v>
      </c>
      <c r="B14487" t="s">
        <v>133</v>
      </c>
      <c r="C14487" t="s">
        <v>2</v>
      </c>
      <c r="D14487">
        <v>3590</v>
      </c>
      <c r="E14487">
        <v>2021</v>
      </c>
      <c r="F14487">
        <v>1</v>
      </c>
      <c r="G14487">
        <v>604</v>
      </c>
      <c r="H14487" s="1">
        <v>4</v>
      </c>
      <c r="I14487">
        <v>15</v>
      </c>
      <c r="J14487">
        <f>IF($H14487=0,1,IF($I14487&lt;=1,2,0))</f>
        <v>0</v>
      </c>
      <c r="K14487">
        <v>7</v>
      </c>
      <c r="L14487">
        <f>IF(AND($J14487=0,$K14487=0),0,1)</f>
        <v>1</v>
      </c>
      <c r="M14487" t="s">
        <v>1420</v>
      </c>
    </row>
    <row r="14488" spans="1:13" x14ac:dyDescent="0.2">
      <c r="A14488" t="s">
        <v>142</v>
      </c>
      <c r="B14488" t="s">
        <v>133</v>
      </c>
      <c r="C14488" t="s">
        <v>2</v>
      </c>
      <c r="D14488">
        <v>3591</v>
      </c>
      <c r="E14488">
        <v>2021</v>
      </c>
      <c r="F14488">
        <v>1</v>
      </c>
      <c r="G14488">
        <v>326</v>
      </c>
      <c r="H14488" s="1">
        <v>4</v>
      </c>
      <c r="I14488">
        <v>16</v>
      </c>
      <c r="J14488">
        <f>IF($H14488=0,1,IF($I14488&lt;=1,2,0))</f>
        <v>0</v>
      </c>
      <c r="K14488">
        <v>7</v>
      </c>
      <c r="L14488">
        <f>IF(AND($J14488=0,$K14488=0),0,1)</f>
        <v>1</v>
      </c>
      <c r="M14488" t="s">
        <v>1421</v>
      </c>
    </row>
    <row r="14489" spans="1:13" x14ac:dyDescent="0.2">
      <c r="A14489" t="s">
        <v>142</v>
      </c>
      <c r="B14489" t="s">
        <v>133</v>
      </c>
      <c r="C14489" t="s">
        <v>2</v>
      </c>
      <c r="D14489">
        <v>3593</v>
      </c>
      <c r="E14489">
        <v>2021</v>
      </c>
      <c r="F14489">
        <v>1</v>
      </c>
      <c r="G14489">
        <v>327</v>
      </c>
      <c r="H14489" s="1">
        <v>4</v>
      </c>
      <c r="I14489">
        <v>10</v>
      </c>
      <c r="J14489">
        <f>IF($H14489=0,1,IF($I14489&lt;=1,2,0))</f>
        <v>0</v>
      </c>
      <c r="K14489">
        <v>7</v>
      </c>
      <c r="L14489">
        <f>IF(AND($J14489=0,$K14489=0),0,1)</f>
        <v>1</v>
      </c>
      <c r="M14489" t="s">
        <v>1422</v>
      </c>
    </row>
    <row r="14490" spans="1:13" x14ac:dyDescent="0.2">
      <c r="A14490" t="s">
        <v>142</v>
      </c>
      <c r="B14490" t="s">
        <v>133</v>
      </c>
      <c r="C14490" t="s">
        <v>2</v>
      </c>
      <c r="D14490">
        <v>3593</v>
      </c>
      <c r="E14490">
        <v>2021</v>
      </c>
      <c r="F14490">
        <v>2</v>
      </c>
      <c r="G14490">
        <v>761</v>
      </c>
      <c r="H14490" s="1">
        <v>4</v>
      </c>
      <c r="I14490">
        <v>4</v>
      </c>
      <c r="J14490">
        <f>IF($H14490=0,1,IF($I14490&lt;=1,2,0))</f>
        <v>0</v>
      </c>
      <c r="K14490">
        <v>7</v>
      </c>
      <c r="L14490">
        <f>IF(AND($J14490=0,$K14490=0),0,1)</f>
        <v>1</v>
      </c>
      <c r="M14490" t="s">
        <v>1422</v>
      </c>
    </row>
    <row r="14491" spans="1:13" x14ac:dyDescent="0.2">
      <c r="A14491" t="s">
        <v>142</v>
      </c>
      <c r="B14491" t="s">
        <v>133</v>
      </c>
      <c r="C14491" t="s">
        <v>2</v>
      </c>
      <c r="D14491">
        <v>3597</v>
      </c>
      <c r="E14491">
        <v>2021</v>
      </c>
      <c r="F14491">
        <v>4</v>
      </c>
      <c r="G14491">
        <v>331</v>
      </c>
      <c r="H14491" s="1" t="s">
        <v>1823</v>
      </c>
      <c r="I14491">
        <v>5</v>
      </c>
      <c r="J14491">
        <f>IF($H14491=0,1,IF($I14491&lt;=1,2,0))</f>
        <v>0</v>
      </c>
      <c r="K14491">
        <v>7</v>
      </c>
      <c r="L14491">
        <f>IF(AND($J14491=0,$K14491=0),0,1)</f>
        <v>1</v>
      </c>
      <c r="M14491" t="s">
        <v>1423</v>
      </c>
    </row>
    <row r="14492" spans="1:13" x14ac:dyDescent="0.2">
      <c r="A14492" t="s">
        <v>142</v>
      </c>
      <c r="B14492" t="s">
        <v>133</v>
      </c>
      <c r="C14492" t="s">
        <v>2</v>
      </c>
      <c r="D14492">
        <v>3597</v>
      </c>
      <c r="E14492">
        <v>2021</v>
      </c>
      <c r="F14492">
        <v>8</v>
      </c>
      <c r="G14492">
        <v>335</v>
      </c>
      <c r="H14492" s="1" t="s">
        <v>1823</v>
      </c>
      <c r="I14492">
        <v>5</v>
      </c>
      <c r="J14492">
        <f>IF($H14492=0,1,IF($I14492&lt;=1,2,0))</f>
        <v>0</v>
      </c>
      <c r="K14492">
        <v>7</v>
      </c>
      <c r="L14492">
        <f>IF(AND($J14492=0,$K14492=0),0,1)</f>
        <v>1</v>
      </c>
      <c r="M14492" t="s">
        <v>1423</v>
      </c>
    </row>
    <row r="14493" spans="1:13" x14ac:dyDescent="0.2">
      <c r="A14493" t="s">
        <v>142</v>
      </c>
      <c r="B14493" t="s">
        <v>133</v>
      </c>
      <c r="C14493" t="s">
        <v>2</v>
      </c>
      <c r="D14493">
        <v>3597</v>
      </c>
      <c r="E14493">
        <v>2021</v>
      </c>
      <c r="F14493">
        <v>6</v>
      </c>
      <c r="G14493">
        <v>333</v>
      </c>
      <c r="H14493" s="1" t="s">
        <v>1823</v>
      </c>
      <c r="I14493">
        <v>4</v>
      </c>
      <c r="J14493">
        <f>IF($H14493=0,1,IF($I14493&lt;=1,2,0))</f>
        <v>0</v>
      </c>
      <c r="K14493">
        <v>7</v>
      </c>
      <c r="L14493">
        <f>IF(AND($J14493=0,$K14493=0),0,1)</f>
        <v>1</v>
      </c>
      <c r="M14493" t="s">
        <v>1423</v>
      </c>
    </row>
    <row r="14494" spans="1:13" x14ac:dyDescent="0.2">
      <c r="A14494" t="s">
        <v>142</v>
      </c>
      <c r="B14494" t="s">
        <v>133</v>
      </c>
      <c r="C14494" t="s">
        <v>2</v>
      </c>
      <c r="D14494">
        <v>3597</v>
      </c>
      <c r="E14494">
        <v>2021</v>
      </c>
      <c r="F14494">
        <v>3</v>
      </c>
      <c r="G14494">
        <v>330</v>
      </c>
      <c r="H14494" s="1" t="s">
        <v>1823</v>
      </c>
      <c r="I14494">
        <v>3</v>
      </c>
      <c r="J14494">
        <f>IF($H14494=0,1,IF($I14494&lt;=1,2,0))</f>
        <v>0</v>
      </c>
      <c r="K14494">
        <v>7</v>
      </c>
      <c r="L14494">
        <f>IF(AND($J14494=0,$K14494=0),0,1)</f>
        <v>1</v>
      </c>
      <c r="M14494" t="s">
        <v>1423</v>
      </c>
    </row>
    <row r="14495" spans="1:13" x14ac:dyDescent="0.2">
      <c r="A14495" t="s">
        <v>142</v>
      </c>
      <c r="B14495" t="s">
        <v>133</v>
      </c>
      <c r="C14495" t="s">
        <v>2</v>
      </c>
      <c r="D14495">
        <v>3597</v>
      </c>
      <c r="E14495">
        <v>2021</v>
      </c>
      <c r="F14495">
        <v>9</v>
      </c>
      <c r="G14495">
        <v>336</v>
      </c>
      <c r="H14495" s="1" t="s">
        <v>1823</v>
      </c>
      <c r="I14495">
        <v>3</v>
      </c>
      <c r="J14495">
        <f>IF($H14495=0,1,IF($I14495&lt;=1,2,0))</f>
        <v>0</v>
      </c>
      <c r="K14495">
        <v>7</v>
      </c>
      <c r="L14495">
        <f>IF(AND($J14495=0,$K14495=0),0,1)</f>
        <v>1</v>
      </c>
      <c r="M14495" t="s">
        <v>1423</v>
      </c>
    </row>
    <row r="14496" spans="1:13" x14ac:dyDescent="0.2">
      <c r="A14496" t="s">
        <v>142</v>
      </c>
      <c r="B14496" t="s">
        <v>133</v>
      </c>
      <c r="C14496" t="s">
        <v>2</v>
      </c>
      <c r="D14496">
        <v>3597</v>
      </c>
      <c r="E14496">
        <v>2021</v>
      </c>
      <c r="F14496">
        <v>2</v>
      </c>
      <c r="G14496">
        <v>329</v>
      </c>
      <c r="H14496" s="1" t="s">
        <v>1823</v>
      </c>
      <c r="I14496">
        <v>2</v>
      </c>
      <c r="J14496">
        <f>IF($H14496=0,1,IF($I14496&lt;=1,2,0))</f>
        <v>0</v>
      </c>
      <c r="K14496">
        <v>7</v>
      </c>
      <c r="L14496">
        <f>IF(AND($J14496=0,$K14496=0),0,1)</f>
        <v>1</v>
      </c>
      <c r="M14496" t="s">
        <v>1423</v>
      </c>
    </row>
    <row r="14497" spans="1:13" x14ac:dyDescent="0.2">
      <c r="A14497" t="s">
        <v>142</v>
      </c>
      <c r="B14497" t="s">
        <v>133</v>
      </c>
      <c r="C14497" t="s">
        <v>2</v>
      </c>
      <c r="D14497">
        <v>3597</v>
      </c>
      <c r="E14497">
        <v>2021</v>
      </c>
      <c r="F14497">
        <v>5</v>
      </c>
      <c r="G14497">
        <v>332</v>
      </c>
      <c r="H14497" s="1" t="s">
        <v>1823</v>
      </c>
      <c r="I14497">
        <v>2</v>
      </c>
      <c r="J14497">
        <f>IF($H14497=0,1,IF($I14497&lt;=1,2,0))</f>
        <v>0</v>
      </c>
      <c r="K14497">
        <v>7</v>
      </c>
      <c r="L14497">
        <f>IF(AND($J14497=0,$K14497=0),0,1)</f>
        <v>1</v>
      </c>
      <c r="M14497" t="s">
        <v>1423</v>
      </c>
    </row>
    <row r="14498" spans="1:13" x14ac:dyDescent="0.2">
      <c r="A14498" t="s">
        <v>142</v>
      </c>
      <c r="B14498" t="s">
        <v>133</v>
      </c>
      <c r="C14498" t="s">
        <v>2</v>
      </c>
      <c r="D14498">
        <v>3597</v>
      </c>
      <c r="E14498">
        <v>2021</v>
      </c>
      <c r="F14498">
        <v>1</v>
      </c>
      <c r="G14498">
        <v>328</v>
      </c>
      <c r="H14498" s="1" t="s">
        <v>1823</v>
      </c>
      <c r="I14498">
        <v>1</v>
      </c>
      <c r="J14498">
        <f>IF($H14498=0,1,IF($I14498&lt;=1,2,0))</f>
        <v>2</v>
      </c>
      <c r="K14498">
        <v>7</v>
      </c>
      <c r="L14498">
        <f>IF(AND($J14498=0,$K14498=0),0,1)</f>
        <v>1</v>
      </c>
      <c r="M14498" t="s">
        <v>1423</v>
      </c>
    </row>
    <row r="14499" spans="1:13" x14ac:dyDescent="0.2">
      <c r="A14499" t="s">
        <v>142</v>
      </c>
      <c r="B14499" t="s">
        <v>133</v>
      </c>
      <c r="C14499" t="s">
        <v>2</v>
      </c>
      <c r="D14499">
        <v>3597</v>
      </c>
      <c r="E14499">
        <v>2021</v>
      </c>
      <c r="F14499">
        <v>7</v>
      </c>
      <c r="G14499">
        <v>334</v>
      </c>
      <c r="H14499" s="1" t="s">
        <v>1823</v>
      </c>
      <c r="I14499">
        <v>1</v>
      </c>
      <c r="J14499">
        <f>IF($H14499=0,1,IF($I14499&lt;=1,2,0))</f>
        <v>2</v>
      </c>
      <c r="K14499">
        <v>7</v>
      </c>
      <c r="L14499">
        <f>IF(AND($J14499=0,$K14499=0),0,1)</f>
        <v>1</v>
      </c>
      <c r="M14499" t="s">
        <v>1423</v>
      </c>
    </row>
    <row r="14500" spans="1:13" x14ac:dyDescent="0.2">
      <c r="A14500" t="s">
        <v>142</v>
      </c>
      <c r="B14500" t="s">
        <v>133</v>
      </c>
      <c r="C14500" t="s">
        <v>9</v>
      </c>
      <c r="D14500">
        <v>4034</v>
      </c>
      <c r="E14500">
        <v>2021</v>
      </c>
      <c r="F14500" t="s">
        <v>1349</v>
      </c>
      <c r="G14500">
        <v>18942</v>
      </c>
      <c r="H14500" s="1">
        <v>0</v>
      </c>
      <c r="I14500">
        <v>3</v>
      </c>
      <c r="J14500">
        <f>IF($H14500=0,1,IF($I14500&lt;=1,2,0))</f>
        <v>1</v>
      </c>
      <c r="K14500">
        <v>0</v>
      </c>
      <c r="L14500">
        <f>IF(AND($J14500=0,$K14500=0),0,1)</f>
        <v>1</v>
      </c>
    </row>
    <row r="14501" spans="1:13" x14ac:dyDescent="0.2">
      <c r="A14501" t="s">
        <v>142</v>
      </c>
      <c r="B14501" t="s">
        <v>133</v>
      </c>
      <c r="C14501" t="s">
        <v>9</v>
      </c>
      <c r="D14501">
        <v>4036</v>
      </c>
      <c r="E14501">
        <v>2021</v>
      </c>
      <c r="F14501" t="s">
        <v>1349</v>
      </c>
      <c r="G14501">
        <v>18943</v>
      </c>
      <c r="H14501" s="1">
        <v>0</v>
      </c>
      <c r="I14501">
        <v>2</v>
      </c>
      <c r="J14501">
        <f>IF($H14501=0,1,IF($I14501&lt;=1,2,0))</f>
        <v>1</v>
      </c>
      <c r="K14501">
        <v>0</v>
      </c>
      <c r="L14501">
        <f>IF(AND($J14501=0,$K14501=0),0,1)</f>
        <v>1</v>
      </c>
    </row>
    <row r="14502" spans="1:13" x14ac:dyDescent="0.2">
      <c r="A14502" t="s">
        <v>142</v>
      </c>
      <c r="B14502" t="s">
        <v>133</v>
      </c>
      <c r="C14502" t="s">
        <v>9</v>
      </c>
      <c r="D14502">
        <v>4560</v>
      </c>
      <c r="E14502">
        <v>2021</v>
      </c>
      <c r="F14502">
        <v>1</v>
      </c>
      <c r="G14502">
        <v>10988</v>
      </c>
      <c r="H14502" s="1">
        <v>4</v>
      </c>
      <c r="I14502">
        <v>11</v>
      </c>
      <c r="J14502">
        <f>IF($H14502=0,1,IF($I14502&lt;=1,2,0))</f>
        <v>0</v>
      </c>
      <c r="K14502">
        <v>4</v>
      </c>
      <c r="L14502">
        <f>IF(AND($J14502=0,$K14502=0),0,1)</f>
        <v>1</v>
      </c>
      <c r="M14502" t="s">
        <v>1425</v>
      </c>
    </row>
    <row r="14503" spans="1:13" x14ac:dyDescent="0.2">
      <c r="A14503" t="s">
        <v>142</v>
      </c>
      <c r="B14503" t="s">
        <v>133</v>
      </c>
      <c r="C14503" t="s">
        <v>9</v>
      </c>
      <c r="D14503">
        <v>5041</v>
      </c>
      <c r="E14503">
        <v>2021</v>
      </c>
      <c r="F14503">
        <v>1</v>
      </c>
      <c r="G14503">
        <v>17622</v>
      </c>
      <c r="H14503" s="1">
        <v>3</v>
      </c>
      <c r="I14503">
        <v>3</v>
      </c>
      <c r="J14503">
        <f>IF($H14503=0,1,IF($I14503&lt;=1,2,0))</f>
        <v>0</v>
      </c>
      <c r="K14503">
        <v>4</v>
      </c>
      <c r="L14503">
        <f>IF(AND($J14503=0,$K14503=0),0,1)</f>
        <v>1</v>
      </c>
      <c r="M14503" t="s">
        <v>1428</v>
      </c>
    </row>
    <row r="14504" spans="1:13" x14ac:dyDescent="0.2">
      <c r="A14504" t="s">
        <v>142</v>
      </c>
      <c r="B14504" t="s">
        <v>133</v>
      </c>
      <c r="C14504" t="s">
        <v>11</v>
      </c>
      <c r="D14504">
        <v>9301</v>
      </c>
      <c r="E14504">
        <v>2021</v>
      </c>
      <c r="F14504">
        <v>1</v>
      </c>
      <c r="G14504">
        <v>13016</v>
      </c>
      <c r="H14504" s="1">
        <v>3</v>
      </c>
      <c r="I14504">
        <v>25</v>
      </c>
      <c r="J14504">
        <f>IF($H14504=0,1,IF($I14504&lt;=1,2,0))</f>
        <v>0</v>
      </c>
      <c r="K14504">
        <v>5</v>
      </c>
      <c r="L14504">
        <f>IF(AND($J14504=0,$K14504=0),0,1)</f>
        <v>1</v>
      </c>
      <c r="M14504" t="s">
        <v>906</v>
      </c>
    </row>
    <row r="14505" spans="1:13" x14ac:dyDescent="0.2">
      <c r="A14505" t="s">
        <v>142</v>
      </c>
      <c r="B14505" t="s">
        <v>133</v>
      </c>
      <c r="C14505" t="s">
        <v>11</v>
      </c>
      <c r="D14505">
        <v>9500</v>
      </c>
      <c r="E14505">
        <v>2021</v>
      </c>
      <c r="F14505">
        <v>1</v>
      </c>
      <c r="G14505">
        <v>13013</v>
      </c>
      <c r="H14505" s="1" t="s">
        <v>1834</v>
      </c>
      <c r="I14505">
        <v>125</v>
      </c>
      <c r="J14505">
        <f>IF($H14505=0,1,IF($I14505&lt;=1,2,0))</f>
        <v>0</v>
      </c>
      <c r="K14505">
        <v>5</v>
      </c>
      <c r="L14505">
        <f>IF(AND($J14505=0,$K14505=0),0,1)</f>
        <v>1</v>
      </c>
    </row>
    <row r="14506" spans="1:13" x14ac:dyDescent="0.2">
      <c r="A14506" t="s">
        <v>171</v>
      </c>
      <c r="B14506" t="s">
        <v>133</v>
      </c>
      <c r="C14506" t="s">
        <v>9</v>
      </c>
      <c r="D14506">
        <v>4160</v>
      </c>
      <c r="E14506">
        <v>2021</v>
      </c>
      <c r="F14506" t="s">
        <v>1349</v>
      </c>
      <c r="G14506">
        <v>18944</v>
      </c>
      <c r="H14506" s="1">
        <v>0</v>
      </c>
      <c r="I14506">
        <v>3</v>
      </c>
      <c r="J14506">
        <f>IF($H14506=0,1,IF($I14506&lt;=1,2,0))</f>
        <v>1</v>
      </c>
      <c r="K14506">
        <v>0</v>
      </c>
      <c r="L14506">
        <f>IF(AND($J14506=0,$K14506=0),0,1)</f>
        <v>1</v>
      </c>
    </row>
    <row r="14507" spans="1:13" x14ac:dyDescent="0.2">
      <c r="A14507" t="s">
        <v>171</v>
      </c>
      <c r="B14507" t="s">
        <v>133</v>
      </c>
      <c r="C14507" t="s">
        <v>11</v>
      </c>
      <c r="D14507">
        <v>5501</v>
      </c>
      <c r="E14507">
        <v>2021</v>
      </c>
      <c r="F14507">
        <v>1</v>
      </c>
      <c r="G14507">
        <v>11153</v>
      </c>
      <c r="H14507" s="1" t="s">
        <v>1835</v>
      </c>
      <c r="I14507">
        <v>0</v>
      </c>
      <c r="J14507">
        <f>IF($H14507=0,1,IF($I14507&lt;=1,2,0))</f>
        <v>2</v>
      </c>
      <c r="K14507">
        <v>0</v>
      </c>
      <c r="L14507">
        <f>IF(AND($J14507=0,$K14507=0),0,1)</f>
        <v>1</v>
      </c>
      <c r="M14507" t="s">
        <v>2048</v>
      </c>
    </row>
    <row r="14508" spans="1:13" x14ac:dyDescent="0.2">
      <c r="A14508" t="s">
        <v>171</v>
      </c>
      <c r="B14508" t="s">
        <v>133</v>
      </c>
      <c r="C14508" t="s">
        <v>11</v>
      </c>
      <c r="D14508">
        <v>5501</v>
      </c>
      <c r="E14508">
        <v>2021</v>
      </c>
      <c r="F14508">
        <v>2</v>
      </c>
      <c r="G14508">
        <v>11154</v>
      </c>
      <c r="H14508" s="1" t="s">
        <v>1835</v>
      </c>
      <c r="I14508">
        <v>0</v>
      </c>
      <c r="J14508">
        <f>IF($H14508=0,1,IF($I14508&lt;=1,2,0))</f>
        <v>2</v>
      </c>
      <c r="K14508">
        <v>0</v>
      </c>
      <c r="L14508">
        <f>IF(AND($J14508=0,$K14508=0),0,1)</f>
        <v>1</v>
      </c>
      <c r="M14508" t="s">
        <v>2048</v>
      </c>
    </row>
    <row r="14509" spans="1:13" x14ac:dyDescent="0.2">
      <c r="A14509" t="s">
        <v>174</v>
      </c>
      <c r="B14509" t="s">
        <v>71</v>
      </c>
      <c r="C14509" t="s">
        <v>72</v>
      </c>
      <c r="D14509">
        <v>3810</v>
      </c>
      <c r="E14509">
        <v>2021</v>
      </c>
      <c r="F14509">
        <v>1</v>
      </c>
      <c r="G14509">
        <v>12210</v>
      </c>
      <c r="H14509" s="1">
        <v>3</v>
      </c>
      <c r="I14509">
        <v>29</v>
      </c>
      <c r="J14509">
        <f>IF($H14509=0,1,IF($I14509&lt;=1,2,0))</f>
        <v>0</v>
      </c>
      <c r="K14509">
        <v>8</v>
      </c>
      <c r="L14509">
        <f>IF(AND($J14509=0,$K14509=0),0,1)</f>
        <v>1</v>
      </c>
    </row>
    <row r="14510" spans="1:13" x14ac:dyDescent="0.2">
      <c r="A14510" t="s">
        <v>174</v>
      </c>
      <c r="B14510" t="s">
        <v>71</v>
      </c>
      <c r="C14510" t="s">
        <v>72</v>
      </c>
      <c r="D14510">
        <v>3810</v>
      </c>
      <c r="E14510">
        <v>2021</v>
      </c>
      <c r="F14510">
        <v>2</v>
      </c>
      <c r="G14510">
        <v>12211</v>
      </c>
      <c r="H14510" s="1">
        <v>3</v>
      </c>
      <c r="I14510">
        <v>27</v>
      </c>
      <c r="J14510">
        <f>IF($H14510=0,1,IF($I14510&lt;=1,2,0))</f>
        <v>0</v>
      </c>
      <c r="K14510">
        <v>8</v>
      </c>
      <c r="L14510">
        <f>IF(AND($J14510=0,$K14510=0),0,1)</f>
        <v>1</v>
      </c>
    </row>
    <row r="14511" spans="1:13" x14ac:dyDescent="0.2">
      <c r="A14511" t="s">
        <v>174</v>
      </c>
      <c r="B14511" t="s">
        <v>71</v>
      </c>
      <c r="C14511" t="s">
        <v>72</v>
      </c>
      <c r="D14511">
        <v>3998</v>
      </c>
      <c r="E14511">
        <v>2021</v>
      </c>
      <c r="F14511">
        <v>11</v>
      </c>
      <c r="G14511">
        <v>12232</v>
      </c>
      <c r="H14511" s="1" t="s">
        <v>1827</v>
      </c>
      <c r="I14511">
        <v>5</v>
      </c>
      <c r="J14511">
        <f>IF($H14511=0,1,IF($I14511&lt;=1,2,0))</f>
        <v>0</v>
      </c>
      <c r="K14511">
        <v>9</v>
      </c>
      <c r="L14511">
        <f>IF(AND($J14511=0,$K14511=0),0,1)</f>
        <v>1</v>
      </c>
    </row>
    <row r="14512" spans="1:13" x14ac:dyDescent="0.2">
      <c r="A14512" t="s">
        <v>174</v>
      </c>
      <c r="B14512" t="s">
        <v>71</v>
      </c>
      <c r="C14512" t="s">
        <v>72</v>
      </c>
      <c r="D14512">
        <v>3998</v>
      </c>
      <c r="E14512">
        <v>2021</v>
      </c>
      <c r="F14512">
        <v>17</v>
      </c>
      <c r="G14512">
        <v>12239</v>
      </c>
      <c r="H14512" s="1" t="s">
        <v>1827</v>
      </c>
      <c r="I14512">
        <v>3</v>
      </c>
      <c r="J14512">
        <f>IF($H14512=0,1,IF($I14512&lt;=1,2,0))</f>
        <v>0</v>
      </c>
      <c r="K14512">
        <v>9</v>
      </c>
      <c r="L14512">
        <f>IF(AND($J14512=0,$K14512=0),0,1)</f>
        <v>1</v>
      </c>
    </row>
    <row r="14513" spans="1:12" x14ac:dyDescent="0.2">
      <c r="A14513" t="s">
        <v>174</v>
      </c>
      <c r="B14513" t="s">
        <v>71</v>
      </c>
      <c r="C14513" t="s">
        <v>72</v>
      </c>
      <c r="D14513">
        <v>3998</v>
      </c>
      <c r="E14513">
        <v>2021</v>
      </c>
      <c r="F14513">
        <v>30</v>
      </c>
      <c r="G14513">
        <v>12252</v>
      </c>
      <c r="H14513" s="1" t="s">
        <v>1827</v>
      </c>
      <c r="I14513">
        <v>3</v>
      </c>
      <c r="J14513">
        <f>IF($H14513=0,1,IF($I14513&lt;=1,2,0))</f>
        <v>0</v>
      </c>
      <c r="K14513">
        <v>9</v>
      </c>
      <c r="L14513">
        <f>IF(AND($J14513=0,$K14513=0),0,1)</f>
        <v>1</v>
      </c>
    </row>
    <row r="14514" spans="1:12" x14ac:dyDescent="0.2">
      <c r="A14514" t="s">
        <v>174</v>
      </c>
      <c r="B14514" t="s">
        <v>71</v>
      </c>
      <c r="C14514" t="s">
        <v>72</v>
      </c>
      <c r="D14514">
        <v>3998</v>
      </c>
      <c r="E14514">
        <v>2021</v>
      </c>
      <c r="F14514">
        <v>2</v>
      </c>
      <c r="G14514">
        <v>12225</v>
      </c>
      <c r="H14514" s="1" t="s">
        <v>1827</v>
      </c>
      <c r="I14514">
        <v>2</v>
      </c>
      <c r="J14514">
        <f>IF($H14514=0,1,IF($I14514&lt;=1,2,0))</f>
        <v>0</v>
      </c>
      <c r="K14514">
        <v>9</v>
      </c>
      <c r="L14514">
        <f>IF(AND($J14514=0,$K14514=0),0,1)</f>
        <v>1</v>
      </c>
    </row>
    <row r="14515" spans="1:12" x14ac:dyDescent="0.2">
      <c r="A14515" t="s">
        <v>174</v>
      </c>
      <c r="B14515" t="s">
        <v>71</v>
      </c>
      <c r="C14515" t="s">
        <v>72</v>
      </c>
      <c r="D14515">
        <v>3998</v>
      </c>
      <c r="E14515">
        <v>2021</v>
      </c>
      <c r="F14515">
        <v>7</v>
      </c>
      <c r="G14515">
        <v>12235</v>
      </c>
      <c r="H14515" s="1" t="s">
        <v>1827</v>
      </c>
      <c r="I14515">
        <v>2</v>
      </c>
      <c r="J14515">
        <f>IF($H14515=0,1,IF($I14515&lt;=1,2,0))</f>
        <v>0</v>
      </c>
      <c r="K14515">
        <v>9</v>
      </c>
      <c r="L14515">
        <f>IF(AND($J14515=0,$K14515=0),0,1)</f>
        <v>1</v>
      </c>
    </row>
    <row r="14516" spans="1:12" x14ac:dyDescent="0.2">
      <c r="A14516" t="s">
        <v>174</v>
      </c>
      <c r="B14516" t="s">
        <v>71</v>
      </c>
      <c r="C14516" t="s">
        <v>72</v>
      </c>
      <c r="D14516">
        <v>3998</v>
      </c>
      <c r="E14516">
        <v>2021</v>
      </c>
      <c r="F14516">
        <v>22</v>
      </c>
      <c r="G14516">
        <v>12244</v>
      </c>
      <c r="H14516" s="1" t="s">
        <v>1827</v>
      </c>
      <c r="I14516">
        <v>2</v>
      </c>
      <c r="J14516">
        <f>IF($H14516=0,1,IF($I14516&lt;=1,2,0))</f>
        <v>0</v>
      </c>
      <c r="K14516">
        <v>9</v>
      </c>
      <c r="L14516">
        <f>IF(AND($J14516=0,$K14516=0),0,1)</f>
        <v>1</v>
      </c>
    </row>
    <row r="14517" spans="1:12" x14ac:dyDescent="0.2">
      <c r="A14517" t="s">
        <v>174</v>
      </c>
      <c r="B14517" t="s">
        <v>71</v>
      </c>
      <c r="C14517" t="s">
        <v>72</v>
      </c>
      <c r="D14517">
        <v>3998</v>
      </c>
      <c r="E14517">
        <v>2021</v>
      </c>
      <c r="F14517">
        <v>25</v>
      </c>
      <c r="G14517">
        <v>12247</v>
      </c>
      <c r="H14517" s="1" t="s">
        <v>1827</v>
      </c>
      <c r="I14517">
        <v>2</v>
      </c>
      <c r="J14517">
        <f>IF($H14517=0,1,IF($I14517&lt;=1,2,0))</f>
        <v>0</v>
      </c>
      <c r="K14517">
        <v>9</v>
      </c>
      <c r="L14517">
        <f>IF(AND($J14517=0,$K14517=0),0,1)</f>
        <v>1</v>
      </c>
    </row>
    <row r="14518" spans="1:12" x14ac:dyDescent="0.2">
      <c r="A14518" t="s">
        <v>174</v>
      </c>
      <c r="B14518" t="s">
        <v>71</v>
      </c>
      <c r="C14518" t="s">
        <v>72</v>
      </c>
      <c r="D14518">
        <v>3998</v>
      </c>
      <c r="E14518">
        <v>2021</v>
      </c>
      <c r="F14518">
        <v>28</v>
      </c>
      <c r="G14518">
        <v>12250</v>
      </c>
      <c r="H14518" s="1" t="s">
        <v>1827</v>
      </c>
      <c r="I14518">
        <v>2</v>
      </c>
      <c r="J14518">
        <f>IF($H14518=0,1,IF($I14518&lt;=1,2,0))</f>
        <v>0</v>
      </c>
      <c r="K14518">
        <v>9</v>
      </c>
      <c r="L14518">
        <f>IF(AND($J14518=0,$K14518=0),0,1)</f>
        <v>1</v>
      </c>
    </row>
    <row r="14519" spans="1:12" x14ac:dyDescent="0.2">
      <c r="A14519" t="s">
        <v>174</v>
      </c>
      <c r="B14519" t="s">
        <v>71</v>
      </c>
      <c r="C14519" t="s">
        <v>72</v>
      </c>
      <c r="D14519">
        <v>3998</v>
      </c>
      <c r="E14519">
        <v>2021</v>
      </c>
      <c r="F14519">
        <v>4</v>
      </c>
      <c r="G14519">
        <v>12227</v>
      </c>
      <c r="H14519" s="1" t="s">
        <v>1827</v>
      </c>
      <c r="I14519">
        <v>1</v>
      </c>
      <c r="J14519">
        <f>IF($H14519=0,1,IF($I14519&lt;=1,2,0))</f>
        <v>2</v>
      </c>
      <c r="K14519">
        <v>9</v>
      </c>
      <c r="L14519">
        <f>IF(AND($J14519=0,$K14519=0),0,1)</f>
        <v>1</v>
      </c>
    </row>
    <row r="14520" spans="1:12" x14ac:dyDescent="0.2">
      <c r="A14520" t="s">
        <v>174</v>
      </c>
      <c r="B14520" t="s">
        <v>71</v>
      </c>
      <c r="C14520" t="s">
        <v>72</v>
      </c>
      <c r="D14520">
        <v>3998</v>
      </c>
      <c r="E14520">
        <v>2021</v>
      </c>
      <c r="F14520">
        <v>6</v>
      </c>
      <c r="G14520">
        <v>12228</v>
      </c>
      <c r="H14520" s="1" t="s">
        <v>1827</v>
      </c>
      <c r="I14520">
        <v>1</v>
      </c>
      <c r="J14520">
        <f>IF($H14520=0,1,IF($I14520&lt;=1,2,0))</f>
        <v>2</v>
      </c>
      <c r="K14520">
        <v>9</v>
      </c>
      <c r="L14520">
        <f>IF(AND($J14520=0,$K14520=0),0,1)</f>
        <v>1</v>
      </c>
    </row>
    <row r="14521" spans="1:12" x14ac:dyDescent="0.2">
      <c r="A14521" t="s">
        <v>174</v>
      </c>
      <c r="B14521" t="s">
        <v>71</v>
      </c>
      <c r="C14521" t="s">
        <v>72</v>
      </c>
      <c r="D14521">
        <v>3998</v>
      </c>
      <c r="E14521">
        <v>2021</v>
      </c>
      <c r="F14521">
        <v>16</v>
      </c>
      <c r="G14521">
        <v>12238</v>
      </c>
      <c r="H14521" s="1" t="s">
        <v>1827</v>
      </c>
      <c r="I14521">
        <v>1</v>
      </c>
      <c r="J14521">
        <f>IF($H14521=0,1,IF($I14521&lt;=1,2,0))</f>
        <v>2</v>
      </c>
      <c r="K14521">
        <v>9</v>
      </c>
      <c r="L14521">
        <f>IF(AND($J14521=0,$K14521=0),0,1)</f>
        <v>1</v>
      </c>
    </row>
    <row r="14522" spans="1:12" x14ac:dyDescent="0.2">
      <c r="A14522" t="s">
        <v>174</v>
      </c>
      <c r="B14522" t="s">
        <v>71</v>
      </c>
      <c r="C14522" t="s">
        <v>72</v>
      </c>
      <c r="D14522">
        <v>3998</v>
      </c>
      <c r="E14522">
        <v>2021</v>
      </c>
      <c r="F14522">
        <v>18</v>
      </c>
      <c r="G14522">
        <v>12240</v>
      </c>
      <c r="H14522" s="1" t="s">
        <v>1827</v>
      </c>
      <c r="I14522">
        <v>1</v>
      </c>
      <c r="J14522">
        <f>IF($H14522=0,1,IF($I14522&lt;=1,2,0))</f>
        <v>2</v>
      </c>
      <c r="K14522">
        <v>9</v>
      </c>
      <c r="L14522">
        <f>IF(AND($J14522=0,$K14522=0),0,1)</f>
        <v>1</v>
      </c>
    </row>
    <row r="14523" spans="1:12" x14ac:dyDescent="0.2">
      <c r="A14523" t="s">
        <v>174</v>
      </c>
      <c r="B14523" t="s">
        <v>71</v>
      </c>
      <c r="C14523" t="s">
        <v>72</v>
      </c>
      <c r="D14523">
        <v>3998</v>
      </c>
      <c r="E14523">
        <v>2021</v>
      </c>
      <c r="F14523">
        <v>19</v>
      </c>
      <c r="G14523">
        <v>12241</v>
      </c>
      <c r="H14523" s="1" t="s">
        <v>1827</v>
      </c>
      <c r="I14523">
        <v>1</v>
      </c>
      <c r="J14523">
        <f>IF($H14523=0,1,IF($I14523&lt;=1,2,0))</f>
        <v>2</v>
      </c>
      <c r="K14523">
        <v>9</v>
      </c>
      <c r="L14523">
        <f>IF(AND($J14523=0,$K14523=0),0,1)</f>
        <v>1</v>
      </c>
    </row>
    <row r="14524" spans="1:12" x14ac:dyDescent="0.2">
      <c r="A14524" t="s">
        <v>174</v>
      </c>
      <c r="B14524" t="s">
        <v>71</v>
      </c>
      <c r="C14524" t="s">
        <v>72</v>
      </c>
      <c r="D14524">
        <v>3998</v>
      </c>
      <c r="E14524">
        <v>2021</v>
      </c>
      <c r="F14524">
        <v>29</v>
      </c>
      <c r="G14524">
        <v>12251</v>
      </c>
      <c r="H14524" s="1" t="s">
        <v>1827</v>
      </c>
      <c r="I14524">
        <v>1</v>
      </c>
      <c r="J14524">
        <f>IF($H14524=0,1,IF($I14524&lt;=1,2,0))</f>
        <v>2</v>
      </c>
      <c r="K14524">
        <v>9</v>
      </c>
      <c r="L14524">
        <f>IF(AND($J14524=0,$K14524=0),0,1)</f>
        <v>1</v>
      </c>
    </row>
    <row r="14525" spans="1:12" x14ac:dyDescent="0.2">
      <c r="A14525" t="s">
        <v>174</v>
      </c>
      <c r="B14525" t="s">
        <v>71</v>
      </c>
      <c r="C14525" t="s">
        <v>72</v>
      </c>
      <c r="D14525">
        <v>3998</v>
      </c>
      <c r="E14525">
        <v>2021</v>
      </c>
      <c r="F14525">
        <v>35</v>
      </c>
      <c r="G14525">
        <v>12255</v>
      </c>
      <c r="H14525" s="1" t="s">
        <v>1827</v>
      </c>
      <c r="I14525">
        <v>1</v>
      </c>
      <c r="J14525">
        <f>IF($H14525=0,1,IF($I14525&lt;=1,2,0))</f>
        <v>2</v>
      </c>
      <c r="K14525">
        <v>9</v>
      </c>
      <c r="L14525">
        <f>IF(AND($J14525=0,$K14525=0),0,1)</f>
        <v>1</v>
      </c>
    </row>
    <row r="14526" spans="1:12" x14ac:dyDescent="0.2">
      <c r="A14526" t="s">
        <v>174</v>
      </c>
      <c r="B14526" t="s">
        <v>71</v>
      </c>
      <c r="C14526" t="s">
        <v>72</v>
      </c>
      <c r="D14526">
        <v>3998</v>
      </c>
      <c r="E14526">
        <v>2021</v>
      </c>
      <c r="F14526">
        <v>1</v>
      </c>
      <c r="G14526">
        <v>12224</v>
      </c>
      <c r="H14526" s="1" t="s">
        <v>1827</v>
      </c>
      <c r="I14526">
        <v>0</v>
      </c>
      <c r="J14526">
        <f>IF($H14526=0,1,IF($I14526&lt;=1,2,0))</f>
        <v>2</v>
      </c>
      <c r="K14526">
        <v>9</v>
      </c>
      <c r="L14526">
        <f>IF(AND($J14526=0,$K14526=0),0,1)</f>
        <v>1</v>
      </c>
    </row>
    <row r="14527" spans="1:12" x14ac:dyDescent="0.2">
      <c r="A14527" t="s">
        <v>174</v>
      </c>
      <c r="B14527" t="s">
        <v>71</v>
      </c>
      <c r="C14527" t="s">
        <v>72</v>
      </c>
      <c r="D14527">
        <v>3998</v>
      </c>
      <c r="E14527">
        <v>2021</v>
      </c>
      <c r="F14527">
        <v>3</v>
      </c>
      <c r="G14527">
        <v>12226</v>
      </c>
      <c r="H14527" s="1" t="s">
        <v>1827</v>
      </c>
      <c r="I14527">
        <v>0</v>
      </c>
      <c r="J14527">
        <f>IF($H14527=0,1,IF($I14527&lt;=1,2,0))</f>
        <v>2</v>
      </c>
      <c r="K14527">
        <v>9</v>
      </c>
      <c r="L14527">
        <f>IF(AND($J14527=0,$K14527=0),0,1)</f>
        <v>1</v>
      </c>
    </row>
    <row r="14528" spans="1:12" x14ac:dyDescent="0.2">
      <c r="A14528" t="s">
        <v>174</v>
      </c>
      <c r="B14528" t="s">
        <v>71</v>
      </c>
      <c r="C14528" t="s">
        <v>72</v>
      </c>
      <c r="D14528">
        <v>3998</v>
      </c>
      <c r="E14528">
        <v>2021</v>
      </c>
      <c r="F14528">
        <v>8</v>
      </c>
      <c r="G14528">
        <v>12229</v>
      </c>
      <c r="H14528" s="1" t="s">
        <v>1827</v>
      </c>
      <c r="I14528">
        <v>0</v>
      </c>
      <c r="J14528">
        <f>IF($H14528=0,1,IF($I14528&lt;=1,2,0))</f>
        <v>2</v>
      </c>
      <c r="K14528">
        <v>9</v>
      </c>
      <c r="L14528">
        <f>IF(AND($J14528=0,$K14528=0),0,1)</f>
        <v>1</v>
      </c>
    </row>
    <row r="14529" spans="1:12" x14ac:dyDescent="0.2">
      <c r="A14529" t="s">
        <v>174</v>
      </c>
      <c r="B14529" t="s">
        <v>71</v>
      </c>
      <c r="C14529" t="s">
        <v>72</v>
      </c>
      <c r="D14529">
        <v>3998</v>
      </c>
      <c r="E14529">
        <v>2021</v>
      </c>
      <c r="F14529">
        <v>9</v>
      </c>
      <c r="G14529">
        <v>12230</v>
      </c>
      <c r="H14529" s="1" t="s">
        <v>1827</v>
      </c>
      <c r="I14529">
        <v>0</v>
      </c>
      <c r="J14529">
        <f>IF($H14529=0,1,IF($I14529&lt;=1,2,0))</f>
        <v>2</v>
      </c>
      <c r="K14529">
        <v>9</v>
      </c>
      <c r="L14529">
        <f>IF(AND($J14529=0,$K14529=0),0,1)</f>
        <v>1</v>
      </c>
    </row>
    <row r="14530" spans="1:12" x14ac:dyDescent="0.2">
      <c r="A14530" t="s">
        <v>174</v>
      </c>
      <c r="B14530" t="s">
        <v>71</v>
      </c>
      <c r="C14530" t="s">
        <v>72</v>
      </c>
      <c r="D14530">
        <v>3998</v>
      </c>
      <c r="E14530">
        <v>2021</v>
      </c>
      <c r="F14530">
        <v>10</v>
      </c>
      <c r="G14530">
        <v>12231</v>
      </c>
      <c r="H14530" s="1" t="s">
        <v>1827</v>
      </c>
      <c r="I14530">
        <v>0</v>
      </c>
      <c r="J14530">
        <f>IF($H14530=0,1,IF($I14530&lt;=1,2,0))</f>
        <v>2</v>
      </c>
      <c r="K14530">
        <v>9</v>
      </c>
      <c r="L14530">
        <f>IF(AND($J14530=0,$K14530=0),0,1)</f>
        <v>1</v>
      </c>
    </row>
    <row r="14531" spans="1:12" x14ac:dyDescent="0.2">
      <c r="A14531" t="s">
        <v>174</v>
      </c>
      <c r="B14531" t="s">
        <v>71</v>
      </c>
      <c r="C14531" t="s">
        <v>72</v>
      </c>
      <c r="D14531">
        <v>3998</v>
      </c>
      <c r="E14531">
        <v>2021</v>
      </c>
      <c r="F14531">
        <v>12</v>
      </c>
      <c r="G14531">
        <v>12233</v>
      </c>
      <c r="H14531" s="1" t="s">
        <v>1827</v>
      </c>
      <c r="I14531">
        <v>0</v>
      </c>
      <c r="J14531">
        <f>IF($H14531=0,1,IF($I14531&lt;=1,2,0))</f>
        <v>2</v>
      </c>
      <c r="K14531">
        <v>9</v>
      </c>
      <c r="L14531">
        <f>IF(AND($J14531=0,$K14531=0),0,1)</f>
        <v>1</v>
      </c>
    </row>
    <row r="14532" spans="1:12" x14ac:dyDescent="0.2">
      <c r="A14532" t="s">
        <v>174</v>
      </c>
      <c r="B14532" t="s">
        <v>71</v>
      </c>
      <c r="C14532" t="s">
        <v>72</v>
      </c>
      <c r="D14532">
        <v>3998</v>
      </c>
      <c r="E14532">
        <v>2021</v>
      </c>
      <c r="F14532">
        <v>13</v>
      </c>
      <c r="G14532">
        <v>12234</v>
      </c>
      <c r="H14532" s="1" t="s">
        <v>1827</v>
      </c>
      <c r="I14532">
        <v>0</v>
      </c>
      <c r="J14532">
        <f>IF($H14532=0,1,IF($I14532&lt;=1,2,0))</f>
        <v>2</v>
      </c>
      <c r="K14532">
        <v>9</v>
      </c>
      <c r="L14532">
        <f>IF(AND($J14532=0,$K14532=0),0,1)</f>
        <v>1</v>
      </c>
    </row>
    <row r="14533" spans="1:12" x14ac:dyDescent="0.2">
      <c r="A14533" t="s">
        <v>174</v>
      </c>
      <c r="B14533" t="s">
        <v>71</v>
      </c>
      <c r="C14533" t="s">
        <v>72</v>
      </c>
      <c r="D14533">
        <v>3998</v>
      </c>
      <c r="E14533">
        <v>2021</v>
      </c>
      <c r="F14533">
        <v>14</v>
      </c>
      <c r="G14533">
        <v>12236</v>
      </c>
      <c r="H14533" s="1" t="s">
        <v>1827</v>
      </c>
      <c r="I14533">
        <v>0</v>
      </c>
      <c r="J14533">
        <f>IF($H14533=0,1,IF($I14533&lt;=1,2,0))</f>
        <v>2</v>
      </c>
      <c r="K14533">
        <v>9</v>
      </c>
      <c r="L14533">
        <f>IF(AND($J14533=0,$K14533=0),0,1)</f>
        <v>1</v>
      </c>
    </row>
    <row r="14534" spans="1:12" x14ac:dyDescent="0.2">
      <c r="A14534" t="s">
        <v>174</v>
      </c>
      <c r="B14534" t="s">
        <v>71</v>
      </c>
      <c r="C14534" t="s">
        <v>72</v>
      </c>
      <c r="D14534">
        <v>3998</v>
      </c>
      <c r="E14534">
        <v>2021</v>
      </c>
      <c r="F14534">
        <v>15</v>
      </c>
      <c r="G14534">
        <v>12237</v>
      </c>
      <c r="H14534" s="1" t="s">
        <v>1827</v>
      </c>
      <c r="I14534">
        <v>0</v>
      </c>
      <c r="J14534">
        <f>IF($H14534=0,1,IF($I14534&lt;=1,2,0))</f>
        <v>2</v>
      </c>
      <c r="K14534">
        <v>9</v>
      </c>
      <c r="L14534">
        <f>IF(AND($J14534=0,$K14534=0),0,1)</f>
        <v>1</v>
      </c>
    </row>
    <row r="14535" spans="1:12" x14ac:dyDescent="0.2">
      <c r="A14535" t="s">
        <v>174</v>
      </c>
      <c r="B14535" t="s">
        <v>71</v>
      </c>
      <c r="C14535" t="s">
        <v>72</v>
      </c>
      <c r="D14535">
        <v>3998</v>
      </c>
      <c r="E14535">
        <v>2021</v>
      </c>
      <c r="F14535">
        <v>20</v>
      </c>
      <c r="G14535">
        <v>12242</v>
      </c>
      <c r="H14535" s="1" t="s">
        <v>1827</v>
      </c>
      <c r="I14535">
        <v>0</v>
      </c>
      <c r="J14535">
        <f>IF($H14535=0,1,IF($I14535&lt;=1,2,0))</f>
        <v>2</v>
      </c>
      <c r="K14535">
        <v>9</v>
      </c>
      <c r="L14535">
        <f>IF(AND($J14535=0,$K14535=0),0,1)</f>
        <v>1</v>
      </c>
    </row>
    <row r="14536" spans="1:12" x14ac:dyDescent="0.2">
      <c r="A14536" t="s">
        <v>174</v>
      </c>
      <c r="B14536" t="s">
        <v>71</v>
      </c>
      <c r="C14536" t="s">
        <v>72</v>
      </c>
      <c r="D14536">
        <v>3998</v>
      </c>
      <c r="E14536">
        <v>2021</v>
      </c>
      <c r="F14536">
        <v>21</v>
      </c>
      <c r="G14536">
        <v>12243</v>
      </c>
      <c r="H14536" s="1" t="s">
        <v>1827</v>
      </c>
      <c r="I14536">
        <v>0</v>
      </c>
      <c r="J14536">
        <f>IF($H14536=0,1,IF($I14536&lt;=1,2,0))</f>
        <v>2</v>
      </c>
      <c r="K14536">
        <v>9</v>
      </c>
      <c r="L14536">
        <f>IF(AND($J14536=0,$K14536=0),0,1)</f>
        <v>1</v>
      </c>
    </row>
    <row r="14537" spans="1:12" x14ac:dyDescent="0.2">
      <c r="A14537" t="s">
        <v>174</v>
      </c>
      <c r="B14537" t="s">
        <v>71</v>
      </c>
      <c r="C14537" t="s">
        <v>72</v>
      </c>
      <c r="D14537">
        <v>3998</v>
      </c>
      <c r="E14537">
        <v>2021</v>
      </c>
      <c r="F14537">
        <v>23</v>
      </c>
      <c r="G14537">
        <v>12245</v>
      </c>
      <c r="H14537" s="1" t="s">
        <v>1827</v>
      </c>
      <c r="I14537">
        <v>0</v>
      </c>
      <c r="J14537">
        <f>IF($H14537=0,1,IF($I14537&lt;=1,2,0))</f>
        <v>2</v>
      </c>
      <c r="K14537">
        <v>9</v>
      </c>
      <c r="L14537">
        <f>IF(AND($J14537=0,$K14537=0),0,1)</f>
        <v>1</v>
      </c>
    </row>
    <row r="14538" spans="1:12" x14ac:dyDescent="0.2">
      <c r="A14538" t="s">
        <v>174</v>
      </c>
      <c r="B14538" t="s">
        <v>71</v>
      </c>
      <c r="C14538" t="s">
        <v>72</v>
      </c>
      <c r="D14538">
        <v>3998</v>
      </c>
      <c r="E14538">
        <v>2021</v>
      </c>
      <c r="F14538">
        <v>24</v>
      </c>
      <c r="G14538">
        <v>12246</v>
      </c>
      <c r="H14538" s="1" t="s">
        <v>1827</v>
      </c>
      <c r="I14538">
        <v>0</v>
      </c>
      <c r="J14538">
        <f>IF($H14538=0,1,IF($I14538&lt;=1,2,0))</f>
        <v>2</v>
      </c>
      <c r="K14538">
        <v>9</v>
      </c>
      <c r="L14538">
        <f>IF(AND($J14538=0,$K14538=0),0,1)</f>
        <v>1</v>
      </c>
    </row>
    <row r="14539" spans="1:12" x14ac:dyDescent="0.2">
      <c r="A14539" t="s">
        <v>174</v>
      </c>
      <c r="B14539" t="s">
        <v>71</v>
      </c>
      <c r="C14539" t="s">
        <v>72</v>
      </c>
      <c r="D14539">
        <v>3998</v>
      </c>
      <c r="E14539">
        <v>2021</v>
      </c>
      <c r="F14539">
        <v>26</v>
      </c>
      <c r="G14539">
        <v>12248</v>
      </c>
      <c r="H14539" s="1" t="s">
        <v>1827</v>
      </c>
      <c r="I14539">
        <v>0</v>
      </c>
      <c r="J14539">
        <f>IF($H14539=0,1,IF($I14539&lt;=1,2,0))</f>
        <v>2</v>
      </c>
      <c r="K14539">
        <v>9</v>
      </c>
      <c r="L14539">
        <f>IF(AND($J14539=0,$K14539=0),0,1)</f>
        <v>1</v>
      </c>
    </row>
    <row r="14540" spans="1:12" x14ac:dyDescent="0.2">
      <c r="A14540" t="s">
        <v>174</v>
      </c>
      <c r="B14540" t="s">
        <v>71</v>
      </c>
      <c r="C14540" t="s">
        <v>72</v>
      </c>
      <c r="D14540">
        <v>3998</v>
      </c>
      <c r="E14540">
        <v>2021</v>
      </c>
      <c r="F14540">
        <v>27</v>
      </c>
      <c r="G14540">
        <v>12249</v>
      </c>
      <c r="H14540" s="1" t="s">
        <v>1827</v>
      </c>
      <c r="I14540">
        <v>0</v>
      </c>
      <c r="J14540">
        <f>IF($H14540=0,1,IF($I14540&lt;=1,2,0))</f>
        <v>2</v>
      </c>
      <c r="K14540">
        <v>9</v>
      </c>
      <c r="L14540">
        <f>IF(AND($J14540=0,$K14540=0),0,1)</f>
        <v>1</v>
      </c>
    </row>
    <row r="14541" spans="1:12" x14ac:dyDescent="0.2">
      <c r="A14541" t="s">
        <v>174</v>
      </c>
      <c r="B14541" t="s">
        <v>71</v>
      </c>
      <c r="C14541" t="s">
        <v>72</v>
      </c>
      <c r="D14541">
        <v>3998</v>
      </c>
      <c r="E14541">
        <v>2021</v>
      </c>
      <c r="F14541">
        <v>31</v>
      </c>
      <c r="G14541">
        <v>12253</v>
      </c>
      <c r="H14541" s="1" t="s">
        <v>1827</v>
      </c>
      <c r="I14541">
        <v>0</v>
      </c>
      <c r="J14541">
        <f>IF($H14541=0,1,IF($I14541&lt;=1,2,0))</f>
        <v>2</v>
      </c>
      <c r="K14541">
        <v>9</v>
      </c>
      <c r="L14541">
        <f>IF(AND($J14541=0,$K14541=0),0,1)</f>
        <v>1</v>
      </c>
    </row>
    <row r="14542" spans="1:12" x14ac:dyDescent="0.2">
      <c r="A14542" t="s">
        <v>174</v>
      </c>
      <c r="B14542" t="s">
        <v>71</v>
      </c>
      <c r="C14542" t="s">
        <v>72</v>
      </c>
      <c r="D14542">
        <v>3998</v>
      </c>
      <c r="E14542">
        <v>2021</v>
      </c>
      <c r="F14542">
        <v>32</v>
      </c>
      <c r="G14542">
        <v>12254</v>
      </c>
      <c r="H14542" s="1" t="s">
        <v>1827</v>
      </c>
      <c r="I14542">
        <v>0</v>
      </c>
      <c r="J14542">
        <f>IF($H14542=0,1,IF($I14542&lt;=1,2,0))</f>
        <v>2</v>
      </c>
      <c r="K14542">
        <v>9</v>
      </c>
      <c r="L14542">
        <f>IF(AND($J14542=0,$K14542=0),0,1)</f>
        <v>1</v>
      </c>
    </row>
    <row r="14543" spans="1:12" x14ac:dyDescent="0.2">
      <c r="A14543" t="s">
        <v>174</v>
      </c>
      <c r="B14543" t="s">
        <v>71</v>
      </c>
      <c r="C14543" t="s">
        <v>72</v>
      </c>
      <c r="D14543">
        <v>3999</v>
      </c>
      <c r="E14543">
        <v>2021</v>
      </c>
      <c r="F14543">
        <v>1</v>
      </c>
      <c r="G14543">
        <v>12213</v>
      </c>
      <c r="H14543" s="1" t="s">
        <v>1837</v>
      </c>
      <c r="I14543">
        <v>0</v>
      </c>
      <c r="J14543">
        <f>IF($H14543=0,1,IF($I14543&lt;=1,2,0))</f>
        <v>2</v>
      </c>
      <c r="K14543">
        <v>9</v>
      </c>
      <c r="L14543">
        <f>IF(AND($J14543=0,$K14543=0),0,1)</f>
        <v>1</v>
      </c>
    </row>
    <row r="14544" spans="1:12" x14ac:dyDescent="0.2">
      <c r="A14544" t="s">
        <v>174</v>
      </c>
      <c r="B14544" t="s">
        <v>71</v>
      </c>
      <c r="C14544" t="s">
        <v>72</v>
      </c>
      <c r="D14544">
        <v>4999</v>
      </c>
      <c r="E14544">
        <v>2021</v>
      </c>
      <c r="F14544">
        <v>1</v>
      </c>
      <c r="G14544">
        <v>12221</v>
      </c>
      <c r="H14544" s="1" t="s">
        <v>1837</v>
      </c>
      <c r="I14544">
        <v>5</v>
      </c>
      <c r="J14544">
        <f>IF($H14544=0,1,IF($I14544&lt;=1,2,0))</f>
        <v>0</v>
      </c>
      <c r="K14544">
        <v>9</v>
      </c>
      <c r="L14544">
        <f>IF(AND($J14544=0,$K14544=0),0,1)</f>
        <v>1</v>
      </c>
    </row>
    <row r="14545" spans="1:13" x14ac:dyDescent="0.2">
      <c r="A14545" t="s">
        <v>174</v>
      </c>
      <c r="B14545" t="s">
        <v>71</v>
      </c>
      <c r="C14545" t="s">
        <v>72</v>
      </c>
      <c r="D14545">
        <v>6005</v>
      </c>
      <c r="E14545">
        <v>2021</v>
      </c>
      <c r="F14545">
        <v>1</v>
      </c>
      <c r="G14545">
        <v>17947</v>
      </c>
      <c r="H14545" s="1">
        <v>3</v>
      </c>
      <c r="I14545">
        <v>31</v>
      </c>
      <c r="J14545">
        <f>IF($H14545=0,1,IF($I14545&lt;=1,2,0))</f>
        <v>0</v>
      </c>
      <c r="K14545">
        <v>1</v>
      </c>
      <c r="L14545">
        <f>IF(AND($J14545=0,$K14545=0),0,1)</f>
        <v>1</v>
      </c>
      <c r="M14545" t="s">
        <v>2049</v>
      </c>
    </row>
    <row r="14546" spans="1:13" x14ac:dyDescent="0.2">
      <c r="A14546" t="s">
        <v>174</v>
      </c>
      <c r="B14546" t="s">
        <v>71</v>
      </c>
      <c r="C14546" t="s">
        <v>72</v>
      </c>
      <c r="D14546">
        <v>9100</v>
      </c>
      <c r="E14546">
        <v>2021</v>
      </c>
      <c r="F14546">
        <v>7</v>
      </c>
      <c r="G14546">
        <v>12261</v>
      </c>
      <c r="H14546" s="1" t="s">
        <v>1828</v>
      </c>
      <c r="I14546">
        <v>9</v>
      </c>
      <c r="J14546">
        <f>IF($H14546=0,1,IF($I14546&lt;=1,2,0))</f>
        <v>0</v>
      </c>
      <c r="K14546">
        <v>5</v>
      </c>
      <c r="L14546">
        <f>IF(AND($J14546=0,$K14546=0),0,1)</f>
        <v>1</v>
      </c>
    </row>
    <row r="14547" spans="1:13" x14ac:dyDescent="0.2">
      <c r="A14547" t="s">
        <v>174</v>
      </c>
      <c r="B14547" t="s">
        <v>71</v>
      </c>
      <c r="C14547" t="s">
        <v>72</v>
      </c>
      <c r="D14547">
        <v>9100</v>
      </c>
      <c r="E14547">
        <v>2021</v>
      </c>
      <c r="F14547">
        <v>14</v>
      </c>
      <c r="G14547">
        <v>12268</v>
      </c>
      <c r="H14547" s="1" t="s">
        <v>1828</v>
      </c>
      <c r="I14547">
        <v>9</v>
      </c>
      <c r="J14547">
        <f>IF($H14547=0,1,IF($I14547&lt;=1,2,0))</f>
        <v>0</v>
      </c>
      <c r="K14547">
        <v>5</v>
      </c>
      <c r="L14547">
        <f>IF(AND($J14547=0,$K14547=0),0,1)</f>
        <v>1</v>
      </c>
    </row>
    <row r="14548" spans="1:13" x14ac:dyDescent="0.2">
      <c r="A14548" t="s">
        <v>174</v>
      </c>
      <c r="B14548" t="s">
        <v>71</v>
      </c>
      <c r="C14548" t="s">
        <v>72</v>
      </c>
      <c r="D14548">
        <v>9100</v>
      </c>
      <c r="E14548">
        <v>2021</v>
      </c>
      <c r="F14548">
        <v>25</v>
      </c>
      <c r="G14548">
        <v>12279</v>
      </c>
      <c r="H14548" s="1" t="s">
        <v>1828</v>
      </c>
      <c r="I14548">
        <v>5</v>
      </c>
      <c r="J14548">
        <f>IF($H14548=0,1,IF($I14548&lt;=1,2,0))</f>
        <v>0</v>
      </c>
      <c r="K14548">
        <v>5</v>
      </c>
      <c r="L14548">
        <f>IF(AND($J14548=0,$K14548=0),0,1)</f>
        <v>1</v>
      </c>
    </row>
    <row r="14549" spans="1:13" x14ac:dyDescent="0.2">
      <c r="A14549" t="s">
        <v>174</v>
      </c>
      <c r="B14549" t="s">
        <v>71</v>
      </c>
      <c r="C14549" t="s">
        <v>72</v>
      </c>
      <c r="D14549">
        <v>9100</v>
      </c>
      <c r="E14549">
        <v>2021</v>
      </c>
      <c r="F14549">
        <v>29</v>
      </c>
      <c r="G14549">
        <v>12283</v>
      </c>
      <c r="H14549" s="1" t="s">
        <v>1828</v>
      </c>
      <c r="I14549">
        <v>5</v>
      </c>
      <c r="J14549">
        <f>IF($H14549=0,1,IF($I14549&lt;=1,2,0))</f>
        <v>0</v>
      </c>
      <c r="K14549">
        <v>5</v>
      </c>
      <c r="L14549">
        <f>IF(AND($J14549=0,$K14549=0),0,1)</f>
        <v>1</v>
      </c>
    </row>
    <row r="14550" spans="1:13" x14ac:dyDescent="0.2">
      <c r="A14550" t="s">
        <v>174</v>
      </c>
      <c r="B14550" t="s">
        <v>71</v>
      </c>
      <c r="C14550" t="s">
        <v>72</v>
      </c>
      <c r="D14550">
        <v>9100</v>
      </c>
      <c r="E14550">
        <v>2021</v>
      </c>
      <c r="F14550">
        <v>11</v>
      </c>
      <c r="G14550">
        <v>12265</v>
      </c>
      <c r="H14550" s="1" t="s">
        <v>1828</v>
      </c>
      <c r="I14550">
        <v>4</v>
      </c>
      <c r="J14550">
        <f>IF($H14550=0,1,IF($I14550&lt;=1,2,0))</f>
        <v>0</v>
      </c>
      <c r="K14550">
        <v>5</v>
      </c>
      <c r="L14550">
        <f>IF(AND($J14550=0,$K14550=0),0,1)</f>
        <v>1</v>
      </c>
    </row>
    <row r="14551" spans="1:13" x14ac:dyDescent="0.2">
      <c r="A14551" t="s">
        <v>174</v>
      </c>
      <c r="B14551" t="s">
        <v>71</v>
      </c>
      <c r="C14551" t="s">
        <v>72</v>
      </c>
      <c r="D14551">
        <v>9100</v>
      </c>
      <c r="E14551">
        <v>2021</v>
      </c>
      <c r="F14551">
        <v>16</v>
      </c>
      <c r="G14551">
        <v>12270</v>
      </c>
      <c r="H14551" s="1" t="s">
        <v>1828</v>
      </c>
      <c r="I14551">
        <v>4</v>
      </c>
      <c r="J14551">
        <f>IF($H14551=0,1,IF($I14551&lt;=1,2,0))</f>
        <v>0</v>
      </c>
      <c r="K14551">
        <v>5</v>
      </c>
      <c r="L14551">
        <f>IF(AND($J14551=0,$K14551=0),0,1)</f>
        <v>1</v>
      </c>
    </row>
    <row r="14552" spans="1:13" x14ac:dyDescent="0.2">
      <c r="A14552" t="s">
        <v>174</v>
      </c>
      <c r="B14552" t="s">
        <v>71</v>
      </c>
      <c r="C14552" t="s">
        <v>72</v>
      </c>
      <c r="D14552">
        <v>9100</v>
      </c>
      <c r="E14552">
        <v>2021</v>
      </c>
      <c r="F14552">
        <v>20</v>
      </c>
      <c r="G14552">
        <v>12274</v>
      </c>
      <c r="H14552" s="1" t="s">
        <v>1828</v>
      </c>
      <c r="I14552">
        <v>3</v>
      </c>
      <c r="J14552">
        <f>IF($H14552=0,1,IF($I14552&lt;=1,2,0))</f>
        <v>0</v>
      </c>
      <c r="K14552">
        <v>5</v>
      </c>
      <c r="L14552">
        <f>IF(AND($J14552=0,$K14552=0),0,1)</f>
        <v>1</v>
      </c>
    </row>
    <row r="14553" spans="1:13" x14ac:dyDescent="0.2">
      <c r="A14553" t="s">
        <v>174</v>
      </c>
      <c r="B14553" t="s">
        <v>71</v>
      </c>
      <c r="C14553" t="s">
        <v>72</v>
      </c>
      <c r="D14553">
        <v>9100</v>
      </c>
      <c r="E14553">
        <v>2021</v>
      </c>
      <c r="F14553">
        <v>2</v>
      </c>
      <c r="G14553">
        <v>12257</v>
      </c>
      <c r="H14553" s="1" t="s">
        <v>1828</v>
      </c>
      <c r="I14553">
        <v>2</v>
      </c>
      <c r="J14553">
        <f>IF($H14553=0,1,IF($I14553&lt;=1,2,0))</f>
        <v>0</v>
      </c>
      <c r="K14553">
        <v>5</v>
      </c>
      <c r="L14553">
        <f>IF(AND($J14553=0,$K14553=0),0,1)</f>
        <v>1</v>
      </c>
    </row>
    <row r="14554" spans="1:13" x14ac:dyDescent="0.2">
      <c r="A14554" t="s">
        <v>174</v>
      </c>
      <c r="B14554" t="s">
        <v>71</v>
      </c>
      <c r="C14554" t="s">
        <v>72</v>
      </c>
      <c r="D14554">
        <v>9100</v>
      </c>
      <c r="E14554">
        <v>2021</v>
      </c>
      <c r="F14554">
        <v>10</v>
      </c>
      <c r="G14554">
        <v>12264</v>
      </c>
      <c r="H14554" s="1" t="s">
        <v>1828</v>
      </c>
      <c r="I14554">
        <v>2</v>
      </c>
      <c r="J14554">
        <f>IF($H14554=0,1,IF($I14554&lt;=1,2,0))</f>
        <v>0</v>
      </c>
      <c r="K14554">
        <v>5</v>
      </c>
      <c r="L14554">
        <f>IF(AND($J14554=0,$K14554=0),0,1)</f>
        <v>1</v>
      </c>
    </row>
    <row r="14555" spans="1:13" x14ac:dyDescent="0.2">
      <c r="A14555" t="s">
        <v>174</v>
      </c>
      <c r="B14555" t="s">
        <v>71</v>
      </c>
      <c r="C14555" t="s">
        <v>72</v>
      </c>
      <c r="D14555">
        <v>9100</v>
      </c>
      <c r="E14555">
        <v>2021</v>
      </c>
      <c r="F14555">
        <v>17</v>
      </c>
      <c r="G14555">
        <v>12271</v>
      </c>
      <c r="H14555" s="1" t="s">
        <v>1828</v>
      </c>
      <c r="I14555">
        <v>2</v>
      </c>
      <c r="J14555">
        <f>IF($H14555=0,1,IF($I14555&lt;=1,2,0))</f>
        <v>0</v>
      </c>
      <c r="K14555">
        <v>5</v>
      </c>
      <c r="L14555">
        <f>IF(AND($J14555=0,$K14555=0),0,1)</f>
        <v>1</v>
      </c>
    </row>
    <row r="14556" spans="1:13" x14ac:dyDescent="0.2">
      <c r="A14556" t="s">
        <v>174</v>
      </c>
      <c r="B14556" t="s">
        <v>71</v>
      </c>
      <c r="C14556" t="s">
        <v>72</v>
      </c>
      <c r="D14556">
        <v>9100</v>
      </c>
      <c r="E14556">
        <v>2021</v>
      </c>
      <c r="F14556">
        <v>28</v>
      </c>
      <c r="G14556">
        <v>12282</v>
      </c>
      <c r="H14556" s="1" t="s">
        <v>1828</v>
      </c>
      <c r="I14556">
        <v>2</v>
      </c>
      <c r="J14556">
        <f>IF($H14556=0,1,IF($I14556&lt;=1,2,0))</f>
        <v>0</v>
      </c>
      <c r="K14556">
        <v>5</v>
      </c>
      <c r="L14556">
        <f>IF(AND($J14556=0,$K14556=0),0,1)</f>
        <v>1</v>
      </c>
    </row>
    <row r="14557" spans="1:13" x14ac:dyDescent="0.2">
      <c r="A14557" t="s">
        <v>174</v>
      </c>
      <c r="B14557" t="s">
        <v>71</v>
      </c>
      <c r="C14557" t="s">
        <v>72</v>
      </c>
      <c r="D14557">
        <v>9100</v>
      </c>
      <c r="E14557">
        <v>2021</v>
      </c>
      <c r="F14557">
        <v>35</v>
      </c>
      <c r="G14557">
        <v>12287</v>
      </c>
      <c r="H14557" s="1" t="s">
        <v>1828</v>
      </c>
      <c r="I14557">
        <v>2</v>
      </c>
      <c r="J14557">
        <f>IF($H14557=0,1,IF($I14557&lt;=1,2,0))</f>
        <v>0</v>
      </c>
      <c r="K14557">
        <v>5</v>
      </c>
      <c r="L14557">
        <f>IF(AND($J14557=0,$K14557=0),0,1)</f>
        <v>1</v>
      </c>
    </row>
    <row r="14558" spans="1:13" x14ac:dyDescent="0.2">
      <c r="A14558" t="s">
        <v>174</v>
      </c>
      <c r="B14558" t="s">
        <v>71</v>
      </c>
      <c r="C14558" t="s">
        <v>72</v>
      </c>
      <c r="D14558">
        <v>9100</v>
      </c>
      <c r="E14558">
        <v>2021</v>
      </c>
      <c r="F14558">
        <v>1</v>
      </c>
      <c r="G14558">
        <v>12256</v>
      </c>
      <c r="H14558" s="1" t="s">
        <v>1828</v>
      </c>
      <c r="I14558">
        <v>1</v>
      </c>
      <c r="J14558">
        <f>IF($H14558=0,1,IF($I14558&lt;=1,2,0))</f>
        <v>2</v>
      </c>
      <c r="K14558">
        <v>5</v>
      </c>
      <c r="L14558">
        <f>IF(AND($J14558=0,$K14558=0),0,1)</f>
        <v>1</v>
      </c>
    </row>
    <row r="14559" spans="1:13" x14ac:dyDescent="0.2">
      <c r="A14559" t="s">
        <v>174</v>
      </c>
      <c r="B14559" t="s">
        <v>71</v>
      </c>
      <c r="C14559" t="s">
        <v>72</v>
      </c>
      <c r="D14559">
        <v>9100</v>
      </c>
      <c r="E14559">
        <v>2021</v>
      </c>
      <c r="F14559">
        <v>3</v>
      </c>
      <c r="G14559">
        <v>12258</v>
      </c>
      <c r="H14559" s="1" t="s">
        <v>1828</v>
      </c>
      <c r="I14559">
        <v>1</v>
      </c>
      <c r="J14559">
        <f>IF($H14559=0,1,IF($I14559&lt;=1,2,0))</f>
        <v>2</v>
      </c>
      <c r="K14559">
        <v>5</v>
      </c>
      <c r="L14559">
        <f>IF(AND($J14559=0,$K14559=0),0,1)</f>
        <v>1</v>
      </c>
    </row>
    <row r="14560" spans="1:13" x14ac:dyDescent="0.2">
      <c r="A14560" t="s">
        <v>174</v>
      </c>
      <c r="B14560" t="s">
        <v>71</v>
      </c>
      <c r="C14560" t="s">
        <v>72</v>
      </c>
      <c r="D14560">
        <v>9100</v>
      </c>
      <c r="E14560">
        <v>2021</v>
      </c>
      <c r="F14560">
        <v>4</v>
      </c>
      <c r="G14560">
        <v>12259</v>
      </c>
      <c r="H14560" s="1" t="s">
        <v>1828</v>
      </c>
      <c r="I14560">
        <v>1</v>
      </c>
      <c r="J14560">
        <f>IF($H14560=0,1,IF($I14560&lt;=1,2,0))</f>
        <v>2</v>
      </c>
      <c r="K14560">
        <v>5</v>
      </c>
      <c r="L14560">
        <f>IF(AND($J14560=0,$K14560=0),0,1)</f>
        <v>1</v>
      </c>
    </row>
    <row r="14561" spans="1:12" x14ac:dyDescent="0.2">
      <c r="A14561" t="s">
        <v>174</v>
      </c>
      <c r="B14561" t="s">
        <v>71</v>
      </c>
      <c r="C14561" t="s">
        <v>72</v>
      </c>
      <c r="D14561">
        <v>9100</v>
      </c>
      <c r="E14561">
        <v>2021</v>
      </c>
      <c r="F14561">
        <v>9</v>
      </c>
      <c r="G14561">
        <v>12263</v>
      </c>
      <c r="H14561" s="1" t="s">
        <v>1828</v>
      </c>
      <c r="I14561">
        <v>1</v>
      </c>
      <c r="J14561">
        <f>IF($H14561=0,1,IF($I14561&lt;=1,2,0))</f>
        <v>2</v>
      </c>
      <c r="K14561">
        <v>5</v>
      </c>
      <c r="L14561">
        <f>IF(AND($J14561=0,$K14561=0),0,1)</f>
        <v>1</v>
      </c>
    </row>
    <row r="14562" spans="1:12" x14ac:dyDescent="0.2">
      <c r="A14562" t="s">
        <v>174</v>
      </c>
      <c r="B14562" t="s">
        <v>71</v>
      </c>
      <c r="C14562" t="s">
        <v>72</v>
      </c>
      <c r="D14562">
        <v>9100</v>
      </c>
      <c r="E14562">
        <v>2021</v>
      </c>
      <c r="F14562">
        <v>22</v>
      </c>
      <c r="G14562">
        <v>12276</v>
      </c>
      <c r="H14562" s="1" t="s">
        <v>1828</v>
      </c>
      <c r="I14562">
        <v>1</v>
      </c>
      <c r="J14562">
        <f>IF($H14562=0,1,IF($I14562&lt;=1,2,0))</f>
        <v>2</v>
      </c>
      <c r="K14562">
        <v>5</v>
      </c>
      <c r="L14562">
        <f>IF(AND($J14562=0,$K14562=0),0,1)</f>
        <v>1</v>
      </c>
    </row>
    <row r="14563" spans="1:12" x14ac:dyDescent="0.2">
      <c r="A14563" t="s">
        <v>174</v>
      </c>
      <c r="B14563" t="s">
        <v>71</v>
      </c>
      <c r="C14563" t="s">
        <v>72</v>
      </c>
      <c r="D14563">
        <v>9100</v>
      </c>
      <c r="E14563">
        <v>2021</v>
      </c>
      <c r="F14563">
        <v>31</v>
      </c>
      <c r="G14563">
        <v>12285</v>
      </c>
      <c r="H14563" s="1" t="s">
        <v>1828</v>
      </c>
      <c r="I14563">
        <v>1</v>
      </c>
      <c r="J14563">
        <f>IF($H14563=0,1,IF($I14563&lt;=1,2,0))</f>
        <v>2</v>
      </c>
      <c r="K14563">
        <v>5</v>
      </c>
      <c r="L14563">
        <f>IF(AND($J14563=0,$K14563=0),0,1)</f>
        <v>1</v>
      </c>
    </row>
    <row r="14564" spans="1:12" x14ac:dyDescent="0.2">
      <c r="A14564" t="s">
        <v>174</v>
      </c>
      <c r="B14564" t="s">
        <v>71</v>
      </c>
      <c r="C14564" t="s">
        <v>72</v>
      </c>
      <c r="D14564">
        <v>9100</v>
      </c>
      <c r="E14564">
        <v>2021</v>
      </c>
      <c r="F14564">
        <v>36</v>
      </c>
      <c r="G14564">
        <v>17890</v>
      </c>
      <c r="H14564" s="1" t="s">
        <v>1828</v>
      </c>
      <c r="I14564">
        <v>1</v>
      </c>
      <c r="J14564">
        <f>IF($H14564=0,1,IF($I14564&lt;=1,2,0))</f>
        <v>2</v>
      </c>
      <c r="K14564">
        <v>5</v>
      </c>
      <c r="L14564">
        <f>IF(AND($J14564=0,$K14564=0),0,1)</f>
        <v>1</v>
      </c>
    </row>
    <row r="14565" spans="1:12" x14ac:dyDescent="0.2">
      <c r="A14565" t="s">
        <v>174</v>
      </c>
      <c r="B14565" t="s">
        <v>71</v>
      </c>
      <c r="C14565" t="s">
        <v>72</v>
      </c>
      <c r="D14565">
        <v>9100</v>
      </c>
      <c r="E14565">
        <v>2021</v>
      </c>
      <c r="F14565">
        <v>6</v>
      </c>
      <c r="G14565">
        <v>12260</v>
      </c>
      <c r="H14565" s="1" t="s">
        <v>1828</v>
      </c>
      <c r="I14565">
        <v>0</v>
      </c>
      <c r="J14565">
        <f>IF($H14565=0,1,IF($I14565&lt;=1,2,0))</f>
        <v>2</v>
      </c>
      <c r="K14565">
        <v>5</v>
      </c>
      <c r="L14565">
        <f>IF(AND($J14565=0,$K14565=0),0,1)</f>
        <v>1</v>
      </c>
    </row>
    <row r="14566" spans="1:12" x14ac:dyDescent="0.2">
      <c r="A14566" t="s">
        <v>174</v>
      </c>
      <c r="B14566" t="s">
        <v>71</v>
      </c>
      <c r="C14566" t="s">
        <v>72</v>
      </c>
      <c r="D14566">
        <v>9100</v>
      </c>
      <c r="E14566">
        <v>2021</v>
      </c>
      <c r="F14566">
        <v>8</v>
      </c>
      <c r="G14566">
        <v>12262</v>
      </c>
      <c r="H14566" s="1" t="s">
        <v>1828</v>
      </c>
      <c r="I14566">
        <v>0</v>
      </c>
      <c r="J14566">
        <f>IF($H14566=0,1,IF($I14566&lt;=1,2,0))</f>
        <v>2</v>
      </c>
      <c r="K14566">
        <v>5</v>
      </c>
      <c r="L14566">
        <f>IF(AND($J14566=0,$K14566=0),0,1)</f>
        <v>1</v>
      </c>
    </row>
    <row r="14567" spans="1:12" x14ac:dyDescent="0.2">
      <c r="A14567" t="s">
        <v>174</v>
      </c>
      <c r="B14567" t="s">
        <v>71</v>
      </c>
      <c r="C14567" t="s">
        <v>72</v>
      </c>
      <c r="D14567">
        <v>9100</v>
      </c>
      <c r="E14567">
        <v>2021</v>
      </c>
      <c r="F14567">
        <v>12</v>
      </c>
      <c r="G14567">
        <v>12266</v>
      </c>
      <c r="H14567" s="1" t="s">
        <v>1828</v>
      </c>
      <c r="I14567">
        <v>0</v>
      </c>
      <c r="J14567">
        <f>IF($H14567=0,1,IF($I14567&lt;=1,2,0))</f>
        <v>2</v>
      </c>
      <c r="K14567">
        <v>5</v>
      </c>
      <c r="L14567">
        <f>IF(AND($J14567=0,$K14567=0),0,1)</f>
        <v>1</v>
      </c>
    </row>
    <row r="14568" spans="1:12" x14ac:dyDescent="0.2">
      <c r="A14568" t="s">
        <v>174</v>
      </c>
      <c r="B14568" t="s">
        <v>71</v>
      </c>
      <c r="C14568" t="s">
        <v>72</v>
      </c>
      <c r="D14568">
        <v>9100</v>
      </c>
      <c r="E14568">
        <v>2021</v>
      </c>
      <c r="F14568">
        <v>13</v>
      </c>
      <c r="G14568">
        <v>12267</v>
      </c>
      <c r="H14568" s="1" t="s">
        <v>1828</v>
      </c>
      <c r="I14568">
        <v>0</v>
      </c>
      <c r="J14568">
        <f>IF($H14568=0,1,IF($I14568&lt;=1,2,0))</f>
        <v>2</v>
      </c>
      <c r="K14568">
        <v>5</v>
      </c>
      <c r="L14568">
        <f>IF(AND($J14568=0,$K14568=0),0,1)</f>
        <v>1</v>
      </c>
    </row>
    <row r="14569" spans="1:12" x14ac:dyDescent="0.2">
      <c r="A14569" t="s">
        <v>174</v>
      </c>
      <c r="B14569" t="s">
        <v>71</v>
      </c>
      <c r="C14569" t="s">
        <v>72</v>
      </c>
      <c r="D14569">
        <v>9100</v>
      </c>
      <c r="E14569">
        <v>2021</v>
      </c>
      <c r="F14569">
        <v>15</v>
      </c>
      <c r="G14569">
        <v>12269</v>
      </c>
      <c r="H14569" s="1" t="s">
        <v>1828</v>
      </c>
      <c r="I14569">
        <v>0</v>
      </c>
      <c r="J14569">
        <f>IF($H14569=0,1,IF($I14569&lt;=1,2,0))</f>
        <v>2</v>
      </c>
      <c r="K14569">
        <v>5</v>
      </c>
      <c r="L14569">
        <f>IF(AND($J14569=0,$K14569=0),0,1)</f>
        <v>1</v>
      </c>
    </row>
    <row r="14570" spans="1:12" x14ac:dyDescent="0.2">
      <c r="A14570" t="s">
        <v>174</v>
      </c>
      <c r="B14570" t="s">
        <v>71</v>
      </c>
      <c r="C14570" t="s">
        <v>72</v>
      </c>
      <c r="D14570">
        <v>9100</v>
      </c>
      <c r="E14570">
        <v>2021</v>
      </c>
      <c r="F14570">
        <v>18</v>
      </c>
      <c r="G14570">
        <v>12272</v>
      </c>
      <c r="H14570" s="1" t="s">
        <v>1828</v>
      </c>
      <c r="I14570">
        <v>0</v>
      </c>
      <c r="J14570">
        <f>IF($H14570=0,1,IF($I14570&lt;=1,2,0))</f>
        <v>2</v>
      </c>
      <c r="K14570">
        <v>5</v>
      </c>
      <c r="L14570">
        <f>IF(AND($J14570=0,$K14570=0),0,1)</f>
        <v>1</v>
      </c>
    </row>
    <row r="14571" spans="1:12" x14ac:dyDescent="0.2">
      <c r="A14571" t="s">
        <v>174</v>
      </c>
      <c r="B14571" t="s">
        <v>71</v>
      </c>
      <c r="C14571" t="s">
        <v>72</v>
      </c>
      <c r="D14571">
        <v>9100</v>
      </c>
      <c r="E14571">
        <v>2021</v>
      </c>
      <c r="F14571">
        <v>19</v>
      </c>
      <c r="G14571">
        <v>12273</v>
      </c>
      <c r="H14571" s="1" t="s">
        <v>1828</v>
      </c>
      <c r="I14571">
        <v>0</v>
      </c>
      <c r="J14571">
        <f>IF($H14571=0,1,IF($I14571&lt;=1,2,0))</f>
        <v>2</v>
      </c>
      <c r="K14571">
        <v>5</v>
      </c>
      <c r="L14571">
        <f>IF(AND($J14571=0,$K14571=0),0,1)</f>
        <v>1</v>
      </c>
    </row>
    <row r="14572" spans="1:12" x14ac:dyDescent="0.2">
      <c r="A14572" t="s">
        <v>174</v>
      </c>
      <c r="B14572" t="s">
        <v>71</v>
      </c>
      <c r="C14572" t="s">
        <v>72</v>
      </c>
      <c r="D14572">
        <v>9100</v>
      </c>
      <c r="E14572">
        <v>2021</v>
      </c>
      <c r="F14572">
        <v>23</v>
      </c>
      <c r="G14572">
        <v>12277</v>
      </c>
      <c r="H14572" s="1" t="s">
        <v>1828</v>
      </c>
      <c r="I14572">
        <v>0</v>
      </c>
      <c r="J14572">
        <f>IF($H14572=0,1,IF($I14572&lt;=1,2,0))</f>
        <v>2</v>
      </c>
      <c r="K14572">
        <v>5</v>
      </c>
      <c r="L14572">
        <f>IF(AND($J14572=0,$K14572=0),0,1)</f>
        <v>1</v>
      </c>
    </row>
    <row r="14573" spans="1:12" x14ac:dyDescent="0.2">
      <c r="A14573" t="s">
        <v>174</v>
      </c>
      <c r="B14573" t="s">
        <v>71</v>
      </c>
      <c r="C14573" t="s">
        <v>72</v>
      </c>
      <c r="D14573">
        <v>9100</v>
      </c>
      <c r="E14573">
        <v>2021</v>
      </c>
      <c r="F14573">
        <v>24</v>
      </c>
      <c r="G14573">
        <v>12278</v>
      </c>
      <c r="H14573" s="1" t="s">
        <v>1828</v>
      </c>
      <c r="I14573">
        <v>0</v>
      </c>
      <c r="J14573">
        <f>IF($H14573=0,1,IF($I14573&lt;=1,2,0))</f>
        <v>2</v>
      </c>
      <c r="K14573">
        <v>5</v>
      </c>
      <c r="L14573">
        <f>IF(AND($J14573=0,$K14573=0),0,1)</f>
        <v>1</v>
      </c>
    </row>
    <row r="14574" spans="1:12" x14ac:dyDescent="0.2">
      <c r="A14574" t="s">
        <v>174</v>
      </c>
      <c r="B14574" t="s">
        <v>71</v>
      </c>
      <c r="C14574" t="s">
        <v>72</v>
      </c>
      <c r="D14574">
        <v>9100</v>
      </c>
      <c r="E14574">
        <v>2021</v>
      </c>
      <c r="F14574">
        <v>26</v>
      </c>
      <c r="G14574">
        <v>12280</v>
      </c>
      <c r="H14574" s="1" t="s">
        <v>1828</v>
      </c>
      <c r="I14574">
        <v>0</v>
      </c>
      <c r="J14574">
        <f>IF($H14574=0,1,IF($I14574&lt;=1,2,0))</f>
        <v>2</v>
      </c>
      <c r="K14574">
        <v>5</v>
      </c>
      <c r="L14574">
        <f>IF(AND($J14574=0,$K14574=0),0,1)</f>
        <v>1</v>
      </c>
    </row>
    <row r="14575" spans="1:12" x14ac:dyDescent="0.2">
      <c r="A14575" t="s">
        <v>174</v>
      </c>
      <c r="B14575" t="s">
        <v>71</v>
      </c>
      <c r="C14575" t="s">
        <v>72</v>
      </c>
      <c r="D14575">
        <v>9100</v>
      </c>
      <c r="E14575">
        <v>2021</v>
      </c>
      <c r="F14575">
        <v>27</v>
      </c>
      <c r="G14575">
        <v>12281</v>
      </c>
      <c r="H14575" s="1" t="s">
        <v>1828</v>
      </c>
      <c r="I14575">
        <v>0</v>
      </c>
      <c r="J14575">
        <f>IF($H14575=0,1,IF($I14575&lt;=1,2,0))</f>
        <v>2</v>
      </c>
      <c r="K14575">
        <v>5</v>
      </c>
      <c r="L14575">
        <f>IF(AND($J14575=0,$K14575=0),0,1)</f>
        <v>1</v>
      </c>
    </row>
    <row r="14576" spans="1:12" x14ac:dyDescent="0.2">
      <c r="A14576" t="s">
        <v>174</v>
      </c>
      <c r="B14576" t="s">
        <v>71</v>
      </c>
      <c r="C14576" t="s">
        <v>72</v>
      </c>
      <c r="D14576">
        <v>9100</v>
      </c>
      <c r="E14576">
        <v>2021</v>
      </c>
      <c r="F14576">
        <v>30</v>
      </c>
      <c r="G14576">
        <v>12284</v>
      </c>
      <c r="H14576" s="1" t="s">
        <v>1828</v>
      </c>
      <c r="I14576">
        <v>0</v>
      </c>
      <c r="J14576">
        <f>IF($H14576=0,1,IF($I14576&lt;=1,2,0))</f>
        <v>2</v>
      </c>
      <c r="K14576">
        <v>5</v>
      </c>
      <c r="L14576">
        <f>IF(AND($J14576=0,$K14576=0),0,1)</f>
        <v>1</v>
      </c>
    </row>
    <row r="14577" spans="1:12" x14ac:dyDescent="0.2">
      <c r="A14577" t="s">
        <v>174</v>
      </c>
      <c r="B14577" t="s">
        <v>71</v>
      </c>
      <c r="C14577" t="s">
        <v>72</v>
      </c>
      <c r="D14577">
        <v>9100</v>
      </c>
      <c r="E14577">
        <v>2021</v>
      </c>
      <c r="F14577">
        <v>32</v>
      </c>
      <c r="G14577">
        <v>12286</v>
      </c>
      <c r="H14577" s="1" t="s">
        <v>1828</v>
      </c>
      <c r="I14577">
        <v>0</v>
      </c>
      <c r="J14577">
        <f>IF($H14577=0,1,IF($I14577&lt;=1,2,0))</f>
        <v>2</v>
      </c>
      <c r="K14577">
        <v>5</v>
      </c>
      <c r="L14577">
        <f>IF(AND($J14577=0,$K14577=0),0,1)</f>
        <v>1</v>
      </c>
    </row>
    <row r="14578" spans="1:12" x14ac:dyDescent="0.2">
      <c r="A14578" t="s">
        <v>174</v>
      </c>
      <c r="B14578" t="s">
        <v>71</v>
      </c>
      <c r="C14578" t="s">
        <v>72</v>
      </c>
      <c r="D14578">
        <v>9500</v>
      </c>
      <c r="E14578">
        <v>2021</v>
      </c>
      <c r="F14578">
        <v>6</v>
      </c>
      <c r="G14578">
        <v>12292</v>
      </c>
      <c r="H14578" s="1" t="s">
        <v>1828</v>
      </c>
      <c r="I14578">
        <v>6</v>
      </c>
      <c r="J14578">
        <f>IF($H14578=0,1,IF($I14578&lt;=1,2,0))</f>
        <v>0</v>
      </c>
      <c r="K14578">
        <v>5</v>
      </c>
      <c r="L14578">
        <f>IF(AND($J14578=0,$K14578=0),0,1)</f>
        <v>1</v>
      </c>
    </row>
    <row r="14579" spans="1:12" x14ac:dyDescent="0.2">
      <c r="A14579" t="s">
        <v>174</v>
      </c>
      <c r="B14579" t="s">
        <v>71</v>
      </c>
      <c r="C14579" t="s">
        <v>72</v>
      </c>
      <c r="D14579">
        <v>9500</v>
      </c>
      <c r="E14579">
        <v>2021</v>
      </c>
      <c r="F14579">
        <v>12</v>
      </c>
      <c r="G14579">
        <v>12298</v>
      </c>
      <c r="H14579" s="1" t="s">
        <v>1828</v>
      </c>
      <c r="I14579">
        <v>6</v>
      </c>
      <c r="J14579">
        <f>IF($H14579=0,1,IF($I14579&lt;=1,2,0))</f>
        <v>0</v>
      </c>
      <c r="K14579">
        <v>5</v>
      </c>
      <c r="L14579">
        <f>IF(AND($J14579=0,$K14579=0),0,1)</f>
        <v>1</v>
      </c>
    </row>
    <row r="14580" spans="1:12" x14ac:dyDescent="0.2">
      <c r="A14580" t="s">
        <v>174</v>
      </c>
      <c r="B14580" t="s">
        <v>71</v>
      </c>
      <c r="C14580" t="s">
        <v>72</v>
      </c>
      <c r="D14580">
        <v>9500</v>
      </c>
      <c r="E14580">
        <v>2021</v>
      </c>
      <c r="F14580">
        <v>16</v>
      </c>
      <c r="G14580">
        <v>12302</v>
      </c>
      <c r="H14580" s="1" t="s">
        <v>1828</v>
      </c>
      <c r="I14580">
        <v>6</v>
      </c>
      <c r="J14580">
        <f>IF($H14580=0,1,IF($I14580&lt;=1,2,0))</f>
        <v>0</v>
      </c>
      <c r="K14580">
        <v>5</v>
      </c>
      <c r="L14580">
        <f>IF(AND($J14580=0,$K14580=0),0,1)</f>
        <v>1</v>
      </c>
    </row>
    <row r="14581" spans="1:12" x14ac:dyDescent="0.2">
      <c r="A14581" t="s">
        <v>174</v>
      </c>
      <c r="B14581" t="s">
        <v>71</v>
      </c>
      <c r="C14581" t="s">
        <v>72</v>
      </c>
      <c r="D14581">
        <v>9500</v>
      </c>
      <c r="E14581">
        <v>2021</v>
      </c>
      <c r="F14581">
        <v>28</v>
      </c>
      <c r="G14581">
        <v>12314</v>
      </c>
      <c r="H14581" s="1" t="s">
        <v>1828</v>
      </c>
      <c r="I14581">
        <v>6</v>
      </c>
      <c r="J14581">
        <f>IF($H14581=0,1,IF($I14581&lt;=1,2,0))</f>
        <v>0</v>
      </c>
      <c r="K14581">
        <v>5</v>
      </c>
      <c r="L14581">
        <f>IF(AND($J14581=0,$K14581=0),0,1)</f>
        <v>1</v>
      </c>
    </row>
    <row r="14582" spans="1:12" x14ac:dyDescent="0.2">
      <c r="A14582" t="s">
        <v>174</v>
      </c>
      <c r="B14582" t="s">
        <v>71</v>
      </c>
      <c r="C14582" t="s">
        <v>72</v>
      </c>
      <c r="D14582">
        <v>9500</v>
      </c>
      <c r="E14582">
        <v>2021</v>
      </c>
      <c r="F14582">
        <v>7</v>
      </c>
      <c r="G14582">
        <v>12293</v>
      </c>
      <c r="H14582" s="1" t="s">
        <v>1828</v>
      </c>
      <c r="I14582">
        <v>5</v>
      </c>
      <c r="J14582">
        <f>IF($H14582=0,1,IF($I14582&lt;=1,2,0))</f>
        <v>0</v>
      </c>
      <c r="K14582">
        <v>5</v>
      </c>
      <c r="L14582">
        <f>IF(AND($J14582=0,$K14582=0),0,1)</f>
        <v>1</v>
      </c>
    </row>
    <row r="14583" spans="1:12" x14ac:dyDescent="0.2">
      <c r="A14583" t="s">
        <v>174</v>
      </c>
      <c r="B14583" t="s">
        <v>71</v>
      </c>
      <c r="C14583" t="s">
        <v>72</v>
      </c>
      <c r="D14583">
        <v>9500</v>
      </c>
      <c r="E14583">
        <v>2021</v>
      </c>
      <c r="F14583">
        <v>22</v>
      </c>
      <c r="G14583">
        <v>12308</v>
      </c>
      <c r="H14583" s="1" t="s">
        <v>1828</v>
      </c>
      <c r="I14583">
        <v>5</v>
      </c>
      <c r="J14583">
        <f>IF($H14583=0,1,IF($I14583&lt;=1,2,0))</f>
        <v>0</v>
      </c>
      <c r="K14583">
        <v>5</v>
      </c>
      <c r="L14583">
        <f>IF(AND($J14583=0,$K14583=0),0,1)</f>
        <v>1</v>
      </c>
    </row>
    <row r="14584" spans="1:12" x14ac:dyDescent="0.2">
      <c r="A14584" t="s">
        <v>174</v>
      </c>
      <c r="B14584" t="s">
        <v>71</v>
      </c>
      <c r="C14584" t="s">
        <v>72</v>
      </c>
      <c r="D14584">
        <v>9500</v>
      </c>
      <c r="E14584">
        <v>2021</v>
      </c>
      <c r="F14584">
        <v>25</v>
      </c>
      <c r="G14584">
        <v>12311</v>
      </c>
      <c r="H14584" s="1" t="s">
        <v>1828</v>
      </c>
      <c r="I14584">
        <v>5</v>
      </c>
      <c r="J14584">
        <f>IF($H14584=0,1,IF($I14584&lt;=1,2,0))</f>
        <v>0</v>
      </c>
      <c r="K14584">
        <v>5</v>
      </c>
      <c r="L14584">
        <f>IF(AND($J14584=0,$K14584=0),0,1)</f>
        <v>1</v>
      </c>
    </row>
    <row r="14585" spans="1:12" x14ac:dyDescent="0.2">
      <c r="A14585" t="s">
        <v>174</v>
      </c>
      <c r="B14585" t="s">
        <v>71</v>
      </c>
      <c r="C14585" t="s">
        <v>72</v>
      </c>
      <c r="D14585">
        <v>9500</v>
      </c>
      <c r="E14585">
        <v>2021</v>
      </c>
      <c r="F14585">
        <v>2</v>
      </c>
      <c r="G14585">
        <v>12289</v>
      </c>
      <c r="H14585" s="1" t="s">
        <v>1828</v>
      </c>
      <c r="I14585">
        <v>4</v>
      </c>
      <c r="J14585">
        <f>IF($H14585=0,1,IF($I14585&lt;=1,2,0))</f>
        <v>0</v>
      </c>
      <c r="K14585">
        <v>5</v>
      </c>
      <c r="L14585">
        <f>IF(AND($J14585=0,$K14585=0),0,1)</f>
        <v>1</v>
      </c>
    </row>
    <row r="14586" spans="1:12" x14ac:dyDescent="0.2">
      <c r="A14586" t="s">
        <v>174</v>
      </c>
      <c r="B14586" t="s">
        <v>71</v>
      </c>
      <c r="C14586" t="s">
        <v>72</v>
      </c>
      <c r="D14586">
        <v>9500</v>
      </c>
      <c r="E14586">
        <v>2021</v>
      </c>
      <c r="F14586">
        <v>14</v>
      </c>
      <c r="G14586">
        <v>12300</v>
      </c>
      <c r="H14586" s="1" t="s">
        <v>1828</v>
      </c>
      <c r="I14586">
        <v>4</v>
      </c>
      <c r="J14586">
        <f>IF($H14586=0,1,IF($I14586&lt;=1,2,0))</f>
        <v>0</v>
      </c>
      <c r="K14586">
        <v>5</v>
      </c>
      <c r="L14586">
        <f>IF(AND($J14586=0,$K14586=0),0,1)</f>
        <v>1</v>
      </c>
    </row>
    <row r="14587" spans="1:12" x14ac:dyDescent="0.2">
      <c r="A14587" t="s">
        <v>174</v>
      </c>
      <c r="B14587" t="s">
        <v>71</v>
      </c>
      <c r="C14587" t="s">
        <v>72</v>
      </c>
      <c r="D14587">
        <v>9500</v>
      </c>
      <c r="E14587">
        <v>2021</v>
      </c>
      <c r="F14587">
        <v>18</v>
      </c>
      <c r="G14587">
        <v>12304</v>
      </c>
      <c r="H14587" s="1" t="s">
        <v>1828</v>
      </c>
      <c r="I14587">
        <v>3</v>
      </c>
      <c r="J14587">
        <f>IF($H14587=0,1,IF($I14587&lt;=1,2,0))</f>
        <v>0</v>
      </c>
      <c r="K14587">
        <v>5</v>
      </c>
      <c r="L14587">
        <f>IF(AND($J14587=0,$K14587=0),0,1)</f>
        <v>1</v>
      </c>
    </row>
    <row r="14588" spans="1:12" x14ac:dyDescent="0.2">
      <c r="A14588" t="s">
        <v>174</v>
      </c>
      <c r="B14588" t="s">
        <v>71</v>
      </c>
      <c r="C14588" t="s">
        <v>72</v>
      </c>
      <c r="D14588">
        <v>9500</v>
      </c>
      <c r="E14588">
        <v>2021</v>
      </c>
      <c r="F14588">
        <v>29</v>
      </c>
      <c r="G14588">
        <v>12315</v>
      </c>
      <c r="H14588" s="1" t="s">
        <v>1828</v>
      </c>
      <c r="I14588">
        <v>3</v>
      </c>
      <c r="J14588">
        <f>IF($H14588=0,1,IF($I14588&lt;=1,2,0))</f>
        <v>0</v>
      </c>
      <c r="K14588">
        <v>5</v>
      </c>
      <c r="L14588">
        <f>IF(AND($J14588=0,$K14588=0),0,1)</f>
        <v>1</v>
      </c>
    </row>
    <row r="14589" spans="1:12" x14ac:dyDescent="0.2">
      <c r="A14589" t="s">
        <v>174</v>
      </c>
      <c r="B14589" t="s">
        <v>71</v>
      </c>
      <c r="C14589" t="s">
        <v>72</v>
      </c>
      <c r="D14589">
        <v>9500</v>
      </c>
      <c r="E14589">
        <v>2021</v>
      </c>
      <c r="F14589">
        <v>30</v>
      </c>
      <c r="G14589">
        <v>12316</v>
      </c>
      <c r="H14589" s="1" t="s">
        <v>1828</v>
      </c>
      <c r="I14589">
        <v>3</v>
      </c>
      <c r="J14589">
        <f>IF($H14589=0,1,IF($I14589&lt;=1,2,0))</f>
        <v>0</v>
      </c>
      <c r="K14589">
        <v>5</v>
      </c>
      <c r="L14589">
        <f>IF(AND($J14589=0,$K14589=0),0,1)</f>
        <v>1</v>
      </c>
    </row>
    <row r="14590" spans="1:12" x14ac:dyDescent="0.2">
      <c r="A14590" t="s">
        <v>174</v>
      </c>
      <c r="B14590" t="s">
        <v>71</v>
      </c>
      <c r="C14590" t="s">
        <v>72</v>
      </c>
      <c r="D14590">
        <v>9500</v>
      </c>
      <c r="E14590">
        <v>2021</v>
      </c>
      <c r="F14590">
        <v>1</v>
      </c>
      <c r="G14590">
        <v>12288</v>
      </c>
      <c r="H14590" s="1" t="s">
        <v>1828</v>
      </c>
      <c r="I14590">
        <v>2</v>
      </c>
      <c r="J14590">
        <f>IF($H14590=0,1,IF($I14590&lt;=1,2,0))</f>
        <v>0</v>
      </c>
      <c r="K14590">
        <v>5</v>
      </c>
      <c r="L14590">
        <f>IF(AND($J14590=0,$K14590=0),0,1)</f>
        <v>1</v>
      </c>
    </row>
    <row r="14591" spans="1:12" x14ac:dyDescent="0.2">
      <c r="A14591" t="s">
        <v>174</v>
      </c>
      <c r="B14591" t="s">
        <v>71</v>
      </c>
      <c r="C14591" t="s">
        <v>72</v>
      </c>
      <c r="D14591">
        <v>9500</v>
      </c>
      <c r="E14591">
        <v>2021</v>
      </c>
      <c r="F14591">
        <v>3</v>
      </c>
      <c r="G14591">
        <v>12290</v>
      </c>
      <c r="H14591" s="1" t="s">
        <v>1828</v>
      </c>
      <c r="I14591">
        <v>2</v>
      </c>
      <c r="J14591">
        <f>IF($H14591=0,1,IF($I14591&lt;=1,2,0))</f>
        <v>0</v>
      </c>
      <c r="K14591">
        <v>5</v>
      </c>
      <c r="L14591">
        <f>IF(AND($J14591=0,$K14591=0),0,1)</f>
        <v>1</v>
      </c>
    </row>
    <row r="14592" spans="1:12" x14ac:dyDescent="0.2">
      <c r="A14592" t="s">
        <v>174</v>
      </c>
      <c r="B14592" t="s">
        <v>71</v>
      </c>
      <c r="C14592" t="s">
        <v>72</v>
      </c>
      <c r="D14592">
        <v>9500</v>
      </c>
      <c r="E14592">
        <v>2021</v>
      </c>
      <c r="F14592">
        <v>10</v>
      </c>
      <c r="G14592">
        <v>12296</v>
      </c>
      <c r="H14592" s="1" t="s">
        <v>1828</v>
      </c>
      <c r="I14592">
        <v>2</v>
      </c>
      <c r="J14592">
        <f>IF($H14592=0,1,IF($I14592&lt;=1,2,0))</f>
        <v>0</v>
      </c>
      <c r="K14592">
        <v>5</v>
      </c>
      <c r="L14592">
        <f>IF(AND($J14592=0,$K14592=0),0,1)</f>
        <v>1</v>
      </c>
    </row>
    <row r="14593" spans="1:12" x14ac:dyDescent="0.2">
      <c r="A14593" t="s">
        <v>174</v>
      </c>
      <c r="B14593" t="s">
        <v>71</v>
      </c>
      <c r="C14593" t="s">
        <v>72</v>
      </c>
      <c r="D14593">
        <v>9500</v>
      </c>
      <c r="E14593">
        <v>2021</v>
      </c>
      <c r="F14593">
        <v>11</v>
      </c>
      <c r="G14593">
        <v>12297</v>
      </c>
      <c r="H14593" s="1" t="s">
        <v>1828</v>
      </c>
      <c r="I14593">
        <v>2</v>
      </c>
      <c r="J14593">
        <f>IF($H14593=0,1,IF($I14593&lt;=1,2,0))</f>
        <v>0</v>
      </c>
      <c r="K14593">
        <v>5</v>
      </c>
      <c r="L14593">
        <f>IF(AND($J14593=0,$K14593=0),0,1)</f>
        <v>1</v>
      </c>
    </row>
    <row r="14594" spans="1:12" x14ac:dyDescent="0.2">
      <c r="A14594" t="s">
        <v>174</v>
      </c>
      <c r="B14594" t="s">
        <v>71</v>
      </c>
      <c r="C14594" t="s">
        <v>72</v>
      </c>
      <c r="D14594">
        <v>9500</v>
      </c>
      <c r="E14594">
        <v>2021</v>
      </c>
      <c r="F14594">
        <v>17</v>
      </c>
      <c r="G14594">
        <v>12303</v>
      </c>
      <c r="H14594" s="1" t="s">
        <v>1828</v>
      </c>
      <c r="I14594">
        <v>2</v>
      </c>
      <c r="J14594">
        <f>IF($H14594=0,1,IF($I14594&lt;=1,2,0))</f>
        <v>0</v>
      </c>
      <c r="K14594">
        <v>5</v>
      </c>
      <c r="L14594">
        <f>IF(AND($J14594=0,$K14594=0),0,1)</f>
        <v>1</v>
      </c>
    </row>
    <row r="14595" spans="1:12" x14ac:dyDescent="0.2">
      <c r="A14595" t="s">
        <v>174</v>
      </c>
      <c r="B14595" t="s">
        <v>71</v>
      </c>
      <c r="C14595" t="s">
        <v>72</v>
      </c>
      <c r="D14595">
        <v>9500</v>
      </c>
      <c r="E14595">
        <v>2021</v>
      </c>
      <c r="F14595">
        <v>19</v>
      </c>
      <c r="G14595">
        <v>12305</v>
      </c>
      <c r="H14595" s="1" t="s">
        <v>1828</v>
      </c>
      <c r="I14595">
        <v>2</v>
      </c>
      <c r="J14595">
        <f>IF($H14595=0,1,IF($I14595&lt;=1,2,0))</f>
        <v>0</v>
      </c>
      <c r="K14595">
        <v>5</v>
      </c>
      <c r="L14595">
        <f>IF(AND($J14595=0,$K14595=0),0,1)</f>
        <v>1</v>
      </c>
    </row>
    <row r="14596" spans="1:12" x14ac:dyDescent="0.2">
      <c r="A14596" t="s">
        <v>174</v>
      </c>
      <c r="B14596" t="s">
        <v>71</v>
      </c>
      <c r="C14596" t="s">
        <v>72</v>
      </c>
      <c r="D14596">
        <v>9500</v>
      </c>
      <c r="E14596">
        <v>2021</v>
      </c>
      <c r="F14596">
        <v>31</v>
      </c>
      <c r="G14596">
        <v>12317</v>
      </c>
      <c r="H14596" s="1" t="s">
        <v>1828</v>
      </c>
      <c r="I14596">
        <v>2</v>
      </c>
      <c r="J14596">
        <f>IF($H14596=0,1,IF($I14596&lt;=1,2,0))</f>
        <v>0</v>
      </c>
      <c r="K14596">
        <v>5</v>
      </c>
      <c r="L14596">
        <f>IF(AND($J14596=0,$K14596=0),0,1)</f>
        <v>1</v>
      </c>
    </row>
    <row r="14597" spans="1:12" x14ac:dyDescent="0.2">
      <c r="A14597" t="s">
        <v>174</v>
      </c>
      <c r="B14597" t="s">
        <v>71</v>
      </c>
      <c r="C14597" t="s">
        <v>72</v>
      </c>
      <c r="D14597">
        <v>9500</v>
      </c>
      <c r="E14597">
        <v>2021</v>
      </c>
      <c r="F14597">
        <v>4</v>
      </c>
      <c r="G14597">
        <v>12291</v>
      </c>
      <c r="H14597" s="1" t="s">
        <v>1828</v>
      </c>
      <c r="I14597">
        <v>1</v>
      </c>
      <c r="J14597">
        <f>IF($H14597=0,1,IF($I14597&lt;=1,2,0))</f>
        <v>2</v>
      </c>
      <c r="K14597">
        <v>5</v>
      </c>
      <c r="L14597">
        <f>IF(AND($J14597=0,$K14597=0),0,1)</f>
        <v>1</v>
      </c>
    </row>
    <row r="14598" spans="1:12" x14ac:dyDescent="0.2">
      <c r="A14598" t="s">
        <v>174</v>
      </c>
      <c r="B14598" t="s">
        <v>71</v>
      </c>
      <c r="C14598" t="s">
        <v>72</v>
      </c>
      <c r="D14598">
        <v>9500</v>
      </c>
      <c r="E14598">
        <v>2021</v>
      </c>
      <c r="F14598">
        <v>20</v>
      </c>
      <c r="G14598">
        <v>12306</v>
      </c>
      <c r="H14598" s="1" t="s">
        <v>1828</v>
      </c>
      <c r="I14598">
        <v>1</v>
      </c>
      <c r="J14598">
        <f>IF($H14598=0,1,IF($I14598&lt;=1,2,0))</f>
        <v>2</v>
      </c>
      <c r="K14598">
        <v>5</v>
      </c>
      <c r="L14598">
        <f>IF(AND($J14598=0,$K14598=0),0,1)</f>
        <v>1</v>
      </c>
    </row>
    <row r="14599" spans="1:12" x14ac:dyDescent="0.2">
      <c r="A14599" t="s">
        <v>174</v>
      </c>
      <c r="B14599" t="s">
        <v>71</v>
      </c>
      <c r="C14599" t="s">
        <v>72</v>
      </c>
      <c r="D14599">
        <v>9500</v>
      </c>
      <c r="E14599">
        <v>2021</v>
      </c>
      <c r="F14599">
        <v>27</v>
      </c>
      <c r="G14599">
        <v>12313</v>
      </c>
      <c r="H14599" s="1" t="s">
        <v>1828</v>
      </c>
      <c r="I14599">
        <v>1</v>
      </c>
      <c r="J14599">
        <f>IF($H14599=0,1,IF($I14599&lt;=1,2,0))</f>
        <v>2</v>
      </c>
      <c r="K14599">
        <v>5</v>
      </c>
      <c r="L14599">
        <f>IF(AND($J14599=0,$K14599=0),0,1)</f>
        <v>1</v>
      </c>
    </row>
    <row r="14600" spans="1:12" x14ac:dyDescent="0.2">
      <c r="A14600" t="s">
        <v>174</v>
      </c>
      <c r="B14600" t="s">
        <v>71</v>
      </c>
      <c r="C14600" t="s">
        <v>72</v>
      </c>
      <c r="D14600">
        <v>9500</v>
      </c>
      <c r="E14600">
        <v>2021</v>
      </c>
      <c r="F14600">
        <v>35</v>
      </c>
      <c r="G14600">
        <v>12319</v>
      </c>
      <c r="H14600" s="1" t="s">
        <v>1828</v>
      </c>
      <c r="I14600">
        <v>1</v>
      </c>
      <c r="J14600">
        <f>IF($H14600=0,1,IF($I14600&lt;=1,2,0))</f>
        <v>2</v>
      </c>
      <c r="K14600">
        <v>5</v>
      </c>
      <c r="L14600">
        <f>IF(AND($J14600=0,$K14600=0),0,1)</f>
        <v>1</v>
      </c>
    </row>
    <row r="14601" spans="1:12" x14ac:dyDescent="0.2">
      <c r="A14601" t="s">
        <v>174</v>
      </c>
      <c r="B14601" t="s">
        <v>71</v>
      </c>
      <c r="C14601" t="s">
        <v>72</v>
      </c>
      <c r="D14601">
        <v>9500</v>
      </c>
      <c r="E14601">
        <v>2021</v>
      </c>
      <c r="F14601">
        <v>8</v>
      </c>
      <c r="G14601">
        <v>12294</v>
      </c>
      <c r="H14601" s="1" t="s">
        <v>1828</v>
      </c>
      <c r="I14601">
        <v>0</v>
      </c>
      <c r="J14601">
        <f>IF($H14601=0,1,IF($I14601&lt;=1,2,0))</f>
        <v>2</v>
      </c>
      <c r="K14601">
        <v>5</v>
      </c>
      <c r="L14601">
        <f>IF(AND($J14601=0,$K14601=0),0,1)</f>
        <v>1</v>
      </c>
    </row>
    <row r="14602" spans="1:12" x14ac:dyDescent="0.2">
      <c r="A14602" t="s">
        <v>174</v>
      </c>
      <c r="B14602" t="s">
        <v>71</v>
      </c>
      <c r="C14602" t="s">
        <v>72</v>
      </c>
      <c r="D14602">
        <v>9500</v>
      </c>
      <c r="E14602">
        <v>2021</v>
      </c>
      <c r="F14602">
        <v>9</v>
      </c>
      <c r="G14602">
        <v>12295</v>
      </c>
      <c r="H14602" s="1" t="s">
        <v>1828</v>
      </c>
      <c r="I14602">
        <v>0</v>
      </c>
      <c r="J14602">
        <f>IF($H14602=0,1,IF($I14602&lt;=1,2,0))</f>
        <v>2</v>
      </c>
      <c r="K14602">
        <v>5</v>
      </c>
      <c r="L14602">
        <f>IF(AND($J14602=0,$K14602=0),0,1)</f>
        <v>1</v>
      </c>
    </row>
    <row r="14603" spans="1:12" x14ac:dyDescent="0.2">
      <c r="A14603" t="s">
        <v>174</v>
      </c>
      <c r="B14603" t="s">
        <v>71</v>
      </c>
      <c r="C14603" t="s">
        <v>72</v>
      </c>
      <c r="D14603">
        <v>9500</v>
      </c>
      <c r="E14603">
        <v>2021</v>
      </c>
      <c r="F14603">
        <v>13</v>
      </c>
      <c r="G14603">
        <v>12299</v>
      </c>
      <c r="H14603" s="1" t="s">
        <v>1828</v>
      </c>
      <c r="I14603">
        <v>0</v>
      </c>
      <c r="J14603">
        <f>IF($H14603=0,1,IF($I14603&lt;=1,2,0))</f>
        <v>2</v>
      </c>
      <c r="K14603">
        <v>5</v>
      </c>
      <c r="L14603">
        <f>IF(AND($J14603=0,$K14603=0),0,1)</f>
        <v>1</v>
      </c>
    </row>
    <row r="14604" spans="1:12" x14ac:dyDescent="0.2">
      <c r="A14604" t="s">
        <v>174</v>
      </c>
      <c r="B14604" t="s">
        <v>71</v>
      </c>
      <c r="C14604" t="s">
        <v>72</v>
      </c>
      <c r="D14604">
        <v>9500</v>
      </c>
      <c r="E14604">
        <v>2021</v>
      </c>
      <c r="F14604">
        <v>15</v>
      </c>
      <c r="G14604">
        <v>12301</v>
      </c>
      <c r="H14604" s="1" t="s">
        <v>1828</v>
      </c>
      <c r="I14604">
        <v>0</v>
      </c>
      <c r="J14604">
        <f>IF($H14604=0,1,IF($I14604&lt;=1,2,0))</f>
        <v>2</v>
      </c>
      <c r="K14604">
        <v>5</v>
      </c>
      <c r="L14604">
        <f>IF(AND($J14604=0,$K14604=0),0,1)</f>
        <v>1</v>
      </c>
    </row>
    <row r="14605" spans="1:12" x14ac:dyDescent="0.2">
      <c r="A14605" t="s">
        <v>174</v>
      </c>
      <c r="B14605" t="s">
        <v>71</v>
      </c>
      <c r="C14605" t="s">
        <v>72</v>
      </c>
      <c r="D14605">
        <v>9500</v>
      </c>
      <c r="E14605">
        <v>2021</v>
      </c>
      <c r="F14605">
        <v>21</v>
      </c>
      <c r="G14605">
        <v>12307</v>
      </c>
      <c r="H14605" s="1" t="s">
        <v>1828</v>
      </c>
      <c r="I14605">
        <v>0</v>
      </c>
      <c r="J14605">
        <f>IF($H14605=0,1,IF($I14605&lt;=1,2,0))</f>
        <v>2</v>
      </c>
      <c r="K14605">
        <v>5</v>
      </c>
      <c r="L14605">
        <f>IF(AND($J14605=0,$K14605=0),0,1)</f>
        <v>1</v>
      </c>
    </row>
    <row r="14606" spans="1:12" x14ac:dyDescent="0.2">
      <c r="A14606" t="s">
        <v>174</v>
      </c>
      <c r="B14606" t="s">
        <v>71</v>
      </c>
      <c r="C14606" t="s">
        <v>72</v>
      </c>
      <c r="D14606">
        <v>9500</v>
      </c>
      <c r="E14606">
        <v>2021</v>
      </c>
      <c r="F14606">
        <v>23</v>
      </c>
      <c r="G14606">
        <v>12309</v>
      </c>
      <c r="H14606" s="1" t="s">
        <v>1828</v>
      </c>
      <c r="I14606">
        <v>0</v>
      </c>
      <c r="J14606">
        <f>IF($H14606=0,1,IF($I14606&lt;=1,2,0))</f>
        <v>2</v>
      </c>
      <c r="K14606">
        <v>5</v>
      </c>
      <c r="L14606">
        <f>IF(AND($J14606=0,$K14606=0),0,1)</f>
        <v>1</v>
      </c>
    </row>
    <row r="14607" spans="1:12" x14ac:dyDescent="0.2">
      <c r="A14607" t="s">
        <v>174</v>
      </c>
      <c r="B14607" t="s">
        <v>71</v>
      </c>
      <c r="C14607" t="s">
        <v>72</v>
      </c>
      <c r="D14607">
        <v>9500</v>
      </c>
      <c r="E14607">
        <v>2021</v>
      </c>
      <c r="F14607">
        <v>24</v>
      </c>
      <c r="G14607">
        <v>12310</v>
      </c>
      <c r="H14607" s="1" t="s">
        <v>1828</v>
      </c>
      <c r="I14607">
        <v>0</v>
      </c>
      <c r="J14607">
        <f>IF($H14607=0,1,IF($I14607&lt;=1,2,0))</f>
        <v>2</v>
      </c>
      <c r="K14607">
        <v>5</v>
      </c>
      <c r="L14607">
        <f>IF(AND($J14607=0,$K14607=0),0,1)</f>
        <v>1</v>
      </c>
    </row>
    <row r="14608" spans="1:12" x14ac:dyDescent="0.2">
      <c r="A14608" t="s">
        <v>174</v>
      </c>
      <c r="B14608" t="s">
        <v>71</v>
      </c>
      <c r="C14608" t="s">
        <v>72</v>
      </c>
      <c r="D14608">
        <v>9500</v>
      </c>
      <c r="E14608">
        <v>2021</v>
      </c>
      <c r="F14608">
        <v>26</v>
      </c>
      <c r="G14608">
        <v>12312</v>
      </c>
      <c r="H14608" s="1" t="s">
        <v>1828</v>
      </c>
      <c r="I14608">
        <v>0</v>
      </c>
      <c r="J14608">
        <f>IF($H14608=0,1,IF($I14608&lt;=1,2,0))</f>
        <v>2</v>
      </c>
      <c r="K14608">
        <v>5</v>
      </c>
      <c r="L14608">
        <f>IF(AND($J14608=0,$K14608=0),0,1)</f>
        <v>1</v>
      </c>
    </row>
    <row r="14609" spans="1:12" x14ac:dyDescent="0.2">
      <c r="A14609" t="s">
        <v>174</v>
      </c>
      <c r="B14609" t="s">
        <v>71</v>
      </c>
      <c r="C14609" t="s">
        <v>72</v>
      </c>
      <c r="D14609">
        <v>9500</v>
      </c>
      <c r="E14609">
        <v>2021</v>
      </c>
      <c r="F14609">
        <v>32</v>
      </c>
      <c r="G14609">
        <v>12318</v>
      </c>
      <c r="H14609" s="1" t="s">
        <v>1828</v>
      </c>
      <c r="I14609">
        <v>0</v>
      </c>
      <c r="J14609">
        <f>IF($H14609=0,1,IF($I14609&lt;=1,2,0))</f>
        <v>2</v>
      </c>
      <c r="K14609">
        <v>5</v>
      </c>
      <c r="L14609">
        <f>IF(AND($J14609=0,$K14609=0),0,1)</f>
        <v>1</v>
      </c>
    </row>
    <row r="14610" spans="1:12" x14ac:dyDescent="0.2">
      <c r="A14610" t="s">
        <v>174</v>
      </c>
      <c r="B14610" t="s">
        <v>71</v>
      </c>
      <c r="C14610" t="s">
        <v>72</v>
      </c>
      <c r="D14610">
        <v>9700</v>
      </c>
      <c r="E14610">
        <v>2021</v>
      </c>
      <c r="F14610">
        <v>1</v>
      </c>
      <c r="G14610">
        <v>12223</v>
      </c>
      <c r="H14610" s="1">
        <v>0</v>
      </c>
      <c r="I14610">
        <v>146</v>
      </c>
      <c r="J14610">
        <f>IF($H14610=0,1,IF($I14610&lt;=1,2,0))</f>
        <v>1</v>
      </c>
      <c r="K14610">
        <v>5</v>
      </c>
      <c r="L14610">
        <f>IF(AND($J14610=0,$K14610=0),0,1)</f>
        <v>1</v>
      </c>
    </row>
    <row r="14611" spans="1:12" x14ac:dyDescent="0.2">
      <c r="A14611" t="s">
        <v>174</v>
      </c>
      <c r="B14611" t="s">
        <v>71</v>
      </c>
      <c r="C14611" t="s">
        <v>72</v>
      </c>
      <c r="D14611">
        <v>9800</v>
      </c>
      <c r="E14611">
        <v>2021</v>
      </c>
      <c r="F14611">
        <v>16</v>
      </c>
      <c r="G14611">
        <v>12335</v>
      </c>
      <c r="H14611" s="1" t="s">
        <v>1838</v>
      </c>
      <c r="I14611">
        <v>1</v>
      </c>
      <c r="J14611">
        <f>IF($H14611=0,1,IF($I14611&lt;=1,2,0))</f>
        <v>2</v>
      </c>
      <c r="K14611">
        <v>5</v>
      </c>
      <c r="L14611">
        <f>IF(AND($J14611=0,$K14611=0),0,1)</f>
        <v>1</v>
      </c>
    </row>
    <row r="14612" spans="1:12" x14ac:dyDescent="0.2">
      <c r="A14612" t="s">
        <v>174</v>
      </c>
      <c r="B14612" t="s">
        <v>71</v>
      </c>
      <c r="C14612" t="s">
        <v>72</v>
      </c>
      <c r="D14612">
        <v>9800</v>
      </c>
      <c r="E14612">
        <v>2021</v>
      </c>
      <c r="F14612">
        <v>1</v>
      </c>
      <c r="G14612">
        <v>12320</v>
      </c>
      <c r="H14612" s="1" t="s">
        <v>1838</v>
      </c>
      <c r="I14612">
        <v>0</v>
      </c>
      <c r="J14612">
        <f>IF($H14612=0,1,IF($I14612&lt;=1,2,0))</f>
        <v>2</v>
      </c>
      <c r="K14612">
        <v>5</v>
      </c>
      <c r="L14612">
        <f>IF(AND($J14612=0,$K14612=0),0,1)</f>
        <v>1</v>
      </c>
    </row>
    <row r="14613" spans="1:12" x14ac:dyDescent="0.2">
      <c r="A14613" t="s">
        <v>174</v>
      </c>
      <c r="B14613" t="s">
        <v>71</v>
      </c>
      <c r="C14613" t="s">
        <v>72</v>
      </c>
      <c r="D14613">
        <v>9800</v>
      </c>
      <c r="E14613">
        <v>2021</v>
      </c>
      <c r="F14613">
        <v>2</v>
      </c>
      <c r="G14613">
        <v>12321</v>
      </c>
      <c r="H14613" s="1" t="s">
        <v>1838</v>
      </c>
      <c r="I14613">
        <v>0</v>
      </c>
      <c r="J14613">
        <f>IF($H14613=0,1,IF($I14613&lt;=1,2,0))</f>
        <v>2</v>
      </c>
      <c r="K14613">
        <v>5</v>
      </c>
      <c r="L14613">
        <f>IF(AND($J14613=0,$K14613=0),0,1)</f>
        <v>1</v>
      </c>
    </row>
    <row r="14614" spans="1:12" x14ac:dyDescent="0.2">
      <c r="A14614" t="s">
        <v>174</v>
      </c>
      <c r="B14614" t="s">
        <v>71</v>
      </c>
      <c r="C14614" t="s">
        <v>72</v>
      </c>
      <c r="D14614">
        <v>9800</v>
      </c>
      <c r="E14614">
        <v>2021</v>
      </c>
      <c r="F14614">
        <v>3</v>
      </c>
      <c r="G14614">
        <v>12322</v>
      </c>
      <c r="H14614" s="1" t="s">
        <v>1838</v>
      </c>
      <c r="I14614">
        <v>0</v>
      </c>
      <c r="J14614">
        <f>IF($H14614=0,1,IF($I14614&lt;=1,2,0))</f>
        <v>2</v>
      </c>
      <c r="K14614">
        <v>5</v>
      </c>
      <c r="L14614">
        <f>IF(AND($J14614=0,$K14614=0),0,1)</f>
        <v>1</v>
      </c>
    </row>
    <row r="14615" spans="1:12" x14ac:dyDescent="0.2">
      <c r="A14615" t="s">
        <v>174</v>
      </c>
      <c r="B14615" t="s">
        <v>71</v>
      </c>
      <c r="C14615" t="s">
        <v>72</v>
      </c>
      <c r="D14615">
        <v>9800</v>
      </c>
      <c r="E14615">
        <v>2021</v>
      </c>
      <c r="F14615">
        <v>4</v>
      </c>
      <c r="G14615">
        <v>12323</v>
      </c>
      <c r="H14615" s="1" t="s">
        <v>1838</v>
      </c>
      <c r="I14615">
        <v>0</v>
      </c>
      <c r="J14615">
        <f>IF($H14615=0,1,IF($I14615&lt;=1,2,0))</f>
        <v>2</v>
      </c>
      <c r="K14615">
        <v>5</v>
      </c>
      <c r="L14615">
        <f>IF(AND($J14615=0,$K14615=0),0,1)</f>
        <v>1</v>
      </c>
    </row>
    <row r="14616" spans="1:12" x14ac:dyDescent="0.2">
      <c r="A14616" t="s">
        <v>174</v>
      </c>
      <c r="B14616" t="s">
        <v>71</v>
      </c>
      <c r="C14616" t="s">
        <v>72</v>
      </c>
      <c r="D14616">
        <v>9800</v>
      </c>
      <c r="E14616">
        <v>2021</v>
      </c>
      <c r="F14616">
        <v>6</v>
      </c>
      <c r="G14616">
        <v>12325</v>
      </c>
      <c r="H14616" s="1" t="s">
        <v>1838</v>
      </c>
      <c r="I14616">
        <v>0</v>
      </c>
      <c r="J14616">
        <f>IF($H14616=0,1,IF($I14616&lt;=1,2,0))</f>
        <v>2</v>
      </c>
      <c r="K14616">
        <v>5</v>
      </c>
      <c r="L14616">
        <f>IF(AND($J14616=0,$K14616=0),0,1)</f>
        <v>1</v>
      </c>
    </row>
    <row r="14617" spans="1:12" x14ac:dyDescent="0.2">
      <c r="A14617" t="s">
        <v>174</v>
      </c>
      <c r="B14617" t="s">
        <v>71</v>
      </c>
      <c r="C14617" t="s">
        <v>72</v>
      </c>
      <c r="D14617">
        <v>9800</v>
      </c>
      <c r="E14617">
        <v>2021</v>
      </c>
      <c r="F14617">
        <v>7</v>
      </c>
      <c r="G14617">
        <v>12326</v>
      </c>
      <c r="H14617" s="1" t="s">
        <v>1838</v>
      </c>
      <c r="I14617">
        <v>0</v>
      </c>
      <c r="J14617">
        <f>IF($H14617=0,1,IF($I14617&lt;=1,2,0))</f>
        <v>2</v>
      </c>
      <c r="K14617">
        <v>5</v>
      </c>
      <c r="L14617">
        <f>IF(AND($J14617=0,$K14617=0),0,1)</f>
        <v>1</v>
      </c>
    </row>
    <row r="14618" spans="1:12" x14ac:dyDescent="0.2">
      <c r="A14618" t="s">
        <v>174</v>
      </c>
      <c r="B14618" t="s">
        <v>71</v>
      </c>
      <c r="C14618" t="s">
        <v>72</v>
      </c>
      <c r="D14618">
        <v>9800</v>
      </c>
      <c r="E14618">
        <v>2021</v>
      </c>
      <c r="F14618">
        <v>8</v>
      </c>
      <c r="G14618">
        <v>12327</v>
      </c>
      <c r="H14618" s="1" t="s">
        <v>1838</v>
      </c>
      <c r="I14618">
        <v>0</v>
      </c>
      <c r="J14618">
        <f>IF($H14618=0,1,IF($I14618&lt;=1,2,0))</f>
        <v>2</v>
      </c>
      <c r="K14618">
        <v>5</v>
      </c>
      <c r="L14618">
        <f>IF(AND($J14618=0,$K14618=0),0,1)</f>
        <v>1</v>
      </c>
    </row>
    <row r="14619" spans="1:12" x14ac:dyDescent="0.2">
      <c r="A14619" t="s">
        <v>174</v>
      </c>
      <c r="B14619" t="s">
        <v>71</v>
      </c>
      <c r="C14619" t="s">
        <v>72</v>
      </c>
      <c r="D14619">
        <v>9800</v>
      </c>
      <c r="E14619">
        <v>2021</v>
      </c>
      <c r="F14619">
        <v>9</v>
      </c>
      <c r="G14619">
        <v>12328</v>
      </c>
      <c r="H14619" s="1" t="s">
        <v>1838</v>
      </c>
      <c r="I14619">
        <v>0</v>
      </c>
      <c r="J14619">
        <f>IF($H14619=0,1,IF($I14619&lt;=1,2,0))</f>
        <v>2</v>
      </c>
      <c r="K14619">
        <v>5</v>
      </c>
      <c r="L14619">
        <f>IF(AND($J14619=0,$K14619=0),0,1)</f>
        <v>1</v>
      </c>
    </row>
    <row r="14620" spans="1:12" x14ac:dyDescent="0.2">
      <c r="A14620" t="s">
        <v>174</v>
      </c>
      <c r="B14620" t="s">
        <v>71</v>
      </c>
      <c r="C14620" t="s">
        <v>72</v>
      </c>
      <c r="D14620">
        <v>9800</v>
      </c>
      <c r="E14620">
        <v>2021</v>
      </c>
      <c r="F14620">
        <v>10</v>
      </c>
      <c r="G14620">
        <v>12329</v>
      </c>
      <c r="H14620" s="1" t="s">
        <v>1838</v>
      </c>
      <c r="I14620">
        <v>0</v>
      </c>
      <c r="J14620">
        <f>IF($H14620=0,1,IF($I14620&lt;=1,2,0))</f>
        <v>2</v>
      </c>
      <c r="K14620">
        <v>5</v>
      </c>
      <c r="L14620">
        <f>IF(AND($J14620=0,$K14620=0),0,1)</f>
        <v>1</v>
      </c>
    </row>
    <row r="14621" spans="1:12" x14ac:dyDescent="0.2">
      <c r="A14621" t="s">
        <v>174</v>
      </c>
      <c r="B14621" t="s">
        <v>71</v>
      </c>
      <c r="C14621" t="s">
        <v>72</v>
      </c>
      <c r="D14621">
        <v>9800</v>
      </c>
      <c r="E14621">
        <v>2021</v>
      </c>
      <c r="F14621">
        <v>11</v>
      </c>
      <c r="G14621">
        <v>12330</v>
      </c>
      <c r="H14621" s="1" t="s">
        <v>1838</v>
      </c>
      <c r="I14621">
        <v>0</v>
      </c>
      <c r="J14621">
        <f>IF($H14621=0,1,IF($I14621&lt;=1,2,0))</f>
        <v>2</v>
      </c>
      <c r="K14621">
        <v>5</v>
      </c>
      <c r="L14621">
        <f>IF(AND($J14621=0,$K14621=0),0,1)</f>
        <v>1</v>
      </c>
    </row>
    <row r="14622" spans="1:12" x14ac:dyDescent="0.2">
      <c r="A14622" t="s">
        <v>174</v>
      </c>
      <c r="B14622" t="s">
        <v>71</v>
      </c>
      <c r="C14622" t="s">
        <v>72</v>
      </c>
      <c r="D14622">
        <v>9800</v>
      </c>
      <c r="E14622">
        <v>2021</v>
      </c>
      <c r="F14622">
        <v>12</v>
      </c>
      <c r="G14622">
        <v>12331</v>
      </c>
      <c r="H14622" s="1" t="s">
        <v>1838</v>
      </c>
      <c r="I14622">
        <v>0</v>
      </c>
      <c r="J14622">
        <f>IF($H14622=0,1,IF($I14622&lt;=1,2,0))</f>
        <v>2</v>
      </c>
      <c r="K14622">
        <v>5</v>
      </c>
      <c r="L14622">
        <f>IF(AND($J14622=0,$K14622=0),0,1)</f>
        <v>1</v>
      </c>
    </row>
    <row r="14623" spans="1:12" x14ac:dyDescent="0.2">
      <c r="A14623" t="s">
        <v>174</v>
      </c>
      <c r="B14623" t="s">
        <v>71</v>
      </c>
      <c r="C14623" t="s">
        <v>72</v>
      </c>
      <c r="D14623">
        <v>9800</v>
      </c>
      <c r="E14623">
        <v>2021</v>
      </c>
      <c r="F14623">
        <v>13</v>
      </c>
      <c r="G14623">
        <v>12332</v>
      </c>
      <c r="H14623" s="1" t="s">
        <v>1838</v>
      </c>
      <c r="I14623">
        <v>0</v>
      </c>
      <c r="J14623">
        <f>IF($H14623=0,1,IF($I14623&lt;=1,2,0))</f>
        <v>2</v>
      </c>
      <c r="K14623">
        <v>5</v>
      </c>
      <c r="L14623">
        <f>IF(AND($J14623=0,$K14623=0),0,1)</f>
        <v>1</v>
      </c>
    </row>
    <row r="14624" spans="1:12" x14ac:dyDescent="0.2">
      <c r="A14624" t="s">
        <v>174</v>
      </c>
      <c r="B14624" t="s">
        <v>71</v>
      </c>
      <c r="C14624" t="s">
        <v>72</v>
      </c>
      <c r="D14624">
        <v>9800</v>
      </c>
      <c r="E14624">
        <v>2021</v>
      </c>
      <c r="F14624">
        <v>14</v>
      </c>
      <c r="G14624">
        <v>12333</v>
      </c>
      <c r="H14624" s="1" t="s">
        <v>1838</v>
      </c>
      <c r="I14624">
        <v>0</v>
      </c>
      <c r="J14624">
        <f>IF($H14624=0,1,IF($I14624&lt;=1,2,0))</f>
        <v>2</v>
      </c>
      <c r="K14624">
        <v>5</v>
      </c>
      <c r="L14624">
        <f>IF(AND($J14624=0,$K14624=0),0,1)</f>
        <v>1</v>
      </c>
    </row>
    <row r="14625" spans="1:12" x14ac:dyDescent="0.2">
      <c r="A14625" t="s">
        <v>174</v>
      </c>
      <c r="B14625" t="s">
        <v>71</v>
      </c>
      <c r="C14625" t="s">
        <v>72</v>
      </c>
      <c r="D14625">
        <v>9800</v>
      </c>
      <c r="E14625">
        <v>2021</v>
      </c>
      <c r="F14625">
        <v>15</v>
      </c>
      <c r="G14625">
        <v>12334</v>
      </c>
      <c r="H14625" s="1" t="s">
        <v>1838</v>
      </c>
      <c r="I14625">
        <v>0</v>
      </c>
      <c r="J14625">
        <f>IF($H14625=0,1,IF($I14625&lt;=1,2,0))</f>
        <v>2</v>
      </c>
      <c r="K14625">
        <v>5</v>
      </c>
      <c r="L14625">
        <f>IF(AND($J14625=0,$K14625=0),0,1)</f>
        <v>1</v>
      </c>
    </row>
    <row r="14626" spans="1:12" x14ac:dyDescent="0.2">
      <c r="A14626" t="s">
        <v>174</v>
      </c>
      <c r="B14626" t="s">
        <v>71</v>
      </c>
      <c r="C14626" t="s">
        <v>72</v>
      </c>
      <c r="D14626">
        <v>9800</v>
      </c>
      <c r="E14626">
        <v>2021</v>
      </c>
      <c r="F14626">
        <v>17</v>
      </c>
      <c r="G14626">
        <v>12336</v>
      </c>
      <c r="H14626" s="1" t="s">
        <v>1838</v>
      </c>
      <c r="I14626">
        <v>0</v>
      </c>
      <c r="J14626">
        <f>IF($H14626=0,1,IF($I14626&lt;=1,2,0))</f>
        <v>2</v>
      </c>
      <c r="K14626">
        <v>5</v>
      </c>
      <c r="L14626">
        <f>IF(AND($J14626=0,$K14626=0),0,1)</f>
        <v>1</v>
      </c>
    </row>
    <row r="14627" spans="1:12" x14ac:dyDescent="0.2">
      <c r="A14627" t="s">
        <v>174</v>
      </c>
      <c r="B14627" t="s">
        <v>71</v>
      </c>
      <c r="C14627" t="s">
        <v>72</v>
      </c>
      <c r="D14627">
        <v>9800</v>
      </c>
      <c r="E14627">
        <v>2021</v>
      </c>
      <c r="F14627">
        <v>18</v>
      </c>
      <c r="G14627">
        <v>12337</v>
      </c>
      <c r="H14627" s="1" t="s">
        <v>1838</v>
      </c>
      <c r="I14627">
        <v>0</v>
      </c>
      <c r="J14627">
        <f>IF($H14627=0,1,IF($I14627&lt;=1,2,0))</f>
        <v>2</v>
      </c>
      <c r="K14627">
        <v>5</v>
      </c>
      <c r="L14627">
        <f>IF(AND($J14627=0,$K14627=0),0,1)</f>
        <v>1</v>
      </c>
    </row>
    <row r="14628" spans="1:12" x14ac:dyDescent="0.2">
      <c r="A14628" t="s">
        <v>174</v>
      </c>
      <c r="B14628" t="s">
        <v>71</v>
      </c>
      <c r="C14628" t="s">
        <v>72</v>
      </c>
      <c r="D14628">
        <v>9800</v>
      </c>
      <c r="E14628">
        <v>2021</v>
      </c>
      <c r="F14628">
        <v>19</v>
      </c>
      <c r="G14628">
        <v>12338</v>
      </c>
      <c r="H14628" s="1" t="s">
        <v>1838</v>
      </c>
      <c r="I14628">
        <v>0</v>
      </c>
      <c r="J14628">
        <f>IF($H14628=0,1,IF($I14628&lt;=1,2,0))</f>
        <v>2</v>
      </c>
      <c r="K14628">
        <v>5</v>
      </c>
      <c r="L14628">
        <f>IF(AND($J14628=0,$K14628=0),0,1)</f>
        <v>1</v>
      </c>
    </row>
    <row r="14629" spans="1:12" x14ac:dyDescent="0.2">
      <c r="A14629" t="s">
        <v>174</v>
      </c>
      <c r="B14629" t="s">
        <v>71</v>
      </c>
      <c r="C14629" t="s">
        <v>72</v>
      </c>
      <c r="D14629">
        <v>9800</v>
      </c>
      <c r="E14629">
        <v>2021</v>
      </c>
      <c r="F14629">
        <v>20</v>
      </c>
      <c r="G14629">
        <v>12339</v>
      </c>
      <c r="H14629" s="1" t="s">
        <v>1838</v>
      </c>
      <c r="I14629">
        <v>0</v>
      </c>
      <c r="J14629">
        <f>IF($H14629=0,1,IF($I14629&lt;=1,2,0))</f>
        <v>2</v>
      </c>
      <c r="K14629">
        <v>5</v>
      </c>
      <c r="L14629">
        <f>IF(AND($J14629=0,$K14629=0),0,1)</f>
        <v>1</v>
      </c>
    </row>
    <row r="14630" spans="1:12" x14ac:dyDescent="0.2">
      <c r="A14630" t="s">
        <v>174</v>
      </c>
      <c r="B14630" t="s">
        <v>71</v>
      </c>
      <c r="C14630" t="s">
        <v>72</v>
      </c>
      <c r="D14630">
        <v>9800</v>
      </c>
      <c r="E14630">
        <v>2021</v>
      </c>
      <c r="F14630">
        <v>21</v>
      </c>
      <c r="G14630">
        <v>12340</v>
      </c>
      <c r="H14630" s="1" t="s">
        <v>1838</v>
      </c>
      <c r="I14630">
        <v>0</v>
      </c>
      <c r="J14630">
        <f>IF($H14630=0,1,IF($I14630&lt;=1,2,0))</f>
        <v>2</v>
      </c>
      <c r="K14630">
        <v>5</v>
      </c>
      <c r="L14630">
        <f>IF(AND($J14630=0,$K14630=0),0,1)</f>
        <v>1</v>
      </c>
    </row>
    <row r="14631" spans="1:12" x14ac:dyDescent="0.2">
      <c r="A14631" t="s">
        <v>174</v>
      </c>
      <c r="B14631" t="s">
        <v>71</v>
      </c>
      <c r="C14631" t="s">
        <v>72</v>
      </c>
      <c r="D14631">
        <v>9800</v>
      </c>
      <c r="E14631">
        <v>2021</v>
      </c>
      <c r="F14631">
        <v>22</v>
      </c>
      <c r="G14631">
        <v>12341</v>
      </c>
      <c r="H14631" s="1" t="s">
        <v>1838</v>
      </c>
      <c r="I14631">
        <v>0</v>
      </c>
      <c r="J14631">
        <f>IF($H14631=0,1,IF($I14631&lt;=1,2,0))</f>
        <v>2</v>
      </c>
      <c r="K14631">
        <v>5</v>
      </c>
      <c r="L14631">
        <f>IF(AND($J14631=0,$K14631=0),0,1)</f>
        <v>1</v>
      </c>
    </row>
    <row r="14632" spans="1:12" x14ac:dyDescent="0.2">
      <c r="A14632" t="s">
        <v>174</v>
      </c>
      <c r="B14632" t="s">
        <v>71</v>
      </c>
      <c r="C14632" t="s">
        <v>72</v>
      </c>
      <c r="D14632">
        <v>9800</v>
      </c>
      <c r="E14632">
        <v>2021</v>
      </c>
      <c r="F14632">
        <v>23</v>
      </c>
      <c r="G14632">
        <v>12342</v>
      </c>
      <c r="H14632" s="1" t="s">
        <v>1838</v>
      </c>
      <c r="I14632">
        <v>0</v>
      </c>
      <c r="J14632">
        <f>IF($H14632=0,1,IF($I14632&lt;=1,2,0))</f>
        <v>2</v>
      </c>
      <c r="K14632">
        <v>5</v>
      </c>
      <c r="L14632">
        <f>IF(AND($J14632=0,$K14632=0),0,1)</f>
        <v>1</v>
      </c>
    </row>
    <row r="14633" spans="1:12" x14ac:dyDescent="0.2">
      <c r="A14633" t="s">
        <v>174</v>
      </c>
      <c r="B14633" t="s">
        <v>71</v>
      </c>
      <c r="C14633" t="s">
        <v>72</v>
      </c>
      <c r="D14633">
        <v>9800</v>
      </c>
      <c r="E14633">
        <v>2021</v>
      </c>
      <c r="F14633">
        <v>24</v>
      </c>
      <c r="G14633">
        <v>12343</v>
      </c>
      <c r="H14633" s="1" t="s">
        <v>1838</v>
      </c>
      <c r="I14633">
        <v>0</v>
      </c>
      <c r="J14633">
        <f>IF($H14633=0,1,IF($I14633&lt;=1,2,0))</f>
        <v>2</v>
      </c>
      <c r="K14633">
        <v>5</v>
      </c>
      <c r="L14633">
        <f>IF(AND($J14633=0,$K14633=0),0,1)</f>
        <v>1</v>
      </c>
    </row>
    <row r="14634" spans="1:12" x14ac:dyDescent="0.2">
      <c r="A14634" t="s">
        <v>174</v>
      </c>
      <c r="B14634" t="s">
        <v>71</v>
      </c>
      <c r="C14634" t="s">
        <v>72</v>
      </c>
      <c r="D14634">
        <v>9800</v>
      </c>
      <c r="E14634">
        <v>2021</v>
      </c>
      <c r="F14634">
        <v>25</v>
      </c>
      <c r="G14634">
        <v>12344</v>
      </c>
      <c r="H14634" s="1" t="s">
        <v>1838</v>
      </c>
      <c r="I14634">
        <v>0</v>
      </c>
      <c r="J14634">
        <f>IF($H14634=0,1,IF($I14634&lt;=1,2,0))</f>
        <v>2</v>
      </c>
      <c r="K14634">
        <v>5</v>
      </c>
      <c r="L14634">
        <f>IF(AND($J14634=0,$K14634=0),0,1)</f>
        <v>1</v>
      </c>
    </row>
    <row r="14635" spans="1:12" x14ac:dyDescent="0.2">
      <c r="A14635" t="s">
        <v>174</v>
      </c>
      <c r="B14635" t="s">
        <v>71</v>
      </c>
      <c r="C14635" t="s">
        <v>72</v>
      </c>
      <c r="D14635">
        <v>9800</v>
      </c>
      <c r="E14635">
        <v>2021</v>
      </c>
      <c r="F14635">
        <v>26</v>
      </c>
      <c r="G14635">
        <v>12345</v>
      </c>
      <c r="H14635" s="1" t="s">
        <v>1838</v>
      </c>
      <c r="I14635">
        <v>0</v>
      </c>
      <c r="J14635">
        <f>IF($H14635=0,1,IF($I14635&lt;=1,2,0))</f>
        <v>2</v>
      </c>
      <c r="K14635">
        <v>5</v>
      </c>
      <c r="L14635">
        <f>IF(AND($J14635=0,$K14635=0),0,1)</f>
        <v>1</v>
      </c>
    </row>
    <row r="14636" spans="1:12" x14ac:dyDescent="0.2">
      <c r="A14636" t="s">
        <v>174</v>
      </c>
      <c r="B14636" t="s">
        <v>71</v>
      </c>
      <c r="C14636" t="s">
        <v>72</v>
      </c>
      <c r="D14636">
        <v>9800</v>
      </c>
      <c r="E14636">
        <v>2021</v>
      </c>
      <c r="F14636">
        <v>27</v>
      </c>
      <c r="G14636">
        <v>12346</v>
      </c>
      <c r="H14636" s="1" t="s">
        <v>1838</v>
      </c>
      <c r="I14636">
        <v>0</v>
      </c>
      <c r="J14636">
        <f>IF($H14636=0,1,IF($I14636&lt;=1,2,0))</f>
        <v>2</v>
      </c>
      <c r="K14636">
        <v>5</v>
      </c>
      <c r="L14636">
        <f>IF(AND($J14636=0,$K14636=0),0,1)</f>
        <v>1</v>
      </c>
    </row>
    <row r="14637" spans="1:12" x14ac:dyDescent="0.2">
      <c r="A14637" t="s">
        <v>174</v>
      </c>
      <c r="B14637" t="s">
        <v>71</v>
      </c>
      <c r="C14637" t="s">
        <v>72</v>
      </c>
      <c r="D14637">
        <v>9800</v>
      </c>
      <c r="E14637">
        <v>2021</v>
      </c>
      <c r="F14637">
        <v>28</v>
      </c>
      <c r="G14637">
        <v>12347</v>
      </c>
      <c r="H14637" s="1" t="s">
        <v>1838</v>
      </c>
      <c r="I14637">
        <v>0</v>
      </c>
      <c r="J14637">
        <f>IF($H14637=0,1,IF($I14637&lt;=1,2,0))</f>
        <v>2</v>
      </c>
      <c r="K14637">
        <v>5</v>
      </c>
      <c r="L14637">
        <f>IF(AND($J14637=0,$K14637=0),0,1)</f>
        <v>1</v>
      </c>
    </row>
    <row r="14638" spans="1:12" x14ac:dyDescent="0.2">
      <c r="A14638" t="s">
        <v>174</v>
      </c>
      <c r="B14638" t="s">
        <v>71</v>
      </c>
      <c r="C14638" t="s">
        <v>72</v>
      </c>
      <c r="D14638">
        <v>9800</v>
      </c>
      <c r="E14638">
        <v>2021</v>
      </c>
      <c r="F14638">
        <v>30</v>
      </c>
      <c r="G14638">
        <v>12348</v>
      </c>
      <c r="H14638" s="1" t="s">
        <v>1838</v>
      </c>
      <c r="I14638">
        <v>0</v>
      </c>
      <c r="J14638">
        <f>IF($H14638=0,1,IF($I14638&lt;=1,2,0))</f>
        <v>2</v>
      </c>
      <c r="K14638">
        <v>5</v>
      </c>
      <c r="L14638">
        <f>IF(AND($J14638=0,$K14638=0),0,1)</f>
        <v>1</v>
      </c>
    </row>
    <row r="14639" spans="1:12" x14ac:dyDescent="0.2">
      <c r="A14639" t="s">
        <v>174</v>
      </c>
      <c r="B14639" t="s">
        <v>71</v>
      </c>
      <c r="C14639" t="s">
        <v>72</v>
      </c>
      <c r="D14639">
        <v>9800</v>
      </c>
      <c r="E14639">
        <v>2021</v>
      </c>
      <c r="F14639">
        <v>31</v>
      </c>
      <c r="G14639">
        <v>12349</v>
      </c>
      <c r="H14639" s="1" t="s">
        <v>1838</v>
      </c>
      <c r="I14639">
        <v>0</v>
      </c>
      <c r="J14639">
        <f>IF($H14639=0,1,IF($I14639&lt;=1,2,0))</f>
        <v>2</v>
      </c>
      <c r="K14639">
        <v>5</v>
      </c>
      <c r="L14639">
        <f>IF(AND($J14639=0,$K14639=0),0,1)</f>
        <v>1</v>
      </c>
    </row>
    <row r="14640" spans="1:12" x14ac:dyDescent="0.2">
      <c r="A14640" t="s">
        <v>174</v>
      </c>
      <c r="B14640" t="s">
        <v>71</v>
      </c>
      <c r="C14640" t="s">
        <v>72</v>
      </c>
      <c r="D14640">
        <v>9800</v>
      </c>
      <c r="E14640">
        <v>2021</v>
      </c>
      <c r="F14640">
        <v>32</v>
      </c>
      <c r="G14640">
        <v>12350</v>
      </c>
      <c r="H14640" s="1" t="s">
        <v>1838</v>
      </c>
      <c r="I14640">
        <v>0</v>
      </c>
      <c r="J14640">
        <f>IF($H14640=0,1,IF($I14640&lt;=1,2,0))</f>
        <v>2</v>
      </c>
      <c r="K14640">
        <v>5</v>
      </c>
      <c r="L14640">
        <f>IF(AND($J14640=0,$K14640=0),0,1)</f>
        <v>1</v>
      </c>
    </row>
    <row r="14641" spans="1:12" x14ac:dyDescent="0.2">
      <c r="A14641" t="s">
        <v>174</v>
      </c>
      <c r="B14641" t="s">
        <v>71</v>
      </c>
      <c r="C14641" t="s">
        <v>72</v>
      </c>
      <c r="D14641">
        <v>9800</v>
      </c>
      <c r="E14641">
        <v>2021</v>
      </c>
      <c r="F14641">
        <v>36</v>
      </c>
      <c r="G14641">
        <v>12351</v>
      </c>
      <c r="H14641" s="1" t="s">
        <v>1838</v>
      </c>
      <c r="I14641">
        <v>0</v>
      </c>
      <c r="J14641">
        <f>IF($H14641=0,1,IF($I14641&lt;=1,2,0))</f>
        <v>2</v>
      </c>
      <c r="K14641">
        <v>5</v>
      </c>
      <c r="L14641">
        <f>IF(AND($J14641=0,$K14641=0),0,1)</f>
        <v>1</v>
      </c>
    </row>
    <row r="14642" spans="1:12" x14ac:dyDescent="0.2">
      <c r="A14642" t="s">
        <v>174</v>
      </c>
      <c r="B14642" t="s">
        <v>71</v>
      </c>
      <c r="C14642" t="s">
        <v>72</v>
      </c>
      <c r="D14642">
        <v>9900</v>
      </c>
      <c r="E14642">
        <v>2021</v>
      </c>
      <c r="F14642">
        <v>1</v>
      </c>
      <c r="G14642">
        <v>12352</v>
      </c>
      <c r="H14642" s="1">
        <v>0</v>
      </c>
      <c r="I14642">
        <v>0</v>
      </c>
      <c r="J14642">
        <f>IF($H14642=0,1,IF($I14642&lt;=1,2,0))</f>
        <v>1</v>
      </c>
      <c r="K14642">
        <v>5</v>
      </c>
      <c r="L14642">
        <f>IF(AND($J14642=0,$K14642=0),0,1)</f>
        <v>1</v>
      </c>
    </row>
    <row r="14643" spans="1:12" x14ac:dyDescent="0.2">
      <c r="A14643" t="s">
        <v>174</v>
      </c>
      <c r="B14643" t="s">
        <v>71</v>
      </c>
      <c r="C14643" t="s">
        <v>72</v>
      </c>
      <c r="D14643">
        <v>9900</v>
      </c>
      <c r="E14643">
        <v>2021</v>
      </c>
      <c r="F14643">
        <v>2</v>
      </c>
      <c r="G14643">
        <v>12353</v>
      </c>
      <c r="H14643" s="1">
        <v>0</v>
      </c>
      <c r="I14643">
        <v>0</v>
      </c>
      <c r="J14643">
        <f>IF($H14643=0,1,IF($I14643&lt;=1,2,0))</f>
        <v>1</v>
      </c>
      <c r="K14643">
        <v>5</v>
      </c>
      <c r="L14643">
        <f>IF(AND($J14643=0,$K14643=0),0,1)</f>
        <v>1</v>
      </c>
    </row>
    <row r="14644" spans="1:12" x14ac:dyDescent="0.2">
      <c r="A14644" t="s">
        <v>174</v>
      </c>
      <c r="B14644" t="s">
        <v>71</v>
      </c>
      <c r="C14644" t="s">
        <v>72</v>
      </c>
      <c r="D14644">
        <v>9900</v>
      </c>
      <c r="E14644">
        <v>2021</v>
      </c>
      <c r="F14644">
        <v>3</v>
      </c>
      <c r="G14644">
        <v>12354</v>
      </c>
      <c r="H14644" s="1">
        <v>0</v>
      </c>
      <c r="I14644">
        <v>0</v>
      </c>
      <c r="J14644">
        <f>IF($H14644=0,1,IF($I14644&lt;=1,2,0))</f>
        <v>1</v>
      </c>
      <c r="K14644">
        <v>5</v>
      </c>
      <c r="L14644">
        <f>IF(AND($J14644=0,$K14644=0),0,1)</f>
        <v>1</v>
      </c>
    </row>
    <row r="14645" spans="1:12" x14ac:dyDescent="0.2">
      <c r="A14645" t="s">
        <v>174</v>
      </c>
      <c r="B14645" t="s">
        <v>71</v>
      </c>
      <c r="C14645" t="s">
        <v>72</v>
      </c>
      <c r="D14645">
        <v>9900</v>
      </c>
      <c r="E14645">
        <v>2021</v>
      </c>
      <c r="F14645">
        <v>4</v>
      </c>
      <c r="G14645">
        <v>12355</v>
      </c>
      <c r="H14645" s="1">
        <v>0</v>
      </c>
      <c r="I14645">
        <v>0</v>
      </c>
      <c r="J14645">
        <f>IF($H14645=0,1,IF($I14645&lt;=1,2,0))</f>
        <v>1</v>
      </c>
      <c r="K14645">
        <v>5</v>
      </c>
      <c r="L14645">
        <f>IF(AND($J14645=0,$K14645=0),0,1)</f>
        <v>1</v>
      </c>
    </row>
    <row r="14646" spans="1:12" x14ac:dyDescent="0.2">
      <c r="A14646" t="s">
        <v>174</v>
      </c>
      <c r="B14646" t="s">
        <v>71</v>
      </c>
      <c r="C14646" t="s">
        <v>72</v>
      </c>
      <c r="D14646">
        <v>9900</v>
      </c>
      <c r="E14646">
        <v>2021</v>
      </c>
      <c r="F14646">
        <v>6</v>
      </c>
      <c r="G14646">
        <v>12357</v>
      </c>
      <c r="H14646" s="1">
        <v>0</v>
      </c>
      <c r="I14646">
        <v>0</v>
      </c>
      <c r="J14646">
        <f>IF($H14646=0,1,IF($I14646&lt;=1,2,0))</f>
        <v>1</v>
      </c>
      <c r="K14646">
        <v>5</v>
      </c>
      <c r="L14646">
        <f>IF(AND($J14646=0,$K14646=0),0,1)</f>
        <v>1</v>
      </c>
    </row>
    <row r="14647" spans="1:12" x14ac:dyDescent="0.2">
      <c r="A14647" t="s">
        <v>174</v>
      </c>
      <c r="B14647" t="s">
        <v>71</v>
      </c>
      <c r="C14647" t="s">
        <v>72</v>
      </c>
      <c r="D14647">
        <v>9900</v>
      </c>
      <c r="E14647">
        <v>2021</v>
      </c>
      <c r="F14647">
        <v>7</v>
      </c>
      <c r="G14647">
        <v>12358</v>
      </c>
      <c r="H14647" s="1">
        <v>0</v>
      </c>
      <c r="I14647">
        <v>0</v>
      </c>
      <c r="J14647">
        <f>IF($H14647=0,1,IF($I14647&lt;=1,2,0))</f>
        <v>1</v>
      </c>
      <c r="K14647">
        <v>5</v>
      </c>
      <c r="L14647">
        <f>IF(AND($J14647=0,$K14647=0),0,1)</f>
        <v>1</v>
      </c>
    </row>
    <row r="14648" spans="1:12" x14ac:dyDescent="0.2">
      <c r="A14648" t="s">
        <v>174</v>
      </c>
      <c r="B14648" t="s">
        <v>71</v>
      </c>
      <c r="C14648" t="s">
        <v>72</v>
      </c>
      <c r="D14648">
        <v>9900</v>
      </c>
      <c r="E14648">
        <v>2021</v>
      </c>
      <c r="F14648">
        <v>8</v>
      </c>
      <c r="G14648">
        <v>12359</v>
      </c>
      <c r="H14648" s="1">
        <v>0</v>
      </c>
      <c r="I14648">
        <v>0</v>
      </c>
      <c r="J14648">
        <f>IF($H14648=0,1,IF($I14648&lt;=1,2,0))</f>
        <v>1</v>
      </c>
      <c r="K14648">
        <v>5</v>
      </c>
      <c r="L14648">
        <f>IF(AND($J14648=0,$K14648=0),0,1)</f>
        <v>1</v>
      </c>
    </row>
    <row r="14649" spans="1:12" x14ac:dyDescent="0.2">
      <c r="A14649" t="s">
        <v>174</v>
      </c>
      <c r="B14649" t="s">
        <v>71</v>
      </c>
      <c r="C14649" t="s">
        <v>72</v>
      </c>
      <c r="D14649">
        <v>9900</v>
      </c>
      <c r="E14649">
        <v>2021</v>
      </c>
      <c r="F14649">
        <v>9</v>
      </c>
      <c r="G14649">
        <v>12360</v>
      </c>
      <c r="H14649" s="1">
        <v>0</v>
      </c>
      <c r="I14649">
        <v>0</v>
      </c>
      <c r="J14649">
        <f>IF($H14649=0,1,IF($I14649&lt;=1,2,0))</f>
        <v>1</v>
      </c>
      <c r="K14649">
        <v>5</v>
      </c>
      <c r="L14649">
        <f>IF(AND($J14649=0,$K14649=0),0,1)</f>
        <v>1</v>
      </c>
    </row>
    <row r="14650" spans="1:12" x14ac:dyDescent="0.2">
      <c r="A14650" t="s">
        <v>174</v>
      </c>
      <c r="B14650" t="s">
        <v>71</v>
      </c>
      <c r="C14650" t="s">
        <v>72</v>
      </c>
      <c r="D14650">
        <v>9900</v>
      </c>
      <c r="E14650">
        <v>2021</v>
      </c>
      <c r="F14650">
        <v>10</v>
      </c>
      <c r="G14650">
        <v>12361</v>
      </c>
      <c r="H14650" s="1">
        <v>0</v>
      </c>
      <c r="I14650">
        <v>0</v>
      </c>
      <c r="J14650">
        <f>IF($H14650=0,1,IF($I14650&lt;=1,2,0))</f>
        <v>1</v>
      </c>
      <c r="K14650">
        <v>5</v>
      </c>
      <c r="L14650">
        <f>IF(AND($J14650=0,$K14650=0),0,1)</f>
        <v>1</v>
      </c>
    </row>
    <row r="14651" spans="1:12" x14ac:dyDescent="0.2">
      <c r="A14651" t="s">
        <v>174</v>
      </c>
      <c r="B14651" t="s">
        <v>71</v>
      </c>
      <c r="C14651" t="s">
        <v>72</v>
      </c>
      <c r="D14651">
        <v>9900</v>
      </c>
      <c r="E14651">
        <v>2021</v>
      </c>
      <c r="F14651">
        <v>11</v>
      </c>
      <c r="G14651">
        <v>12362</v>
      </c>
      <c r="H14651" s="1">
        <v>0</v>
      </c>
      <c r="I14651">
        <v>0</v>
      </c>
      <c r="J14651">
        <f>IF($H14651=0,1,IF($I14651&lt;=1,2,0))</f>
        <v>1</v>
      </c>
      <c r="K14651">
        <v>5</v>
      </c>
      <c r="L14651">
        <f>IF(AND($J14651=0,$K14651=0),0,1)</f>
        <v>1</v>
      </c>
    </row>
    <row r="14652" spans="1:12" x14ac:dyDescent="0.2">
      <c r="A14652" t="s">
        <v>174</v>
      </c>
      <c r="B14652" t="s">
        <v>71</v>
      </c>
      <c r="C14652" t="s">
        <v>72</v>
      </c>
      <c r="D14652">
        <v>9900</v>
      </c>
      <c r="E14652">
        <v>2021</v>
      </c>
      <c r="F14652">
        <v>12</v>
      </c>
      <c r="G14652">
        <v>12363</v>
      </c>
      <c r="H14652" s="1">
        <v>0</v>
      </c>
      <c r="I14652">
        <v>0</v>
      </c>
      <c r="J14652">
        <f>IF($H14652=0,1,IF($I14652&lt;=1,2,0))</f>
        <v>1</v>
      </c>
      <c r="K14652">
        <v>5</v>
      </c>
      <c r="L14652">
        <f>IF(AND($J14652=0,$K14652=0),0,1)</f>
        <v>1</v>
      </c>
    </row>
    <row r="14653" spans="1:12" x14ac:dyDescent="0.2">
      <c r="A14653" t="s">
        <v>174</v>
      </c>
      <c r="B14653" t="s">
        <v>71</v>
      </c>
      <c r="C14653" t="s">
        <v>72</v>
      </c>
      <c r="D14653">
        <v>9900</v>
      </c>
      <c r="E14653">
        <v>2021</v>
      </c>
      <c r="F14653">
        <v>13</v>
      </c>
      <c r="G14653">
        <v>12364</v>
      </c>
      <c r="H14653" s="1">
        <v>0</v>
      </c>
      <c r="I14653">
        <v>0</v>
      </c>
      <c r="J14653">
        <f>IF($H14653=0,1,IF($I14653&lt;=1,2,0))</f>
        <v>1</v>
      </c>
      <c r="K14653">
        <v>5</v>
      </c>
      <c r="L14653">
        <f>IF(AND($J14653=0,$K14653=0),0,1)</f>
        <v>1</v>
      </c>
    </row>
    <row r="14654" spans="1:12" x14ac:dyDescent="0.2">
      <c r="A14654" t="s">
        <v>174</v>
      </c>
      <c r="B14654" t="s">
        <v>71</v>
      </c>
      <c r="C14654" t="s">
        <v>72</v>
      </c>
      <c r="D14654">
        <v>9900</v>
      </c>
      <c r="E14654">
        <v>2021</v>
      </c>
      <c r="F14654">
        <v>14</v>
      </c>
      <c r="G14654">
        <v>12365</v>
      </c>
      <c r="H14654" s="1">
        <v>0</v>
      </c>
      <c r="I14654">
        <v>0</v>
      </c>
      <c r="J14654">
        <f>IF($H14654=0,1,IF($I14654&lt;=1,2,0))</f>
        <v>1</v>
      </c>
      <c r="K14654">
        <v>5</v>
      </c>
      <c r="L14654">
        <f>IF(AND($J14654=0,$K14654=0),0,1)</f>
        <v>1</v>
      </c>
    </row>
    <row r="14655" spans="1:12" x14ac:dyDescent="0.2">
      <c r="A14655" t="s">
        <v>174</v>
      </c>
      <c r="B14655" t="s">
        <v>71</v>
      </c>
      <c r="C14655" t="s">
        <v>72</v>
      </c>
      <c r="D14655">
        <v>9900</v>
      </c>
      <c r="E14655">
        <v>2021</v>
      </c>
      <c r="F14655">
        <v>15</v>
      </c>
      <c r="G14655">
        <v>12366</v>
      </c>
      <c r="H14655" s="1">
        <v>0</v>
      </c>
      <c r="I14655">
        <v>0</v>
      </c>
      <c r="J14655">
        <f>IF($H14655=0,1,IF($I14655&lt;=1,2,0))</f>
        <v>1</v>
      </c>
      <c r="K14655">
        <v>5</v>
      </c>
      <c r="L14655">
        <f>IF(AND($J14655=0,$K14655=0),0,1)</f>
        <v>1</v>
      </c>
    </row>
    <row r="14656" spans="1:12" x14ac:dyDescent="0.2">
      <c r="A14656" t="s">
        <v>174</v>
      </c>
      <c r="B14656" t="s">
        <v>71</v>
      </c>
      <c r="C14656" t="s">
        <v>72</v>
      </c>
      <c r="D14656">
        <v>9900</v>
      </c>
      <c r="E14656">
        <v>2021</v>
      </c>
      <c r="F14656">
        <v>16</v>
      </c>
      <c r="G14656">
        <v>12367</v>
      </c>
      <c r="H14656" s="1">
        <v>0</v>
      </c>
      <c r="I14656">
        <v>0</v>
      </c>
      <c r="J14656">
        <f>IF($H14656=0,1,IF($I14656&lt;=1,2,0))</f>
        <v>1</v>
      </c>
      <c r="K14656">
        <v>5</v>
      </c>
      <c r="L14656">
        <f>IF(AND($J14656=0,$K14656=0),0,1)</f>
        <v>1</v>
      </c>
    </row>
    <row r="14657" spans="1:12" x14ac:dyDescent="0.2">
      <c r="A14657" t="s">
        <v>174</v>
      </c>
      <c r="B14657" t="s">
        <v>71</v>
      </c>
      <c r="C14657" t="s">
        <v>72</v>
      </c>
      <c r="D14657">
        <v>9900</v>
      </c>
      <c r="E14657">
        <v>2021</v>
      </c>
      <c r="F14657">
        <v>17</v>
      </c>
      <c r="G14657">
        <v>12368</v>
      </c>
      <c r="H14657" s="1">
        <v>0</v>
      </c>
      <c r="I14657">
        <v>0</v>
      </c>
      <c r="J14657">
        <f>IF($H14657=0,1,IF($I14657&lt;=1,2,0))</f>
        <v>1</v>
      </c>
      <c r="K14657">
        <v>5</v>
      </c>
      <c r="L14657">
        <f>IF(AND($J14657=0,$K14657=0),0,1)</f>
        <v>1</v>
      </c>
    </row>
    <row r="14658" spans="1:12" x14ac:dyDescent="0.2">
      <c r="A14658" t="s">
        <v>174</v>
      </c>
      <c r="B14658" t="s">
        <v>71</v>
      </c>
      <c r="C14658" t="s">
        <v>72</v>
      </c>
      <c r="D14658">
        <v>9900</v>
      </c>
      <c r="E14658">
        <v>2021</v>
      </c>
      <c r="F14658">
        <v>18</v>
      </c>
      <c r="G14658">
        <v>12369</v>
      </c>
      <c r="H14658" s="1">
        <v>0</v>
      </c>
      <c r="I14658">
        <v>0</v>
      </c>
      <c r="J14658">
        <f>IF($H14658=0,1,IF($I14658&lt;=1,2,0))</f>
        <v>1</v>
      </c>
      <c r="K14658">
        <v>5</v>
      </c>
      <c r="L14658">
        <f>IF(AND($J14658=0,$K14658=0),0,1)</f>
        <v>1</v>
      </c>
    </row>
    <row r="14659" spans="1:12" x14ac:dyDescent="0.2">
      <c r="A14659" t="s">
        <v>174</v>
      </c>
      <c r="B14659" t="s">
        <v>71</v>
      </c>
      <c r="C14659" t="s">
        <v>72</v>
      </c>
      <c r="D14659">
        <v>9900</v>
      </c>
      <c r="E14659">
        <v>2021</v>
      </c>
      <c r="F14659">
        <v>19</v>
      </c>
      <c r="G14659">
        <v>12370</v>
      </c>
      <c r="H14659" s="1">
        <v>0</v>
      </c>
      <c r="I14659">
        <v>0</v>
      </c>
      <c r="J14659">
        <f>IF($H14659=0,1,IF($I14659&lt;=1,2,0))</f>
        <v>1</v>
      </c>
      <c r="K14659">
        <v>5</v>
      </c>
      <c r="L14659">
        <f>IF(AND($J14659=0,$K14659=0),0,1)</f>
        <v>1</v>
      </c>
    </row>
    <row r="14660" spans="1:12" x14ac:dyDescent="0.2">
      <c r="A14660" t="s">
        <v>174</v>
      </c>
      <c r="B14660" t="s">
        <v>71</v>
      </c>
      <c r="C14660" t="s">
        <v>72</v>
      </c>
      <c r="D14660">
        <v>9900</v>
      </c>
      <c r="E14660">
        <v>2021</v>
      </c>
      <c r="F14660">
        <v>20</v>
      </c>
      <c r="G14660">
        <v>12371</v>
      </c>
      <c r="H14660" s="1">
        <v>0</v>
      </c>
      <c r="I14660">
        <v>0</v>
      </c>
      <c r="J14660">
        <f>IF($H14660=0,1,IF($I14660&lt;=1,2,0))</f>
        <v>1</v>
      </c>
      <c r="K14660">
        <v>5</v>
      </c>
      <c r="L14660">
        <f>IF(AND($J14660=0,$K14660=0),0,1)</f>
        <v>1</v>
      </c>
    </row>
    <row r="14661" spans="1:12" x14ac:dyDescent="0.2">
      <c r="A14661" t="s">
        <v>174</v>
      </c>
      <c r="B14661" t="s">
        <v>71</v>
      </c>
      <c r="C14661" t="s">
        <v>72</v>
      </c>
      <c r="D14661">
        <v>9900</v>
      </c>
      <c r="E14661">
        <v>2021</v>
      </c>
      <c r="F14661">
        <v>21</v>
      </c>
      <c r="G14661">
        <v>12372</v>
      </c>
      <c r="H14661" s="1">
        <v>0</v>
      </c>
      <c r="I14661">
        <v>0</v>
      </c>
      <c r="J14661">
        <f>IF($H14661=0,1,IF($I14661&lt;=1,2,0))</f>
        <v>1</v>
      </c>
      <c r="K14661">
        <v>5</v>
      </c>
      <c r="L14661">
        <f>IF(AND($J14661=0,$K14661=0),0,1)</f>
        <v>1</v>
      </c>
    </row>
    <row r="14662" spans="1:12" x14ac:dyDescent="0.2">
      <c r="A14662" t="s">
        <v>174</v>
      </c>
      <c r="B14662" t="s">
        <v>71</v>
      </c>
      <c r="C14662" t="s">
        <v>72</v>
      </c>
      <c r="D14662">
        <v>9900</v>
      </c>
      <c r="E14662">
        <v>2021</v>
      </c>
      <c r="F14662">
        <v>22</v>
      </c>
      <c r="G14662">
        <v>12373</v>
      </c>
      <c r="H14662" s="1">
        <v>0</v>
      </c>
      <c r="I14662">
        <v>0</v>
      </c>
      <c r="J14662">
        <f>IF($H14662=0,1,IF($I14662&lt;=1,2,0))</f>
        <v>1</v>
      </c>
      <c r="K14662">
        <v>5</v>
      </c>
      <c r="L14662">
        <f>IF(AND($J14662=0,$K14662=0),0,1)</f>
        <v>1</v>
      </c>
    </row>
    <row r="14663" spans="1:12" x14ac:dyDescent="0.2">
      <c r="A14663" t="s">
        <v>174</v>
      </c>
      <c r="B14663" t="s">
        <v>71</v>
      </c>
      <c r="C14663" t="s">
        <v>72</v>
      </c>
      <c r="D14663">
        <v>9900</v>
      </c>
      <c r="E14663">
        <v>2021</v>
      </c>
      <c r="F14663">
        <v>23</v>
      </c>
      <c r="G14663">
        <v>12374</v>
      </c>
      <c r="H14663" s="1">
        <v>0</v>
      </c>
      <c r="I14663">
        <v>0</v>
      </c>
      <c r="J14663">
        <f>IF($H14663=0,1,IF($I14663&lt;=1,2,0))</f>
        <v>1</v>
      </c>
      <c r="K14663">
        <v>5</v>
      </c>
      <c r="L14663">
        <f>IF(AND($J14663=0,$K14663=0),0,1)</f>
        <v>1</v>
      </c>
    </row>
    <row r="14664" spans="1:12" x14ac:dyDescent="0.2">
      <c r="A14664" t="s">
        <v>174</v>
      </c>
      <c r="B14664" t="s">
        <v>71</v>
      </c>
      <c r="C14664" t="s">
        <v>72</v>
      </c>
      <c r="D14664">
        <v>9900</v>
      </c>
      <c r="E14664">
        <v>2021</v>
      </c>
      <c r="F14664">
        <v>24</v>
      </c>
      <c r="G14664">
        <v>12375</v>
      </c>
      <c r="H14664" s="1">
        <v>0</v>
      </c>
      <c r="I14664">
        <v>0</v>
      </c>
      <c r="J14664">
        <f>IF($H14664=0,1,IF($I14664&lt;=1,2,0))</f>
        <v>1</v>
      </c>
      <c r="K14664">
        <v>5</v>
      </c>
      <c r="L14664">
        <f>IF(AND($J14664=0,$K14664=0),0,1)</f>
        <v>1</v>
      </c>
    </row>
    <row r="14665" spans="1:12" x14ac:dyDescent="0.2">
      <c r="A14665" t="s">
        <v>174</v>
      </c>
      <c r="B14665" t="s">
        <v>71</v>
      </c>
      <c r="C14665" t="s">
        <v>72</v>
      </c>
      <c r="D14665">
        <v>9900</v>
      </c>
      <c r="E14665">
        <v>2021</v>
      </c>
      <c r="F14665">
        <v>25</v>
      </c>
      <c r="G14665">
        <v>12376</v>
      </c>
      <c r="H14665" s="1">
        <v>0</v>
      </c>
      <c r="I14665">
        <v>0</v>
      </c>
      <c r="J14665">
        <f>IF($H14665=0,1,IF($I14665&lt;=1,2,0))</f>
        <v>1</v>
      </c>
      <c r="K14665">
        <v>5</v>
      </c>
      <c r="L14665">
        <f>IF(AND($J14665=0,$K14665=0),0,1)</f>
        <v>1</v>
      </c>
    </row>
    <row r="14666" spans="1:12" x14ac:dyDescent="0.2">
      <c r="A14666" t="s">
        <v>174</v>
      </c>
      <c r="B14666" t="s">
        <v>71</v>
      </c>
      <c r="C14666" t="s">
        <v>72</v>
      </c>
      <c r="D14666">
        <v>9900</v>
      </c>
      <c r="E14666">
        <v>2021</v>
      </c>
      <c r="F14666">
        <v>26</v>
      </c>
      <c r="G14666">
        <v>12377</v>
      </c>
      <c r="H14666" s="1">
        <v>0</v>
      </c>
      <c r="I14666">
        <v>0</v>
      </c>
      <c r="J14666">
        <f>IF($H14666=0,1,IF($I14666&lt;=1,2,0))</f>
        <v>1</v>
      </c>
      <c r="K14666">
        <v>5</v>
      </c>
      <c r="L14666">
        <f>IF(AND($J14666=0,$K14666=0),0,1)</f>
        <v>1</v>
      </c>
    </row>
    <row r="14667" spans="1:12" x14ac:dyDescent="0.2">
      <c r="A14667" t="s">
        <v>174</v>
      </c>
      <c r="B14667" t="s">
        <v>71</v>
      </c>
      <c r="C14667" t="s">
        <v>72</v>
      </c>
      <c r="D14667">
        <v>9900</v>
      </c>
      <c r="E14667">
        <v>2021</v>
      </c>
      <c r="F14667">
        <v>27</v>
      </c>
      <c r="G14667">
        <v>12378</v>
      </c>
      <c r="H14667" s="1">
        <v>0</v>
      </c>
      <c r="I14667">
        <v>0</v>
      </c>
      <c r="J14667">
        <f>IF($H14667=0,1,IF($I14667&lt;=1,2,0))</f>
        <v>1</v>
      </c>
      <c r="K14667">
        <v>5</v>
      </c>
      <c r="L14667">
        <f>IF(AND($J14667=0,$K14667=0),0,1)</f>
        <v>1</v>
      </c>
    </row>
    <row r="14668" spans="1:12" x14ac:dyDescent="0.2">
      <c r="A14668" t="s">
        <v>174</v>
      </c>
      <c r="B14668" t="s">
        <v>71</v>
      </c>
      <c r="C14668" t="s">
        <v>72</v>
      </c>
      <c r="D14668">
        <v>9900</v>
      </c>
      <c r="E14668">
        <v>2021</v>
      </c>
      <c r="F14668">
        <v>28</v>
      </c>
      <c r="G14668">
        <v>12379</v>
      </c>
      <c r="H14668" s="1">
        <v>0</v>
      </c>
      <c r="I14668">
        <v>0</v>
      </c>
      <c r="J14668">
        <f>IF($H14668=0,1,IF($I14668&lt;=1,2,0))</f>
        <v>1</v>
      </c>
      <c r="K14668">
        <v>5</v>
      </c>
      <c r="L14668">
        <f>IF(AND($J14668=0,$K14668=0),0,1)</f>
        <v>1</v>
      </c>
    </row>
    <row r="14669" spans="1:12" x14ac:dyDescent="0.2">
      <c r="A14669" t="s">
        <v>174</v>
      </c>
      <c r="B14669" t="s">
        <v>71</v>
      </c>
      <c r="C14669" t="s">
        <v>72</v>
      </c>
      <c r="D14669">
        <v>9900</v>
      </c>
      <c r="E14669">
        <v>2021</v>
      </c>
      <c r="F14669">
        <v>29</v>
      </c>
      <c r="G14669">
        <v>12380</v>
      </c>
      <c r="H14669" s="1">
        <v>0</v>
      </c>
      <c r="I14669">
        <v>0</v>
      </c>
      <c r="J14669">
        <f>IF($H14669=0,1,IF($I14669&lt;=1,2,0))</f>
        <v>1</v>
      </c>
      <c r="K14669">
        <v>5</v>
      </c>
      <c r="L14669">
        <f>IF(AND($J14669=0,$K14669=0),0,1)</f>
        <v>1</v>
      </c>
    </row>
    <row r="14670" spans="1:12" x14ac:dyDescent="0.2">
      <c r="A14670" t="s">
        <v>174</v>
      </c>
      <c r="B14670" t="s">
        <v>71</v>
      </c>
      <c r="C14670" t="s">
        <v>72</v>
      </c>
      <c r="D14670">
        <v>9900</v>
      </c>
      <c r="E14670">
        <v>2021</v>
      </c>
      <c r="F14670">
        <v>30</v>
      </c>
      <c r="G14670">
        <v>12381</v>
      </c>
      <c r="H14670" s="1">
        <v>0</v>
      </c>
      <c r="I14670">
        <v>0</v>
      </c>
      <c r="J14670">
        <f>IF($H14670=0,1,IF($I14670&lt;=1,2,0))</f>
        <v>1</v>
      </c>
      <c r="K14670">
        <v>5</v>
      </c>
      <c r="L14670">
        <f>IF(AND($J14670=0,$K14670=0),0,1)</f>
        <v>1</v>
      </c>
    </row>
    <row r="14671" spans="1:12" x14ac:dyDescent="0.2">
      <c r="A14671" t="s">
        <v>174</v>
      </c>
      <c r="B14671" t="s">
        <v>71</v>
      </c>
      <c r="C14671" t="s">
        <v>72</v>
      </c>
      <c r="D14671">
        <v>9900</v>
      </c>
      <c r="E14671">
        <v>2021</v>
      </c>
      <c r="F14671">
        <v>31</v>
      </c>
      <c r="G14671">
        <v>12382</v>
      </c>
      <c r="H14671" s="1">
        <v>0</v>
      </c>
      <c r="I14671">
        <v>0</v>
      </c>
      <c r="J14671">
        <f>IF($H14671=0,1,IF($I14671&lt;=1,2,0))</f>
        <v>1</v>
      </c>
      <c r="K14671">
        <v>5</v>
      </c>
      <c r="L14671">
        <f>IF(AND($J14671=0,$K14671=0),0,1)</f>
        <v>1</v>
      </c>
    </row>
    <row r="14672" spans="1:12" x14ac:dyDescent="0.2">
      <c r="A14672" t="s">
        <v>174</v>
      </c>
      <c r="B14672" t="s">
        <v>71</v>
      </c>
      <c r="C14672" t="s">
        <v>72</v>
      </c>
      <c r="D14672">
        <v>9900</v>
      </c>
      <c r="E14672">
        <v>2021</v>
      </c>
      <c r="F14672">
        <v>32</v>
      </c>
      <c r="G14672">
        <v>12383</v>
      </c>
      <c r="H14672" s="1">
        <v>0</v>
      </c>
      <c r="I14672">
        <v>0</v>
      </c>
      <c r="J14672">
        <f>IF($H14672=0,1,IF($I14672&lt;=1,2,0))</f>
        <v>1</v>
      </c>
      <c r="K14672">
        <v>5</v>
      </c>
      <c r="L14672">
        <f>IF(AND($J14672=0,$K14672=0),0,1)</f>
        <v>1</v>
      </c>
    </row>
    <row r="14673" spans="1:13" x14ac:dyDescent="0.2">
      <c r="A14673" t="s">
        <v>174</v>
      </c>
      <c r="B14673" t="s">
        <v>71</v>
      </c>
      <c r="C14673" t="s">
        <v>72</v>
      </c>
      <c r="D14673">
        <v>9900</v>
      </c>
      <c r="E14673">
        <v>2021</v>
      </c>
      <c r="F14673">
        <v>34</v>
      </c>
      <c r="G14673">
        <v>12384</v>
      </c>
      <c r="H14673" s="1">
        <v>0</v>
      </c>
      <c r="I14673">
        <v>0</v>
      </c>
      <c r="J14673">
        <f>IF($H14673=0,1,IF($I14673&lt;=1,2,0))</f>
        <v>1</v>
      </c>
      <c r="K14673">
        <v>5</v>
      </c>
      <c r="L14673">
        <f>IF(AND($J14673=0,$K14673=0),0,1)</f>
        <v>1</v>
      </c>
    </row>
    <row r="14674" spans="1:13" x14ac:dyDescent="0.2">
      <c r="A14674" t="s">
        <v>174</v>
      </c>
      <c r="B14674" t="s">
        <v>71</v>
      </c>
      <c r="C14674" t="s">
        <v>72</v>
      </c>
      <c r="D14674">
        <v>9900</v>
      </c>
      <c r="E14674">
        <v>2021</v>
      </c>
      <c r="F14674">
        <v>35</v>
      </c>
      <c r="G14674">
        <v>12385</v>
      </c>
      <c r="H14674" s="1">
        <v>0</v>
      </c>
      <c r="I14674">
        <v>0</v>
      </c>
      <c r="J14674">
        <f>IF($H14674=0,1,IF($I14674&lt;=1,2,0))</f>
        <v>1</v>
      </c>
      <c r="K14674">
        <v>5</v>
      </c>
      <c r="L14674">
        <f>IF(AND($J14674=0,$K14674=0),0,1)</f>
        <v>1</v>
      </c>
    </row>
    <row r="14675" spans="1:13" x14ac:dyDescent="0.2">
      <c r="A14675" t="s">
        <v>174</v>
      </c>
      <c r="B14675" t="s">
        <v>71</v>
      </c>
      <c r="C14675" t="s">
        <v>72</v>
      </c>
      <c r="D14675">
        <v>9900</v>
      </c>
      <c r="E14675">
        <v>2021</v>
      </c>
      <c r="F14675">
        <v>36</v>
      </c>
      <c r="G14675">
        <v>12386</v>
      </c>
      <c r="H14675" s="1">
        <v>0</v>
      </c>
      <c r="I14675">
        <v>0</v>
      </c>
      <c r="J14675">
        <f>IF($H14675=0,1,IF($I14675&lt;=1,2,0))</f>
        <v>1</v>
      </c>
      <c r="K14675">
        <v>5</v>
      </c>
      <c r="L14675">
        <f>IF(AND($J14675=0,$K14675=0),0,1)</f>
        <v>1</v>
      </c>
    </row>
    <row r="14676" spans="1:13" x14ac:dyDescent="0.2">
      <c r="A14676" t="s">
        <v>174</v>
      </c>
      <c r="B14676" t="s">
        <v>71</v>
      </c>
      <c r="C14676" t="s">
        <v>72</v>
      </c>
      <c r="D14676">
        <v>9900</v>
      </c>
      <c r="E14676">
        <v>2021</v>
      </c>
      <c r="F14676">
        <v>37</v>
      </c>
      <c r="G14676">
        <v>12387</v>
      </c>
      <c r="H14676" s="1">
        <v>0</v>
      </c>
      <c r="I14676">
        <v>0</v>
      </c>
      <c r="J14676">
        <f>IF($H14676=0,1,IF($I14676&lt;=1,2,0))</f>
        <v>1</v>
      </c>
      <c r="K14676">
        <v>5</v>
      </c>
      <c r="L14676">
        <f>IF(AND($J14676=0,$K14676=0),0,1)</f>
        <v>1</v>
      </c>
    </row>
    <row r="14677" spans="1:13" x14ac:dyDescent="0.2">
      <c r="A14677" t="s">
        <v>174</v>
      </c>
      <c r="B14677" t="s">
        <v>71</v>
      </c>
      <c r="C14677" t="s">
        <v>72</v>
      </c>
      <c r="D14677">
        <v>9900</v>
      </c>
      <c r="E14677">
        <v>2021</v>
      </c>
      <c r="F14677">
        <v>38</v>
      </c>
      <c r="G14677">
        <v>12388</v>
      </c>
      <c r="H14677" s="1">
        <v>0</v>
      </c>
      <c r="I14677">
        <v>0</v>
      </c>
      <c r="J14677">
        <f>IF($H14677=0,1,IF($I14677&lt;=1,2,0))</f>
        <v>1</v>
      </c>
      <c r="K14677">
        <v>5</v>
      </c>
      <c r="L14677">
        <f>IF(AND($J14677=0,$K14677=0),0,1)</f>
        <v>1</v>
      </c>
    </row>
    <row r="14678" spans="1:13" x14ac:dyDescent="0.2">
      <c r="A14678" t="s">
        <v>182</v>
      </c>
      <c r="B14678" t="s">
        <v>6</v>
      </c>
      <c r="C14678" t="s">
        <v>183</v>
      </c>
      <c r="D14678">
        <v>5001</v>
      </c>
      <c r="E14678">
        <v>2021</v>
      </c>
      <c r="F14678">
        <v>3</v>
      </c>
      <c r="G14678">
        <v>13563</v>
      </c>
      <c r="H14678" s="1">
        <v>3</v>
      </c>
      <c r="I14678">
        <v>24</v>
      </c>
      <c r="J14678">
        <f>IF($H14678=0,1,IF($I14678&lt;=1,2,0))</f>
        <v>0</v>
      </c>
      <c r="K14678">
        <v>6</v>
      </c>
      <c r="L14678">
        <f>IF(AND($J14678=0,$K14678=0),0,1)</f>
        <v>1</v>
      </c>
      <c r="M14678" t="s">
        <v>1435</v>
      </c>
    </row>
    <row r="14679" spans="1:13" x14ac:dyDescent="0.2">
      <c r="A14679" t="s">
        <v>182</v>
      </c>
      <c r="B14679" t="s">
        <v>6</v>
      </c>
      <c r="C14679" t="s">
        <v>183</v>
      </c>
      <c r="D14679">
        <v>5001</v>
      </c>
      <c r="E14679">
        <v>2021</v>
      </c>
      <c r="F14679" t="s">
        <v>185</v>
      </c>
      <c r="G14679">
        <v>13564</v>
      </c>
      <c r="H14679" s="1">
        <v>3</v>
      </c>
      <c r="I14679">
        <v>15</v>
      </c>
      <c r="J14679">
        <f>IF($H14679=0,1,IF($I14679&lt;=1,2,0))</f>
        <v>0</v>
      </c>
      <c r="K14679">
        <v>6</v>
      </c>
      <c r="L14679">
        <f>IF(AND($J14679=0,$K14679=0),0,1)</f>
        <v>1</v>
      </c>
      <c r="M14679" t="s">
        <v>1437</v>
      </c>
    </row>
    <row r="14680" spans="1:13" x14ac:dyDescent="0.2">
      <c r="A14680" t="s">
        <v>182</v>
      </c>
      <c r="B14680" t="s">
        <v>6</v>
      </c>
      <c r="C14680" t="s">
        <v>183</v>
      </c>
      <c r="D14680">
        <v>5001</v>
      </c>
      <c r="E14680">
        <v>2021</v>
      </c>
      <c r="F14680" t="s">
        <v>1436</v>
      </c>
      <c r="G14680">
        <v>18946</v>
      </c>
      <c r="H14680" s="1">
        <v>0</v>
      </c>
      <c r="I14680">
        <v>3</v>
      </c>
      <c r="J14680">
        <f>IF($H14680=0,1,IF($I14680&lt;=1,2,0))</f>
        <v>1</v>
      </c>
      <c r="K14680">
        <v>6</v>
      </c>
      <c r="L14680">
        <f>IF(AND($J14680=0,$K14680=0),0,1)</f>
        <v>1</v>
      </c>
      <c r="M14680" t="s">
        <v>184</v>
      </c>
    </row>
    <row r="14681" spans="1:13" x14ac:dyDescent="0.2">
      <c r="A14681" t="s">
        <v>182</v>
      </c>
      <c r="B14681" t="s">
        <v>6</v>
      </c>
      <c r="C14681" t="s">
        <v>183</v>
      </c>
      <c r="D14681">
        <v>5001</v>
      </c>
      <c r="E14681">
        <v>2021</v>
      </c>
      <c r="F14681">
        <v>1</v>
      </c>
      <c r="G14681">
        <v>13562</v>
      </c>
      <c r="H14681" s="1">
        <v>3</v>
      </c>
      <c r="I14681">
        <v>2</v>
      </c>
      <c r="J14681">
        <f>IF($H14681=0,1,IF($I14681&lt;=1,2,0))</f>
        <v>0</v>
      </c>
      <c r="K14681">
        <v>6</v>
      </c>
      <c r="L14681">
        <f>IF(AND($J14681=0,$K14681=0),0,1)</f>
        <v>1</v>
      </c>
      <c r="M14681" t="s">
        <v>1435</v>
      </c>
    </row>
    <row r="14682" spans="1:13" x14ac:dyDescent="0.2">
      <c r="A14682" t="s">
        <v>182</v>
      </c>
      <c r="B14682" t="s">
        <v>6</v>
      </c>
      <c r="C14682" t="s">
        <v>183</v>
      </c>
      <c r="D14682">
        <v>5001</v>
      </c>
      <c r="E14682">
        <v>2021</v>
      </c>
      <c r="F14682" t="s">
        <v>1349</v>
      </c>
      <c r="G14682">
        <v>18945</v>
      </c>
      <c r="H14682" s="1">
        <v>0</v>
      </c>
      <c r="I14682">
        <v>2</v>
      </c>
      <c r="J14682">
        <f>IF($H14682=0,1,IF($I14682&lt;=1,2,0))</f>
        <v>1</v>
      </c>
      <c r="K14682">
        <v>6</v>
      </c>
      <c r="L14682">
        <f>IF(AND($J14682=0,$K14682=0),0,1)</f>
        <v>1</v>
      </c>
    </row>
    <row r="14683" spans="1:13" x14ac:dyDescent="0.2">
      <c r="A14683" t="s">
        <v>182</v>
      </c>
      <c r="B14683" t="s">
        <v>6</v>
      </c>
      <c r="C14683" t="s">
        <v>183</v>
      </c>
      <c r="D14683">
        <v>5003</v>
      </c>
      <c r="E14683">
        <v>2021</v>
      </c>
      <c r="F14683">
        <v>3</v>
      </c>
      <c r="G14683">
        <v>13566</v>
      </c>
      <c r="H14683" s="1">
        <v>3</v>
      </c>
      <c r="I14683">
        <v>30</v>
      </c>
      <c r="J14683">
        <f>IF($H14683=0,1,IF($I14683&lt;=1,2,0))</f>
        <v>0</v>
      </c>
      <c r="K14683">
        <v>6</v>
      </c>
      <c r="L14683">
        <f>IF(AND($J14683=0,$K14683=0),0,1)</f>
        <v>1</v>
      </c>
      <c r="M14683" t="s">
        <v>1438</v>
      </c>
    </row>
    <row r="14684" spans="1:13" x14ac:dyDescent="0.2">
      <c r="A14684" t="s">
        <v>182</v>
      </c>
      <c r="B14684" t="s">
        <v>6</v>
      </c>
      <c r="C14684" t="s">
        <v>183</v>
      </c>
      <c r="D14684">
        <v>5003</v>
      </c>
      <c r="E14684">
        <v>2021</v>
      </c>
      <c r="F14684" t="s">
        <v>185</v>
      </c>
      <c r="G14684">
        <v>13567</v>
      </c>
      <c r="H14684" s="1">
        <v>3</v>
      </c>
      <c r="I14684">
        <v>14</v>
      </c>
      <c r="J14684">
        <f>IF($H14684=0,1,IF($I14684&lt;=1,2,0))</f>
        <v>0</v>
      </c>
      <c r="K14684">
        <v>6</v>
      </c>
      <c r="L14684">
        <f>IF(AND($J14684=0,$K14684=0),0,1)</f>
        <v>1</v>
      </c>
      <c r="M14684" t="s">
        <v>184</v>
      </c>
    </row>
    <row r="14685" spans="1:13" x14ac:dyDescent="0.2">
      <c r="A14685" t="s">
        <v>182</v>
      </c>
      <c r="B14685" t="s">
        <v>6</v>
      </c>
      <c r="C14685" t="s">
        <v>183</v>
      </c>
      <c r="D14685">
        <v>5003</v>
      </c>
      <c r="E14685">
        <v>2021</v>
      </c>
      <c r="F14685" t="s">
        <v>1439</v>
      </c>
      <c r="G14685">
        <v>18949</v>
      </c>
      <c r="H14685" s="1">
        <v>0</v>
      </c>
      <c r="I14685">
        <v>3</v>
      </c>
      <c r="J14685">
        <f>IF($H14685=0,1,IF($I14685&lt;=1,2,0))</f>
        <v>1</v>
      </c>
      <c r="K14685">
        <v>6</v>
      </c>
      <c r="L14685">
        <f>IF(AND($J14685=0,$K14685=0),0,1)</f>
        <v>1</v>
      </c>
    </row>
    <row r="14686" spans="1:13" x14ac:dyDescent="0.2">
      <c r="A14686" t="s">
        <v>182</v>
      </c>
      <c r="B14686" t="s">
        <v>6</v>
      </c>
      <c r="C14686" t="s">
        <v>183</v>
      </c>
      <c r="D14686">
        <v>5003</v>
      </c>
      <c r="E14686">
        <v>2021</v>
      </c>
      <c r="F14686" t="s">
        <v>1436</v>
      </c>
      <c r="G14686">
        <v>18948</v>
      </c>
      <c r="H14686" s="1">
        <v>0</v>
      </c>
      <c r="I14686">
        <v>1</v>
      </c>
      <c r="J14686">
        <f>IF($H14686=0,1,IF($I14686&lt;=1,2,0))</f>
        <v>1</v>
      </c>
      <c r="K14686">
        <v>6</v>
      </c>
      <c r="L14686">
        <f>IF(AND($J14686=0,$K14686=0),0,1)</f>
        <v>1</v>
      </c>
      <c r="M14686" t="s">
        <v>184</v>
      </c>
    </row>
    <row r="14687" spans="1:13" x14ac:dyDescent="0.2">
      <c r="A14687" t="s">
        <v>182</v>
      </c>
      <c r="B14687" t="s">
        <v>6</v>
      </c>
      <c r="C14687" t="s">
        <v>183</v>
      </c>
      <c r="D14687">
        <v>5008</v>
      </c>
      <c r="E14687">
        <v>2021</v>
      </c>
      <c r="F14687">
        <v>1</v>
      </c>
      <c r="G14687">
        <v>13568</v>
      </c>
      <c r="H14687" s="1">
        <v>3</v>
      </c>
      <c r="I14687">
        <v>16</v>
      </c>
      <c r="J14687">
        <f>IF($H14687=0,1,IF($I14687&lt;=1,2,0))</f>
        <v>0</v>
      </c>
      <c r="K14687">
        <v>6</v>
      </c>
      <c r="L14687">
        <f>IF(AND($J14687=0,$K14687=0),0,1)</f>
        <v>1</v>
      </c>
      <c r="M14687" t="s">
        <v>1438</v>
      </c>
    </row>
    <row r="14688" spans="1:13" x14ac:dyDescent="0.2">
      <c r="A14688" t="s">
        <v>182</v>
      </c>
      <c r="B14688" t="s">
        <v>6</v>
      </c>
      <c r="C14688" t="s">
        <v>183</v>
      </c>
      <c r="D14688">
        <v>5008</v>
      </c>
      <c r="E14688">
        <v>2021</v>
      </c>
      <c r="F14688" t="s">
        <v>1349</v>
      </c>
      <c r="G14688">
        <v>20209</v>
      </c>
      <c r="H14688" s="1">
        <v>0</v>
      </c>
      <c r="I14688">
        <v>1</v>
      </c>
      <c r="J14688">
        <f>IF($H14688=0,1,IF($I14688&lt;=1,2,0))</f>
        <v>1</v>
      </c>
      <c r="K14688">
        <v>6</v>
      </c>
      <c r="L14688">
        <f>IF(AND($J14688=0,$K14688=0),0,1)</f>
        <v>1</v>
      </c>
    </row>
    <row r="14689" spans="1:13" x14ac:dyDescent="0.2">
      <c r="A14689" t="s">
        <v>182</v>
      </c>
      <c r="B14689" t="s">
        <v>6</v>
      </c>
      <c r="C14689" t="s">
        <v>183</v>
      </c>
      <c r="D14689">
        <v>5009</v>
      </c>
      <c r="E14689">
        <v>2021</v>
      </c>
      <c r="F14689" t="s">
        <v>185</v>
      </c>
      <c r="G14689">
        <v>13571</v>
      </c>
      <c r="H14689" s="1">
        <v>3</v>
      </c>
      <c r="I14689">
        <v>22</v>
      </c>
      <c r="J14689">
        <f>IF($H14689=0,1,IF($I14689&lt;=1,2,0))</f>
        <v>0</v>
      </c>
      <c r="K14689">
        <v>6</v>
      </c>
      <c r="L14689">
        <f>IF(AND($J14689=0,$K14689=0),0,1)</f>
        <v>1</v>
      </c>
      <c r="M14689" t="s">
        <v>184</v>
      </c>
    </row>
    <row r="14690" spans="1:13" x14ac:dyDescent="0.2">
      <c r="A14690" t="s">
        <v>182</v>
      </c>
      <c r="B14690" t="s">
        <v>6</v>
      </c>
      <c r="C14690" t="s">
        <v>183</v>
      </c>
      <c r="D14690">
        <v>5009</v>
      </c>
      <c r="E14690">
        <v>2021</v>
      </c>
      <c r="F14690">
        <v>1</v>
      </c>
      <c r="G14690">
        <v>13569</v>
      </c>
      <c r="H14690" s="1">
        <v>3</v>
      </c>
      <c r="I14690">
        <v>17</v>
      </c>
      <c r="J14690">
        <f>IF($H14690=0,1,IF($I14690&lt;=1,2,0))</f>
        <v>0</v>
      </c>
      <c r="K14690">
        <v>6</v>
      </c>
      <c r="L14690">
        <f>IF(AND($J14690=0,$K14690=0),0,1)</f>
        <v>1</v>
      </c>
      <c r="M14690" t="s">
        <v>1438</v>
      </c>
    </row>
    <row r="14691" spans="1:13" x14ac:dyDescent="0.2">
      <c r="A14691" t="s">
        <v>182</v>
      </c>
      <c r="B14691" t="s">
        <v>6</v>
      </c>
      <c r="C14691" t="s">
        <v>183</v>
      </c>
      <c r="D14691">
        <v>5009</v>
      </c>
      <c r="E14691">
        <v>2021</v>
      </c>
      <c r="F14691">
        <v>3</v>
      </c>
      <c r="G14691">
        <v>13570</v>
      </c>
      <c r="H14691" s="1">
        <v>3</v>
      </c>
      <c r="I14691">
        <v>11</v>
      </c>
      <c r="J14691">
        <f>IF($H14691=0,1,IF($I14691&lt;=1,2,0))</f>
        <v>0</v>
      </c>
      <c r="K14691">
        <v>6</v>
      </c>
      <c r="L14691">
        <f>IF(AND($J14691=0,$K14691=0),0,1)</f>
        <v>1</v>
      </c>
      <c r="M14691" t="s">
        <v>1438</v>
      </c>
    </row>
    <row r="14692" spans="1:13" x14ac:dyDescent="0.2">
      <c r="A14692" t="s">
        <v>182</v>
      </c>
      <c r="B14692" t="s">
        <v>6</v>
      </c>
      <c r="C14692" t="s">
        <v>183</v>
      </c>
      <c r="D14692">
        <v>5009</v>
      </c>
      <c r="E14692">
        <v>2021</v>
      </c>
      <c r="F14692" t="s">
        <v>1349</v>
      </c>
      <c r="G14692">
        <v>18950</v>
      </c>
      <c r="H14692" s="1">
        <v>0</v>
      </c>
      <c r="I14692">
        <v>3</v>
      </c>
      <c r="J14692">
        <f>IF($H14692=0,1,IF($I14692&lt;=1,2,0))</f>
        <v>1</v>
      </c>
      <c r="K14692">
        <v>6</v>
      </c>
      <c r="L14692">
        <f>IF(AND($J14692=0,$K14692=0),0,1)</f>
        <v>1</v>
      </c>
    </row>
    <row r="14693" spans="1:13" x14ac:dyDescent="0.2">
      <c r="A14693" t="s">
        <v>182</v>
      </c>
      <c r="B14693" t="s">
        <v>6</v>
      </c>
      <c r="C14693" t="s">
        <v>183</v>
      </c>
      <c r="D14693">
        <v>5009</v>
      </c>
      <c r="E14693">
        <v>2021</v>
      </c>
      <c r="F14693" t="s">
        <v>1436</v>
      </c>
      <c r="G14693">
        <v>18951</v>
      </c>
      <c r="H14693" s="1">
        <v>0</v>
      </c>
      <c r="I14693">
        <v>1</v>
      </c>
      <c r="J14693">
        <f>IF($H14693=0,1,IF($I14693&lt;=1,2,0))</f>
        <v>1</v>
      </c>
      <c r="K14693">
        <v>6</v>
      </c>
      <c r="L14693">
        <f>IF(AND($J14693=0,$K14693=0),0,1)</f>
        <v>1</v>
      </c>
      <c r="M14693" t="s">
        <v>184</v>
      </c>
    </row>
    <row r="14694" spans="1:13" x14ac:dyDescent="0.2">
      <c r="A14694" t="s">
        <v>182</v>
      </c>
      <c r="B14694" t="s">
        <v>6</v>
      </c>
      <c r="C14694" t="s">
        <v>183</v>
      </c>
      <c r="D14694">
        <v>5009</v>
      </c>
      <c r="E14694">
        <v>2021</v>
      </c>
      <c r="F14694" t="s">
        <v>1439</v>
      </c>
      <c r="G14694">
        <v>18952</v>
      </c>
      <c r="H14694" s="1">
        <v>0</v>
      </c>
      <c r="I14694">
        <v>0</v>
      </c>
      <c r="J14694">
        <f>IF($H14694=0,1,IF($I14694&lt;=1,2,0))</f>
        <v>1</v>
      </c>
      <c r="K14694">
        <v>6</v>
      </c>
      <c r="L14694">
        <f>IF(AND($J14694=0,$K14694=0),0,1)</f>
        <v>1</v>
      </c>
    </row>
    <row r="14695" spans="1:13" x14ac:dyDescent="0.2">
      <c r="A14695" t="s">
        <v>182</v>
      </c>
      <c r="B14695" t="s">
        <v>6</v>
      </c>
      <c r="C14695" t="s">
        <v>183</v>
      </c>
      <c r="D14695">
        <v>5010</v>
      </c>
      <c r="E14695">
        <v>2021</v>
      </c>
      <c r="F14695">
        <v>3</v>
      </c>
      <c r="G14695">
        <v>13573</v>
      </c>
      <c r="H14695" s="1">
        <v>3</v>
      </c>
      <c r="I14695">
        <v>18</v>
      </c>
      <c r="J14695">
        <f>IF($H14695=0,1,IF($I14695&lt;=1,2,0))</f>
        <v>0</v>
      </c>
      <c r="K14695">
        <v>6</v>
      </c>
      <c r="L14695">
        <f>IF(AND($J14695=0,$K14695=0),0,1)</f>
        <v>1</v>
      </c>
      <c r="M14695" t="s">
        <v>1435</v>
      </c>
    </row>
    <row r="14696" spans="1:13" x14ac:dyDescent="0.2">
      <c r="A14696" t="s">
        <v>182</v>
      </c>
      <c r="B14696" t="s">
        <v>6</v>
      </c>
      <c r="C14696" t="s">
        <v>183</v>
      </c>
      <c r="D14696">
        <v>5010</v>
      </c>
      <c r="E14696">
        <v>2021</v>
      </c>
      <c r="F14696" t="s">
        <v>185</v>
      </c>
      <c r="G14696">
        <v>13574</v>
      </c>
      <c r="H14696" s="1">
        <v>3</v>
      </c>
      <c r="I14696">
        <v>9</v>
      </c>
      <c r="J14696">
        <f>IF($H14696=0,1,IF($I14696&lt;=1,2,0))</f>
        <v>0</v>
      </c>
      <c r="K14696">
        <v>6</v>
      </c>
      <c r="L14696">
        <f>IF(AND($J14696=0,$K14696=0),0,1)</f>
        <v>1</v>
      </c>
      <c r="M14696" t="s">
        <v>1440</v>
      </c>
    </row>
    <row r="14697" spans="1:13" x14ac:dyDescent="0.2">
      <c r="A14697" t="s">
        <v>182</v>
      </c>
      <c r="B14697" t="s">
        <v>6</v>
      </c>
      <c r="C14697" t="s">
        <v>183</v>
      </c>
      <c r="D14697">
        <v>5010</v>
      </c>
      <c r="E14697">
        <v>2021</v>
      </c>
      <c r="F14697" t="s">
        <v>1436</v>
      </c>
      <c r="G14697">
        <v>18953</v>
      </c>
      <c r="H14697" s="1">
        <v>0</v>
      </c>
      <c r="I14697">
        <v>6</v>
      </c>
      <c r="J14697">
        <f>IF($H14697=0,1,IF($I14697&lt;=1,2,0))</f>
        <v>1</v>
      </c>
      <c r="K14697">
        <v>6</v>
      </c>
      <c r="L14697">
        <f>IF(AND($J14697=0,$K14697=0),0,1)</f>
        <v>1</v>
      </c>
      <c r="M14697" t="s">
        <v>184</v>
      </c>
    </row>
    <row r="14698" spans="1:13" x14ac:dyDescent="0.2">
      <c r="A14698" t="s">
        <v>182</v>
      </c>
      <c r="B14698" t="s">
        <v>6</v>
      </c>
      <c r="C14698" t="s">
        <v>183</v>
      </c>
      <c r="D14698">
        <v>5010</v>
      </c>
      <c r="E14698">
        <v>2021</v>
      </c>
      <c r="F14698" t="s">
        <v>1439</v>
      </c>
      <c r="G14698">
        <v>18954</v>
      </c>
      <c r="H14698" s="1">
        <v>0</v>
      </c>
      <c r="I14698">
        <v>1</v>
      </c>
      <c r="J14698">
        <f>IF($H14698=0,1,IF($I14698&lt;=1,2,0))</f>
        <v>1</v>
      </c>
      <c r="K14698">
        <v>6</v>
      </c>
      <c r="L14698">
        <f>IF(AND($J14698=0,$K14698=0),0,1)</f>
        <v>1</v>
      </c>
    </row>
    <row r="14699" spans="1:13" x14ac:dyDescent="0.2">
      <c r="A14699" t="s">
        <v>182</v>
      </c>
      <c r="B14699" t="s">
        <v>6</v>
      </c>
      <c r="C14699" t="s">
        <v>183</v>
      </c>
      <c r="D14699">
        <v>5020</v>
      </c>
      <c r="E14699">
        <v>2021</v>
      </c>
      <c r="F14699">
        <v>1</v>
      </c>
      <c r="G14699">
        <v>13575</v>
      </c>
      <c r="H14699" s="1">
        <v>3</v>
      </c>
      <c r="I14699">
        <v>19</v>
      </c>
      <c r="J14699">
        <f>IF($H14699=0,1,IF($I14699&lt;=1,2,0))</f>
        <v>0</v>
      </c>
      <c r="K14699">
        <v>6</v>
      </c>
      <c r="L14699">
        <f>IF(AND($J14699=0,$K14699=0),0,1)</f>
        <v>1</v>
      </c>
      <c r="M14699" t="s">
        <v>1438</v>
      </c>
    </row>
    <row r="14700" spans="1:13" x14ac:dyDescent="0.2">
      <c r="A14700" t="s">
        <v>182</v>
      </c>
      <c r="B14700" t="s">
        <v>6</v>
      </c>
      <c r="C14700" t="s">
        <v>183</v>
      </c>
      <c r="D14700">
        <v>5020</v>
      </c>
      <c r="E14700">
        <v>2021</v>
      </c>
      <c r="F14700" t="s">
        <v>185</v>
      </c>
      <c r="G14700">
        <v>13576</v>
      </c>
      <c r="H14700" s="1">
        <v>3</v>
      </c>
      <c r="I14700">
        <v>17</v>
      </c>
      <c r="J14700">
        <f>IF($H14700=0,1,IF($I14700&lt;=1,2,0))</f>
        <v>0</v>
      </c>
      <c r="K14700">
        <v>6</v>
      </c>
      <c r="L14700">
        <f>IF(AND($J14700=0,$K14700=0),0,1)</f>
        <v>1</v>
      </c>
      <c r="M14700" t="s">
        <v>184</v>
      </c>
    </row>
    <row r="14701" spans="1:13" x14ac:dyDescent="0.2">
      <c r="A14701" t="s">
        <v>182</v>
      </c>
      <c r="B14701" t="s">
        <v>6</v>
      </c>
      <c r="C14701" t="s">
        <v>183</v>
      </c>
      <c r="D14701">
        <v>5025</v>
      </c>
      <c r="E14701">
        <v>2021</v>
      </c>
      <c r="F14701">
        <v>1</v>
      </c>
      <c r="G14701">
        <v>13577</v>
      </c>
      <c r="H14701" s="1">
        <v>3</v>
      </c>
      <c r="I14701">
        <v>14</v>
      </c>
      <c r="J14701">
        <f>IF($H14701=0,1,IF($I14701&lt;=1,2,0))</f>
        <v>0</v>
      </c>
      <c r="K14701">
        <v>6</v>
      </c>
      <c r="L14701">
        <f>IF(AND($J14701=0,$K14701=0),0,1)</f>
        <v>1</v>
      </c>
      <c r="M14701" t="s">
        <v>1438</v>
      </c>
    </row>
    <row r="14702" spans="1:13" x14ac:dyDescent="0.2">
      <c r="A14702" t="s">
        <v>182</v>
      </c>
      <c r="B14702" t="s">
        <v>6</v>
      </c>
      <c r="C14702" t="s">
        <v>183</v>
      </c>
      <c r="D14702">
        <v>5030</v>
      </c>
      <c r="E14702">
        <v>2021</v>
      </c>
      <c r="F14702">
        <v>1</v>
      </c>
      <c r="G14702">
        <v>13578</v>
      </c>
      <c r="H14702" s="1">
        <v>3</v>
      </c>
      <c r="I14702">
        <v>17</v>
      </c>
      <c r="J14702">
        <f>IF($H14702=0,1,IF($I14702&lt;=1,2,0))</f>
        <v>0</v>
      </c>
      <c r="K14702">
        <v>6</v>
      </c>
      <c r="L14702">
        <f>IF(AND($J14702=0,$K14702=0),0,1)</f>
        <v>1</v>
      </c>
      <c r="M14702" t="s">
        <v>1438</v>
      </c>
    </row>
    <row r="14703" spans="1:13" x14ac:dyDescent="0.2">
      <c r="A14703" t="s">
        <v>182</v>
      </c>
      <c r="B14703" t="s">
        <v>6</v>
      </c>
      <c r="C14703" t="s">
        <v>183</v>
      </c>
      <c r="D14703">
        <v>5030</v>
      </c>
      <c r="E14703">
        <v>2021</v>
      </c>
      <c r="F14703" t="s">
        <v>1349</v>
      </c>
      <c r="G14703">
        <v>18957</v>
      </c>
      <c r="H14703" s="1">
        <v>0</v>
      </c>
      <c r="I14703">
        <v>5</v>
      </c>
      <c r="J14703">
        <f>IF($H14703=0,1,IF($I14703&lt;=1,2,0))</f>
        <v>1</v>
      </c>
      <c r="K14703">
        <v>6</v>
      </c>
      <c r="L14703">
        <f>IF(AND($J14703=0,$K14703=0),0,1)</f>
        <v>1</v>
      </c>
    </row>
    <row r="14704" spans="1:13" x14ac:dyDescent="0.2">
      <c r="A14704" t="s">
        <v>182</v>
      </c>
      <c r="B14704" t="s">
        <v>6</v>
      </c>
      <c r="C14704" t="s">
        <v>183</v>
      </c>
      <c r="D14704">
        <v>5040</v>
      </c>
      <c r="E14704">
        <v>2021</v>
      </c>
      <c r="F14704">
        <v>1</v>
      </c>
      <c r="G14704">
        <v>13579</v>
      </c>
      <c r="H14704" s="1">
        <v>3</v>
      </c>
      <c r="I14704">
        <v>31</v>
      </c>
      <c r="J14704">
        <f>IF($H14704=0,1,IF($I14704&lt;=1,2,0))</f>
        <v>0</v>
      </c>
      <c r="K14704">
        <v>6</v>
      </c>
      <c r="L14704">
        <f>IF(AND($J14704=0,$K14704=0),0,1)</f>
        <v>1</v>
      </c>
      <c r="M14704" t="s">
        <v>1438</v>
      </c>
    </row>
    <row r="14705" spans="1:13" x14ac:dyDescent="0.2">
      <c r="A14705" t="s">
        <v>182</v>
      </c>
      <c r="B14705" t="s">
        <v>6</v>
      </c>
      <c r="C14705" t="s">
        <v>183</v>
      </c>
      <c r="D14705">
        <v>5040</v>
      </c>
      <c r="E14705">
        <v>2021</v>
      </c>
      <c r="F14705">
        <v>2</v>
      </c>
      <c r="G14705">
        <v>13580</v>
      </c>
      <c r="H14705" s="1">
        <v>3</v>
      </c>
      <c r="I14705">
        <v>26</v>
      </c>
      <c r="J14705">
        <f>IF($H14705=0,1,IF($I14705&lt;=1,2,0))</f>
        <v>0</v>
      </c>
      <c r="K14705">
        <v>6</v>
      </c>
      <c r="L14705">
        <f>IF(AND($J14705=0,$K14705=0),0,1)</f>
        <v>1</v>
      </c>
      <c r="M14705" t="s">
        <v>1441</v>
      </c>
    </row>
    <row r="14706" spans="1:13" x14ac:dyDescent="0.2">
      <c r="A14706" t="s">
        <v>182</v>
      </c>
      <c r="B14706" t="s">
        <v>6</v>
      </c>
      <c r="C14706" t="s">
        <v>183</v>
      </c>
      <c r="D14706">
        <v>5040</v>
      </c>
      <c r="E14706">
        <v>2021</v>
      </c>
      <c r="F14706" t="s">
        <v>1349</v>
      </c>
      <c r="G14706">
        <v>18958</v>
      </c>
      <c r="H14706" s="1">
        <v>0</v>
      </c>
      <c r="I14706">
        <v>2</v>
      </c>
      <c r="J14706">
        <f>IF($H14706=0,1,IF($I14706&lt;=1,2,0))</f>
        <v>1</v>
      </c>
      <c r="K14706">
        <v>6</v>
      </c>
      <c r="L14706">
        <f>IF(AND($J14706=0,$K14706=0),0,1)</f>
        <v>1</v>
      </c>
    </row>
    <row r="14707" spans="1:13" x14ac:dyDescent="0.2">
      <c r="A14707" t="s">
        <v>182</v>
      </c>
      <c r="B14707" t="s">
        <v>6</v>
      </c>
      <c r="C14707" t="s">
        <v>183</v>
      </c>
      <c r="D14707">
        <v>5040</v>
      </c>
      <c r="E14707">
        <v>2021</v>
      </c>
      <c r="F14707" t="s">
        <v>1436</v>
      </c>
      <c r="G14707">
        <v>18959</v>
      </c>
      <c r="H14707" s="1">
        <v>0</v>
      </c>
      <c r="I14707">
        <v>0</v>
      </c>
      <c r="J14707">
        <f>IF($H14707=0,1,IF($I14707&lt;=1,2,0))</f>
        <v>1</v>
      </c>
      <c r="K14707">
        <v>6</v>
      </c>
      <c r="L14707">
        <f>IF(AND($J14707=0,$K14707=0),0,1)</f>
        <v>1</v>
      </c>
    </row>
    <row r="14708" spans="1:13" x14ac:dyDescent="0.2">
      <c r="A14708" t="s">
        <v>182</v>
      </c>
      <c r="B14708" t="s">
        <v>6</v>
      </c>
      <c r="C14708" t="s">
        <v>183</v>
      </c>
      <c r="D14708">
        <v>5120</v>
      </c>
      <c r="E14708">
        <v>2021</v>
      </c>
      <c r="F14708" t="s">
        <v>87</v>
      </c>
      <c r="G14708">
        <v>15673</v>
      </c>
      <c r="H14708" s="1">
        <v>3</v>
      </c>
      <c r="I14708">
        <v>21</v>
      </c>
      <c r="J14708">
        <f>IF($H14708=0,1,IF($I14708&lt;=1,2,0))</f>
        <v>0</v>
      </c>
      <c r="K14708">
        <v>6</v>
      </c>
      <c r="L14708">
        <f>IF(AND($J14708=0,$K14708=0),0,1)</f>
        <v>1</v>
      </c>
      <c r="M14708" t="s">
        <v>184</v>
      </c>
    </row>
    <row r="14709" spans="1:13" x14ac:dyDescent="0.2">
      <c r="A14709" t="s">
        <v>182</v>
      </c>
      <c r="B14709" t="s">
        <v>6</v>
      </c>
      <c r="C14709" t="s">
        <v>183</v>
      </c>
      <c r="D14709">
        <v>5120</v>
      </c>
      <c r="E14709">
        <v>2021</v>
      </c>
      <c r="F14709" t="s">
        <v>1349</v>
      </c>
      <c r="G14709">
        <v>18960</v>
      </c>
      <c r="H14709" s="1">
        <v>0</v>
      </c>
      <c r="I14709">
        <v>7</v>
      </c>
      <c r="J14709">
        <f>IF($H14709=0,1,IF($I14709&lt;=1,2,0))</f>
        <v>1</v>
      </c>
      <c r="K14709">
        <v>6</v>
      </c>
      <c r="L14709">
        <f>IF(AND($J14709=0,$K14709=0),0,1)</f>
        <v>1</v>
      </c>
      <c r="M14709" t="s">
        <v>184</v>
      </c>
    </row>
    <row r="14710" spans="1:13" x14ac:dyDescent="0.2">
      <c r="A14710" t="s">
        <v>182</v>
      </c>
      <c r="B14710" t="s">
        <v>6</v>
      </c>
      <c r="C14710" t="s">
        <v>193</v>
      </c>
      <c r="D14710">
        <v>7755</v>
      </c>
      <c r="E14710">
        <v>2021</v>
      </c>
      <c r="F14710">
        <v>100</v>
      </c>
      <c r="G14710">
        <v>17370</v>
      </c>
      <c r="H14710" s="1">
        <v>3</v>
      </c>
      <c r="I14710">
        <v>21</v>
      </c>
      <c r="J14710">
        <f>IF($H14710=0,1,IF($I14710&lt;=1,2,0))</f>
        <v>0</v>
      </c>
      <c r="K14710">
        <v>6</v>
      </c>
      <c r="L14710">
        <f>IF(AND($J14710=0,$K14710=0),0,1)</f>
        <v>1</v>
      </c>
    </row>
    <row r="14711" spans="1:13" x14ac:dyDescent="0.2">
      <c r="A14711" t="s">
        <v>182</v>
      </c>
      <c r="B14711" t="s">
        <v>6</v>
      </c>
      <c r="C14711" t="s">
        <v>193</v>
      </c>
      <c r="D14711">
        <v>7800</v>
      </c>
      <c r="E14711">
        <v>2021</v>
      </c>
      <c r="F14711">
        <v>2</v>
      </c>
      <c r="G14711">
        <v>20104</v>
      </c>
      <c r="H14711" s="1">
        <v>3</v>
      </c>
      <c r="I14711">
        <v>4</v>
      </c>
      <c r="J14711">
        <f>IF($H14711=0,1,IF($I14711&lt;=1,2,0))</f>
        <v>0</v>
      </c>
      <c r="K14711">
        <v>6</v>
      </c>
      <c r="L14711">
        <f>IF(AND($J14711=0,$K14711=0),0,1)</f>
        <v>1</v>
      </c>
    </row>
    <row r="14712" spans="1:13" x14ac:dyDescent="0.2">
      <c r="A14712" t="s">
        <v>182</v>
      </c>
      <c r="B14712" t="s">
        <v>6</v>
      </c>
      <c r="C14712" t="s">
        <v>193</v>
      </c>
      <c r="D14712">
        <v>7800</v>
      </c>
      <c r="E14712">
        <v>2021</v>
      </c>
      <c r="F14712">
        <v>1</v>
      </c>
      <c r="G14712">
        <v>20103</v>
      </c>
      <c r="H14712" s="1">
        <v>3</v>
      </c>
      <c r="I14712">
        <v>3</v>
      </c>
      <c r="J14712">
        <f>IF($H14712=0,1,IF($I14712&lt;=1,2,0))</f>
        <v>0</v>
      </c>
      <c r="K14712">
        <v>6</v>
      </c>
      <c r="L14712">
        <f>IF(AND($J14712=0,$K14712=0),0,1)</f>
        <v>1</v>
      </c>
    </row>
    <row r="14713" spans="1:13" x14ac:dyDescent="0.2">
      <c r="A14713" t="s">
        <v>182</v>
      </c>
      <c r="B14713" t="s">
        <v>6</v>
      </c>
      <c r="C14713" t="s">
        <v>193</v>
      </c>
      <c r="D14713">
        <v>7802</v>
      </c>
      <c r="E14713">
        <v>2021</v>
      </c>
      <c r="F14713">
        <v>1</v>
      </c>
      <c r="G14713">
        <v>20105</v>
      </c>
      <c r="H14713" s="1">
        <v>1.5</v>
      </c>
      <c r="I14713">
        <v>1</v>
      </c>
      <c r="J14713">
        <f>IF($H14713=0,1,IF($I14713&lt;=1,2,0))</f>
        <v>2</v>
      </c>
      <c r="K14713">
        <v>6</v>
      </c>
      <c r="L14713">
        <f>IF(AND($J14713=0,$K14713=0),0,1)</f>
        <v>1</v>
      </c>
    </row>
    <row r="14714" spans="1:13" x14ac:dyDescent="0.2">
      <c r="A14714" t="s">
        <v>182</v>
      </c>
      <c r="B14714" t="s">
        <v>6</v>
      </c>
      <c r="C14714" t="s">
        <v>193</v>
      </c>
      <c r="D14714">
        <v>7802</v>
      </c>
      <c r="E14714">
        <v>2021</v>
      </c>
      <c r="F14714">
        <v>2</v>
      </c>
      <c r="G14714">
        <v>20106</v>
      </c>
      <c r="H14714" s="1">
        <v>1.5</v>
      </c>
      <c r="I14714">
        <v>0</v>
      </c>
      <c r="J14714">
        <f>IF($H14714=0,1,IF($I14714&lt;=1,2,0))</f>
        <v>2</v>
      </c>
      <c r="K14714">
        <v>6</v>
      </c>
      <c r="L14714">
        <f>IF(AND($J14714=0,$K14714=0),0,1)</f>
        <v>1</v>
      </c>
    </row>
    <row r="14715" spans="1:13" x14ac:dyDescent="0.2">
      <c r="A14715" t="s">
        <v>182</v>
      </c>
      <c r="B14715" t="s">
        <v>6</v>
      </c>
      <c r="C14715" t="s">
        <v>193</v>
      </c>
      <c r="D14715">
        <v>7803</v>
      </c>
      <c r="E14715">
        <v>2021</v>
      </c>
      <c r="F14715">
        <v>1</v>
      </c>
      <c r="G14715">
        <v>20107</v>
      </c>
      <c r="H14715" s="1">
        <v>3</v>
      </c>
      <c r="I14715">
        <v>0</v>
      </c>
      <c r="J14715">
        <f>IF($H14715=0,1,IF($I14715&lt;=1,2,0))</f>
        <v>2</v>
      </c>
      <c r="K14715">
        <v>6</v>
      </c>
      <c r="L14715">
        <f>IF(AND($J14715=0,$K14715=0),0,1)</f>
        <v>1</v>
      </c>
    </row>
    <row r="14716" spans="1:13" x14ac:dyDescent="0.2">
      <c r="A14716" t="s">
        <v>182</v>
      </c>
      <c r="B14716" t="s">
        <v>6</v>
      </c>
      <c r="C14716" t="s">
        <v>193</v>
      </c>
      <c r="D14716">
        <v>7803</v>
      </c>
      <c r="E14716">
        <v>2021</v>
      </c>
      <c r="F14716">
        <v>2</v>
      </c>
      <c r="G14716">
        <v>20108</v>
      </c>
      <c r="H14716" s="1">
        <v>3</v>
      </c>
      <c r="I14716">
        <v>0</v>
      </c>
      <c r="J14716">
        <f>IF($H14716=0,1,IF($I14716&lt;=1,2,0))</f>
        <v>2</v>
      </c>
      <c r="K14716">
        <v>6</v>
      </c>
      <c r="L14716">
        <f>IF(AND($J14716=0,$K14716=0),0,1)</f>
        <v>1</v>
      </c>
    </row>
    <row r="14717" spans="1:13" x14ac:dyDescent="0.2">
      <c r="A14717" t="s">
        <v>182</v>
      </c>
      <c r="B14717" t="s">
        <v>6</v>
      </c>
      <c r="C14717" t="s">
        <v>193</v>
      </c>
      <c r="D14717">
        <v>7804</v>
      </c>
      <c r="E14717">
        <v>2021</v>
      </c>
      <c r="F14717">
        <v>1</v>
      </c>
      <c r="G14717">
        <v>20109</v>
      </c>
      <c r="H14717" s="1">
        <v>1.5</v>
      </c>
      <c r="I14717">
        <v>1</v>
      </c>
      <c r="J14717">
        <f>IF($H14717=0,1,IF($I14717&lt;=1,2,0))</f>
        <v>2</v>
      </c>
      <c r="K14717">
        <v>6</v>
      </c>
      <c r="L14717">
        <f>IF(AND($J14717=0,$K14717=0),0,1)</f>
        <v>1</v>
      </c>
    </row>
    <row r="14718" spans="1:13" x14ac:dyDescent="0.2">
      <c r="A14718" t="s">
        <v>182</v>
      </c>
      <c r="B14718" t="s">
        <v>6</v>
      </c>
      <c r="C14718" t="s">
        <v>193</v>
      </c>
      <c r="D14718">
        <v>7804</v>
      </c>
      <c r="E14718">
        <v>2021</v>
      </c>
      <c r="F14718">
        <v>2</v>
      </c>
      <c r="G14718">
        <v>20110</v>
      </c>
      <c r="H14718" s="1">
        <v>1.5</v>
      </c>
      <c r="I14718">
        <v>0</v>
      </c>
      <c r="J14718">
        <f>IF($H14718=0,1,IF($I14718&lt;=1,2,0))</f>
        <v>2</v>
      </c>
      <c r="K14718">
        <v>6</v>
      </c>
      <c r="L14718">
        <f>IF(AND($J14718=0,$K14718=0),0,1)</f>
        <v>1</v>
      </c>
    </row>
    <row r="14719" spans="1:13" x14ac:dyDescent="0.2">
      <c r="A14719" t="s">
        <v>182</v>
      </c>
      <c r="B14719" t="s">
        <v>6</v>
      </c>
      <c r="C14719" t="s">
        <v>193</v>
      </c>
      <c r="D14719">
        <v>8700</v>
      </c>
      <c r="E14719">
        <v>2021</v>
      </c>
      <c r="F14719">
        <v>1</v>
      </c>
      <c r="G14719">
        <v>18370</v>
      </c>
      <c r="H14719" s="1" t="s">
        <v>1839</v>
      </c>
      <c r="I14719">
        <v>5</v>
      </c>
      <c r="J14719">
        <f>IF($H14719=0,1,IF($I14719&lt;=1,2,0))</f>
        <v>0</v>
      </c>
      <c r="K14719">
        <v>6</v>
      </c>
      <c r="L14719">
        <f>IF(AND($J14719=0,$K14719=0),0,1)</f>
        <v>1</v>
      </c>
    </row>
    <row r="14720" spans="1:13" x14ac:dyDescent="0.2">
      <c r="A14720" t="s">
        <v>182</v>
      </c>
      <c r="B14720" t="s">
        <v>6</v>
      </c>
      <c r="C14720" t="s">
        <v>193</v>
      </c>
      <c r="D14720">
        <v>8782</v>
      </c>
      <c r="E14720">
        <v>2021</v>
      </c>
      <c r="F14720">
        <v>1</v>
      </c>
      <c r="G14720">
        <v>17349</v>
      </c>
      <c r="H14720" s="1">
        <v>1.5</v>
      </c>
      <c r="I14720">
        <v>49</v>
      </c>
      <c r="J14720">
        <f>IF($H14720=0,1,IF($I14720&lt;=1,2,0))</f>
        <v>0</v>
      </c>
      <c r="K14720">
        <v>6</v>
      </c>
      <c r="L14720">
        <f>IF(AND($J14720=0,$K14720=0),0,1)</f>
        <v>1</v>
      </c>
    </row>
    <row r="14721" spans="1:13" x14ac:dyDescent="0.2">
      <c r="A14721" t="s">
        <v>182</v>
      </c>
      <c r="B14721" t="s">
        <v>6</v>
      </c>
      <c r="C14721" t="s">
        <v>193</v>
      </c>
      <c r="D14721">
        <v>8800</v>
      </c>
      <c r="E14721">
        <v>2021</v>
      </c>
      <c r="F14721">
        <v>1</v>
      </c>
      <c r="G14721">
        <v>18491</v>
      </c>
      <c r="H14721" s="1">
        <v>3</v>
      </c>
      <c r="I14721">
        <v>19</v>
      </c>
      <c r="J14721">
        <f>IF($H14721=0,1,IF($I14721&lt;=1,2,0))</f>
        <v>0</v>
      </c>
      <c r="K14721">
        <v>6</v>
      </c>
      <c r="L14721">
        <f>IF(AND($J14721=0,$K14721=0),0,1)</f>
        <v>1</v>
      </c>
    </row>
    <row r="14722" spans="1:13" x14ac:dyDescent="0.2">
      <c r="A14722" t="s">
        <v>182</v>
      </c>
      <c r="B14722" t="s">
        <v>6</v>
      </c>
      <c r="C14722" t="s">
        <v>193</v>
      </c>
      <c r="D14722">
        <v>8800</v>
      </c>
      <c r="E14722">
        <v>2021</v>
      </c>
      <c r="F14722">
        <v>2</v>
      </c>
      <c r="G14722">
        <v>18492</v>
      </c>
      <c r="H14722" s="1">
        <v>3</v>
      </c>
      <c r="I14722">
        <v>0</v>
      </c>
      <c r="J14722">
        <f>IF($H14722=0,1,IF($I14722&lt;=1,2,0))</f>
        <v>2</v>
      </c>
      <c r="K14722">
        <v>6</v>
      </c>
      <c r="L14722">
        <f>IF(AND($J14722=0,$K14722=0),0,1)</f>
        <v>1</v>
      </c>
    </row>
    <row r="14723" spans="1:13" x14ac:dyDescent="0.2">
      <c r="A14723" t="s">
        <v>182</v>
      </c>
      <c r="B14723" t="s">
        <v>6</v>
      </c>
      <c r="C14723" t="s">
        <v>193</v>
      </c>
      <c r="D14723">
        <v>8802</v>
      </c>
      <c r="E14723">
        <v>2021</v>
      </c>
      <c r="F14723">
        <v>1</v>
      </c>
      <c r="G14723">
        <v>18493</v>
      </c>
      <c r="H14723" s="1">
        <v>1.5</v>
      </c>
      <c r="I14723">
        <v>15</v>
      </c>
      <c r="J14723">
        <f>IF($H14723=0,1,IF($I14723&lt;=1,2,0))</f>
        <v>0</v>
      </c>
      <c r="K14723">
        <v>6</v>
      </c>
      <c r="L14723">
        <f>IF(AND($J14723=0,$K14723=0),0,1)</f>
        <v>1</v>
      </c>
    </row>
    <row r="14724" spans="1:13" x14ac:dyDescent="0.2">
      <c r="A14724" t="s">
        <v>182</v>
      </c>
      <c r="B14724" t="s">
        <v>6</v>
      </c>
      <c r="C14724" t="s">
        <v>193</v>
      </c>
      <c r="D14724">
        <v>8802</v>
      </c>
      <c r="E14724">
        <v>2021</v>
      </c>
      <c r="F14724" t="s">
        <v>1442</v>
      </c>
      <c r="G14724">
        <v>20149</v>
      </c>
      <c r="H14724" s="1">
        <v>1.5</v>
      </c>
      <c r="I14724">
        <v>1</v>
      </c>
      <c r="J14724">
        <f>IF($H14724=0,1,IF($I14724&lt;=1,2,0))</f>
        <v>2</v>
      </c>
      <c r="K14724">
        <v>6</v>
      </c>
      <c r="L14724">
        <f>IF(AND($J14724=0,$K14724=0),0,1)</f>
        <v>1</v>
      </c>
    </row>
    <row r="14725" spans="1:13" x14ac:dyDescent="0.2">
      <c r="A14725" t="s">
        <v>182</v>
      </c>
      <c r="B14725" t="s">
        <v>6</v>
      </c>
      <c r="C14725" t="s">
        <v>193</v>
      </c>
      <c r="D14725">
        <v>8802</v>
      </c>
      <c r="E14725">
        <v>2021</v>
      </c>
      <c r="F14725">
        <v>2</v>
      </c>
      <c r="G14725">
        <v>18494</v>
      </c>
      <c r="H14725" s="1">
        <v>1.5</v>
      </c>
      <c r="I14725">
        <v>0</v>
      </c>
      <c r="J14725">
        <f>IF($H14725=0,1,IF($I14725&lt;=1,2,0))</f>
        <v>2</v>
      </c>
      <c r="K14725">
        <v>6</v>
      </c>
      <c r="L14725">
        <f>IF(AND($J14725=0,$K14725=0),0,1)</f>
        <v>1</v>
      </c>
    </row>
    <row r="14726" spans="1:13" x14ac:dyDescent="0.2">
      <c r="A14726" t="s">
        <v>182</v>
      </c>
      <c r="B14726" t="s">
        <v>6</v>
      </c>
      <c r="C14726" t="s">
        <v>193</v>
      </c>
      <c r="D14726">
        <v>8813</v>
      </c>
      <c r="E14726">
        <v>2021</v>
      </c>
      <c r="F14726" t="s">
        <v>87</v>
      </c>
      <c r="G14726">
        <v>17378</v>
      </c>
      <c r="H14726" s="1">
        <v>1.5</v>
      </c>
      <c r="I14726">
        <v>40</v>
      </c>
      <c r="J14726">
        <f>IF($H14726=0,1,IF($I14726&lt;=1,2,0))</f>
        <v>0</v>
      </c>
      <c r="K14726">
        <v>6</v>
      </c>
      <c r="L14726">
        <f>IF(AND($J14726=0,$K14726=0),0,1)</f>
        <v>1</v>
      </c>
    </row>
    <row r="14727" spans="1:13" x14ac:dyDescent="0.2">
      <c r="A14727" t="s">
        <v>182</v>
      </c>
      <c r="B14727" t="s">
        <v>6</v>
      </c>
      <c r="C14727" t="s">
        <v>193</v>
      </c>
      <c r="D14727">
        <v>9804</v>
      </c>
      <c r="E14727">
        <v>2021</v>
      </c>
      <c r="F14727">
        <v>1</v>
      </c>
      <c r="G14727">
        <v>20348</v>
      </c>
      <c r="H14727" s="1">
        <v>1.5</v>
      </c>
      <c r="I14727">
        <v>3</v>
      </c>
      <c r="J14727">
        <f>IF($H14727=0,1,IF($I14727&lt;=1,2,0))</f>
        <v>0</v>
      </c>
      <c r="K14727">
        <v>5</v>
      </c>
      <c r="L14727">
        <f>IF(AND($J14727=0,$K14727=0),0,1)</f>
        <v>1</v>
      </c>
    </row>
    <row r="14728" spans="1:13" x14ac:dyDescent="0.2">
      <c r="A14728" t="s">
        <v>182</v>
      </c>
      <c r="B14728" t="s">
        <v>6</v>
      </c>
      <c r="C14728" t="s">
        <v>193</v>
      </c>
      <c r="D14728">
        <v>9820</v>
      </c>
      <c r="E14728">
        <v>2021</v>
      </c>
      <c r="F14728">
        <v>1</v>
      </c>
      <c r="G14728">
        <v>20785</v>
      </c>
      <c r="H14728" s="1" t="s">
        <v>1443</v>
      </c>
      <c r="I14728">
        <v>7</v>
      </c>
      <c r="J14728">
        <f>IF($H14728=0,1,IF($I14728&lt;=1,2,0))</f>
        <v>0</v>
      </c>
      <c r="K14728">
        <v>5</v>
      </c>
      <c r="L14728">
        <f>IF(AND($J14728=0,$K14728=0),0,1)</f>
        <v>1</v>
      </c>
    </row>
    <row r="14729" spans="1:13" x14ac:dyDescent="0.2">
      <c r="A14729" t="s">
        <v>182</v>
      </c>
      <c r="B14729" t="s">
        <v>6</v>
      </c>
      <c r="C14729" t="s">
        <v>193</v>
      </c>
      <c r="D14729">
        <v>9898</v>
      </c>
      <c r="E14729">
        <v>2021</v>
      </c>
      <c r="F14729">
        <v>1</v>
      </c>
      <c r="G14729">
        <v>20203</v>
      </c>
      <c r="H14729" s="1" t="s">
        <v>916</v>
      </c>
      <c r="I14729">
        <v>12</v>
      </c>
      <c r="J14729">
        <f>IF($H14729=0,1,IF($I14729&lt;=1,2,0))</f>
        <v>0</v>
      </c>
      <c r="K14729">
        <v>5</v>
      </c>
      <c r="L14729">
        <f>IF(AND($J14729=0,$K14729=0),0,1)</f>
        <v>1</v>
      </c>
    </row>
    <row r="14730" spans="1:13" x14ac:dyDescent="0.2">
      <c r="A14730" t="s">
        <v>917</v>
      </c>
      <c r="B14730" t="s">
        <v>17</v>
      </c>
      <c r="C14730" t="s">
        <v>9</v>
      </c>
      <c r="D14730">
        <v>1101</v>
      </c>
      <c r="E14730">
        <v>2021</v>
      </c>
      <c r="F14730">
        <v>2</v>
      </c>
      <c r="G14730">
        <v>12075</v>
      </c>
      <c r="H14730" s="1">
        <v>4</v>
      </c>
      <c r="I14730">
        <v>2</v>
      </c>
      <c r="J14730">
        <f>IF($H14730=0,1,IF($I14730&lt;=1,2,0))</f>
        <v>0</v>
      </c>
      <c r="K14730">
        <v>2</v>
      </c>
      <c r="L14730">
        <f>IF(AND($J14730=0,$K14730=0),0,1)</f>
        <v>1</v>
      </c>
      <c r="M14730" t="s">
        <v>918</v>
      </c>
    </row>
    <row r="14731" spans="1:13" x14ac:dyDescent="0.2">
      <c r="A14731" t="s">
        <v>917</v>
      </c>
      <c r="B14731" t="s">
        <v>17</v>
      </c>
      <c r="C14731" t="s">
        <v>9</v>
      </c>
      <c r="D14731">
        <v>1101</v>
      </c>
      <c r="E14731">
        <v>2021</v>
      </c>
      <c r="F14731">
        <v>1</v>
      </c>
      <c r="G14731">
        <v>12073</v>
      </c>
      <c r="H14731" s="1">
        <v>4</v>
      </c>
      <c r="I14731">
        <v>0</v>
      </c>
      <c r="J14731">
        <f>IF($H14731=0,1,IF($I14731&lt;=1,2,0))</f>
        <v>2</v>
      </c>
      <c r="K14731">
        <v>0</v>
      </c>
      <c r="L14731">
        <f>IF(AND($J14731=0,$K14731=0),0,1)</f>
        <v>1</v>
      </c>
      <c r="M14731" t="s">
        <v>918</v>
      </c>
    </row>
    <row r="14732" spans="1:13" x14ac:dyDescent="0.2">
      <c r="A14732" t="s">
        <v>917</v>
      </c>
      <c r="B14732" t="s">
        <v>17</v>
      </c>
      <c r="C14732" t="s">
        <v>9</v>
      </c>
      <c r="D14732">
        <v>2101</v>
      </c>
      <c r="E14732">
        <v>2021</v>
      </c>
      <c r="F14732">
        <v>1</v>
      </c>
      <c r="G14732">
        <v>13511</v>
      </c>
      <c r="H14732" s="1">
        <v>4</v>
      </c>
      <c r="I14732">
        <v>1</v>
      </c>
      <c r="J14732">
        <f>IF($H14732=0,1,IF($I14732&lt;=1,2,0))</f>
        <v>2</v>
      </c>
      <c r="K14732">
        <v>0</v>
      </c>
      <c r="L14732">
        <f>IF(AND($J14732=0,$K14732=0),0,1)</f>
        <v>1</v>
      </c>
      <c r="M14732" t="s">
        <v>919</v>
      </c>
    </row>
    <row r="14733" spans="1:13" x14ac:dyDescent="0.2">
      <c r="A14733" t="s">
        <v>921</v>
      </c>
      <c r="B14733" t="s">
        <v>1</v>
      </c>
      <c r="C14733" t="s">
        <v>2</v>
      </c>
      <c r="D14733">
        <v>1111</v>
      </c>
      <c r="E14733">
        <v>2021</v>
      </c>
      <c r="F14733">
        <v>1</v>
      </c>
      <c r="G14733">
        <v>236</v>
      </c>
      <c r="H14733" s="1">
        <v>1</v>
      </c>
      <c r="I14733">
        <v>34</v>
      </c>
      <c r="J14733">
        <f>IF($H14733=0,1,IF($I14733&lt;=1,2,0))</f>
        <v>0</v>
      </c>
      <c r="K14733">
        <v>7</v>
      </c>
      <c r="L14733">
        <f>IF(AND($J14733=0,$K14733=0),0,1)</f>
        <v>1</v>
      </c>
      <c r="M14733" t="s">
        <v>1444</v>
      </c>
    </row>
    <row r="14734" spans="1:13" x14ac:dyDescent="0.2">
      <c r="A14734" t="s">
        <v>196</v>
      </c>
      <c r="B14734" t="s">
        <v>6</v>
      </c>
      <c r="C14734" t="s">
        <v>11</v>
      </c>
      <c r="D14734">
        <v>6100</v>
      </c>
      <c r="E14734">
        <v>2021</v>
      </c>
      <c r="F14734">
        <v>1</v>
      </c>
      <c r="G14734">
        <v>17768</v>
      </c>
      <c r="H14734" s="1">
        <v>3</v>
      </c>
      <c r="I14734">
        <v>18</v>
      </c>
      <c r="J14734">
        <f>IF($H14734=0,1,IF($I14734&lt;=1,2,0))</f>
        <v>0</v>
      </c>
      <c r="K14734">
        <v>4</v>
      </c>
      <c r="L14734">
        <f>IF(AND($J14734=0,$K14734=0),0,1)</f>
        <v>1</v>
      </c>
      <c r="M14734" t="s">
        <v>1446</v>
      </c>
    </row>
    <row r="14735" spans="1:13" x14ac:dyDescent="0.2">
      <c r="A14735" t="s">
        <v>196</v>
      </c>
      <c r="B14735" t="s">
        <v>6</v>
      </c>
      <c r="C14735" t="s">
        <v>11</v>
      </c>
      <c r="D14735">
        <v>6100</v>
      </c>
      <c r="E14735">
        <v>2021</v>
      </c>
      <c r="F14735">
        <v>2</v>
      </c>
      <c r="G14735">
        <v>17769</v>
      </c>
      <c r="H14735" s="1">
        <v>3</v>
      </c>
      <c r="I14735">
        <v>17</v>
      </c>
      <c r="J14735">
        <f>IF($H14735=0,1,IF($I14735&lt;=1,2,0))</f>
        <v>0</v>
      </c>
      <c r="K14735">
        <v>4</v>
      </c>
      <c r="L14735">
        <f>IF(AND($J14735=0,$K14735=0),0,1)</f>
        <v>1</v>
      </c>
      <c r="M14735" t="s">
        <v>1446</v>
      </c>
    </row>
    <row r="14736" spans="1:13" x14ac:dyDescent="0.2">
      <c r="A14736" t="s">
        <v>202</v>
      </c>
      <c r="B14736" t="s">
        <v>133</v>
      </c>
      <c r="C14736" t="s">
        <v>9</v>
      </c>
      <c r="D14736">
        <v>1</v>
      </c>
      <c r="E14736">
        <v>2021</v>
      </c>
      <c r="F14736">
        <v>1</v>
      </c>
      <c r="G14736">
        <v>10524</v>
      </c>
      <c r="H14736" s="1">
        <v>0</v>
      </c>
      <c r="I14736">
        <v>16</v>
      </c>
      <c r="J14736">
        <f>IF($H14736=0,1,IF($I14736&lt;=1,2,0))</f>
        <v>1</v>
      </c>
      <c r="K14736">
        <v>0</v>
      </c>
      <c r="L14736">
        <f>IF(AND($J14736=0,$K14736=0),0,1)</f>
        <v>1</v>
      </c>
    </row>
    <row r="14737" spans="1:12" x14ac:dyDescent="0.2">
      <c r="A14737" t="s">
        <v>202</v>
      </c>
      <c r="B14737" t="s">
        <v>133</v>
      </c>
      <c r="C14737" t="s">
        <v>2</v>
      </c>
      <c r="D14737">
        <v>1003</v>
      </c>
      <c r="E14737">
        <v>2021</v>
      </c>
      <c r="F14737">
        <v>1</v>
      </c>
      <c r="G14737">
        <v>112</v>
      </c>
      <c r="H14737" s="1">
        <v>1</v>
      </c>
      <c r="I14737">
        <v>19</v>
      </c>
      <c r="J14737">
        <f>IF($H14737=0,1,IF($I14737&lt;=1,2,0))</f>
        <v>0</v>
      </c>
      <c r="K14737">
        <v>7</v>
      </c>
      <c r="L14737">
        <f>IF(AND($J14737=0,$K14737=0),0,1)</f>
        <v>1</v>
      </c>
    </row>
    <row r="14738" spans="1:12" x14ac:dyDescent="0.2">
      <c r="A14738" t="s">
        <v>202</v>
      </c>
      <c r="B14738" t="s">
        <v>133</v>
      </c>
      <c r="C14738" t="s">
        <v>2</v>
      </c>
      <c r="D14738">
        <v>1003</v>
      </c>
      <c r="E14738">
        <v>2021</v>
      </c>
      <c r="F14738">
        <v>2</v>
      </c>
      <c r="G14738">
        <v>113</v>
      </c>
      <c r="H14738" s="1">
        <v>1</v>
      </c>
      <c r="I14738">
        <v>17</v>
      </c>
      <c r="J14738">
        <f>IF($H14738=0,1,IF($I14738&lt;=1,2,0))</f>
        <v>0</v>
      </c>
      <c r="K14738">
        <v>7</v>
      </c>
      <c r="L14738">
        <f>IF(AND($J14738=0,$K14738=0),0,1)</f>
        <v>1</v>
      </c>
    </row>
    <row r="14739" spans="1:12" x14ac:dyDescent="0.2">
      <c r="A14739" t="s">
        <v>202</v>
      </c>
      <c r="B14739" t="s">
        <v>133</v>
      </c>
      <c r="C14739" t="s">
        <v>9</v>
      </c>
      <c r="D14739">
        <v>1405</v>
      </c>
      <c r="E14739">
        <v>2021</v>
      </c>
      <c r="F14739">
        <v>2</v>
      </c>
      <c r="G14739">
        <v>10860</v>
      </c>
      <c r="H14739" s="1">
        <v>0</v>
      </c>
      <c r="I14739">
        <v>24</v>
      </c>
      <c r="J14739">
        <f>IF($H14739=0,1,IF($I14739&lt;=1,2,0))</f>
        <v>1</v>
      </c>
      <c r="K14739">
        <v>0</v>
      </c>
      <c r="L14739">
        <f>IF(AND($J14739=0,$K14739=0),0,1)</f>
        <v>1</v>
      </c>
    </row>
    <row r="14740" spans="1:12" x14ac:dyDescent="0.2">
      <c r="A14740" t="s">
        <v>202</v>
      </c>
      <c r="B14740" t="s">
        <v>133</v>
      </c>
      <c r="C14740" t="s">
        <v>9</v>
      </c>
      <c r="D14740">
        <v>1405</v>
      </c>
      <c r="E14740">
        <v>2021</v>
      </c>
      <c r="F14740">
        <v>7</v>
      </c>
      <c r="G14740">
        <v>10865</v>
      </c>
      <c r="H14740" s="1">
        <v>0</v>
      </c>
      <c r="I14740">
        <v>24</v>
      </c>
      <c r="J14740">
        <f>IF($H14740=0,1,IF($I14740&lt;=1,2,0))</f>
        <v>1</v>
      </c>
      <c r="K14740">
        <v>0</v>
      </c>
      <c r="L14740">
        <f>IF(AND($J14740=0,$K14740=0),0,1)</f>
        <v>1</v>
      </c>
    </row>
    <row r="14741" spans="1:12" x14ac:dyDescent="0.2">
      <c r="A14741" t="s">
        <v>202</v>
      </c>
      <c r="B14741" t="s">
        <v>133</v>
      </c>
      <c r="C14741" t="s">
        <v>9</v>
      </c>
      <c r="D14741">
        <v>1405</v>
      </c>
      <c r="E14741">
        <v>2021</v>
      </c>
      <c r="F14741">
        <v>10</v>
      </c>
      <c r="G14741">
        <v>10868</v>
      </c>
      <c r="H14741" s="1">
        <v>0</v>
      </c>
      <c r="I14741">
        <v>24</v>
      </c>
      <c r="J14741">
        <f>IF($H14741=0,1,IF($I14741&lt;=1,2,0))</f>
        <v>1</v>
      </c>
      <c r="K14741">
        <v>0</v>
      </c>
      <c r="L14741">
        <f>IF(AND($J14741=0,$K14741=0),0,1)</f>
        <v>1</v>
      </c>
    </row>
    <row r="14742" spans="1:12" x14ac:dyDescent="0.2">
      <c r="A14742" t="s">
        <v>202</v>
      </c>
      <c r="B14742" t="s">
        <v>133</v>
      </c>
      <c r="C14742" t="s">
        <v>9</v>
      </c>
      <c r="D14742">
        <v>1405</v>
      </c>
      <c r="E14742">
        <v>2021</v>
      </c>
      <c r="F14742">
        <v>4</v>
      </c>
      <c r="G14742">
        <v>10862</v>
      </c>
      <c r="H14742" s="1">
        <v>0</v>
      </c>
      <c r="I14742">
        <v>23</v>
      </c>
      <c r="J14742">
        <f>IF($H14742=0,1,IF($I14742&lt;=1,2,0))</f>
        <v>1</v>
      </c>
      <c r="K14742">
        <v>0</v>
      </c>
      <c r="L14742">
        <f>IF(AND($J14742=0,$K14742=0),0,1)</f>
        <v>1</v>
      </c>
    </row>
    <row r="14743" spans="1:12" x14ac:dyDescent="0.2">
      <c r="A14743" t="s">
        <v>202</v>
      </c>
      <c r="B14743" t="s">
        <v>133</v>
      </c>
      <c r="C14743" t="s">
        <v>9</v>
      </c>
      <c r="D14743">
        <v>1405</v>
      </c>
      <c r="E14743">
        <v>2021</v>
      </c>
      <c r="F14743">
        <v>5</v>
      </c>
      <c r="G14743">
        <v>10863</v>
      </c>
      <c r="H14743" s="1">
        <v>0</v>
      </c>
      <c r="I14743">
        <v>23</v>
      </c>
      <c r="J14743">
        <f>IF($H14743=0,1,IF($I14743&lt;=1,2,0))</f>
        <v>1</v>
      </c>
      <c r="K14743">
        <v>0</v>
      </c>
      <c r="L14743">
        <f>IF(AND($J14743=0,$K14743=0),0,1)</f>
        <v>1</v>
      </c>
    </row>
    <row r="14744" spans="1:12" x14ac:dyDescent="0.2">
      <c r="A14744" t="s">
        <v>202</v>
      </c>
      <c r="B14744" t="s">
        <v>133</v>
      </c>
      <c r="C14744" t="s">
        <v>9</v>
      </c>
      <c r="D14744">
        <v>1405</v>
      </c>
      <c r="E14744">
        <v>2021</v>
      </c>
      <c r="F14744">
        <v>8</v>
      </c>
      <c r="G14744">
        <v>10866</v>
      </c>
      <c r="H14744" s="1">
        <v>0</v>
      </c>
      <c r="I14744">
        <v>23</v>
      </c>
      <c r="J14744">
        <f>IF($H14744=0,1,IF($I14744&lt;=1,2,0))</f>
        <v>1</v>
      </c>
      <c r="K14744">
        <v>0</v>
      </c>
      <c r="L14744">
        <f>IF(AND($J14744=0,$K14744=0),0,1)</f>
        <v>1</v>
      </c>
    </row>
    <row r="14745" spans="1:12" x14ac:dyDescent="0.2">
      <c r="A14745" t="s">
        <v>202</v>
      </c>
      <c r="B14745" t="s">
        <v>133</v>
      </c>
      <c r="C14745" t="s">
        <v>9</v>
      </c>
      <c r="D14745">
        <v>1405</v>
      </c>
      <c r="E14745">
        <v>2021</v>
      </c>
      <c r="F14745">
        <v>3</v>
      </c>
      <c r="G14745">
        <v>10861</v>
      </c>
      <c r="H14745" s="1">
        <v>0</v>
      </c>
      <c r="I14745">
        <v>22</v>
      </c>
      <c r="J14745">
        <f>IF($H14745=0,1,IF($I14745&lt;=1,2,0))</f>
        <v>1</v>
      </c>
      <c r="K14745">
        <v>0</v>
      </c>
      <c r="L14745">
        <f>IF(AND($J14745=0,$K14745=0),0,1)</f>
        <v>1</v>
      </c>
    </row>
    <row r="14746" spans="1:12" x14ac:dyDescent="0.2">
      <c r="A14746" t="s">
        <v>202</v>
      </c>
      <c r="B14746" t="s">
        <v>133</v>
      </c>
      <c r="C14746" t="s">
        <v>9</v>
      </c>
      <c r="D14746">
        <v>1405</v>
      </c>
      <c r="E14746">
        <v>2021</v>
      </c>
      <c r="F14746">
        <v>11</v>
      </c>
      <c r="G14746">
        <v>10869</v>
      </c>
      <c r="H14746" s="1">
        <v>0</v>
      </c>
      <c r="I14746">
        <v>21</v>
      </c>
      <c r="J14746">
        <f>IF($H14746=0,1,IF($I14746&lt;=1,2,0))</f>
        <v>1</v>
      </c>
      <c r="K14746">
        <v>0</v>
      </c>
      <c r="L14746">
        <f>IF(AND($J14746=0,$K14746=0),0,1)</f>
        <v>1</v>
      </c>
    </row>
    <row r="14747" spans="1:12" x14ac:dyDescent="0.2">
      <c r="A14747" t="s">
        <v>202</v>
      </c>
      <c r="B14747" t="s">
        <v>133</v>
      </c>
      <c r="C14747" t="s">
        <v>9</v>
      </c>
      <c r="D14747">
        <v>1405</v>
      </c>
      <c r="E14747">
        <v>2021</v>
      </c>
      <c r="F14747">
        <v>1</v>
      </c>
      <c r="G14747">
        <v>10859</v>
      </c>
      <c r="H14747" s="1">
        <v>0</v>
      </c>
      <c r="I14747">
        <v>20</v>
      </c>
      <c r="J14747">
        <f>IF($H14747=0,1,IF($I14747&lt;=1,2,0))</f>
        <v>1</v>
      </c>
      <c r="K14747">
        <v>0</v>
      </c>
      <c r="L14747">
        <f>IF(AND($J14747=0,$K14747=0),0,1)</f>
        <v>1</v>
      </c>
    </row>
    <row r="14748" spans="1:12" x14ac:dyDescent="0.2">
      <c r="A14748" t="s">
        <v>202</v>
      </c>
      <c r="B14748" t="s">
        <v>133</v>
      </c>
      <c r="C14748" t="s">
        <v>9</v>
      </c>
      <c r="D14748">
        <v>1405</v>
      </c>
      <c r="E14748">
        <v>2021</v>
      </c>
      <c r="F14748">
        <v>6</v>
      </c>
      <c r="G14748">
        <v>10864</v>
      </c>
      <c r="H14748" s="1">
        <v>0</v>
      </c>
      <c r="I14748">
        <v>20</v>
      </c>
      <c r="J14748">
        <f>IF($H14748=0,1,IF($I14748&lt;=1,2,0))</f>
        <v>1</v>
      </c>
      <c r="K14748">
        <v>0</v>
      </c>
      <c r="L14748">
        <f>IF(AND($J14748=0,$K14748=0),0,1)</f>
        <v>1</v>
      </c>
    </row>
    <row r="14749" spans="1:12" x14ac:dyDescent="0.2">
      <c r="A14749" t="s">
        <v>202</v>
      </c>
      <c r="B14749" t="s">
        <v>133</v>
      </c>
      <c r="C14749" t="s">
        <v>9</v>
      </c>
      <c r="D14749">
        <v>1405</v>
      </c>
      <c r="E14749">
        <v>2021</v>
      </c>
      <c r="F14749">
        <v>9</v>
      </c>
      <c r="G14749">
        <v>10867</v>
      </c>
      <c r="H14749" s="1">
        <v>0</v>
      </c>
      <c r="I14749">
        <v>18</v>
      </c>
      <c r="J14749">
        <f>IF($H14749=0,1,IF($I14749&lt;=1,2,0))</f>
        <v>1</v>
      </c>
      <c r="K14749">
        <v>0</v>
      </c>
      <c r="L14749">
        <f>IF(AND($J14749=0,$K14749=0),0,1)</f>
        <v>1</v>
      </c>
    </row>
    <row r="14750" spans="1:12" x14ac:dyDescent="0.2">
      <c r="A14750" t="s">
        <v>202</v>
      </c>
      <c r="B14750" t="s">
        <v>133</v>
      </c>
      <c r="C14750" t="s">
        <v>9</v>
      </c>
      <c r="D14750">
        <v>1407</v>
      </c>
      <c r="E14750">
        <v>2021</v>
      </c>
      <c r="F14750">
        <v>1</v>
      </c>
      <c r="G14750">
        <v>14041</v>
      </c>
      <c r="H14750" s="1">
        <v>0</v>
      </c>
      <c r="I14750">
        <v>23</v>
      </c>
      <c r="J14750">
        <f>IF($H14750=0,1,IF($I14750&lt;=1,2,0))</f>
        <v>1</v>
      </c>
      <c r="K14750">
        <v>0</v>
      </c>
      <c r="L14750">
        <f>IF(AND($J14750=0,$K14750=0),0,1)</f>
        <v>1</v>
      </c>
    </row>
    <row r="14751" spans="1:12" x14ac:dyDescent="0.2">
      <c r="A14751" t="s">
        <v>202</v>
      </c>
      <c r="B14751" t="s">
        <v>133</v>
      </c>
      <c r="C14751" t="s">
        <v>9</v>
      </c>
      <c r="D14751">
        <v>1407</v>
      </c>
      <c r="E14751">
        <v>2021</v>
      </c>
      <c r="F14751">
        <v>3</v>
      </c>
      <c r="G14751">
        <v>14043</v>
      </c>
      <c r="H14751" s="1">
        <v>0</v>
      </c>
      <c r="I14751">
        <v>19</v>
      </c>
      <c r="J14751">
        <f>IF($H14751=0,1,IF($I14751&lt;=1,2,0))</f>
        <v>1</v>
      </c>
      <c r="K14751">
        <v>0</v>
      </c>
      <c r="L14751">
        <f>IF(AND($J14751=0,$K14751=0),0,1)</f>
        <v>1</v>
      </c>
    </row>
    <row r="14752" spans="1:12" x14ac:dyDescent="0.2">
      <c r="A14752" t="s">
        <v>202</v>
      </c>
      <c r="B14752" t="s">
        <v>133</v>
      </c>
      <c r="C14752" t="s">
        <v>9</v>
      </c>
      <c r="D14752">
        <v>1407</v>
      </c>
      <c r="E14752">
        <v>2021</v>
      </c>
      <c r="F14752">
        <v>6</v>
      </c>
      <c r="G14752">
        <v>14046</v>
      </c>
      <c r="H14752" s="1">
        <v>0</v>
      </c>
      <c r="I14752">
        <v>19</v>
      </c>
      <c r="J14752">
        <f>IF($H14752=0,1,IF($I14752&lt;=1,2,0))</f>
        <v>1</v>
      </c>
      <c r="K14752">
        <v>0</v>
      </c>
      <c r="L14752">
        <f>IF(AND($J14752=0,$K14752=0),0,1)</f>
        <v>1</v>
      </c>
    </row>
    <row r="14753" spans="1:12" x14ac:dyDescent="0.2">
      <c r="A14753" t="s">
        <v>202</v>
      </c>
      <c r="B14753" t="s">
        <v>133</v>
      </c>
      <c r="C14753" t="s">
        <v>9</v>
      </c>
      <c r="D14753">
        <v>1407</v>
      </c>
      <c r="E14753">
        <v>2021</v>
      </c>
      <c r="F14753">
        <v>9</v>
      </c>
      <c r="G14753">
        <v>14049</v>
      </c>
      <c r="H14753" s="1">
        <v>0</v>
      </c>
      <c r="I14753">
        <v>19</v>
      </c>
      <c r="J14753">
        <f>IF($H14753=0,1,IF($I14753&lt;=1,2,0))</f>
        <v>1</v>
      </c>
      <c r="K14753">
        <v>0</v>
      </c>
      <c r="L14753">
        <f>IF(AND($J14753=0,$K14753=0),0,1)</f>
        <v>1</v>
      </c>
    </row>
    <row r="14754" spans="1:12" x14ac:dyDescent="0.2">
      <c r="A14754" t="s">
        <v>202</v>
      </c>
      <c r="B14754" t="s">
        <v>133</v>
      </c>
      <c r="C14754" t="s">
        <v>9</v>
      </c>
      <c r="D14754">
        <v>1407</v>
      </c>
      <c r="E14754">
        <v>2021</v>
      </c>
      <c r="F14754">
        <v>7</v>
      </c>
      <c r="G14754">
        <v>14047</v>
      </c>
      <c r="H14754" s="1">
        <v>0</v>
      </c>
      <c r="I14754">
        <v>18</v>
      </c>
      <c r="J14754">
        <f>IF($H14754=0,1,IF($I14754&lt;=1,2,0))</f>
        <v>1</v>
      </c>
      <c r="K14754">
        <v>0</v>
      </c>
      <c r="L14754">
        <f>IF(AND($J14754=0,$K14754=0),0,1)</f>
        <v>1</v>
      </c>
    </row>
    <row r="14755" spans="1:12" x14ac:dyDescent="0.2">
      <c r="A14755" t="s">
        <v>202</v>
      </c>
      <c r="B14755" t="s">
        <v>133</v>
      </c>
      <c r="C14755" t="s">
        <v>9</v>
      </c>
      <c r="D14755">
        <v>1407</v>
      </c>
      <c r="E14755">
        <v>2021</v>
      </c>
      <c r="F14755">
        <v>2</v>
      </c>
      <c r="G14755">
        <v>14042</v>
      </c>
      <c r="H14755" s="1">
        <v>0</v>
      </c>
      <c r="I14755">
        <v>17</v>
      </c>
      <c r="J14755">
        <f>IF($H14755=0,1,IF($I14755&lt;=1,2,0))</f>
        <v>1</v>
      </c>
      <c r="K14755">
        <v>0</v>
      </c>
      <c r="L14755">
        <f>IF(AND($J14755=0,$K14755=0),0,1)</f>
        <v>1</v>
      </c>
    </row>
    <row r="14756" spans="1:12" x14ac:dyDescent="0.2">
      <c r="A14756" t="s">
        <v>202</v>
      </c>
      <c r="B14756" t="s">
        <v>133</v>
      </c>
      <c r="C14756" t="s">
        <v>9</v>
      </c>
      <c r="D14756">
        <v>1407</v>
      </c>
      <c r="E14756">
        <v>2021</v>
      </c>
      <c r="F14756">
        <v>4</v>
      </c>
      <c r="G14756">
        <v>14044</v>
      </c>
      <c r="H14756" s="1">
        <v>0</v>
      </c>
      <c r="I14756">
        <v>17</v>
      </c>
      <c r="J14756">
        <f>IF($H14756=0,1,IF($I14756&lt;=1,2,0))</f>
        <v>1</v>
      </c>
      <c r="K14756">
        <v>0</v>
      </c>
      <c r="L14756">
        <f>IF(AND($J14756=0,$K14756=0),0,1)</f>
        <v>1</v>
      </c>
    </row>
    <row r="14757" spans="1:12" x14ac:dyDescent="0.2">
      <c r="A14757" t="s">
        <v>202</v>
      </c>
      <c r="B14757" t="s">
        <v>133</v>
      </c>
      <c r="C14757" t="s">
        <v>9</v>
      </c>
      <c r="D14757">
        <v>1407</v>
      </c>
      <c r="E14757">
        <v>2021</v>
      </c>
      <c r="F14757">
        <v>8</v>
      </c>
      <c r="G14757">
        <v>14048</v>
      </c>
      <c r="H14757" s="1">
        <v>0</v>
      </c>
      <c r="I14757">
        <v>17</v>
      </c>
      <c r="J14757">
        <f>IF($H14757=0,1,IF($I14757&lt;=1,2,0))</f>
        <v>1</v>
      </c>
      <c r="K14757">
        <v>0</v>
      </c>
      <c r="L14757">
        <f>IF(AND($J14757=0,$K14757=0),0,1)</f>
        <v>1</v>
      </c>
    </row>
    <row r="14758" spans="1:12" x14ac:dyDescent="0.2">
      <c r="A14758" t="s">
        <v>202</v>
      </c>
      <c r="B14758" t="s">
        <v>133</v>
      </c>
      <c r="C14758" t="s">
        <v>9</v>
      </c>
      <c r="D14758">
        <v>1407</v>
      </c>
      <c r="E14758">
        <v>2021</v>
      </c>
      <c r="F14758">
        <v>5</v>
      </c>
      <c r="G14758">
        <v>14045</v>
      </c>
      <c r="H14758" s="1">
        <v>0</v>
      </c>
      <c r="I14758">
        <v>15</v>
      </c>
      <c r="J14758">
        <f>IF($H14758=0,1,IF($I14758&lt;=1,2,0))</f>
        <v>1</v>
      </c>
      <c r="K14758">
        <v>0</v>
      </c>
      <c r="L14758">
        <f>IF(AND($J14758=0,$K14758=0),0,1)</f>
        <v>1</v>
      </c>
    </row>
    <row r="14759" spans="1:12" x14ac:dyDescent="0.2">
      <c r="A14759" t="s">
        <v>202</v>
      </c>
      <c r="B14759" t="s">
        <v>133</v>
      </c>
      <c r="C14759" t="s">
        <v>9</v>
      </c>
      <c r="D14759">
        <v>1409</v>
      </c>
      <c r="E14759">
        <v>2021</v>
      </c>
      <c r="F14759">
        <v>5</v>
      </c>
      <c r="G14759">
        <v>12105</v>
      </c>
      <c r="H14759" s="1">
        <v>0</v>
      </c>
      <c r="I14759">
        <v>24</v>
      </c>
      <c r="J14759">
        <f>IF($H14759=0,1,IF($I14759&lt;=1,2,0))</f>
        <v>1</v>
      </c>
      <c r="K14759">
        <v>0</v>
      </c>
      <c r="L14759">
        <f>IF(AND($J14759=0,$K14759=0),0,1)</f>
        <v>1</v>
      </c>
    </row>
    <row r="14760" spans="1:12" x14ac:dyDescent="0.2">
      <c r="A14760" t="s">
        <v>202</v>
      </c>
      <c r="B14760" t="s">
        <v>133</v>
      </c>
      <c r="C14760" t="s">
        <v>9</v>
      </c>
      <c r="D14760">
        <v>1409</v>
      </c>
      <c r="E14760">
        <v>2021</v>
      </c>
      <c r="F14760">
        <v>2</v>
      </c>
      <c r="G14760">
        <v>12098</v>
      </c>
      <c r="H14760" s="1">
        <v>0</v>
      </c>
      <c r="I14760">
        <v>23</v>
      </c>
      <c r="J14760">
        <f>IF($H14760=0,1,IF($I14760&lt;=1,2,0))</f>
        <v>1</v>
      </c>
      <c r="K14760">
        <v>0</v>
      </c>
      <c r="L14760">
        <f>IF(AND($J14760=0,$K14760=0),0,1)</f>
        <v>1</v>
      </c>
    </row>
    <row r="14761" spans="1:12" x14ac:dyDescent="0.2">
      <c r="A14761" t="s">
        <v>202</v>
      </c>
      <c r="B14761" t="s">
        <v>133</v>
      </c>
      <c r="C14761" t="s">
        <v>9</v>
      </c>
      <c r="D14761">
        <v>1409</v>
      </c>
      <c r="E14761">
        <v>2021</v>
      </c>
      <c r="F14761">
        <v>1</v>
      </c>
      <c r="G14761">
        <v>12097</v>
      </c>
      <c r="H14761" s="1">
        <v>0</v>
      </c>
      <c r="I14761">
        <v>22</v>
      </c>
      <c r="J14761">
        <f>IF($H14761=0,1,IF($I14761&lt;=1,2,0))</f>
        <v>1</v>
      </c>
      <c r="K14761">
        <v>0</v>
      </c>
      <c r="L14761">
        <f>IF(AND($J14761=0,$K14761=0),0,1)</f>
        <v>1</v>
      </c>
    </row>
    <row r="14762" spans="1:12" x14ac:dyDescent="0.2">
      <c r="A14762" t="s">
        <v>202</v>
      </c>
      <c r="B14762" t="s">
        <v>133</v>
      </c>
      <c r="C14762" t="s">
        <v>9</v>
      </c>
      <c r="D14762">
        <v>1409</v>
      </c>
      <c r="E14762">
        <v>2021</v>
      </c>
      <c r="F14762">
        <v>8</v>
      </c>
      <c r="G14762">
        <v>12103</v>
      </c>
      <c r="H14762" s="1">
        <v>0</v>
      </c>
      <c r="I14762">
        <v>22</v>
      </c>
      <c r="J14762">
        <f>IF($H14762=0,1,IF($I14762&lt;=1,2,0))</f>
        <v>1</v>
      </c>
      <c r="K14762">
        <v>0</v>
      </c>
      <c r="L14762">
        <f>IF(AND($J14762=0,$K14762=0),0,1)</f>
        <v>1</v>
      </c>
    </row>
    <row r="14763" spans="1:12" x14ac:dyDescent="0.2">
      <c r="A14763" t="s">
        <v>202</v>
      </c>
      <c r="B14763" t="s">
        <v>133</v>
      </c>
      <c r="C14763" t="s">
        <v>9</v>
      </c>
      <c r="D14763">
        <v>1409</v>
      </c>
      <c r="E14763">
        <v>2021</v>
      </c>
      <c r="F14763">
        <v>9</v>
      </c>
      <c r="G14763">
        <v>12104</v>
      </c>
      <c r="H14763" s="1">
        <v>0</v>
      </c>
      <c r="I14763">
        <v>22</v>
      </c>
      <c r="J14763">
        <f>IF($H14763=0,1,IF($I14763&lt;=1,2,0))</f>
        <v>1</v>
      </c>
      <c r="K14763">
        <v>0</v>
      </c>
      <c r="L14763">
        <f>IF(AND($J14763=0,$K14763=0),0,1)</f>
        <v>1</v>
      </c>
    </row>
    <row r="14764" spans="1:12" x14ac:dyDescent="0.2">
      <c r="A14764" t="s">
        <v>202</v>
      </c>
      <c r="B14764" t="s">
        <v>133</v>
      </c>
      <c r="C14764" t="s">
        <v>9</v>
      </c>
      <c r="D14764">
        <v>1409</v>
      </c>
      <c r="E14764">
        <v>2021</v>
      </c>
      <c r="F14764">
        <v>6</v>
      </c>
      <c r="G14764">
        <v>12101</v>
      </c>
      <c r="H14764" s="1">
        <v>0</v>
      </c>
      <c r="I14764">
        <v>21</v>
      </c>
      <c r="J14764">
        <f>IF($H14764=0,1,IF($I14764&lt;=1,2,0))</f>
        <v>1</v>
      </c>
      <c r="K14764">
        <v>0</v>
      </c>
      <c r="L14764">
        <f>IF(AND($J14764=0,$K14764=0),0,1)</f>
        <v>1</v>
      </c>
    </row>
    <row r="14765" spans="1:12" x14ac:dyDescent="0.2">
      <c r="A14765" t="s">
        <v>202</v>
      </c>
      <c r="B14765" t="s">
        <v>133</v>
      </c>
      <c r="C14765" t="s">
        <v>9</v>
      </c>
      <c r="D14765">
        <v>1409</v>
      </c>
      <c r="E14765">
        <v>2021</v>
      </c>
      <c r="F14765">
        <v>7</v>
      </c>
      <c r="G14765">
        <v>12102</v>
      </c>
      <c r="H14765" s="1">
        <v>0</v>
      </c>
      <c r="I14765">
        <v>21</v>
      </c>
      <c r="J14765">
        <f>IF($H14765=0,1,IF($I14765&lt;=1,2,0))</f>
        <v>1</v>
      </c>
      <c r="K14765">
        <v>0</v>
      </c>
      <c r="L14765">
        <f>IF(AND($J14765=0,$K14765=0),0,1)</f>
        <v>1</v>
      </c>
    </row>
    <row r="14766" spans="1:12" x14ac:dyDescent="0.2">
      <c r="A14766" t="s">
        <v>202</v>
      </c>
      <c r="B14766" t="s">
        <v>133</v>
      </c>
      <c r="C14766" t="s">
        <v>9</v>
      </c>
      <c r="D14766">
        <v>1409</v>
      </c>
      <c r="E14766">
        <v>2021</v>
      </c>
      <c r="F14766">
        <v>3</v>
      </c>
      <c r="G14766">
        <v>12099</v>
      </c>
      <c r="H14766" s="1">
        <v>0</v>
      </c>
      <c r="I14766">
        <v>18</v>
      </c>
      <c r="J14766">
        <f>IF($H14766=0,1,IF($I14766&lt;=1,2,0))</f>
        <v>1</v>
      </c>
      <c r="K14766">
        <v>0</v>
      </c>
      <c r="L14766">
        <f>IF(AND($J14766=0,$K14766=0),0,1)</f>
        <v>1</v>
      </c>
    </row>
    <row r="14767" spans="1:12" x14ac:dyDescent="0.2">
      <c r="A14767" t="s">
        <v>202</v>
      </c>
      <c r="B14767" t="s">
        <v>133</v>
      </c>
      <c r="C14767" t="s">
        <v>9</v>
      </c>
      <c r="D14767">
        <v>1409</v>
      </c>
      <c r="E14767">
        <v>2021</v>
      </c>
      <c r="F14767">
        <v>4</v>
      </c>
      <c r="G14767">
        <v>12100</v>
      </c>
      <c r="H14767" s="1">
        <v>0</v>
      </c>
      <c r="I14767">
        <v>18</v>
      </c>
      <c r="J14767">
        <f>IF($H14767=0,1,IF($I14767&lt;=1,2,0))</f>
        <v>1</v>
      </c>
      <c r="K14767">
        <v>0</v>
      </c>
      <c r="L14767">
        <f>IF(AND($J14767=0,$K14767=0),0,1)</f>
        <v>1</v>
      </c>
    </row>
    <row r="14768" spans="1:12" x14ac:dyDescent="0.2">
      <c r="A14768" t="s">
        <v>202</v>
      </c>
      <c r="B14768" t="s">
        <v>133</v>
      </c>
      <c r="C14768" t="s">
        <v>9</v>
      </c>
      <c r="D14768">
        <v>1411</v>
      </c>
      <c r="E14768">
        <v>2021</v>
      </c>
      <c r="F14768">
        <v>4</v>
      </c>
      <c r="G14768">
        <v>10873</v>
      </c>
      <c r="H14768" s="1">
        <v>0</v>
      </c>
      <c r="I14768">
        <v>16</v>
      </c>
      <c r="J14768">
        <f>IF($H14768=0,1,IF($I14768&lt;=1,2,0))</f>
        <v>1</v>
      </c>
      <c r="K14768">
        <v>0</v>
      </c>
      <c r="L14768">
        <f>IF(AND($J14768=0,$K14768=0),0,1)</f>
        <v>1</v>
      </c>
    </row>
    <row r="14769" spans="1:13" x14ac:dyDescent="0.2">
      <c r="A14769" t="s">
        <v>202</v>
      </c>
      <c r="B14769" t="s">
        <v>133</v>
      </c>
      <c r="C14769" t="s">
        <v>9</v>
      </c>
      <c r="D14769">
        <v>1411</v>
      </c>
      <c r="E14769">
        <v>2021</v>
      </c>
      <c r="F14769">
        <v>1</v>
      </c>
      <c r="G14769">
        <v>10870</v>
      </c>
      <c r="H14769" s="1">
        <v>0</v>
      </c>
      <c r="I14769">
        <v>14</v>
      </c>
      <c r="J14769">
        <f>IF($H14769=0,1,IF($I14769&lt;=1,2,0))</f>
        <v>1</v>
      </c>
      <c r="K14769">
        <v>0</v>
      </c>
      <c r="L14769">
        <f>IF(AND($J14769=0,$K14769=0),0,1)</f>
        <v>1</v>
      </c>
    </row>
    <row r="14770" spans="1:13" x14ac:dyDescent="0.2">
      <c r="A14770" t="s">
        <v>202</v>
      </c>
      <c r="B14770" t="s">
        <v>133</v>
      </c>
      <c r="C14770" t="s">
        <v>9</v>
      </c>
      <c r="D14770">
        <v>1411</v>
      </c>
      <c r="E14770">
        <v>2021</v>
      </c>
      <c r="F14770">
        <v>2</v>
      </c>
      <c r="G14770">
        <v>10871</v>
      </c>
      <c r="H14770" s="1">
        <v>0</v>
      </c>
      <c r="I14770">
        <v>14</v>
      </c>
      <c r="J14770">
        <f>IF($H14770=0,1,IF($I14770&lt;=1,2,0))</f>
        <v>1</v>
      </c>
      <c r="K14770">
        <v>0</v>
      </c>
      <c r="L14770">
        <f>IF(AND($J14770=0,$K14770=0),0,1)</f>
        <v>1</v>
      </c>
    </row>
    <row r="14771" spans="1:13" x14ac:dyDescent="0.2">
      <c r="A14771" t="s">
        <v>202</v>
      </c>
      <c r="B14771" t="s">
        <v>133</v>
      </c>
      <c r="C14771" t="s">
        <v>9</v>
      </c>
      <c r="D14771">
        <v>1411</v>
      </c>
      <c r="E14771">
        <v>2021</v>
      </c>
      <c r="F14771">
        <v>6</v>
      </c>
      <c r="G14771">
        <v>10875</v>
      </c>
      <c r="H14771" s="1">
        <v>0</v>
      </c>
      <c r="I14771">
        <v>14</v>
      </c>
      <c r="J14771">
        <f>IF($H14771=0,1,IF($I14771&lt;=1,2,0))</f>
        <v>1</v>
      </c>
      <c r="K14771">
        <v>0</v>
      </c>
      <c r="L14771">
        <f>IF(AND($J14771=0,$K14771=0),0,1)</f>
        <v>1</v>
      </c>
    </row>
    <row r="14772" spans="1:13" x14ac:dyDescent="0.2">
      <c r="A14772" t="s">
        <v>202</v>
      </c>
      <c r="B14772" t="s">
        <v>133</v>
      </c>
      <c r="C14772" t="s">
        <v>9</v>
      </c>
      <c r="D14772">
        <v>1411</v>
      </c>
      <c r="E14772">
        <v>2021</v>
      </c>
      <c r="F14772">
        <v>5</v>
      </c>
      <c r="G14772">
        <v>10874</v>
      </c>
      <c r="H14772" s="1">
        <v>0</v>
      </c>
      <c r="I14772">
        <v>13</v>
      </c>
      <c r="J14772">
        <f>IF($H14772=0,1,IF($I14772&lt;=1,2,0))</f>
        <v>1</v>
      </c>
      <c r="K14772">
        <v>0</v>
      </c>
      <c r="L14772">
        <f>IF(AND($J14772=0,$K14772=0),0,1)</f>
        <v>1</v>
      </c>
    </row>
    <row r="14773" spans="1:13" x14ac:dyDescent="0.2">
      <c r="A14773" t="s">
        <v>202</v>
      </c>
      <c r="B14773" t="s">
        <v>133</v>
      </c>
      <c r="C14773" t="s">
        <v>9</v>
      </c>
      <c r="D14773">
        <v>1411</v>
      </c>
      <c r="E14773">
        <v>2021</v>
      </c>
      <c r="F14773">
        <v>3</v>
      </c>
      <c r="G14773">
        <v>10872</v>
      </c>
      <c r="H14773" s="1">
        <v>0</v>
      </c>
      <c r="I14773">
        <v>12</v>
      </c>
      <c r="J14773">
        <f>IF($H14773=0,1,IF($I14773&lt;=1,2,0))</f>
        <v>1</v>
      </c>
      <c r="K14773">
        <v>0</v>
      </c>
      <c r="L14773">
        <f>IF(AND($J14773=0,$K14773=0),0,1)</f>
        <v>1</v>
      </c>
    </row>
    <row r="14774" spans="1:13" x14ac:dyDescent="0.2">
      <c r="A14774" t="s">
        <v>202</v>
      </c>
      <c r="B14774" t="s">
        <v>133</v>
      </c>
      <c r="C14774" t="s">
        <v>9</v>
      </c>
      <c r="D14774">
        <v>1500</v>
      </c>
      <c r="E14774">
        <v>2021</v>
      </c>
      <c r="F14774">
        <v>2</v>
      </c>
      <c r="G14774">
        <v>10530</v>
      </c>
      <c r="H14774" s="1">
        <v>3</v>
      </c>
      <c r="I14774">
        <v>39</v>
      </c>
      <c r="J14774">
        <f>IF($H14774=0,1,IF($I14774&lt;=1,2,0))</f>
        <v>0</v>
      </c>
      <c r="K14774">
        <v>8</v>
      </c>
      <c r="L14774">
        <f>IF(AND($J14774=0,$K14774=0),0,1)</f>
        <v>1</v>
      </c>
      <c r="M14774" t="s">
        <v>1447</v>
      </c>
    </row>
    <row r="14775" spans="1:13" x14ac:dyDescent="0.2">
      <c r="A14775" t="s">
        <v>202</v>
      </c>
      <c r="B14775" t="s">
        <v>133</v>
      </c>
      <c r="C14775" t="s">
        <v>9</v>
      </c>
      <c r="D14775">
        <v>1500</v>
      </c>
      <c r="E14775">
        <v>2021</v>
      </c>
      <c r="F14775">
        <v>3</v>
      </c>
      <c r="G14775">
        <v>10531</v>
      </c>
      <c r="H14775" s="1">
        <v>3</v>
      </c>
      <c r="I14775">
        <v>35</v>
      </c>
      <c r="J14775">
        <f>IF($H14775=0,1,IF($I14775&lt;=1,2,0))</f>
        <v>0</v>
      </c>
      <c r="K14775">
        <v>8</v>
      </c>
      <c r="L14775">
        <f>IF(AND($J14775=0,$K14775=0),0,1)</f>
        <v>1</v>
      </c>
      <c r="M14775" t="s">
        <v>1447</v>
      </c>
    </row>
    <row r="14776" spans="1:13" x14ac:dyDescent="0.2">
      <c r="A14776" t="s">
        <v>202</v>
      </c>
      <c r="B14776" t="s">
        <v>133</v>
      </c>
      <c r="C14776" t="s">
        <v>9</v>
      </c>
      <c r="D14776">
        <v>1500</v>
      </c>
      <c r="E14776">
        <v>2021</v>
      </c>
      <c r="F14776">
        <v>1</v>
      </c>
      <c r="G14776">
        <v>10529</v>
      </c>
      <c r="H14776" s="1">
        <v>3</v>
      </c>
      <c r="I14776">
        <v>17</v>
      </c>
      <c r="J14776">
        <f>IF($H14776=0,1,IF($I14776&lt;=1,2,0))</f>
        <v>0</v>
      </c>
      <c r="K14776">
        <v>8</v>
      </c>
      <c r="L14776">
        <f>IF(AND($J14776=0,$K14776=0),0,1)</f>
        <v>1</v>
      </c>
      <c r="M14776" t="s">
        <v>1447</v>
      </c>
    </row>
    <row r="14777" spans="1:13" x14ac:dyDescent="0.2">
      <c r="A14777" t="s">
        <v>202</v>
      </c>
      <c r="B14777" t="s">
        <v>133</v>
      </c>
      <c r="C14777" t="s">
        <v>9</v>
      </c>
      <c r="D14777">
        <v>1500</v>
      </c>
      <c r="E14777">
        <v>2021</v>
      </c>
      <c r="F14777">
        <v>4</v>
      </c>
      <c r="G14777">
        <v>10532</v>
      </c>
      <c r="H14777" s="1">
        <v>3</v>
      </c>
      <c r="I14777">
        <v>8</v>
      </c>
      <c r="J14777">
        <f>IF($H14777=0,1,IF($I14777&lt;=1,2,0))</f>
        <v>0</v>
      </c>
      <c r="K14777">
        <v>8</v>
      </c>
      <c r="L14777">
        <f>IF(AND($J14777=0,$K14777=0),0,1)</f>
        <v>1</v>
      </c>
      <c r="M14777" t="s">
        <v>1447</v>
      </c>
    </row>
    <row r="14778" spans="1:13" x14ac:dyDescent="0.2">
      <c r="A14778" t="s">
        <v>202</v>
      </c>
      <c r="B14778" t="s">
        <v>133</v>
      </c>
      <c r="C14778" t="s">
        <v>9</v>
      </c>
      <c r="D14778">
        <v>1501</v>
      </c>
      <c r="E14778">
        <v>2021</v>
      </c>
      <c r="F14778">
        <v>2</v>
      </c>
      <c r="G14778">
        <v>10534</v>
      </c>
      <c r="H14778" s="1">
        <v>0</v>
      </c>
      <c r="I14778">
        <v>74</v>
      </c>
      <c r="J14778">
        <f>IF($H14778=0,1,IF($I14778&lt;=1,2,0))</f>
        <v>1</v>
      </c>
      <c r="K14778">
        <v>0</v>
      </c>
      <c r="L14778">
        <f>IF(AND($J14778=0,$K14778=0),0,1)</f>
        <v>1</v>
      </c>
      <c r="M14778" t="s">
        <v>203</v>
      </c>
    </row>
    <row r="14779" spans="1:13" x14ac:dyDescent="0.2">
      <c r="A14779" t="s">
        <v>202</v>
      </c>
      <c r="B14779" t="s">
        <v>133</v>
      </c>
      <c r="C14779" t="s">
        <v>9</v>
      </c>
      <c r="D14779">
        <v>1501</v>
      </c>
      <c r="E14779">
        <v>2021</v>
      </c>
      <c r="F14779">
        <v>1</v>
      </c>
      <c r="G14779">
        <v>10533</v>
      </c>
      <c r="H14779" s="1">
        <v>0</v>
      </c>
      <c r="I14779">
        <v>25</v>
      </c>
      <c r="J14779">
        <f>IF($H14779=0,1,IF($I14779&lt;=1,2,0))</f>
        <v>1</v>
      </c>
      <c r="K14779">
        <v>0</v>
      </c>
      <c r="L14779">
        <f>IF(AND($J14779=0,$K14779=0),0,1)</f>
        <v>1</v>
      </c>
      <c r="M14779" t="s">
        <v>203</v>
      </c>
    </row>
    <row r="14780" spans="1:13" x14ac:dyDescent="0.2">
      <c r="A14780" t="s">
        <v>202</v>
      </c>
      <c r="B14780" t="s">
        <v>133</v>
      </c>
      <c r="C14780" t="s">
        <v>9</v>
      </c>
      <c r="D14780">
        <v>1606</v>
      </c>
      <c r="E14780">
        <v>2021</v>
      </c>
      <c r="F14780">
        <v>5</v>
      </c>
      <c r="G14780">
        <v>10542</v>
      </c>
      <c r="H14780" s="1">
        <v>0</v>
      </c>
      <c r="I14780">
        <v>14</v>
      </c>
      <c r="J14780">
        <f>IF($H14780=0,1,IF($I14780&lt;=1,2,0))</f>
        <v>1</v>
      </c>
      <c r="K14780">
        <v>0</v>
      </c>
      <c r="L14780">
        <f>IF(AND($J14780=0,$K14780=0),0,1)</f>
        <v>1</v>
      </c>
    </row>
    <row r="14781" spans="1:13" x14ac:dyDescent="0.2">
      <c r="A14781" t="s">
        <v>202</v>
      </c>
      <c r="B14781" t="s">
        <v>133</v>
      </c>
      <c r="C14781" t="s">
        <v>9</v>
      </c>
      <c r="D14781">
        <v>1606</v>
      </c>
      <c r="E14781">
        <v>2021</v>
      </c>
      <c r="F14781">
        <v>4</v>
      </c>
      <c r="G14781">
        <v>10541</v>
      </c>
      <c r="H14781" s="1">
        <v>0</v>
      </c>
      <c r="I14781">
        <v>13</v>
      </c>
      <c r="J14781">
        <f>IF($H14781=0,1,IF($I14781&lt;=1,2,0))</f>
        <v>1</v>
      </c>
      <c r="K14781">
        <v>0</v>
      </c>
      <c r="L14781">
        <f>IF(AND($J14781=0,$K14781=0),0,1)</f>
        <v>1</v>
      </c>
    </row>
    <row r="14782" spans="1:13" x14ac:dyDescent="0.2">
      <c r="A14782" t="s">
        <v>202</v>
      </c>
      <c r="B14782" t="s">
        <v>133</v>
      </c>
      <c r="C14782" t="s">
        <v>9</v>
      </c>
      <c r="D14782">
        <v>1606</v>
      </c>
      <c r="E14782">
        <v>2021</v>
      </c>
      <c r="F14782">
        <v>2</v>
      </c>
      <c r="G14782">
        <v>10539</v>
      </c>
      <c r="H14782" s="1">
        <v>0</v>
      </c>
      <c r="I14782">
        <v>10</v>
      </c>
      <c r="J14782">
        <f>IF($H14782=0,1,IF($I14782&lt;=1,2,0))</f>
        <v>1</v>
      </c>
      <c r="K14782">
        <v>0</v>
      </c>
      <c r="L14782">
        <f>IF(AND($J14782=0,$K14782=0),0,1)</f>
        <v>1</v>
      </c>
    </row>
    <row r="14783" spans="1:13" x14ac:dyDescent="0.2">
      <c r="A14783" t="s">
        <v>202</v>
      </c>
      <c r="B14783" t="s">
        <v>133</v>
      </c>
      <c r="C14783" t="s">
        <v>9</v>
      </c>
      <c r="D14783">
        <v>1606</v>
      </c>
      <c r="E14783">
        <v>2021</v>
      </c>
      <c r="F14783">
        <v>1</v>
      </c>
      <c r="G14783">
        <v>10538</v>
      </c>
      <c r="H14783" s="1">
        <v>0</v>
      </c>
      <c r="I14783">
        <v>9</v>
      </c>
      <c r="J14783">
        <f>IF($H14783=0,1,IF($I14783&lt;=1,2,0))</f>
        <v>1</v>
      </c>
      <c r="K14783">
        <v>0</v>
      </c>
      <c r="L14783">
        <f>IF(AND($J14783=0,$K14783=0),0,1)</f>
        <v>1</v>
      </c>
    </row>
    <row r="14784" spans="1:13" x14ac:dyDescent="0.2">
      <c r="A14784" t="s">
        <v>202</v>
      </c>
      <c r="B14784" t="s">
        <v>133</v>
      </c>
      <c r="C14784" t="s">
        <v>9</v>
      </c>
      <c r="D14784">
        <v>1606</v>
      </c>
      <c r="E14784">
        <v>2021</v>
      </c>
      <c r="F14784">
        <v>3</v>
      </c>
      <c r="G14784">
        <v>10540</v>
      </c>
      <c r="H14784" s="1">
        <v>0</v>
      </c>
      <c r="I14784">
        <v>9</v>
      </c>
      <c r="J14784">
        <f>IF($H14784=0,1,IF($I14784&lt;=1,2,0))</f>
        <v>1</v>
      </c>
      <c r="K14784">
        <v>0</v>
      </c>
      <c r="L14784">
        <f>IF(AND($J14784=0,$K14784=0),0,1)</f>
        <v>1</v>
      </c>
    </row>
    <row r="14785" spans="1:13" x14ac:dyDescent="0.2">
      <c r="A14785" t="s">
        <v>202</v>
      </c>
      <c r="B14785" t="s">
        <v>133</v>
      </c>
      <c r="C14785" t="s">
        <v>9</v>
      </c>
      <c r="D14785">
        <v>1606</v>
      </c>
      <c r="E14785">
        <v>2021</v>
      </c>
      <c r="F14785">
        <v>6</v>
      </c>
      <c r="G14785">
        <v>10543</v>
      </c>
      <c r="H14785" s="1">
        <v>0</v>
      </c>
      <c r="I14785">
        <v>7</v>
      </c>
      <c r="J14785">
        <f>IF($H14785=0,1,IF($I14785&lt;=1,2,0))</f>
        <v>1</v>
      </c>
      <c r="K14785">
        <v>0</v>
      </c>
      <c r="L14785">
        <f>IF(AND($J14785=0,$K14785=0),0,1)</f>
        <v>1</v>
      </c>
    </row>
    <row r="14786" spans="1:13" x14ac:dyDescent="0.2">
      <c r="A14786" t="s">
        <v>202</v>
      </c>
      <c r="B14786" t="s">
        <v>133</v>
      </c>
      <c r="C14786" t="s">
        <v>2</v>
      </c>
      <c r="D14786">
        <v>2001</v>
      </c>
      <c r="E14786">
        <v>2021</v>
      </c>
      <c r="F14786">
        <v>1</v>
      </c>
      <c r="G14786">
        <v>114</v>
      </c>
      <c r="H14786" s="1">
        <v>5</v>
      </c>
      <c r="I14786">
        <v>205</v>
      </c>
      <c r="J14786">
        <f>IF($H14786=0,1,IF($I14786&lt;=1,2,0))</f>
        <v>0</v>
      </c>
      <c r="K14786">
        <v>7</v>
      </c>
      <c r="L14786">
        <f>IF(AND($J14786=0,$K14786=0),0,1)</f>
        <v>1</v>
      </c>
      <c r="M14786" t="s">
        <v>1448</v>
      </c>
    </row>
    <row r="14787" spans="1:13" x14ac:dyDescent="0.2">
      <c r="A14787" t="s">
        <v>202</v>
      </c>
      <c r="B14787" t="s">
        <v>133</v>
      </c>
      <c r="C14787" t="s">
        <v>2</v>
      </c>
      <c r="D14787">
        <v>2012</v>
      </c>
      <c r="E14787">
        <v>2021</v>
      </c>
      <c r="F14787">
        <v>1</v>
      </c>
      <c r="G14787">
        <v>116</v>
      </c>
      <c r="H14787" s="1">
        <v>0</v>
      </c>
      <c r="I14787">
        <v>32</v>
      </c>
      <c r="J14787">
        <f>IF($H14787=0,1,IF($I14787&lt;=1,2,0))</f>
        <v>1</v>
      </c>
      <c r="K14787">
        <v>7</v>
      </c>
      <c r="L14787">
        <f>IF(AND($J14787=0,$K14787=0),0,1)</f>
        <v>1</v>
      </c>
    </row>
    <row r="14788" spans="1:13" x14ac:dyDescent="0.2">
      <c r="A14788" t="s">
        <v>202</v>
      </c>
      <c r="B14788" t="s">
        <v>133</v>
      </c>
      <c r="C14788" t="s">
        <v>2</v>
      </c>
      <c r="D14788">
        <v>2012</v>
      </c>
      <c r="E14788">
        <v>2021</v>
      </c>
      <c r="F14788">
        <v>2</v>
      </c>
      <c r="G14788">
        <v>117</v>
      </c>
      <c r="H14788" s="1">
        <v>0</v>
      </c>
      <c r="I14788">
        <v>32</v>
      </c>
      <c r="J14788">
        <f>IF($H14788=0,1,IF($I14788&lt;=1,2,0))</f>
        <v>1</v>
      </c>
      <c r="K14788">
        <v>7</v>
      </c>
      <c r="L14788">
        <f>IF(AND($J14788=0,$K14788=0),0,1)</f>
        <v>1</v>
      </c>
    </row>
    <row r="14789" spans="1:13" x14ac:dyDescent="0.2">
      <c r="A14789" t="s">
        <v>202</v>
      </c>
      <c r="B14789" t="s">
        <v>133</v>
      </c>
      <c r="C14789" t="s">
        <v>2</v>
      </c>
      <c r="D14789">
        <v>2012</v>
      </c>
      <c r="E14789">
        <v>2021</v>
      </c>
      <c r="F14789">
        <v>4</v>
      </c>
      <c r="G14789">
        <v>119</v>
      </c>
      <c r="H14789" s="1">
        <v>0</v>
      </c>
      <c r="I14789">
        <v>32</v>
      </c>
      <c r="J14789">
        <f>IF($H14789=0,1,IF($I14789&lt;=1,2,0))</f>
        <v>1</v>
      </c>
      <c r="K14789">
        <v>7</v>
      </c>
      <c r="L14789">
        <f>IF(AND($J14789=0,$K14789=0),0,1)</f>
        <v>1</v>
      </c>
    </row>
    <row r="14790" spans="1:13" x14ac:dyDescent="0.2">
      <c r="A14790" t="s">
        <v>202</v>
      </c>
      <c r="B14790" t="s">
        <v>133</v>
      </c>
      <c r="C14790" t="s">
        <v>2</v>
      </c>
      <c r="D14790">
        <v>2012</v>
      </c>
      <c r="E14790">
        <v>2021</v>
      </c>
      <c r="F14790">
        <v>3</v>
      </c>
      <c r="G14790">
        <v>118</v>
      </c>
      <c r="H14790" s="1">
        <v>0</v>
      </c>
      <c r="I14790">
        <v>31</v>
      </c>
      <c r="J14790">
        <f>IF($H14790=0,1,IF($I14790&lt;=1,2,0))</f>
        <v>1</v>
      </c>
      <c r="K14790">
        <v>7</v>
      </c>
      <c r="L14790">
        <f>IF(AND($J14790=0,$K14790=0),0,1)</f>
        <v>1</v>
      </c>
    </row>
    <row r="14791" spans="1:13" x14ac:dyDescent="0.2">
      <c r="A14791" t="s">
        <v>202</v>
      </c>
      <c r="B14791" t="s">
        <v>133</v>
      </c>
      <c r="C14791" t="s">
        <v>2</v>
      </c>
      <c r="D14791">
        <v>2012</v>
      </c>
      <c r="E14791">
        <v>2021</v>
      </c>
      <c r="F14791">
        <v>5</v>
      </c>
      <c r="G14791">
        <v>120</v>
      </c>
      <c r="H14791" s="1">
        <v>0</v>
      </c>
      <c r="I14791">
        <v>31</v>
      </c>
      <c r="J14791">
        <f>IF($H14791=0,1,IF($I14791&lt;=1,2,0))</f>
        <v>1</v>
      </c>
      <c r="K14791">
        <v>7</v>
      </c>
      <c r="L14791">
        <f>IF(AND($J14791=0,$K14791=0),0,1)</f>
        <v>1</v>
      </c>
    </row>
    <row r="14792" spans="1:13" x14ac:dyDescent="0.2">
      <c r="A14792" t="s">
        <v>202</v>
      </c>
      <c r="B14792" t="s">
        <v>133</v>
      </c>
      <c r="C14792" t="s">
        <v>2</v>
      </c>
      <c r="D14792">
        <v>2012</v>
      </c>
      <c r="E14792">
        <v>2021</v>
      </c>
      <c r="F14792">
        <v>6</v>
      </c>
      <c r="G14792">
        <v>121</v>
      </c>
      <c r="H14792" s="1">
        <v>0</v>
      </c>
      <c r="I14792">
        <v>31</v>
      </c>
      <c r="J14792">
        <f>IF($H14792=0,1,IF($I14792&lt;=1,2,0))</f>
        <v>1</v>
      </c>
      <c r="K14792">
        <v>7</v>
      </c>
      <c r="L14792">
        <f>IF(AND($J14792=0,$K14792=0),0,1)</f>
        <v>1</v>
      </c>
    </row>
    <row r="14793" spans="1:13" x14ac:dyDescent="0.2">
      <c r="A14793" t="s">
        <v>202</v>
      </c>
      <c r="B14793" t="s">
        <v>133</v>
      </c>
      <c r="C14793" t="s">
        <v>2</v>
      </c>
      <c r="D14793">
        <v>2012</v>
      </c>
      <c r="E14793">
        <v>2021</v>
      </c>
      <c r="F14793">
        <v>7</v>
      </c>
      <c r="G14793">
        <v>784</v>
      </c>
      <c r="H14793" s="1">
        <v>0</v>
      </c>
      <c r="I14793">
        <v>16</v>
      </c>
      <c r="J14793">
        <f>IF($H14793=0,1,IF($I14793&lt;=1,2,0))</f>
        <v>1</v>
      </c>
      <c r="K14793">
        <v>7</v>
      </c>
      <c r="L14793">
        <f>IF(AND($J14793=0,$K14793=0),0,1)</f>
        <v>1</v>
      </c>
    </row>
    <row r="14794" spans="1:13" x14ac:dyDescent="0.2">
      <c r="A14794" t="s">
        <v>202</v>
      </c>
      <c r="B14794" t="s">
        <v>133</v>
      </c>
      <c r="C14794" t="s">
        <v>9</v>
      </c>
      <c r="D14794">
        <v>2445</v>
      </c>
      <c r="E14794">
        <v>2021</v>
      </c>
      <c r="F14794">
        <v>7</v>
      </c>
      <c r="G14794">
        <v>11201</v>
      </c>
      <c r="H14794" s="1">
        <v>0</v>
      </c>
      <c r="I14794">
        <v>20</v>
      </c>
      <c r="J14794">
        <f>IF($H14794=0,1,IF($I14794&lt;=1,2,0))</f>
        <v>1</v>
      </c>
      <c r="K14794">
        <v>0</v>
      </c>
      <c r="L14794">
        <f>IF(AND($J14794=0,$K14794=0),0,1)</f>
        <v>1</v>
      </c>
    </row>
    <row r="14795" spans="1:13" x14ac:dyDescent="0.2">
      <c r="A14795" t="s">
        <v>202</v>
      </c>
      <c r="B14795" t="s">
        <v>133</v>
      </c>
      <c r="C14795" t="s">
        <v>9</v>
      </c>
      <c r="D14795">
        <v>2445</v>
      </c>
      <c r="E14795">
        <v>2021</v>
      </c>
      <c r="F14795">
        <v>1</v>
      </c>
      <c r="G14795">
        <v>11196</v>
      </c>
      <c r="H14795" s="1">
        <v>0</v>
      </c>
      <c r="I14795">
        <v>18</v>
      </c>
      <c r="J14795">
        <f>IF($H14795=0,1,IF($I14795&lt;=1,2,0))</f>
        <v>1</v>
      </c>
      <c r="K14795">
        <v>0</v>
      </c>
      <c r="L14795">
        <f>IF(AND($J14795=0,$K14795=0),0,1)</f>
        <v>1</v>
      </c>
    </row>
    <row r="14796" spans="1:13" x14ac:dyDescent="0.2">
      <c r="A14796" t="s">
        <v>202</v>
      </c>
      <c r="B14796" t="s">
        <v>133</v>
      </c>
      <c r="C14796" t="s">
        <v>9</v>
      </c>
      <c r="D14796">
        <v>2445</v>
      </c>
      <c r="E14796">
        <v>2021</v>
      </c>
      <c r="F14796">
        <v>5</v>
      </c>
      <c r="G14796">
        <v>11199</v>
      </c>
      <c r="H14796" s="1">
        <v>0</v>
      </c>
      <c r="I14796">
        <v>18</v>
      </c>
      <c r="J14796">
        <f>IF($H14796=0,1,IF($I14796&lt;=1,2,0))</f>
        <v>1</v>
      </c>
      <c r="K14796">
        <v>0</v>
      </c>
      <c r="L14796">
        <f>IF(AND($J14796=0,$K14796=0),0,1)</f>
        <v>1</v>
      </c>
    </row>
    <row r="14797" spans="1:13" x14ac:dyDescent="0.2">
      <c r="A14797" t="s">
        <v>202</v>
      </c>
      <c r="B14797" t="s">
        <v>133</v>
      </c>
      <c r="C14797" t="s">
        <v>9</v>
      </c>
      <c r="D14797">
        <v>2445</v>
      </c>
      <c r="E14797">
        <v>2021</v>
      </c>
      <c r="F14797">
        <v>2</v>
      </c>
      <c r="G14797">
        <v>11195</v>
      </c>
      <c r="H14797" s="1">
        <v>0</v>
      </c>
      <c r="I14797">
        <v>15</v>
      </c>
      <c r="J14797">
        <f>IF($H14797=0,1,IF($I14797&lt;=1,2,0))</f>
        <v>1</v>
      </c>
      <c r="K14797">
        <v>0</v>
      </c>
      <c r="L14797">
        <f>IF(AND($J14797=0,$K14797=0),0,1)</f>
        <v>1</v>
      </c>
    </row>
    <row r="14798" spans="1:13" x14ac:dyDescent="0.2">
      <c r="A14798" t="s">
        <v>202</v>
      </c>
      <c r="B14798" t="s">
        <v>133</v>
      </c>
      <c r="C14798" t="s">
        <v>9</v>
      </c>
      <c r="D14798">
        <v>2445</v>
      </c>
      <c r="E14798">
        <v>2021</v>
      </c>
      <c r="F14798">
        <v>4</v>
      </c>
      <c r="G14798">
        <v>11198</v>
      </c>
      <c r="H14798" s="1">
        <v>0</v>
      </c>
      <c r="I14798">
        <v>15</v>
      </c>
      <c r="J14798">
        <f>IF($H14798=0,1,IF($I14798&lt;=1,2,0))</f>
        <v>1</v>
      </c>
      <c r="K14798">
        <v>0</v>
      </c>
      <c r="L14798">
        <f>IF(AND($J14798=0,$K14798=0),0,1)</f>
        <v>1</v>
      </c>
    </row>
    <row r="14799" spans="1:13" x14ac:dyDescent="0.2">
      <c r="A14799" t="s">
        <v>202</v>
      </c>
      <c r="B14799" t="s">
        <v>133</v>
      </c>
      <c r="C14799" t="s">
        <v>9</v>
      </c>
      <c r="D14799">
        <v>2445</v>
      </c>
      <c r="E14799">
        <v>2021</v>
      </c>
      <c r="F14799">
        <v>6</v>
      </c>
      <c r="G14799">
        <v>11200</v>
      </c>
      <c r="H14799" s="1">
        <v>0</v>
      </c>
      <c r="I14799">
        <v>15</v>
      </c>
      <c r="J14799">
        <f>IF($H14799=0,1,IF($I14799&lt;=1,2,0))</f>
        <v>1</v>
      </c>
      <c r="K14799">
        <v>0</v>
      </c>
      <c r="L14799">
        <f>IF(AND($J14799=0,$K14799=0),0,1)</f>
        <v>1</v>
      </c>
    </row>
    <row r="14800" spans="1:13" x14ac:dyDescent="0.2">
      <c r="A14800" t="s">
        <v>202</v>
      </c>
      <c r="B14800" t="s">
        <v>133</v>
      </c>
      <c r="C14800" t="s">
        <v>9</v>
      </c>
      <c r="D14800">
        <v>2445</v>
      </c>
      <c r="E14800">
        <v>2021</v>
      </c>
      <c r="F14800">
        <v>8</v>
      </c>
      <c r="G14800">
        <v>11202</v>
      </c>
      <c r="H14800" s="1">
        <v>0</v>
      </c>
      <c r="I14800">
        <v>15</v>
      </c>
      <c r="J14800">
        <f>IF($H14800=0,1,IF($I14800&lt;=1,2,0))</f>
        <v>1</v>
      </c>
      <c r="K14800">
        <v>0</v>
      </c>
      <c r="L14800">
        <f>IF(AND($J14800=0,$K14800=0),0,1)</f>
        <v>1</v>
      </c>
    </row>
    <row r="14801" spans="1:13" x14ac:dyDescent="0.2">
      <c r="A14801" t="s">
        <v>202</v>
      </c>
      <c r="B14801" t="s">
        <v>133</v>
      </c>
      <c r="C14801" t="s">
        <v>9</v>
      </c>
      <c r="D14801">
        <v>2445</v>
      </c>
      <c r="E14801">
        <v>2021</v>
      </c>
      <c r="F14801">
        <v>3</v>
      </c>
      <c r="G14801">
        <v>11197</v>
      </c>
      <c r="H14801" s="1">
        <v>0</v>
      </c>
      <c r="I14801">
        <v>13</v>
      </c>
      <c r="J14801">
        <f>IF($H14801=0,1,IF($I14801&lt;=1,2,0))</f>
        <v>1</v>
      </c>
      <c r="K14801">
        <v>0</v>
      </c>
      <c r="L14801">
        <f>IF(AND($J14801=0,$K14801=0),0,1)</f>
        <v>1</v>
      </c>
    </row>
    <row r="14802" spans="1:13" x14ac:dyDescent="0.2">
      <c r="A14802" t="s">
        <v>202</v>
      </c>
      <c r="B14802" t="s">
        <v>133</v>
      </c>
      <c r="C14802" t="s">
        <v>9</v>
      </c>
      <c r="D14802">
        <v>2445</v>
      </c>
      <c r="E14802">
        <v>2021</v>
      </c>
      <c r="F14802">
        <v>9</v>
      </c>
      <c r="G14802">
        <v>11203</v>
      </c>
      <c r="H14802" s="1">
        <v>0</v>
      </c>
      <c r="I14802">
        <v>7</v>
      </c>
      <c r="J14802">
        <f>IF($H14802=0,1,IF($I14802&lt;=1,2,0))</f>
        <v>1</v>
      </c>
      <c r="K14802">
        <v>0</v>
      </c>
      <c r="L14802">
        <f>IF(AND($J14802=0,$K14802=0),0,1)</f>
        <v>1</v>
      </c>
    </row>
    <row r="14803" spans="1:13" x14ac:dyDescent="0.2">
      <c r="A14803" t="s">
        <v>202</v>
      </c>
      <c r="B14803" t="s">
        <v>133</v>
      </c>
      <c r="C14803" t="s">
        <v>9</v>
      </c>
      <c r="D14803">
        <v>2447</v>
      </c>
      <c r="E14803">
        <v>2021</v>
      </c>
      <c r="F14803">
        <v>3</v>
      </c>
      <c r="G14803">
        <v>11212</v>
      </c>
      <c r="H14803" s="1">
        <v>0</v>
      </c>
      <c r="I14803">
        <v>19</v>
      </c>
      <c r="J14803">
        <f>IF($H14803=0,1,IF($I14803&lt;=1,2,0))</f>
        <v>1</v>
      </c>
      <c r="K14803">
        <v>0</v>
      </c>
      <c r="L14803">
        <f>IF(AND($J14803=0,$K14803=0),0,1)</f>
        <v>1</v>
      </c>
    </row>
    <row r="14804" spans="1:13" x14ac:dyDescent="0.2">
      <c r="A14804" t="s">
        <v>202</v>
      </c>
      <c r="B14804" t="s">
        <v>133</v>
      </c>
      <c r="C14804" t="s">
        <v>9</v>
      </c>
      <c r="D14804">
        <v>2447</v>
      </c>
      <c r="E14804">
        <v>2021</v>
      </c>
      <c r="F14804">
        <v>1</v>
      </c>
      <c r="G14804">
        <v>11210</v>
      </c>
      <c r="H14804" s="1">
        <v>0</v>
      </c>
      <c r="I14804">
        <v>10</v>
      </c>
      <c r="J14804">
        <f>IF($H14804=0,1,IF($I14804&lt;=1,2,0))</f>
        <v>1</v>
      </c>
      <c r="K14804">
        <v>0</v>
      </c>
      <c r="L14804">
        <f>IF(AND($J14804=0,$K14804=0),0,1)</f>
        <v>1</v>
      </c>
    </row>
    <row r="14805" spans="1:13" x14ac:dyDescent="0.2">
      <c r="A14805" t="s">
        <v>202</v>
      </c>
      <c r="B14805" t="s">
        <v>133</v>
      </c>
      <c r="C14805" t="s">
        <v>9</v>
      </c>
      <c r="D14805">
        <v>2447</v>
      </c>
      <c r="E14805">
        <v>2021</v>
      </c>
      <c r="F14805">
        <v>8</v>
      </c>
      <c r="G14805">
        <v>11217</v>
      </c>
      <c r="H14805" s="1">
        <v>0</v>
      </c>
      <c r="I14805">
        <v>9</v>
      </c>
      <c r="J14805">
        <f>IF($H14805=0,1,IF($I14805&lt;=1,2,0))</f>
        <v>1</v>
      </c>
      <c r="K14805">
        <v>0</v>
      </c>
      <c r="L14805">
        <f>IF(AND($J14805=0,$K14805=0),0,1)</f>
        <v>1</v>
      </c>
    </row>
    <row r="14806" spans="1:13" x14ac:dyDescent="0.2">
      <c r="A14806" t="s">
        <v>202</v>
      </c>
      <c r="B14806" t="s">
        <v>133</v>
      </c>
      <c r="C14806" t="s">
        <v>9</v>
      </c>
      <c r="D14806">
        <v>2449</v>
      </c>
      <c r="E14806">
        <v>2021</v>
      </c>
      <c r="F14806">
        <v>1</v>
      </c>
      <c r="G14806">
        <v>11204</v>
      </c>
      <c r="H14806" s="1">
        <v>0</v>
      </c>
      <c r="I14806">
        <v>22</v>
      </c>
      <c r="J14806">
        <f>IF($H14806=0,1,IF($I14806&lt;=1,2,0))</f>
        <v>1</v>
      </c>
      <c r="K14806">
        <v>0</v>
      </c>
      <c r="L14806">
        <f>IF(AND($J14806=0,$K14806=0),0,1)</f>
        <v>1</v>
      </c>
    </row>
    <row r="14807" spans="1:13" x14ac:dyDescent="0.2">
      <c r="A14807" t="s">
        <v>202</v>
      </c>
      <c r="B14807" t="s">
        <v>133</v>
      </c>
      <c r="C14807" t="s">
        <v>9</v>
      </c>
      <c r="D14807">
        <v>2449</v>
      </c>
      <c r="E14807">
        <v>2021</v>
      </c>
      <c r="F14807">
        <v>2</v>
      </c>
      <c r="G14807">
        <v>11205</v>
      </c>
      <c r="H14807" s="1">
        <v>0</v>
      </c>
      <c r="I14807">
        <v>22</v>
      </c>
      <c r="J14807">
        <f>IF($H14807=0,1,IF($I14807&lt;=1,2,0))</f>
        <v>1</v>
      </c>
      <c r="K14807">
        <v>0</v>
      </c>
      <c r="L14807">
        <f>IF(AND($J14807=0,$K14807=0),0,1)</f>
        <v>1</v>
      </c>
    </row>
    <row r="14808" spans="1:13" x14ac:dyDescent="0.2">
      <c r="A14808" t="s">
        <v>202</v>
      </c>
      <c r="B14808" t="s">
        <v>133</v>
      </c>
      <c r="C14808" t="s">
        <v>9</v>
      </c>
      <c r="D14808">
        <v>2449</v>
      </c>
      <c r="E14808">
        <v>2021</v>
      </c>
      <c r="F14808">
        <v>6</v>
      </c>
      <c r="G14808">
        <v>11209</v>
      </c>
      <c r="H14808" s="1">
        <v>0</v>
      </c>
      <c r="I14808">
        <v>21</v>
      </c>
      <c r="J14808">
        <f>IF($H14808=0,1,IF($I14808&lt;=1,2,0))</f>
        <v>1</v>
      </c>
      <c r="K14808">
        <v>0</v>
      </c>
      <c r="L14808">
        <f>IF(AND($J14808=0,$K14808=0),0,1)</f>
        <v>1</v>
      </c>
    </row>
    <row r="14809" spans="1:13" x14ac:dyDescent="0.2">
      <c r="A14809" t="s">
        <v>202</v>
      </c>
      <c r="B14809" t="s">
        <v>133</v>
      </c>
      <c r="C14809" t="s">
        <v>9</v>
      </c>
      <c r="D14809">
        <v>2449</v>
      </c>
      <c r="E14809">
        <v>2021</v>
      </c>
      <c r="F14809">
        <v>3</v>
      </c>
      <c r="G14809">
        <v>11206</v>
      </c>
      <c r="H14809" s="1">
        <v>0</v>
      </c>
      <c r="I14809">
        <v>20</v>
      </c>
      <c r="J14809">
        <f>IF($H14809=0,1,IF($I14809&lt;=1,2,0))</f>
        <v>1</v>
      </c>
      <c r="K14809">
        <v>0</v>
      </c>
      <c r="L14809">
        <f>IF(AND($J14809=0,$K14809=0),0,1)</f>
        <v>1</v>
      </c>
    </row>
    <row r="14810" spans="1:13" x14ac:dyDescent="0.2">
      <c r="A14810" t="s">
        <v>202</v>
      </c>
      <c r="B14810" t="s">
        <v>133</v>
      </c>
      <c r="C14810" t="s">
        <v>9</v>
      </c>
      <c r="D14810">
        <v>2449</v>
      </c>
      <c r="E14810">
        <v>2021</v>
      </c>
      <c r="F14810">
        <v>4</v>
      </c>
      <c r="G14810">
        <v>11207</v>
      </c>
      <c r="H14810" s="1">
        <v>0</v>
      </c>
      <c r="I14810">
        <v>19</v>
      </c>
      <c r="J14810">
        <f>IF($H14810=0,1,IF($I14810&lt;=1,2,0))</f>
        <v>1</v>
      </c>
      <c r="K14810">
        <v>0</v>
      </c>
      <c r="L14810">
        <f>IF(AND($J14810=0,$K14810=0),0,1)</f>
        <v>1</v>
      </c>
    </row>
    <row r="14811" spans="1:13" x14ac:dyDescent="0.2">
      <c r="A14811" t="s">
        <v>202</v>
      </c>
      <c r="B14811" t="s">
        <v>133</v>
      </c>
      <c r="C14811" t="s">
        <v>9</v>
      </c>
      <c r="D14811">
        <v>2449</v>
      </c>
      <c r="E14811">
        <v>2021</v>
      </c>
      <c r="F14811">
        <v>5</v>
      </c>
      <c r="G14811">
        <v>11208</v>
      </c>
      <c r="H14811" s="1">
        <v>0</v>
      </c>
      <c r="I14811">
        <v>19</v>
      </c>
      <c r="J14811">
        <f>IF($H14811=0,1,IF($I14811&lt;=1,2,0))</f>
        <v>1</v>
      </c>
      <c r="K14811">
        <v>0</v>
      </c>
      <c r="L14811">
        <f>IF(AND($J14811=0,$K14811=0),0,1)</f>
        <v>1</v>
      </c>
    </row>
    <row r="14812" spans="1:13" x14ac:dyDescent="0.2">
      <c r="A14812" t="s">
        <v>202</v>
      </c>
      <c r="B14812" t="s">
        <v>133</v>
      </c>
      <c r="C14812" t="s">
        <v>9</v>
      </c>
      <c r="D14812">
        <v>2493</v>
      </c>
      <c r="E14812">
        <v>2021</v>
      </c>
      <c r="F14812">
        <v>11</v>
      </c>
      <c r="G14812">
        <v>10560</v>
      </c>
      <c r="H14812" s="1">
        <v>0</v>
      </c>
      <c r="I14812">
        <v>31</v>
      </c>
      <c r="J14812">
        <f>IF($H14812=0,1,IF($I14812&lt;=1,2,0))</f>
        <v>1</v>
      </c>
      <c r="K14812">
        <v>0</v>
      </c>
      <c r="L14812">
        <f>IF(AND($J14812=0,$K14812=0),0,1)</f>
        <v>1</v>
      </c>
      <c r="M14812" t="s">
        <v>1917</v>
      </c>
    </row>
    <row r="14813" spans="1:13" x14ac:dyDescent="0.2">
      <c r="A14813" t="s">
        <v>202</v>
      </c>
      <c r="B14813" t="s">
        <v>133</v>
      </c>
      <c r="C14813" t="s">
        <v>9</v>
      </c>
      <c r="D14813">
        <v>2493</v>
      </c>
      <c r="E14813">
        <v>2021</v>
      </c>
      <c r="F14813">
        <v>6</v>
      </c>
      <c r="G14813">
        <v>10555</v>
      </c>
      <c r="H14813" s="1">
        <v>0</v>
      </c>
      <c r="I14813">
        <v>30</v>
      </c>
      <c r="J14813">
        <f>IF($H14813=0,1,IF($I14813&lt;=1,2,0))</f>
        <v>1</v>
      </c>
      <c r="K14813">
        <v>0</v>
      </c>
      <c r="L14813">
        <f>IF(AND($J14813=0,$K14813=0),0,1)</f>
        <v>1</v>
      </c>
      <c r="M14813" t="s">
        <v>1912</v>
      </c>
    </row>
    <row r="14814" spans="1:13" x14ac:dyDescent="0.2">
      <c r="A14814" t="s">
        <v>202</v>
      </c>
      <c r="B14814" t="s">
        <v>133</v>
      </c>
      <c r="C14814" t="s">
        <v>9</v>
      </c>
      <c r="D14814">
        <v>2493</v>
      </c>
      <c r="E14814">
        <v>2021</v>
      </c>
      <c r="F14814">
        <v>5</v>
      </c>
      <c r="G14814">
        <v>10554</v>
      </c>
      <c r="H14814" s="1">
        <v>0</v>
      </c>
      <c r="I14814">
        <v>29</v>
      </c>
      <c r="J14814">
        <f>IF($H14814=0,1,IF($I14814&lt;=1,2,0))</f>
        <v>1</v>
      </c>
      <c r="K14814">
        <v>0</v>
      </c>
      <c r="L14814">
        <f>IF(AND($J14814=0,$K14814=0),0,1)</f>
        <v>1</v>
      </c>
      <c r="M14814" t="s">
        <v>1911</v>
      </c>
    </row>
    <row r="14815" spans="1:13" x14ac:dyDescent="0.2">
      <c r="A14815" t="s">
        <v>202</v>
      </c>
      <c r="B14815" t="s">
        <v>133</v>
      </c>
      <c r="C14815" t="s">
        <v>9</v>
      </c>
      <c r="D14815">
        <v>2493</v>
      </c>
      <c r="E14815">
        <v>2021</v>
      </c>
      <c r="F14815">
        <v>12</v>
      </c>
      <c r="G14815">
        <v>10561</v>
      </c>
      <c r="H14815" s="1">
        <v>0</v>
      </c>
      <c r="I14815">
        <v>29</v>
      </c>
      <c r="J14815">
        <f>IF($H14815=0,1,IF($I14815&lt;=1,2,0))</f>
        <v>1</v>
      </c>
      <c r="K14815">
        <v>0</v>
      </c>
      <c r="L14815">
        <f>IF(AND($J14815=0,$K14815=0),0,1)</f>
        <v>1</v>
      </c>
      <c r="M14815" t="s">
        <v>1918</v>
      </c>
    </row>
    <row r="14816" spans="1:13" x14ac:dyDescent="0.2">
      <c r="A14816" t="s">
        <v>202</v>
      </c>
      <c r="B14816" t="s">
        <v>133</v>
      </c>
      <c r="C14816" t="s">
        <v>9</v>
      </c>
      <c r="D14816">
        <v>2493</v>
      </c>
      <c r="E14816">
        <v>2021</v>
      </c>
      <c r="F14816">
        <v>10</v>
      </c>
      <c r="G14816">
        <v>10559</v>
      </c>
      <c r="H14816" s="1">
        <v>0</v>
      </c>
      <c r="I14816">
        <v>28</v>
      </c>
      <c r="J14816">
        <f>IF($H14816=0,1,IF($I14816&lt;=1,2,0))</f>
        <v>1</v>
      </c>
      <c r="K14816">
        <v>0</v>
      </c>
      <c r="L14816">
        <f>IF(AND($J14816=0,$K14816=0),0,1)</f>
        <v>1</v>
      </c>
      <c r="M14816" t="s">
        <v>1916</v>
      </c>
    </row>
    <row r="14817" spans="1:13" x14ac:dyDescent="0.2">
      <c r="A14817" t="s">
        <v>202</v>
      </c>
      <c r="B14817" t="s">
        <v>133</v>
      </c>
      <c r="C14817" t="s">
        <v>9</v>
      </c>
      <c r="D14817">
        <v>2493</v>
      </c>
      <c r="E14817">
        <v>2021</v>
      </c>
      <c r="F14817">
        <v>3</v>
      </c>
      <c r="G14817">
        <v>10551</v>
      </c>
      <c r="H14817" s="1">
        <v>0</v>
      </c>
      <c r="I14817">
        <v>27</v>
      </c>
      <c r="J14817">
        <f>IF($H14817=0,1,IF($I14817&lt;=1,2,0))</f>
        <v>1</v>
      </c>
      <c r="K14817">
        <v>0</v>
      </c>
      <c r="L14817">
        <f>IF(AND($J14817=0,$K14817=0),0,1)</f>
        <v>1</v>
      </c>
      <c r="M14817" t="s">
        <v>1909</v>
      </c>
    </row>
    <row r="14818" spans="1:13" x14ac:dyDescent="0.2">
      <c r="A14818" t="s">
        <v>202</v>
      </c>
      <c r="B14818" t="s">
        <v>133</v>
      </c>
      <c r="C14818" t="s">
        <v>9</v>
      </c>
      <c r="D14818">
        <v>2493</v>
      </c>
      <c r="E14818">
        <v>2021</v>
      </c>
      <c r="F14818">
        <v>4</v>
      </c>
      <c r="G14818">
        <v>10552</v>
      </c>
      <c r="H14818" s="1">
        <v>0</v>
      </c>
      <c r="I14818">
        <v>25</v>
      </c>
      <c r="J14818">
        <f>IF($H14818=0,1,IF($I14818&lt;=1,2,0))</f>
        <v>1</v>
      </c>
      <c r="K14818">
        <v>0</v>
      </c>
      <c r="L14818">
        <f>IF(AND($J14818=0,$K14818=0),0,1)</f>
        <v>1</v>
      </c>
      <c r="M14818" t="s">
        <v>1910</v>
      </c>
    </row>
    <row r="14819" spans="1:13" x14ac:dyDescent="0.2">
      <c r="A14819" t="s">
        <v>202</v>
      </c>
      <c r="B14819" t="s">
        <v>133</v>
      </c>
      <c r="C14819" t="s">
        <v>9</v>
      </c>
      <c r="D14819">
        <v>2493</v>
      </c>
      <c r="E14819">
        <v>2021</v>
      </c>
      <c r="F14819">
        <v>1</v>
      </c>
      <c r="G14819">
        <v>10549</v>
      </c>
      <c r="H14819" s="1">
        <v>0</v>
      </c>
      <c r="I14819">
        <v>21</v>
      </c>
      <c r="J14819">
        <f>IF($H14819=0,1,IF($I14819&lt;=1,2,0))</f>
        <v>1</v>
      </c>
      <c r="K14819">
        <v>0</v>
      </c>
      <c r="L14819">
        <f>IF(AND($J14819=0,$K14819=0),0,1)</f>
        <v>1</v>
      </c>
      <c r="M14819" t="s">
        <v>1907</v>
      </c>
    </row>
    <row r="14820" spans="1:13" x14ac:dyDescent="0.2">
      <c r="A14820" t="s">
        <v>202</v>
      </c>
      <c r="B14820" t="s">
        <v>133</v>
      </c>
      <c r="C14820" t="s">
        <v>9</v>
      </c>
      <c r="D14820">
        <v>2493</v>
      </c>
      <c r="E14820">
        <v>2021</v>
      </c>
      <c r="F14820">
        <v>2</v>
      </c>
      <c r="G14820">
        <v>10550</v>
      </c>
      <c r="H14820" s="1">
        <v>0</v>
      </c>
      <c r="I14820">
        <v>18</v>
      </c>
      <c r="J14820">
        <f>IF($H14820=0,1,IF($I14820&lt;=1,2,0))</f>
        <v>1</v>
      </c>
      <c r="K14820">
        <v>0</v>
      </c>
      <c r="L14820">
        <f>IF(AND($J14820=0,$K14820=0),0,1)</f>
        <v>1</v>
      </c>
      <c r="M14820" t="s">
        <v>1908</v>
      </c>
    </row>
    <row r="14821" spans="1:13" x14ac:dyDescent="0.2">
      <c r="A14821" t="s">
        <v>202</v>
      </c>
      <c r="B14821" t="s">
        <v>133</v>
      </c>
      <c r="C14821" t="s">
        <v>9</v>
      </c>
      <c r="D14821">
        <v>2493</v>
      </c>
      <c r="E14821">
        <v>2021</v>
      </c>
      <c r="F14821">
        <v>7</v>
      </c>
      <c r="G14821">
        <v>10556</v>
      </c>
      <c r="H14821" s="1">
        <v>0</v>
      </c>
      <c r="I14821">
        <v>17</v>
      </c>
      <c r="J14821">
        <f>IF($H14821=0,1,IF($I14821&lt;=1,2,0))</f>
        <v>1</v>
      </c>
      <c r="K14821">
        <v>0</v>
      </c>
      <c r="L14821">
        <f>IF(AND($J14821=0,$K14821=0),0,1)</f>
        <v>1</v>
      </c>
      <c r="M14821" t="s">
        <v>1913</v>
      </c>
    </row>
    <row r="14822" spans="1:13" x14ac:dyDescent="0.2">
      <c r="A14822" t="s">
        <v>202</v>
      </c>
      <c r="B14822" t="s">
        <v>133</v>
      </c>
      <c r="C14822" t="s">
        <v>9</v>
      </c>
      <c r="D14822">
        <v>2493</v>
      </c>
      <c r="E14822">
        <v>2021</v>
      </c>
      <c r="F14822">
        <v>9</v>
      </c>
      <c r="G14822">
        <v>10558</v>
      </c>
      <c r="H14822" s="1">
        <v>0</v>
      </c>
      <c r="I14822">
        <v>14</v>
      </c>
      <c r="J14822">
        <f>IF($H14822=0,1,IF($I14822&lt;=1,2,0))</f>
        <v>1</v>
      </c>
      <c r="K14822">
        <v>0</v>
      </c>
      <c r="L14822">
        <f>IF(AND($J14822=0,$K14822=0),0,1)</f>
        <v>1</v>
      </c>
      <c r="M14822" t="s">
        <v>1915</v>
      </c>
    </row>
    <row r="14823" spans="1:13" x14ac:dyDescent="0.2">
      <c r="A14823" t="s">
        <v>202</v>
      </c>
      <c r="B14823" t="s">
        <v>133</v>
      </c>
      <c r="C14823" t="s">
        <v>9</v>
      </c>
      <c r="D14823">
        <v>2493</v>
      </c>
      <c r="E14823">
        <v>2021</v>
      </c>
      <c r="F14823">
        <v>8</v>
      </c>
      <c r="G14823">
        <v>10557</v>
      </c>
      <c r="H14823" s="1">
        <v>0</v>
      </c>
      <c r="I14823">
        <v>9</v>
      </c>
      <c r="J14823">
        <f>IF($H14823=0,1,IF($I14823&lt;=1,2,0))</f>
        <v>1</v>
      </c>
      <c r="K14823">
        <v>0</v>
      </c>
      <c r="L14823">
        <f>IF(AND($J14823=0,$K14823=0),0,1)</f>
        <v>1</v>
      </c>
      <c r="M14823" t="s">
        <v>1914</v>
      </c>
    </row>
    <row r="14824" spans="1:13" x14ac:dyDescent="0.2">
      <c r="A14824" t="s">
        <v>202</v>
      </c>
      <c r="B14824" t="s">
        <v>133</v>
      </c>
      <c r="C14824" t="s">
        <v>9</v>
      </c>
      <c r="D14824">
        <v>2495</v>
      </c>
      <c r="E14824">
        <v>2021</v>
      </c>
      <c r="F14824">
        <v>4</v>
      </c>
      <c r="G14824">
        <v>10565</v>
      </c>
      <c r="H14824" s="1">
        <v>1.5</v>
      </c>
      <c r="I14824">
        <v>87</v>
      </c>
      <c r="J14824">
        <f>IF($H14824=0,1,IF($I14824&lt;=1,2,0))</f>
        <v>0</v>
      </c>
      <c r="K14824">
        <v>8</v>
      </c>
      <c r="L14824">
        <f>IF(AND($J14824=0,$K14824=0),0,1)</f>
        <v>1</v>
      </c>
      <c r="M14824" t="s">
        <v>209</v>
      </c>
    </row>
    <row r="14825" spans="1:13" x14ac:dyDescent="0.2">
      <c r="A14825" t="s">
        <v>202</v>
      </c>
      <c r="B14825" t="s">
        <v>133</v>
      </c>
      <c r="C14825" t="s">
        <v>9</v>
      </c>
      <c r="D14825">
        <v>2495</v>
      </c>
      <c r="E14825">
        <v>2021</v>
      </c>
      <c r="F14825">
        <v>2</v>
      </c>
      <c r="G14825">
        <v>10563</v>
      </c>
      <c r="H14825" s="1">
        <v>1.5</v>
      </c>
      <c r="I14825">
        <v>85</v>
      </c>
      <c r="J14825">
        <f>IF($H14825=0,1,IF($I14825&lt;=1,2,0))</f>
        <v>0</v>
      </c>
      <c r="K14825">
        <v>8</v>
      </c>
      <c r="L14825">
        <f>IF(AND($J14825=0,$K14825=0),0,1)</f>
        <v>1</v>
      </c>
      <c r="M14825" t="s">
        <v>207</v>
      </c>
    </row>
    <row r="14826" spans="1:13" x14ac:dyDescent="0.2">
      <c r="A14826" t="s">
        <v>202</v>
      </c>
      <c r="B14826" t="s">
        <v>133</v>
      </c>
      <c r="C14826" t="s">
        <v>9</v>
      </c>
      <c r="D14826">
        <v>2495</v>
      </c>
      <c r="E14826">
        <v>2021</v>
      </c>
      <c r="F14826">
        <v>1</v>
      </c>
      <c r="G14826">
        <v>10562</v>
      </c>
      <c r="H14826" s="1">
        <v>1.5</v>
      </c>
      <c r="I14826">
        <v>66</v>
      </c>
      <c r="J14826">
        <f>IF($H14826=0,1,IF($I14826&lt;=1,2,0))</f>
        <v>0</v>
      </c>
      <c r="K14826">
        <v>8</v>
      </c>
      <c r="L14826">
        <f>IF(AND($J14826=0,$K14826=0),0,1)</f>
        <v>1</v>
      </c>
      <c r="M14826" t="s">
        <v>206</v>
      </c>
    </row>
    <row r="14827" spans="1:13" x14ac:dyDescent="0.2">
      <c r="A14827" t="s">
        <v>202</v>
      </c>
      <c r="B14827" t="s">
        <v>133</v>
      </c>
      <c r="C14827" t="s">
        <v>9</v>
      </c>
      <c r="D14827">
        <v>2495</v>
      </c>
      <c r="E14827">
        <v>2021</v>
      </c>
      <c r="F14827">
        <v>3</v>
      </c>
      <c r="G14827">
        <v>10564</v>
      </c>
      <c r="H14827" s="1">
        <v>1.5</v>
      </c>
      <c r="I14827">
        <v>38</v>
      </c>
      <c r="J14827">
        <f>IF($H14827=0,1,IF($I14827&lt;=1,2,0))</f>
        <v>0</v>
      </c>
      <c r="K14827">
        <v>8</v>
      </c>
      <c r="L14827">
        <f>IF(AND($J14827=0,$K14827=0),0,1)</f>
        <v>1</v>
      </c>
      <c r="M14827" t="s">
        <v>208</v>
      </c>
    </row>
    <row r="14828" spans="1:13" x14ac:dyDescent="0.2">
      <c r="A14828" t="s">
        <v>202</v>
      </c>
      <c r="B14828" t="s">
        <v>133</v>
      </c>
      <c r="C14828" t="s">
        <v>9</v>
      </c>
      <c r="D14828">
        <v>3098</v>
      </c>
      <c r="E14828">
        <v>2021</v>
      </c>
      <c r="F14828">
        <v>1</v>
      </c>
      <c r="G14828">
        <v>10571</v>
      </c>
      <c r="H14828" s="1">
        <v>4</v>
      </c>
      <c r="I14828">
        <v>10</v>
      </c>
      <c r="J14828">
        <f>IF($H14828=0,1,IF($I14828&lt;=1,2,0))</f>
        <v>0</v>
      </c>
      <c r="K14828">
        <v>8</v>
      </c>
      <c r="L14828">
        <f>IF(AND($J14828=0,$K14828=0),0,1)</f>
        <v>1</v>
      </c>
    </row>
    <row r="14829" spans="1:13" x14ac:dyDescent="0.2">
      <c r="A14829" t="s">
        <v>202</v>
      </c>
      <c r="B14829" t="s">
        <v>133</v>
      </c>
      <c r="C14829" t="s">
        <v>2</v>
      </c>
      <c r="D14829">
        <v>3231</v>
      </c>
      <c r="E14829">
        <v>2021</v>
      </c>
      <c r="F14829">
        <v>1</v>
      </c>
      <c r="G14829">
        <v>110</v>
      </c>
      <c r="H14829" s="1">
        <v>3</v>
      </c>
      <c r="I14829">
        <v>111</v>
      </c>
      <c r="J14829">
        <f>IF($H14829=0,1,IF($I14829&lt;=1,2,0))</f>
        <v>0</v>
      </c>
      <c r="K14829">
        <v>7</v>
      </c>
      <c r="L14829">
        <f>IF(AND($J14829=0,$K14829=0),0,1)</f>
        <v>1</v>
      </c>
    </row>
    <row r="14830" spans="1:13" x14ac:dyDescent="0.2">
      <c r="A14830" t="s">
        <v>202</v>
      </c>
      <c r="B14830" t="s">
        <v>133</v>
      </c>
      <c r="C14830" t="s">
        <v>2</v>
      </c>
      <c r="D14830">
        <v>3253</v>
      </c>
      <c r="E14830">
        <v>2021</v>
      </c>
      <c r="F14830">
        <v>1</v>
      </c>
      <c r="G14830">
        <v>99</v>
      </c>
      <c r="H14830" s="1">
        <v>3</v>
      </c>
      <c r="I14830">
        <v>14</v>
      </c>
      <c r="J14830">
        <f>IF($H14830=0,1,IF($I14830&lt;=1,2,0))</f>
        <v>0</v>
      </c>
      <c r="K14830">
        <v>7</v>
      </c>
      <c r="L14830">
        <f>IF(AND($J14830=0,$K14830=0),0,1)</f>
        <v>1</v>
      </c>
    </row>
    <row r="14831" spans="1:13" x14ac:dyDescent="0.2">
      <c r="A14831" t="s">
        <v>202</v>
      </c>
      <c r="B14831" t="s">
        <v>133</v>
      </c>
      <c r="C14831" t="s">
        <v>2</v>
      </c>
      <c r="D14831">
        <v>3282</v>
      </c>
      <c r="E14831">
        <v>2021</v>
      </c>
      <c r="F14831">
        <v>1</v>
      </c>
      <c r="G14831">
        <v>122</v>
      </c>
      <c r="H14831" s="1">
        <v>3</v>
      </c>
      <c r="I14831">
        <v>40</v>
      </c>
      <c r="J14831">
        <f>IF($H14831=0,1,IF($I14831&lt;=1,2,0))</f>
        <v>0</v>
      </c>
      <c r="K14831">
        <v>7</v>
      </c>
      <c r="L14831">
        <f>IF(AND($J14831=0,$K14831=0),0,1)</f>
        <v>1</v>
      </c>
    </row>
    <row r="14832" spans="1:13" x14ac:dyDescent="0.2">
      <c r="A14832" t="s">
        <v>202</v>
      </c>
      <c r="B14832" t="s">
        <v>133</v>
      </c>
      <c r="C14832" t="s">
        <v>2</v>
      </c>
      <c r="D14832">
        <v>3333</v>
      </c>
      <c r="E14832">
        <v>2021</v>
      </c>
      <c r="F14832">
        <v>2</v>
      </c>
      <c r="G14832">
        <v>124</v>
      </c>
      <c r="H14832" s="1">
        <v>3</v>
      </c>
      <c r="I14832">
        <v>12</v>
      </c>
      <c r="J14832">
        <f>IF($H14832=0,1,IF($I14832&lt;=1,2,0))</f>
        <v>0</v>
      </c>
      <c r="K14832">
        <v>7</v>
      </c>
      <c r="L14832">
        <f>IF(AND($J14832=0,$K14832=0),0,1)</f>
        <v>1</v>
      </c>
    </row>
    <row r="14833" spans="1:12" x14ac:dyDescent="0.2">
      <c r="A14833" t="s">
        <v>202</v>
      </c>
      <c r="B14833" t="s">
        <v>133</v>
      </c>
      <c r="C14833" t="s">
        <v>2</v>
      </c>
      <c r="D14833">
        <v>3333</v>
      </c>
      <c r="E14833">
        <v>2021</v>
      </c>
      <c r="F14833">
        <v>1</v>
      </c>
      <c r="G14833">
        <v>123</v>
      </c>
      <c r="H14833" s="1">
        <v>3</v>
      </c>
      <c r="I14833">
        <v>10</v>
      </c>
      <c r="J14833">
        <f>IF($H14833=0,1,IF($I14833&lt;=1,2,0))</f>
        <v>0</v>
      </c>
      <c r="K14833">
        <v>7</v>
      </c>
      <c r="L14833">
        <f>IF(AND($J14833=0,$K14833=0),0,1)</f>
        <v>1</v>
      </c>
    </row>
    <row r="14834" spans="1:12" x14ac:dyDescent="0.2">
      <c r="A14834" t="s">
        <v>202</v>
      </c>
      <c r="B14834" t="s">
        <v>133</v>
      </c>
      <c r="C14834" t="s">
        <v>2</v>
      </c>
      <c r="D14834">
        <v>3358</v>
      </c>
      <c r="E14834">
        <v>2021</v>
      </c>
      <c r="F14834">
        <v>1</v>
      </c>
      <c r="G14834">
        <v>100</v>
      </c>
      <c r="H14834" s="1">
        <v>5</v>
      </c>
      <c r="I14834">
        <v>9</v>
      </c>
      <c r="J14834">
        <f>IF($H14834=0,1,IF($I14834&lt;=1,2,0))</f>
        <v>0</v>
      </c>
      <c r="K14834">
        <v>7</v>
      </c>
      <c r="L14834">
        <f>IF(AND($J14834=0,$K14834=0),0,1)</f>
        <v>1</v>
      </c>
    </row>
    <row r="14835" spans="1:12" x14ac:dyDescent="0.2">
      <c r="A14835" t="s">
        <v>202</v>
      </c>
      <c r="B14835" t="s">
        <v>133</v>
      </c>
      <c r="C14835" t="s">
        <v>2</v>
      </c>
      <c r="D14835">
        <v>3597</v>
      </c>
      <c r="E14835">
        <v>2021</v>
      </c>
      <c r="F14835">
        <v>9</v>
      </c>
      <c r="G14835">
        <v>133</v>
      </c>
      <c r="H14835" s="1">
        <v>2</v>
      </c>
      <c r="I14835">
        <v>5</v>
      </c>
      <c r="J14835">
        <f>IF($H14835=0,1,IF($I14835&lt;=1,2,0))</f>
        <v>0</v>
      </c>
      <c r="K14835">
        <v>7</v>
      </c>
      <c r="L14835">
        <f>IF(AND($J14835=0,$K14835=0),0,1)</f>
        <v>1</v>
      </c>
    </row>
    <row r="14836" spans="1:12" x14ac:dyDescent="0.2">
      <c r="A14836" t="s">
        <v>202</v>
      </c>
      <c r="B14836" t="s">
        <v>133</v>
      </c>
      <c r="C14836" t="s">
        <v>2</v>
      </c>
      <c r="D14836">
        <v>3597</v>
      </c>
      <c r="E14836">
        <v>2021</v>
      </c>
      <c r="F14836">
        <v>4</v>
      </c>
      <c r="G14836">
        <v>128</v>
      </c>
      <c r="H14836" s="1">
        <v>2</v>
      </c>
      <c r="I14836">
        <v>1</v>
      </c>
      <c r="J14836">
        <f>IF($H14836=0,1,IF($I14836&lt;=1,2,0))</f>
        <v>2</v>
      </c>
      <c r="K14836">
        <v>7</v>
      </c>
      <c r="L14836">
        <f>IF(AND($J14836=0,$K14836=0),0,1)</f>
        <v>1</v>
      </c>
    </row>
    <row r="14837" spans="1:12" x14ac:dyDescent="0.2">
      <c r="A14837" t="s">
        <v>202</v>
      </c>
      <c r="B14837" t="s">
        <v>133</v>
      </c>
      <c r="C14837" t="s">
        <v>2</v>
      </c>
      <c r="D14837">
        <v>3597</v>
      </c>
      <c r="E14837">
        <v>2021</v>
      </c>
      <c r="F14837">
        <v>6</v>
      </c>
      <c r="G14837">
        <v>130</v>
      </c>
      <c r="H14837" s="1">
        <v>2</v>
      </c>
      <c r="I14837">
        <v>1</v>
      </c>
      <c r="J14837">
        <f>IF($H14837=0,1,IF($I14837&lt;=1,2,0))</f>
        <v>2</v>
      </c>
      <c r="K14837">
        <v>7</v>
      </c>
      <c r="L14837">
        <f>IF(AND($J14837=0,$K14837=0),0,1)</f>
        <v>1</v>
      </c>
    </row>
    <row r="14838" spans="1:12" x14ac:dyDescent="0.2">
      <c r="A14838" t="s">
        <v>202</v>
      </c>
      <c r="B14838" t="s">
        <v>133</v>
      </c>
      <c r="C14838" t="s">
        <v>2</v>
      </c>
      <c r="D14838">
        <v>3597</v>
      </c>
      <c r="E14838">
        <v>2021</v>
      </c>
      <c r="F14838">
        <v>1</v>
      </c>
      <c r="G14838">
        <v>125</v>
      </c>
      <c r="H14838" s="1">
        <v>2</v>
      </c>
      <c r="I14838">
        <v>0</v>
      </c>
      <c r="J14838">
        <f>IF($H14838=0,1,IF($I14838&lt;=1,2,0))</f>
        <v>2</v>
      </c>
      <c r="K14838">
        <v>7</v>
      </c>
      <c r="L14838">
        <f>IF(AND($J14838=0,$K14838=0),0,1)</f>
        <v>1</v>
      </c>
    </row>
    <row r="14839" spans="1:12" x14ac:dyDescent="0.2">
      <c r="A14839" t="s">
        <v>202</v>
      </c>
      <c r="B14839" t="s">
        <v>133</v>
      </c>
      <c r="C14839" t="s">
        <v>2</v>
      </c>
      <c r="D14839">
        <v>3597</v>
      </c>
      <c r="E14839">
        <v>2021</v>
      </c>
      <c r="F14839">
        <v>2</v>
      </c>
      <c r="G14839">
        <v>126</v>
      </c>
      <c r="H14839" s="1">
        <v>2</v>
      </c>
      <c r="I14839">
        <v>0</v>
      </c>
      <c r="J14839">
        <f>IF($H14839=0,1,IF($I14839&lt;=1,2,0))</f>
        <v>2</v>
      </c>
      <c r="K14839">
        <v>7</v>
      </c>
      <c r="L14839">
        <f>IF(AND($J14839=0,$K14839=0),0,1)</f>
        <v>1</v>
      </c>
    </row>
    <row r="14840" spans="1:12" x14ac:dyDescent="0.2">
      <c r="A14840" t="s">
        <v>202</v>
      </c>
      <c r="B14840" t="s">
        <v>133</v>
      </c>
      <c r="C14840" t="s">
        <v>2</v>
      </c>
      <c r="D14840">
        <v>3597</v>
      </c>
      <c r="E14840">
        <v>2021</v>
      </c>
      <c r="F14840">
        <v>3</v>
      </c>
      <c r="G14840">
        <v>127</v>
      </c>
      <c r="H14840" s="1">
        <v>2</v>
      </c>
      <c r="I14840">
        <v>0</v>
      </c>
      <c r="J14840">
        <f>IF($H14840=0,1,IF($I14840&lt;=1,2,0))</f>
        <v>2</v>
      </c>
      <c r="K14840">
        <v>7</v>
      </c>
      <c r="L14840">
        <f>IF(AND($J14840=0,$K14840=0),0,1)</f>
        <v>1</v>
      </c>
    </row>
    <row r="14841" spans="1:12" x14ac:dyDescent="0.2">
      <c r="A14841" t="s">
        <v>202</v>
      </c>
      <c r="B14841" t="s">
        <v>133</v>
      </c>
      <c r="C14841" t="s">
        <v>2</v>
      </c>
      <c r="D14841">
        <v>3597</v>
      </c>
      <c r="E14841">
        <v>2021</v>
      </c>
      <c r="F14841">
        <v>5</v>
      </c>
      <c r="G14841">
        <v>129</v>
      </c>
      <c r="H14841" s="1">
        <v>2</v>
      </c>
      <c r="I14841">
        <v>0</v>
      </c>
      <c r="J14841">
        <f>IF($H14841=0,1,IF($I14841&lt;=1,2,0))</f>
        <v>2</v>
      </c>
      <c r="K14841">
        <v>7</v>
      </c>
      <c r="L14841">
        <f>IF(AND($J14841=0,$K14841=0),0,1)</f>
        <v>1</v>
      </c>
    </row>
    <row r="14842" spans="1:12" x14ac:dyDescent="0.2">
      <c r="A14842" t="s">
        <v>202</v>
      </c>
      <c r="B14842" t="s">
        <v>133</v>
      </c>
      <c r="C14842" t="s">
        <v>2</v>
      </c>
      <c r="D14842">
        <v>3597</v>
      </c>
      <c r="E14842">
        <v>2021</v>
      </c>
      <c r="F14842">
        <v>7</v>
      </c>
      <c r="G14842">
        <v>131</v>
      </c>
      <c r="H14842" s="1">
        <v>2</v>
      </c>
      <c r="I14842">
        <v>0</v>
      </c>
      <c r="J14842">
        <f>IF($H14842=0,1,IF($I14842&lt;=1,2,0))</f>
        <v>2</v>
      </c>
      <c r="K14842">
        <v>7</v>
      </c>
      <c r="L14842">
        <f>IF(AND($J14842=0,$K14842=0),0,1)</f>
        <v>1</v>
      </c>
    </row>
    <row r="14843" spans="1:12" x14ac:dyDescent="0.2">
      <c r="A14843" t="s">
        <v>202</v>
      </c>
      <c r="B14843" t="s">
        <v>133</v>
      </c>
      <c r="C14843" t="s">
        <v>2</v>
      </c>
      <c r="D14843">
        <v>3597</v>
      </c>
      <c r="E14843">
        <v>2021</v>
      </c>
      <c r="F14843">
        <v>8</v>
      </c>
      <c r="G14843">
        <v>132</v>
      </c>
      <c r="H14843" s="1">
        <v>2</v>
      </c>
      <c r="I14843">
        <v>0</v>
      </c>
      <c r="J14843">
        <f>IF($H14843=0,1,IF($I14843&lt;=1,2,0))</f>
        <v>2</v>
      </c>
      <c r="K14843">
        <v>7</v>
      </c>
      <c r="L14843">
        <f>IF(AND($J14843=0,$K14843=0),0,1)</f>
        <v>1</v>
      </c>
    </row>
    <row r="14844" spans="1:12" x14ac:dyDescent="0.2">
      <c r="A14844" t="s">
        <v>202</v>
      </c>
      <c r="B14844" t="s">
        <v>133</v>
      </c>
      <c r="C14844" t="s">
        <v>2</v>
      </c>
      <c r="D14844">
        <v>3597</v>
      </c>
      <c r="E14844">
        <v>2021</v>
      </c>
      <c r="F14844">
        <v>10</v>
      </c>
      <c r="G14844">
        <v>134</v>
      </c>
      <c r="H14844" s="1">
        <v>2</v>
      </c>
      <c r="I14844">
        <v>0</v>
      </c>
      <c r="J14844">
        <f>IF($H14844=0,1,IF($I14844&lt;=1,2,0))</f>
        <v>2</v>
      </c>
      <c r="K14844">
        <v>7</v>
      </c>
      <c r="L14844">
        <f>IF(AND($J14844=0,$K14844=0),0,1)</f>
        <v>1</v>
      </c>
    </row>
    <row r="14845" spans="1:12" x14ac:dyDescent="0.2">
      <c r="A14845" t="s">
        <v>202</v>
      </c>
      <c r="B14845" t="s">
        <v>133</v>
      </c>
      <c r="C14845" t="s">
        <v>2</v>
      </c>
      <c r="D14845">
        <v>3597</v>
      </c>
      <c r="E14845">
        <v>2021</v>
      </c>
      <c r="F14845">
        <v>11</v>
      </c>
      <c r="G14845">
        <v>135</v>
      </c>
      <c r="H14845" s="1">
        <v>2</v>
      </c>
      <c r="I14845">
        <v>0</v>
      </c>
      <c r="J14845">
        <f>IF($H14845=0,1,IF($I14845&lt;=1,2,0))</f>
        <v>2</v>
      </c>
      <c r="K14845">
        <v>7</v>
      </c>
      <c r="L14845">
        <f>IF(AND($J14845=0,$K14845=0),0,1)</f>
        <v>1</v>
      </c>
    </row>
    <row r="14846" spans="1:12" x14ac:dyDescent="0.2">
      <c r="A14846" t="s">
        <v>202</v>
      </c>
      <c r="B14846" t="s">
        <v>133</v>
      </c>
      <c r="C14846" t="s">
        <v>2</v>
      </c>
      <c r="D14846">
        <v>3597</v>
      </c>
      <c r="E14846">
        <v>2021</v>
      </c>
      <c r="F14846">
        <v>12</v>
      </c>
      <c r="G14846">
        <v>762</v>
      </c>
      <c r="H14846" s="1">
        <v>2</v>
      </c>
      <c r="I14846">
        <v>0</v>
      </c>
      <c r="J14846">
        <f>IF($H14846=0,1,IF($I14846&lt;=1,2,0))</f>
        <v>2</v>
      </c>
      <c r="K14846">
        <v>7</v>
      </c>
      <c r="L14846">
        <f>IF(AND($J14846=0,$K14846=0),0,1)</f>
        <v>1</v>
      </c>
    </row>
    <row r="14847" spans="1:12" x14ac:dyDescent="0.2">
      <c r="A14847" t="s">
        <v>202</v>
      </c>
      <c r="B14847" t="s">
        <v>133</v>
      </c>
      <c r="C14847" t="s">
        <v>2</v>
      </c>
      <c r="D14847">
        <v>3599</v>
      </c>
      <c r="E14847">
        <v>2021</v>
      </c>
      <c r="F14847">
        <v>9</v>
      </c>
      <c r="G14847">
        <v>109</v>
      </c>
      <c r="H14847" s="1">
        <v>4</v>
      </c>
      <c r="I14847">
        <v>4</v>
      </c>
      <c r="J14847">
        <f>IF($H14847=0,1,IF($I14847&lt;=1,2,0))</f>
        <v>0</v>
      </c>
      <c r="K14847">
        <v>7</v>
      </c>
      <c r="L14847">
        <f>IF(AND($J14847=0,$K14847=0),0,1)</f>
        <v>1</v>
      </c>
    </row>
    <row r="14848" spans="1:12" x14ac:dyDescent="0.2">
      <c r="A14848" t="s">
        <v>202</v>
      </c>
      <c r="B14848" t="s">
        <v>133</v>
      </c>
      <c r="C14848" t="s">
        <v>2</v>
      </c>
      <c r="D14848">
        <v>3599</v>
      </c>
      <c r="E14848">
        <v>2021</v>
      </c>
      <c r="F14848">
        <v>1</v>
      </c>
      <c r="G14848">
        <v>101</v>
      </c>
      <c r="H14848" s="1">
        <v>4</v>
      </c>
      <c r="I14848">
        <v>1</v>
      </c>
      <c r="J14848">
        <f>IF($H14848=0,1,IF($I14848&lt;=1,2,0))</f>
        <v>2</v>
      </c>
      <c r="K14848">
        <v>7</v>
      </c>
      <c r="L14848">
        <f>IF(AND($J14848=0,$K14848=0),0,1)</f>
        <v>1</v>
      </c>
    </row>
    <row r="14849" spans="1:12" x14ac:dyDescent="0.2">
      <c r="A14849" t="s">
        <v>202</v>
      </c>
      <c r="B14849" t="s">
        <v>133</v>
      </c>
      <c r="C14849" t="s">
        <v>2</v>
      </c>
      <c r="D14849">
        <v>3599</v>
      </c>
      <c r="E14849">
        <v>2021</v>
      </c>
      <c r="F14849">
        <v>2</v>
      </c>
      <c r="G14849">
        <v>102</v>
      </c>
      <c r="H14849" s="1">
        <v>4</v>
      </c>
      <c r="I14849">
        <v>1</v>
      </c>
      <c r="J14849">
        <f>IF($H14849=0,1,IF($I14849&lt;=1,2,0))</f>
        <v>2</v>
      </c>
      <c r="K14849">
        <v>7</v>
      </c>
      <c r="L14849">
        <f>IF(AND($J14849=0,$K14849=0),0,1)</f>
        <v>1</v>
      </c>
    </row>
    <row r="14850" spans="1:12" x14ac:dyDescent="0.2">
      <c r="A14850" t="s">
        <v>202</v>
      </c>
      <c r="B14850" t="s">
        <v>133</v>
      </c>
      <c r="C14850" t="s">
        <v>2</v>
      </c>
      <c r="D14850">
        <v>3599</v>
      </c>
      <c r="E14850">
        <v>2021</v>
      </c>
      <c r="F14850">
        <v>7</v>
      </c>
      <c r="G14850">
        <v>107</v>
      </c>
      <c r="H14850" s="1">
        <v>4</v>
      </c>
      <c r="I14850">
        <v>1</v>
      </c>
      <c r="J14850">
        <f>IF($H14850=0,1,IF($I14850&lt;=1,2,0))</f>
        <v>2</v>
      </c>
      <c r="K14850">
        <v>7</v>
      </c>
      <c r="L14850">
        <f>IF(AND($J14850=0,$K14850=0),0,1)</f>
        <v>1</v>
      </c>
    </row>
    <row r="14851" spans="1:12" x14ac:dyDescent="0.2">
      <c r="A14851" t="s">
        <v>202</v>
      </c>
      <c r="B14851" t="s">
        <v>133</v>
      </c>
      <c r="C14851" t="s">
        <v>2</v>
      </c>
      <c r="D14851">
        <v>3599</v>
      </c>
      <c r="E14851">
        <v>2021</v>
      </c>
      <c r="F14851">
        <v>8</v>
      </c>
      <c r="G14851">
        <v>108</v>
      </c>
      <c r="H14851" s="1">
        <v>4</v>
      </c>
      <c r="I14851">
        <v>1</v>
      </c>
      <c r="J14851">
        <f>IF($H14851=0,1,IF($I14851&lt;=1,2,0))</f>
        <v>2</v>
      </c>
      <c r="K14851">
        <v>7</v>
      </c>
      <c r="L14851">
        <f>IF(AND($J14851=0,$K14851=0),0,1)</f>
        <v>1</v>
      </c>
    </row>
    <row r="14852" spans="1:12" x14ac:dyDescent="0.2">
      <c r="A14852" t="s">
        <v>202</v>
      </c>
      <c r="B14852" t="s">
        <v>133</v>
      </c>
      <c r="C14852" t="s">
        <v>2</v>
      </c>
      <c r="D14852">
        <v>3599</v>
      </c>
      <c r="E14852">
        <v>2021</v>
      </c>
      <c r="F14852">
        <v>3</v>
      </c>
      <c r="G14852">
        <v>103</v>
      </c>
      <c r="H14852" s="1">
        <v>4</v>
      </c>
      <c r="I14852">
        <v>0</v>
      </c>
      <c r="J14852">
        <f>IF($H14852=0,1,IF($I14852&lt;=1,2,0))</f>
        <v>2</v>
      </c>
      <c r="K14852">
        <v>7</v>
      </c>
      <c r="L14852">
        <f>IF(AND($J14852=0,$K14852=0),0,1)</f>
        <v>1</v>
      </c>
    </row>
    <row r="14853" spans="1:12" x14ac:dyDescent="0.2">
      <c r="A14853" t="s">
        <v>202</v>
      </c>
      <c r="B14853" t="s">
        <v>133</v>
      </c>
      <c r="C14853" t="s">
        <v>2</v>
      </c>
      <c r="D14853">
        <v>3599</v>
      </c>
      <c r="E14853">
        <v>2021</v>
      </c>
      <c r="F14853">
        <v>4</v>
      </c>
      <c r="G14853">
        <v>104</v>
      </c>
      <c r="H14853" s="1">
        <v>4</v>
      </c>
      <c r="I14853">
        <v>0</v>
      </c>
      <c r="J14853">
        <f>IF($H14853=0,1,IF($I14853&lt;=1,2,0))</f>
        <v>2</v>
      </c>
      <c r="K14853">
        <v>7</v>
      </c>
      <c r="L14853">
        <f>IF(AND($J14853=0,$K14853=0),0,1)</f>
        <v>1</v>
      </c>
    </row>
    <row r="14854" spans="1:12" x14ac:dyDescent="0.2">
      <c r="A14854" t="s">
        <v>202</v>
      </c>
      <c r="B14854" t="s">
        <v>133</v>
      </c>
      <c r="C14854" t="s">
        <v>2</v>
      </c>
      <c r="D14854">
        <v>3599</v>
      </c>
      <c r="E14854">
        <v>2021</v>
      </c>
      <c r="F14854">
        <v>5</v>
      </c>
      <c r="G14854">
        <v>105</v>
      </c>
      <c r="H14854" s="1">
        <v>4</v>
      </c>
      <c r="I14854">
        <v>0</v>
      </c>
      <c r="J14854">
        <f>IF($H14854=0,1,IF($I14854&lt;=1,2,0))</f>
        <v>2</v>
      </c>
      <c r="K14854">
        <v>7</v>
      </c>
      <c r="L14854">
        <f>IF(AND($J14854=0,$K14854=0),0,1)</f>
        <v>1</v>
      </c>
    </row>
    <row r="14855" spans="1:12" x14ac:dyDescent="0.2">
      <c r="A14855" t="s">
        <v>202</v>
      </c>
      <c r="B14855" t="s">
        <v>133</v>
      </c>
      <c r="C14855" t="s">
        <v>2</v>
      </c>
      <c r="D14855">
        <v>3599</v>
      </c>
      <c r="E14855">
        <v>2021</v>
      </c>
      <c r="F14855">
        <v>6</v>
      </c>
      <c r="G14855">
        <v>106</v>
      </c>
      <c r="H14855" s="1">
        <v>4</v>
      </c>
      <c r="I14855">
        <v>0</v>
      </c>
      <c r="J14855">
        <f>IF($H14855=0,1,IF($I14855&lt;=1,2,0))</f>
        <v>2</v>
      </c>
      <c r="K14855">
        <v>7</v>
      </c>
      <c r="L14855">
        <f>IF(AND($J14855=0,$K14855=0),0,1)</f>
        <v>1</v>
      </c>
    </row>
    <row r="14856" spans="1:12" x14ac:dyDescent="0.2">
      <c r="A14856" t="s">
        <v>202</v>
      </c>
      <c r="B14856" t="s">
        <v>133</v>
      </c>
      <c r="C14856" t="s">
        <v>2</v>
      </c>
      <c r="D14856">
        <v>3599</v>
      </c>
      <c r="E14856">
        <v>2021</v>
      </c>
      <c r="F14856">
        <v>10</v>
      </c>
      <c r="G14856">
        <v>763</v>
      </c>
      <c r="H14856" s="1">
        <v>4</v>
      </c>
      <c r="I14856">
        <v>0</v>
      </c>
      <c r="J14856">
        <f>IF($H14856=0,1,IF($I14856&lt;=1,2,0))</f>
        <v>2</v>
      </c>
      <c r="K14856">
        <v>7</v>
      </c>
      <c r="L14856">
        <f>IF(AND($J14856=0,$K14856=0),0,1)</f>
        <v>1</v>
      </c>
    </row>
    <row r="14857" spans="1:12" x14ac:dyDescent="0.2">
      <c r="A14857" t="s">
        <v>202</v>
      </c>
      <c r="B14857" t="s">
        <v>133</v>
      </c>
      <c r="C14857" t="s">
        <v>2</v>
      </c>
      <c r="D14857">
        <v>3901</v>
      </c>
      <c r="E14857">
        <v>2021</v>
      </c>
      <c r="F14857">
        <v>1</v>
      </c>
      <c r="G14857">
        <v>111</v>
      </c>
      <c r="H14857" s="1">
        <v>4</v>
      </c>
      <c r="I14857">
        <v>8</v>
      </c>
      <c r="J14857">
        <f>IF($H14857=0,1,IF($I14857&lt;=1,2,0))</f>
        <v>0</v>
      </c>
      <c r="K14857">
        <v>7</v>
      </c>
      <c r="L14857">
        <f>IF(AND($J14857=0,$K14857=0),0,1)</f>
        <v>1</v>
      </c>
    </row>
    <row r="14858" spans="1:12" x14ac:dyDescent="0.2">
      <c r="A14858" t="s">
        <v>202</v>
      </c>
      <c r="B14858" t="s">
        <v>133</v>
      </c>
      <c r="C14858" t="s">
        <v>2</v>
      </c>
      <c r="D14858">
        <v>3903</v>
      </c>
      <c r="E14858">
        <v>2021</v>
      </c>
      <c r="F14858">
        <v>1</v>
      </c>
      <c r="G14858">
        <v>136</v>
      </c>
      <c r="H14858" s="1">
        <v>0</v>
      </c>
      <c r="I14858">
        <v>3</v>
      </c>
      <c r="J14858">
        <f>IF($H14858=0,1,IF($I14858&lt;=1,2,0))</f>
        <v>1</v>
      </c>
      <c r="K14858">
        <v>7</v>
      </c>
      <c r="L14858">
        <f>IF(AND($J14858=0,$K14858=0),0,1)</f>
        <v>1</v>
      </c>
    </row>
    <row r="14859" spans="1:12" x14ac:dyDescent="0.2">
      <c r="A14859" t="s">
        <v>202</v>
      </c>
      <c r="B14859" t="s">
        <v>133</v>
      </c>
      <c r="C14859" t="s">
        <v>2</v>
      </c>
      <c r="D14859">
        <v>3903</v>
      </c>
      <c r="E14859">
        <v>2021</v>
      </c>
      <c r="F14859">
        <v>9</v>
      </c>
      <c r="G14859">
        <v>143</v>
      </c>
      <c r="H14859" s="1">
        <v>0</v>
      </c>
      <c r="I14859">
        <v>2</v>
      </c>
      <c r="J14859">
        <f>IF($H14859=0,1,IF($I14859&lt;=1,2,0))</f>
        <v>1</v>
      </c>
      <c r="K14859">
        <v>7</v>
      </c>
      <c r="L14859">
        <f>IF(AND($J14859=0,$K14859=0),0,1)</f>
        <v>1</v>
      </c>
    </row>
    <row r="14860" spans="1:12" x14ac:dyDescent="0.2">
      <c r="A14860" t="s">
        <v>202</v>
      </c>
      <c r="B14860" t="s">
        <v>133</v>
      </c>
      <c r="C14860" t="s">
        <v>2</v>
      </c>
      <c r="D14860">
        <v>3903</v>
      </c>
      <c r="E14860">
        <v>2021</v>
      </c>
      <c r="F14860">
        <v>2</v>
      </c>
      <c r="G14860">
        <v>137</v>
      </c>
      <c r="H14860" s="1">
        <v>0</v>
      </c>
      <c r="I14860">
        <v>1</v>
      </c>
      <c r="J14860">
        <f>IF($H14860=0,1,IF($I14860&lt;=1,2,0))</f>
        <v>1</v>
      </c>
      <c r="K14860">
        <v>7</v>
      </c>
      <c r="L14860">
        <f>IF(AND($J14860=0,$K14860=0),0,1)</f>
        <v>1</v>
      </c>
    </row>
    <row r="14861" spans="1:12" x14ac:dyDescent="0.2">
      <c r="A14861" t="s">
        <v>202</v>
      </c>
      <c r="B14861" t="s">
        <v>133</v>
      </c>
      <c r="C14861" t="s">
        <v>2</v>
      </c>
      <c r="D14861">
        <v>3903</v>
      </c>
      <c r="E14861">
        <v>2021</v>
      </c>
      <c r="F14861">
        <v>4</v>
      </c>
      <c r="G14861">
        <v>139</v>
      </c>
      <c r="H14861" s="1">
        <v>0</v>
      </c>
      <c r="I14861">
        <v>1</v>
      </c>
      <c r="J14861">
        <f>IF($H14861=0,1,IF($I14861&lt;=1,2,0))</f>
        <v>1</v>
      </c>
      <c r="K14861">
        <v>7</v>
      </c>
      <c r="L14861">
        <f>IF(AND($J14861=0,$K14861=0),0,1)</f>
        <v>1</v>
      </c>
    </row>
    <row r="14862" spans="1:12" x14ac:dyDescent="0.2">
      <c r="A14862" t="s">
        <v>202</v>
      </c>
      <c r="B14862" t="s">
        <v>133</v>
      </c>
      <c r="C14862" t="s">
        <v>2</v>
      </c>
      <c r="D14862">
        <v>3903</v>
      </c>
      <c r="E14862">
        <v>2021</v>
      </c>
      <c r="F14862">
        <v>5</v>
      </c>
      <c r="G14862">
        <v>140</v>
      </c>
      <c r="H14862" s="1">
        <v>0</v>
      </c>
      <c r="I14862">
        <v>1</v>
      </c>
      <c r="J14862">
        <f>IF($H14862=0,1,IF($I14862&lt;=1,2,0))</f>
        <v>1</v>
      </c>
      <c r="K14862">
        <v>7</v>
      </c>
      <c r="L14862">
        <f>IF(AND($J14862=0,$K14862=0),0,1)</f>
        <v>1</v>
      </c>
    </row>
    <row r="14863" spans="1:12" x14ac:dyDescent="0.2">
      <c r="A14863" t="s">
        <v>202</v>
      </c>
      <c r="B14863" t="s">
        <v>133</v>
      </c>
      <c r="C14863" t="s">
        <v>2</v>
      </c>
      <c r="D14863">
        <v>3903</v>
      </c>
      <c r="E14863">
        <v>2021</v>
      </c>
      <c r="F14863">
        <v>3</v>
      </c>
      <c r="G14863">
        <v>138</v>
      </c>
      <c r="H14863" s="1">
        <v>0</v>
      </c>
      <c r="I14863">
        <v>0</v>
      </c>
      <c r="J14863">
        <f>IF($H14863=0,1,IF($I14863&lt;=1,2,0))</f>
        <v>1</v>
      </c>
      <c r="K14863">
        <v>7</v>
      </c>
      <c r="L14863">
        <f>IF(AND($J14863=0,$K14863=0),0,1)</f>
        <v>1</v>
      </c>
    </row>
    <row r="14864" spans="1:12" x14ac:dyDescent="0.2">
      <c r="A14864" t="s">
        <v>202</v>
      </c>
      <c r="B14864" t="s">
        <v>133</v>
      </c>
      <c r="C14864" t="s">
        <v>2</v>
      </c>
      <c r="D14864">
        <v>3903</v>
      </c>
      <c r="E14864">
        <v>2021</v>
      </c>
      <c r="F14864">
        <v>7</v>
      </c>
      <c r="G14864">
        <v>141</v>
      </c>
      <c r="H14864" s="1">
        <v>0</v>
      </c>
      <c r="I14864">
        <v>0</v>
      </c>
      <c r="J14864">
        <f>IF($H14864=0,1,IF($I14864&lt;=1,2,0))</f>
        <v>1</v>
      </c>
      <c r="K14864">
        <v>7</v>
      </c>
      <c r="L14864">
        <f>IF(AND($J14864=0,$K14864=0),0,1)</f>
        <v>1</v>
      </c>
    </row>
    <row r="14865" spans="1:12" x14ac:dyDescent="0.2">
      <c r="A14865" t="s">
        <v>202</v>
      </c>
      <c r="B14865" t="s">
        <v>133</v>
      </c>
      <c r="C14865" t="s">
        <v>2</v>
      </c>
      <c r="D14865">
        <v>3903</v>
      </c>
      <c r="E14865">
        <v>2021</v>
      </c>
      <c r="F14865">
        <v>8</v>
      </c>
      <c r="G14865">
        <v>142</v>
      </c>
      <c r="H14865" s="1">
        <v>0</v>
      </c>
      <c r="I14865">
        <v>0</v>
      </c>
      <c r="J14865">
        <f>IF($H14865=0,1,IF($I14865&lt;=1,2,0))</f>
        <v>1</v>
      </c>
      <c r="K14865">
        <v>7</v>
      </c>
      <c r="L14865">
        <f>IF(AND($J14865=0,$K14865=0),0,1)</f>
        <v>1</v>
      </c>
    </row>
    <row r="14866" spans="1:12" x14ac:dyDescent="0.2">
      <c r="A14866" t="s">
        <v>202</v>
      </c>
      <c r="B14866" t="s">
        <v>133</v>
      </c>
      <c r="C14866" t="s">
        <v>2</v>
      </c>
      <c r="D14866">
        <v>3903</v>
      </c>
      <c r="E14866">
        <v>2021</v>
      </c>
      <c r="F14866">
        <v>10</v>
      </c>
      <c r="G14866">
        <v>764</v>
      </c>
      <c r="H14866" s="1">
        <v>0</v>
      </c>
      <c r="I14866">
        <v>0</v>
      </c>
      <c r="J14866">
        <f>IF($H14866=0,1,IF($I14866&lt;=1,2,0))</f>
        <v>1</v>
      </c>
      <c r="K14866">
        <v>7</v>
      </c>
      <c r="L14866">
        <f>IF(AND($J14866=0,$K14866=0),0,1)</f>
        <v>1</v>
      </c>
    </row>
    <row r="14867" spans="1:12" x14ac:dyDescent="0.2">
      <c r="A14867" t="s">
        <v>202</v>
      </c>
      <c r="B14867" t="s">
        <v>133</v>
      </c>
      <c r="C14867" t="s">
        <v>11</v>
      </c>
      <c r="D14867">
        <v>9307</v>
      </c>
      <c r="E14867">
        <v>2021</v>
      </c>
      <c r="F14867">
        <v>1</v>
      </c>
      <c r="G14867">
        <v>10573</v>
      </c>
      <c r="H14867" s="1" t="s">
        <v>1834</v>
      </c>
      <c r="I14867">
        <v>112</v>
      </c>
      <c r="J14867">
        <f>IF($H14867=0,1,IF($I14867&lt;=1,2,0))</f>
        <v>0</v>
      </c>
      <c r="K14867">
        <v>5</v>
      </c>
      <c r="L14867">
        <f>IF(AND($J14867=0,$K14867=0),0,1)</f>
        <v>1</v>
      </c>
    </row>
    <row r="14868" spans="1:12" x14ac:dyDescent="0.2">
      <c r="A14868" t="s">
        <v>210</v>
      </c>
      <c r="B14868" t="s">
        <v>71</v>
      </c>
      <c r="C14868" t="s">
        <v>72</v>
      </c>
      <c r="D14868">
        <v>3900</v>
      </c>
      <c r="E14868">
        <v>2021</v>
      </c>
      <c r="F14868">
        <v>3</v>
      </c>
      <c r="G14868">
        <v>11089</v>
      </c>
      <c r="H14868" s="1" t="s">
        <v>1836</v>
      </c>
      <c r="I14868">
        <v>2</v>
      </c>
      <c r="J14868">
        <f>IF($H14868=0,1,IF($I14868&lt;=1,2,0))</f>
        <v>0</v>
      </c>
      <c r="K14868">
        <v>9</v>
      </c>
      <c r="L14868">
        <f>IF(AND($J14868=0,$K14868=0),0,1)</f>
        <v>1</v>
      </c>
    </row>
    <row r="14869" spans="1:12" x14ac:dyDescent="0.2">
      <c r="A14869" t="s">
        <v>210</v>
      </c>
      <c r="B14869" t="s">
        <v>71</v>
      </c>
      <c r="C14869" t="s">
        <v>72</v>
      </c>
      <c r="D14869">
        <v>3900</v>
      </c>
      <c r="E14869">
        <v>2021</v>
      </c>
      <c r="F14869">
        <v>1</v>
      </c>
      <c r="G14869">
        <v>11087</v>
      </c>
      <c r="H14869" s="1" t="s">
        <v>1836</v>
      </c>
      <c r="I14869">
        <v>1</v>
      </c>
      <c r="J14869">
        <f>IF($H14869=0,1,IF($I14869&lt;=1,2,0))</f>
        <v>2</v>
      </c>
      <c r="K14869">
        <v>9</v>
      </c>
      <c r="L14869">
        <f>IF(AND($J14869=0,$K14869=0),0,1)</f>
        <v>1</v>
      </c>
    </row>
    <row r="14870" spans="1:12" x14ac:dyDescent="0.2">
      <c r="A14870" t="s">
        <v>210</v>
      </c>
      <c r="B14870" t="s">
        <v>71</v>
      </c>
      <c r="C14870" t="s">
        <v>72</v>
      </c>
      <c r="D14870">
        <v>3900</v>
      </c>
      <c r="E14870">
        <v>2021</v>
      </c>
      <c r="F14870">
        <v>12</v>
      </c>
      <c r="G14870">
        <v>11098</v>
      </c>
      <c r="H14870" s="1" t="s">
        <v>1836</v>
      </c>
      <c r="I14870">
        <v>1</v>
      </c>
      <c r="J14870">
        <f>IF($H14870=0,1,IF($I14870&lt;=1,2,0))</f>
        <v>2</v>
      </c>
      <c r="K14870">
        <v>9</v>
      </c>
      <c r="L14870">
        <f>IF(AND($J14870=0,$K14870=0),0,1)</f>
        <v>1</v>
      </c>
    </row>
    <row r="14871" spans="1:12" x14ac:dyDescent="0.2">
      <c r="A14871" t="s">
        <v>210</v>
      </c>
      <c r="B14871" t="s">
        <v>71</v>
      </c>
      <c r="C14871" t="s">
        <v>72</v>
      </c>
      <c r="D14871">
        <v>3900</v>
      </c>
      <c r="E14871">
        <v>2021</v>
      </c>
      <c r="F14871">
        <v>17</v>
      </c>
      <c r="G14871">
        <v>11103</v>
      </c>
      <c r="H14871" s="1" t="s">
        <v>1836</v>
      </c>
      <c r="I14871">
        <v>1</v>
      </c>
      <c r="J14871">
        <f>IF($H14871=0,1,IF($I14871&lt;=1,2,0))</f>
        <v>2</v>
      </c>
      <c r="K14871">
        <v>9</v>
      </c>
      <c r="L14871">
        <f>IF(AND($J14871=0,$K14871=0),0,1)</f>
        <v>1</v>
      </c>
    </row>
    <row r="14872" spans="1:12" x14ac:dyDescent="0.2">
      <c r="A14872" t="s">
        <v>210</v>
      </c>
      <c r="B14872" t="s">
        <v>71</v>
      </c>
      <c r="C14872" t="s">
        <v>72</v>
      </c>
      <c r="D14872">
        <v>3900</v>
      </c>
      <c r="E14872">
        <v>2021</v>
      </c>
      <c r="F14872">
        <v>18</v>
      </c>
      <c r="G14872">
        <v>11104</v>
      </c>
      <c r="H14872" s="1" t="s">
        <v>1836</v>
      </c>
      <c r="I14872">
        <v>1</v>
      </c>
      <c r="J14872">
        <f>IF($H14872=0,1,IF($I14872&lt;=1,2,0))</f>
        <v>2</v>
      </c>
      <c r="K14872">
        <v>9</v>
      </c>
      <c r="L14872">
        <f>IF(AND($J14872=0,$K14872=0),0,1)</f>
        <v>1</v>
      </c>
    </row>
    <row r="14873" spans="1:12" x14ac:dyDescent="0.2">
      <c r="A14873" t="s">
        <v>210</v>
      </c>
      <c r="B14873" t="s">
        <v>71</v>
      </c>
      <c r="C14873" t="s">
        <v>72</v>
      </c>
      <c r="D14873">
        <v>3900</v>
      </c>
      <c r="E14873">
        <v>2021</v>
      </c>
      <c r="F14873">
        <v>2</v>
      </c>
      <c r="G14873">
        <v>11088</v>
      </c>
      <c r="H14873" s="1" t="s">
        <v>1836</v>
      </c>
      <c r="I14873">
        <v>0</v>
      </c>
      <c r="J14873">
        <f>IF($H14873=0,1,IF($I14873&lt;=1,2,0))</f>
        <v>2</v>
      </c>
      <c r="K14873">
        <v>9</v>
      </c>
      <c r="L14873">
        <f>IF(AND($J14873=0,$K14873=0),0,1)</f>
        <v>1</v>
      </c>
    </row>
    <row r="14874" spans="1:12" x14ac:dyDescent="0.2">
      <c r="A14874" t="s">
        <v>210</v>
      </c>
      <c r="B14874" t="s">
        <v>71</v>
      </c>
      <c r="C14874" t="s">
        <v>72</v>
      </c>
      <c r="D14874">
        <v>3900</v>
      </c>
      <c r="E14874">
        <v>2021</v>
      </c>
      <c r="F14874">
        <v>4</v>
      </c>
      <c r="G14874">
        <v>11090</v>
      </c>
      <c r="H14874" s="1" t="s">
        <v>1836</v>
      </c>
      <c r="I14874">
        <v>0</v>
      </c>
      <c r="J14874">
        <f>IF($H14874=0,1,IF($I14874&lt;=1,2,0))</f>
        <v>2</v>
      </c>
      <c r="K14874">
        <v>9</v>
      </c>
      <c r="L14874">
        <f>IF(AND($J14874=0,$K14874=0),0,1)</f>
        <v>1</v>
      </c>
    </row>
    <row r="14875" spans="1:12" x14ac:dyDescent="0.2">
      <c r="A14875" t="s">
        <v>210</v>
      </c>
      <c r="B14875" t="s">
        <v>71</v>
      </c>
      <c r="C14875" t="s">
        <v>72</v>
      </c>
      <c r="D14875">
        <v>3900</v>
      </c>
      <c r="E14875">
        <v>2021</v>
      </c>
      <c r="F14875">
        <v>5</v>
      </c>
      <c r="G14875">
        <v>11091</v>
      </c>
      <c r="H14875" s="1" t="s">
        <v>1836</v>
      </c>
      <c r="I14875">
        <v>0</v>
      </c>
      <c r="J14875">
        <f>IF($H14875=0,1,IF($I14875&lt;=1,2,0))</f>
        <v>2</v>
      </c>
      <c r="K14875">
        <v>9</v>
      </c>
      <c r="L14875">
        <f>IF(AND($J14875=0,$K14875=0),0,1)</f>
        <v>1</v>
      </c>
    </row>
    <row r="14876" spans="1:12" x14ac:dyDescent="0.2">
      <c r="A14876" t="s">
        <v>210</v>
      </c>
      <c r="B14876" t="s">
        <v>71</v>
      </c>
      <c r="C14876" t="s">
        <v>72</v>
      </c>
      <c r="D14876">
        <v>3900</v>
      </c>
      <c r="E14876">
        <v>2021</v>
      </c>
      <c r="F14876">
        <v>6</v>
      </c>
      <c r="G14876">
        <v>11092</v>
      </c>
      <c r="H14876" s="1" t="s">
        <v>1836</v>
      </c>
      <c r="I14876">
        <v>0</v>
      </c>
      <c r="J14876">
        <f>IF($H14876=0,1,IF($I14876&lt;=1,2,0))</f>
        <v>2</v>
      </c>
      <c r="K14876">
        <v>9</v>
      </c>
      <c r="L14876">
        <f>IF(AND($J14876=0,$K14876=0),0,1)</f>
        <v>1</v>
      </c>
    </row>
    <row r="14877" spans="1:12" x14ac:dyDescent="0.2">
      <c r="A14877" t="s">
        <v>210</v>
      </c>
      <c r="B14877" t="s">
        <v>71</v>
      </c>
      <c r="C14877" t="s">
        <v>72</v>
      </c>
      <c r="D14877">
        <v>3900</v>
      </c>
      <c r="E14877">
        <v>2021</v>
      </c>
      <c r="F14877">
        <v>7</v>
      </c>
      <c r="G14877">
        <v>11093</v>
      </c>
      <c r="H14877" s="1" t="s">
        <v>1836</v>
      </c>
      <c r="I14877">
        <v>0</v>
      </c>
      <c r="J14877">
        <f>IF($H14877=0,1,IF($I14877&lt;=1,2,0))</f>
        <v>2</v>
      </c>
      <c r="K14877">
        <v>9</v>
      </c>
      <c r="L14877">
        <f>IF(AND($J14877=0,$K14877=0),0,1)</f>
        <v>1</v>
      </c>
    </row>
    <row r="14878" spans="1:12" x14ac:dyDescent="0.2">
      <c r="A14878" t="s">
        <v>210</v>
      </c>
      <c r="B14878" t="s">
        <v>71</v>
      </c>
      <c r="C14878" t="s">
        <v>72</v>
      </c>
      <c r="D14878">
        <v>3900</v>
      </c>
      <c r="E14878">
        <v>2021</v>
      </c>
      <c r="F14878">
        <v>8</v>
      </c>
      <c r="G14878">
        <v>11094</v>
      </c>
      <c r="H14878" s="1" t="s">
        <v>1836</v>
      </c>
      <c r="I14878">
        <v>0</v>
      </c>
      <c r="J14878">
        <f>IF($H14878=0,1,IF($I14878&lt;=1,2,0))</f>
        <v>2</v>
      </c>
      <c r="K14878">
        <v>9</v>
      </c>
      <c r="L14878">
        <f>IF(AND($J14878=0,$K14878=0),0,1)</f>
        <v>1</v>
      </c>
    </row>
    <row r="14879" spans="1:12" x14ac:dyDescent="0.2">
      <c r="A14879" t="s">
        <v>210</v>
      </c>
      <c r="B14879" t="s">
        <v>71</v>
      </c>
      <c r="C14879" t="s">
        <v>72</v>
      </c>
      <c r="D14879">
        <v>3900</v>
      </c>
      <c r="E14879">
        <v>2021</v>
      </c>
      <c r="F14879">
        <v>9</v>
      </c>
      <c r="G14879">
        <v>11095</v>
      </c>
      <c r="H14879" s="1" t="s">
        <v>1836</v>
      </c>
      <c r="I14879">
        <v>0</v>
      </c>
      <c r="J14879">
        <f>IF($H14879=0,1,IF($I14879&lt;=1,2,0))</f>
        <v>2</v>
      </c>
      <c r="K14879">
        <v>9</v>
      </c>
      <c r="L14879">
        <f>IF(AND($J14879=0,$K14879=0),0,1)</f>
        <v>1</v>
      </c>
    </row>
    <row r="14880" spans="1:12" x14ac:dyDescent="0.2">
      <c r="A14880" t="s">
        <v>210</v>
      </c>
      <c r="B14880" t="s">
        <v>71</v>
      </c>
      <c r="C14880" t="s">
        <v>72</v>
      </c>
      <c r="D14880">
        <v>3900</v>
      </c>
      <c r="E14880">
        <v>2021</v>
      </c>
      <c r="F14880">
        <v>10</v>
      </c>
      <c r="G14880">
        <v>11096</v>
      </c>
      <c r="H14880" s="1" t="s">
        <v>1836</v>
      </c>
      <c r="I14880">
        <v>0</v>
      </c>
      <c r="J14880">
        <f>IF($H14880=0,1,IF($I14880&lt;=1,2,0))</f>
        <v>2</v>
      </c>
      <c r="K14880">
        <v>9</v>
      </c>
      <c r="L14880">
        <f>IF(AND($J14880=0,$K14880=0),0,1)</f>
        <v>1</v>
      </c>
    </row>
    <row r="14881" spans="1:13" x14ac:dyDescent="0.2">
      <c r="A14881" t="s">
        <v>210</v>
      </c>
      <c r="B14881" t="s">
        <v>71</v>
      </c>
      <c r="C14881" t="s">
        <v>72</v>
      </c>
      <c r="D14881">
        <v>3900</v>
      </c>
      <c r="E14881">
        <v>2021</v>
      </c>
      <c r="F14881">
        <v>11</v>
      </c>
      <c r="G14881">
        <v>11097</v>
      </c>
      <c r="H14881" s="1" t="s">
        <v>1836</v>
      </c>
      <c r="I14881">
        <v>0</v>
      </c>
      <c r="J14881">
        <f>IF($H14881=0,1,IF($I14881&lt;=1,2,0))</f>
        <v>2</v>
      </c>
      <c r="K14881">
        <v>9</v>
      </c>
      <c r="L14881">
        <f>IF(AND($J14881=0,$K14881=0),0,1)</f>
        <v>1</v>
      </c>
    </row>
    <row r="14882" spans="1:13" x14ac:dyDescent="0.2">
      <c r="A14882" t="s">
        <v>210</v>
      </c>
      <c r="B14882" t="s">
        <v>71</v>
      </c>
      <c r="C14882" t="s">
        <v>72</v>
      </c>
      <c r="D14882">
        <v>3900</v>
      </c>
      <c r="E14882">
        <v>2021</v>
      </c>
      <c r="F14882">
        <v>13</v>
      </c>
      <c r="G14882">
        <v>11099</v>
      </c>
      <c r="H14882" s="1" t="s">
        <v>1836</v>
      </c>
      <c r="I14882">
        <v>0</v>
      </c>
      <c r="J14882">
        <f>IF($H14882=0,1,IF($I14882&lt;=1,2,0))</f>
        <v>2</v>
      </c>
      <c r="K14882">
        <v>9</v>
      </c>
      <c r="L14882">
        <f>IF(AND($J14882=0,$K14882=0),0,1)</f>
        <v>1</v>
      </c>
    </row>
    <row r="14883" spans="1:13" x14ac:dyDescent="0.2">
      <c r="A14883" t="s">
        <v>210</v>
      </c>
      <c r="B14883" t="s">
        <v>71</v>
      </c>
      <c r="C14883" t="s">
        <v>72</v>
      </c>
      <c r="D14883">
        <v>3900</v>
      </c>
      <c r="E14883">
        <v>2021</v>
      </c>
      <c r="F14883">
        <v>14</v>
      </c>
      <c r="G14883">
        <v>11100</v>
      </c>
      <c r="H14883" s="1" t="s">
        <v>1836</v>
      </c>
      <c r="I14883">
        <v>0</v>
      </c>
      <c r="J14883">
        <f>IF($H14883=0,1,IF($I14883&lt;=1,2,0))</f>
        <v>2</v>
      </c>
      <c r="K14883">
        <v>9</v>
      </c>
      <c r="L14883">
        <f>IF(AND($J14883=0,$K14883=0),0,1)</f>
        <v>1</v>
      </c>
    </row>
    <row r="14884" spans="1:13" x14ac:dyDescent="0.2">
      <c r="A14884" t="s">
        <v>210</v>
      </c>
      <c r="B14884" t="s">
        <v>71</v>
      </c>
      <c r="C14884" t="s">
        <v>72</v>
      </c>
      <c r="D14884">
        <v>3900</v>
      </c>
      <c r="E14884">
        <v>2021</v>
      </c>
      <c r="F14884">
        <v>15</v>
      </c>
      <c r="G14884">
        <v>11101</v>
      </c>
      <c r="H14884" s="1" t="s">
        <v>1836</v>
      </c>
      <c r="I14884">
        <v>0</v>
      </c>
      <c r="J14884">
        <f>IF($H14884=0,1,IF($I14884&lt;=1,2,0))</f>
        <v>2</v>
      </c>
      <c r="K14884">
        <v>9</v>
      </c>
      <c r="L14884">
        <f>IF(AND($J14884=0,$K14884=0),0,1)</f>
        <v>1</v>
      </c>
    </row>
    <row r="14885" spans="1:13" x14ac:dyDescent="0.2">
      <c r="A14885" t="s">
        <v>210</v>
      </c>
      <c r="B14885" t="s">
        <v>71</v>
      </c>
      <c r="C14885" t="s">
        <v>72</v>
      </c>
      <c r="D14885">
        <v>3900</v>
      </c>
      <c r="E14885">
        <v>2021</v>
      </c>
      <c r="F14885">
        <v>16</v>
      </c>
      <c r="G14885">
        <v>11102</v>
      </c>
      <c r="H14885" s="1" t="s">
        <v>1836</v>
      </c>
      <c r="I14885">
        <v>0</v>
      </c>
      <c r="J14885">
        <f>IF($H14885=0,1,IF($I14885&lt;=1,2,0))</f>
        <v>2</v>
      </c>
      <c r="K14885">
        <v>9</v>
      </c>
      <c r="L14885">
        <f>IF(AND($J14885=0,$K14885=0),0,1)</f>
        <v>1</v>
      </c>
    </row>
    <row r="14886" spans="1:13" x14ac:dyDescent="0.2">
      <c r="A14886" t="s">
        <v>210</v>
      </c>
      <c r="B14886" t="s">
        <v>71</v>
      </c>
      <c r="C14886" t="s">
        <v>72</v>
      </c>
      <c r="D14886">
        <v>3900</v>
      </c>
      <c r="E14886">
        <v>2021</v>
      </c>
      <c r="F14886">
        <v>19</v>
      </c>
      <c r="G14886">
        <v>11105</v>
      </c>
      <c r="H14886" s="1" t="s">
        <v>1836</v>
      </c>
      <c r="I14886">
        <v>0</v>
      </c>
      <c r="J14886">
        <f>IF($H14886=0,1,IF($I14886&lt;=1,2,0))</f>
        <v>2</v>
      </c>
      <c r="K14886">
        <v>9</v>
      </c>
      <c r="L14886">
        <f>IF(AND($J14886=0,$K14886=0),0,1)</f>
        <v>1</v>
      </c>
    </row>
    <row r="14887" spans="1:13" x14ac:dyDescent="0.2">
      <c r="A14887" t="s">
        <v>210</v>
      </c>
      <c r="B14887" t="s">
        <v>71</v>
      </c>
      <c r="C14887" t="s">
        <v>72</v>
      </c>
      <c r="D14887">
        <v>3999</v>
      </c>
      <c r="E14887">
        <v>2021</v>
      </c>
      <c r="F14887">
        <v>1</v>
      </c>
      <c r="G14887">
        <v>11106</v>
      </c>
      <c r="H14887" s="1" t="s">
        <v>1837</v>
      </c>
      <c r="I14887">
        <v>1</v>
      </c>
      <c r="J14887">
        <f>IF($H14887=0,1,IF($I14887&lt;=1,2,0))</f>
        <v>2</v>
      </c>
      <c r="K14887">
        <v>9</v>
      </c>
      <c r="L14887">
        <f>IF(AND($J14887=0,$K14887=0),0,1)</f>
        <v>1</v>
      </c>
    </row>
    <row r="14888" spans="1:13" x14ac:dyDescent="0.2">
      <c r="A14888" t="s">
        <v>210</v>
      </c>
      <c r="B14888" t="s">
        <v>71</v>
      </c>
      <c r="C14888" t="s">
        <v>72</v>
      </c>
      <c r="D14888">
        <v>4001</v>
      </c>
      <c r="E14888">
        <v>2021</v>
      </c>
      <c r="F14888">
        <v>1</v>
      </c>
      <c r="G14888">
        <v>11219</v>
      </c>
      <c r="H14888" s="1">
        <v>3</v>
      </c>
      <c r="I14888">
        <v>19</v>
      </c>
      <c r="J14888">
        <f>IF($H14888=0,1,IF($I14888&lt;=1,2,0))</f>
        <v>0</v>
      </c>
      <c r="K14888">
        <v>4</v>
      </c>
      <c r="L14888">
        <f>IF(AND($J14888=0,$K14888=0),0,1)</f>
        <v>1</v>
      </c>
      <c r="M14888" t="s">
        <v>929</v>
      </c>
    </row>
    <row r="14889" spans="1:13" x14ac:dyDescent="0.2">
      <c r="A14889" t="s">
        <v>210</v>
      </c>
      <c r="B14889" t="s">
        <v>71</v>
      </c>
      <c r="C14889" t="s">
        <v>72</v>
      </c>
      <c r="D14889">
        <v>4001</v>
      </c>
      <c r="E14889">
        <v>2021</v>
      </c>
      <c r="F14889" t="s">
        <v>59</v>
      </c>
      <c r="G14889">
        <v>11067</v>
      </c>
      <c r="H14889" s="1">
        <v>3</v>
      </c>
      <c r="I14889">
        <v>0</v>
      </c>
      <c r="J14889">
        <f>IF($H14889=0,1,IF($I14889&lt;=1,2,0))</f>
        <v>2</v>
      </c>
      <c r="K14889">
        <v>0</v>
      </c>
      <c r="L14889">
        <f>IF(AND($J14889=0,$K14889=0),0,1)</f>
        <v>1</v>
      </c>
      <c r="M14889" t="s">
        <v>2050</v>
      </c>
    </row>
    <row r="14890" spans="1:13" x14ac:dyDescent="0.2">
      <c r="A14890" t="s">
        <v>210</v>
      </c>
      <c r="B14890" t="s">
        <v>71</v>
      </c>
      <c r="C14890" t="s">
        <v>72</v>
      </c>
      <c r="D14890">
        <v>4002</v>
      </c>
      <c r="E14890">
        <v>2021</v>
      </c>
      <c r="F14890" t="s">
        <v>59</v>
      </c>
      <c r="G14890">
        <v>11069</v>
      </c>
      <c r="H14890" s="1">
        <v>3</v>
      </c>
      <c r="I14890">
        <v>0</v>
      </c>
      <c r="J14890">
        <f>IF($H14890=0,1,IF($I14890&lt;=1,2,0))</f>
        <v>2</v>
      </c>
      <c r="K14890">
        <v>0</v>
      </c>
      <c r="L14890">
        <f>IF(AND($J14890=0,$K14890=0),0,1)</f>
        <v>1</v>
      </c>
      <c r="M14890" t="s">
        <v>2050</v>
      </c>
    </row>
    <row r="14891" spans="1:13" x14ac:dyDescent="0.2">
      <c r="A14891" t="s">
        <v>210</v>
      </c>
      <c r="B14891" t="s">
        <v>71</v>
      </c>
      <c r="C14891" t="s">
        <v>72</v>
      </c>
      <c r="D14891">
        <v>4500</v>
      </c>
      <c r="E14891">
        <v>2021</v>
      </c>
      <c r="F14891" t="s">
        <v>214</v>
      </c>
      <c r="G14891">
        <v>11047</v>
      </c>
      <c r="H14891" s="1">
        <v>0</v>
      </c>
      <c r="I14891">
        <v>0</v>
      </c>
      <c r="J14891">
        <f>IF($H14891=0,1,IF($I14891&lt;=1,2,0))</f>
        <v>1</v>
      </c>
      <c r="K14891">
        <v>0</v>
      </c>
      <c r="L14891">
        <f>IF(AND($J14891=0,$K14891=0),0,1)</f>
        <v>1</v>
      </c>
      <c r="M14891" t="s">
        <v>1985</v>
      </c>
    </row>
    <row r="14892" spans="1:13" x14ac:dyDescent="0.2">
      <c r="A14892" t="s">
        <v>210</v>
      </c>
      <c r="B14892" t="s">
        <v>71</v>
      </c>
      <c r="C14892" t="s">
        <v>72</v>
      </c>
      <c r="D14892">
        <v>4999</v>
      </c>
      <c r="E14892">
        <v>2021</v>
      </c>
      <c r="F14892">
        <v>1</v>
      </c>
      <c r="G14892">
        <v>12573</v>
      </c>
      <c r="H14892" s="1" t="s">
        <v>1827</v>
      </c>
      <c r="I14892">
        <v>3</v>
      </c>
      <c r="J14892">
        <f>IF($H14892=0,1,IF($I14892&lt;=1,2,0))</f>
        <v>0</v>
      </c>
      <c r="K14892">
        <v>9</v>
      </c>
      <c r="L14892">
        <f>IF(AND($J14892=0,$K14892=0),0,1)</f>
        <v>1</v>
      </c>
    </row>
    <row r="14893" spans="1:13" x14ac:dyDescent="0.2">
      <c r="A14893" t="s">
        <v>210</v>
      </c>
      <c r="B14893" t="s">
        <v>71</v>
      </c>
      <c r="C14893" t="s">
        <v>72</v>
      </c>
      <c r="D14893">
        <v>6543</v>
      </c>
      <c r="E14893">
        <v>2021</v>
      </c>
      <c r="F14893">
        <v>1</v>
      </c>
      <c r="G14893">
        <v>18518</v>
      </c>
      <c r="H14893" s="1">
        <v>1</v>
      </c>
      <c r="I14893">
        <v>1</v>
      </c>
      <c r="J14893">
        <f>IF($H14893=0,1,IF($I14893&lt;=1,2,0))</f>
        <v>2</v>
      </c>
      <c r="K14893">
        <v>0</v>
      </c>
      <c r="L14893">
        <f>IF(AND($J14893=0,$K14893=0),0,1)</f>
        <v>1</v>
      </c>
    </row>
    <row r="14894" spans="1:13" x14ac:dyDescent="0.2">
      <c r="A14894" t="s">
        <v>210</v>
      </c>
      <c r="B14894" t="s">
        <v>71</v>
      </c>
      <c r="C14894" t="s">
        <v>72</v>
      </c>
      <c r="D14894">
        <v>9000</v>
      </c>
      <c r="E14894">
        <v>2021</v>
      </c>
      <c r="F14894">
        <v>1</v>
      </c>
      <c r="G14894">
        <v>11059</v>
      </c>
      <c r="H14894" s="1">
        <v>0</v>
      </c>
      <c r="I14894">
        <v>79</v>
      </c>
      <c r="J14894">
        <f>IF($H14894=0,1,IF($I14894&lt;=1,2,0))</f>
        <v>1</v>
      </c>
      <c r="K14894">
        <v>5</v>
      </c>
      <c r="L14894">
        <f>IF(AND($J14894=0,$K14894=0),0,1)</f>
        <v>1</v>
      </c>
    </row>
    <row r="14895" spans="1:13" x14ac:dyDescent="0.2">
      <c r="A14895" t="s">
        <v>210</v>
      </c>
      <c r="B14895" t="s">
        <v>71</v>
      </c>
      <c r="C14895" t="s">
        <v>72</v>
      </c>
      <c r="D14895">
        <v>9001</v>
      </c>
      <c r="E14895">
        <v>2021</v>
      </c>
      <c r="F14895">
        <v>1</v>
      </c>
      <c r="G14895">
        <v>11060</v>
      </c>
      <c r="H14895" s="1">
        <v>0</v>
      </c>
      <c r="I14895">
        <v>79</v>
      </c>
      <c r="J14895">
        <f>IF($H14895=0,1,IF($I14895&lt;=1,2,0))</f>
        <v>1</v>
      </c>
      <c r="K14895">
        <v>5</v>
      </c>
      <c r="L14895">
        <f>IF(AND($J14895=0,$K14895=0),0,1)</f>
        <v>1</v>
      </c>
      <c r="M14895" t="s">
        <v>931</v>
      </c>
    </row>
    <row r="14896" spans="1:13" x14ac:dyDescent="0.2">
      <c r="A14896" t="s">
        <v>210</v>
      </c>
      <c r="B14896" t="s">
        <v>71</v>
      </c>
      <c r="C14896" t="s">
        <v>72</v>
      </c>
      <c r="D14896">
        <v>9400</v>
      </c>
      <c r="E14896">
        <v>2021</v>
      </c>
      <c r="F14896">
        <v>7</v>
      </c>
      <c r="G14896">
        <v>11113</v>
      </c>
      <c r="H14896" s="1" t="s">
        <v>1828</v>
      </c>
      <c r="I14896">
        <v>4</v>
      </c>
      <c r="J14896">
        <f>IF($H14896=0,1,IF($I14896&lt;=1,2,0))</f>
        <v>0</v>
      </c>
      <c r="K14896">
        <v>5</v>
      </c>
      <c r="L14896">
        <f>IF(AND($J14896=0,$K14896=0),0,1)</f>
        <v>1</v>
      </c>
    </row>
    <row r="14897" spans="1:12" x14ac:dyDescent="0.2">
      <c r="A14897" t="s">
        <v>210</v>
      </c>
      <c r="B14897" t="s">
        <v>71</v>
      </c>
      <c r="C14897" t="s">
        <v>72</v>
      </c>
      <c r="D14897">
        <v>9400</v>
      </c>
      <c r="E14897">
        <v>2021</v>
      </c>
      <c r="F14897">
        <v>18</v>
      </c>
      <c r="G14897">
        <v>11125</v>
      </c>
      <c r="H14897" s="1" t="s">
        <v>1828</v>
      </c>
      <c r="I14897">
        <v>4</v>
      </c>
      <c r="J14897">
        <f>IF($H14897=0,1,IF($I14897&lt;=1,2,0))</f>
        <v>0</v>
      </c>
      <c r="K14897">
        <v>5</v>
      </c>
      <c r="L14897">
        <f>IF(AND($J14897=0,$K14897=0),0,1)</f>
        <v>1</v>
      </c>
    </row>
    <row r="14898" spans="1:12" x14ac:dyDescent="0.2">
      <c r="A14898" t="s">
        <v>210</v>
      </c>
      <c r="B14898" t="s">
        <v>71</v>
      </c>
      <c r="C14898" t="s">
        <v>72</v>
      </c>
      <c r="D14898">
        <v>9400</v>
      </c>
      <c r="E14898">
        <v>2021</v>
      </c>
      <c r="F14898">
        <v>19</v>
      </c>
      <c r="G14898">
        <v>11126</v>
      </c>
      <c r="H14898" s="1" t="s">
        <v>1828</v>
      </c>
      <c r="I14898">
        <v>3</v>
      </c>
      <c r="J14898">
        <f>IF($H14898=0,1,IF($I14898&lt;=1,2,0))</f>
        <v>0</v>
      </c>
      <c r="K14898">
        <v>5</v>
      </c>
      <c r="L14898">
        <f>IF(AND($J14898=0,$K14898=0),0,1)</f>
        <v>1</v>
      </c>
    </row>
    <row r="14899" spans="1:12" x14ac:dyDescent="0.2">
      <c r="A14899" t="s">
        <v>210</v>
      </c>
      <c r="B14899" t="s">
        <v>71</v>
      </c>
      <c r="C14899" t="s">
        <v>72</v>
      </c>
      <c r="D14899">
        <v>9400</v>
      </c>
      <c r="E14899">
        <v>2021</v>
      </c>
      <c r="F14899">
        <v>2</v>
      </c>
      <c r="G14899">
        <v>11108</v>
      </c>
      <c r="H14899" s="1" t="s">
        <v>1828</v>
      </c>
      <c r="I14899">
        <v>2</v>
      </c>
      <c r="J14899">
        <f>IF($H14899=0,1,IF($I14899&lt;=1,2,0))</f>
        <v>0</v>
      </c>
      <c r="K14899">
        <v>5</v>
      </c>
      <c r="L14899">
        <f>IF(AND($J14899=0,$K14899=0),0,1)</f>
        <v>1</v>
      </c>
    </row>
    <row r="14900" spans="1:12" x14ac:dyDescent="0.2">
      <c r="A14900" t="s">
        <v>210</v>
      </c>
      <c r="B14900" t="s">
        <v>71</v>
      </c>
      <c r="C14900" t="s">
        <v>72</v>
      </c>
      <c r="D14900">
        <v>9400</v>
      </c>
      <c r="E14900">
        <v>2021</v>
      </c>
      <c r="F14900">
        <v>8</v>
      </c>
      <c r="G14900">
        <v>11114</v>
      </c>
      <c r="H14900" s="1" t="s">
        <v>1828</v>
      </c>
      <c r="I14900">
        <v>2</v>
      </c>
      <c r="J14900">
        <f>IF($H14900=0,1,IF($I14900&lt;=1,2,0))</f>
        <v>0</v>
      </c>
      <c r="K14900">
        <v>5</v>
      </c>
      <c r="L14900">
        <f>IF(AND($J14900=0,$K14900=0),0,1)</f>
        <v>1</v>
      </c>
    </row>
    <row r="14901" spans="1:12" x14ac:dyDescent="0.2">
      <c r="A14901" t="s">
        <v>210</v>
      </c>
      <c r="B14901" t="s">
        <v>71</v>
      </c>
      <c r="C14901" t="s">
        <v>72</v>
      </c>
      <c r="D14901">
        <v>9400</v>
      </c>
      <c r="E14901">
        <v>2021</v>
      </c>
      <c r="F14901">
        <v>10</v>
      </c>
      <c r="G14901">
        <v>11116</v>
      </c>
      <c r="H14901" s="1" t="s">
        <v>1828</v>
      </c>
      <c r="I14901">
        <v>2</v>
      </c>
      <c r="J14901">
        <f>IF($H14901=0,1,IF($I14901&lt;=1,2,0))</f>
        <v>0</v>
      </c>
      <c r="K14901">
        <v>5</v>
      </c>
      <c r="L14901">
        <f>IF(AND($J14901=0,$K14901=0),0,1)</f>
        <v>1</v>
      </c>
    </row>
    <row r="14902" spans="1:12" x14ac:dyDescent="0.2">
      <c r="A14902" t="s">
        <v>210</v>
      </c>
      <c r="B14902" t="s">
        <v>71</v>
      </c>
      <c r="C14902" t="s">
        <v>72</v>
      </c>
      <c r="D14902">
        <v>9400</v>
      </c>
      <c r="E14902">
        <v>2021</v>
      </c>
      <c r="F14902">
        <v>13</v>
      </c>
      <c r="G14902">
        <v>11119</v>
      </c>
      <c r="H14902" s="1" t="s">
        <v>1828</v>
      </c>
      <c r="I14902">
        <v>2</v>
      </c>
      <c r="J14902">
        <f>IF($H14902=0,1,IF($I14902&lt;=1,2,0))</f>
        <v>0</v>
      </c>
      <c r="K14902">
        <v>5</v>
      </c>
      <c r="L14902">
        <f>IF(AND($J14902=0,$K14902=0),0,1)</f>
        <v>1</v>
      </c>
    </row>
    <row r="14903" spans="1:12" x14ac:dyDescent="0.2">
      <c r="A14903" t="s">
        <v>210</v>
      </c>
      <c r="B14903" t="s">
        <v>71</v>
      </c>
      <c r="C14903" t="s">
        <v>72</v>
      </c>
      <c r="D14903">
        <v>9400</v>
      </c>
      <c r="E14903">
        <v>2021</v>
      </c>
      <c r="F14903">
        <v>14</v>
      </c>
      <c r="G14903">
        <v>11120</v>
      </c>
      <c r="H14903" s="1" t="s">
        <v>1828</v>
      </c>
      <c r="I14903">
        <v>2</v>
      </c>
      <c r="J14903">
        <f>IF($H14903=0,1,IF($I14903&lt;=1,2,0))</f>
        <v>0</v>
      </c>
      <c r="K14903">
        <v>5</v>
      </c>
      <c r="L14903">
        <f>IF(AND($J14903=0,$K14903=0),0,1)</f>
        <v>1</v>
      </c>
    </row>
    <row r="14904" spans="1:12" x14ac:dyDescent="0.2">
      <c r="A14904" t="s">
        <v>210</v>
      </c>
      <c r="B14904" t="s">
        <v>71</v>
      </c>
      <c r="C14904" t="s">
        <v>72</v>
      </c>
      <c r="D14904">
        <v>9400</v>
      </c>
      <c r="E14904">
        <v>2021</v>
      </c>
      <c r="F14904">
        <v>17</v>
      </c>
      <c r="G14904">
        <v>11124</v>
      </c>
      <c r="H14904" s="1" t="s">
        <v>1828</v>
      </c>
      <c r="I14904">
        <v>2</v>
      </c>
      <c r="J14904">
        <f>IF($H14904=0,1,IF($I14904&lt;=1,2,0))</f>
        <v>0</v>
      </c>
      <c r="K14904">
        <v>5</v>
      </c>
      <c r="L14904">
        <f>IF(AND($J14904=0,$K14904=0),0,1)</f>
        <v>1</v>
      </c>
    </row>
    <row r="14905" spans="1:12" x14ac:dyDescent="0.2">
      <c r="A14905" t="s">
        <v>210</v>
      </c>
      <c r="B14905" t="s">
        <v>71</v>
      </c>
      <c r="C14905" t="s">
        <v>72</v>
      </c>
      <c r="D14905">
        <v>9400</v>
      </c>
      <c r="E14905">
        <v>2021</v>
      </c>
      <c r="F14905">
        <v>20</v>
      </c>
      <c r="G14905">
        <v>11127</v>
      </c>
      <c r="H14905" s="1" t="s">
        <v>1828</v>
      </c>
      <c r="I14905">
        <v>2</v>
      </c>
      <c r="J14905">
        <f>IF($H14905=0,1,IF($I14905&lt;=1,2,0))</f>
        <v>0</v>
      </c>
      <c r="K14905">
        <v>5</v>
      </c>
      <c r="L14905">
        <f>IF(AND($J14905=0,$K14905=0),0,1)</f>
        <v>1</v>
      </c>
    </row>
    <row r="14906" spans="1:12" x14ac:dyDescent="0.2">
      <c r="A14906" t="s">
        <v>210</v>
      </c>
      <c r="B14906" t="s">
        <v>71</v>
      </c>
      <c r="C14906" t="s">
        <v>72</v>
      </c>
      <c r="D14906">
        <v>9400</v>
      </c>
      <c r="E14906">
        <v>2021</v>
      </c>
      <c r="F14906">
        <v>21</v>
      </c>
      <c r="G14906">
        <v>11128</v>
      </c>
      <c r="H14906" s="1" t="s">
        <v>1828</v>
      </c>
      <c r="I14906">
        <v>2</v>
      </c>
      <c r="J14906">
        <f>IF($H14906=0,1,IF($I14906&lt;=1,2,0))</f>
        <v>0</v>
      </c>
      <c r="K14906">
        <v>5</v>
      </c>
      <c r="L14906">
        <f>IF(AND($J14906=0,$K14906=0),0,1)</f>
        <v>1</v>
      </c>
    </row>
    <row r="14907" spans="1:12" x14ac:dyDescent="0.2">
      <c r="A14907" t="s">
        <v>210</v>
      </c>
      <c r="B14907" t="s">
        <v>71</v>
      </c>
      <c r="C14907" t="s">
        <v>72</v>
      </c>
      <c r="D14907">
        <v>9400</v>
      </c>
      <c r="E14907">
        <v>2021</v>
      </c>
      <c r="F14907">
        <v>1</v>
      </c>
      <c r="G14907">
        <v>11107</v>
      </c>
      <c r="H14907" s="1" t="s">
        <v>1828</v>
      </c>
      <c r="I14907">
        <v>1</v>
      </c>
      <c r="J14907">
        <f>IF($H14907=0,1,IF($I14907&lt;=1,2,0))</f>
        <v>2</v>
      </c>
      <c r="K14907">
        <v>5</v>
      </c>
      <c r="L14907">
        <f>IF(AND($J14907=0,$K14907=0),0,1)</f>
        <v>1</v>
      </c>
    </row>
    <row r="14908" spans="1:12" x14ac:dyDescent="0.2">
      <c r="A14908" t="s">
        <v>210</v>
      </c>
      <c r="B14908" t="s">
        <v>71</v>
      </c>
      <c r="C14908" t="s">
        <v>72</v>
      </c>
      <c r="D14908">
        <v>9400</v>
      </c>
      <c r="E14908">
        <v>2021</v>
      </c>
      <c r="F14908">
        <v>3</v>
      </c>
      <c r="G14908">
        <v>11109</v>
      </c>
      <c r="H14908" s="1" t="s">
        <v>1828</v>
      </c>
      <c r="I14908">
        <v>1</v>
      </c>
      <c r="J14908">
        <f>IF($H14908=0,1,IF($I14908&lt;=1,2,0))</f>
        <v>2</v>
      </c>
      <c r="K14908">
        <v>5</v>
      </c>
      <c r="L14908">
        <f>IF(AND($J14908=0,$K14908=0),0,1)</f>
        <v>1</v>
      </c>
    </row>
    <row r="14909" spans="1:12" x14ac:dyDescent="0.2">
      <c r="A14909" t="s">
        <v>210</v>
      </c>
      <c r="B14909" t="s">
        <v>71</v>
      </c>
      <c r="C14909" t="s">
        <v>72</v>
      </c>
      <c r="D14909">
        <v>9400</v>
      </c>
      <c r="E14909">
        <v>2021</v>
      </c>
      <c r="F14909">
        <v>5</v>
      </c>
      <c r="G14909">
        <v>11111</v>
      </c>
      <c r="H14909" s="1" t="s">
        <v>1828</v>
      </c>
      <c r="I14909">
        <v>1</v>
      </c>
      <c r="J14909">
        <f>IF($H14909=0,1,IF($I14909&lt;=1,2,0))</f>
        <v>2</v>
      </c>
      <c r="K14909">
        <v>5</v>
      </c>
      <c r="L14909">
        <f>IF(AND($J14909=0,$K14909=0),0,1)</f>
        <v>1</v>
      </c>
    </row>
    <row r="14910" spans="1:12" x14ac:dyDescent="0.2">
      <c r="A14910" t="s">
        <v>210</v>
      </c>
      <c r="B14910" t="s">
        <v>71</v>
      </c>
      <c r="C14910" t="s">
        <v>72</v>
      </c>
      <c r="D14910">
        <v>9400</v>
      </c>
      <c r="E14910">
        <v>2021</v>
      </c>
      <c r="F14910">
        <v>11</v>
      </c>
      <c r="G14910">
        <v>11117</v>
      </c>
      <c r="H14910" s="1" t="s">
        <v>1828</v>
      </c>
      <c r="I14910">
        <v>1</v>
      </c>
      <c r="J14910">
        <f>IF($H14910=0,1,IF($I14910&lt;=1,2,0))</f>
        <v>2</v>
      </c>
      <c r="K14910">
        <v>5</v>
      </c>
      <c r="L14910">
        <f>IF(AND($J14910=0,$K14910=0),0,1)</f>
        <v>1</v>
      </c>
    </row>
    <row r="14911" spans="1:12" x14ac:dyDescent="0.2">
      <c r="A14911" t="s">
        <v>210</v>
      </c>
      <c r="B14911" t="s">
        <v>71</v>
      </c>
      <c r="C14911" t="s">
        <v>72</v>
      </c>
      <c r="D14911">
        <v>9400</v>
      </c>
      <c r="E14911">
        <v>2021</v>
      </c>
      <c r="F14911">
        <v>15</v>
      </c>
      <c r="G14911">
        <v>11122</v>
      </c>
      <c r="H14911" s="1" t="s">
        <v>1828</v>
      </c>
      <c r="I14911">
        <v>1</v>
      </c>
      <c r="J14911">
        <f>IF($H14911=0,1,IF($I14911&lt;=1,2,0))</f>
        <v>2</v>
      </c>
      <c r="K14911">
        <v>5</v>
      </c>
      <c r="L14911">
        <f>IF(AND($J14911=0,$K14911=0),0,1)</f>
        <v>1</v>
      </c>
    </row>
    <row r="14912" spans="1:12" x14ac:dyDescent="0.2">
      <c r="A14912" t="s">
        <v>210</v>
      </c>
      <c r="B14912" t="s">
        <v>71</v>
      </c>
      <c r="C14912" t="s">
        <v>72</v>
      </c>
      <c r="D14912">
        <v>9400</v>
      </c>
      <c r="E14912">
        <v>2021</v>
      </c>
      <c r="F14912">
        <v>4</v>
      </c>
      <c r="G14912">
        <v>11110</v>
      </c>
      <c r="H14912" s="1" t="s">
        <v>1828</v>
      </c>
      <c r="I14912">
        <v>0</v>
      </c>
      <c r="J14912">
        <f>IF($H14912=0,1,IF($I14912&lt;=1,2,0))</f>
        <v>2</v>
      </c>
      <c r="K14912">
        <v>5</v>
      </c>
      <c r="L14912">
        <f>IF(AND($J14912=0,$K14912=0),0,1)</f>
        <v>1</v>
      </c>
    </row>
    <row r="14913" spans="1:12" x14ac:dyDescent="0.2">
      <c r="A14913" t="s">
        <v>210</v>
      </c>
      <c r="B14913" t="s">
        <v>71</v>
      </c>
      <c r="C14913" t="s">
        <v>72</v>
      </c>
      <c r="D14913">
        <v>9400</v>
      </c>
      <c r="E14913">
        <v>2021</v>
      </c>
      <c r="F14913">
        <v>6</v>
      </c>
      <c r="G14913">
        <v>11112</v>
      </c>
      <c r="H14913" s="1" t="s">
        <v>1828</v>
      </c>
      <c r="I14913">
        <v>0</v>
      </c>
      <c r="J14913">
        <f>IF($H14913=0,1,IF($I14913&lt;=1,2,0))</f>
        <v>2</v>
      </c>
      <c r="K14913">
        <v>5</v>
      </c>
      <c r="L14913">
        <f>IF(AND($J14913=0,$K14913=0),0,1)</f>
        <v>1</v>
      </c>
    </row>
    <row r="14914" spans="1:12" x14ac:dyDescent="0.2">
      <c r="A14914" t="s">
        <v>210</v>
      </c>
      <c r="B14914" t="s">
        <v>71</v>
      </c>
      <c r="C14914" t="s">
        <v>72</v>
      </c>
      <c r="D14914">
        <v>9400</v>
      </c>
      <c r="E14914">
        <v>2021</v>
      </c>
      <c r="F14914">
        <v>9</v>
      </c>
      <c r="G14914">
        <v>11115</v>
      </c>
      <c r="H14914" s="1" t="s">
        <v>1828</v>
      </c>
      <c r="I14914">
        <v>0</v>
      </c>
      <c r="J14914">
        <f>IF($H14914=0,1,IF($I14914&lt;=1,2,0))</f>
        <v>2</v>
      </c>
      <c r="K14914">
        <v>5</v>
      </c>
      <c r="L14914">
        <f>IF(AND($J14914=0,$K14914=0),0,1)</f>
        <v>1</v>
      </c>
    </row>
    <row r="14915" spans="1:12" x14ac:dyDescent="0.2">
      <c r="A14915" t="s">
        <v>210</v>
      </c>
      <c r="B14915" t="s">
        <v>71</v>
      </c>
      <c r="C14915" t="s">
        <v>72</v>
      </c>
      <c r="D14915">
        <v>9400</v>
      </c>
      <c r="E14915">
        <v>2021</v>
      </c>
      <c r="F14915">
        <v>12</v>
      </c>
      <c r="G14915">
        <v>11118</v>
      </c>
      <c r="H14915" s="1" t="s">
        <v>1828</v>
      </c>
      <c r="I14915">
        <v>0</v>
      </c>
      <c r="J14915">
        <f>IF($H14915=0,1,IF($I14915&lt;=1,2,0))</f>
        <v>2</v>
      </c>
      <c r="K14915">
        <v>5</v>
      </c>
      <c r="L14915">
        <f>IF(AND($J14915=0,$K14915=0),0,1)</f>
        <v>1</v>
      </c>
    </row>
    <row r="14916" spans="1:12" x14ac:dyDescent="0.2">
      <c r="A14916" t="s">
        <v>210</v>
      </c>
      <c r="B14916" t="s">
        <v>71</v>
      </c>
      <c r="C14916" t="s">
        <v>72</v>
      </c>
      <c r="D14916">
        <v>9400</v>
      </c>
      <c r="E14916">
        <v>2021</v>
      </c>
      <c r="F14916">
        <v>16</v>
      </c>
      <c r="G14916">
        <v>11123</v>
      </c>
      <c r="H14916" s="1" t="s">
        <v>1828</v>
      </c>
      <c r="I14916">
        <v>0</v>
      </c>
      <c r="J14916">
        <f>IF($H14916=0,1,IF($I14916&lt;=1,2,0))</f>
        <v>2</v>
      </c>
      <c r="K14916">
        <v>5</v>
      </c>
      <c r="L14916">
        <f>IF(AND($J14916=0,$K14916=0),0,1)</f>
        <v>1</v>
      </c>
    </row>
    <row r="14917" spans="1:12" x14ac:dyDescent="0.2">
      <c r="A14917" t="s">
        <v>210</v>
      </c>
      <c r="B14917" t="s">
        <v>71</v>
      </c>
      <c r="C14917" t="s">
        <v>72</v>
      </c>
      <c r="D14917">
        <v>9500</v>
      </c>
      <c r="E14917">
        <v>2021</v>
      </c>
      <c r="F14917">
        <v>9</v>
      </c>
      <c r="G14917">
        <v>11137</v>
      </c>
      <c r="H14917" s="1" t="s">
        <v>1839</v>
      </c>
      <c r="I14917">
        <v>7</v>
      </c>
      <c r="J14917">
        <f>IF($H14917=0,1,IF($I14917&lt;=1,2,0))</f>
        <v>0</v>
      </c>
      <c r="K14917">
        <v>5</v>
      </c>
      <c r="L14917">
        <f>IF(AND($J14917=0,$K14917=0),0,1)</f>
        <v>1</v>
      </c>
    </row>
    <row r="14918" spans="1:12" x14ac:dyDescent="0.2">
      <c r="A14918" t="s">
        <v>210</v>
      </c>
      <c r="B14918" t="s">
        <v>71</v>
      </c>
      <c r="C14918" t="s">
        <v>72</v>
      </c>
      <c r="D14918">
        <v>9500</v>
      </c>
      <c r="E14918">
        <v>2021</v>
      </c>
      <c r="F14918">
        <v>1</v>
      </c>
      <c r="G14918">
        <v>11129</v>
      </c>
      <c r="H14918" s="1" t="s">
        <v>1839</v>
      </c>
      <c r="I14918">
        <v>5</v>
      </c>
      <c r="J14918">
        <f>IF($H14918=0,1,IF($I14918&lt;=1,2,0))</f>
        <v>0</v>
      </c>
      <c r="K14918">
        <v>5</v>
      </c>
      <c r="L14918">
        <f>IF(AND($J14918=0,$K14918=0),0,1)</f>
        <v>1</v>
      </c>
    </row>
    <row r="14919" spans="1:12" x14ac:dyDescent="0.2">
      <c r="A14919" t="s">
        <v>210</v>
      </c>
      <c r="B14919" t="s">
        <v>71</v>
      </c>
      <c r="C14919" t="s">
        <v>72</v>
      </c>
      <c r="D14919">
        <v>9500</v>
      </c>
      <c r="E14919">
        <v>2021</v>
      </c>
      <c r="F14919">
        <v>2</v>
      </c>
      <c r="G14919">
        <v>11130</v>
      </c>
      <c r="H14919" s="1" t="s">
        <v>1839</v>
      </c>
      <c r="I14919">
        <v>4</v>
      </c>
      <c r="J14919">
        <f>IF($H14919=0,1,IF($I14919&lt;=1,2,0))</f>
        <v>0</v>
      </c>
      <c r="K14919">
        <v>5</v>
      </c>
      <c r="L14919">
        <f>IF(AND($J14919=0,$K14919=0),0,1)</f>
        <v>1</v>
      </c>
    </row>
    <row r="14920" spans="1:12" x14ac:dyDescent="0.2">
      <c r="A14920" t="s">
        <v>210</v>
      </c>
      <c r="B14920" t="s">
        <v>71</v>
      </c>
      <c r="C14920" t="s">
        <v>72</v>
      </c>
      <c r="D14920">
        <v>9500</v>
      </c>
      <c r="E14920">
        <v>2021</v>
      </c>
      <c r="F14920">
        <v>6</v>
      </c>
      <c r="G14920">
        <v>11134</v>
      </c>
      <c r="H14920" s="1" t="s">
        <v>1839</v>
      </c>
      <c r="I14920">
        <v>4</v>
      </c>
      <c r="J14920">
        <f>IF($H14920=0,1,IF($I14920&lt;=1,2,0))</f>
        <v>0</v>
      </c>
      <c r="K14920">
        <v>5</v>
      </c>
      <c r="L14920">
        <f>IF(AND($J14920=0,$K14920=0),0,1)</f>
        <v>1</v>
      </c>
    </row>
    <row r="14921" spans="1:12" x14ac:dyDescent="0.2">
      <c r="A14921" t="s">
        <v>210</v>
      </c>
      <c r="B14921" t="s">
        <v>71</v>
      </c>
      <c r="C14921" t="s">
        <v>72</v>
      </c>
      <c r="D14921">
        <v>9500</v>
      </c>
      <c r="E14921">
        <v>2021</v>
      </c>
      <c r="F14921">
        <v>13</v>
      </c>
      <c r="G14921">
        <v>11141</v>
      </c>
      <c r="H14921" s="1" t="s">
        <v>1839</v>
      </c>
      <c r="I14921">
        <v>4</v>
      </c>
      <c r="J14921">
        <f>IF($H14921=0,1,IF($I14921&lt;=1,2,0))</f>
        <v>0</v>
      </c>
      <c r="K14921">
        <v>5</v>
      </c>
      <c r="L14921">
        <f>IF(AND($J14921=0,$K14921=0),0,1)</f>
        <v>1</v>
      </c>
    </row>
    <row r="14922" spans="1:12" x14ac:dyDescent="0.2">
      <c r="A14922" t="s">
        <v>210</v>
      </c>
      <c r="B14922" t="s">
        <v>71</v>
      </c>
      <c r="C14922" t="s">
        <v>72</v>
      </c>
      <c r="D14922">
        <v>9500</v>
      </c>
      <c r="E14922">
        <v>2021</v>
      </c>
      <c r="F14922">
        <v>3</v>
      </c>
      <c r="G14922">
        <v>11131</v>
      </c>
      <c r="H14922" s="1" t="s">
        <v>1839</v>
      </c>
      <c r="I14922">
        <v>3</v>
      </c>
      <c r="J14922">
        <f>IF($H14922=0,1,IF($I14922&lt;=1,2,0))</f>
        <v>0</v>
      </c>
      <c r="K14922">
        <v>5</v>
      </c>
      <c r="L14922">
        <f>IF(AND($J14922=0,$K14922=0),0,1)</f>
        <v>1</v>
      </c>
    </row>
    <row r="14923" spans="1:12" x14ac:dyDescent="0.2">
      <c r="A14923" t="s">
        <v>210</v>
      </c>
      <c r="B14923" t="s">
        <v>71</v>
      </c>
      <c r="C14923" t="s">
        <v>72</v>
      </c>
      <c r="D14923">
        <v>9500</v>
      </c>
      <c r="E14923">
        <v>2021</v>
      </c>
      <c r="F14923">
        <v>4</v>
      </c>
      <c r="G14923">
        <v>11132</v>
      </c>
      <c r="H14923" s="1" t="s">
        <v>1839</v>
      </c>
      <c r="I14923">
        <v>3</v>
      </c>
      <c r="J14923">
        <f>IF($H14923=0,1,IF($I14923&lt;=1,2,0))</f>
        <v>0</v>
      </c>
      <c r="K14923">
        <v>5</v>
      </c>
      <c r="L14923">
        <f>IF(AND($J14923=0,$K14923=0),0,1)</f>
        <v>1</v>
      </c>
    </row>
    <row r="14924" spans="1:12" x14ac:dyDescent="0.2">
      <c r="A14924" t="s">
        <v>210</v>
      </c>
      <c r="B14924" t="s">
        <v>71</v>
      </c>
      <c r="C14924" t="s">
        <v>72</v>
      </c>
      <c r="D14924">
        <v>9500</v>
      </c>
      <c r="E14924">
        <v>2021</v>
      </c>
      <c r="F14924">
        <v>17</v>
      </c>
      <c r="G14924">
        <v>11145</v>
      </c>
      <c r="H14924" s="1" t="s">
        <v>1839</v>
      </c>
      <c r="I14924">
        <v>3</v>
      </c>
      <c r="J14924">
        <f>IF($H14924=0,1,IF($I14924&lt;=1,2,0))</f>
        <v>0</v>
      </c>
      <c r="K14924">
        <v>5</v>
      </c>
      <c r="L14924">
        <f>IF(AND($J14924=0,$K14924=0),0,1)</f>
        <v>1</v>
      </c>
    </row>
    <row r="14925" spans="1:12" x14ac:dyDescent="0.2">
      <c r="A14925" t="s">
        <v>210</v>
      </c>
      <c r="B14925" t="s">
        <v>71</v>
      </c>
      <c r="C14925" t="s">
        <v>72</v>
      </c>
      <c r="D14925">
        <v>9500</v>
      </c>
      <c r="E14925">
        <v>2021</v>
      </c>
      <c r="F14925">
        <v>10</v>
      </c>
      <c r="G14925">
        <v>11138</v>
      </c>
      <c r="H14925" s="1" t="s">
        <v>1839</v>
      </c>
      <c r="I14925">
        <v>2</v>
      </c>
      <c r="J14925">
        <f>IF($H14925=0,1,IF($I14925&lt;=1,2,0))</f>
        <v>0</v>
      </c>
      <c r="K14925">
        <v>5</v>
      </c>
      <c r="L14925">
        <f>IF(AND($J14925=0,$K14925=0),0,1)</f>
        <v>1</v>
      </c>
    </row>
    <row r="14926" spans="1:12" x14ac:dyDescent="0.2">
      <c r="A14926" t="s">
        <v>210</v>
      </c>
      <c r="B14926" t="s">
        <v>71</v>
      </c>
      <c r="C14926" t="s">
        <v>72</v>
      </c>
      <c r="D14926">
        <v>9500</v>
      </c>
      <c r="E14926">
        <v>2021</v>
      </c>
      <c r="F14926">
        <v>12</v>
      </c>
      <c r="G14926">
        <v>11140</v>
      </c>
      <c r="H14926" s="1" t="s">
        <v>1839</v>
      </c>
      <c r="I14926">
        <v>2</v>
      </c>
      <c r="J14926">
        <f>IF($H14926=0,1,IF($I14926&lt;=1,2,0))</f>
        <v>0</v>
      </c>
      <c r="K14926">
        <v>5</v>
      </c>
      <c r="L14926">
        <f>IF(AND($J14926=0,$K14926=0),0,1)</f>
        <v>1</v>
      </c>
    </row>
    <row r="14927" spans="1:12" x14ac:dyDescent="0.2">
      <c r="A14927" t="s">
        <v>210</v>
      </c>
      <c r="B14927" t="s">
        <v>71</v>
      </c>
      <c r="C14927" t="s">
        <v>72</v>
      </c>
      <c r="D14927">
        <v>9500</v>
      </c>
      <c r="E14927">
        <v>2021</v>
      </c>
      <c r="F14927">
        <v>14</v>
      </c>
      <c r="G14927">
        <v>11142</v>
      </c>
      <c r="H14927" s="1" t="s">
        <v>1839</v>
      </c>
      <c r="I14927">
        <v>2</v>
      </c>
      <c r="J14927">
        <f>IF($H14927=0,1,IF($I14927&lt;=1,2,0))</f>
        <v>0</v>
      </c>
      <c r="K14927">
        <v>5</v>
      </c>
      <c r="L14927">
        <f>IF(AND($J14927=0,$K14927=0),0,1)</f>
        <v>1</v>
      </c>
    </row>
    <row r="14928" spans="1:12" x14ac:dyDescent="0.2">
      <c r="A14928" t="s">
        <v>210</v>
      </c>
      <c r="B14928" t="s">
        <v>71</v>
      </c>
      <c r="C14928" t="s">
        <v>72</v>
      </c>
      <c r="D14928">
        <v>9500</v>
      </c>
      <c r="E14928">
        <v>2021</v>
      </c>
      <c r="F14928">
        <v>18</v>
      </c>
      <c r="G14928">
        <v>11146</v>
      </c>
      <c r="H14928" s="1" t="s">
        <v>1839</v>
      </c>
      <c r="I14928">
        <v>2</v>
      </c>
      <c r="J14928">
        <f>IF($H14928=0,1,IF($I14928&lt;=1,2,0))</f>
        <v>0</v>
      </c>
      <c r="K14928">
        <v>5</v>
      </c>
      <c r="L14928">
        <f>IF(AND($J14928=0,$K14928=0),0,1)</f>
        <v>1</v>
      </c>
    </row>
    <row r="14929" spans="1:13" x14ac:dyDescent="0.2">
      <c r="A14929" t="s">
        <v>210</v>
      </c>
      <c r="B14929" t="s">
        <v>71</v>
      </c>
      <c r="C14929" t="s">
        <v>72</v>
      </c>
      <c r="D14929">
        <v>9500</v>
      </c>
      <c r="E14929">
        <v>2021</v>
      </c>
      <c r="F14929">
        <v>7</v>
      </c>
      <c r="G14929">
        <v>11135</v>
      </c>
      <c r="H14929" s="1" t="s">
        <v>1839</v>
      </c>
      <c r="I14929">
        <v>1</v>
      </c>
      <c r="J14929">
        <f>IF($H14929=0,1,IF($I14929&lt;=1,2,0))</f>
        <v>2</v>
      </c>
      <c r="K14929">
        <v>5</v>
      </c>
      <c r="L14929">
        <f>IF(AND($J14929=0,$K14929=0),0,1)</f>
        <v>1</v>
      </c>
    </row>
    <row r="14930" spans="1:13" x14ac:dyDescent="0.2">
      <c r="A14930" t="s">
        <v>210</v>
      </c>
      <c r="B14930" t="s">
        <v>71</v>
      </c>
      <c r="C14930" t="s">
        <v>72</v>
      </c>
      <c r="D14930">
        <v>9500</v>
      </c>
      <c r="E14930">
        <v>2021</v>
      </c>
      <c r="F14930">
        <v>11</v>
      </c>
      <c r="G14930">
        <v>11139</v>
      </c>
      <c r="H14930" s="1" t="s">
        <v>1839</v>
      </c>
      <c r="I14930">
        <v>1</v>
      </c>
      <c r="J14930">
        <f>IF($H14930=0,1,IF($I14930&lt;=1,2,0))</f>
        <v>2</v>
      </c>
      <c r="K14930">
        <v>5</v>
      </c>
      <c r="L14930">
        <f>IF(AND($J14930=0,$K14930=0),0,1)</f>
        <v>1</v>
      </c>
    </row>
    <row r="14931" spans="1:13" x14ac:dyDescent="0.2">
      <c r="A14931" t="s">
        <v>210</v>
      </c>
      <c r="B14931" t="s">
        <v>71</v>
      </c>
      <c r="C14931" t="s">
        <v>72</v>
      </c>
      <c r="D14931">
        <v>9500</v>
      </c>
      <c r="E14931">
        <v>2021</v>
      </c>
      <c r="F14931">
        <v>15</v>
      </c>
      <c r="G14931">
        <v>11143</v>
      </c>
      <c r="H14931" s="1" t="s">
        <v>1839</v>
      </c>
      <c r="I14931">
        <v>1</v>
      </c>
      <c r="J14931">
        <f>IF($H14931=0,1,IF($I14931&lt;=1,2,0))</f>
        <v>2</v>
      </c>
      <c r="K14931">
        <v>5</v>
      </c>
      <c r="L14931">
        <f>IF(AND($J14931=0,$K14931=0),0,1)</f>
        <v>1</v>
      </c>
    </row>
    <row r="14932" spans="1:13" x14ac:dyDescent="0.2">
      <c r="A14932" t="s">
        <v>210</v>
      </c>
      <c r="B14932" t="s">
        <v>71</v>
      </c>
      <c r="C14932" t="s">
        <v>72</v>
      </c>
      <c r="D14932">
        <v>9500</v>
      </c>
      <c r="E14932">
        <v>2021</v>
      </c>
      <c r="F14932">
        <v>16</v>
      </c>
      <c r="G14932">
        <v>11144</v>
      </c>
      <c r="H14932" s="1" t="s">
        <v>1839</v>
      </c>
      <c r="I14932">
        <v>1</v>
      </c>
      <c r="J14932">
        <f>IF($H14932=0,1,IF($I14932&lt;=1,2,0))</f>
        <v>2</v>
      </c>
      <c r="K14932">
        <v>5</v>
      </c>
      <c r="L14932">
        <f>IF(AND($J14932=0,$K14932=0),0,1)</f>
        <v>1</v>
      </c>
    </row>
    <row r="14933" spans="1:13" x14ac:dyDescent="0.2">
      <c r="A14933" t="s">
        <v>210</v>
      </c>
      <c r="B14933" t="s">
        <v>71</v>
      </c>
      <c r="C14933" t="s">
        <v>72</v>
      </c>
      <c r="D14933">
        <v>9500</v>
      </c>
      <c r="E14933">
        <v>2021</v>
      </c>
      <c r="F14933">
        <v>19</v>
      </c>
      <c r="G14933">
        <v>11147</v>
      </c>
      <c r="H14933" s="1" t="s">
        <v>1839</v>
      </c>
      <c r="I14933">
        <v>1</v>
      </c>
      <c r="J14933">
        <f>IF($H14933=0,1,IF($I14933&lt;=1,2,0))</f>
        <v>2</v>
      </c>
      <c r="K14933">
        <v>5</v>
      </c>
      <c r="L14933">
        <f>IF(AND($J14933=0,$K14933=0),0,1)</f>
        <v>1</v>
      </c>
    </row>
    <row r="14934" spans="1:13" x14ac:dyDescent="0.2">
      <c r="A14934" t="s">
        <v>210</v>
      </c>
      <c r="B14934" t="s">
        <v>71</v>
      </c>
      <c r="C14934" t="s">
        <v>72</v>
      </c>
      <c r="D14934">
        <v>9500</v>
      </c>
      <c r="E14934">
        <v>2021</v>
      </c>
      <c r="F14934">
        <v>5</v>
      </c>
      <c r="G14934">
        <v>11133</v>
      </c>
      <c r="H14934" s="1" t="s">
        <v>1839</v>
      </c>
      <c r="I14934">
        <v>0</v>
      </c>
      <c r="J14934">
        <f>IF($H14934=0,1,IF($I14934&lt;=1,2,0))</f>
        <v>2</v>
      </c>
      <c r="K14934">
        <v>5</v>
      </c>
      <c r="L14934">
        <f>IF(AND($J14934=0,$K14934=0),0,1)</f>
        <v>1</v>
      </c>
    </row>
    <row r="14935" spans="1:13" x14ac:dyDescent="0.2">
      <c r="A14935" t="s">
        <v>210</v>
      </c>
      <c r="B14935" t="s">
        <v>71</v>
      </c>
      <c r="C14935" t="s">
        <v>72</v>
      </c>
      <c r="D14935">
        <v>9500</v>
      </c>
      <c r="E14935">
        <v>2021</v>
      </c>
      <c r="F14935">
        <v>8</v>
      </c>
      <c r="G14935">
        <v>11136</v>
      </c>
      <c r="H14935" s="1" t="s">
        <v>1839</v>
      </c>
      <c r="I14935">
        <v>0</v>
      </c>
      <c r="J14935">
        <f>IF($H14935=0,1,IF($I14935&lt;=1,2,0))</f>
        <v>2</v>
      </c>
      <c r="K14935">
        <v>5</v>
      </c>
      <c r="L14935">
        <f>IF(AND($J14935=0,$K14935=0),0,1)</f>
        <v>1</v>
      </c>
    </row>
    <row r="14936" spans="1:13" x14ac:dyDescent="0.2">
      <c r="A14936" t="s">
        <v>218</v>
      </c>
      <c r="B14936" t="s">
        <v>71</v>
      </c>
      <c r="C14936" t="s">
        <v>72</v>
      </c>
      <c r="D14936">
        <v>1</v>
      </c>
      <c r="E14936">
        <v>2021</v>
      </c>
      <c r="F14936">
        <v>1</v>
      </c>
      <c r="G14936">
        <v>18260</v>
      </c>
      <c r="H14936" s="1">
        <v>0</v>
      </c>
      <c r="I14936">
        <v>4</v>
      </c>
      <c r="J14936">
        <f>IF($H14936=0,1,IF($I14936&lt;=1,2,0))</f>
        <v>1</v>
      </c>
      <c r="K14936">
        <v>0</v>
      </c>
      <c r="L14936">
        <f>IF(AND($J14936=0,$K14936=0),0,1)</f>
        <v>1</v>
      </c>
    </row>
    <row r="14937" spans="1:13" x14ac:dyDescent="0.2">
      <c r="A14937" t="s">
        <v>218</v>
      </c>
      <c r="B14937" t="s">
        <v>71</v>
      </c>
      <c r="C14937" t="s">
        <v>72</v>
      </c>
      <c r="D14937">
        <v>2</v>
      </c>
      <c r="E14937">
        <v>2021</v>
      </c>
      <c r="F14937">
        <v>1</v>
      </c>
      <c r="G14937">
        <v>18261</v>
      </c>
      <c r="H14937" s="1">
        <v>0</v>
      </c>
      <c r="I14937">
        <v>8</v>
      </c>
      <c r="J14937">
        <f>IF($H14937=0,1,IF($I14937&lt;=1,2,0))</f>
        <v>1</v>
      </c>
      <c r="K14937">
        <v>0</v>
      </c>
      <c r="L14937">
        <f>IF(AND($J14937=0,$K14937=0),0,1)</f>
        <v>1</v>
      </c>
    </row>
    <row r="14938" spans="1:13" x14ac:dyDescent="0.2">
      <c r="A14938" t="s">
        <v>218</v>
      </c>
      <c r="B14938" t="s">
        <v>71</v>
      </c>
      <c r="C14938" t="s">
        <v>72</v>
      </c>
      <c r="D14938">
        <v>3</v>
      </c>
      <c r="E14938">
        <v>2021</v>
      </c>
      <c r="F14938">
        <v>1</v>
      </c>
      <c r="G14938">
        <v>18262</v>
      </c>
      <c r="H14938" s="1">
        <v>0</v>
      </c>
      <c r="I14938">
        <v>2</v>
      </c>
      <c r="J14938">
        <f>IF($H14938=0,1,IF($I14938&lt;=1,2,0))</f>
        <v>1</v>
      </c>
      <c r="K14938">
        <v>0</v>
      </c>
      <c r="L14938">
        <f>IF(AND($J14938=0,$K14938=0),0,1)</f>
        <v>1</v>
      </c>
    </row>
    <row r="14939" spans="1:13" x14ac:dyDescent="0.2">
      <c r="A14939" t="s">
        <v>218</v>
      </c>
      <c r="B14939" t="s">
        <v>71</v>
      </c>
      <c r="C14939" t="s">
        <v>72</v>
      </c>
      <c r="D14939">
        <v>3303</v>
      </c>
      <c r="E14939">
        <v>2021</v>
      </c>
      <c r="F14939">
        <v>5</v>
      </c>
      <c r="G14939">
        <v>20242</v>
      </c>
      <c r="H14939" s="1" t="s">
        <v>1827</v>
      </c>
      <c r="I14939">
        <v>1</v>
      </c>
      <c r="J14939">
        <f>IF($H14939=0,1,IF($I14939&lt;=1,2,0))</f>
        <v>2</v>
      </c>
      <c r="K14939">
        <v>0</v>
      </c>
      <c r="L14939">
        <f>IF(AND($J14939=0,$K14939=0),0,1)</f>
        <v>1</v>
      </c>
      <c r="M14939" t="s">
        <v>1452</v>
      </c>
    </row>
    <row r="14940" spans="1:13" x14ac:dyDescent="0.2">
      <c r="A14940" t="s">
        <v>218</v>
      </c>
      <c r="B14940" t="s">
        <v>71</v>
      </c>
      <c r="C14940" t="s">
        <v>72</v>
      </c>
      <c r="D14940">
        <v>3303</v>
      </c>
      <c r="E14940">
        <v>2021</v>
      </c>
      <c r="F14940">
        <v>8</v>
      </c>
      <c r="G14940">
        <v>20245</v>
      </c>
      <c r="H14940" s="1" t="s">
        <v>1827</v>
      </c>
      <c r="I14940">
        <v>1</v>
      </c>
      <c r="J14940">
        <f>IF($H14940=0,1,IF($I14940&lt;=1,2,0))</f>
        <v>2</v>
      </c>
      <c r="K14940">
        <v>0</v>
      </c>
      <c r="L14940">
        <f>IF(AND($J14940=0,$K14940=0),0,1)</f>
        <v>1</v>
      </c>
      <c r="M14940" t="s">
        <v>1452</v>
      </c>
    </row>
    <row r="14941" spans="1:13" x14ac:dyDescent="0.2">
      <c r="A14941" t="s">
        <v>218</v>
      </c>
      <c r="B14941" t="s">
        <v>71</v>
      </c>
      <c r="C14941" t="s">
        <v>72</v>
      </c>
      <c r="D14941">
        <v>3303</v>
      </c>
      <c r="E14941">
        <v>2021</v>
      </c>
      <c r="F14941">
        <v>9</v>
      </c>
      <c r="G14941">
        <v>20246</v>
      </c>
      <c r="H14941" s="1" t="s">
        <v>1827</v>
      </c>
      <c r="I14941">
        <v>1</v>
      </c>
      <c r="J14941">
        <f>IF($H14941=0,1,IF($I14941&lt;=1,2,0))</f>
        <v>2</v>
      </c>
      <c r="K14941">
        <v>0</v>
      </c>
      <c r="L14941">
        <f>IF(AND($J14941=0,$K14941=0),0,1)</f>
        <v>1</v>
      </c>
      <c r="M14941" t="s">
        <v>1452</v>
      </c>
    </row>
    <row r="14942" spans="1:13" x14ac:dyDescent="0.2">
      <c r="A14942" t="s">
        <v>218</v>
      </c>
      <c r="B14942" t="s">
        <v>71</v>
      </c>
      <c r="C14942" t="s">
        <v>72</v>
      </c>
      <c r="D14942">
        <v>3303</v>
      </c>
      <c r="E14942">
        <v>2021</v>
      </c>
      <c r="F14942">
        <v>13</v>
      </c>
      <c r="G14942">
        <v>20250</v>
      </c>
      <c r="H14942" s="1" t="s">
        <v>1827</v>
      </c>
      <c r="I14942">
        <v>1</v>
      </c>
      <c r="J14942">
        <f>IF($H14942=0,1,IF($I14942&lt;=1,2,0))</f>
        <v>2</v>
      </c>
      <c r="K14942">
        <v>0</v>
      </c>
      <c r="L14942">
        <f>IF(AND($J14942=0,$K14942=0),0,1)</f>
        <v>1</v>
      </c>
      <c r="M14942" t="s">
        <v>1452</v>
      </c>
    </row>
    <row r="14943" spans="1:13" x14ac:dyDescent="0.2">
      <c r="A14943" t="s">
        <v>218</v>
      </c>
      <c r="B14943" t="s">
        <v>71</v>
      </c>
      <c r="C14943" t="s">
        <v>72</v>
      </c>
      <c r="D14943">
        <v>3303</v>
      </c>
      <c r="E14943">
        <v>2021</v>
      </c>
      <c r="F14943">
        <v>16</v>
      </c>
      <c r="G14943">
        <v>20794</v>
      </c>
      <c r="H14943" s="1" t="s">
        <v>1827</v>
      </c>
      <c r="I14943">
        <v>1</v>
      </c>
      <c r="J14943">
        <f>IF($H14943=0,1,IF($I14943&lt;=1,2,0))</f>
        <v>2</v>
      </c>
      <c r="K14943">
        <v>0</v>
      </c>
      <c r="L14943">
        <f>IF(AND($J14943=0,$K14943=0),0,1)</f>
        <v>1</v>
      </c>
      <c r="M14943" t="s">
        <v>1452</v>
      </c>
    </row>
    <row r="14944" spans="1:13" x14ac:dyDescent="0.2">
      <c r="A14944" t="s">
        <v>218</v>
      </c>
      <c r="B14944" t="s">
        <v>71</v>
      </c>
      <c r="C14944" t="s">
        <v>72</v>
      </c>
      <c r="D14944">
        <v>3303</v>
      </c>
      <c r="E14944">
        <v>2021</v>
      </c>
      <c r="F14944">
        <v>1</v>
      </c>
      <c r="G14944">
        <v>20238</v>
      </c>
      <c r="H14944" s="1" t="s">
        <v>1827</v>
      </c>
      <c r="I14944">
        <v>0</v>
      </c>
      <c r="J14944">
        <f>IF($H14944=0,1,IF($I14944&lt;=1,2,0))</f>
        <v>2</v>
      </c>
      <c r="K14944">
        <v>0</v>
      </c>
      <c r="L14944">
        <f>IF(AND($J14944=0,$K14944=0),0,1)</f>
        <v>1</v>
      </c>
      <c r="M14944" t="s">
        <v>1452</v>
      </c>
    </row>
    <row r="14945" spans="1:13" x14ac:dyDescent="0.2">
      <c r="A14945" t="s">
        <v>218</v>
      </c>
      <c r="B14945" t="s">
        <v>71</v>
      </c>
      <c r="C14945" t="s">
        <v>72</v>
      </c>
      <c r="D14945">
        <v>3303</v>
      </c>
      <c r="E14945">
        <v>2021</v>
      </c>
      <c r="F14945">
        <v>2</v>
      </c>
      <c r="G14945">
        <v>20239</v>
      </c>
      <c r="H14945" s="1" t="s">
        <v>1827</v>
      </c>
      <c r="I14945">
        <v>0</v>
      </c>
      <c r="J14945">
        <f>IF($H14945=0,1,IF($I14945&lt;=1,2,0))</f>
        <v>2</v>
      </c>
      <c r="K14945">
        <v>0</v>
      </c>
      <c r="L14945">
        <f>IF(AND($J14945=0,$K14945=0),0,1)</f>
        <v>1</v>
      </c>
      <c r="M14945" t="s">
        <v>1452</v>
      </c>
    </row>
    <row r="14946" spans="1:13" x14ac:dyDescent="0.2">
      <c r="A14946" t="s">
        <v>218</v>
      </c>
      <c r="B14946" t="s">
        <v>71</v>
      </c>
      <c r="C14946" t="s">
        <v>72</v>
      </c>
      <c r="D14946">
        <v>3303</v>
      </c>
      <c r="E14946">
        <v>2021</v>
      </c>
      <c r="F14946">
        <v>3</v>
      </c>
      <c r="G14946">
        <v>20240</v>
      </c>
      <c r="H14946" s="1" t="s">
        <v>1827</v>
      </c>
      <c r="I14946">
        <v>0</v>
      </c>
      <c r="J14946">
        <f>IF($H14946=0,1,IF($I14946&lt;=1,2,0))</f>
        <v>2</v>
      </c>
      <c r="K14946">
        <v>0</v>
      </c>
      <c r="L14946">
        <f>IF(AND($J14946=0,$K14946=0),0,1)</f>
        <v>1</v>
      </c>
      <c r="M14946" t="s">
        <v>1452</v>
      </c>
    </row>
    <row r="14947" spans="1:13" x14ac:dyDescent="0.2">
      <c r="A14947" t="s">
        <v>218</v>
      </c>
      <c r="B14947" t="s">
        <v>71</v>
      </c>
      <c r="C14947" t="s">
        <v>72</v>
      </c>
      <c r="D14947">
        <v>3303</v>
      </c>
      <c r="E14947">
        <v>2021</v>
      </c>
      <c r="F14947">
        <v>4</v>
      </c>
      <c r="G14947">
        <v>20241</v>
      </c>
      <c r="H14947" s="1" t="s">
        <v>1827</v>
      </c>
      <c r="I14947">
        <v>0</v>
      </c>
      <c r="J14947">
        <f>IF($H14947=0,1,IF($I14947&lt;=1,2,0))</f>
        <v>2</v>
      </c>
      <c r="K14947">
        <v>0</v>
      </c>
      <c r="L14947">
        <f>IF(AND($J14947=0,$K14947=0),0,1)</f>
        <v>1</v>
      </c>
      <c r="M14947" t="s">
        <v>1452</v>
      </c>
    </row>
    <row r="14948" spans="1:13" x14ac:dyDescent="0.2">
      <c r="A14948" t="s">
        <v>218</v>
      </c>
      <c r="B14948" t="s">
        <v>71</v>
      </c>
      <c r="C14948" t="s">
        <v>72</v>
      </c>
      <c r="D14948">
        <v>3303</v>
      </c>
      <c r="E14948">
        <v>2021</v>
      </c>
      <c r="F14948">
        <v>6</v>
      </c>
      <c r="G14948">
        <v>20243</v>
      </c>
      <c r="H14948" s="1" t="s">
        <v>1827</v>
      </c>
      <c r="I14948">
        <v>0</v>
      </c>
      <c r="J14948">
        <f>IF($H14948=0,1,IF($I14948&lt;=1,2,0))</f>
        <v>2</v>
      </c>
      <c r="K14948">
        <v>0</v>
      </c>
      <c r="L14948">
        <f>IF(AND($J14948=0,$K14948=0),0,1)</f>
        <v>1</v>
      </c>
      <c r="M14948" t="s">
        <v>1452</v>
      </c>
    </row>
    <row r="14949" spans="1:13" x14ac:dyDescent="0.2">
      <c r="A14949" t="s">
        <v>218</v>
      </c>
      <c r="B14949" t="s">
        <v>71</v>
      </c>
      <c r="C14949" t="s">
        <v>72</v>
      </c>
      <c r="D14949">
        <v>3303</v>
      </c>
      <c r="E14949">
        <v>2021</v>
      </c>
      <c r="F14949">
        <v>7</v>
      </c>
      <c r="G14949">
        <v>20244</v>
      </c>
      <c r="H14949" s="1" t="s">
        <v>1827</v>
      </c>
      <c r="I14949">
        <v>0</v>
      </c>
      <c r="J14949">
        <f>IF($H14949=0,1,IF($I14949&lt;=1,2,0))</f>
        <v>2</v>
      </c>
      <c r="K14949">
        <v>0</v>
      </c>
      <c r="L14949">
        <f>IF(AND($J14949=0,$K14949=0),0,1)</f>
        <v>1</v>
      </c>
      <c r="M14949" t="s">
        <v>1452</v>
      </c>
    </row>
    <row r="14950" spans="1:13" x14ac:dyDescent="0.2">
      <c r="A14950" t="s">
        <v>218</v>
      </c>
      <c r="B14950" t="s">
        <v>71</v>
      </c>
      <c r="C14950" t="s">
        <v>72</v>
      </c>
      <c r="D14950">
        <v>3303</v>
      </c>
      <c r="E14950">
        <v>2021</v>
      </c>
      <c r="F14950">
        <v>10</v>
      </c>
      <c r="G14950">
        <v>20247</v>
      </c>
      <c r="H14950" s="1" t="s">
        <v>1827</v>
      </c>
      <c r="I14950">
        <v>0</v>
      </c>
      <c r="J14950">
        <f>IF($H14950=0,1,IF($I14950&lt;=1,2,0))</f>
        <v>2</v>
      </c>
      <c r="K14950">
        <v>0</v>
      </c>
      <c r="L14950">
        <f>IF(AND($J14950=0,$K14950=0),0,1)</f>
        <v>1</v>
      </c>
      <c r="M14950" t="s">
        <v>1452</v>
      </c>
    </row>
    <row r="14951" spans="1:13" x14ac:dyDescent="0.2">
      <c r="A14951" t="s">
        <v>218</v>
      </c>
      <c r="B14951" t="s">
        <v>71</v>
      </c>
      <c r="C14951" t="s">
        <v>72</v>
      </c>
      <c r="D14951">
        <v>3303</v>
      </c>
      <c r="E14951">
        <v>2021</v>
      </c>
      <c r="F14951">
        <v>11</v>
      </c>
      <c r="G14951">
        <v>20248</v>
      </c>
      <c r="H14951" s="1" t="s">
        <v>1827</v>
      </c>
      <c r="I14951">
        <v>0</v>
      </c>
      <c r="J14951">
        <f>IF($H14951=0,1,IF($I14951&lt;=1,2,0))</f>
        <v>2</v>
      </c>
      <c r="K14951">
        <v>0</v>
      </c>
      <c r="L14951">
        <f>IF(AND($J14951=0,$K14951=0),0,1)</f>
        <v>1</v>
      </c>
      <c r="M14951" t="s">
        <v>1452</v>
      </c>
    </row>
    <row r="14952" spans="1:13" x14ac:dyDescent="0.2">
      <c r="A14952" t="s">
        <v>218</v>
      </c>
      <c r="B14952" t="s">
        <v>71</v>
      </c>
      <c r="C14952" t="s">
        <v>72</v>
      </c>
      <c r="D14952">
        <v>3303</v>
      </c>
      <c r="E14952">
        <v>2021</v>
      </c>
      <c r="F14952">
        <v>12</v>
      </c>
      <c r="G14952">
        <v>20249</v>
      </c>
      <c r="H14952" s="1" t="s">
        <v>1827</v>
      </c>
      <c r="I14952">
        <v>0</v>
      </c>
      <c r="J14952">
        <f>IF($H14952=0,1,IF($I14952&lt;=1,2,0))</f>
        <v>2</v>
      </c>
      <c r="K14952">
        <v>0</v>
      </c>
      <c r="L14952">
        <f>IF(AND($J14952=0,$K14952=0),0,1)</f>
        <v>1</v>
      </c>
      <c r="M14952" t="s">
        <v>1452</v>
      </c>
    </row>
    <row r="14953" spans="1:13" x14ac:dyDescent="0.2">
      <c r="A14953" t="s">
        <v>218</v>
      </c>
      <c r="B14953" t="s">
        <v>71</v>
      </c>
      <c r="C14953" t="s">
        <v>72</v>
      </c>
      <c r="D14953">
        <v>3303</v>
      </c>
      <c r="E14953">
        <v>2021</v>
      </c>
      <c r="F14953">
        <v>14</v>
      </c>
      <c r="G14953">
        <v>20251</v>
      </c>
      <c r="H14953" s="1" t="s">
        <v>1827</v>
      </c>
      <c r="I14953">
        <v>0</v>
      </c>
      <c r="J14953">
        <f>IF($H14953=0,1,IF($I14953&lt;=1,2,0))</f>
        <v>2</v>
      </c>
      <c r="K14953">
        <v>0</v>
      </c>
      <c r="L14953">
        <f>IF(AND($J14953=0,$K14953=0),0,1)</f>
        <v>1</v>
      </c>
      <c r="M14953" t="s">
        <v>1452</v>
      </c>
    </row>
    <row r="14954" spans="1:13" x14ac:dyDescent="0.2">
      <c r="A14954" t="s">
        <v>218</v>
      </c>
      <c r="B14954" t="s">
        <v>71</v>
      </c>
      <c r="C14954" t="s">
        <v>72</v>
      </c>
      <c r="D14954">
        <v>3303</v>
      </c>
      <c r="E14954">
        <v>2021</v>
      </c>
      <c r="F14954">
        <v>15</v>
      </c>
      <c r="G14954">
        <v>20252</v>
      </c>
      <c r="H14954" s="1" t="s">
        <v>1827</v>
      </c>
      <c r="I14954">
        <v>0</v>
      </c>
      <c r="J14954">
        <f>IF($H14954=0,1,IF($I14954&lt;=1,2,0))</f>
        <v>2</v>
      </c>
      <c r="K14954">
        <v>0</v>
      </c>
      <c r="L14954">
        <f>IF(AND($J14954=0,$K14954=0),0,1)</f>
        <v>1</v>
      </c>
      <c r="M14954" t="s">
        <v>1452</v>
      </c>
    </row>
    <row r="14955" spans="1:13" x14ac:dyDescent="0.2">
      <c r="A14955" t="s">
        <v>218</v>
      </c>
      <c r="B14955" t="s">
        <v>71</v>
      </c>
      <c r="C14955" t="s">
        <v>72</v>
      </c>
      <c r="D14955">
        <v>3304</v>
      </c>
      <c r="E14955">
        <v>2021</v>
      </c>
      <c r="F14955">
        <v>1</v>
      </c>
      <c r="G14955">
        <v>20253</v>
      </c>
      <c r="H14955" s="1" t="s">
        <v>1827</v>
      </c>
      <c r="I14955">
        <v>0</v>
      </c>
      <c r="J14955">
        <f>IF($H14955=0,1,IF($I14955&lt;=1,2,0))</f>
        <v>2</v>
      </c>
      <c r="K14955">
        <v>0</v>
      </c>
      <c r="L14955">
        <f>IF(AND($J14955=0,$K14955=0),0,1)</f>
        <v>1</v>
      </c>
      <c r="M14955" t="s">
        <v>1452</v>
      </c>
    </row>
    <row r="14956" spans="1:13" x14ac:dyDescent="0.2">
      <c r="A14956" t="s">
        <v>218</v>
      </c>
      <c r="B14956" t="s">
        <v>71</v>
      </c>
      <c r="C14956" t="s">
        <v>72</v>
      </c>
      <c r="D14956">
        <v>3304</v>
      </c>
      <c r="E14956">
        <v>2021</v>
      </c>
      <c r="F14956">
        <v>2</v>
      </c>
      <c r="G14956">
        <v>20254</v>
      </c>
      <c r="H14956" s="1" t="s">
        <v>1827</v>
      </c>
      <c r="I14956">
        <v>0</v>
      </c>
      <c r="J14956">
        <f>IF($H14956=0,1,IF($I14956&lt;=1,2,0))</f>
        <v>2</v>
      </c>
      <c r="K14956">
        <v>0</v>
      </c>
      <c r="L14956">
        <f>IF(AND($J14956=0,$K14956=0),0,1)</f>
        <v>1</v>
      </c>
      <c r="M14956" t="s">
        <v>1452</v>
      </c>
    </row>
    <row r="14957" spans="1:13" x14ac:dyDescent="0.2">
      <c r="A14957" t="s">
        <v>218</v>
      </c>
      <c r="B14957" t="s">
        <v>71</v>
      </c>
      <c r="C14957" t="s">
        <v>72</v>
      </c>
      <c r="D14957">
        <v>3304</v>
      </c>
      <c r="E14957">
        <v>2021</v>
      </c>
      <c r="F14957">
        <v>3</v>
      </c>
      <c r="G14957">
        <v>20255</v>
      </c>
      <c r="H14957" s="1" t="s">
        <v>1827</v>
      </c>
      <c r="I14957">
        <v>0</v>
      </c>
      <c r="J14957">
        <f>IF($H14957=0,1,IF($I14957&lt;=1,2,0))</f>
        <v>2</v>
      </c>
      <c r="K14957">
        <v>0</v>
      </c>
      <c r="L14957">
        <f>IF(AND($J14957=0,$K14957=0),0,1)</f>
        <v>1</v>
      </c>
      <c r="M14957" t="s">
        <v>1452</v>
      </c>
    </row>
    <row r="14958" spans="1:13" x14ac:dyDescent="0.2">
      <c r="A14958" t="s">
        <v>218</v>
      </c>
      <c r="B14958" t="s">
        <v>71</v>
      </c>
      <c r="C14958" t="s">
        <v>72</v>
      </c>
      <c r="D14958">
        <v>3304</v>
      </c>
      <c r="E14958">
        <v>2021</v>
      </c>
      <c r="F14958">
        <v>4</v>
      </c>
      <c r="G14958">
        <v>20256</v>
      </c>
      <c r="H14958" s="1" t="s">
        <v>1827</v>
      </c>
      <c r="I14958">
        <v>0</v>
      </c>
      <c r="J14958">
        <f>IF($H14958=0,1,IF($I14958&lt;=1,2,0))</f>
        <v>2</v>
      </c>
      <c r="K14958">
        <v>0</v>
      </c>
      <c r="L14958">
        <f>IF(AND($J14958=0,$K14958=0),0,1)</f>
        <v>1</v>
      </c>
      <c r="M14958" t="s">
        <v>1452</v>
      </c>
    </row>
    <row r="14959" spans="1:13" x14ac:dyDescent="0.2">
      <c r="A14959" t="s">
        <v>218</v>
      </c>
      <c r="B14959" t="s">
        <v>71</v>
      </c>
      <c r="C14959" t="s">
        <v>72</v>
      </c>
      <c r="D14959">
        <v>3304</v>
      </c>
      <c r="E14959">
        <v>2021</v>
      </c>
      <c r="F14959">
        <v>6</v>
      </c>
      <c r="G14959">
        <v>20258</v>
      </c>
      <c r="H14959" s="1" t="s">
        <v>1827</v>
      </c>
      <c r="I14959">
        <v>0</v>
      </c>
      <c r="J14959">
        <f>IF($H14959=0,1,IF($I14959&lt;=1,2,0))</f>
        <v>2</v>
      </c>
      <c r="K14959">
        <v>0</v>
      </c>
      <c r="L14959">
        <f>IF(AND($J14959=0,$K14959=0),0,1)</f>
        <v>1</v>
      </c>
      <c r="M14959" t="s">
        <v>1452</v>
      </c>
    </row>
    <row r="14960" spans="1:13" x14ac:dyDescent="0.2">
      <c r="A14960" t="s">
        <v>218</v>
      </c>
      <c r="B14960" t="s">
        <v>71</v>
      </c>
      <c r="C14960" t="s">
        <v>72</v>
      </c>
      <c r="D14960">
        <v>3304</v>
      </c>
      <c r="E14960">
        <v>2021</v>
      </c>
      <c r="F14960">
        <v>7</v>
      </c>
      <c r="G14960">
        <v>20259</v>
      </c>
      <c r="H14960" s="1" t="s">
        <v>1827</v>
      </c>
      <c r="I14960">
        <v>0</v>
      </c>
      <c r="J14960">
        <f>IF($H14960=0,1,IF($I14960&lt;=1,2,0))</f>
        <v>2</v>
      </c>
      <c r="K14960">
        <v>0</v>
      </c>
      <c r="L14960">
        <f>IF(AND($J14960=0,$K14960=0),0,1)</f>
        <v>1</v>
      </c>
      <c r="M14960" t="s">
        <v>1452</v>
      </c>
    </row>
    <row r="14961" spans="1:13" x14ac:dyDescent="0.2">
      <c r="A14961" t="s">
        <v>218</v>
      </c>
      <c r="B14961" t="s">
        <v>71</v>
      </c>
      <c r="C14961" t="s">
        <v>72</v>
      </c>
      <c r="D14961">
        <v>3304</v>
      </c>
      <c r="E14961">
        <v>2021</v>
      </c>
      <c r="F14961">
        <v>8</v>
      </c>
      <c r="G14961">
        <v>20260</v>
      </c>
      <c r="H14961" s="1" t="s">
        <v>1827</v>
      </c>
      <c r="I14961">
        <v>0</v>
      </c>
      <c r="J14961">
        <f>IF($H14961=0,1,IF($I14961&lt;=1,2,0))</f>
        <v>2</v>
      </c>
      <c r="K14961">
        <v>0</v>
      </c>
      <c r="L14961">
        <f>IF(AND($J14961=0,$K14961=0),0,1)</f>
        <v>1</v>
      </c>
      <c r="M14961" t="s">
        <v>1452</v>
      </c>
    </row>
    <row r="14962" spans="1:13" x14ac:dyDescent="0.2">
      <c r="A14962" t="s">
        <v>218</v>
      </c>
      <c r="B14962" t="s">
        <v>71</v>
      </c>
      <c r="C14962" t="s">
        <v>72</v>
      </c>
      <c r="D14962">
        <v>3304</v>
      </c>
      <c r="E14962">
        <v>2021</v>
      </c>
      <c r="F14962">
        <v>10</v>
      </c>
      <c r="G14962">
        <v>20262</v>
      </c>
      <c r="H14962" s="1" t="s">
        <v>1827</v>
      </c>
      <c r="I14962">
        <v>0</v>
      </c>
      <c r="J14962">
        <f>IF($H14962=0,1,IF($I14962&lt;=1,2,0))</f>
        <v>2</v>
      </c>
      <c r="K14962">
        <v>0</v>
      </c>
      <c r="L14962">
        <f>IF(AND($J14962=0,$K14962=0),0,1)</f>
        <v>1</v>
      </c>
      <c r="M14962" t="s">
        <v>1452</v>
      </c>
    </row>
    <row r="14963" spans="1:13" x14ac:dyDescent="0.2">
      <c r="A14963" t="s">
        <v>218</v>
      </c>
      <c r="B14963" t="s">
        <v>71</v>
      </c>
      <c r="C14963" t="s">
        <v>72</v>
      </c>
      <c r="D14963">
        <v>3304</v>
      </c>
      <c r="E14963">
        <v>2021</v>
      </c>
      <c r="F14963">
        <v>11</v>
      </c>
      <c r="G14963">
        <v>20263</v>
      </c>
      <c r="H14963" s="1" t="s">
        <v>1827</v>
      </c>
      <c r="I14963">
        <v>0</v>
      </c>
      <c r="J14963">
        <f>IF($H14963=0,1,IF($I14963&lt;=1,2,0))</f>
        <v>2</v>
      </c>
      <c r="K14963">
        <v>0</v>
      </c>
      <c r="L14963">
        <f>IF(AND($J14963=0,$K14963=0),0,1)</f>
        <v>1</v>
      </c>
      <c r="M14963" t="s">
        <v>1452</v>
      </c>
    </row>
    <row r="14964" spans="1:13" x14ac:dyDescent="0.2">
      <c r="A14964" t="s">
        <v>218</v>
      </c>
      <c r="B14964" t="s">
        <v>71</v>
      </c>
      <c r="C14964" t="s">
        <v>72</v>
      </c>
      <c r="D14964">
        <v>3304</v>
      </c>
      <c r="E14964">
        <v>2021</v>
      </c>
      <c r="F14964">
        <v>12</v>
      </c>
      <c r="G14964">
        <v>20264</v>
      </c>
      <c r="H14964" s="1" t="s">
        <v>1827</v>
      </c>
      <c r="I14964">
        <v>0</v>
      </c>
      <c r="J14964">
        <f>IF($H14964=0,1,IF($I14964&lt;=1,2,0))</f>
        <v>2</v>
      </c>
      <c r="K14964">
        <v>0</v>
      </c>
      <c r="L14964">
        <f>IF(AND($J14964=0,$K14964=0),0,1)</f>
        <v>1</v>
      </c>
      <c r="M14964" t="s">
        <v>1452</v>
      </c>
    </row>
    <row r="14965" spans="1:13" x14ac:dyDescent="0.2">
      <c r="A14965" t="s">
        <v>218</v>
      </c>
      <c r="B14965" t="s">
        <v>71</v>
      </c>
      <c r="C14965" t="s">
        <v>72</v>
      </c>
      <c r="D14965">
        <v>3304</v>
      </c>
      <c r="E14965">
        <v>2021</v>
      </c>
      <c r="F14965">
        <v>13</v>
      </c>
      <c r="G14965">
        <v>20265</v>
      </c>
      <c r="H14965" s="1" t="s">
        <v>1827</v>
      </c>
      <c r="I14965">
        <v>0</v>
      </c>
      <c r="J14965">
        <f>IF($H14965=0,1,IF($I14965&lt;=1,2,0))</f>
        <v>2</v>
      </c>
      <c r="K14965">
        <v>0</v>
      </c>
      <c r="L14965">
        <f>IF(AND($J14965=0,$K14965=0),0,1)</f>
        <v>1</v>
      </c>
      <c r="M14965" t="s">
        <v>1452</v>
      </c>
    </row>
    <row r="14966" spans="1:13" x14ac:dyDescent="0.2">
      <c r="A14966" t="s">
        <v>218</v>
      </c>
      <c r="B14966" t="s">
        <v>71</v>
      </c>
      <c r="C14966" t="s">
        <v>72</v>
      </c>
      <c r="D14966">
        <v>3304</v>
      </c>
      <c r="E14966">
        <v>2021</v>
      </c>
      <c r="F14966">
        <v>14</v>
      </c>
      <c r="G14966">
        <v>20266</v>
      </c>
      <c r="H14966" s="1" t="s">
        <v>1827</v>
      </c>
      <c r="I14966">
        <v>0</v>
      </c>
      <c r="J14966">
        <f>IF($H14966=0,1,IF($I14966&lt;=1,2,0))</f>
        <v>2</v>
      </c>
      <c r="K14966">
        <v>0</v>
      </c>
      <c r="L14966">
        <f>IF(AND($J14966=0,$K14966=0),0,1)</f>
        <v>1</v>
      </c>
      <c r="M14966" t="s">
        <v>1452</v>
      </c>
    </row>
    <row r="14967" spans="1:13" x14ac:dyDescent="0.2">
      <c r="A14967" t="s">
        <v>218</v>
      </c>
      <c r="B14967" t="s">
        <v>71</v>
      </c>
      <c r="C14967" t="s">
        <v>72</v>
      </c>
      <c r="D14967">
        <v>3304</v>
      </c>
      <c r="E14967">
        <v>2021</v>
      </c>
      <c r="F14967">
        <v>15</v>
      </c>
      <c r="G14967">
        <v>20267</v>
      </c>
      <c r="H14967" s="1" t="s">
        <v>1827</v>
      </c>
      <c r="I14967">
        <v>0</v>
      </c>
      <c r="J14967">
        <f>IF($H14967=0,1,IF($I14967&lt;=1,2,0))</f>
        <v>2</v>
      </c>
      <c r="K14967">
        <v>0</v>
      </c>
      <c r="L14967">
        <f>IF(AND($J14967=0,$K14967=0),0,1)</f>
        <v>1</v>
      </c>
      <c r="M14967" t="s">
        <v>1452</v>
      </c>
    </row>
    <row r="14968" spans="1:13" x14ac:dyDescent="0.2">
      <c r="A14968" t="s">
        <v>218</v>
      </c>
      <c r="B14968" t="s">
        <v>71</v>
      </c>
      <c r="C14968" t="s">
        <v>72</v>
      </c>
      <c r="D14968">
        <v>4111</v>
      </c>
      <c r="E14968">
        <v>2021</v>
      </c>
      <c r="F14968">
        <v>1</v>
      </c>
      <c r="G14968">
        <v>12854</v>
      </c>
      <c r="H14968" s="1">
        <v>3</v>
      </c>
      <c r="I14968">
        <v>74</v>
      </c>
      <c r="J14968">
        <f>IF($H14968=0,1,IF($I14968&lt;=1,2,0))</f>
        <v>0</v>
      </c>
      <c r="K14968">
        <v>1</v>
      </c>
      <c r="L14968">
        <f>IF(AND($J14968=0,$K14968=0),0,1)</f>
        <v>1</v>
      </c>
    </row>
    <row r="14969" spans="1:13" x14ac:dyDescent="0.2">
      <c r="A14969" t="s">
        <v>218</v>
      </c>
      <c r="B14969" t="s">
        <v>71</v>
      </c>
      <c r="C14969" t="s">
        <v>72</v>
      </c>
      <c r="D14969">
        <v>4140</v>
      </c>
      <c r="E14969">
        <v>2021</v>
      </c>
      <c r="F14969">
        <v>1</v>
      </c>
      <c r="G14969">
        <v>13609</v>
      </c>
      <c r="H14969" s="1">
        <v>3</v>
      </c>
      <c r="I14969">
        <v>25</v>
      </c>
      <c r="J14969">
        <f>IF($H14969=0,1,IF($I14969&lt;=1,2,0))</f>
        <v>0</v>
      </c>
      <c r="K14969">
        <v>1</v>
      </c>
      <c r="L14969">
        <f>IF(AND($J14969=0,$K14969=0),0,1)</f>
        <v>1</v>
      </c>
    </row>
    <row r="14970" spans="1:13" x14ac:dyDescent="0.2">
      <c r="A14970" t="s">
        <v>218</v>
      </c>
      <c r="B14970" t="s">
        <v>71</v>
      </c>
      <c r="C14970" t="s">
        <v>72</v>
      </c>
      <c r="D14970">
        <v>4142</v>
      </c>
      <c r="E14970">
        <v>2021</v>
      </c>
      <c r="F14970" t="s">
        <v>84</v>
      </c>
      <c r="G14970">
        <v>18758</v>
      </c>
      <c r="H14970" s="1">
        <v>3</v>
      </c>
      <c r="I14970">
        <v>1</v>
      </c>
      <c r="J14970">
        <f>IF($H14970=0,1,IF($I14970&lt;=1,2,0))</f>
        <v>2</v>
      </c>
      <c r="K14970">
        <v>0</v>
      </c>
      <c r="L14970">
        <f>IF(AND($J14970=0,$K14970=0),0,1)</f>
        <v>1</v>
      </c>
      <c r="M14970" t="s">
        <v>85</v>
      </c>
    </row>
    <row r="14971" spans="1:13" x14ac:dyDescent="0.2">
      <c r="A14971" t="s">
        <v>218</v>
      </c>
      <c r="B14971" t="s">
        <v>71</v>
      </c>
      <c r="C14971" t="s">
        <v>72</v>
      </c>
      <c r="D14971">
        <v>4999</v>
      </c>
      <c r="E14971">
        <v>2021</v>
      </c>
      <c r="F14971">
        <v>1</v>
      </c>
      <c r="G14971">
        <v>18441</v>
      </c>
      <c r="H14971" s="1" t="s">
        <v>221</v>
      </c>
      <c r="I14971">
        <v>3</v>
      </c>
      <c r="J14971">
        <f>IF($H14971=0,1,IF($I14971&lt;=1,2,0))</f>
        <v>0</v>
      </c>
      <c r="K14971">
        <v>9</v>
      </c>
      <c r="L14971">
        <f>IF(AND($J14971=0,$K14971=0),0,1)</f>
        <v>1</v>
      </c>
    </row>
    <row r="14972" spans="1:13" x14ac:dyDescent="0.2">
      <c r="A14972" t="s">
        <v>218</v>
      </c>
      <c r="B14972" t="s">
        <v>71</v>
      </c>
      <c r="C14972" t="s">
        <v>72</v>
      </c>
      <c r="D14972">
        <v>9101</v>
      </c>
      <c r="E14972">
        <v>2021</v>
      </c>
      <c r="F14972">
        <v>5</v>
      </c>
      <c r="G14972">
        <v>20328</v>
      </c>
      <c r="H14972" s="1" t="s">
        <v>1828</v>
      </c>
      <c r="I14972">
        <v>21</v>
      </c>
      <c r="J14972">
        <f>IF($H14972=0,1,IF($I14972&lt;=1,2,0))</f>
        <v>0</v>
      </c>
      <c r="K14972">
        <v>5</v>
      </c>
      <c r="L14972">
        <f>IF(AND($J14972=0,$K14972=0),0,1)</f>
        <v>1</v>
      </c>
      <c r="M14972" t="s">
        <v>1452</v>
      </c>
    </row>
    <row r="14973" spans="1:13" x14ac:dyDescent="0.2">
      <c r="A14973" t="s">
        <v>218</v>
      </c>
      <c r="B14973" t="s">
        <v>71</v>
      </c>
      <c r="C14973" t="s">
        <v>72</v>
      </c>
      <c r="D14973">
        <v>9101</v>
      </c>
      <c r="E14973">
        <v>2021</v>
      </c>
      <c r="F14973">
        <v>13</v>
      </c>
      <c r="G14973">
        <v>20336</v>
      </c>
      <c r="H14973" s="1" t="s">
        <v>1828</v>
      </c>
      <c r="I14973">
        <v>12</v>
      </c>
      <c r="J14973">
        <f>IF($H14973=0,1,IF($I14973&lt;=1,2,0))</f>
        <v>0</v>
      </c>
      <c r="K14973">
        <v>5</v>
      </c>
      <c r="L14973">
        <f>IF(AND($J14973=0,$K14973=0),0,1)</f>
        <v>1</v>
      </c>
      <c r="M14973" t="s">
        <v>1452</v>
      </c>
    </row>
    <row r="14974" spans="1:13" x14ac:dyDescent="0.2">
      <c r="A14974" t="s">
        <v>218</v>
      </c>
      <c r="B14974" t="s">
        <v>71</v>
      </c>
      <c r="C14974" t="s">
        <v>72</v>
      </c>
      <c r="D14974">
        <v>9101</v>
      </c>
      <c r="E14974">
        <v>2021</v>
      </c>
      <c r="F14974">
        <v>12</v>
      </c>
      <c r="G14974">
        <v>20335</v>
      </c>
      <c r="H14974" s="1" t="s">
        <v>1828</v>
      </c>
      <c r="I14974">
        <v>9</v>
      </c>
      <c r="J14974">
        <f>IF($H14974=0,1,IF($I14974&lt;=1,2,0))</f>
        <v>0</v>
      </c>
      <c r="K14974">
        <v>5</v>
      </c>
      <c r="L14974">
        <f>IF(AND($J14974=0,$K14974=0),0,1)</f>
        <v>1</v>
      </c>
      <c r="M14974" t="s">
        <v>1452</v>
      </c>
    </row>
    <row r="14975" spans="1:13" x14ac:dyDescent="0.2">
      <c r="A14975" t="s">
        <v>218</v>
      </c>
      <c r="B14975" t="s">
        <v>71</v>
      </c>
      <c r="C14975" t="s">
        <v>72</v>
      </c>
      <c r="D14975">
        <v>9101</v>
      </c>
      <c r="E14975">
        <v>2021</v>
      </c>
      <c r="F14975">
        <v>9</v>
      </c>
      <c r="G14975">
        <v>20332</v>
      </c>
      <c r="H14975" s="1" t="s">
        <v>1828</v>
      </c>
      <c r="I14975">
        <v>5</v>
      </c>
      <c r="J14975">
        <f>IF($H14975=0,1,IF($I14975&lt;=1,2,0))</f>
        <v>0</v>
      </c>
      <c r="K14975">
        <v>5</v>
      </c>
      <c r="L14975">
        <f>IF(AND($J14975=0,$K14975=0),0,1)</f>
        <v>1</v>
      </c>
      <c r="M14975" t="s">
        <v>1452</v>
      </c>
    </row>
    <row r="14976" spans="1:13" x14ac:dyDescent="0.2">
      <c r="A14976" t="s">
        <v>218</v>
      </c>
      <c r="B14976" t="s">
        <v>71</v>
      </c>
      <c r="C14976" t="s">
        <v>72</v>
      </c>
      <c r="D14976">
        <v>9101</v>
      </c>
      <c r="E14976">
        <v>2021</v>
      </c>
      <c r="F14976">
        <v>8</v>
      </c>
      <c r="G14976">
        <v>20331</v>
      </c>
      <c r="H14976" s="1" t="s">
        <v>1828</v>
      </c>
      <c r="I14976">
        <v>3</v>
      </c>
      <c r="J14976">
        <f>IF($H14976=0,1,IF($I14976&lt;=1,2,0))</f>
        <v>0</v>
      </c>
      <c r="K14976">
        <v>5</v>
      </c>
      <c r="L14976">
        <f>IF(AND($J14976=0,$K14976=0),0,1)</f>
        <v>1</v>
      </c>
    </row>
    <row r="14977" spans="1:13" x14ac:dyDescent="0.2">
      <c r="A14977" t="s">
        <v>218</v>
      </c>
      <c r="B14977" t="s">
        <v>71</v>
      </c>
      <c r="C14977" t="s">
        <v>72</v>
      </c>
      <c r="D14977">
        <v>9101</v>
      </c>
      <c r="E14977">
        <v>2021</v>
      </c>
      <c r="F14977">
        <v>15</v>
      </c>
      <c r="G14977">
        <v>20338</v>
      </c>
      <c r="H14977" s="1" t="s">
        <v>1828</v>
      </c>
      <c r="I14977">
        <v>3</v>
      </c>
      <c r="J14977">
        <f>IF($H14977=0,1,IF($I14977&lt;=1,2,0))</f>
        <v>0</v>
      </c>
      <c r="K14977">
        <v>5</v>
      </c>
      <c r="L14977">
        <f>IF(AND($J14977=0,$K14977=0),0,1)</f>
        <v>1</v>
      </c>
      <c r="M14977" t="s">
        <v>1452</v>
      </c>
    </row>
    <row r="14978" spans="1:13" x14ac:dyDescent="0.2">
      <c r="A14978" t="s">
        <v>218</v>
      </c>
      <c r="B14978" t="s">
        <v>71</v>
      </c>
      <c r="C14978" t="s">
        <v>72</v>
      </c>
      <c r="D14978">
        <v>9101</v>
      </c>
      <c r="E14978">
        <v>2021</v>
      </c>
      <c r="F14978">
        <v>4</v>
      </c>
      <c r="G14978">
        <v>20327</v>
      </c>
      <c r="H14978" s="1" t="s">
        <v>1828</v>
      </c>
      <c r="I14978">
        <v>2</v>
      </c>
      <c r="J14978">
        <f>IF($H14978=0,1,IF($I14978&lt;=1,2,0))</f>
        <v>0</v>
      </c>
      <c r="K14978">
        <v>5</v>
      </c>
      <c r="L14978">
        <f>IF(AND($J14978=0,$K14978=0),0,1)</f>
        <v>1</v>
      </c>
      <c r="M14978" t="s">
        <v>1452</v>
      </c>
    </row>
    <row r="14979" spans="1:13" x14ac:dyDescent="0.2">
      <c r="A14979" t="s">
        <v>218</v>
      </c>
      <c r="B14979" t="s">
        <v>71</v>
      </c>
      <c r="C14979" t="s">
        <v>72</v>
      </c>
      <c r="D14979">
        <v>9101</v>
      </c>
      <c r="E14979">
        <v>2021</v>
      </c>
      <c r="F14979">
        <v>6</v>
      </c>
      <c r="G14979">
        <v>20329</v>
      </c>
      <c r="H14979" s="1" t="s">
        <v>1828</v>
      </c>
      <c r="I14979">
        <v>1</v>
      </c>
      <c r="J14979">
        <f>IF($H14979=0,1,IF($I14979&lt;=1,2,0))</f>
        <v>2</v>
      </c>
      <c r="K14979">
        <v>5</v>
      </c>
      <c r="L14979">
        <f>IF(AND($J14979=0,$K14979=0),0,1)</f>
        <v>1</v>
      </c>
      <c r="M14979" t="s">
        <v>1452</v>
      </c>
    </row>
    <row r="14980" spans="1:13" x14ac:dyDescent="0.2">
      <c r="A14980" t="s">
        <v>218</v>
      </c>
      <c r="B14980" t="s">
        <v>71</v>
      </c>
      <c r="C14980" t="s">
        <v>72</v>
      </c>
      <c r="D14980">
        <v>9101</v>
      </c>
      <c r="E14980">
        <v>2021</v>
      </c>
      <c r="F14980">
        <v>7</v>
      </c>
      <c r="G14980">
        <v>20330</v>
      </c>
      <c r="H14980" s="1" t="s">
        <v>1828</v>
      </c>
      <c r="I14980">
        <v>1</v>
      </c>
      <c r="J14980">
        <f>IF($H14980=0,1,IF($I14980&lt;=1,2,0))</f>
        <v>2</v>
      </c>
      <c r="K14980">
        <v>5</v>
      </c>
      <c r="L14980">
        <f>IF(AND($J14980=0,$K14980=0),0,1)</f>
        <v>1</v>
      </c>
      <c r="M14980" t="s">
        <v>1452</v>
      </c>
    </row>
    <row r="14981" spans="1:13" x14ac:dyDescent="0.2">
      <c r="A14981" t="s">
        <v>218</v>
      </c>
      <c r="B14981" t="s">
        <v>71</v>
      </c>
      <c r="C14981" t="s">
        <v>72</v>
      </c>
      <c r="D14981">
        <v>9101</v>
      </c>
      <c r="E14981">
        <v>2021</v>
      </c>
      <c r="F14981">
        <v>10</v>
      </c>
      <c r="G14981">
        <v>20333</v>
      </c>
      <c r="H14981" s="1" t="s">
        <v>1828</v>
      </c>
      <c r="I14981">
        <v>1</v>
      </c>
      <c r="J14981">
        <f>IF($H14981=0,1,IF($I14981&lt;=1,2,0))</f>
        <v>2</v>
      </c>
      <c r="K14981">
        <v>5</v>
      </c>
      <c r="L14981">
        <f>IF(AND($J14981=0,$K14981=0),0,1)</f>
        <v>1</v>
      </c>
      <c r="M14981" t="s">
        <v>1452</v>
      </c>
    </row>
    <row r="14982" spans="1:13" x14ac:dyDescent="0.2">
      <c r="A14982" t="s">
        <v>218</v>
      </c>
      <c r="B14982" t="s">
        <v>71</v>
      </c>
      <c r="C14982" t="s">
        <v>72</v>
      </c>
      <c r="D14982">
        <v>9101</v>
      </c>
      <c r="E14982">
        <v>2021</v>
      </c>
      <c r="F14982">
        <v>11</v>
      </c>
      <c r="G14982">
        <v>20334</v>
      </c>
      <c r="H14982" s="1" t="s">
        <v>1828</v>
      </c>
      <c r="I14982">
        <v>1</v>
      </c>
      <c r="J14982">
        <f>IF($H14982=0,1,IF($I14982&lt;=1,2,0))</f>
        <v>2</v>
      </c>
      <c r="K14982">
        <v>5</v>
      </c>
      <c r="L14982">
        <f>IF(AND($J14982=0,$K14982=0),0,1)</f>
        <v>1</v>
      </c>
      <c r="M14982" t="s">
        <v>1452</v>
      </c>
    </row>
    <row r="14983" spans="1:13" x14ac:dyDescent="0.2">
      <c r="A14983" t="s">
        <v>218</v>
      </c>
      <c r="B14983" t="s">
        <v>71</v>
      </c>
      <c r="C14983" t="s">
        <v>72</v>
      </c>
      <c r="D14983">
        <v>9101</v>
      </c>
      <c r="E14983">
        <v>2021</v>
      </c>
      <c r="F14983">
        <v>14</v>
      </c>
      <c r="G14983">
        <v>20337</v>
      </c>
      <c r="H14983" s="1" t="s">
        <v>1828</v>
      </c>
      <c r="I14983">
        <v>1</v>
      </c>
      <c r="J14983">
        <f>IF($H14983=0,1,IF($I14983&lt;=1,2,0))</f>
        <v>2</v>
      </c>
      <c r="K14983">
        <v>5</v>
      </c>
      <c r="L14983">
        <f>IF(AND($J14983=0,$K14983=0),0,1)</f>
        <v>1</v>
      </c>
      <c r="M14983" t="s">
        <v>1452</v>
      </c>
    </row>
    <row r="14984" spans="1:13" x14ac:dyDescent="0.2">
      <c r="A14984" t="s">
        <v>218</v>
      </c>
      <c r="B14984" t="s">
        <v>71</v>
      </c>
      <c r="C14984" t="s">
        <v>72</v>
      </c>
      <c r="D14984">
        <v>9101</v>
      </c>
      <c r="E14984">
        <v>2021</v>
      </c>
      <c r="F14984">
        <v>16</v>
      </c>
      <c r="G14984">
        <v>20339</v>
      </c>
      <c r="H14984" s="1" t="s">
        <v>1828</v>
      </c>
      <c r="I14984">
        <v>1</v>
      </c>
      <c r="J14984">
        <f>IF($H14984=0,1,IF($I14984&lt;=1,2,0))</f>
        <v>2</v>
      </c>
      <c r="K14984">
        <v>5</v>
      </c>
      <c r="L14984">
        <f>IF(AND($J14984=0,$K14984=0),0,1)</f>
        <v>1</v>
      </c>
      <c r="M14984" t="s">
        <v>1452</v>
      </c>
    </row>
    <row r="14985" spans="1:13" x14ac:dyDescent="0.2">
      <c r="A14985" t="s">
        <v>218</v>
      </c>
      <c r="B14985" t="s">
        <v>71</v>
      </c>
      <c r="C14985" t="s">
        <v>72</v>
      </c>
      <c r="D14985">
        <v>9101</v>
      </c>
      <c r="E14985">
        <v>2021</v>
      </c>
      <c r="F14985">
        <v>1</v>
      </c>
      <c r="G14985">
        <v>20273</v>
      </c>
      <c r="H14985" s="1" t="s">
        <v>1828</v>
      </c>
      <c r="I14985">
        <v>0</v>
      </c>
      <c r="J14985">
        <f>IF($H14985=0,1,IF($I14985&lt;=1,2,0))</f>
        <v>2</v>
      </c>
      <c r="K14985">
        <v>5</v>
      </c>
      <c r="L14985">
        <f>IF(AND($J14985=0,$K14985=0),0,1)</f>
        <v>1</v>
      </c>
      <c r="M14985" t="s">
        <v>1452</v>
      </c>
    </row>
    <row r="14986" spans="1:13" x14ac:dyDescent="0.2">
      <c r="A14986" t="s">
        <v>218</v>
      </c>
      <c r="B14986" t="s">
        <v>71</v>
      </c>
      <c r="C14986" t="s">
        <v>72</v>
      </c>
      <c r="D14986">
        <v>9101</v>
      </c>
      <c r="E14986">
        <v>2021</v>
      </c>
      <c r="F14986">
        <v>2</v>
      </c>
      <c r="G14986">
        <v>20274</v>
      </c>
      <c r="H14986" s="1" t="s">
        <v>1828</v>
      </c>
      <c r="I14986">
        <v>0</v>
      </c>
      <c r="J14986">
        <f>IF($H14986=0,1,IF($I14986&lt;=1,2,0))</f>
        <v>2</v>
      </c>
      <c r="K14986">
        <v>5</v>
      </c>
      <c r="L14986">
        <f>IF(AND($J14986=0,$K14986=0),0,1)</f>
        <v>1</v>
      </c>
      <c r="M14986" t="s">
        <v>1452</v>
      </c>
    </row>
    <row r="14987" spans="1:13" x14ac:dyDescent="0.2">
      <c r="A14987" t="s">
        <v>218</v>
      </c>
      <c r="B14987" t="s">
        <v>71</v>
      </c>
      <c r="C14987" t="s">
        <v>72</v>
      </c>
      <c r="D14987">
        <v>9101</v>
      </c>
      <c r="E14987">
        <v>2021</v>
      </c>
      <c r="F14987">
        <v>3</v>
      </c>
      <c r="G14987">
        <v>20309</v>
      </c>
      <c r="H14987" s="1" t="s">
        <v>1828</v>
      </c>
      <c r="I14987">
        <v>0</v>
      </c>
      <c r="J14987">
        <f>IF($H14987=0,1,IF($I14987&lt;=1,2,0))</f>
        <v>2</v>
      </c>
      <c r="K14987">
        <v>5</v>
      </c>
      <c r="L14987">
        <f>IF(AND($J14987=0,$K14987=0),0,1)</f>
        <v>1</v>
      </c>
      <c r="M14987" t="s">
        <v>1452</v>
      </c>
    </row>
    <row r="14988" spans="1:13" x14ac:dyDescent="0.2">
      <c r="A14988" t="s">
        <v>218</v>
      </c>
      <c r="B14988" t="s">
        <v>71</v>
      </c>
      <c r="C14988" t="s">
        <v>72</v>
      </c>
      <c r="D14988">
        <v>9101</v>
      </c>
      <c r="E14988">
        <v>2021</v>
      </c>
      <c r="F14988">
        <v>17</v>
      </c>
      <c r="G14988">
        <v>20340</v>
      </c>
      <c r="H14988" s="1" t="s">
        <v>1828</v>
      </c>
      <c r="I14988">
        <v>0</v>
      </c>
      <c r="J14988">
        <f>IF($H14988=0,1,IF($I14988&lt;=1,2,0))</f>
        <v>2</v>
      </c>
      <c r="K14988">
        <v>5</v>
      </c>
      <c r="L14988">
        <f>IF(AND($J14988=0,$K14988=0),0,1)</f>
        <v>1</v>
      </c>
      <c r="M14988" t="s">
        <v>1452</v>
      </c>
    </row>
    <row r="14989" spans="1:13" x14ac:dyDescent="0.2">
      <c r="A14989" t="s">
        <v>218</v>
      </c>
      <c r="B14989" t="s">
        <v>71</v>
      </c>
      <c r="C14989" t="s">
        <v>72</v>
      </c>
      <c r="D14989">
        <v>9101</v>
      </c>
      <c r="E14989">
        <v>2021</v>
      </c>
      <c r="F14989">
        <v>18</v>
      </c>
      <c r="G14989">
        <v>20546</v>
      </c>
      <c r="H14989" s="1" t="s">
        <v>1828</v>
      </c>
      <c r="I14989">
        <v>0</v>
      </c>
      <c r="J14989">
        <f>IF($H14989=0,1,IF($I14989&lt;=1,2,0))</f>
        <v>2</v>
      </c>
      <c r="K14989">
        <v>5</v>
      </c>
      <c r="L14989">
        <f>IF(AND($J14989=0,$K14989=0),0,1)</f>
        <v>1</v>
      </c>
      <c r="M14989" t="s">
        <v>1452</v>
      </c>
    </row>
    <row r="14990" spans="1:13" x14ac:dyDescent="0.2">
      <c r="A14990" t="s">
        <v>218</v>
      </c>
      <c r="B14990" t="s">
        <v>71</v>
      </c>
      <c r="C14990" t="s">
        <v>72</v>
      </c>
      <c r="D14990">
        <v>9500</v>
      </c>
      <c r="E14990">
        <v>2021</v>
      </c>
      <c r="F14990">
        <v>1</v>
      </c>
      <c r="G14990">
        <v>17603</v>
      </c>
      <c r="H14990" s="1">
        <v>0</v>
      </c>
      <c r="I14990">
        <v>1</v>
      </c>
      <c r="J14990">
        <f>IF($H14990=0,1,IF($I14990&lt;=1,2,0))</f>
        <v>1</v>
      </c>
      <c r="K14990">
        <v>5</v>
      </c>
      <c r="L14990">
        <f>IF(AND($J14990=0,$K14990=0),0,1)</f>
        <v>1</v>
      </c>
    </row>
    <row r="14991" spans="1:13" x14ac:dyDescent="0.2">
      <c r="A14991" t="s">
        <v>218</v>
      </c>
      <c r="B14991" t="s">
        <v>71</v>
      </c>
      <c r="C14991" t="s">
        <v>72</v>
      </c>
      <c r="D14991">
        <v>9900</v>
      </c>
      <c r="E14991">
        <v>2021</v>
      </c>
      <c r="F14991">
        <v>11</v>
      </c>
      <c r="G14991">
        <v>20350</v>
      </c>
      <c r="H14991" s="1">
        <v>0</v>
      </c>
      <c r="I14991">
        <v>1</v>
      </c>
      <c r="J14991">
        <f>IF($H14991=0,1,IF($I14991&lt;=1,2,0))</f>
        <v>1</v>
      </c>
      <c r="K14991">
        <v>5</v>
      </c>
      <c r="L14991">
        <f>IF(AND($J14991=0,$K14991=0),0,1)</f>
        <v>1</v>
      </c>
    </row>
    <row r="14992" spans="1:13" x14ac:dyDescent="0.2">
      <c r="A14992" t="s">
        <v>223</v>
      </c>
      <c r="B14992" t="s">
        <v>6</v>
      </c>
      <c r="C14992" t="s">
        <v>9</v>
      </c>
      <c r="D14992">
        <v>4180</v>
      </c>
      <c r="E14992">
        <v>2021</v>
      </c>
      <c r="F14992" t="s">
        <v>1349</v>
      </c>
      <c r="G14992">
        <v>18927</v>
      </c>
      <c r="H14992" s="1">
        <v>0</v>
      </c>
      <c r="I14992">
        <v>4</v>
      </c>
      <c r="J14992">
        <f>IF($H14992=0,1,IF($I14992&lt;=1,2,0))</f>
        <v>1</v>
      </c>
      <c r="K14992">
        <v>0</v>
      </c>
      <c r="L14992">
        <f>IF(AND($J14992=0,$K14992=0),0,1)</f>
        <v>1</v>
      </c>
    </row>
    <row r="14993" spans="1:12" x14ac:dyDescent="0.2">
      <c r="A14993" t="s">
        <v>226</v>
      </c>
      <c r="B14993" t="s">
        <v>17</v>
      </c>
      <c r="C14993" t="s">
        <v>9</v>
      </c>
      <c r="D14993">
        <v>4414</v>
      </c>
      <c r="E14993">
        <v>2021</v>
      </c>
      <c r="F14993" t="s">
        <v>1349</v>
      </c>
      <c r="G14993">
        <v>20206</v>
      </c>
      <c r="H14993" s="1">
        <v>0</v>
      </c>
      <c r="I14993">
        <v>9</v>
      </c>
      <c r="J14993">
        <f>IF($H14993=0,1,IF($I14993&lt;=1,2,0))</f>
        <v>1</v>
      </c>
      <c r="K14993">
        <v>0</v>
      </c>
      <c r="L14993">
        <f>IF(AND($J14993=0,$K14993=0),0,1)</f>
        <v>1</v>
      </c>
    </row>
    <row r="14994" spans="1:12" x14ac:dyDescent="0.2">
      <c r="A14994" t="s">
        <v>932</v>
      </c>
      <c r="B14994" t="s">
        <v>17</v>
      </c>
      <c r="C14994" t="s">
        <v>9</v>
      </c>
      <c r="D14994">
        <v>4600</v>
      </c>
      <c r="E14994">
        <v>2021</v>
      </c>
      <c r="F14994" t="s">
        <v>1349</v>
      </c>
      <c r="G14994">
        <v>18928</v>
      </c>
      <c r="H14994" s="1">
        <v>0</v>
      </c>
      <c r="I14994">
        <v>1</v>
      </c>
      <c r="J14994">
        <f>IF($H14994=0,1,IF($I14994&lt;=1,2,0))</f>
        <v>1</v>
      </c>
      <c r="K14994">
        <v>0</v>
      </c>
      <c r="L14994">
        <f>IF(AND($J14994=0,$K14994=0),0,1)</f>
        <v>1</v>
      </c>
    </row>
    <row r="14995" spans="1:12" x14ac:dyDescent="0.2">
      <c r="A14995" t="s">
        <v>230</v>
      </c>
      <c r="B14995" t="s">
        <v>17</v>
      </c>
      <c r="C14995" t="s">
        <v>9</v>
      </c>
      <c r="D14995">
        <v>3252</v>
      </c>
      <c r="E14995">
        <v>2021</v>
      </c>
      <c r="F14995" t="s">
        <v>1349</v>
      </c>
      <c r="G14995">
        <v>18926</v>
      </c>
      <c r="H14995" s="1">
        <v>0</v>
      </c>
      <c r="I14995">
        <v>10</v>
      </c>
      <c r="J14995">
        <f>IF($H14995=0,1,IF($I14995&lt;=1,2,0))</f>
        <v>1</v>
      </c>
      <c r="K14995">
        <v>0</v>
      </c>
      <c r="L14995">
        <f>IF(AND($J14995=0,$K14995=0),0,1)</f>
        <v>1</v>
      </c>
    </row>
    <row r="14996" spans="1:12" x14ac:dyDescent="0.2">
      <c r="A14996" t="s">
        <v>230</v>
      </c>
      <c r="B14996" t="s">
        <v>17</v>
      </c>
      <c r="C14996" t="s">
        <v>9</v>
      </c>
      <c r="D14996">
        <v>4170</v>
      </c>
      <c r="E14996">
        <v>2021</v>
      </c>
      <c r="F14996" t="s">
        <v>1349</v>
      </c>
      <c r="G14996">
        <v>20383</v>
      </c>
      <c r="H14996" s="1">
        <v>0</v>
      </c>
      <c r="I14996">
        <v>1</v>
      </c>
      <c r="J14996">
        <f>IF($H14996=0,1,IF($I14996&lt;=1,2,0))</f>
        <v>1</v>
      </c>
      <c r="K14996">
        <v>0</v>
      </c>
      <c r="L14996">
        <f>IF(AND($J14996=0,$K14996=0),0,1)</f>
        <v>1</v>
      </c>
    </row>
    <row r="14997" spans="1:12" x14ac:dyDescent="0.2">
      <c r="A14997" t="s">
        <v>234</v>
      </c>
      <c r="B14997" t="s">
        <v>17</v>
      </c>
      <c r="C14997" t="s">
        <v>11</v>
      </c>
      <c r="D14997">
        <v>4901</v>
      </c>
      <c r="E14997">
        <v>2021</v>
      </c>
      <c r="F14997">
        <v>9</v>
      </c>
      <c r="G14997">
        <v>10688</v>
      </c>
      <c r="H14997" s="1">
        <v>3</v>
      </c>
      <c r="I14997">
        <v>1</v>
      </c>
      <c r="J14997">
        <f>IF($H14997=0,1,IF($I14997&lt;=1,2,0))</f>
        <v>2</v>
      </c>
      <c r="K14997">
        <v>0</v>
      </c>
      <c r="L14997">
        <f>IF(AND($J14997=0,$K14997=0),0,1)</f>
        <v>1</v>
      </c>
    </row>
    <row r="14998" spans="1:12" x14ac:dyDescent="0.2">
      <c r="A14998" t="s">
        <v>234</v>
      </c>
      <c r="B14998" t="s">
        <v>17</v>
      </c>
      <c r="C14998" t="s">
        <v>11</v>
      </c>
      <c r="D14998">
        <v>4901</v>
      </c>
      <c r="E14998">
        <v>2021</v>
      </c>
      <c r="F14998">
        <v>1</v>
      </c>
      <c r="G14998">
        <v>10681</v>
      </c>
      <c r="H14998" s="1">
        <v>3</v>
      </c>
      <c r="I14998">
        <v>0</v>
      </c>
      <c r="J14998">
        <f>IF($H14998=0,1,IF($I14998&lt;=1,2,0))</f>
        <v>2</v>
      </c>
      <c r="K14998">
        <v>0</v>
      </c>
      <c r="L14998">
        <f>IF(AND($J14998=0,$K14998=0),0,1)</f>
        <v>1</v>
      </c>
    </row>
    <row r="14999" spans="1:12" x14ac:dyDescent="0.2">
      <c r="A14999" t="s">
        <v>234</v>
      </c>
      <c r="B14999" t="s">
        <v>17</v>
      </c>
      <c r="C14999" t="s">
        <v>11</v>
      </c>
      <c r="D14999">
        <v>4901</v>
      </c>
      <c r="E14999">
        <v>2021</v>
      </c>
      <c r="F14999">
        <v>2</v>
      </c>
      <c r="G14999">
        <v>10682</v>
      </c>
      <c r="H14999" s="1">
        <v>3</v>
      </c>
      <c r="I14999">
        <v>0</v>
      </c>
      <c r="J14999">
        <f>IF($H14999=0,1,IF($I14999&lt;=1,2,0))</f>
        <v>2</v>
      </c>
      <c r="K14999">
        <v>0</v>
      </c>
      <c r="L14999">
        <f>IF(AND($J14999=0,$K14999=0),0,1)</f>
        <v>1</v>
      </c>
    </row>
    <row r="15000" spans="1:12" x14ac:dyDescent="0.2">
      <c r="A15000" t="s">
        <v>234</v>
      </c>
      <c r="B15000" t="s">
        <v>17</v>
      </c>
      <c r="C15000" t="s">
        <v>11</v>
      </c>
      <c r="D15000">
        <v>4901</v>
      </c>
      <c r="E15000">
        <v>2021</v>
      </c>
      <c r="F15000">
        <v>3</v>
      </c>
      <c r="G15000">
        <v>10683</v>
      </c>
      <c r="H15000" s="1">
        <v>3</v>
      </c>
      <c r="I15000">
        <v>0</v>
      </c>
      <c r="J15000">
        <f>IF($H15000=0,1,IF($I15000&lt;=1,2,0))</f>
        <v>2</v>
      </c>
      <c r="K15000">
        <v>0</v>
      </c>
      <c r="L15000">
        <f>IF(AND($J15000=0,$K15000=0),0,1)</f>
        <v>1</v>
      </c>
    </row>
    <row r="15001" spans="1:12" x14ac:dyDescent="0.2">
      <c r="A15001" t="s">
        <v>234</v>
      </c>
      <c r="B15001" t="s">
        <v>17</v>
      </c>
      <c r="C15001" t="s">
        <v>11</v>
      </c>
      <c r="D15001">
        <v>4901</v>
      </c>
      <c r="E15001">
        <v>2021</v>
      </c>
      <c r="F15001">
        <v>4</v>
      </c>
      <c r="G15001">
        <v>10684</v>
      </c>
      <c r="H15001" s="1">
        <v>3</v>
      </c>
      <c r="I15001">
        <v>0</v>
      </c>
      <c r="J15001">
        <f>IF($H15001=0,1,IF($I15001&lt;=1,2,0))</f>
        <v>2</v>
      </c>
      <c r="K15001">
        <v>0</v>
      </c>
      <c r="L15001">
        <f>IF(AND($J15001=0,$K15001=0),0,1)</f>
        <v>1</v>
      </c>
    </row>
    <row r="15002" spans="1:12" x14ac:dyDescent="0.2">
      <c r="A15002" t="s">
        <v>234</v>
      </c>
      <c r="B15002" t="s">
        <v>17</v>
      </c>
      <c r="C15002" t="s">
        <v>11</v>
      </c>
      <c r="D15002">
        <v>4901</v>
      </c>
      <c r="E15002">
        <v>2021</v>
      </c>
      <c r="F15002">
        <v>5</v>
      </c>
      <c r="G15002">
        <v>10685</v>
      </c>
      <c r="H15002" s="1">
        <v>3</v>
      </c>
      <c r="I15002">
        <v>0</v>
      </c>
      <c r="J15002">
        <f>IF($H15002=0,1,IF($I15002&lt;=1,2,0))</f>
        <v>2</v>
      </c>
      <c r="K15002">
        <v>0</v>
      </c>
      <c r="L15002">
        <f>IF(AND($J15002=0,$K15002=0),0,1)</f>
        <v>1</v>
      </c>
    </row>
    <row r="15003" spans="1:12" x14ac:dyDescent="0.2">
      <c r="A15003" t="s">
        <v>234</v>
      </c>
      <c r="B15003" t="s">
        <v>17</v>
      </c>
      <c r="C15003" t="s">
        <v>11</v>
      </c>
      <c r="D15003">
        <v>4901</v>
      </c>
      <c r="E15003">
        <v>2021</v>
      </c>
      <c r="F15003">
        <v>7</v>
      </c>
      <c r="G15003">
        <v>10686</v>
      </c>
      <c r="H15003" s="1">
        <v>3</v>
      </c>
      <c r="I15003">
        <v>0</v>
      </c>
      <c r="J15003">
        <f>IF($H15003=0,1,IF($I15003&lt;=1,2,0))</f>
        <v>2</v>
      </c>
      <c r="K15003">
        <v>0</v>
      </c>
      <c r="L15003">
        <f>IF(AND($J15003=0,$K15003=0),0,1)</f>
        <v>1</v>
      </c>
    </row>
    <row r="15004" spans="1:12" x14ac:dyDescent="0.2">
      <c r="A15004" t="s">
        <v>234</v>
      </c>
      <c r="B15004" t="s">
        <v>17</v>
      </c>
      <c r="C15004" t="s">
        <v>11</v>
      </c>
      <c r="D15004">
        <v>4901</v>
      </c>
      <c r="E15004">
        <v>2021</v>
      </c>
      <c r="F15004">
        <v>8</v>
      </c>
      <c r="G15004">
        <v>10687</v>
      </c>
      <c r="H15004" s="1">
        <v>3</v>
      </c>
      <c r="I15004">
        <v>0</v>
      </c>
      <c r="J15004">
        <f>IF($H15004=0,1,IF($I15004&lt;=1,2,0))</f>
        <v>2</v>
      </c>
      <c r="K15004">
        <v>0</v>
      </c>
      <c r="L15004">
        <f>IF(AND($J15004=0,$K15004=0),0,1)</f>
        <v>1</v>
      </c>
    </row>
    <row r="15005" spans="1:12" x14ac:dyDescent="0.2">
      <c r="A15005" t="s">
        <v>234</v>
      </c>
      <c r="B15005" t="s">
        <v>17</v>
      </c>
      <c r="C15005" t="s">
        <v>11</v>
      </c>
      <c r="D15005">
        <v>4901</v>
      </c>
      <c r="E15005">
        <v>2021</v>
      </c>
      <c r="F15005">
        <v>10</v>
      </c>
      <c r="G15005">
        <v>10689</v>
      </c>
      <c r="H15005" s="1">
        <v>3</v>
      </c>
      <c r="I15005">
        <v>0</v>
      </c>
      <c r="J15005">
        <f>IF($H15005=0,1,IF($I15005&lt;=1,2,0))</f>
        <v>2</v>
      </c>
      <c r="K15005">
        <v>0</v>
      </c>
      <c r="L15005">
        <f>IF(AND($J15005=0,$K15005=0),0,1)</f>
        <v>1</v>
      </c>
    </row>
    <row r="15006" spans="1:12" x14ac:dyDescent="0.2">
      <c r="A15006" t="s">
        <v>234</v>
      </c>
      <c r="B15006" t="s">
        <v>17</v>
      </c>
      <c r="C15006" t="s">
        <v>11</v>
      </c>
      <c r="D15006">
        <v>4901</v>
      </c>
      <c r="E15006">
        <v>2021</v>
      </c>
      <c r="F15006">
        <v>11</v>
      </c>
      <c r="G15006">
        <v>10690</v>
      </c>
      <c r="H15006" s="1">
        <v>3</v>
      </c>
      <c r="I15006">
        <v>0</v>
      </c>
      <c r="J15006">
        <f>IF($H15006=0,1,IF($I15006&lt;=1,2,0))</f>
        <v>2</v>
      </c>
      <c r="K15006">
        <v>0</v>
      </c>
      <c r="L15006">
        <f>IF(AND($J15006=0,$K15006=0),0,1)</f>
        <v>1</v>
      </c>
    </row>
    <row r="15007" spans="1:12" x14ac:dyDescent="0.2">
      <c r="A15007" t="s">
        <v>234</v>
      </c>
      <c r="B15007" t="s">
        <v>17</v>
      </c>
      <c r="C15007" t="s">
        <v>11</v>
      </c>
      <c r="D15007">
        <v>5000</v>
      </c>
      <c r="E15007">
        <v>2021</v>
      </c>
      <c r="F15007">
        <v>1</v>
      </c>
      <c r="G15007">
        <v>10691</v>
      </c>
      <c r="H15007" s="1">
        <v>4</v>
      </c>
      <c r="I15007">
        <v>0</v>
      </c>
      <c r="J15007">
        <f>IF($H15007=0,1,IF($I15007&lt;=1,2,0))</f>
        <v>2</v>
      </c>
      <c r="K15007">
        <v>0</v>
      </c>
      <c r="L15007">
        <f>IF(AND($J15007=0,$K15007=0),0,1)</f>
        <v>1</v>
      </c>
    </row>
    <row r="15008" spans="1:12" x14ac:dyDescent="0.2">
      <c r="A15008" t="s">
        <v>935</v>
      </c>
      <c r="B15008" t="s">
        <v>17</v>
      </c>
      <c r="C15008" t="s">
        <v>11</v>
      </c>
      <c r="D15008">
        <v>8999</v>
      </c>
      <c r="E15008">
        <v>2021</v>
      </c>
      <c r="F15008">
        <v>2</v>
      </c>
      <c r="G15008">
        <v>20168</v>
      </c>
      <c r="H15008" s="1">
        <v>4</v>
      </c>
      <c r="I15008">
        <v>1</v>
      </c>
      <c r="J15008">
        <f>IF($H15008=0,1,IF($I15008&lt;=1,2,0))</f>
        <v>2</v>
      </c>
      <c r="K15008">
        <v>0</v>
      </c>
      <c r="L15008">
        <f>IF(AND($J15008=0,$K15008=0),0,1)</f>
        <v>1</v>
      </c>
    </row>
    <row r="15009" spans="1:13" x14ac:dyDescent="0.2">
      <c r="A15009" t="s">
        <v>935</v>
      </c>
      <c r="B15009" t="s">
        <v>17</v>
      </c>
      <c r="C15009" t="s">
        <v>11</v>
      </c>
      <c r="D15009">
        <v>8999</v>
      </c>
      <c r="E15009">
        <v>2021</v>
      </c>
      <c r="F15009">
        <v>1</v>
      </c>
      <c r="G15009">
        <v>11563</v>
      </c>
      <c r="H15009" s="1">
        <v>4</v>
      </c>
      <c r="I15009">
        <v>0</v>
      </c>
      <c r="J15009">
        <f>IF($H15009=0,1,IF($I15009&lt;=1,2,0))</f>
        <v>2</v>
      </c>
      <c r="K15009">
        <v>0</v>
      </c>
      <c r="L15009">
        <f>IF(AND($J15009=0,$K15009=0),0,1)</f>
        <v>1</v>
      </c>
    </row>
    <row r="15010" spans="1:13" x14ac:dyDescent="0.2">
      <c r="A15010" t="s">
        <v>242</v>
      </c>
      <c r="B15010" t="s">
        <v>71</v>
      </c>
      <c r="C15010" t="s">
        <v>183</v>
      </c>
      <c r="D15010">
        <v>100</v>
      </c>
      <c r="E15010">
        <v>2021</v>
      </c>
      <c r="F15010" t="s">
        <v>87</v>
      </c>
      <c r="G15010">
        <v>15113</v>
      </c>
      <c r="H15010" s="1">
        <v>0</v>
      </c>
      <c r="I15010">
        <v>8</v>
      </c>
      <c r="J15010">
        <f>IF($H15010=0,1,IF($I15010&lt;=1,2,0))</f>
        <v>1</v>
      </c>
      <c r="K15010">
        <v>6</v>
      </c>
      <c r="L15010">
        <f>IF(AND($J15010=0,$K15010=0),0,1)</f>
        <v>1</v>
      </c>
      <c r="M15010" t="s">
        <v>1458</v>
      </c>
    </row>
    <row r="15011" spans="1:13" x14ac:dyDescent="0.2">
      <c r="A15011" t="s">
        <v>242</v>
      </c>
      <c r="B15011" t="s">
        <v>71</v>
      </c>
      <c r="C15011" t="s">
        <v>9</v>
      </c>
      <c r="D15011">
        <v>1012</v>
      </c>
      <c r="E15011">
        <v>2021</v>
      </c>
      <c r="F15011">
        <v>7</v>
      </c>
      <c r="G15011">
        <v>20289</v>
      </c>
      <c r="H15011" s="1">
        <v>0</v>
      </c>
      <c r="I15011">
        <v>43</v>
      </c>
      <c r="J15011">
        <f>IF($H15011=0,1,IF($I15011&lt;=1,2,0))</f>
        <v>1</v>
      </c>
      <c r="K15011">
        <v>0</v>
      </c>
      <c r="L15011">
        <f>IF(AND($J15011=0,$K15011=0),0,1)</f>
        <v>1</v>
      </c>
    </row>
    <row r="15012" spans="1:13" x14ac:dyDescent="0.2">
      <c r="A15012" t="s">
        <v>242</v>
      </c>
      <c r="B15012" t="s">
        <v>71</v>
      </c>
      <c r="C15012" t="s">
        <v>9</v>
      </c>
      <c r="D15012">
        <v>1012</v>
      </c>
      <c r="E15012">
        <v>2021</v>
      </c>
      <c r="F15012">
        <v>8</v>
      </c>
      <c r="G15012">
        <v>20290</v>
      </c>
      <c r="H15012" s="1">
        <v>0</v>
      </c>
      <c r="I15012">
        <v>30</v>
      </c>
      <c r="J15012">
        <f>IF($H15012=0,1,IF($I15012&lt;=1,2,0))</f>
        <v>1</v>
      </c>
      <c r="K15012">
        <v>0</v>
      </c>
      <c r="L15012">
        <f>IF(AND($J15012=0,$K15012=0),0,1)</f>
        <v>1</v>
      </c>
    </row>
    <row r="15013" spans="1:13" x14ac:dyDescent="0.2">
      <c r="A15013" t="s">
        <v>242</v>
      </c>
      <c r="B15013" t="s">
        <v>71</v>
      </c>
      <c r="C15013" t="s">
        <v>9</v>
      </c>
      <c r="D15013">
        <v>1012</v>
      </c>
      <c r="E15013">
        <v>2021</v>
      </c>
      <c r="F15013">
        <v>10</v>
      </c>
      <c r="G15013">
        <v>20292</v>
      </c>
      <c r="H15013" s="1">
        <v>0</v>
      </c>
      <c r="I15013">
        <v>28</v>
      </c>
      <c r="J15013">
        <f>IF($H15013=0,1,IF($I15013&lt;=1,2,0))</f>
        <v>1</v>
      </c>
      <c r="K15013">
        <v>0</v>
      </c>
      <c r="L15013">
        <f>IF(AND($J15013=0,$K15013=0),0,1)</f>
        <v>1</v>
      </c>
    </row>
    <row r="15014" spans="1:13" x14ac:dyDescent="0.2">
      <c r="A15014" t="s">
        <v>242</v>
      </c>
      <c r="B15014" t="s">
        <v>71</v>
      </c>
      <c r="C15014" t="s">
        <v>9</v>
      </c>
      <c r="D15014">
        <v>1012</v>
      </c>
      <c r="E15014">
        <v>2021</v>
      </c>
      <c r="F15014">
        <v>1</v>
      </c>
      <c r="G15014">
        <v>20283</v>
      </c>
      <c r="H15014" s="1">
        <v>0</v>
      </c>
      <c r="I15014">
        <v>27</v>
      </c>
      <c r="J15014">
        <f>IF($H15014=0,1,IF($I15014&lt;=1,2,0))</f>
        <v>1</v>
      </c>
      <c r="K15014">
        <v>0</v>
      </c>
      <c r="L15014">
        <f>IF(AND($J15014=0,$K15014=0),0,1)</f>
        <v>1</v>
      </c>
    </row>
    <row r="15015" spans="1:13" x14ac:dyDescent="0.2">
      <c r="A15015" t="s">
        <v>242</v>
      </c>
      <c r="B15015" t="s">
        <v>71</v>
      </c>
      <c r="C15015" t="s">
        <v>9</v>
      </c>
      <c r="D15015">
        <v>1012</v>
      </c>
      <c r="E15015">
        <v>2021</v>
      </c>
      <c r="F15015">
        <v>3</v>
      </c>
      <c r="G15015">
        <v>20285</v>
      </c>
      <c r="H15015" s="1">
        <v>0</v>
      </c>
      <c r="I15015">
        <v>25</v>
      </c>
      <c r="J15015">
        <f>IF($H15015=0,1,IF($I15015&lt;=1,2,0))</f>
        <v>1</v>
      </c>
      <c r="K15015">
        <v>0</v>
      </c>
      <c r="L15015">
        <f>IF(AND($J15015=0,$K15015=0),0,1)</f>
        <v>1</v>
      </c>
    </row>
    <row r="15016" spans="1:13" x14ac:dyDescent="0.2">
      <c r="A15016" t="s">
        <v>242</v>
      </c>
      <c r="B15016" t="s">
        <v>71</v>
      </c>
      <c r="C15016" t="s">
        <v>9</v>
      </c>
      <c r="D15016">
        <v>1012</v>
      </c>
      <c r="E15016">
        <v>2021</v>
      </c>
      <c r="F15016">
        <v>2</v>
      </c>
      <c r="G15016">
        <v>20284</v>
      </c>
      <c r="H15016" s="1">
        <v>0</v>
      </c>
      <c r="I15016">
        <v>17</v>
      </c>
      <c r="J15016">
        <f>IF($H15016=0,1,IF($I15016&lt;=1,2,0))</f>
        <v>1</v>
      </c>
      <c r="K15016">
        <v>0</v>
      </c>
      <c r="L15016">
        <f>IF(AND($J15016=0,$K15016=0),0,1)</f>
        <v>1</v>
      </c>
    </row>
    <row r="15017" spans="1:13" x14ac:dyDescent="0.2">
      <c r="A15017" t="s">
        <v>242</v>
      </c>
      <c r="B15017" t="s">
        <v>71</v>
      </c>
      <c r="C15017" t="s">
        <v>9</v>
      </c>
      <c r="D15017">
        <v>1012</v>
      </c>
      <c r="E15017">
        <v>2021</v>
      </c>
      <c r="F15017">
        <v>4</v>
      </c>
      <c r="G15017">
        <v>20286</v>
      </c>
      <c r="H15017" s="1">
        <v>0</v>
      </c>
      <c r="I15017">
        <v>17</v>
      </c>
      <c r="J15017">
        <f>IF($H15017=0,1,IF($I15017&lt;=1,2,0))</f>
        <v>1</v>
      </c>
      <c r="K15017">
        <v>0</v>
      </c>
      <c r="L15017">
        <f>IF(AND($J15017=0,$K15017=0),0,1)</f>
        <v>1</v>
      </c>
    </row>
    <row r="15018" spans="1:13" x14ac:dyDescent="0.2">
      <c r="A15018" t="s">
        <v>242</v>
      </c>
      <c r="B15018" t="s">
        <v>71</v>
      </c>
      <c r="C15018" t="s">
        <v>9</v>
      </c>
      <c r="D15018">
        <v>1012</v>
      </c>
      <c r="E15018">
        <v>2021</v>
      </c>
      <c r="F15018">
        <v>9</v>
      </c>
      <c r="G15018">
        <v>20291</v>
      </c>
      <c r="H15018" s="1">
        <v>0</v>
      </c>
      <c r="I15018">
        <v>12</v>
      </c>
      <c r="J15018">
        <f>IF($H15018=0,1,IF($I15018&lt;=1,2,0))</f>
        <v>1</v>
      </c>
      <c r="K15018">
        <v>0</v>
      </c>
      <c r="L15018">
        <f>IF(AND($J15018=0,$K15018=0),0,1)</f>
        <v>1</v>
      </c>
    </row>
    <row r="15019" spans="1:13" x14ac:dyDescent="0.2">
      <c r="A15019" t="s">
        <v>242</v>
      </c>
      <c r="B15019" t="s">
        <v>71</v>
      </c>
      <c r="C15019" t="s">
        <v>9</v>
      </c>
      <c r="D15019">
        <v>1012</v>
      </c>
      <c r="E15019">
        <v>2021</v>
      </c>
      <c r="F15019">
        <v>5</v>
      </c>
      <c r="G15019">
        <v>20287</v>
      </c>
      <c r="H15019" s="1">
        <v>0</v>
      </c>
      <c r="I15019">
        <v>11</v>
      </c>
      <c r="J15019">
        <f>IF($H15019=0,1,IF($I15019&lt;=1,2,0))</f>
        <v>1</v>
      </c>
      <c r="K15019">
        <v>0</v>
      </c>
      <c r="L15019">
        <f>IF(AND($J15019=0,$K15019=0),0,1)</f>
        <v>1</v>
      </c>
    </row>
    <row r="15020" spans="1:13" x14ac:dyDescent="0.2">
      <c r="A15020" t="s">
        <v>242</v>
      </c>
      <c r="B15020" t="s">
        <v>71</v>
      </c>
      <c r="C15020" t="s">
        <v>9</v>
      </c>
      <c r="D15020">
        <v>1012</v>
      </c>
      <c r="E15020">
        <v>2021</v>
      </c>
      <c r="F15020">
        <v>6</v>
      </c>
      <c r="G15020">
        <v>20288</v>
      </c>
      <c r="H15020" s="1">
        <v>0</v>
      </c>
      <c r="I15020">
        <v>6</v>
      </c>
      <c r="J15020">
        <f>IF($H15020=0,1,IF($I15020&lt;=1,2,0))</f>
        <v>1</v>
      </c>
      <c r="K15020">
        <v>0</v>
      </c>
      <c r="L15020">
        <f>IF(AND($J15020=0,$K15020=0),0,1)</f>
        <v>1</v>
      </c>
    </row>
    <row r="15021" spans="1:13" x14ac:dyDescent="0.2">
      <c r="A15021" t="s">
        <v>242</v>
      </c>
      <c r="B15021" t="s">
        <v>71</v>
      </c>
      <c r="C15021" t="s">
        <v>2</v>
      </c>
      <c r="D15021">
        <v>3099</v>
      </c>
      <c r="E15021">
        <v>2021</v>
      </c>
      <c r="F15021">
        <v>1</v>
      </c>
      <c r="G15021">
        <v>789</v>
      </c>
      <c r="H15021" s="1">
        <v>1</v>
      </c>
      <c r="I15021">
        <v>3</v>
      </c>
      <c r="J15021">
        <f>IF($H15021=0,1,IF($I15021&lt;=1,2,0))</f>
        <v>0</v>
      </c>
      <c r="K15021">
        <v>7</v>
      </c>
      <c r="L15021">
        <f>IF(AND($J15021=0,$K15021=0),0,1)</f>
        <v>1</v>
      </c>
    </row>
    <row r="15022" spans="1:13" x14ac:dyDescent="0.2">
      <c r="A15022" t="s">
        <v>242</v>
      </c>
      <c r="B15022" t="s">
        <v>71</v>
      </c>
      <c r="C15022" t="s">
        <v>2</v>
      </c>
      <c r="D15022">
        <v>3099</v>
      </c>
      <c r="E15022">
        <v>2021</v>
      </c>
      <c r="F15022">
        <v>2</v>
      </c>
      <c r="G15022">
        <v>790</v>
      </c>
      <c r="H15022" s="1">
        <v>1</v>
      </c>
      <c r="I15022">
        <v>1</v>
      </c>
      <c r="J15022">
        <f>IF($H15022=0,1,IF($I15022&lt;=1,2,0))</f>
        <v>2</v>
      </c>
      <c r="K15022">
        <v>7</v>
      </c>
      <c r="L15022">
        <f>IF(AND($J15022=0,$K15022=0),0,1)</f>
        <v>1</v>
      </c>
    </row>
    <row r="15023" spans="1:13" x14ac:dyDescent="0.2">
      <c r="A15023" t="s">
        <v>242</v>
      </c>
      <c r="B15023" t="s">
        <v>71</v>
      </c>
      <c r="C15023" t="s">
        <v>2</v>
      </c>
      <c r="D15023">
        <v>3099</v>
      </c>
      <c r="E15023">
        <v>2021</v>
      </c>
      <c r="F15023">
        <v>3</v>
      </c>
      <c r="G15023">
        <v>882</v>
      </c>
      <c r="H15023" s="1">
        <v>3</v>
      </c>
      <c r="I15023">
        <v>0</v>
      </c>
      <c r="J15023">
        <f>IF($H15023=0,1,IF($I15023&lt;=1,2,0))</f>
        <v>2</v>
      </c>
      <c r="K15023">
        <v>7</v>
      </c>
      <c r="L15023">
        <f>IF(AND($J15023=0,$K15023=0),0,1)</f>
        <v>1</v>
      </c>
    </row>
    <row r="15024" spans="1:13" x14ac:dyDescent="0.2">
      <c r="A15024" t="s">
        <v>242</v>
      </c>
      <c r="B15024" t="s">
        <v>71</v>
      </c>
      <c r="C15024" t="s">
        <v>2</v>
      </c>
      <c r="D15024">
        <v>3364</v>
      </c>
      <c r="E15024">
        <v>2021</v>
      </c>
      <c r="F15024">
        <v>1</v>
      </c>
      <c r="G15024">
        <v>219</v>
      </c>
      <c r="H15024" s="1">
        <v>3</v>
      </c>
      <c r="I15024">
        <v>43</v>
      </c>
      <c r="J15024">
        <f>IF($H15024=0,1,IF($I15024&lt;=1,2,0))</f>
        <v>0</v>
      </c>
      <c r="K15024">
        <v>7</v>
      </c>
      <c r="L15024">
        <f>IF(AND($J15024=0,$K15024=0),0,1)</f>
        <v>1</v>
      </c>
    </row>
    <row r="15025" spans="1:13" x14ac:dyDescent="0.2">
      <c r="A15025" t="s">
        <v>242</v>
      </c>
      <c r="B15025" t="s">
        <v>71</v>
      </c>
      <c r="C15025" t="s">
        <v>2</v>
      </c>
      <c r="D15025">
        <v>3430</v>
      </c>
      <c r="E15025">
        <v>2021</v>
      </c>
      <c r="F15025">
        <v>1</v>
      </c>
      <c r="G15025">
        <v>220</v>
      </c>
      <c r="H15025" s="1">
        <v>3</v>
      </c>
      <c r="I15025">
        <v>21</v>
      </c>
      <c r="J15025">
        <f>IF($H15025=0,1,IF($I15025&lt;=1,2,0))</f>
        <v>0</v>
      </c>
      <c r="K15025">
        <v>7</v>
      </c>
      <c r="L15025">
        <f>IF(AND($J15025=0,$K15025=0),0,1)</f>
        <v>1</v>
      </c>
      <c r="M15025" t="s">
        <v>942</v>
      </c>
    </row>
    <row r="15026" spans="1:13" x14ac:dyDescent="0.2">
      <c r="A15026" t="s">
        <v>242</v>
      </c>
      <c r="B15026" t="s">
        <v>71</v>
      </c>
      <c r="C15026" t="s">
        <v>9</v>
      </c>
      <c r="D15026">
        <v>3902</v>
      </c>
      <c r="E15026">
        <v>2021</v>
      </c>
      <c r="F15026">
        <v>0</v>
      </c>
      <c r="G15026">
        <v>14021</v>
      </c>
      <c r="H15026" s="1" t="s">
        <v>1836</v>
      </c>
      <c r="I15026">
        <v>0</v>
      </c>
      <c r="J15026">
        <f>IF($H15026=0,1,IF($I15026&lt;=1,2,0))</f>
        <v>2</v>
      </c>
      <c r="K15026">
        <v>9</v>
      </c>
      <c r="L15026">
        <f>IF(AND($J15026=0,$K15026=0),0,1)</f>
        <v>1</v>
      </c>
      <c r="M15026" t="s">
        <v>1459</v>
      </c>
    </row>
    <row r="15027" spans="1:13" x14ac:dyDescent="0.2">
      <c r="A15027" t="s">
        <v>242</v>
      </c>
      <c r="B15027" t="s">
        <v>71</v>
      </c>
      <c r="C15027" t="s">
        <v>2</v>
      </c>
      <c r="D15027">
        <v>3997</v>
      </c>
      <c r="E15027">
        <v>2021</v>
      </c>
      <c r="F15027">
        <v>2</v>
      </c>
      <c r="G15027">
        <v>782</v>
      </c>
      <c r="H15027" s="1">
        <v>3</v>
      </c>
      <c r="I15027">
        <v>8</v>
      </c>
      <c r="J15027">
        <f>IF($H15027=0,1,IF($I15027&lt;=1,2,0))</f>
        <v>0</v>
      </c>
      <c r="K15027">
        <v>7</v>
      </c>
      <c r="L15027">
        <f>IF(AND($J15027=0,$K15027=0),0,1)</f>
        <v>1</v>
      </c>
    </row>
    <row r="15028" spans="1:13" x14ac:dyDescent="0.2">
      <c r="A15028" t="s">
        <v>242</v>
      </c>
      <c r="B15028" t="s">
        <v>71</v>
      </c>
      <c r="C15028" t="s">
        <v>2</v>
      </c>
      <c r="D15028">
        <v>3997</v>
      </c>
      <c r="E15028">
        <v>2021</v>
      </c>
      <c r="F15028">
        <v>1</v>
      </c>
      <c r="G15028">
        <v>779</v>
      </c>
      <c r="H15028" s="1">
        <v>1</v>
      </c>
      <c r="I15028">
        <v>7</v>
      </c>
      <c r="J15028">
        <f>IF($H15028=0,1,IF($I15028&lt;=1,2,0))</f>
        <v>0</v>
      </c>
      <c r="K15028">
        <v>7</v>
      </c>
      <c r="L15028">
        <f>IF(AND($J15028=0,$K15028=0),0,1)</f>
        <v>1</v>
      </c>
    </row>
    <row r="15029" spans="1:13" x14ac:dyDescent="0.2">
      <c r="A15029" t="s">
        <v>242</v>
      </c>
      <c r="B15029" t="s">
        <v>71</v>
      </c>
      <c r="C15029" t="s">
        <v>9</v>
      </c>
      <c r="D15029">
        <v>3998</v>
      </c>
      <c r="E15029">
        <v>2021</v>
      </c>
      <c r="F15029">
        <v>0</v>
      </c>
      <c r="G15029">
        <v>14022</v>
      </c>
      <c r="H15029" s="1" t="s">
        <v>1827</v>
      </c>
      <c r="I15029">
        <v>2</v>
      </c>
      <c r="J15029">
        <f>IF($H15029=0,1,IF($I15029&lt;=1,2,0))</f>
        <v>0</v>
      </c>
      <c r="K15029">
        <v>9</v>
      </c>
      <c r="L15029">
        <f>IF(AND($J15029=0,$K15029=0),0,1)</f>
        <v>1</v>
      </c>
    </row>
    <row r="15030" spans="1:13" x14ac:dyDescent="0.2">
      <c r="A15030" t="s">
        <v>242</v>
      </c>
      <c r="B15030" t="s">
        <v>71</v>
      </c>
      <c r="C15030" t="s">
        <v>9</v>
      </c>
      <c r="D15030">
        <v>4167</v>
      </c>
      <c r="E15030">
        <v>2021</v>
      </c>
      <c r="F15030" t="s">
        <v>251</v>
      </c>
      <c r="G15030">
        <v>20552</v>
      </c>
      <c r="H15030" s="1">
        <v>3</v>
      </c>
      <c r="I15030">
        <v>0</v>
      </c>
      <c r="J15030">
        <f>IF($H15030=0,1,IF($I15030&lt;=1,2,0))</f>
        <v>2</v>
      </c>
      <c r="K15030">
        <v>0</v>
      </c>
      <c r="L15030">
        <f>IF(AND($J15030=0,$K15030=0),0,1)</f>
        <v>1</v>
      </c>
    </row>
    <row r="15031" spans="1:13" x14ac:dyDescent="0.2">
      <c r="A15031" t="s">
        <v>242</v>
      </c>
      <c r="B15031" t="s">
        <v>71</v>
      </c>
      <c r="C15031" t="s">
        <v>9</v>
      </c>
      <c r="D15031">
        <v>4705</v>
      </c>
      <c r="E15031">
        <v>2021</v>
      </c>
      <c r="F15031" t="s">
        <v>251</v>
      </c>
      <c r="G15031">
        <v>20521</v>
      </c>
      <c r="H15031" s="1">
        <v>3</v>
      </c>
      <c r="I15031">
        <v>0</v>
      </c>
      <c r="J15031">
        <f>IF($H15031=0,1,IF($I15031&lt;=1,2,0))</f>
        <v>2</v>
      </c>
      <c r="K15031">
        <v>0</v>
      </c>
      <c r="L15031">
        <f>IF(AND($J15031=0,$K15031=0),0,1)</f>
        <v>1</v>
      </c>
    </row>
    <row r="15032" spans="1:13" x14ac:dyDescent="0.2">
      <c r="A15032" t="s">
        <v>242</v>
      </c>
      <c r="B15032" t="s">
        <v>71</v>
      </c>
      <c r="C15032" t="s">
        <v>9</v>
      </c>
      <c r="D15032">
        <v>4901</v>
      </c>
      <c r="E15032">
        <v>2021</v>
      </c>
      <c r="F15032">
        <v>0</v>
      </c>
      <c r="G15032">
        <v>14024</v>
      </c>
      <c r="H15032" s="1" t="s">
        <v>1827</v>
      </c>
      <c r="I15032">
        <v>0</v>
      </c>
      <c r="J15032">
        <f>IF($H15032=0,1,IF($I15032&lt;=1,2,0))</f>
        <v>2</v>
      </c>
      <c r="K15032">
        <v>0</v>
      </c>
      <c r="L15032">
        <f>IF(AND($J15032=0,$K15032=0),0,1)</f>
        <v>1</v>
      </c>
    </row>
    <row r="15033" spans="1:13" x14ac:dyDescent="0.2">
      <c r="A15033" t="s">
        <v>242</v>
      </c>
      <c r="B15033" t="s">
        <v>71</v>
      </c>
      <c r="C15033" t="s">
        <v>72</v>
      </c>
      <c r="D15033">
        <v>6901</v>
      </c>
      <c r="E15033">
        <v>2021</v>
      </c>
      <c r="F15033">
        <v>0</v>
      </c>
      <c r="G15033">
        <v>14025</v>
      </c>
      <c r="H15033" s="1" t="s">
        <v>1834</v>
      </c>
      <c r="I15033">
        <v>0</v>
      </c>
      <c r="J15033">
        <f>IF($H15033=0,1,IF($I15033&lt;=1,2,0))</f>
        <v>2</v>
      </c>
      <c r="K15033">
        <v>0</v>
      </c>
      <c r="L15033">
        <f>IF(AND($J15033=0,$K15033=0),0,1)</f>
        <v>1</v>
      </c>
    </row>
    <row r="15034" spans="1:13" x14ac:dyDescent="0.2">
      <c r="A15034" t="s">
        <v>242</v>
      </c>
      <c r="B15034" t="s">
        <v>71</v>
      </c>
      <c r="C15034" t="s">
        <v>72</v>
      </c>
      <c r="D15034">
        <v>6902</v>
      </c>
      <c r="E15034">
        <v>2021</v>
      </c>
      <c r="F15034">
        <v>0</v>
      </c>
      <c r="G15034">
        <v>14026</v>
      </c>
      <c r="H15034" s="1" t="s">
        <v>1842</v>
      </c>
      <c r="I15034">
        <v>0</v>
      </c>
      <c r="J15034">
        <f>IF($H15034=0,1,IF($I15034&lt;=1,2,0))</f>
        <v>2</v>
      </c>
      <c r="K15034">
        <v>0</v>
      </c>
      <c r="L15034">
        <f>IF(AND($J15034=0,$K15034=0),0,1)</f>
        <v>1</v>
      </c>
      <c r="M15034" t="s">
        <v>1459</v>
      </c>
    </row>
    <row r="15035" spans="1:13" x14ac:dyDescent="0.2">
      <c r="A15035" t="s">
        <v>255</v>
      </c>
      <c r="B15035" t="s">
        <v>17</v>
      </c>
      <c r="C15035" t="s">
        <v>11</v>
      </c>
      <c r="D15035">
        <v>6998</v>
      </c>
      <c r="E15035">
        <v>2021</v>
      </c>
      <c r="F15035">
        <v>1</v>
      </c>
      <c r="G15035">
        <v>13559</v>
      </c>
      <c r="H15035" s="1" t="s">
        <v>1823</v>
      </c>
      <c r="I15035">
        <v>0</v>
      </c>
      <c r="J15035">
        <f>IF($H15035=0,1,IF($I15035&lt;=1,2,0))</f>
        <v>2</v>
      </c>
      <c r="K15035">
        <v>0</v>
      </c>
      <c r="L15035">
        <f>IF(AND($J15035=0,$K15035=0),0,1)</f>
        <v>1</v>
      </c>
    </row>
    <row r="15036" spans="1:13" x14ac:dyDescent="0.2">
      <c r="A15036" t="s">
        <v>258</v>
      </c>
      <c r="B15036" t="s">
        <v>17</v>
      </c>
      <c r="C15036" t="s">
        <v>2</v>
      </c>
      <c r="D15036">
        <v>3001</v>
      </c>
      <c r="E15036">
        <v>2021</v>
      </c>
      <c r="F15036">
        <v>1</v>
      </c>
      <c r="G15036">
        <v>95</v>
      </c>
      <c r="H15036" s="1">
        <v>3</v>
      </c>
      <c r="I15036">
        <v>26</v>
      </c>
      <c r="J15036">
        <f>IF($H15036=0,1,IF($I15036&lt;=1,2,0))</f>
        <v>0</v>
      </c>
      <c r="K15036">
        <v>7</v>
      </c>
      <c r="L15036">
        <f>IF(AND($J15036=0,$K15036=0),0,1)</f>
        <v>1</v>
      </c>
    </row>
    <row r="15037" spans="1:13" x14ac:dyDescent="0.2">
      <c r="A15037" t="s">
        <v>258</v>
      </c>
      <c r="B15037" t="s">
        <v>17</v>
      </c>
      <c r="C15037" t="s">
        <v>2</v>
      </c>
      <c r="D15037">
        <v>3110</v>
      </c>
      <c r="E15037">
        <v>2021</v>
      </c>
      <c r="F15037">
        <v>1</v>
      </c>
      <c r="G15037">
        <v>279</v>
      </c>
      <c r="H15037" s="1">
        <v>3</v>
      </c>
      <c r="I15037">
        <v>44</v>
      </c>
      <c r="J15037">
        <f>IF($H15037=0,1,IF($I15037&lt;=1,2,0))</f>
        <v>0</v>
      </c>
      <c r="K15037">
        <v>7</v>
      </c>
      <c r="L15037">
        <f>IF(AND($J15037=0,$K15037=0),0,1)</f>
        <v>1</v>
      </c>
    </row>
    <row r="15038" spans="1:13" x14ac:dyDescent="0.2">
      <c r="A15038" t="s">
        <v>258</v>
      </c>
      <c r="B15038" t="s">
        <v>17</v>
      </c>
      <c r="C15038" t="s">
        <v>2</v>
      </c>
      <c r="D15038">
        <v>3160</v>
      </c>
      <c r="E15038">
        <v>2021</v>
      </c>
      <c r="F15038">
        <v>1</v>
      </c>
      <c r="G15038">
        <v>649</v>
      </c>
      <c r="H15038" s="1">
        <v>3</v>
      </c>
      <c r="I15038">
        <v>17</v>
      </c>
      <c r="J15038">
        <f>IF($H15038=0,1,IF($I15038&lt;=1,2,0))</f>
        <v>0</v>
      </c>
      <c r="K15038">
        <v>7</v>
      </c>
      <c r="L15038">
        <f>IF(AND($J15038=0,$K15038=0),0,1)</f>
        <v>1</v>
      </c>
    </row>
    <row r="15039" spans="1:13" x14ac:dyDescent="0.2">
      <c r="A15039" t="s">
        <v>258</v>
      </c>
      <c r="B15039" t="s">
        <v>17</v>
      </c>
      <c r="C15039" t="s">
        <v>2</v>
      </c>
      <c r="D15039">
        <v>3162</v>
      </c>
      <c r="E15039">
        <v>2021</v>
      </c>
      <c r="F15039">
        <v>1</v>
      </c>
      <c r="G15039">
        <v>96</v>
      </c>
      <c r="H15039" s="1">
        <v>3</v>
      </c>
      <c r="I15039">
        <v>17</v>
      </c>
      <c r="J15039">
        <f>IF($H15039=0,1,IF($I15039&lt;=1,2,0))</f>
        <v>0</v>
      </c>
      <c r="K15039">
        <v>7</v>
      </c>
      <c r="L15039">
        <f>IF(AND($J15039=0,$K15039=0),0,1)</f>
        <v>1</v>
      </c>
    </row>
    <row r="15040" spans="1:13" x14ac:dyDescent="0.2">
      <c r="A15040" t="s">
        <v>258</v>
      </c>
      <c r="B15040" t="s">
        <v>17</v>
      </c>
      <c r="C15040" t="s">
        <v>2</v>
      </c>
      <c r="D15040">
        <v>3203</v>
      </c>
      <c r="E15040">
        <v>2021</v>
      </c>
      <c r="F15040">
        <v>1</v>
      </c>
      <c r="G15040">
        <v>168</v>
      </c>
      <c r="H15040" s="1">
        <v>3</v>
      </c>
      <c r="I15040">
        <v>15</v>
      </c>
      <c r="J15040">
        <f>IF($H15040=0,1,IF($I15040&lt;=1,2,0))</f>
        <v>0</v>
      </c>
      <c r="K15040">
        <v>7</v>
      </c>
      <c r="L15040">
        <f>IF(AND($J15040=0,$K15040=0),0,1)</f>
        <v>1</v>
      </c>
    </row>
    <row r="15041" spans="1:13" x14ac:dyDescent="0.2">
      <c r="A15041" t="s">
        <v>261</v>
      </c>
      <c r="B15041" t="s">
        <v>71</v>
      </c>
      <c r="C15041" t="s">
        <v>9</v>
      </c>
      <c r="D15041">
        <v>4824</v>
      </c>
      <c r="E15041">
        <v>2021</v>
      </c>
      <c r="F15041" t="s">
        <v>84</v>
      </c>
      <c r="G15041">
        <v>20447</v>
      </c>
      <c r="H15041" s="1">
        <v>3</v>
      </c>
      <c r="I15041">
        <v>1</v>
      </c>
      <c r="J15041">
        <f>IF($H15041=0,1,IF($I15041&lt;=1,2,0))</f>
        <v>2</v>
      </c>
      <c r="K15041">
        <v>0</v>
      </c>
      <c r="L15041">
        <f>IF(AND($J15041=0,$K15041=0),0,1)</f>
        <v>1</v>
      </c>
      <c r="M15041" t="s">
        <v>85</v>
      </c>
    </row>
    <row r="15042" spans="1:13" x14ac:dyDescent="0.2">
      <c r="A15042" t="s">
        <v>262</v>
      </c>
      <c r="B15042" t="s">
        <v>6</v>
      </c>
      <c r="C15042" t="s">
        <v>9</v>
      </c>
      <c r="D15042">
        <v>1010</v>
      </c>
      <c r="E15042">
        <v>2021</v>
      </c>
      <c r="F15042">
        <v>2</v>
      </c>
      <c r="G15042">
        <v>20786</v>
      </c>
      <c r="H15042" s="1">
        <v>4</v>
      </c>
      <c r="I15042">
        <v>0</v>
      </c>
      <c r="J15042">
        <f>IF($H15042=0,1,IF($I15042&lt;=1,2,0))</f>
        <v>2</v>
      </c>
      <c r="K15042">
        <v>0</v>
      </c>
      <c r="L15042">
        <f>IF(AND($J15042=0,$K15042=0),0,1)</f>
        <v>1</v>
      </c>
      <c r="M15042" t="s">
        <v>1469</v>
      </c>
    </row>
    <row r="15043" spans="1:13" x14ac:dyDescent="0.2">
      <c r="A15043" t="s">
        <v>262</v>
      </c>
      <c r="B15043" t="s">
        <v>6</v>
      </c>
      <c r="C15043" t="s">
        <v>9</v>
      </c>
      <c r="D15043">
        <v>1010</v>
      </c>
      <c r="E15043">
        <v>2021</v>
      </c>
      <c r="F15043">
        <v>3</v>
      </c>
      <c r="G15043">
        <v>20789</v>
      </c>
      <c r="H15043" s="1">
        <v>4</v>
      </c>
      <c r="I15043">
        <v>0</v>
      </c>
      <c r="J15043">
        <f>IF($H15043=0,1,IF($I15043&lt;=1,2,0))</f>
        <v>2</v>
      </c>
      <c r="K15043">
        <v>0</v>
      </c>
      <c r="L15043">
        <f>IF(AND($J15043=0,$K15043=0),0,1)</f>
        <v>1</v>
      </c>
    </row>
    <row r="15044" spans="1:13" x14ac:dyDescent="0.2">
      <c r="A15044" t="s">
        <v>262</v>
      </c>
      <c r="B15044" t="s">
        <v>6</v>
      </c>
      <c r="C15044" t="s">
        <v>9</v>
      </c>
      <c r="D15044">
        <v>1010</v>
      </c>
      <c r="E15044">
        <v>2021</v>
      </c>
      <c r="F15044">
        <v>4</v>
      </c>
      <c r="G15044">
        <v>20787</v>
      </c>
      <c r="H15044" s="1">
        <v>4</v>
      </c>
      <c r="I15044">
        <v>0</v>
      </c>
      <c r="J15044">
        <f>IF($H15044=0,1,IF($I15044&lt;=1,2,0))</f>
        <v>2</v>
      </c>
      <c r="K15044">
        <v>0</v>
      </c>
      <c r="L15044">
        <f>IF(AND($J15044=0,$K15044=0),0,1)</f>
        <v>1</v>
      </c>
    </row>
    <row r="15045" spans="1:13" x14ac:dyDescent="0.2">
      <c r="A15045" t="s">
        <v>262</v>
      </c>
      <c r="B15045" t="s">
        <v>6</v>
      </c>
      <c r="C15045" t="s">
        <v>9</v>
      </c>
      <c r="D15045">
        <v>1010</v>
      </c>
      <c r="E15045">
        <v>2021</v>
      </c>
      <c r="F15045">
        <v>5</v>
      </c>
      <c r="G15045">
        <v>20788</v>
      </c>
      <c r="H15045" s="1">
        <v>4</v>
      </c>
      <c r="I15045">
        <v>0</v>
      </c>
      <c r="J15045">
        <f>IF($H15045=0,1,IF($I15045&lt;=1,2,0))</f>
        <v>2</v>
      </c>
      <c r="K15045">
        <v>0</v>
      </c>
      <c r="L15045">
        <f>IF(AND($J15045=0,$K15045=0),0,1)</f>
        <v>1</v>
      </c>
    </row>
    <row r="15046" spans="1:13" x14ac:dyDescent="0.2">
      <c r="A15046" t="s">
        <v>262</v>
      </c>
      <c r="B15046" t="s">
        <v>6</v>
      </c>
      <c r="C15046" t="s">
        <v>9</v>
      </c>
      <c r="D15046">
        <v>1010</v>
      </c>
      <c r="E15046">
        <v>2021</v>
      </c>
      <c r="F15046">
        <v>6</v>
      </c>
      <c r="G15046">
        <v>20790</v>
      </c>
      <c r="H15046" s="1">
        <v>4</v>
      </c>
      <c r="I15046">
        <v>0</v>
      </c>
      <c r="J15046">
        <f>IF($H15046=0,1,IF($I15046&lt;=1,2,0))</f>
        <v>2</v>
      </c>
      <c r="K15046">
        <v>0</v>
      </c>
      <c r="L15046">
        <f>IF(AND($J15046=0,$K15046=0),0,1)</f>
        <v>1</v>
      </c>
    </row>
    <row r="15047" spans="1:13" x14ac:dyDescent="0.2">
      <c r="A15047" t="s">
        <v>262</v>
      </c>
      <c r="B15047" t="s">
        <v>6</v>
      </c>
      <c r="C15047" t="s">
        <v>9</v>
      </c>
      <c r="D15047">
        <v>1010</v>
      </c>
      <c r="E15047">
        <v>2021</v>
      </c>
      <c r="F15047">
        <v>7</v>
      </c>
      <c r="G15047">
        <v>20791</v>
      </c>
      <c r="H15047" s="1">
        <v>4</v>
      </c>
      <c r="I15047">
        <v>0</v>
      </c>
      <c r="J15047">
        <f>IF($H15047=0,1,IF($I15047&lt;=1,2,0))</f>
        <v>2</v>
      </c>
      <c r="K15047">
        <v>0</v>
      </c>
      <c r="L15047">
        <f>IF(AND($J15047=0,$K15047=0),0,1)</f>
        <v>1</v>
      </c>
    </row>
    <row r="15048" spans="1:13" x14ac:dyDescent="0.2">
      <c r="A15048" t="s">
        <v>262</v>
      </c>
      <c r="B15048" t="s">
        <v>6</v>
      </c>
      <c r="C15048" t="s">
        <v>11</v>
      </c>
      <c r="D15048">
        <v>4998</v>
      </c>
      <c r="E15048">
        <v>2021</v>
      </c>
      <c r="F15048">
        <v>5</v>
      </c>
      <c r="G15048">
        <v>20783</v>
      </c>
      <c r="H15048" s="1" t="s">
        <v>1823</v>
      </c>
      <c r="I15048">
        <v>1</v>
      </c>
      <c r="J15048">
        <f>IF($H15048=0,1,IF($I15048&lt;=1,2,0))</f>
        <v>2</v>
      </c>
      <c r="K15048">
        <v>9</v>
      </c>
      <c r="L15048">
        <f>IF(AND($J15048=0,$K15048=0),0,1)</f>
        <v>1</v>
      </c>
    </row>
    <row r="15049" spans="1:13" x14ac:dyDescent="0.2">
      <c r="A15049" t="s">
        <v>262</v>
      </c>
      <c r="B15049" t="s">
        <v>6</v>
      </c>
      <c r="C15049" t="s">
        <v>11</v>
      </c>
      <c r="D15049">
        <v>5000</v>
      </c>
      <c r="E15049">
        <v>2021</v>
      </c>
      <c r="F15049">
        <v>1</v>
      </c>
      <c r="G15049">
        <v>17147</v>
      </c>
      <c r="H15049" s="1">
        <v>3</v>
      </c>
      <c r="I15049">
        <v>24</v>
      </c>
      <c r="J15049">
        <f>IF($H15049=0,1,IF($I15049&lt;=1,2,0))</f>
        <v>0</v>
      </c>
      <c r="K15049">
        <v>4</v>
      </c>
      <c r="L15049">
        <f>IF(AND($J15049=0,$K15049=0),0,1)</f>
        <v>1</v>
      </c>
      <c r="M15049" t="s">
        <v>1472</v>
      </c>
    </row>
    <row r="15050" spans="1:13" x14ac:dyDescent="0.2">
      <c r="A15050" t="s">
        <v>267</v>
      </c>
      <c r="B15050" t="s">
        <v>17</v>
      </c>
      <c r="C15050" t="s">
        <v>9</v>
      </c>
      <c r="D15050">
        <v>4333</v>
      </c>
      <c r="E15050">
        <v>2021</v>
      </c>
      <c r="F15050">
        <v>1</v>
      </c>
      <c r="G15050">
        <v>10147</v>
      </c>
      <c r="H15050" s="1">
        <v>3</v>
      </c>
      <c r="I15050">
        <v>0</v>
      </c>
      <c r="J15050">
        <f>IF($H15050=0,1,IF($I15050&lt;=1,2,0))</f>
        <v>2</v>
      </c>
      <c r="K15050">
        <v>0</v>
      </c>
      <c r="L15050">
        <f>IF(AND($J15050=0,$K15050=0),0,1)</f>
        <v>1</v>
      </c>
    </row>
    <row r="15051" spans="1:13" x14ac:dyDescent="0.2">
      <c r="A15051" t="s">
        <v>268</v>
      </c>
      <c r="B15051" t="s">
        <v>1</v>
      </c>
      <c r="C15051" t="s">
        <v>2</v>
      </c>
      <c r="D15051">
        <v>1135</v>
      </c>
      <c r="E15051">
        <v>2021</v>
      </c>
      <c r="F15051">
        <v>3</v>
      </c>
      <c r="G15051">
        <v>553</v>
      </c>
      <c r="H15051" s="1" t="s">
        <v>1831</v>
      </c>
      <c r="I15051">
        <v>22</v>
      </c>
      <c r="J15051">
        <f>IF($H15051=0,1,IF($I15051&lt;=1,2,0))</f>
        <v>0</v>
      </c>
      <c r="K15051">
        <v>7</v>
      </c>
      <c r="L15051">
        <f>IF(AND($J15051=0,$K15051=0),0,1)</f>
        <v>1</v>
      </c>
    </row>
    <row r="15052" spans="1:13" x14ac:dyDescent="0.2">
      <c r="A15052" t="s">
        <v>268</v>
      </c>
      <c r="B15052" t="s">
        <v>1</v>
      </c>
      <c r="C15052" t="s">
        <v>2</v>
      </c>
      <c r="D15052">
        <v>1135</v>
      </c>
      <c r="E15052">
        <v>2021</v>
      </c>
      <c r="F15052">
        <v>1</v>
      </c>
      <c r="G15052">
        <v>551</v>
      </c>
      <c r="H15052" s="1" t="s">
        <v>1831</v>
      </c>
      <c r="I15052">
        <v>19</v>
      </c>
      <c r="J15052">
        <f>IF($H15052=0,1,IF($I15052&lt;=1,2,0))</f>
        <v>0</v>
      </c>
      <c r="K15052">
        <v>7</v>
      </c>
      <c r="L15052">
        <f>IF(AND($J15052=0,$K15052=0),0,1)</f>
        <v>1</v>
      </c>
    </row>
    <row r="15053" spans="1:13" x14ac:dyDescent="0.2">
      <c r="A15053" t="s">
        <v>268</v>
      </c>
      <c r="B15053" t="s">
        <v>1</v>
      </c>
      <c r="C15053" t="s">
        <v>2</v>
      </c>
      <c r="D15053">
        <v>1135</v>
      </c>
      <c r="E15053">
        <v>2021</v>
      </c>
      <c r="F15053">
        <v>2</v>
      </c>
      <c r="G15053">
        <v>552</v>
      </c>
      <c r="H15053" s="1" t="s">
        <v>1831</v>
      </c>
      <c r="I15053">
        <v>19</v>
      </c>
      <c r="J15053">
        <f>IF($H15053=0,1,IF($I15053&lt;=1,2,0))</f>
        <v>0</v>
      </c>
      <c r="K15053">
        <v>7</v>
      </c>
      <c r="L15053">
        <f>IF(AND($J15053=0,$K15053=0),0,1)</f>
        <v>1</v>
      </c>
    </row>
    <row r="15054" spans="1:13" x14ac:dyDescent="0.2">
      <c r="A15054" t="s">
        <v>268</v>
      </c>
      <c r="B15054" t="s">
        <v>1</v>
      </c>
      <c r="C15054" t="s">
        <v>2</v>
      </c>
      <c r="D15054">
        <v>1137</v>
      </c>
      <c r="E15054">
        <v>2021</v>
      </c>
      <c r="F15054">
        <v>1</v>
      </c>
      <c r="G15054">
        <v>554</v>
      </c>
      <c r="H15054" s="1" t="s">
        <v>1831</v>
      </c>
      <c r="I15054">
        <v>18</v>
      </c>
      <c r="J15054">
        <f>IF($H15054=0,1,IF($I15054&lt;=1,2,0))</f>
        <v>0</v>
      </c>
      <c r="K15054">
        <v>7</v>
      </c>
      <c r="L15054">
        <f>IF(AND($J15054=0,$K15054=0),0,1)</f>
        <v>1</v>
      </c>
    </row>
    <row r="15055" spans="1:13" x14ac:dyDescent="0.2">
      <c r="A15055" t="s">
        <v>268</v>
      </c>
      <c r="B15055" t="s">
        <v>1</v>
      </c>
      <c r="C15055" t="s">
        <v>2</v>
      </c>
      <c r="D15055">
        <v>1247</v>
      </c>
      <c r="E15055">
        <v>2021</v>
      </c>
      <c r="F15055">
        <v>1</v>
      </c>
      <c r="G15055">
        <v>555</v>
      </c>
      <c r="H15055" s="1" t="s">
        <v>1831</v>
      </c>
      <c r="I15055">
        <v>0</v>
      </c>
      <c r="J15055">
        <f>IF($H15055=0,1,IF($I15055&lt;=1,2,0))</f>
        <v>2</v>
      </c>
      <c r="K15055">
        <v>7</v>
      </c>
      <c r="L15055">
        <f>IF(AND($J15055=0,$K15055=0),0,1)</f>
        <v>1</v>
      </c>
    </row>
    <row r="15056" spans="1:13" x14ac:dyDescent="0.2">
      <c r="A15056" t="s">
        <v>268</v>
      </c>
      <c r="B15056" t="s">
        <v>1</v>
      </c>
      <c r="C15056" t="s">
        <v>2</v>
      </c>
      <c r="D15056">
        <v>1250</v>
      </c>
      <c r="E15056">
        <v>2021</v>
      </c>
      <c r="F15056">
        <v>1</v>
      </c>
      <c r="G15056">
        <v>556</v>
      </c>
      <c r="H15056" s="1" t="s">
        <v>1831</v>
      </c>
      <c r="I15056">
        <v>16</v>
      </c>
      <c r="J15056">
        <f>IF($H15056=0,1,IF($I15056&lt;=1,2,0))</f>
        <v>0</v>
      </c>
      <c r="K15056">
        <v>7</v>
      </c>
      <c r="L15056">
        <f>IF(AND($J15056=0,$K15056=0),0,1)</f>
        <v>1</v>
      </c>
      <c r="M15056" t="s">
        <v>1475</v>
      </c>
    </row>
    <row r="15057" spans="1:13" x14ac:dyDescent="0.2">
      <c r="A15057" t="s">
        <v>268</v>
      </c>
      <c r="B15057" t="s">
        <v>1</v>
      </c>
      <c r="C15057" t="s">
        <v>2</v>
      </c>
      <c r="D15057">
        <v>1330</v>
      </c>
      <c r="E15057">
        <v>2021</v>
      </c>
      <c r="F15057">
        <v>3</v>
      </c>
      <c r="G15057">
        <v>559</v>
      </c>
      <c r="H15057" s="1" t="s">
        <v>1831</v>
      </c>
      <c r="I15057">
        <v>29</v>
      </c>
      <c r="J15057">
        <f>IF($H15057=0,1,IF($I15057&lt;=1,2,0))</f>
        <v>0</v>
      </c>
      <c r="K15057">
        <v>7</v>
      </c>
      <c r="L15057">
        <f>IF(AND($J15057=0,$K15057=0),0,1)</f>
        <v>1</v>
      </c>
    </row>
    <row r="15058" spans="1:13" x14ac:dyDescent="0.2">
      <c r="A15058" t="s">
        <v>268</v>
      </c>
      <c r="B15058" t="s">
        <v>1</v>
      </c>
      <c r="C15058" t="s">
        <v>2</v>
      </c>
      <c r="D15058">
        <v>1330</v>
      </c>
      <c r="E15058">
        <v>2021</v>
      </c>
      <c r="F15058">
        <v>1</v>
      </c>
      <c r="G15058">
        <v>557</v>
      </c>
      <c r="H15058" s="1" t="s">
        <v>1831</v>
      </c>
      <c r="I15058">
        <v>27</v>
      </c>
      <c r="J15058">
        <f>IF($H15058=0,1,IF($I15058&lt;=1,2,0))</f>
        <v>0</v>
      </c>
      <c r="K15058">
        <v>7</v>
      </c>
      <c r="L15058">
        <f>IF(AND($J15058=0,$K15058=0),0,1)</f>
        <v>1</v>
      </c>
    </row>
    <row r="15059" spans="1:13" x14ac:dyDescent="0.2">
      <c r="A15059" t="s">
        <v>268</v>
      </c>
      <c r="B15059" t="s">
        <v>1</v>
      </c>
      <c r="C15059" t="s">
        <v>2</v>
      </c>
      <c r="D15059">
        <v>1330</v>
      </c>
      <c r="E15059">
        <v>2021</v>
      </c>
      <c r="F15059">
        <v>2</v>
      </c>
      <c r="G15059">
        <v>558</v>
      </c>
      <c r="H15059" s="1" t="s">
        <v>1831</v>
      </c>
      <c r="I15059">
        <v>26</v>
      </c>
      <c r="J15059">
        <f>IF($H15059=0,1,IF($I15059&lt;=1,2,0))</f>
        <v>0</v>
      </c>
      <c r="K15059">
        <v>7</v>
      </c>
      <c r="L15059">
        <f>IF(AND($J15059=0,$K15059=0),0,1)</f>
        <v>1</v>
      </c>
    </row>
    <row r="15060" spans="1:13" x14ac:dyDescent="0.2">
      <c r="A15060" t="s">
        <v>268</v>
      </c>
      <c r="B15060" t="s">
        <v>1</v>
      </c>
      <c r="C15060" t="s">
        <v>2</v>
      </c>
      <c r="D15060">
        <v>1332</v>
      </c>
      <c r="E15060">
        <v>2021</v>
      </c>
      <c r="F15060">
        <v>1</v>
      </c>
      <c r="G15060">
        <v>560</v>
      </c>
      <c r="H15060" s="1" t="s">
        <v>1831</v>
      </c>
      <c r="I15060">
        <v>18</v>
      </c>
      <c r="J15060">
        <f>IF($H15060=0,1,IF($I15060&lt;=1,2,0))</f>
        <v>0</v>
      </c>
      <c r="K15060">
        <v>7</v>
      </c>
      <c r="L15060">
        <f>IF(AND($J15060=0,$K15060=0),0,1)</f>
        <v>1</v>
      </c>
    </row>
    <row r="15061" spans="1:13" x14ac:dyDescent="0.2">
      <c r="A15061" t="s">
        <v>268</v>
      </c>
      <c r="B15061" t="s">
        <v>1</v>
      </c>
      <c r="C15061" t="s">
        <v>2</v>
      </c>
      <c r="D15061">
        <v>1445</v>
      </c>
      <c r="E15061">
        <v>2021</v>
      </c>
      <c r="F15061">
        <v>1</v>
      </c>
      <c r="G15061">
        <v>561</v>
      </c>
      <c r="H15061" s="1" t="s">
        <v>1831</v>
      </c>
      <c r="I15061">
        <v>11</v>
      </c>
      <c r="J15061">
        <f>IF($H15061=0,1,IF($I15061&lt;=1,2,0))</f>
        <v>0</v>
      </c>
      <c r="K15061">
        <v>7</v>
      </c>
      <c r="L15061">
        <f>IF(AND($J15061=0,$K15061=0),0,1)</f>
        <v>1</v>
      </c>
      <c r="M15061" t="s">
        <v>1476</v>
      </c>
    </row>
    <row r="15062" spans="1:13" x14ac:dyDescent="0.2">
      <c r="A15062" t="s">
        <v>268</v>
      </c>
      <c r="B15062" t="s">
        <v>1</v>
      </c>
      <c r="C15062" t="s">
        <v>2</v>
      </c>
      <c r="D15062">
        <v>1820</v>
      </c>
      <c r="E15062">
        <v>2021</v>
      </c>
      <c r="F15062">
        <v>1</v>
      </c>
      <c r="G15062">
        <v>562</v>
      </c>
      <c r="H15062" s="1" t="s">
        <v>1831</v>
      </c>
      <c r="I15062">
        <v>13</v>
      </c>
      <c r="J15062">
        <f>IF($H15062=0,1,IF($I15062&lt;=1,2,0))</f>
        <v>0</v>
      </c>
      <c r="K15062">
        <v>7</v>
      </c>
      <c r="L15062">
        <f>IF(AND($J15062=0,$K15062=0),0,1)</f>
        <v>1</v>
      </c>
    </row>
    <row r="15063" spans="1:13" x14ac:dyDescent="0.2">
      <c r="A15063" t="s">
        <v>268</v>
      </c>
      <c r="B15063" t="s">
        <v>1</v>
      </c>
      <c r="C15063" t="s">
        <v>2</v>
      </c>
      <c r="D15063">
        <v>2137</v>
      </c>
      <c r="E15063">
        <v>2021</v>
      </c>
      <c r="F15063">
        <v>2</v>
      </c>
      <c r="G15063">
        <v>564</v>
      </c>
      <c r="H15063" s="1" t="s">
        <v>1831</v>
      </c>
      <c r="I15063">
        <v>17</v>
      </c>
      <c r="J15063">
        <f>IF($H15063=0,1,IF($I15063&lt;=1,2,0))</f>
        <v>0</v>
      </c>
      <c r="K15063">
        <v>7</v>
      </c>
      <c r="L15063">
        <f>IF(AND($J15063=0,$K15063=0),0,1)</f>
        <v>1</v>
      </c>
    </row>
    <row r="15064" spans="1:13" x14ac:dyDescent="0.2">
      <c r="A15064" t="s">
        <v>268</v>
      </c>
      <c r="B15064" t="s">
        <v>1</v>
      </c>
      <c r="C15064" t="s">
        <v>2</v>
      </c>
      <c r="D15064">
        <v>2137</v>
      </c>
      <c r="E15064">
        <v>2021</v>
      </c>
      <c r="F15064">
        <v>1</v>
      </c>
      <c r="G15064">
        <v>563</v>
      </c>
      <c r="H15064" s="1" t="s">
        <v>1831</v>
      </c>
      <c r="I15064">
        <v>16</v>
      </c>
      <c r="J15064">
        <f>IF($H15064=0,1,IF($I15064&lt;=1,2,0))</f>
        <v>0</v>
      </c>
      <c r="K15064">
        <v>7</v>
      </c>
      <c r="L15064">
        <f>IF(AND($J15064=0,$K15064=0),0,1)</f>
        <v>1</v>
      </c>
    </row>
    <row r="15065" spans="1:13" x14ac:dyDescent="0.2">
      <c r="A15065" t="s">
        <v>268</v>
      </c>
      <c r="B15065" t="s">
        <v>1</v>
      </c>
      <c r="C15065" t="s">
        <v>2</v>
      </c>
      <c r="D15065">
        <v>2139</v>
      </c>
      <c r="E15065">
        <v>2021</v>
      </c>
      <c r="F15065">
        <v>1</v>
      </c>
      <c r="G15065">
        <v>565</v>
      </c>
      <c r="H15065" s="1" t="s">
        <v>1831</v>
      </c>
      <c r="I15065">
        <v>21</v>
      </c>
      <c r="J15065">
        <f>IF($H15065=0,1,IF($I15065&lt;=1,2,0))</f>
        <v>0</v>
      </c>
      <c r="K15065">
        <v>7</v>
      </c>
      <c r="L15065">
        <f>IF(AND($J15065=0,$K15065=0),0,1)</f>
        <v>1</v>
      </c>
    </row>
    <row r="15066" spans="1:13" x14ac:dyDescent="0.2">
      <c r="A15066" t="s">
        <v>268</v>
      </c>
      <c r="B15066" t="s">
        <v>1</v>
      </c>
      <c r="C15066" t="s">
        <v>2</v>
      </c>
      <c r="D15066">
        <v>2139</v>
      </c>
      <c r="E15066">
        <v>2021</v>
      </c>
      <c r="F15066">
        <v>2</v>
      </c>
      <c r="G15066">
        <v>566</v>
      </c>
      <c r="H15066" s="1" t="s">
        <v>1831</v>
      </c>
      <c r="I15066">
        <v>16</v>
      </c>
      <c r="J15066">
        <f>IF($H15066=0,1,IF($I15066&lt;=1,2,0))</f>
        <v>0</v>
      </c>
      <c r="K15066">
        <v>7</v>
      </c>
      <c r="L15066">
        <f>IF(AND($J15066=0,$K15066=0),0,1)</f>
        <v>1</v>
      </c>
    </row>
    <row r="15067" spans="1:13" x14ac:dyDescent="0.2">
      <c r="A15067" t="s">
        <v>268</v>
      </c>
      <c r="B15067" t="s">
        <v>1</v>
      </c>
      <c r="C15067" t="s">
        <v>2</v>
      </c>
      <c r="D15067">
        <v>2250</v>
      </c>
      <c r="E15067">
        <v>2021</v>
      </c>
      <c r="F15067">
        <v>1</v>
      </c>
      <c r="G15067">
        <v>567</v>
      </c>
      <c r="H15067" s="1" t="s">
        <v>1831</v>
      </c>
      <c r="I15067">
        <v>7</v>
      </c>
      <c r="J15067">
        <f>IF($H15067=0,1,IF($I15067&lt;=1,2,0))</f>
        <v>0</v>
      </c>
      <c r="K15067">
        <v>7</v>
      </c>
      <c r="L15067">
        <f>IF(AND($J15067=0,$K15067=0),0,1)</f>
        <v>1</v>
      </c>
      <c r="M15067" t="s">
        <v>1477</v>
      </c>
    </row>
    <row r="15068" spans="1:13" x14ac:dyDescent="0.2">
      <c r="A15068" t="s">
        <v>268</v>
      </c>
      <c r="B15068" t="s">
        <v>1</v>
      </c>
      <c r="C15068" t="s">
        <v>2</v>
      </c>
      <c r="D15068">
        <v>2252</v>
      </c>
      <c r="E15068">
        <v>2021</v>
      </c>
      <c r="F15068">
        <v>1</v>
      </c>
      <c r="G15068">
        <v>568</v>
      </c>
      <c r="H15068" s="1" t="s">
        <v>1831</v>
      </c>
      <c r="I15068">
        <v>29</v>
      </c>
      <c r="J15068">
        <f>IF($H15068=0,1,IF($I15068&lt;=1,2,0))</f>
        <v>0</v>
      </c>
      <c r="K15068">
        <v>7</v>
      </c>
      <c r="L15068">
        <f>IF(AND($J15068=0,$K15068=0),0,1)</f>
        <v>1</v>
      </c>
      <c r="M15068" t="s">
        <v>2054</v>
      </c>
    </row>
    <row r="15069" spans="1:13" x14ac:dyDescent="0.2">
      <c r="A15069" t="s">
        <v>268</v>
      </c>
      <c r="B15069" t="s">
        <v>1</v>
      </c>
      <c r="C15069" t="s">
        <v>2</v>
      </c>
      <c r="D15069">
        <v>2252</v>
      </c>
      <c r="E15069">
        <v>2021</v>
      </c>
      <c r="F15069">
        <v>2</v>
      </c>
      <c r="G15069">
        <v>569</v>
      </c>
      <c r="H15069" s="1" t="s">
        <v>1831</v>
      </c>
      <c r="I15069">
        <v>8</v>
      </c>
      <c r="J15069">
        <f>IF($H15069=0,1,IF($I15069&lt;=1,2,0))</f>
        <v>0</v>
      </c>
      <c r="K15069">
        <v>7</v>
      </c>
      <c r="L15069">
        <f>IF(AND($J15069=0,$K15069=0),0,1)</f>
        <v>1</v>
      </c>
      <c r="M15069" t="s">
        <v>2054</v>
      </c>
    </row>
    <row r="15070" spans="1:13" x14ac:dyDescent="0.2">
      <c r="A15070" t="s">
        <v>268</v>
      </c>
      <c r="B15070" t="s">
        <v>1</v>
      </c>
      <c r="C15070" t="s">
        <v>2</v>
      </c>
      <c r="D15070">
        <v>2254</v>
      </c>
      <c r="E15070">
        <v>2021</v>
      </c>
      <c r="F15070">
        <v>1</v>
      </c>
      <c r="G15070">
        <v>570</v>
      </c>
      <c r="H15070" s="1" t="s">
        <v>1831</v>
      </c>
      <c r="I15070">
        <v>8</v>
      </c>
      <c r="J15070">
        <f>IF($H15070=0,1,IF($I15070&lt;=1,2,0))</f>
        <v>0</v>
      </c>
      <c r="K15070">
        <v>7</v>
      </c>
      <c r="L15070">
        <f>IF(AND($J15070=0,$K15070=0),0,1)</f>
        <v>1</v>
      </c>
    </row>
    <row r="15071" spans="1:13" x14ac:dyDescent="0.2">
      <c r="A15071" t="s">
        <v>268</v>
      </c>
      <c r="B15071" t="s">
        <v>1</v>
      </c>
      <c r="C15071" t="s">
        <v>2</v>
      </c>
      <c r="D15071">
        <v>2255</v>
      </c>
      <c r="E15071">
        <v>2021</v>
      </c>
      <c r="F15071">
        <v>1</v>
      </c>
      <c r="G15071">
        <v>571</v>
      </c>
      <c r="H15071" s="1" t="s">
        <v>1831</v>
      </c>
      <c r="I15071">
        <v>21</v>
      </c>
      <c r="J15071">
        <f>IF($H15071=0,1,IF($I15071&lt;=1,2,0))</f>
        <v>0</v>
      </c>
      <c r="K15071">
        <v>7</v>
      </c>
      <c r="L15071">
        <f>IF(AND($J15071=0,$K15071=0),0,1)</f>
        <v>1</v>
      </c>
    </row>
    <row r="15072" spans="1:13" x14ac:dyDescent="0.2">
      <c r="A15072" t="s">
        <v>268</v>
      </c>
      <c r="B15072" t="s">
        <v>1</v>
      </c>
      <c r="C15072" t="s">
        <v>2</v>
      </c>
      <c r="D15072">
        <v>2332</v>
      </c>
      <c r="E15072">
        <v>2021</v>
      </c>
      <c r="F15072">
        <v>1</v>
      </c>
      <c r="G15072">
        <v>572</v>
      </c>
      <c r="H15072" s="1" t="s">
        <v>1831</v>
      </c>
      <c r="I15072">
        <v>8</v>
      </c>
      <c r="J15072">
        <f>IF($H15072=0,1,IF($I15072&lt;=1,2,0))</f>
        <v>0</v>
      </c>
      <c r="K15072">
        <v>7</v>
      </c>
      <c r="L15072">
        <f>IF(AND($J15072=0,$K15072=0),0,1)</f>
        <v>1</v>
      </c>
    </row>
    <row r="15073" spans="1:12" x14ac:dyDescent="0.2">
      <c r="A15073" t="s">
        <v>268</v>
      </c>
      <c r="B15073" t="s">
        <v>1</v>
      </c>
      <c r="C15073" t="s">
        <v>2</v>
      </c>
      <c r="D15073">
        <v>2334</v>
      </c>
      <c r="E15073">
        <v>2021</v>
      </c>
      <c r="F15073">
        <v>1</v>
      </c>
      <c r="G15073">
        <v>573</v>
      </c>
      <c r="H15073" s="1" t="s">
        <v>1831</v>
      </c>
      <c r="I15073">
        <v>17</v>
      </c>
      <c r="J15073">
        <f>IF($H15073=0,1,IF($I15073&lt;=1,2,0))</f>
        <v>0</v>
      </c>
      <c r="K15073">
        <v>7</v>
      </c>
      <c r="L15073">
        <f>IF(AND($J15073=0,$K15073=0),0,1)</f>
        <v>1</v>
      </c>
    </row>
    <row r="15074" spans="1:12" x14ac:dyDescent="0.2">
      <c r="A15074" t="s">
        <v>268</v>
      </c>
      <c r="B15074" t="s">
        <v>1</v>
      </c>
      <c r="C15074" t="s">
        <v>2</v>
      </c>
      <c r="D15074">
        <v>2334</v>
      </c>
      <c r="E15074">
        <v>2021</v>
      </c>
      <c r="F15074">
        <v>2</v>
      </c>
      <c r="G15074">
        <v>574</v>
      </c>
      <c r="H15074" s="1" t="s">
        <v>1831</v>
      </c>
      <c r="I15074">
        <v>13</v>
      </c>
      <c r="J15074">
        <f>IF($H15074=0,1,IF($I15074&lt;=1,2,0))</f>
        <v>0</v>
      </c>
      <c r="K15074">
        <v>7</v>
      </c>
      <c r="L15074">
        <f>IF(AND($J15074=0,$K15074=0),0,1)</f>
        <v>1</v>
      </c>
    </row>
    <row r="15075" spans="1:12" x14ac:dyDescent="0.2">
      <c r="A15075" t="s">
        <v>268</v>
      </c>
      <c r="B15075" t="s">
        <v>1</v>
      </c>
      <c r="C15075" t="s">
        <v>2</v>
      </c>
      <c r="D15075">
        <v>2452</v>
      </c>
      <c r="E15075">
        <v>2021</v>
      </c>
      <c r="F15075">
        <v>1</v>
      </c>
      <c r="G15075">
        <v>575</v>
      </c>
      <c r="H15075" s="1" t="s">
        <v>1831</v>
      </c>
      <c r="I15075">
        <v>24</v>
      </c>
      <c r="J15075">
        <f>IF($H15075=0,1,IF($I15075&lt;=1,2,0))</f>
        <v>0</v>
      </c>
      <c r="K15075">
        <v>7</v>
      </c>
      <c r="L15075">
        <f>IF(AND($J15075=0,$K15075=0),0,1)</f>
        <v>1</v>
      </c>
    </row>
    <row r="15076" spans="1:12" x14ac:dyDescent="0.2">
      <c r="A15076" t="s">
        <v>268</v>
      </c>
      <c r="B15076" t="s">
        <v>1</v>
      </c>
      <c r="C15076" t="s">
        <v>2</v>
      </c>
      <c r="D15076">
        <v>2455</v>
      </c>
      <c r="E15076">
        <v>2021</v>
      </c>
      <c r="F15076">
        <v>1</v>
      </c>
      <c r="G15076">
        <v>576</v>
      </c>
      <c r="H15076" s="1" t="s">
        <v>1831</v>
      </c>
      <c r="I15076">
        <v>13</v>
      </c>
      <c r="J15076">
        <f>IF($H15076=0,1,IF($I15076&lt;=1,2,0))</f>
        <v>0</v>
      </c>
      <c r="K15076">
        <v>7</v>
      </c>
      <c r="L15076">
        <f>IF(AND($J15076=0,$K15076=0),0,1)</f>
        <v>1</v>
      </c>
    </row>
    <row r="15077" spans="1:12" x14ac:dyDescent="0.2">
      <c r="A15077" t="s">
        <v>268</v>
      </c>
      <c r="B15077" t="s">
        <v>1</v>
      </c>
      <c r="C15077" t="s">
        <v>2</v>
      </c>
      <c r="D15077">
        <v>2564</v>
      </c>
      <c r="E15077">
        <v>2021</v>
      </c>
      <c r="F15077">
        <v>1</v>
      </c>
      <c r="G15077">
        <v>577</v>
      </c>
      <c r="H15077" s="1">
        <v>3</v>
      </c>
      <c r="I15077">
        <v>16</v>
      </c>
      <c r="J15077">
        <f>IF($H15077=0,1,IF($I15077&lt;=1,2,0))</f>
        <v>0</v>
      </c>
      <c r="K15077">
        <v>7</v>
      </c>
      <c r="L15077">
        <f>IF(AND($J15077=0,$K15077=0),0,1)</f>
        <v>1</v>
      </c>
    </row>
    <row r="15078" spans="1:12" x14ac:dyDescent="0.2">
      <c r="A15078" t="s">
        <v>268</v>
      </c>
      <c r="B15078" t="s">
        <v>1</v>
      </c>
      <c r="C15078" t="s">
        <v>2</v>
      </c>
      <c r="D15078">
        <v>3001</v>
      </c>
      <c r="E15078">
        <v>2021</v>
      </c>
      <c r="F15078">
        <v>1</v>
      </c>
      <c r="G15078">
        <v>578</v>
      </c>
      <c r="H15078" s="1">
        <v>3</v>
      </c>
      <c r="I15078">
        <v>15</v>
      </c>
      <c r="J15078">
        <f>IF($H15078=0,1,IF($I15078&lt;=1,2,0))</f>
        <v>0</v>
      </c>
      <c r="K15078">
        <v>7</v>
      </c>
      <c r="L15078">
        <f>IF(AND($J15078=0,$K15078=0),0,1)</f>
        <v>1</v>
      </c>
    </row>
    <row r="15079" spans="1:12" x14ac:dyDescent="0.2">
      <c r="A15079" t="s">
        <v>268</v>
      </c>
      <c r="B15079" t="s">
        <v>1</v>
      </c>
      <c r="C15079" t="s">
        <v>2</v>
      </c>
      <c r="D15079">
        <v>3138</v>
      </c>
      <c r="E15079">
        <v>2021</v>
      </c>
      <c r="F15079">
        <v>2</v>
      </c>
      <c r="G15079">
        <v>580</v>
      </c>
      <c r="H15079" s="1" t="s">
        <v>1831</v>
      </c>
      <c r="I15079">
        <v>31</v>
      </c>
      <c r="J15079">
        <f>IF($H15079=0,1,IF($I15079&lt;=1,2,0))</f>
        <v>0</v>
      </c>
      <c r="K15079">
        <v>7</v>
      </c>
      <c r="L15079">
        <f>IF(AND($J15079=0,$K15079=0),0,1)</f>
        <v>1</v>
      </c>
    </row>
    <row r="15080" spans="1:12" x14ac:dyDescent="0.2">
      <c r="A15080" t="s">
        <v>268</v>
      </c>
      <c r="B15080" t="s">
        <v>1</v>
      </c>
      <c r="C15080" t="s">
        <v>2</v>
      </c>
      <c r="D15080">
        <v>3138</v>
      </c>
      <c r="E15080">
        <v>2021</v>
      </c>
      <c r="F15080">
        <v>1</v>
      </c>
      <c r="G15080">
        <v>579</v>
      </c>
      <c r="H15080" s="1" t="s">
        <v>1831</v>
      </c>
      <c r="I15080">
        <v>28</v>
      </c>
      <c r="J15080">
        <f>IF($H15080=0,1,IF($I15080&lt;=1,2,0))</f>
        <v>0</v>
      </c>
      <c r="K15080">
        <v>7</v>
      </c>
      <c r="L15080">
        <f>IF(AND($J15080=0,$K15080=0),0,1)</f>
        <v>1</v>
      </c>
    </row>
    <row r="15081" spans="1:12" x14ac:dyDescent="0.2">
      <c r="A15081" t="s">
        <v>268</v>
      </c>
      <c r="B15081" t="s">
        <v>1</v>
      </c>
      <c r="C15081" t="s">
        <v>2</v>
      </c>
      <c r="D15081">
        <v>3140</v>
      </c>
      <c r="E15081">
        <v>2021</v>
      </c>
      <c r="F15081">
        <v>1</v>
      </c>
      <c r="G15081">
        <v>581</v>
      </c>
      <c r="H15081" s="1" t="s">
        <v>1831</v>
      </c>
      <c r="I15081">
        <v>31</v>
      </c>
      <c r="J15081">
        <f>IF($H15081=0,1,IF($I15081&lt;=1,2,0))</f>
        <v>0</v>
      </c>
      <c r="K15081">
        <v>7</v>
      </c>
      <c r="L15081">
        <f>IF(AND($J15081=0,$K15081=0),0,1)</f>
        <v>1</v>
      </c>
    </row>
    <row r="15082" spans="1:12" x14ac:dyDescent="0.2">
      <c r="A15082" t="s">
        <v>268</v>
      </c>
      <c r="B15082" t="s">
        <v>1</v>
      </c>
      <c r="C15082" t="s">
        <v>2</v>
      </c>
      <c r="D15082">
        <v>3143</v>
      </c>
      <c r="E15082">
        <v>2021</v>
      </c>
      <c r="F15082">
        <v>1</v>
      </c>
      <c r="G15082">
        <v>582</v>
      </c>
      <c r="H15082" s="1" t="s">
        <v>1831</v>
      </c>
      <c r="I15082">
        <v>9</v>
      </c>
      <c r="J15082">
        <f>IF($H15082=0,1,IF($I15082&lt;=1,2,0))</f>
        <v>0</v>
      </c>
      <c r="K15082">
        <v>7</v>
      </c>
      <c r="L15082">
        <f>IF(AND($J15082=0,$K15082=0),0,1)</f>
        <v>1</v>
      </c>
    </row>
    <row r="15083" spans="1:12" x14ac:dyDescent="0.2">
      <c r="A15083" t="s">
        <v>268</v>
      </c>
      <c r="B15083" t="s">
        <v>1</v>
      </c>
      <c r="C15083" t="s">
        <v>2</v>
      </c>
      <c r="D15083">
        <v>3240</v>
      </c>
      <c r="E15083">
        <v>2021</v>
      </c>
      <c r="F15083">
        <v>1</v>
      </c>
      <c r="G15083">
        <v>583</v>
      </c>
      <c r="H15083" s="1">
        <v>3</v>
      </c>
      <c r="I15083">
        <v>22</v>
      </c>
      <c r="J15083">
        <f>IF($H15083=0,1,IF($I15083&lt;=1,2,0))</f>
        <v>0</v>
      </c>
      <c r="K15083">
        <v>7</v>
      </c>
      <c r="L15083">
        <f>IF(AND($J15083=0,$K15083=0),0,1)</f>
        <v>1</v>
      </c>
    </row>
    <row r="15084" spans="1:12" x14ac:dyDescent="0.2">
      <c r="A15084" t="s">
        <v>268</v>
      </c>
      <c r="B15084" t="s">
        <v>1</v>
      </c>
      <c r="C15084" t="s">
        <v>2</v>
      </c>
      <c r="D15084">
        <v>3248</v>
      </c>
      <c r="E15084">
        <v>2021</v>
      </c>
      <c r="F15084">
        <v>1</v>
      </c>
      <c r="G15084">
        <v>584</v>
      </c>
      <c r="H15084" s="1">
        <v>1</v>
      </c>
      <c r="I15084">
        <v>0</v>
      </c>
      <c r="J15084">
        <f>IF($H15084=0,1,IF($I15084&lt;=1,2,0))</f>
        <v>2</v>
      </c>
      <c r="K15084">
        <v>7</v>
      </c>
      <c r="L15084">
        <f>IF(AND($J15084=0,$K15084=0),0,1)</f>
        <v>1</v>
      </c>
    </row>
    <row r="15085" spans="1:12" x14ac:dyDescent="0.2">
      <c r="A15085" t="s">
        <v>268</v>
      </c>
      <c r="B15085" t="s">
        <v>1</v>
      </c>
      <c r="C15085" t="s">
        <v>2</v>
      </c>
      <c r="D15085">
        <v>3250</v>
      </c>
      <c r="E15085">
        <v>2021</v>
      </c>
      <c r="F15085">
        <v>1</v>
      </c>
      <c r="G15085">
        <v>585</v>
      </c>
      <c r="H15085" s="1" t="s">
        <v>1831</v>
      </c>
      <c r="I15085">
        <v>11</v>
      </c>
      <c r="J15085">
        <f>IF($H15085=0,1,IF($I15085&lt;=1,2,0))</f>
        <v>0</v>
      </c>
      <c r="K15085">
        <v>7</v>
      </c>
      <c r="L15085">
        <f>IF(AND($J15085=0,$K15085=0),0,1)</f>
        <v>1</v>
      </c>
    </row>
    <row r="15086" spans="1:12" x14ac:dyDescent="0.2">
      <c r="A15086" t="s">
        <v>268</v>
      </c>
      <c r="B15086" t="s">
        <v>1</v>
      </c>
      <c r="C15086" t="s">
        <v>2</v>
      </c>
      <c r="D15086">
        <v>3332</v>
      </c>
      <c r="E15086">
        <v>2021</v>
      </c>
      <c r="F15086">
        <v>2</v>
      </c>
      <c r="G15086">
        <v>587</v>
      </c>
      <c r="H15086" s="1" t="s">
        <v>1831</v>
      </c>
      <c r="I15086">
        <v>21</v>
      </c>
      <c r="J15086">
        <f>IF($H15086=0,1,IF($I15086&lt;=1,2,0))</f>
        <v>0</v>
      </c>
      <c r="K15086">
        <v>7</v>
      </c>
      <c r="L15086">
        <f>IF(AND($J15086=0,$K15086=0),0,1)</f>
        <v>1</v>
      </c>
    </row>
    <row r="15087" spans="1:12" x14ac:dyDescent="0.2">
      <c r="A15087" t="s">
        <v>268</v>
      </c>
      <c r="B15087" t="s">
        <v>1</v>
      </c>
      <c r="C15087" t="s">
        <v>2</v>
      </c>
      <c r="D15087">
        <v>3332</v>
      </c>
      <c r="E15087">
        <v>2021</v>
      </c>
      <c r="F15087">
        <v>1</v>
      </c>
      <c r="G15087">
        <v>586</v>
      </c>
      <c r="H15087" s="1" t="s">
        <v>1831</v>
      </c>
      <c r="I15087">
        <v>14</v>
      </c>
      <c r="J15087">
        <f>IF($H15087=0,1,IF($I15087&lt;=1,2,0))</f>
        <v>0</v>
      </c>
      <c r="K15087">
        <v>7</v>
      </c>
      <c r="L15087">
        <f>IF(AND($J15087=0,$K15087=0),0,1)</f>
        <v>1</v>
      </c>
    </row>
    <row r="15088" spans="1:12" x14ac:dyDescent="0.2">
      <c r="A15088" t="s">
        <v>268</v>
      </c>
      <c r="B15088" t="s">
        <v>1</v>
      </c>
      <c r="C15088" t="s">
        <v>2</v>
      </c>
      <c r="D15088">
        <v>3335</v>
      </c>
      <c r="E15088">
        <v>2021</v>
      </c>
      <c r="F15088">
        <v>1</v>
      </c>
      <c r="G15088">
        <v>588</v>
      </c>
      <c r="H15088" s="1" t="s">
        <v>1831</v>
      </c>
      <c r="I15088">
        <v>12</v>
      </c>
      <c r="J15088">
        <f>IF($H15088=0,1,IF($I15088&lt;=1,2,0))</f>
        <v>0</v>
      </c>
      <c r="K15088">
        <v>7</v>
      </c>
      <c r="L15088">
        <f>IF(AND($J15088=0,$K15088=0),0,1)</f>
        <v>1</v>
      </c>
    </row>
    <row r="15089" spans="1:13" x14ac:dyDescent="0.2">
      <c r="A15089" t="s">
        <v>268</v>
      </c>
      <c r="B15089" t="s">
        <v>1</v>
      </c>
      <c r="C15089" t="s">
        <v>2</v>
      </c>
      <c r="D15089">
        <v>3447</v>
      </c>
      <c r="E15089">
        <v>2021</v>
      </c>
      <c r="F15089">
        <v>1</v>
      </c>
      <c r="G15089">
        <v>589</v>
      </c>
      <c r="H15089" s="1" t="s">
        <v>1831</v>
      </c>
      <c r="I15089">
        <v>16</v>
      </c>
      <c r="J15089">
        <f>IF($H15089=0,1,IF($I15089&lt;=1,2,0))</f>
        <v>0</v>
      </c>
      <c r="K15089">
        <v>7</v>
      </c>
      <c r="L15089">
        <f>IF(AND($J15089=0,$K15089=0),0,1)</f>
        <v>1</v>
      </c>
      <c r="M15089" t="s">
        <v>1478</v>
      </c>
    </row>
    <row r="15090" spans="1:13" x14ac:dyDescent="0.2">
      <c r="A15090" t="s">
        <v>268</v>
      </c>
      <c r="B15090" t="s">
        <v>1</v>
      </c>
      <c r="C15090" t="s">
        <v>2</v>
      </c>
      <c r="D15090">
        <v>3560</v>
      </c>
      <c r="E15090">
        <v>2021</v>
      </c>
      <c r="F15090">
        <v>1</v>
      </c>
      <c r="G15090">
        <v>591</v>
      </c>
      <c r="H15090" s="1">
        <v>3</v>
      </c>
      <c r="I15090">
        <v>13</v>
      </c>
      <c r="J15090">
        <f>IF($H15090=0,1,IF($I15090&lt;=1,2,0))</f>
        <v>0</v>
      </c>
      <c r="K15090">
        <v>7</v>
      </c>
      <c r="L15090">
        <f>IF(AND($J15090=0,$K15090=0),0,1)</f>
        <v>1</v>
      </c>
    </row>
    <row r="15091" spans="1:13" x14ac:dyDescent="0.2">
      <c r="A15091" t="s">
        <v>268</v>
      </c>
      <c r="B15091" t="s">
        <v>1</v>
      </c>
      <c r="C15091" t="s">
        <v>2</v>
      </c>
      <c r="D15091">
        <v>3567</v>
      </c>
      <c r="E15091">
        <v>2021</v>
      </c>
      <c r="F15091">
        <v>1</v>
      </c>
      <c r="G15091">
        <v>592</v>
      </c>
      <c r="H15091" s="1">
        <v>3</v>
      </c>
      <c r="I15091">
        <v>15</v>
      </c>
      <c r="J15091">
        <f>IF($H15091=0,1,IF($I15091&lt;=1,2,0))</f>
        <v>0</v>
      </c>
      <c r="K15091">
        <v>7</v>
      </c>
      <c r="L15091">
        <f>IF(AND($J15091=0,$K15091=0),0,1)</f>
        <v>1</v>
      </c>
    </row>
    <row r="15092" spans="1:13" x14ac:dyDescent="0.2">
      <c r="A15092" t="s">
        <v>268</v>
      </c>
      <c r="B15092" t="s">
        <v>1</v>
      </c>
      <c r="C15092" t="s">
        <v>2</v>
      </c>
      <c r="D15092">
        <v>3576</v>
      </c>
      <c r="E15092">
        <v>2021</v>
      </c>
      <c r="F15092">
        <v>1</v>
      </c>
      <c r="G15092">
        <v>593</v>
      </c>
      <c r="H15092" s="1">
        <v>3</v>
      </c>
      <c r="I15092">
        <v>17</v>
      </c>
      <c r="J15092">
        <f>IF($H15092=0,1,IF($I15092&lt;=1,2,0))</f>
        <v>0</v>
      </c>
      <c r="K15092">
        <v>7</v>
      </c>
      <c r="L15092">
        <f>IF(AND($J15092=0,$K15092=0),0,1)</f>
        <v>1</v>
      </c>
    </row>
    <row r="15093" spans="1:13" x14ac:dyDescent="0.2">
      <c r="A15093" t="s">
        <v>268</v>
      </c>
      <c r="B15093" t="s">
        <v>1</v>
      </c>
      <c r="C15093" t="s">
        <v>2</v>
      </c>
      <c r="D15093">
        <v>3591</v>
      </c>
      <c r="E15093">
        <v>2021</v>
      </c>
      <c r="F15093">
        <v>1</v>
      </c>
      <c r="G15093">
        <v>594</v>
      </c>
      <c r="H15093" s="1">
        <v>4</v>
      </c>
      <c r="I15093">
        <v>10</v>
      </c>
      <c r="J15093">
        <f>IF($H15093=0,1,IF($I15093&lt;=1,2,0))</f>
        <v>0</v>
      </c>
      <c r="K15093">
        <v>7</v>
      </c>
      <c r="L15093">
        <f>IF(AND($J15093=0,$K15093=0),0,1)</f>
        <v>1</v>
      </c>
    </row>
    <row r="15094" spans="1:13" x14ac:dyDescent="0.2">
      <c r="A15094" t="s">
        <v>268</v>
      </c>
      <c r="B15094" t="s">
        <v>1</v>
      </c>
      <c r="C15094" t="s">
        <v>2</v>
      </c>
      <c r="D15094">
        <v>3591</v>
      </c>
      <c r="E15094">
        <v>2021</v>
      </c>
      <c r="F15094">
        <v>2</v>
      </c>
      <c r="G15094">
        <v>595</v>
      </c>
      <c r="H15094" s="1">
        <v>4</v>
      </c>
      <c r="I15094">
        <v>9</v>
      </c>
      <c r="J15094">
        <f>IF($H15094=0,1,IF($I15094&lt;=1,2,0))</f>
        <v>0</v>
      </c>
      <c r="K15094">
        <v>7</v>
      </c>
      <c r="L15094">
        <f>IF(AND($J15094=0,$K15094=0),0,1)</f>
        <v>1</v>
      </c>
    </row>
    <row r="15095" spans="1:13" x14ac:dyDescent="0.2">
      <c r="A15095" t="s">
        <v>268</v>
      </c>
      <c r="B15095" t="s">
        <v>1</v>
      </c>
      <c r="C15095" t="s">
        <v>2</v>
      </c>
      <c r="D15095">
        <v>3603</v>
      </c>
      <c r="E15095">
        <v>2021</v>
      </c>
      <c r="F15095">
        <v>1</v>
      </c>
      <c r="G15095">
        <v>596</v>
      </c>
      <c r="H15095" s="1" t="s">
        <v>1827</v>
      </c>
      <c r="I15095">
        <v>16</v>
      </c>
      <c r="J15095">
        <f>IF($H15095=0,1,IF($I15095&lt;=1,2,0))</f>
        <v>0</v>
      </c>
      <c r="K15095">
        <v>7</v>
      </c>
      <c r="L15095">
        <f>IF(AND($J15095=0,$K15095=0),0,1)</f>
        <v>1</v>
      </c>
      <c r="M15095" t="s">
        <v>1479</v>
      </c>
    </row>
    <row r="15096" spans="1:13" x14ac:dyDescent="0.2">
      <c r="A15096" t="s">
        <v>268</v>
      </c>
      <c r="B15096" t="s">
        <v>1</v>
      </c>
      <c r="C15096" t="s">
        <v>2</v>
      </c>
      <c r="D15096">
        <v>3603</v>
      </c>
      <c r="E15096">
        <v>2021</v>
      </c>
      <c r="F15096">
        <v>4</v>
      </c>
      <c r="G15096">
        <v>599</v>
      </c>
      <c r="H15096" s="1" t="s">
        <v>1827</v>
      </c>
      <c r="I15096">
        <v>13</v>
      </c>
      <c r="J15096">
        <f>IF($H15096=0,1,IF($I15096&lt;=1,2,0))</f>
        <v>0</v>
      </c>
      <c r="K15096">
        <v>7</v>
      </c>
      <c r="L15096">
        <f>IF(AND($J15096=0,$K15096=0),0,1)</f>
        <v>1</v>
      </c>
      <c r="M15096" t="s">
        <v>1479</v>
      </c>
    </row>
    <row r="15097" spans="1:13" x14ac:dyDescent="0.2">
      <c r="A15097" t="s">
        <v>268</v>
      </c>
      <c r="B15097" t="s">
        <v>1</v>
      </c>
      <c r="C15097" t="s">
        <v>2</v>
      </c>
      <c r="D15097">
        <v>3603</v>
      </c>
      <c r="E15097">
        <v>2021</v>
      </c>
      <c r="F15097">
        <v>2</v>
      </c>
      <c r="G15097">
        <v>597</v>
      </c>
      <c r="H15097" s="1" t="s">
        <v>1827</v>
      </c>
      <c r="I15097">
        <v>10</v>
      </c>
      <c r="J15097">
        <f>IF($H15097=0,1,IF($I15097&lt;=1,2,0))</f>
        <v>0</v>
      </c>
      <c r="K15097">
        <v>7</v>
      </c>
      <c r="L15097">
        <f>IF(AND($J15097=0,$K15097=0),0,1)</f>
        <v>1</v>
      </c>
      <c r="M15097" t="s">
        <v>1479</v>
      </c>
    </row>
    <row r="15098" spans="1:13" x14ac:dyDescent="0.2">
      <c r="A15098" t="s">
        <v>268</v>
      </c>
      <c r="B15098" t="s">
        <v>1</v>
      </c>
      <c r="C15098" t="s">
        <v>2</v>
      </c>
      <c r="D15098">
        <v>3603</v>
      </c>
      <c r="E15098">
        <v>2021</v>
      </c>
      <c r="F15098">
        <v>3</v>
      </c>
      <c r="G15098">
        <v>598</v>
      </c>
      <c r="H15098" s="1" t="s">
        <v>1827</v>
      </c>
      <c r="I15098">
        <v>10</v>
      </c>
      <c r="J15098">
        <f>IF($H15098=0,1,IF($I15098&lt;=1,2,0))</f>
        <v>0</v>
      </c>
      <c r="K15098">
        <v>7</v>
      </c>
      <c r="L15098">
        <f>IF(AND($J15098=0,$K15098=0),0,1)</f>
        <v>1</v>
      </c>
      <c r="M15098" t="s">
        <v>1479</v>
      </c>
    </row>
    <row r="15099" spans="1:13" x14ac:dyDescent="0.2">
      <c r="A15099" t="s">
        <v>272</v>
      </c>
      <c r="B15099" t="s">
        <v>17</v>
      </c>
      <c r="C15099" t="s">
        <v>9</v>
      </c>
      <c r="D15099">
        <v>3997</v>
      </c>
      <c r="E15099">
        <v>2021</v>
      </c>
      <c r="F15099">
        <v>1</v>
      </c>
      <c r="G15099">
        <v>14958</v>
      </c>
      <c r="H15099" s="1" t="s">
        <v>1828</v>
      </c>
      <c r="I15099">
        <v>4</v>
      </c>
      <c r="J15099">
        <f>IF($H15099=0,1,IF($I15099&lt;=1,2,0))</f>
        <v>0</v>
      </c>
      <c r="K15099">
        <v>9</v>
      </c>
      <c r="L15099">
        <f>IF(AND($J15099=0,$K15099=0),0,1)</f>
        <v>1</v>
      </c>
    </row>
    <row r="15100" spans="1:13" x14ac:dyDescent="0.2">
      <c r="A15100" t="s">
        <v>273</v>
      </c>
      <c r="B15100" t="s">
        <v>17</v>
      </c>
      <c r="C15100" t="s">
        <v>21</v>
      </c>
      <c r="D15100">
        <v>3999</v>
      </c>
      <c r="E15100">
        <v>2021</v>
      </c>
      <c r="F15100">
        <v>1</v>
      </c>
      <c r="G15100">
        <v>10913</v>
      </c>
      <c r="H15100" s="1">
        <v>2</v>
      </c>
      <c r="I15100">
        <v>7</v>
      </c>
      <c r="J15100">
        <f>IF($H15100=0,1,IF($I15100&lt;=1,2,0))</f>
        <v>0</v>
      </c>
      <c r="K15100">
        <v>9</v>
      </c>
      <c r="L15100">
        <f>IF(AND($J15100=0,$K15100=0),0,1)</f>
        <v>1</v>
      </c>
    </row>
    <row r="15101" spans="1:13" x14ac:dyDescent="0.2">
      <c r="A15101" t="s">
        <v>273</v>
      </c>
      <c r="B15101" t="s">
        <v>17</v>
      </c>
      <c r="C15101" t="s">
        <v>11</v>
      </c>
      <c r="D15101">
        <v>6990</v>
      </c>
      <c r="E15101">
        <v>2021</v>
      </c>
      <c r="F15101">
        <v>1</v>
      </c>
      <c r="G15101">
        <v>10922</v>
      </c>
      <c r="H15101" s="1">
        <v>2</v>
      </c>
      <c r="I15101">
        <v>11</v>
      </c>
      <c r="J15101">
        <f>IF($H15101=0,1,IF($I15101&lt;=1,2,0))</f>
        <v>0</v>
      </c>
      <c r="K15101">
        <v>4</v>
      </c>
      <c r="L15101">
        <f>IF(AND($J15101=0,$K15101=0),0,1)</f>
        <v>1</v>
      </c>
    </row>
    <row r="15102" spans="1:13" x14ac:dyDescent="0.2">
      <c r="A15102" t="s">
        <v>273</v>
      </c>
      <c r="B15102" t="s">
        <v>17</v>
      </c>
      <c r="C15102" t="s">
        <v>11</v>
      </c>
      <c r="D15102">
        <v>6991</v>
      </c>
      <c r="E15102">
        <v>2021</v>
      </c>
      <c r="F15102">
        <v>1</v>
      </c>
      <c r="G15102">
        <v>10923</v>
      </c>
      <c r="H15102" s="1">
        <v>2</v>
      </c>
      <c r="I15102">
        <v>2</v>
      </c>
      <c r="J15102">
        <f>IF($H15102=0,1,IF($I15102&lt;=1,2,0))</f>
        <v>0</v>
      </c>
      <c r="K15102">
        <v>4</v>
      </c>
      <c r="L15102">
        <f>IF(AND($J15102=0,$K15102=0),0,1)</f>
        <v>1</v>
      </c>
    </row>
    <row r="15103" spans="1:13" x14ac:dyDescent="0.2">
      <c r="A15103" t="s">
        <v>276</v>
      </c>
      <c r="B15103" t="s">
        <v>71</v>
      </c>
      <c r="C15103" t="s">
        <v>72</v>
      </c>
      <c r="D15103">
        <v>3900</v>
      </c>
      <c r="E15103">
        <v>2021</v>
      </c>
      <c r="F15103">
        <v>1</v>
      </c>
      <c r="G15103">
        <v>18329</v>
      </c>
      <c r="H15103" s="1" t="s">
        <v>1840</v>
      </c>
      <c r="I15103">
        <v>2</v>
      </c>
      <c r="J15103">
        <f>IF($H15103=0,1,IF($I15103&lt;=1,2,0))</f>
        <v>0</v>
      </c>
      <c r="K15103">
        <v>9</v>
      </c>
      <c r="L15103">
        <f>IF(AND($J15103=0,$K15103=0),0,1)</f>
        <v>1</v>
      </c>
    </row>
    <row r="15104" spans="1:13" x14ac:dyDescent="0.2">
      <c r="A15104" t="s">
        <v>276</v>
      </c>
      <c r="B15104" t="s">
        <v>71</v>
      </c>
      <c r="C15104" t="s">
        <v>72</v>
      </c>
      <c r="D15104">
        <v>3900</v>
      </c>
      <c r="E15104">
        <v>2021</v>
      </c>
      <c r="F15104">
        <v>2</v>
      </c>
      <c r="G15104">
        <v>18330</v>
      </c>
      <c r="H15104" s="1" t="s">
        <v>1840</v>
      </c>
      <c r="I15104">
        <v>2</v>
      </c>
      <c r="J15104">
        <f>IF($H15104=0,1,IF($I15104&lt;=1,2,0))</f>
        <v>0</v>
      </c>
      <c r="K15104">
        <v>9</v>
      </c>
      <c r="L15104">
        <f>IF(AND($J15104=0,$K15104=0),0,1)</f>
        <v>1</v>
      </c>
    </row>
    <row r="15105" spans="1:13" x14ac:dyDescent="0.2">
      <c r="A15105" t="s">
        <v>276</v>
      </c>
      <c r="B15105" t="s">
        <v>71</v>
      </c>
      <c r="C15105" t="s">
        <v>72</v>
      </c>
      <c r="D15105">
        <v>3900</v>
      </c>
      <c r="E15105">
        <v>2021</v>
      </c>
      <c r="F15105">
        <v>3</v>
      </c>
      <c r="G15105">
        <v>18331</v>
      </c>
      <c r="H15105" s="1" t="s">
        <v>1840</v>
      </c>
      <c r="I15105">
        <v>1</v>
      </c>
      <c r="J15105">
        <f>IF($H15105=0,1,IF($I15105&lt;=1,2,0))</f>
        <v>2</v>
      </c>
      <c r="K15105">
        <v>9</v>
      </c>
      <c r="L15105">
        <f>IF(AND($J15105=0,$K15105=0),0,1)</f>
        <v>1</v>
      </c>
    </row>
    <row r="15106" spans="1:13" x14ac:dyDescent="0.2">
      <c r="A15106" t="s">
        <v>276</v>
      </c>
      <c r="B15106" t="s">
        <v>71</v>
      </c>
      <c r="C15106" t="s">
        <v>72</v>
      </c>
      <c r="D15106">
        <v>3900</v>
      </c>
      <c r="E15106">
        <v>2021</v>
      </c>
      <c r="F15106">
        <v>11</v>
      </c>
      <c r="G15106">
        <v>18339</v>
      </c>
      <c r="H15106" s="1" t="s">
        <v>1840</v>
      </c>
      <c r="I15106">
        <v>1</v>
      </c>
      <c r="J15106">
        <f>IF($H15106=0,1,IF($I15106&lt;=1,2,0))</f>
        <v>2</v>
      </c>
      <c r="K15106">
        <v>9</v>
      </c>
      <c r="L15106">
        <f>IF(AND($J15106=0,$K15106=0),0,1)</f>
        <v>1</v>
      </c>
    </row>
    <row r="15107" spans="1:13" x14ac:dyDescent="0.2">
      <c r="A15107" t="s">
        <v>276</v>
      </c>
      <c r="B15107" t="s">
        <v>71</v>
      </c>
      <c r="C15107" t="s">
        <v>72</v>
      </c>
      <c r="D15107">
        <v>3900</v>
      </c>
      <c r="E15107">
        <v>2021</v>
      </c>
      <c r="F15107">
        <v>15</v>
      </c>
      <c r="G15107">
        <v>18343</v>
      </c>
      <c r="H15107" s="1" t="s">
        <v>1840</v>
      </c>
      <c r="I15107">
        <v>1</v>
      </c>
      <c r="J15107">
        <f>IF($H15107=0,1,IF($I15107&lt;=1,2,0))</f>
        <v>2</v>
      </c>
      <c r="K15107">
        <v>9</v>
      </c>
      <c r="L15107">
        <f>IF(AND($J15107=0,$K15107=0),0,1)</f>
        <v>1</v>
      </c>
    </row>
    <row r="15108" spans="1:13" x14ac:dyDescent="0.2">
      <c r="A15108" t="s">
        <v>276</v>
      </c>
      <c r="B15108" t="s">
        <v>71</v>
      </c>
      <c r="C15108" t="s">
        <v>72</v>
      </c>
      <c r="D15108">
        <v>3900</v>
      </c>
      <c r="E15108">
        <v>2021</v>
      </c>
      <c r="F15108">
        <v>16</v>
      </c>
      <c r="G15108">
        <v>18344</v>
      </c>
      <c r="H15108" s="1" t="s">
        <v>1840</v>
      </c>
      <c r="I15108">
        <v>1</v>
      </c>
      <c r="J15108">
        <f>IF($H15108=0,1,IF($I15108&lt;=1,2,0))</f>
        <v>2</v>
      </c>
      <c r="K15108">
        <v>9</v>
      </c>
      <c r="L15108">
        <f>IF(AND($J15108=0,$K15108=0),0,1)</f>
        <v>1</v>
      </c>
    </row>
    <row r="15109" spans="1:13" x14ac:dyDescent="0.2">
      <c r="A15109" t="s">
        <v>276</v>
      </c>
      <c r="B15109" t="s">
        <v>71</v>
      </c>
      <c r="C15109" t="s">
        <v>72</v>
      </c>
      <c r="D15109">
        <v>3900</v>
      </c>
      <c r="E15109">
        <v>2021</v>
      </c>
      <c r="F15109">
        <v>4</v>
      </c>
      <c r="G15109">
        <v>18332</v>
      </c>
      <c r="H15109" s="1" t="s">
        <v>1840</v>
      </c>
      <c r="I15109">
        <v>0</v>
      </c>
      <c r="J15109">
        <f>IF($H15109=0,1,IF($I15109&lt;=1,2,0))</f>
        <v>2</v>
      </c>
      <c r="K15109">
        <v>9</v>
      </c>
      <c r="L15109">
        <f>IF(AND($J15109=0,$K15109=0),0,1)</f>
        <v>1</v>
      </c>
    </row>
    <row r="15110" spans="1:13" x14ac:dyDescent="0.2">
      <c r="A15110" t="s">
        <v>276</v>
      </c>
      <c r="B15110" t="s">
        <v>71</v>
      </c>
      <c r="C15110" t="s">
        <v>72</v>
      </c>
      <c r="D15110">
        <v>3900</v>
      </c>
      <c r="E15110">
        <v>2021</v>
      </c>
      <c r="F15110">
        <v>5</v>
      </c>
      <c r="G15110">
        <v>18333</v>
      </c>
      <c r="H15110" s="1" t="s">
        <v>1840</v>
      </c>
      <c r="I15110">
        <v>0</v>
      </c>
      <c r="J15110">
        <f>IF($H15110=0,1,IF($I15110&lt;=1,2,0))</f>
        <v>2</v>
      </c>
      <c r="K15110">
        <v>9</v>
      </c>
      <c r="L15110">
        <f>IF(AND($J15110=0,$K15110=0),0,1)</f>
        <v>1</v>
      </c>
    </row>
    <row r="15111" spans="1:13" x14ac:dyDescent="0.2">
      <c r="A15111" t="s">
        <v>276</v>
      </c>
      <c r="B15111" t="s">
        <v>71</v>
      </c>
      <c r="C15111" t="s">
        <v>72</v>
      </c>
      <c r="D15111">
        <v>3900</v>
      </c>
      <c r="E15111">
        <v>2021</v>
      </c>
      <c r="F15111">
        <v>6</v>
      </c>
      <c r="G15111">
        <v>18334</v>
      </c>
      <c r="H15111" s="1" t="s">
        <v>1840</v>
      </c>
      <c r="I15111">
        <v>0</v>
      </c>
      <c r="J15111">
        <f>IF($H15111=0,1,IF($I15111&lt;=1,2,0))</f>
        <v>2</v>
      </c>
      <c r="K15111">
        <v>9</v>
      </c>
      <c r="L15111">
        <f>IF(AND($J15111=0,$K15111=0),0,1)</f>
        <v>1</v>
      </c>
    </row>
    <row r="15112" spans="1:13" x14ac:dyDescent="0.2">
      <c r="A15112" t="s">
        <v>276</v>
      </c>
      <c r="B15112" t="s">
        <v>71</v>
      </c>
      <c r="C15112" t="s">
        <v>72</v>
      </c>
      <c r="D15112">
        <v>3900</v>
      </c>
      <c r="E15112">
        <v>2021</v>
      </c>
      <c r="F15112">
        <v>7</v>
      </c>
      <c r="G15112">
        <v>18335</v>
      </c>
      <c r="H15112" s="1" t="s">
        <v>1840</v>
      </c>
      <c r="I15112">
        <v>0</v>
      </c>
      <c r="J15112">
        <f>IF($H15112=0,1,IF($I15112&lt;=1,2,0))</f>
        <v>2</v>
      </c>
      <c r="K15112">
        <v>9</v>
      </c>
      <c r="L15112">
        <f>IF(AND($J15112=0,$K15112=0),0,1)</f>
        <v>1</v>
      </c>
    </row>
    <row r="15113" spans="1:13" x14ac:dyDescent="0.2">
      <c r="A15113" t="s">
        <v>276</v>
      </c>
      <c r="B15113" t="s">
        <v>71</v>
      </c>
      <c r="C15113" t="s">
        <v>72</v>
      </c>
      <c r="D15113">
        <v>3900</v>
      </c>
      <c r="E15113">
        <v>2021</v>
      </c>
      <c r="F15113">
        <v>8</v>
      </c>
      <c r="G15113">
        <v>18336</v>
      </c>
      <c r="H15113" s="1" t="s">
        <v>1840</v>
      </c>
      <c r="I15113">
        <v>0</v>
      </c>
      <c r="J15113">
        <f>IF($H15113=0,1,IF($I15113&lt;=1,2,0))</f>
        <v>2</v>
      </c>
      <c r="K15113">
        <v>9</v>
      </c>
      <c r="L15113">
        <f>IF(AND($J15113=0,$K15113=0),0,1)</f>
        <v>1</v>
      </c>
    </row>
    <row r="15114" spans="1:13" x14ac:dyDescent="0.2">
      <c r="A15114" t="s">
        <v>276</v>
      </c>
      <c r="B15114" t="s">
        <v>71</v>
      </c>
      <c r="C15114" t="s">
        <v>72</v>
      </c>
      <c r="D15114">
        <v>3900</v>
      </c>
      <c r="E15114">
        <v>2021</v>
      </c>
      <c r="F15114">
        <v>9</v>
      </c>
      <c r="G15114">
        <v>18337</v>
      </c>
      <c r="H15114" s="1" t="s">
        <v>1840</v>
      </c>
      <c r="I15114">
        <v>0</v>
      </c>
      <c r="J15114">
        <f>IF($H15114=0,1,IF($I15114&lt;=1,2,0))</f>
        <v>2</v>
      </c>
      <c r="K15114">
        <v>9</v>
      </c>
      <c r="L15114">
        <f>IF(AND($J15114=0,$K15114=0),0,1)</f>
        <v>1</v>
      </c>
    </row>
    <row r="15115" spans="1:13" x14ac:dyDescent="0.2">
      <c r="A15115" t="s">
        <v>276</v>
      </c>
      <c r="B15115" t="s">
        <v>71</v>
      </c>
      <c r="C15115" t="s">
        <v>72</v>
      </c>
      <c r="D15115">
        <v>3900</v>
      </c>
      <c r="E15115">
        <v>2021</v>
      </c>
      <c r="F15115">
        <v>10</v>
      </c>
      <c r="G15115">
        <v>18338</v>
      </c>
      <c r="H15115" s="1" t="s">
        <v>1840</v>
      </c>
      <c r="I15115">
        <v>0</v>
      </c>
      <c r="J15115">
        <f>IF($H15115=0,1,IF($I15115&lt;=1,2,0))</f>
        <v>2</v>
      </c>
      <c r="K15115">
        <v>9</v>
      </c>
      <c r="L15115">
        <f>IF(AND($J15115=0,$K15115=0),0,1)</f>
        <v>1</v>
      </c>
    </row>
    <row r="15116" spans="1:13" x14ac:dyDescent="0.2">
      <c r="A15116" t="s">
        <v>276</v>
      </c>
      <c r="B15116" t="s">
        <v>71</v>
      </c>
      <c r="C15116" t="s">
        <v>72</v>
      </c>
      <c r="D15116">
        <v>3900</v>
      </c>
      <c r="E15116">
        <v>2021</v>
      </c>
      <c r="F15116">
        <v>12</v>
      </c>
      <c r="G15116">
        <v>18340</v>
      </c>
      <c r="H15116" s="1" t="s">
        <v>1840</v>
      </c>
      <c r="I15116">
        <v>0</v>
      </c>
      <c r="J15116">
        <f>IF($H15116=0,1,IF($I15116&lt;=1,2,0))</f>
        <v>2</v>
      </c>
      <c r="K15116">
        <v>9</v>
      </c>
      <c r="L15116">
        <f>IF(AND($J15116=0,$K15116=0),0,1)</f>
        <v>1</v>
      </c>
    </row>
    <row r="15117" spans="1:13" x14ac:dyDescent="0.2">
      <c r="A15117" t="s">
        <v>276</v>
      </c>
      <c r="B15117" t="s">
        <v>71</v>
      </c>
      <c r="C15117" t="s">
        <v>72</v>
      </c>
      <c r="D15117">
        <v>3900</v>
      </c>
      <c r="E15117">
        <v>2021</v>
      </c>
      <c r="F15117">
        <v>13</v>
      </c>
      <c r="G15117">
        <v>18341</v>
      </c>
      <c r="H15117" s="1" t="s">
        <v>1840</v>
      </c>
      <c r="I15117">
        <v>0</v>
      </c>
      <c r="J15117">
        <f>IF($H15117=0,1,IF($I15117&lt;=1,2,0))</f>
        <v>2</v>
      </c>
      <c r="K15117">
        <v>9</v>
      </c>
      <c r="L15117">
        <f>IF(AND($J15117=0,$K15117=0),0,1)</f>
        <v>1</v>
      </c>
    </row>
    <row r="15118" spans="1:13" x14ac:dyDescent="0.2">
      <c r="A15118" t="s">
        <v>276</v>
      </c>
      <c r="B15118" t="s">
        <v>71</v>
      </c>
      <c r="C15118" t="s">
        <v>72</v>
      </c>
      <c r="D15118">
        <v>3900</v>
      </c>
      <c r="E15118">
        <v>2021</v>
      </c>
      <c r="F15118">
        <v>14</v>
      </c>
      <c r="G15118">
        <v>18342</v>
      </c>
      <c r="H15118" s="1" t="s">
        <v>1840</v>
      </c>
      <c r="I15118">
        <v>0</v>
      </c>
      <c r="J15118">
        <f>IF($H15118=0,1,IF($I15118&lt;=1,2,0))</f>
        <v>2</v>
      </c>
      <c r="K15118">
        <v>9</v>
      </c>
      <c r="L15118">
        <f>IF(AND($J15118=0,$K15118=0),0,1)</f>
        <v>1</v>
      </c>
    </row>
    <row r="15119" spans="1:13" x14ac:dyDescent="0.2">
      <c r="A15119" t="s">
        <v>276</v>
      </c>
      <c r="B15119" t="s">
        <v>71</v>
      </c>
      <c r="C15119" t="s">
        <v>72</v>
      </c>
      <c r="D15119">
        <v>3998</v>
      </c>
      <c r="E15119">
        <v>2021</v>
      </c>
      <c r="F15119">
        <v>1</v>
      </c>
      <c r="G15119">
        <v>13359</v>
      </c>
      <c r="H15119" s="1" t="s">
        <v>1840</v>
      </c>
      <c r="I15119">
        <v>20</v>
      </c>
      <c r="J15119">
        <f>IF($H15119=0,1,IF($I15119&lt;=1,2,0))</f>
        <v>0</v>
      </c>
      <c r="K15119">
        <v>9</v>
      </c>
      <c r="L15119">
        <f>IF(AND($J15119=0,$K15119=0),0,1)</f>
        <v>1</v>
      </c>
    </row>
    <row r="15120" spans="1:13" x14ac:dyDescent="0.2">
      <c r="A15120" t="s">
        <v>276</v>
      </c>
      <c r="B15120" t="s">
        <v>71</v>
      </c>
      <c r="C15120" t="s">
        <v>72</v>
      </c>
      <c r="D15120">
        <v>4200</v>
      </c>
      <c r="E15120">
        <v>2021</v>
      </c>
      <c r="F15120" t="s">
        <v>84</v>
      </c>
      <c r="G15120">
        <v>18754</v>
      </c>
      <c r="H15120" s="1">
        <v>3</v>
      </c>
      <c r="I15120">
        <v>1</v>
      </c>
      <c r="J15120">
        <f>IF($H15120=0,1,IF($I15120&lt;=1,2,0))</f>
        <v>2</v>
      </c>
      <c r="K15120">
        <v>0</v>
      </c>
      <c r="L15120">
        <f>IF(AND($J15120=0,$K15120=0),0,1)</f>
        <v>1</v>
      </c>
      <c r="M15120" t="s">
        <v>85</v>
      </c>
    </row>
    <row r="15121" spans="1:12" x14ac:dyDescent="0.2">
      <c r="A15121" t="s">
        <v>276</v>
      </c>
      <c r="B15121" t="s">
        <v>71</v>
      </c>
      <c r="C15121" t="s">
        <v>72</v>
      </c>
      <c r="D15121">
        <v>9271</v>
      </c>
      <c r="E15121">
        <v>2021</v>
      </c>
      <c r="F15121">
        <v>16</v>
      </c>
      <c r="G15121">
        <v>18464</v>
      </c>
      <c r="H15121" s="1" t="s">
        <v>1836</v>
      </c>
      <c r="I15121">
        <v>1</v>
      </c>
      <c r="J15121">
        <f>IF($H15121=0,1,IF($I15121&lt;=1,2,0))</f>
        <v>2</v>
      </c>
      <c r="K15121">
        <v>5</v>
      </c>
      <c r="L15121">
        <f>IF(AND($J15121=0,$K15121=0),0,1)</f>
        <v>1</v>
      </c>
    </row>
    <row r="15122" spans="1:12" x14ac:dyDescent="0.2">
      <c r="A15122" t="s">
        <v>276</v>
      </c>
      <c r="B15122" t="s">
        <v>71</v>
      </c>
      <c r="C15122" t="s">
        <v>72</v>
      </c>
      <c r="D15122">
        <v>9280</v>
      </c>
      <c r="E15122">
        <v>2021</v>
      </c>
      <c r="F15122">
        <v>1</v>
      </c>
      <c r="G15122">
        <v>13360</v>
      </c>
      <c r="H15122" s="1">
        <v>0</v>
      </c>
      <c r="I15122">
        <v>64</v>
      </c>
      <c r="J15122">
        <f>IF($H15122=0,1,IF($I15122&lt;=1,2,0))</f>
        <v>1</v>
      </c>
      <c r="K15122">
        <v>5</v>
      </c>
      <c r="L15122">
        <f>IF(AND($J15122=0,$K15122=0),0,1)</f>
        <v>1</v>
      </c>
    </row>
    <row r="15123" spans="1:12" x14ac:dyDescent="0.2">
      <c r="A15123" t="s">
        <v>276</v>
      </c>
      <c r="B15123" t="s">
        <v>71</v>
      </c>
      <c r="C15123" t="s">
        <v>72</v>
      </c>
      <c r="D15123">
        <v>9305</v>
      </c>
      <c r="E15123">
        <v>2021</v>
      </c>
      <c r="F15123">
        <v>3</v>
      </c>
      <c r="G15123">
        <v>18309</v>
      </c>
      <c r="H15123" s="1" t="s">
        <v>1841</v>
      </c>
      <c r="I15123">
        <v>4</v>
      </c>
      <c r="J15123">
        <f>IF($H15123=0,1,IF($I15123&lt;=1,2,0))</f>
        <v>0</v>
      </c>
      <c r="K15123">
        <v>5</v>
      </c>
      <c r="L15123">
        <f>IF(AND($J15123=0,$K15123=0),0,1)</f>
        <v>1</v>
      </c>
    </row>
    <row r="15124" spans="1:12" x14ac:dyDescent="0.2">
      <c r="A15124" t="s">
        <v>276</v>
      </c>
      <c r="B15124" t="s">
        <v>71</v>
      </c>
      <c r="C15124" t="s">
        <v>72</v>
      </c>
      <c r="D15124">
        <v>9305</v>
      </c>
      <c r="E15124">
        <v>2021</v>
      </c>
      <c r="F15124">
        <v>7</v>
      </c>
      <c r="G15124">
        <v>18313</v>
      </c>
      <c r="H15124" s="1" t="s">
        <v>1841</v>
      </c>
      <c r="I15124">
        <v>4</v>
      </c>
      <c r="J15124">
        <f>IF($H15124=0,1,IF($I15124&lt;=1,2,0))</f>
        <v>0</v>
      </c>
      <c r="K15124">
        <v>5</v>
      </c>
      <c r="L15124">
        <f>IF(AND($J15124=0,$K15124=0),0,1)</f>
        <v>1</v>
      </c>
    </row>
    <row r="15125" spans="1:12" x14ac:dyDescent="0.2">
      <c r="A15125" t="s">
        <v>276</v>
      </c>
      <c r="B15125" t="s">
        <v>71</v>
      </c>
      <c r="C15125" t="s">
        <v>72</v>
      </c>
      <c r="D15125">
        <v>9305</v>
      </c>
      <c r="E15125">
        <v>2021</v>
      </c>
      <c r="F15125">
        <v>11</v>
      </c>
      <c r="G15125">
        <v>18318</v>
      </c>
      <c r="H15125" s="1" t="s">
        <v>1841</v>
      </c>
      <c r="I15125">
        <v>4</v>
      </c>
      <c r="J15125">
        <f>IF($H15125=0,1,IF($I15125&lt;=1,2,0))</f>
        <v>0</v>
      </c>
      <c r="K15125">
        <v>5</v>
      </c>
      <c r="L15125">
        <f>IF(AND($J15125=0,$K15125=0),0,1)</f>
        <v>1</v>
      </c>
    </row>
    <row r="15126" spans="1:12" x14ac:dyDescent="0.2">
      <c r="A15126" t="s">
        <v>276</v>
      </c>
      <c r="B15126" t="s">
        <v>71</v>
      </c>
      <c r="C15126" t="s">
        <v>72</v>
      </c>
      <c r="D15126">
        <v>9305</v>
      </c>
      <c r="E15126">
        <v>2021</v>
      </c>
      <c r="F15126">
        <v>15</v>
      </c>
      <c r="G15126">
        <v>18326</v>
      </c>
      <c r="H15126" s="1" t="s">
        <v>1841</v>
      </c>
      <c r="I15126">
        <v>3</v>
      </c>
      <c r="J15126">
        <f>IF($H15126=0,1,IF($I15126&lt;=1,2,0))</f>
        <v>0</v>
      </c>
      <c r="K15126">
        <v>5</v>
      </c>
      <c r="L15126">
        <f>IF(AND($J15126=0,$K15126=0),0,1)</f>
        <v>1</v>
      </c>
    </row>
    <row r="15127" spans="1:12" x14ac:dyDescent="0.2">
      <c r="A15127" t="s">
        <v>276</v>
      </c>
      <c r="B15127" t="s">
        <v>71</v>
      </c>
      <c r="C15127" t="s">
        <v>72</v>
      </c>
      <c r="D15127">
        <v>9305</v>
      </c>
      <c r="E15127">
        <v>2021</v>
      </c>
      <c r="F15127">
        <v>1</v>
      </c>
      <c r="G15127">
        <v>18307</v>
      </c>
      <c r="H15127" s="1" t="s">
        <v>1841</v>
      </c>
      <c r="I15127">
        <v>2</v>
      </c>
      <c r="J15127">
        <f>IF($H15127=0,1,IF($I15127&lt;=1,2,0))</f>
        <v>0</v>
      </c>
      <c r="K15127">
        <v>5</v>
      </c>
      <c r="L15127">
        <f>IF(AND($J15127=0,$K15127=0),0,1)</f>
        <v>1</v>
      </c>
    </row>
    <row r="15128" spans="1:12" x14ac:dyDescent="0.2">
      <c r="A15128" t="s">
        <v>276</v>
      </c>
      <c r="B15128" t="s">
        <v>71</v>
      </c>
      <c r="C15128" t="s">
        <v>72</v>
      </c>
      <c r="D15128">
        <v>9305</v>
      </c>
      <c r="E15128">
        <v>2021</v>
      </c>
      <c r="F15128">
        <v>8</v>
      </c>
      <c r="G15128">
        <v>18314</v>
      </c>
      <c r="H15128" s="1" t="s">
        <v>1841</v>
      </c>
      <c r="I15128">
        <v>2</v>
      </c>
      <c r="J15128">
        <f>IF($H15128=0,1,IF($I15128&lt;=1,2,0))</f>
        <v>0</v>
      </c>
      <c r="K15128">
        <v>5</v>
      </c>
      <c r="L15128">
        <f>IF(AND($J15128=0,$K15128=0),0,1)</f>
        <v>1</v>
      </c>
    </row>
    <row r="15129" spans="1:12" x14ac:dyDescent="0.2">
      <c r="A15129" t="s">
        <v>276</v>
      </c>
      <c r="B15129" t="s">
        <v>71</v>
      </c>
      <c r="C15129" t="s">
        <v>72</v>
      </c>
      <c r="D15129">
        <v>9305</v>
      </c>
      <c r="E15129">
        <v>2021</v>
      </c>
      <c r="F15129">
        <v>16</v>
      </c>
      <c r="G15129">
        <v>18327</v>
      </c>
      <c r="H15129" s="1" t="s">
        <v>1841</v>
      </c>
      <c r="I15129">
        <v>2</v>
      </c>
      <c r="J15129">
        <f>IF($H15129=0,1,IF($I15129&lt;=1,2,0))</f>
        <v>0</v>
      </c>
      <c r="K15129">
        <v>5</v>
      </c>
      <c r="L15129">
        <f>IF(AND($J15129=0,$K15129=0),0,1)</f>
        <v>1</v>
      </c>
    </row>
    <row r="15130" spans="1:12" x14ac:dyDescent="0.2">
      <c r="A15130" t="s">
        <v>276</v>
      </c>
      <c r="B15130" t="s">
        <v>71</v>
      </c>
      <c r="C15130" t="s">
        <v>72</v>
      </c>
      <c r="D15130">
        <v>9305</v>
      </c>
      <c r="E15130">
        <v>2021</v>
      </c>
      <c r="F15130">
        <v>6</v>
      </c>
      <c r="G15130">
        <v>18312</v>
      </c>
      <c r="H15130" s="1" t="s">
        <v>1841</v>
      </c>
      <c r="I15130">
        <v>1</v>
      </c>
      <c r="J15130">
        <f>IF($H15130=0,1,IF($I15130&lt;=1,2,0))</f>
        <v>2</v>
      </c>
      <c r="K15130">
        <v>5</v>
      </c>
      <c r="L15130">
        <f>IF(AND($J15130=0,$K15130=0),0,1)</f>
        <v>1</v>
      </c>
    </row>
    <row r="15131" spans="1:12" x14ac:dyDescent="0.2">
      <c r="A15131" t="s">
        <v>276</v>
      </c>
      <c r="B15131" t="s">
        <v>71</v>
      </c>
      <c r="C15131" t="s">
        <v>72</v>
      </c>
      <c r="D15131">
        <v>9305</v>
      </c>
      <c r="E15131">
        <v>2021</v>
      </c>
      <c r="F15131">
        <v>13</v>
      </c>
      <c r="G15131">
        <v>18321</v>
      </c>
      <c r="H15131" s="1" t="s">
        <v>1841</v>
      </c>
      <c r="I15131">
        <v>1</v>
      </c>
      <c r="J15131">
        <f>IF($H15131=0,1,IF($I15131&lt;=1,2,0))</f>
        <v>2</v>
      </c>
      <c r="K15131">
        <v>5</v>
      </c>
      <c r="L15131">
        <f>IF(AND($J15131=0,$K15131=0),0,1)</f>
        <v>1</v>
      </c>
    </row>
    <row r="15132" spans="1:12" x14ac:dyDescent="0.2">
      <c r="A15132" t="s">
        <v>276</v>
      </c>
      <c r="B15132" t="s">
        <v>71</v>
      </c>
      <c r="C15132" t="s">
        <v>72</v>
      </c>
      <c r="D15132">
        <v>9305</v>
      </c>
      <c r="E15132">
        <v>2021</v>
      </c>
      <c r="F15132">
        <v>2</v>
      </c>
      <c r="G15132">
        <v>18308</v>
      </c>
      <c r="H15132" s="1" t="s">
        <v>1841</v>
      </c>
      <c r="I15132">
        <v>0</v>
      </c>
      <c r="J15132">
        <f>IF($H15132=0,1,IF($I15132&lt;=1,2,0))</f>
        <v>2</v>
      </c>
      <c r="K15132">
        <v>5</v>
      </c>
      <c r="L15132">
        <f>IF(AND($J15132=0,$K15132=0),0,1)</f>
        <v>1</v>
      </c>
    </row>
    <row r="15133" spans="1:12" x14ac:dyDescent="0.2">
      <c r="A15133" t="s">
        <v>276</v>
      </c>
      <c r="B15133" t="s">
        <v>71</v>
      </c>
      <c r="C15133" t="s">
        <v>72</v>
      </c>
      <c r="D15133">
        <v>9305</v>
      </c>
      <c r="E15133">
        <v>2021</v>
      </c>
      <c r="F15133">
        <v>4</v>
      </c>
      <c r="G15133">
        <v>18310</v>
      </c>
      <c r="H15133" s="1" t="s">
        <v>1841</v>
      </c>
      <c r="I15133">
        <v>0</v>
      </c>
      <c r="J15133">
        <f>IF($H15133=0,1,IF($I15133&lt;=1,2,0))</f>
        <v>2</v>
      </c>
      <c r="K15133">
        <v>5</v>
      </c>
      <c r="L15133">
        <f>IF(AND($J15133=0,$K15133=0),0,1)</f>
        <v>1</v>
      </c>
    </row>
    <row r="15134" spans="1:12" x14ac:dyDescent="0.2">
      <c r="A15134" t="s">
        <v>276</v>
      </c>
      <c r="B15134" t="s">
        <v>71</v>
      </c>
      <c r="C15134" t="s">
        <v>72</v>
      </c>
      <c r="D15134">
        <v>9305</v>
      </c>
      <c r="E15134">
        <v>2021</v>
      </c>
      <c r="F15134">
        <v>5</v>
      </c>
      <c r="G15134">
        <v>18311</v>
      </c>
      <c r="H15134" s="1" t="s">
        <v>1841</v>
      </c>
      <c r="I15134">
        <v>0</v>
      </c>
      <c r="J15134">
        <f>IF($H15134=0,1,IF($I15134&lt;=1,2,0))</f>
        <v>2</v>
      </c>
      <c r="K15134">
        <v>5</v>
      </c>
      <c r="L15134">
        <f>IF(AND($J15134=0,$K15134=0),0,1)</f>
        <v>1</v>
      </c>
    </row>
    <row r="15135" spans="1:12" x14ac:dyDescent="0.2">
      <c r="A15135" t="s">
        <v>276</v>
      </c>
      <c r="B15135" t="s">
        <v>71</v>
      </c>
      <c r="C15135" t="s">
        <v>72</v>
      </c>
      <c r="D15135">
        <v>9305</v>
      </c>
      <c r="E15135">
        <v>2021</v>
      </c>
      <c r="F15135">
        <v>9</v>
      </c>
      <c r="G15135">
        <v>18315</v>
      </c>
      <c r="H15135" s="1" t="s">
        <v>1841</v>
      </c>
      <c r="I15135">
        <v>0</v>
      </c>
      <c r="J15135">
        <f>IF($H15135=0,1,IF($I15135&lt;=1,2,0))</f>
        <v>2</v>
      </c>
      <c r="K15135">
        <v>5</v>
      </c>
      <c r="L15135">
        <f>IF(AND($J15135=0,$K15135=0),0,1)</f>
        <v>1</v>
      </c>
    </row>
    <row r="15136" spans="1:12" x14ac:dyDescent="0.2">
      <c r="A15136" t="s">
        <v>276</v>
      </c>
      <c r="B15136" t="s">
        <v>71</v>
      </c>
      <c r="C15136" t="s">
        <v>72</v>
      </c>
      <c r="D15136">
        <v>9305</v>
      </c>
      <c r="E15136">
        <v>2021</v>
      </c>
      <c r="F15136">
        <v>10</v>
      </c>
      <c r="G15136">
        <v>18317</v>
      </c>
      <c r="H15136" s="1" t="s">
        <v>1841</v>
      </c>
      <c r="I15136">
        <v>0</v>
      </c>
      <c r="J15136">
        <f>IF($H15136=0,1,IF($I15136&lt;=1,2,0))</f>
        <v>2</v>
      </c>
      <c r="K15136">
        <v>5</v>
      </c>
      <c r="L15136">
        <f>IF(AND($J15136=0,$K15136=0),0,1)</f>
        <v>1</v>
      </c>
    </row>
    <row r="15137" spans="1:13" x14ac:dyDescent="0.2">
      <c r="A15137" t="s">
        <v>276</v>
      </c>
      <c r="B15137" t="s">
        <v>71</v>
      </c>
      <c r="C15137" t="s">
        <v>72</v>
      </c>
      <c r="D15137">
        <v>9305</v>
      </c>
      <c r="E15137">
        <v>2021</v>
      </c>
      <c r="F15137">
        <v>12</v>
      </c>
      <c r="G15137">
        <v>18320</v>
      </c>
      <c r="H15137" s="1" t="s">
        <v>1841</v>
      </c>
      <c r="I15137">
        <v>0</v>
      </c>
      <c r="J15137">
        <f>IF($H15137=0,1,IF($I15137&lt;=1,2,0))</f>
        <v>2</v>
      </c>
      <c r="K15137">
        <v>5</v>
      </c>
      <c r="L15137">
        <f>IF(AND($J15137=0,$K15137=0),0,1)</f>
        <v>1</v>
      </c>
    </row>
    <row r="15138" spans="1:13" x14ac:dyDescent="0.2">
      <c r="A15138" t="s">
        <v>276</v>
      </c>
      <c r="B15138" t="s">
        <v>71</v>
      </c>
      <c r="C15138" t="s">
        <v>72</v>
      </c>
      <c r="D15138">
        <v>9305</v>
      </c>
      <c r="E15138">
        <v>2021</v>
      </c>
      <c r="F15138">
        <v>14</v>
      </c>
      <c r="G15138">
        <v>18324</v>
      </c>
      <c r="H15138" s="1" t="s">
        <v>1841</v>
      </c>
      <c r="I15138">
        <v>0</v>
      </c>
      <c r="J15138">
        <f>IF($H15138=0,1,IF($I15138&lt;=1,2,0))</f>
        <v>2</v>
      </c>
      <c r="K15138">
        <v>5</v>
      </c>
      <c r="L15138">
        <f>IF(AND($J15138=0,$K15138=0),0,1)</f>
        <v>1</v>
      </c>
    </row>
    <row r="15139" spans="1:13" x14ac:dyDescent="0.2">
      <c r="A15139" t="s">
        <v>276</v>
      </c>
      <c r="B15139" t="s">
        <v>71</v>
      </c>
      <c r="C15139" t="s">
        <v>72</v>
      </c>
      <c r="D15139">
        <v>9800</v>
      </c>
      <c r="E15139">
        <v>2021</v>
      </c>
      <c r="F15139">
        <v>6</v>
      </c>
      <c r="G15139">
        <v>18517</v>
      </c>
      <c r="H15139" s="1" t="s">
        <v>1841</v>
      </c>
      <c r="I15139">
        <v>0</v>
      </c>
      <c r="J15139">
        <f>IF($H15139=0,1,IF($I15139&lt;=1,2,0))</f>
        <v>2</v>
      </c>
      <c r="K15139">
        <v>5</v>
      </c>
      <c r="L15139">
        <f>IF(AND($J15139=0,$K15139=0),0,1)</f>
        <v>1</v>
      </c>
    </row>
    <row r="15140" spans="1:13" x14ac:dyDescent="0.2">
      <c r="A15140" t="s">
        <v>277</v>
      </c>
      <c r="B15140" t="s">
        <v>17</v>
      </c>
      <c r="C15140" t="s">
        <v>11</v>
      </c>
      <c r="D15140">
        <v>9335</v>
      </c>
      <c r="E15140">
        <v>2021</v>
      </c>
      <c r="F15140">
        <v>1</v>
      </c>
      <c r="G15140">
        <v>10927</v>
      </c>
      <c r="H15140" s="1">
        <v>4</v>
      </c>
      <c r="I15140">
        <v>9</v>
      </c>
      <c r="J15140">
        <f>IF($H15140=0,1,IF($I15140&lt;=1,2,0))</f>
        <v>0</v>
      </c>
      <c r="K15140">
        <v>5</v>
      </c>
      <c r="L15140">
        <f>IF(AND($J15140=0,$K15140=0),0,1)</f>
        <v>1</v>
      </c>
    </row>
    <row r="15141" spans="1:13" x14ac:dyDescent="0.2">
      <c r="A15141" t="s">
        <v>281</v>
      </c>
      <c r="B15141" t="s">
        <v>6</v>
      </c>
      <c r="C15141" t="s">
        <v>2</v>
      </c>
      <c r="D15141">
        <v>3066</v>
      </c>
      <c r="E15141">
        <v>2021</v>
      </c>
      <c r="F15141">
        <v>1</v>
      </c>
      <c r="G15141">
        <v>221</v>
      </c>
      <c r="H15141" s="1">
        <v>4</v>
      </c>
      <c r="I15141">
        <v>7</v>
      </c>
      <c r="J15141">
        <f>IF($H15141=0,1,IF($I15141&lt;=1,2,0))</f>
        <v>0</v>
      </c>
      <c r="K15141">
        <v>7</v>
      </c>
      <c r="L15141">
        <f>IF(AND($J15141=0,$K15141=0),0,1)</f>
        <v>1</v>
      </c>
    </row>
    <row r="15142" spans="1:13" x14ac:dyDescent="0.2">
      <c r="A15142" t="s">
        <v>282</v>
      </c>
      <c r="B15142" t="s">
        <v>6</v>
      </c>
      <c r="C15142" t="s">
        <v>2</v>
      </c>
      <c r="D15142">
        <v>1003</v>
      </c>
      <c r="E15142">
        <v>2021</v>
      </c>
      <c r="F15142">
        <v>1</v>
      </c>
      <c r="G15142">
        <v>345</v>
      </c>
      <c r="H15142" s="1">
        <v>3</v>
      </c>
      <c r="I15142">
        <v>55</v>
      </c>
      <c r="J15142">
        <f>IF($H15142=0,1,IF($I15142&lt;=1,2,0))</f>
        <v>0</v>
      </c>
      <c r="K15142">
        <v>7</v>
      </c>
      <c r="L15142">
        <f>IF(AND($J15142=0,$K15142=0),0,1)</f>
        <v>1</v>
      </c>
      <c r="M15142" t="s">
        <v>1482</v>
      </c>
    </row>
    <row r="15143" spans="1:13" x14ac:dyDescent="0.2">
      <c r="A15143" t="s">
        <v>282</v>
      </c>
      <c r="B15143" t="s">
        <v>6</v>
      </c>
      <c r="C15143" t="s">
        <v>2</v>
      </c>
      <c r="D15143">
        <v>1003</v>
      </c>
      <c r="E15143">
        <v>2021</v>
      </c>
      <c r="F15143">
        <v>2</v>
      </c>
      <c r="G15143">
        <v>223</v>
      </c>
      <c r="H15143" s="1">
        <v>3</v>
      </c>
      <c r="I15143">
        <v>50</v>
      </c>
      <c r="J15143">
        <f>IF($H15143=0,1,IF($I15143&lt;=1,2,0))</f>
        <v>0</v>
      </c>
      <c r="K15143">
        <v>7</v>
      </c>
      <c r="L15143">
        <f>IF(AND($J15143=0,$K15143=0),0,1)</f>
        <v>1</v>
      </c>
    </row>
    <row r="15144" spans="1:13" x14ac:dyDescent="0.2">
      <c r="A15144" t="s">
        <v>282</v>
      </c>
      <c r="B15144" t="s">
        <v>6</v>
      </c>
      <c r="C15144" t="s">
        <v>2</v>
      </c>
      <c r="D15144">
        <v>1007</v>
      </c>
      <c r="E15144">
        <v>2021</v>
      </c>
      <c r="F15144">
        <v>1</v>
      </c>
      <c r="G15144">
        <v>343</v>
      </c>
      <c r="H15144" s="1">
        <v>4</v>
      </c>
      <c r="I15144">
        <v>54</v>
      </c>
      <c r="J15144">
        <f>IF($H15144=0,1,IF($I15144&lt;=1,2,0))</f>
        <v>0</v>
      </c>
      <c r="K15144">
        <v>7</v>
      </c>
      <c r="L15144">
        <f>IF(AND($J15144=0,$K15144=0),0,1)</f>
        <v>1</v>
      </c>
    </row>
    <row r="15145" spans="1:13" x14ac:dyDescent="0.2">
      <c r="A15145" t="s">
        <v>282</v>
      </c>
      <c r="B15145" t="s">
        <v>6</v>
      </c>
      <c r="C15145" t="s">
        <v>9</v>
      </c>
      <c r="D15145">
        <v>1155</v>
      </c>
      <c r="E15145">
        <v>2021</v>
      </c>
      <c r="F15145">
        <v>1</v>
      </c>
      <c r="G15145">
        <v>10435</v>
      </c>
      <c r="H15145" s="1">
        <v>0</v>
      </c>
      <c r="I15145">
        <v>544</v>
      </c>
      <c r="J15145">
        <f>IF($H15145=0,1,IF($I15145&lt;=1,2,0))</f>
        <v>1</v>
      </c>
      <c r="K15145">
        <v>0</v>
      </c>
      <c r="L15145">
        <f>IF(AND($J15145=0,$K15145=0),0,1)</f>
        <v>1</v>
      </c>
    </row>
    <row r="15146" spans="1:13" x14ac:dyDescent="0.2">
      <c r="A15146" t="s">
        <v>282</v>
      </c>
      <c r="B15146" t="s">
        <v>6</v>
      </c>
      <c r="C15146" t="s">
        <v>2</v>
      </c>
      <c r="D15146">
        <v>2010</v>
      </c>
      <c r="E15146">
        <v>2021</v>
      </c>
      <c r="F15146">
        <v>1</v>
      </c>
      <c r="G15146">
        <v>224</v>
      </c>
      <c r="H15146" s="1">
        <v>3</v>
      </c>
      <c r="I15146">
        <v>123</v>
      </c>
      <c r="J15146">
        <f>IF($H15146=0,1,IF($I15146&lt;=1,2,0))</f>
        <v>0</v>
      </c>
      <c r="K15146">
        <v>7</v>
      </c>
      <c r="L15146">
        <f>IF(AND($J15146=0,$K15146=0),0,1)</f>
        <v>1</v>
      </c>
    </row>
    <row r="15147" spans="1:13" x14ac:dyDescent="0.2">
      <c r="A15147" t="s">
        <v>282</v>
      </c>
      <c r="B15147" t="s">
        <v>6</v>
      </c>
      <c r="C15147" t="s">
        <v>2</v>
      </c>
      <c r="D15147">
        <v>2020</v>
      </c>
      <c r="E15147">
        <v>2021</v>
      </c>
      <c r="F15147">
        <v>1</v>
      </c>
      <c r="G15147">
        <v>225</v>
      </c>
      <c r="H15147" s="1">
        <v>3</v>
      </c>
      <c r="I15147">
        <v>55</v>
      </c>
      <c r="J15147">
        <f>IF($H15147=0,1,IF($I15147&lt;=1,2,0))</f>
        <v>0</v>
      </c>
      <c r="K15147">
        <v>7</v>
      </c>
      <c r="L15147">
        <f>IF(AND($J15147=0,$K15147=0),0,1)</f>
        <v>1</v>
      </c>
    </row>
    <row r="15148" spans="1:13" x14ac:dyDescent="0.2">
      <c r="A15148" t="s">
        <v>282</v>
      </c>
      <c r="B15148" t="s">
        <v>6</v>
      </c>
      <c r="C15148" t="s">
        <v>2</v>
      </c>
      <c r="D15148">
        <v>2411</v>
      </c>
      <c r="E15148">
        <v>2021</v>
      </c>
      <c r="F15148">
        <v>1</v>
      </c>
      <c r="G15148">
        <v>226</v>
      </c>
      <c r="H15148" s="1">
        <v>4</v>
      </c>
      <c r="I15148">
        <v>20</v>
      </c>
      <c r="J15148">
        <f>IF($H15148=0,1,IF($I15148&lt;=1,2,0))</f>
        <v>0</v>
      </c>
      <c r="K15148">
        <v>7</v>
      </c>
      <c r="L15148">
        <f>IF(AND($J15148=0,$K15148=0),0,1)</f>
        <v>1</v>
      </c>
      <c r="M15148" t="s">
        <v>1483</v>
      </c>
    </row>
    <row r="15149" spans="1:13" x14ac:dyDescent="0.2">
      <c r="A15149" t="s">
        <v>282</v>
      </c>
      <c r="B15149" t="s">
        <v>6</v>
      </c>
      <c r="C15149" t="s">
        <v>2</v>
      </c>
      <c r="D15149">
        <v>2413</v>
      </c>
      <c r="E15149">
        <v>2021</v>
      </c>
      <c r="F15149">
        <v>1</v>
      </c>
      <c r="G15149">
        <v>227</v>
      </c>
      <c r="H15149" s="1">
        <v>0</v>
      </c>
      <c r="I15149">
        <v>1</v>
      </c>
      <c r="J15149">
        <f>IF($H15149=0,1,IF($I15149&lt;=1,2,0))</f>
        <v>1</v>
      </c>
      <c r="K15149">
        <v>7</v>
      </c>
      <c r="L15149">
        <f>IF(AND($J15149=0,$K15149=0),0,1)</f>
        <v>1</v>
      </c>
    </row>
    <row r="15150" spans="1:13" x14ac:dyDescent="0.2">
      <c r="A15150" t="s">
        <v>282</v>
      </c>
      <c r="B15150" t="s">
        <v>6</v>
      </c>
      <c r="C15150" t="s">
        <v>2</v>
      </c>
      <c r="D15150">
        <v>3011</v>
      </c>
      <c r="E15150">
        <v>2021</v>
      </c>
      <c r="F15150">
        <v>1</v>
      </c>
      <c r="G15150">
        <v>228</v>
      </c>
      <c r="H15150" s="1">
        <v>3</v>
      </c>
      <c r="I15150">
        <v>62</v>
      </c>
      <c r="J15150">
        <f>IF($H15150=0,1,IF($I15150&lt;=1,2,0))</f>
        <v>0</v>
      </c>
      <c r="K15150">
        <v>7</v>
      </c>
      <c r="L15150">
        <f>IF(AND($J15150=0,$K15150=0),0,1)</f>
        <v>1</v>
      </c>
      <c r="M15150" t="s">
        <v>286</v>
      </c>
    </row>
    <row r="15151" spans="1:13" x14ac:dyDescent="0.2">
      <c r="A15151" t="s">
        <v>282</v>
      </c>
      <c r="B15151" t="s">
        <v>6</v>
      </c>
      <c r="C15151" t="s">
        <v>2</v>
      </c>
      <c r="D15151">
        <v>3013</v>
      </c>
      <c r="E15151">
        <v>2021</v>
      </c>
      <c r="F15151">
        <v>1</v>
      </c>
      <c r="G15151">
        <v>229</v>
      </c>
      <c r="H15151" s="1">
        <v>3</v>
      </c>
      <c r="I15151">
        <v>46</v>
      </c>
      <c r="J15151">
        <f>IF($H15151=0,1,IF($I15151&lt;=1,2,0))</f>
        <v>0</v>
      </c>
      <c r="K15151">
        <v>7</v>
      </c>
      <c r="L15151">
        <f>IF(AND($J15151=0,$K15151=0),0,1)</f>
        <v>1</v>
      </c>
    </row>
    <row r="15152" spans="1:13" x14ac:dyDescent="0.2">
      <c r="A15152" t="s">
        <v>282</v>
      </c>
      <c r="B15152" t="s">
        <v>6</v>
      </c>
      <c r="C15152" t="s">
        <v>2</v>
      </c>
      <c r="D15152">
        <v>3018</v>
      </c>
      <c r="E15152">
        <v>2021</v>
      </c>
      <c r="F15152">
        <v>1</v>
      </c>
      <c r="G15152">
        <v>347</v>
      </c>
      <c r="H15152" s="1">
        <v>4</v>
      </c>
      <c r="I15152">
        <v>36</v>
      </c>
      <c r="J15152">
        <f>IF($H15152=0,1,IF($I15152&lt;=1,2,0))</f>
        <v>0</v>
      </c>
      <c r="K15152">
        <v>7</v>
      </c>
      <c r="L15152">
        <f>IF(AND($J15152=0,$K15152=0),0,1)</f>
        <v>1</v>
      </c>
      <c r="M15152" t="s">
        <v>1484</v>
      </c>
    </row>
    <row r="15153" spans="1:13" x14ac:dyDescent="0.2">
      <c r="A15153" t="s">
        <v>282</v>
      </c>
      <c r="B15153" t="s">
        <v>6</v>
      </c>
      <c r="C15153" t="s">
        <v>2</v>
      </c>
      <c r="D15153">
        <v>3019</v>
      </c>
      <c r="E15153">
        <v>2021</v>
      </c>
      <c r="F15153">
        <v>1</v>
      </c>
      <c r="G15153">
        <v>230</v>
      </c>
      <c r="H15153" s="1">
        <v>3</v>
      </c>
      <c r="I15153">
        <v>30</v>
      </c>
      <c r="J15153">
        <f>IF($H15153=0,1,IF($I15153&lt;=1,2,0))</f>
        <v>0</v>
      </c>
      <c r="K15153">
        <v>7</v>
      </c>
      <c r="L15153">
        <f>IF(AND($J15153=0,$K15153=0),0,1)</f>
        <v>1</v>
      </c>
      <c r="M15153" t="s">
        <v>288</v>
      </c>
    </row>
    <row r="15154" spans="1:13" x14ac:dyDescent="0.2">
      <c r="A15154" t="s">
        <v>282</v>
      </c>
      <c r="B15154" t="s">
        <v>6</v>
      </c>
      <c r="C15154" t="s">
        <v>2</v>
      </c>
      <c r="D15154">
        <v>3026</v>
      </c>
      <c r="E15154">
        <v>2021</v>
      </c>
      <c r="F15154">
        <v>1</v>
      </c>
      <c r="G15154">
        <v>231</v>
      </c>
      <c r="H15154" s="1">
        <v>3</v>
      </c>
      <c r="I15154">
        <v>40</v>
      </c>
      <c r="J15154">
        <f>IF($H15154=0,1,IF($I15154&lt;=1,2,0))</f>
        <v>0</v>
      </c>
      <c r="K15154">
        <v>7</v>
      </c>
      <c r="L15154">
        <f>IF(AND($J15154=0,$K15154=0),0,1)</f>
        <v>1</v>
      </c>
      <c r="M15154" t="s">
        <v>288</v>
      </c>
    </row>
    <row r="15155" spans="1:13" x14ac:dyDescent="0.2">
      <c r="A15155" t="s">
        <v>282</v>
      </c>
      <c r="B15155" t="s">
        <v>6</v>
      </c>
      <c r="C15155" t="s">
        <v>2</v>
      </c>
      <c r="D15155">
        <v>3033</v>
      </c>
      <c r="E15155">
        <v>2021</v>
      </c>
      <c r="F15155">
        <v>1</v>
      </c>
      <c r="G15155">
        <v>232</v>
      </c>
      <c r="H15155" s="1">
        <v>4</v>
      </c>
      <c r="I15155">
        <v>76</v>
      </c>
      <c r="J15155">
        <f>IF($H15155=0,1,IF($I15155&lt;=1,2,0))</f>
        <v>0</v>
      </c>
      <c r="K15155">
        <v>7</v>
      </c>
      <c r="L15155">
        <f>IF(AND($J15155=0,$K15155=0),0,1)</f>
        <v>1</v>
      </c>
      <c r="M15155" t="s">
        <v>1923</v>
      </c>
    </row>
    <row r="15156" spans="1:13" x14ac:dyDescent="0.2">
      <c r="A15156" t="s">
        <v>282</v>
      </c>
      <c r="B15156" t="s">
        <v>6</v>
      </c>
      <c r="C15156" t="s">
        <v>2</v>
      </c>
      <c r="D15156">
        <v>3035</v>
      </c>
      <c r="E15156">
        <v>2021</v>
      </c>
      <c r="F15156">
        <v>1</v>
      </c>
      <c r="G15156">
        <v>233</v>
      </c>
      <c r="H15156" s="1">
        <v>4</v>
      </c>
      <c r="I15156">
        <v>24</v>
      </c>
      <c r="J15156">
        <f>IF($H15156=0,1,IF($I15156&lt;=1,2,0))</f>
        <v>0</v>
      </c>
      <c r="K15156">
        <v>7</v>
      </c>
      <c r="L15156">
        <f>IF(AND($J15156=0,$K15156=0),0,1)</f>
        <v>1</v>
      </c>
      <c r="M15156" t="s">
        <v>2055</v>
      </c>
    </row>
    <row r="15157" spans="1:13" x14ac:dyDescent="0.2">
      <c r="A15157" t="s">
        <v>282</v>
      </c>
      <c r="B15157" t="s">
        <v>6</v>
      </c>
      <c r="C15157" t="s">
        <v>2</v>
      </c>
      <c r="D15157">
        <v>3035</v>
      </c>
      <c r="E15157">
        <v>2021</v>
      </c>
      <c r="F15157">
        <v>2</v>
      </c>
      <c r="G15157">
        <v>348</v>
      </c>
      <c r="H15157" s="1">
        <v>4</v>
      </c>
      <c r="I15157">
        <v>14</v>
      </c>
      <c r="J15157">
        <f>IF($H15157=0,1,IF($I15157&lt;=1,2,0))</f>
        <v>0</v>
      </c>
      <c r="K15157">
        <v>7</v>
      </c>
      <c r="L15157">
        <f>IF(AND($J15157=0,$K15157=0),0,1)</f>
        <v>1</v>
      </c>
      <c r="M15157" t="s">
        <v>1989</v>
      </c>
    </row>
    <row r="15158" spans="1:13" x14ac:dyDescent="0.2">
      <c r="A15158" t="s">
        <v>282</v>
      </c>
      <c r="B15158" t="s">
        <v>6</v>
      </c>
      <c r="C15158" t="s">
        <v>2</v>
      </c>
      <c r="D15158">
        <v>3041</v>
      </c>
      <c r="E15158">
        <v>2021</v>
      </c>
      <c r="F15158">
        <v>2</v>
      </c>
      <c r="G15158">
        <v>235</v>
      </c>
      <c r="H15158" s="1">
        <v>3</v>
      </c>
      <c r="I15158">
        <v>37</v>
      </c>
      <c r="J15158">
        <f>IF($H15158=0,1,IF($I15158&lt;=1,2,0))</f>
        <v>0</v>
      </c>
      <c r="K15158">
        <v>7</v>
      </c>
      <c r="L15158">
        <f>IF(AND($J15158=0,$K15158=0),0,1)</f>
        <v>1</v>
      </c>
      <c r="M15158" t="s">
        <v>292</v>
      </c>
    </row>
    <row r="15159" spans="1:13" x14ac:dyDescent="0.2">
      <c r="A15159" t="s">
        <v>282</v>
      </c>
      <c r="B15159" t="s">
        <v>6</v>
      </c>
      <c r="C15159" t="s">
        <v>2</v>
      </c>
      <c r="D15159">
        <v>3041</v>
      </c>
      <c r="E15159">
        <v>2021</v>
      </c>
      <c r="F15159">
        <v>1</v>
      </c>
      <c r="G15159">
        <v>234</v>
      </c>
      <c r="H15159" s="1">
        <v>3</v>
      </c>
      <c r="I15159">
        <v>35</v>
      </c>
      <c r="J15159">
        <f>IF($H15159=0,1,IF($I15159&lt;=1,2,0))</f>
        <v>0</v>
      </c>
      <c r="K15159">
        <v>7</v>
      </c>
      <c r="L15159">
        <f>IF(AND($J15159=0,$K15159=0),0,1)</f>
        <v>1</v>
      </c>
      <c r="M15159" t="s">
        <v>292</v>
      </c>
    </row>
    <row r="15160" spans="1:13" x14ac:dyDescent="0.2">
      <c r="A15160" t="s">
        <v>282</v>
      </c>
      <c r="B15160" t="s">
        <v>6</v>
      </c>
      <c r="C15160" t="s">
        <v>2</v>
      </c>
      <c r="D15160">
        <v>3048</v>
      </c>
      <c r="E15160">
        <v>2021</v>
      </c>
      <c r="F15160">
        <v>1</v>
      </c>
      <c r="G15160">
        <v>237</v>
      </c>
      <c r="H15160" s="1">
        <v>3</v>
      </c>
      <c r="I15160">
        <v>44</v>
      </c>
      <c r="J15160">
        <f>IF($H15160=0,1,IF($I15160&lt;=1,2,0))</f>
        <v>0</v>
      </c>
      <c r="K15160">
        <v>7</v>
      </c>
      <c r="L15160">
        <f>IF(AND($J15160=0,$K15160=0),0,1)</f>
        <v>1</v>
      </c>
    </row>
    <row r="15161" spans="1:13" x14ac:dyDescent="0.2">
      <c r="A15161" t="s">
        <v>282</v>
      </c>
      <c r="B15161" t="s">
        <v>6</v>
      </c>
      <c r="C15161" t="s">
        <v>2</v>
      </c>
      <c r="D15161">
        <v>3061</v>
      </c>
      <c r="E15161">
        <v>2021</v>
      </c>
      <c r="F15161">
        <v>1</v>
      </c>
      <c r="G15161">
        <v>238</v>
      </c>
      <c r="H15161" s="1">
        <v>4</v>
      </c>
      <c r="I15161">
        <v>6</v>
      </c>
      <c r="J15161">
        <f>IF($H15161=0,1,IF($I15161&lt;=1,2,0))</f>
        <v>0</v>
      </c>
      <c r="K15161">
        <v>7</v>
      </c>
      <c r="L15161">
        <f>IF(AND($J15161=0,$K15161=0),0,1)</f>
        <v>1</v>
      </c>
      <c r="M15161" t="s">
        <v>1485</v>
      </c>
    </row>
    <row r="15162" spans="1:13" x14ac:dyDescent="0.2">
      <c r="A15162" t="s">
        <v>282</v>
      </c>
      <c r="B15162" t="s">
        <v>6</v>
      </c>
      <c r="C15162" t="s">
        <v>2</v>
      </c>
      <c r="D15162">
        <v>3061</v>
      </c>
      <c r="E15162">
        <v>2021</v>
      </c>
      <c r="F15162">
        <v>3</v>
      </c>
      <c r="G15162">
        <v>240</v>
      </c>
      <c r="H15162" s="1">
        <v>4</v>
      </c>
      <c r="I15162">
        <v>6</v>
      </c>
      <c r="J15162">
        <f>IF($H15162=0,1,IF($I15162&lt;=1,2,0))</f>
        <v>0</v>
      </c>
      <c r="K15162">
        <v>7</v>
      </c>
      <c r="L15162">
        <f>IF(AND($J15162=0,$K15162=0),0,1)</f>
        <v>1</v>
      </c>
      <c r="M15162" t="s">
        <v>1485</v>
      </c>
    </row>
    <row r="15163" spans="1:13" x14ac:dyDescent="0.2">
      <c r="A15163" t="s">
        <v>282</v>
      </c>
      <c r="B15163" t="s">
        <v>6</v>
      </c>
      <c r="C15163" t="s">
        <v>2</v>
      </c>
      <c r="D15163">
        <v>3061</v>
      </c>
      <c r="E15163">
        <v>2021</v>
      </c>
      <c r="F15163">
        <v>2</v>
      </c>
      <c r="G15163">
        <v>239</v>
      </c>
      <c r="H15163" s="1">
        <v>4</v>
      </c>
      <c r="I15163">
        <v>4</v>
      </c>
      <c r="J15163">
        <f>IF($H15163=0,1,IF($I15163&lt;=1,2,0))</f>
        <v>0</v>
      </c>
      <c r="K15163">
        <v>7</v>
      </c>
      <c r="L15163">
        <f>IF(AND($J15163=0,$K15163=0),0,1)</f>
        <v>1</v>
      </c>
      <c r="M15163" t="s">
        <v>1485</v>
      </c>
    </row>
    <row r="15164" spans="1:13" x14ac:dyDescent="0.2">
      <c r="A15164" t="s">
        <v>282</v>
      </c>
      <c r="B15164" t="s">
        <v>6</v>
      </c>
      <c r="C15164" t="s">
        <v>2</v>
      </c>
      <c r="D15164">
        <v>3063</v>
      </c>
      <c r="E15164">
        <v>2021</v>
      </c>
      <c r="F15164">
        <v>3</v>
      </c>
      <c r="G15164">
        <v>243</v>
      </c>
      <c r="H15164" s="1">
        <v>4</v>
      </c>
      <c r="I15164">
        <v>16</v>
      </c>
      <c r="J15164">
        <f>IF($H15164=0,1,IF($I15164&lt;=1,2,0))</f>
        <v>0</v>
      </c>
      <c r="K15164">
        <v>7</v>
      </c>
      <c r="L15164">
        <f>IF(AND($J15164=0,$K15164=0),0,1)</f>
        <v>1</v>
      </c>
      <c r="M15164" t="s">
        <v>975</v>
      </c>
    </row>
    <row r="15165" spans="1:13" x14ac:dyDescent="0.2">
      <c r="A15165" t="s">
        <v>282</v>
      </c>
      <c r="B15165" t="s">
        <v>6</v>
      </c>
      <c r="C15165" t="s">
        <v>2</v>
      </c>
      <c r="D15165">
        <v>3063</v>
      </c>
      <c r="E15165">
        <v>2021</v>
      </c>
      <c r="F15165">
        <v>2</v>
      </c>
      <c r="G15165">
        <v>242</v>
      </c>
      <c r="H15165" s="1">
        <v>4</v>
      </c>
      <c r="I15165">
        <v>15</v>
      </c>
      <c r="J15165">
        <f>IF($H15165=0,1,IF($I15165&lt;=1,2,0))</f>
        <v>0</v>
      </c>
      <c r="K15165">
        <v>7</v>
      </c>
      <c r="L15165">
        <f>IF(AND($J15165=0,$K15165=0),0,1)</f>
        <v>1</v>
      </c>
      <c r="M15165" t="s">
        <v>1485</v>
      </c>
    </row>
    <row r="15166" spans="1:13" x14ac:dyDescent="0.2">
      <c r="A15166" t="s">
        <v>282</v>
      </c>
      <c r="B15166" t="s">
        <v>6</v>
      </c>
      <c r="C15166" t="s">
        <v>2</v>
      </c>
      <c r="D15166">
        <v>3063</v>
      </c>
      <c r="E15166">
        <v>2021</v>
      </c>
      <c r="F15166">
        <v>1</v>
      </c>
      <c r="G15166">
        <v>241</v>
      </c>
      <c r="H15166" s="1">
        <v>4</v>
      </c>
      <c r="I15166">
        <v>14</v>
      </c>
      <c r="J15166">
        <f>IF($H15166=0,1,IF($I15166&lt;=1,2,0))</f>
        <v>0</v>
      </c>
      <c r="K15166">
        <v>7</v>
      </c>
      <c r="L15166">
        <f>IF(AND($J15166=0,$K15166=0),0,1)</f>
        <v>1</v>
      </c>
      <c r="M15166" t="s">
        <v>1485</v>
      </c>
    </row>
    <row r="15167" spans="1:13" x14ac:dyDescent="0.2">
      <c r="A15167" t="s">
        <v>282</v>
      </c>
      <c r="B15167" t="s">
        <v>6</v>
      </c>
      <c r="C15167" t="s">
        <v>2</v>
      </c>
      <c r="D15167">
        <v>3063</v>
      </c>
      <c r="E15167">
        <v>2021</v>
      </c>
      <c r="F15167">
        <v>4</v>
      </c>
      <c r="G15167">
        <v>754</v>
      </c>
      <c r="H15167" s="1">
        <v>4</v>
      </c>
      <c r="I15167">
        <v>13</v>
      </c>
      <c r="J15167">
        <f>IF($H15167=0,1,IF($I15167&lt;=1,2,0))</f>
        <v>0</v>
      </c>
      <c r="K15167">
        <v>7</v>
      </c>
      <c r="L15167">
        <f>IF(AND($J15167=0,$K15167=0),0,1)</f>
        <v>1</v>
      </c>
    </row>
    <row r="15168" spans="1:13" x14ac:dyDescent="0.2">
      <c r="A15168" t="s">
        <v>282</v>
      </c>
      <c r="B15168" t="s">
        <v>6</v>
      </c>
      <c r="C15168" t="s">
        <v>2</v>
      </c>
      <c r="D15168">
        <v>3098</v>
      </c>
      <c r="E15168">
        <v>2021</v>
      </c>
      <c r="F15168">
        <v>2</v>
      </c>
      <c r="G15168">
        <v>245</v>
      </c>
      <c r="H15168" s="1" t="s">
        <v>1837</v>
      </c>
      <c r="I15168">
        <v>3</v>
      </c>
      <c r="J15168">
        <f>IF($H15168=0,1,IF($I15168&lt;=1,2,0))</f>
        <v>0</v>
      </c>
      <c r="K15168">
        <v>7</v>
      </c>
      <c r="L15168">
        <f>IF(AND($J15168=0,$K15168=0),0,1)</f>
        <v>1</v>
      </c>
      <c r="M15168" t="s">
        <v>294</v>
      </c>
    </row>
    <row r="15169" spans="1:13" x14ac:dyDescent="0.2">
      <c r="A15169" t="s">
        <v>282</v>
      </c>
      <c r="B15169" t="s">
        <v>6</v>
      </c>
      <c r="C15169" t="s">
        <v>2</v>
      </c>
      <c r="D15169">
        <v>3098</v>
      </c>
      <c r="E15169">
        <v>2021</v>
      </c>
      <c r="F15169">
        <v>10</v>
      </c>
      <c r="G15169">
        <v>253</v>
      </c>
      <c r="H15169" s="1" t="s">
        <v>1837</v>
      </c>
      <c r="I15169">
        <v>2</v>
      </c>
      <c r="J15169">
        <f>IF($H15169=0,1,IF($I15169&lt;=1,2,0))</f>
        <v>0</v>
      </c>
      <c r="K15169">
        <v>7</v>
      </c>
      <c r="L15169">
        <f>IF(AND($J15169=0,$K15169=0),0,1)</f>
        <v>1</v>
      </c>
    </row>
    <row r="15170" spans="1:13" x14ac:dyDescent="0.2">
      <c r="A15170" t="s">
        <v>282</v>
      </c>
      <c r="B15170" t="s">
        <v>6</v>
      </c>
      <c r="C15170" t="s">
        <v>2</v>
      </c>
      <c r="D15170">
        <v>3098</v>
      </c>
      <c r="E15170">
        <v>2021</v>
      </c>
      <c r="F15170">
        <v>5</v>
      </c>
      <c r="G15170">
        <v>248</v>
      </c>
      <c r="H15170" s="1" t="s">
        <v>1837</v>
      </c>
      <c r="I15170">
        <v>1</v>
      </c>
      <c r="J15170">
        <f>IF($H15170=0,1,IF($I15170&lt;=1,2,0))</f>
        <v>2</v>
      </c>
      <c r="K15170">
        <v>7</v>
      </c>
      <c r="L15170">
        <f>IF(AND($J15170=0,$K15170=0),0,1)</f>
        <v>1</v>
      </c>
      <c r="M15170" t="s">
        <v>294</v>
      </c>
    </row>
    <row r="15171" spans="1:13" x14ac:dyDescent="0.2">
      <c r="A15171" t="s">
        <v>282</v>
      </c>
      <c r="B15171" t="s">
        <v>6</v>
      </c>
      <c r="C15171" t="s">
        <v>2</v>
      </c>
      <c r="D15171">
        <v>3098</v>
      </c>
      <c r="E15171">
        <v>2021</v>
      </c>
      <c r="F15171">
        <v>1</v>
      </c>
      <c r="G15171">
        <v>244</v>
      </c>
      <c r="H15171" s="1" t="s">
        <v>1837</v>
      </c>
      <c r="I15171">
        <v>0</v>
      </c>
      <c r="J15171">
        <f>IF($H15171=0,1,IF($I15171&lt;=1,2,0))</f>
        <v>2</v>
      </c>
      <c r="K15171">
        <v>7</v>
      </c>
      <c r="L15171">
        <f>IF(AND($J15171=0,$K15171=0),0,1)</f>
        <v>1</v>
      </c>
      <c r="M15171" t="s">
        <v>294</v>
      </c>
    </row>
    <row r="15172" spans="1:13" x14ac:dyDescent="0.2">
      <c r="A15172" t="s">
        <v>282</v>
      </c>
      <c r="B15172" t="s">
        <v>6</v>
      </c>
      <c r="C15172" t="s">
        <v>2</v>
      </c>
      <c r="D15172">
        <v>3098</v>
      </c>
      <c r="E15172">
        <v>2021</v>
      </c>
      <c r="F15172">
        <v>3</v>
      </c>
      <c r="G15172">
        <v>246</v>
      </c>
      <c r="H15172" s="1" t="s">
        <v>1837</v>
      </c>
      <c r="I15172">
        <v>0</v>
      </c>
      <c r="J15172">
        <f>IF($H15172=0,1,IF($I15172&lt;=1,2,0))</f>
        <v>2</v>
      </c>
      <c r="K15172">
        <v>7</v>
      </c>
      <c r="L15172">
        <f>IF(AND($J15172=0,$K15172=0),0,1)</f>
        <v>1</v>
      </c>
      <c r="M15172" t="s">
        <v>294</v>
      </c>
    </row>
    <row r="15173" spans="1:13" x14ac:dyDescent="0.2">
      <c r="A15173" t="s">
        <v>282</v>
      </c>
      <c r="B15173" t="s">
        <v>6</v>
      </c>
      <c r="C15173" t="s">
        <v>2</v>
      </c>
      <c r="D15173">
        <v>3098</v>
      </c>
      <c r="E15173">
        <v>2021</v>
      </c>
      <c r="F15173">
        <v>4</v>
      </c>
      <c r="G15173">
        <v>247</v>
      </c>
      <c r="H15173" s="1" t="s">
        <v>1837</v>
      </c>
      <c r="I15173">
        <v>0</v>
      </c>
      <c r="J15173">
        <f>IF($H15173=0,1,IF($I15173&lt;=1,2,0))</f>
        <v>2</v>
      </c>
      <c r="K15173">
        <v>7</v>
      </c>
      <c r="L15173">
        <f>IF(AND($J15173=0,$K15173=0),0,1)</f>
        <v>1</v>
      </c>
      <c r="M15173" t="s">
        <v>294</v>
      </c>
    </row>
    <row r="15174" spans="1:13" x14ac:dyDescent="0.2">
      <c r="A15174" t="s">
        <v>282</v>
      </c>
      <c r="B15174" t="s">
        <v>6</v>
      </c>
      <c r="C15174" t="s">
        <v>2</v>
      </c>
      <c r="D15174">
        <v>3098</v>
      </c>
      <c r="E15174">
        <v>2021</v>
      </c>
      <c r="F15174">
        <v>6</v>
      </c>
      <c r="G15174">
        <v>249</v>
      </c>
      <c r="H15174" s="1" t="s">
        <v>1837</v>
      </c>
      <c r="I15174">
        <v>0</v>
      </c>
      <c r="J15174">
        <f>IF($H15174=0,1,IF($I15174&lt;=1,2,0))</f>
        <v>2</v>
      </c>
      <c r="K15174">
        <v>7</v>
      </c>
      <c r="L15174">
        <f>IF(AND($J15174=0,$K15174=0),0,1)</f>
        <v>1</v>
      </c>
    </row>
    <row r="15175" spans="1:13" x14ac:dyDescent="0.2">
      <c r="A15175" t="s">
        <v>282</v>
      </c>
      <c r="B15175" t="s">
        <v>6</v>
      </c>
      <c r="C15175" t="s">
        <v>2</v>
      </c>
      <c r="D15175">
        <v>3098</v>
      </c>
      <c r="E15175">
        <v>2021</v>
      </c>
      <c r="F15175">
        <v>7</v>
      </c>
      <c r="G15175">
        <v>250</v>
      </c>
      <c r="H15175" s="1" t="s">
        <v>1837</v>
      </c>
      <c r="I15175">
        <v>0</v>
      </c>
      <c r="J15175">
        <f>IF($H15175=0,1,IF($I15175&lt;=1,2,0))</f>
        <v>2</v>
      </c>
      <c r="K15175">
        <v>7</v>
      </c>
      <c r="L15175">
        <f>IF(AND($J15175=0,$K15175=0),0,1)</f>
        <v>1</v>
      </c>
    </row>
    <row r="15176" spans="1:13" x14ac:dyDescent="0.2">
      <c r="A15176" t="s">
        <v>282</v>
      </c>
      <c r="B15176" t="s">
        <v>6</v>
      </c>
      <c r="C15176" t="s">
        <v>2</v>
      </c>
      <c r="D15176">
        <v>3098</v>
      </c>
      <c r="E15176">
        <v>2021</v>
      </c>
      <c r="F15176">
        <v>8</v>
      </c>
      <c r="G15176">
        <v>251</v>
      </c>
      <c r="H15176" s="1" t="s">
        <v>1837</v>
      </c>
      <c r="I15176">
        <v>0</v>
      </c>
      <c r="J15176">
        <f>IF($H15176=0,1,IF($I15176&lt;=1,2,0))</f>
        <v>2</v>
      </c>
      <c r="K15176">
        <v>7</v>
      </c>
      <c r="L15176">
        <f>IF(AND($J15176=0,$K15176=0),0,1)</f>
        <v>1</v>
      </c>
    </row>
    <row r="15177" spans="1:13" x14ac:dyDescent="0.2">
      <c r="A15177" t="s">
        <v>282</v>
      </c>
      <c r="B15177" t="s">
        <v>6</v>
      </c>
      <c r="C15177" t="s">
        <v>2</v>
      </c>
      <c r="D15177">
        <v>3098</v>
      </c>
      <c r="E15177">
        <v>2021</v>
      </c>
      <c r="F15177">
        <v>9</v>
      </c>
      <c r="G15177">
        <v>252</v>
      </c>
      <c r="H15177" s="1" t="s">
        <v>1837</v>
      </c>
      <c r="I15177">
        <v>0</v>
      </c>
      <c r="J15177">
        <f>IF($H15177=0,1,IF($I15177&lt;=1,2,0))</f>
        <v>2</v>
      </c>
      <c r="K15177">
        <v>7</v>
      </c>
      <c r="L15177">
        <f>IF(AND($J15177=0,$K15177=0),0,1)</f>
        <v>1</v>
      </c>
    </row>
    <row r="15178" spans="1:13" x14ac:dyDescent="0.2">
      <c r="A15178" t="s">
        <v>282</v>
      </c>
      <c r="B15178" t="s">
        <v>6</v>
      </c>
      <c r="C15178" t="s">
        <v>2</v>
      </c>
      <c r="D15178">
        <v>3098</v>
      </c>
      <c r="E15178">
        <v>2021</v>
      </c>
      <c r="F15178">
        <v>11</v>
      </c>
      <c r="G15178">
        <v>254</v>
      </c>
      <c r="H15178" s="1" t="s">
        <v>1837</v>
      </c>
      <c r="I15178">
        <v>0</v>
      </c>
      <c r="J15178">
        <f>IF($H15178=0,1,IF($I15178&lt;=1,2,0))</f>
        <v>2</v>
      </c>
      <c r="K15178">
        <v>7</v>
      </c>
      <c r="L15178">
        <f>IF(AND($J15178=0,$K15178=0),0,1)</f>
        <v>1</v>
      </c>
    </row>
    <row r="15179" spans="1:13" x14ac:dyDescent="0.2">
      <c r="A15179" t="s">
        <v>282</v>
      </c>
      <c r="B15179" t="s">
        <v>6</v>
      </c>
      <c r="C15179" t="s">
        <v>2</v>
      </c>
      <c r="D15179">
        <v>3098</v>
      </c>
      <c r="E15179">
        <v>2021</v>
      </c>
      <c r="F15179">
        <v>12</v>
      </c>
      <c r="G15179">
        <v>255</v>
      </c>
      <c r="H15179" s="1" t="s">
        <v>1837</v>
      </c>
      <c r="I15179">
        <v>0</v>
      </c>
      <c r="J15179">
        <f>IF($H15179=0,1,IF($I15179&lt;=1,2,0))</f>
        <v>2</v>
      </c>
      <c r="K15179">
        <v>7</v>
      </c>
      <c r="L15179">
        <f>IF(AND($J15179=0,$K15179=0),0,1)</f>
        <v>1</v>
      </c>
    </row>
    <row r="15180" spans="1:13" x14ac:dyDescent="0.2">
      <c r="A15180" t="s">
        <v>282</v>
      </c>
      <c r="B15180" t="s">
        <v>6</v>
      </c>
      <c r="C15180" t="s">
        <v>2</v>
      </c>
      <c r="D15180">
        <v>3099</v>
      </c>
      <c r="E15180">
        <v>2021</v>
      </c>
      <c r="F15180">
        <v>1</v>
      </c>
      <c r="G15180">
        <v>256</v>
      </c>
      <c r="H15180" s="1" t="s">
        <v>1827</v>
      </c>
      <c r="I15180">
        <v>9</v>
      </c>
      <c r="J15180">
        <f>IF($H15180=0,1,IF($I15180&lt;=1,2,0))</f>
        <v>0</v>
      </c>
      <c r="K15180">
        <v>7</v>
      </c>
      <c r="L15180">
        <f>IF(AND($J15180=0,$K15180=0),0,1)</f>
        <v>1</v>
      </c>
      <c r="M15180" t="s">
        <v>294</v>
      </c>
    </row>
    <row r="15181" spans="1:13" x14ac:dyDescent="0.2">
      <c r="A15181" t="s">
        <v>282</v>
      </c>
      <c r="B15181" t="s">
        <v>6</v>
      </c>
      <c r="C15181" t="s">
        <v>2</v>
      </c>
      <c r="D15181">
        <v>3099</v>
      </c>
      <c r="E15181">
        <v>2021</v>
      </c>
      <c r="F15181">
        <v>8</v>
      </c>
      <c r="G15181">
        <v>866</v>
      </c>
      <c r="H15181" s="1" t="s">
        <v>1823</v>
      </c>
      <c r="I15181">
        <v>1</v>
      </c>
      <c r="J15181">
        <f>IF($H15181=0,1,IF($I15181&lt;=1,2,0))</f>
        <v>2</v>
      </c>
      <c r="K15181">
        <v>7</v>
      </c>
      <c r="L15181">
        <f>IF(AND($J15181=0,$K15181=0),0,1)</f>
        <v>1</v>
      </c>
    </row>
    <row r="15182" spans="1:13" x14ac:dyDescent="0.2">
      <c r="A15182" t="s">
        <v>282</v>
      </c>
      <c r="B15182" t="s">
        <v>6</v>
      </c>
      <c r="C15182" t="s">
        <v>2</v>
      </c>
      <c r="D15182">
        <v>3118</v>
      </c>
      <c r="E15182">
        <v>2021</v>
      </c>
      <c r="F15182">
        <v>1</v>
      </c>
      <c r="G15182">
        <v>257</v>
      </c>
      <c r="H15182" s="1">
        <v>0</v>
      </c>
      <c r="I15182">
        <v>0</v>
      </c>
      <c r="J15182">
        <f>IF($H15182=0,1,IF($I15182&lt;=1,2,0))</f>
        <v>1</v>
      </c>
      <c r="K15182">
        <v>7</v>
      </c>
      <c r="L15182">
        <f>IF(AND($J15182=0,$K15182=0),0,1)</f>
        <v>1</v>
      </c>
    </row>
    <row r="15183" spans="1:13" x14ac:dyDescent="0.2">
      <c r="A15183" t="s">
        <v>282</v>
      </c>
      <c r="B15183" t="s">
        <v>6</v>
      </c>
      <c r="C15183" t="s">
        <v>2</v>
      </c>
      <c r="D15183">
        <v>3133</v>
      </c>
      <c r="E15183">
        <v>2021</v>
      </c>
      <c r="F15183">
        <v>1</v>
      </c>
      <c r="G15183">
        <v>258</v>
      </c>
      <c r="H15183" s="1">
        <v>0</v>
      </c>
      <c r="I15183">
        <v>18</v>
      </c>
      <c r="J15183">
        <f>IF($H15183=0,1,IF($I15183&lt;=1,2,0))</f>
        <v>1</v>
      </c>
      <c r="K15183">
        <v>7</v>
      </c>
      <c r="L15183">
        <f>IF(AND($J15183=0,$K15183=0),0,1)</f>
        <v>1</v>
      </c>
    </row>
    <row r="15184" spans="1:13" x14ac:dyDescent="0.2">
      <c r="A15184" t="s">
        <v>282</v>
      </c>
      <c r="B15184" t="s">
        <v>6</v>
      </c>
      <c r="C15184" t="s">
        <v>2</v>
      </c>
      <c r="D15184">
        <v>3135</v>
      </c>
      <c r="E15184">
        <v>2021</v>
      </c>
      <c r="F15184">
        <v>1</v>
      </c>
      <c r="G15184">
        <v>259</v>
      </c>
      <c r="H15184" s="1">
        <v>0</v>
      </c>
      <c r="I15184">
        <v>0</v>
      </c>
      <c r="J15184">
        <f>IF($H15184=0,1,IF($I15184&lt;=1,2,0))</f>
        <v>1</v>
      </c>
      <c r="K15184">
        <v>7</v>
      </c>
      <c r="L15184">
        <f>IF(AND($J15184=0,$K15184=0),0,1)</f>
        <v>1</v>
      </c>
    </row>
    <row r="15185" spans="1:13" x14ac:dyDescent="0.2">
      <c r="A15185" t="s">
        <v>282</v>
      </c>
      <c r="B15185" t="s">
        <v>6</v>
      </c>
      <c r="C15185" t="s">
        <v>2</v>
      </c>
      <c r="D15185">
        <v>3135</v>
      </c>
      <c r="E15185">
        <v>2021</v>
      </c>
      <c r="F15185">
        <v>3</v>
      </c>
      <c r="G15185">
        <v>260</v>
      </c>
      <c r="H15185" s="1">
        <v>0</v>
      </c>
      <c r="I15185">
        <v>0</v>
      </c>
      <c r="J15185">
        <f>IF($H15185=0,1,IF($I15185&lt;=1,2,0))</f>
        <v>1</v>
      </c>
      <c r="K15185">
        <v>7</v>
      </c>
      <c r="L15185">
        <f>IF(AND($J15185=0,$K15185=0),0,1)</f>
        <v>1</v>
      </c>
    </row>
    <row r="15186" spans="1:13" x14ac:dyDescent="0.2">
      <c r="A15186" t="s">
        <v>282</v>
      </c>
      <c r="B15186" t="s">
        <v>6</v>
      </c>
      <c r="C15186" t="s">
        <v>9</v>
      </c>
      <c r="D15186">
        <v>3212</v>
      </c>
      <c r="E15186">
        <v>2021</v>
      </c>
      <c r="F15186">
        <v>1</v>
      </c>
      <c r="G15186">
        <v>10446</v>
      </c>
      <c r="H15186" s="1">
        <v>0</v>
      </c>
      <c r="I15186">
        <v>243</v>
      </c>
      <c r="J15186">
        <f>IF($H15186=0,1,IF($I15186&lt;=1,2,0))</f>
        <v>1</v>
      </c>
      <c r="K15186">
        <v>0</v>
      </c>
      <c r="L15186">
        <f>IF(AND($J15186=0,$K15186=0),0,1)</f>
        <v>1</v>
      </c>
    </row>
    <row r="15187" spans="1:13" x14ac:dyDescent="0.2">
      <c r="A15187" t="s">
        <v>282</v>
      </c>
      <c r="B15187" t="s">
        <v>6</v>
      </c>
      <c r="C15187" t="s">
        <v>9</v>
      </c>
      <c r="D15187">
        <v>3214</v>
      </c>
      <c r="E15187">
        <v>2021</v>
      </c>
      <c r="F15187">
        <v>1</v>
      </c>
      <c r="G15187">
        <v>10448</v>
      </c>
      <c r="H15187" s="1">
        <v>0</v>
      </c>
      <c r="I15187">
        <v>242</v>
      </c>
      <c r="J15187">
        <f>IF($H15187=0,1,IF($I15187&lt;=1,2,0))</f>
        <v>1</v>
      </c>
      <c r="K15187">
        <v>0</v>
      </c>
      <c r="L15187">
        <f>IF(AND($J15187=0,$K15187=0),0,1)</f>
        <v>1</v>
      </c>
    </row>
    <row r="15188" spans="1:13" x14ac:dyDescent="0.2">
      <c r="A15188" t="s">
        <v>282</v>
      </c>
      <c r="B15188" t="s">
        <v>6</v>
      </c>
      <c r="C15188" t="s">
        <v>9</v>
      </c>
      <c r="D15188">
        <v>3413</v>
      </c>
      <c r="E15188">
        <v>2021</v>
      </c>
      <c r="F15188">
        <v>1</v>
      </c>
      <c r="G15188">
        <v>10452</v>
      </c>
      <c r="H15188" s="1">
        <v>0</v>
      </c>
      <c r="I15188">
        <v>205</v>
      </c>
      <c r="J15188">
        <f>IF($H15188=0,1,IF($I15188&lt;=1,2,0))</f>
        <v>1</v>
      </c>
      <c r="K15188">
        <v>0</v>
      </c>
      <c r="L15188">
        <f>IF(AND($J15188=0,$K15188=0),0,1)</f>
        <v>1</v>
      </c>
    </row>
    <row r="15189" spans="1:13" x14ac:dyDescent="0.2">
      <c r="A15189" t="s">
        <v>282</v>
      </c>
      <c r="B15189" t="s">
        <v>6</v>
      </c>
      <c r="C15189" t="s">
        <v>9</v>
      </c>
      <c r="D15189">
        <v>4214</v>
      </c>
      <c r="E15189">
        <v>2021</v>
      </c>
      <c r="F15189">
        <v>1</v>
      </c>
      <c r="G15189">
        <v>10455</v>
      </c>
      <c r="H15189" s="1">
        <v>0</v>
      </c>
      <c r="I15189">
        <v>13</v>
      </c>
      <c r="J15189">
        <f>IF($H15189=0,1,IF($I15189&lt;=1,2,0))</f>
        <v>1</v>
      </c>
      <c r="K15189">
        <v>0</v>
      </c>
      <c r="L15189">
        <f>IF(AND($J15189=0,$K15189=0),0,1)</f>
        <v>1</v>
      </c>
    </row>
    <row r="15190" spans="1:13" x14ac:dyDescent="0.2">
      <c r="A15190" t="s">
        <v>282</v>
      </c>
      <c r="B15190" t="s">
        <v>6</v>
      </c>
      <c r="C15190" t="s">
        <v>9</v>
      </c>
      <c r="D15190">
        <v>4411</v>
      </c>
      <c r="E15190">
        <v>2021</v>
      </c>
      <c r="F15190">
        <v>1</v>
      </c>
      <c r="G15190">
        <v>10462</v>
      </c>
      <c r="H15190" s="1">
        <v>0</v>
      </c>
      <c r="I15190">
        <v>24</v>
      </c>
      <c r="J15190">
        <f>IF($H15190=0,1,IF($I15190&lt;=1,2,0))</f>
        <v>1</v>
      </c>
      <c r="K15190">
        <v>0</v>
      </c>
      <c r="L15190">
        <f>IF(AND($J15190=0,$K15190=0),0,1)</f>
        <v>1</v>
      </c>
    </row>
    <row r="15191" spans="1:13" x14ac:dyDescent="0.2">
      <c r="A15191" t="s">
        <v>282</v>
      </c>
      <c r="B15191" t="s">
        <v>6</v>
      </c>
      <c r="C15191" t="s">
        <v>9</v>
      </c>
      <c r="D15191">
        <v>4998</v>
      </c>
      <c r="E15191">
        <v>2021</v>
      </c>
      <c r="F15191">
        <v>1</v>
      </c>
      <c r="G15191">
        <v>10483</v>
      </c>
      <c r="H15191" s="1" t="s">
        <v>1823</v>
      </c>
      <c r="I15191">
        <v>0</v>
      </c>
      <c r="J15191">
        <f>IF($H15191=0,1,IF($I15191&lt;=1,2,0))</f>
        <v>2</v>
      </c>
      <c r="K15191">
        <v>9</v>
      </c>
      <c r="L15191">
        <f>IF(AND($J15191=0,$K15191=0),0,1)</f>
        <v>1</v>
      </c>
    </row>
    <row r="15192" spans="1:13" x14ac:dyDescent="0.2">
      <c r="A15192" t="s">
        <v>282</v>
      </c>
      <c r="B15192" t="s">
        <v>6</v>
      </c>
      <c r="C15192" t="s">
        <v>9</v>
      </c>
      <c r="D15192">
        <v>4999</v>
      </c>
      <c r="E15192">
        <v>2021</v>
      </c>
      <c r="F15192">
        <v>1</v>
      </c>
      <c r="G15192">
        <v>10484</v>
      </c>
      <c r="H15192" s="1">
        <v>3</v>
      </c>
      <c r="I15192">
        <v>12</v>
      </c>
      <c r="J15192">
        <f>IF($H15192=0,1,IF($I15192&lt;=1,2,0))</f>
        <v>0</v>
      </c>
      <c r="K15192">
        <v>9</v>
      </c>
      <c r="L15192">
        <f>IF(AND($J15192=0,$K15192=0),0,1)</f>
        <v>1</v>
      </c>
    </row>
    <row r="15193" spans="1:13" x14ac:dyDescent="0.2">
      <c r="A15193" t="s">
        <v>282</v>
      </c>
      <c r="B15193" t="s">
        <v>6</v>
      </c>
      <c r="C15193" t="s">
        <v>11</v>
      </c>
      <c r="D15193">
        <v>5001</v>
      </c>
      <c r="E15193">
        <v>2021</v>
      </c>
      <c r="F15193">
        <v>1</v>
      </c>
      <c r="G15193">
        <v>18871</v>
      </c>
      <c r="H15193" s="1">
        <v>0</v>
      </c>
      <c r="I15193">
        <v>45</v>
      </c>
      <c r="J15193">
        <f>IF($H15193=0,1,IF($I15193&lt;=1,2,0))</f>
        <v>1</v>
      </c>
      <c r="K15193">
        <v>0</v>
      </c>
      <c r="L15193">
        <f>IF(AND($J15193=0,$K15193=0),0,1)</f>
        <v>1</v>
      </c>
      <c r="M15193" t="s">
        <v>976</v>
      </c>
    </row>
    <row r="15194" spans="1:13" x14ac:dyDescent="0.2">
      <c r="A15194" t="s">
        <v>282</v>
      </c>
      <c r="B15194" t="s">
        <v>6</v>
      </c>
      <c r="C15194" t="s">
        <v>11</v>
      </c>
      <c r="D15194">
        <v>5001</v>
      </c>
      <c r="E15194">
        <v>2021</v>
      </c>
      <c r="F15194">
        <v>2</v>
      </c>
      <c r="G15194">
        <v>18872</v>
      </c>
      <c r="H15194" s="1">
        <v>0</v>
      </c>
      <c r="I15194">
        <v>37</v>
      </c>
      <c r="J15194">
        <f>IF($H15194=0,1,IF($I15194&lt;=1,2,0))</f>
        <v>1</v>
      </c>
      <c r="K15194">
        <v>0</v>
      </c>
      <c r="L15194">
        <f>IF(AND($J15194=0,$K15194=0),0,1)</f>
        <v>1</v>
      </c>
      <c r="M15194" t="s">
        <v>976</v>
      </c>
    </row>
    <row r="15195" spans="1:13" x14ac:dyDescent="0.2">
      <c r="A15195" t="s">
        <v>282</v>
      </c>
      <c r="B15195" t="s">
        <v>6</v>
      </c>
      <c r="C15195" t="s">
        <v>11</v>
      </c>
      <c r="D15195">
        <v>5002</v>
      </c>
      <c r="E15195">
        <v>2021</v>
      </c>
      <c r="F15195">
        <v>1</v>
      </c>
      <c r="G15195">
        <v>18873</v>
      </c>
      <c r="H15195" s="1">
        <v>0</v>
      </c>
      <c r="I15195">
        <v>45</v>
      </c>
      <c r="J15195">
        <f>IF($H15195=0,1,IF($I15195&lt;=1,2,0))</f>
        <v>1</v>
      </c>
      <c r="K15195">
        <v>0</v>
      </c>
      <c r="L15195">
        <f>IF(AND($J15195=0,$K15195=0),0,1)</f>
        <v>1</v>
      </c>
      <c r="M15195" t="s">
        <v>976</v>
      </c>
    </row>
    <row r="15196" spans="1:13" x14ac:dyDescent="0.2">
      <c r="A15196" t="s">
        <v>282</v>
      </c>
      <c r="B15196" t="s">
        <v>6</v>
      </c>
      <c r="C15196" t="s">
        <v>11</v>
      </c>
      <c r="D15196">
        <v>5002</v>
      </c>
      <c r="E15196">
        <v>2021</v>
      </c>
      <c r="F15196">
        <v>2</v>
      </c>
      <c r="G15196">
        <v>18879</v>
      </c>
      <c r="H15196" s="1">
        <v>0</v>
      </c>
      <c r="I15196">
        <v>39</v>
      </c>
      <c r="J15196">
        <f>IF($H15196=0,1,IF($I15196&lt;=1,2,0))</f>
        <v>1</v>
      </c>
      <c r="K15196">
        <v>0</v>
      </c>
      <c r="L15196">
        <f>IF(AND($J15196=0,$K15196=0),0,1)</f>
        <v>1</v>
      </c>
      <c r="M15196" t="s">
        <v>976</v>
      </c>
    </row>
    <row r="15197" spans="1:13" x14ac:dyDescent="0.2">
      <c r="A15197" t="s">
        <v>282</v>
      </c>
      <c r="B15197" t="s">
        <v>6</v>
      </c>
      <c r="C15197" t="s">
        <v>11</v>
      </c>
      <c r="D15197">
        <v>5003</v>
      </c>
      <c r="E15197">
        <v>2021</v>
      </c>
      <c r="F15197">
        <v>2</v>
      </c>
      <c r="G15197">
        <v>18875</v>
      </c>
      <c r="H15197" s="1">
        <v>0</v>
      </c>
      <c r="I15197">
        <v>47</v>
      </c>
      <c r="J15197">
        <f>IF($H15197=0,1,IF($I15197&lt;=1,2,0))</f>
        <v>1</v>
      </c>
      <c r="K15197">
        <v>0</v>
      </c>
      <c r="L15197">
        <f>IF(AND($J15197=0,$K15197=0),0,1)</f>
        <v>1</v>
      </c>
      <c r="M15197" t="s">
        <v>976</v>
      </c>
    </row>
    <row r="15198" spans="1:13" x14ac:dyDescent="0.2">
      <c r="A15198" t="s">
        <v>282</v>
      </c>
      <c r="B15198" t="s">
        <v>6</v>
      </c>
      <c r="C15198" t="s">
        <v>11</v>
      </c>
      <c r="D15198">
        <v>5003</v>
      </c>
      <c r="E15198">
        <v>2021</v>
      </c>
      <c r="F15198">
        <v>1</v>
      </c>
      <c r="G15198">
        <v>18874</v>
      </c>
      <c r="H15198" s="1">
        <v>0</v>
      </c>
      <c r="I15198">
        <v>35</v>
      </c>
      <c r="J15198">
        <f>IF($H15198=0,1,IF($I15198&lt;=1,2,0))</f>
        <v>1</v>
      </c>
      <c r="K15198">
        <v>0</v>
      </c>
      <c r="L15198">
        <f>IF(AND($J15198=0,$K15198=0),0,1)</f>
        <v>1</v>
      </c>
      <c r="M15198" t="s">
        <v>976</v>
      </c>
    </row>
    <row r="15199" spans="1:13" x14ac:dyDescent="0.2">
      <c r="A15199" t="s">
        <v>282</v>
      </c>
      <c r="B15199" t="s">
        <v>6</v>
      </c>
      <c r="C15199" t="s">
        <v>11</v>
      </c>
      <c r="D15199">
        <v>5004</v>
      </c>
      <c r="E15199">
        <v>2021</v>
      </c>
      <c r="F15199">
        <v>2</v>
      </c>
      <c r="G15199">
        <v>18878</v>
      </c>
      <c r="H15199" s="1">
        <v>0</v>
      </c>
      <c r="I15199">
        <v>46</v>
      </c>
      <c r="J15199">
        <f>IF($H15199=0,1,IF($I15199&lt;=1,2,0))</f>
        <v>1</v>
      </c>
      <c r="K15199">
        <v>0</v>
      </c>
      <c r="L15199">
        <f>IF(AND($J15199=0,$K15199=0),0,1)</f>
        <v>1</v>
      </c>
      <c r="M15199" t="s">
        <v>976</v>
      </c>
    </row>
    <row r="15200" spans="1:13" x14ac:dyDescent="0.2">
      <c r="A15200" t="s">
        <v>282</v>
      </c>
      <c r="B15200" t="s">
        <v>6</v>
      </c>
      <c r="C15200" t="s">
        <v>11</v>
      </c>
      <c r="D15200">
        <v>5004</v>
      </c>
      <c r="E15200">
        <v>2021</v>
      </c>
      <c r="F15200">
        <v>1</v>
      </c>
      <c r="G15200">
        <v>18876</v>
      </c>
      <c r="H15200" s="1">
        <v>0</v>
      </c>
      <c r="I15200">
        <v>36</v>
      </c>
      <c r="J15200">
        <f>IF($H15200=0,1,IF($I15200&lt;=1,2,0))</f>
        <v>1</v>
      </c>
      <c r="K15200">
        <v>0</v>
      </c>
      <c r="L15200">
        <f>IF(AND($J15200=0,$K15200=0),0,1)</f>
        <v>1</v>
      </c>
      <c r="M15200" t="s">
        <v>976</v>
      </c>
    </row>
    <row r="15201" spans="1:13" x14ac:dyDescent="0.2">
      <c r="A15201" t="s">
        <v>282</v>
      </c>
      <c r="B15201" t="s">
        <v>6</v>
      </c>
      <c r="C15201" t="s">
        <v>11</v>
      </c>
      <c r="D15201">
        <v>5110</v>
      </c>
      <c r="E15201">
        <v>2021</v>
      </c>
      <c r="F15201">
        <v>1</v>
      </c>
      <c r="G15201">
        <v>10589</v>
      </c>
      <c r="H15201" s="1">
        <v>1</v>
      </c>
      <c r="I15201">
        <v>3</v>
      </c>
      <c r="J15201">
        <f>IF($H15201=0,1,IF($I15201&lt;=1,2,0))</f>
        <v>0</v>
      </c>
      <c r="K15201">
        <v>4</v>
      </c>
      <c r="L15201">
        <f>IF(AND($J15201=0,$K15201=0),0,1)</f>
        <v>1</v>
      </c>
      <c r="M15201" t="s">
        <v>976</v>
      </c>
    </row>
    <row r="15202" spans="1:13" x14ac:dyDescent="0.2">
      <c r="A15202" t="s">
        <v>282</v>
      </c>
      <c r="B15202" t="s">
        <v>6</v>
      </c>
      <c r="C15202" t="s">
        <v>11</v>
      </c>
      <c r="D15202">
        <v>5120</v>
      </c>
      <c r="E15202">
        <v>2021</v>
      </c>
      <c r="F15202">
        <v>1</v>
      </c>
      <c r="G15202">
        <v>10100</v>
      </c>
      <c r="H15202" s="1">
        <v>1</v>
      </c>
      <c r="I15202">
        <v>40</v>
      </c>
      <c r="J15202">
        <f>IF($H15202=0,1,IF($I15202&lt;=1,2,0))</f>
        <v>0</v>
      </c>
      <c r="K15202">
        <v>4</v>
      </c>
      <c r="L15202">
        <f>IF(AND($J15202=0,$K15202=0),0,1)</f>
        <v>1</v>
      </c>
      <c r="M15202" t="s">
        <v>976</v>
      </c>
    </row>
    <row r="15203" spans="1:13" x14ac:dyDescent="0.2">
      <c r="A15203" t="s">
        <v>282</v>
      </c>
      <c r="B15203" t="s">
        <v>6</v>
      </c>
      <c r="C15203" t="s">
        <v>11</v>
      </c>
      <c r="D15203">
        <v>5211</v>
      </c>
      <c r="E15203">
        <v>2021</v>
      </c>
      <c r="F15203">
        <v>1</v>
      </c>
      <c r="G15203">
        <v>10590</v>
      </c>
      <c r="H15203" s="1">
        <v>3</v>
      </c>
      <c r="I15203">
        <v>84</v>
      </c>
      <c r="J15203">
        <f>IF($H15203=0,1,IF($I15203&lt;=1,2,0))</f>
        <v>0</v>
      </c>
      <c r="K15203">
        <v>4</v>
      </c>
      <c r="L15203">
        <f>IF(AND($J15203=0,$K15203=0),0,1)</f>
        <v>1</v>
      </c>
      <c r="M15203" t="s">
        <v>976</v>
      </c>
    </row>
    <row r="15204" spans="1:13" x14ac:dyDescent="0.2">
      <c r="A15204" t="s">
        <v>282</v>
      </c>
      <c r="B15204" t="s">
        <v>6</v>
      </c>
      <c r="C15204" t="s">
        <v>11</v>
      </c>
      <c r="D15204">
        <v>5215</v>
      </c>
      <c r="E15204">
        <v>2021</v>
      </c>
      <c r="F15204">
        <v>1</v>
      </c>
      <c r="G15204">
        <v>10591</v>
      </c>
      <c r="H15204" s="1">
        <v>3</v>
      </c>
      <c r="I15204">
        <v>83</v>
      </c>
      <c r="J15204">
        <f>IF($H15204=0,1,IF($I15204&lt;=1,2,0))</f>
        <v>0</v>
      </c>
      <c r="K15204">
        <v>4</v>
      </c>
      <c r="L15204">
        <f>IF(AND($J15204=0,$K15204=0),0,1)</f>
        <v>1</v>
      </c>
      <c r="M15204" t="s">
        <v>976</v>
      </c>
    </row>
    <row r="15205" spans="1:13" x14ac:dyDescent="0.2">
      <c r="A15205" t="s">
        <v>282</v>
      </c>
      <c r="B15205" t="s">
        <v>6</v>
      </c>
      <c r="C15205" t="s">
        <v>11</v>
      </c>
      <c r="D15205">
        <v>5218</v>
      </c>
      <c r="E15205">
        <v>2021</v>
      </c>
      <c r="F15205">
        <v>1</v>
      </c>
      <c r="G15205">
        <v>10230</v>
      </c>
      <c r="H15205" s="1">
        <v>3</v>
      </c>
      <c r="I15205">
        <v>5</v>
      </c>
      <c r="J15205">
        <f>IF($H15205=0,1,IF($I15205&lt;=1,2,0))</f>
        <v>0</v>
      </c>
      <c r="K15205">
        <v>4</v>
      </c>
      <c r="L15205">
        <f>IF(AND($J15205=0,$K15205=0),0,1)</f>
        <v>1</v>
      </c>
      <c r="M15205" t="s">
        <v>976</v>
      </c>
    </row>
    <row r="15206" spans="1:13" x14ac:dyDescent="0.2">
      <c r="A15206" t="s">
        <v>282</v>
      </c>
      <c r="B15206" t="s">
        <v>6</v>
      </c>
      <c r="C15206" t="s">
        <v>11</v>
      </c>
      <c r="D15206">
        <v>5220</v>
      </c>
      <c r="E15206">
        <v>2021</v>
      </c>
      <c r="F15206">
        <v>1</v>
      </c>
      <c r="G15206">
        <v>10229</v>
      </c>
      <c r="H15206" s="1">
        <v>3</v>
      </c>
      <c r="I15206">
        <v>26</v>
      </c>
      <c r="J15206">
        <f>IF($H15206=0,1,IF($I15206&lt;=1,2,0))</f>
        <v>0</v>
      </c>
      <c r="K15206">
        <v>4</v>
      </c>
      <c r="L15206">
        <f>IF(AND($J15206=0,$K15206=0),0,1)</f>
        <v>1</v>
      </c>
      <c r="M15206" t="s">
        <v>976</v>
      </c>
    </row>
    <row r="15207" spans="1:13" x14ac:dyDescent="0.2">
      <c r="A15207" t="s">
        <v>282</v>
      </c>
      <c r="B15207" t="s">
        <v>6</v>
      </c>
      <c r="C15207" t="s">
        <v>11</v>
      </c>
      <c r="D15207">
        <v>5311</v>
      </c>
      <c r="E15207">
        <v>2021</v>
      </c>
      <c r="F15207">
        <v>1</v>
      </c>
      <c r="G15207">
        <v>10592</v>
      </c>
      <c r="H15207" s="1">
        <v>3</v>
      </c>
      <c r="I15207">
        <v>37</v>
      </c>
      <c r="J15207">
        <f>IF($H15207=0,1,IF($I15207&lt;=1,2,0))</f>
        <v>0</v>
      </c>
      <c r="K15207">
        <v>4</v>
      </c>
      <c r="L15207">
        <f>IF(AND($J15207=0,$K15207=0),0,1)</f>
        <v>1</v>
      </c>
      <c r="M15207" t="s">
        <v>976</v>
      </c>
    </row>
    <row r="15208" spans="1:13" x14ac:dyDescent="0.2">
      <c r="A15208" t="s">
        <v>282</v>
      </c>
      <c r="B15208" t="s">
        <v>6</v>
      </c>
      <c r="C15208" t="s">
        <v>11</v>
      </c>
      <c r="D15208">
        <v>5410</v>
      </c>
      <c r="E15208">
        <v>2021</v>
      </c>
      <c r="F15208">
        <v>1</v>
      </c>
      <c r="G15208">
        <v>10593</v>
      </c>
      <c r="H15208" s="1">
        <v>3</v>
      </c>
      <c r="I15208">
        <v>83</v>
      </c>
      <c r="J15208">
        <f>IF($H15208=0,1,IF($I15208&lt;=1,2,0))</f>
        <v>0</v>
      </c>
      <c r="K15208">
        <v>4</v>
      </c>
      <c r="L15208">
        <f>IF(AND($J15208=0,$K15208=0),0,1)</f>
        <v>1</v>
      </c>
      <c r="M15208" t="s">
        <v>976</v>
      </c>
    </row>
    <row r="15209" spans="1:13" x14ac:dyDescent="0.2">
      <c r="A15209" t="s">
        <v>282</v>
      </c>
      <c r="B15209" t="s">
        <v>6</v>
      </c>
      <c r="C15209" t="s">
        <v>11</v>
      </c>
      <c r="D15209">
        <v>5411</v>
      </c>
      <c r="E15209">
        <v>2021</v>
      </c>
      <c r="F15209">
        <v>1</v>
      </c>
      <c r="G15209">
        <v>10594</v>
      </c>
      <c r="H15209" s="1">
        <v>3</v>
      </c>
      <c r="I15209">
        <v>84</v>
      </c>
      <c r="J15209">
        <f>IF($H15209=0,1,IF($I15209&lt;=1,2,0))</f>
        <v>0</v>
      </c>
      <c r="K15209">
        <v>4</v>
      </c>
      <c r="L15209">
        <f>IF(AND($J15209=0,$K15209=0),0,1)</f>
        <v>1</v>
      </c>
      <c r="M15209" t="s">
        <v>976</v>
      </c>
    </row>
    <row r="15210" spans="1:13" x14ac:dyDescent="0.2">
      <c r="A15210" t="s">
        <v>282</v>
      </c>
      <c r="B15210" t="s">
        <v>6</v>
      </c>
      <c r="C15210" t="s">
        <v>11</v>
      </c>
      <c r="D15210">
        <v>5415</v>
      </c>
      <c r="E15210">
        <v>2021</v>
      </c>
      <c r="F15210">
        <v>1</v>
      </c>
      <c r="G15210">
        <v>10595</v>
      </c>
      <c r="H15210" s="1">
        <v>3</v>
      </c>
      <c r="I15210">
        <v>12</v>
      </c>
      <c r="J15210">
        <f>IF($H15210=0,1,IF($I15210&lt;=1,2,0))</f>
        <v>0</v>
      </c>
      <c r="K15210">
        <v>4</v>
      </c>
      <c r="L15210">
        <f>IF(AND($J15210=0,$K15210=0),0,1)</f>
        <v>1</v>
      </c>
      <c r="M15210" t="s">
        <v>976</v>
      </c>
    </row>
    <row r="15211" spans="1:13" x14ac:dyDescent="0.2">
      <c r="A15211" t="s">
        <v>282</v>
      </c>
      <c r="B15211" t="s">
        <v>6</v>
      </c>
      <c r="C15211" t="s">
        <v>11</v>
      </c>
      <c r="D15211">
        <v>6209</v>
      </c>
      <c r="E15211">
        <v>2021</v>
      </c>
      <c r="F15211">
        <v>1</v>
      </c>
      <c r="G15211">
        <v>10897</v>
      </c>
      <c r="H15211" s="1">
        <v>0</v>
      </c>
      <c r="I15211">
        <v>20</v>
      </c>
      <c r="J15211">
        <f>IF($H15211=0,1,IF($I15211&lt;=1,2,0))</f>
        <v>1</v>
      </c>
      <c r="K15211">
        <v>0</v>
      </c>
      <c r="L15211">
        <f>IF(AND($J15211=0,$K15211=0),0,1)</f>
        <v>1</v>
      </c>
      <c r="M15211" t="s">
        <v>977</v>
      </c>
    </row>
    <row r="15212" spans="1:13" x14ac:dyDescent="0.2">
      <c r="A15212" t="s">
        <v>282</v>
      </c>
      <c r="B15212" t="s">
        <v>6</v>
      </c>
      <c r="C15212" t="s">
        <v>11</v>
      </c>
      <c r="D15212">
        <v>6213</v>
      </c>
      <c r="E15212">
        <v>2021</v>
      </c>
      <c r="F15212">
        <v>1</v>
      </c>
      <c r="G15212">
        <v>10901</v>
      </c>
      <c r="H15212" s="1">
        <v>0</v>
      </c>
      <c r="I15212">
        <v>18</v>
      </c>
      <c r="J15212">
        <f>IF($H15212=0,1,IF($I15212&lt;=1,2,0))</f>
        <v>1</v>
      </c>
      <c r="K15212">
        <v>0</v>
      </c>
      <c r="L15212">
        <f>IF(AND($J15212=0,$K15212=0),0,1)</f>
        <v>1</v>
      </c>
      <c r="M15212" t="s">
        <v>977</v>
      </c>
    </row>
    <row r="15213" spans="1:13" x14ac:dyDescent="0.2">
      <c r="A15213" t="s">
        <v>282</v>
      </c>
      <c r="B15213" t="s">
        <v>6</v>
      </c>
      <c r="C15213" t="s">
        <v>11</v>
      </c>
      <c r="D15213">
        <v>6408</v>
      </c>
      <c r="E15213">
        <v>2021</v>
      </c>
      <c r="F15213">
        <v>1</v>
      </c>
      <c r="G15213">
        <v>10921</v>
      </c>
      <c r="H15213" s="1">
        <v>0</v>
      </c>
      <c r="I15213">
        <v>17</v>
      </c>
      <c r="J15213">
        <f>IF($H15213=0,1,IF($I15213&lt;=1,2,0))</f>
        <v>1</v>
      </c>
      <c r="K15213">
        <v>0</v>
      </c>
      <c r="L15213">
        <f>IF(AND($J15213=0,$K15213=0),0,1)</f>
        <v>1</v>
      </c>
      <c r="M15213" t="s">
        <v>977</v>
      </c>
    </row>
    <row r="15214" spans="1:13" x14ac:dyDescent="0.2">
      <c r="A15214" t="s">
        <v>282</v>
      </c>
      <c r="B15214" t="s">
        <v>6</v>
      </c>
      <c r="C15214" t="s">
        <v>11</v>
      </c>
      <c r="D15214">
        <v>9001</v>
      </c>
      <c r="E15214">
        <v>2021</v>
      </c>
      <c r="F15214">
        <v>1</v>
      </c>
      <c r="G15214">
        <v>10970</v>
      </c>
      <c r="H15214" s="1">
        <v>0</v>
      </c>
      <c r="I15214">
        <v>0</v>
      </c>
      <c r="J15214">
        <f>IF($H15214=0,1,IF($I15214&lt;=1,2,0))</f>
        <v>1</v>
      </c>
      <c r="K15214">
        <v>5</v>
      </c>
      <c r="L15214">
        <f>IF(AND($J15214=0,$K15214=0),0,1)</f>
        <v>1</v>
      </c>
    </row>
    <row r="15215" spans="1:13" x14ac:dyDescent="0.2">
      <c r="A15215" t="s">
        <v>282</v>
      </c>
      <c r="B15215" t="s">
        <v>6</v>
      </c>
      <c r="C15215" t="s">
        <v>11</v>
      </c>
      <c r="D15215">
        <v>9002</v>
      </c>
      <c r="E15215">
        <v>2021</v>
      </c>
      <c r="F15215">
        <v>1</v>
      </c>
      <c r="G15215">
        <v>10973</v>
      </c>
      <c r="H15215" s="1">
        <v>0</v>
      </c>
      <c r="I15215">
        <v>0</v>
      </c>
      <c r="J15215">
        <f>IF($H15215=0,1,IF($I15215&lt;=1,2,0))</f>
        <v>1</v>
      </c>
      <c r="K15215">
        <v>5</v>
      </c>
      <c r="L15215">
        <f>IF(AND($J15215=0,$K15215=0),0,1)</f>
        <v>1</v>
      </c>
    </row>
    <row r="15216" spans="1:13" x14ac:dyDescent="0.2">
      <c r="A15216" t="s">
        <v>282</v>
      </c>
      <c r="B15216" t="s">
        <v>6</v>
      </c>
      <c r="C15216" t="s">
        <v>11</v>
      </c>
      <c r="D15216">
        <v>9007</v>
      </c>
      <c r="E15216">
        <v>2021</v>
      </c>
      <c r="F15216">
        <v>1</v>
      </c>
      <c r="G15216">
        <v>10976</v>
      </c>
      <c r="H15216" s="1">
        <v>0</v>
      </c>
      <c r="I15216">
        <v>0</v>
      </c>
      <c r="J15216">
        <f>IF($H15216=0,1,IF($I15216&lt;=1,2,0))</f>
        <v>1</v>
      </c>
      <c r="K15216">
        <v>5</v>
      </c>
      <c r="L15216">
        <f>IF(AND($J15216=0,$K15216=0),0,1)</f>
        <v>1</v>
      </c>
    </row>
    <row r="15217" spans="1:13" x14ac:dyDescent="0.2">
      <c r="A15217" t="s">
        <v>282</v>
      </c>
      <c r="B15217" t="s">
        <v>6</v>
      </c>
      <c r="C15217" t="s">
        <v>11</v>
      </c>
      <c r="D15217">
        <v>9008</v>
      </c>
      <c r="E15217">
        <v>2021</v>
      </c>
      <c r="F15217">
        <v>1</v>
      </c>
      <c r="G15217">
        <v>10977</v>
      </c>
      <c r="H15217" s="1">
        <v>3</v>
      </c>
      <c r="I15217">
        <v>0</v>
      </c>
      <c r="J15217">
        <f>IF($H15217=0,1,IF($I15217&lt;=1,2,0))</f>
        <v>2</v>
      </c>
      <c r="K15217">
        <v>5</v>
      </c>
      <c r="L15217">
        <f>IF(AND($J15217=0,$K15217=0),0,1)</f>
        <v>1</v>
      </c>
    </row>
    <row r="15218" spans="1:13" x14ac:dyDescent="0.2">
      <c r="A15218" t="s">
        <v>282</v>
      </c>
      <c r="B15218" t="s">
        <v>6</v>
      </c>
      <c r="C15218" t="s">
        <v>11</v>
      </c>
      <c r="D15218">
        <v>9009</v>
      </c>
      <c r="E15218">
        <v>2021</v>
      </c>
      <c r="F15218">
        <v>1</v>
      </c>
      <c r="G15218">
        <v>10978</v>
      </c>
      <c r="H15218" s="1">
        <v>0</v>
      </c>
      <c r="I15218">
        <v>0</v>
      </c>
      <c r="J15218">
        <f>IF($H15218=0,1,IF($I15218&lt;=1,2,0))</f>
        <v>1</v>
      </c>
      <c r="K15218">
        <v>5</v>
      </c>
      <c r="L15218">
        <f>IF(AND($J15218=0,$K15218=0),0,1)</f>
        <v>1</v>
      </c>
    </row>
    <row r="15219" spans="1:13" x14ac:dyDescent="0.2">
      <c r="A15219" t="s">
        <v>282</v>
      </c>
      <c r="B15219" t="s">
        <v>6</v>
      </c>
      <c r="C15219" t="s">
        <v>11</v>
      </c>
      <c r="D15219">
        <v>9012</v>
      </c>
      <c r="E15219">
        <v>2021</v>
      </c>
      <c r="F15219">
        <v>1</v>
      </c>
      <c r="G15219">
        <v>10980</v>
      </c>
      <c r="H15219" s="1">
        <v>0</v>
      </c>
      <c r="I15219">
        <v>0</v>
      </c>
      <c r="J15219">
        <f>IF($H15219=0,1,IF($I15219&lt;=1,2,0))</f>
        <v>1</v>
      </c>
      <c r="K15219">
        <v>5</v>
      </c>
      <c r="L15219">
        <f>IF(AND($J15219=0,$K15219=0),0,1)</f>
        <v>1</v>
      </c>
    </row>
    <row r="15220" spans="1:13" x14ac:dyDescent="0.2">
      <c r="A15220" t="s">
        <v>282</v>
      </c>
      <c r="B15220" t="s">
        <v>6</v>
      </c>
      <c r="C15220" t="s">
        <v>11</v>
      </c>
      <c r="D15220">
        <v>9016</v>
      </c>
      <c r="E15220">
        <v>2021</v>
      </c>
      <c r="F15220">
        <v>1</v>
      </c>
      <c r="G15220">
        <v>10982</v>
      </c>
      <c r="H15220" s="1">
        <v>0</v>
      </c>
      <c r="I15220">
        <v>0</v>
      </c>
      <c r="J15220">
        <f>IF($H15220=0,1,IF($I15220&lt;=1,2,0))</f>
        <v>1</v>
      </c>
      <c r="K15220">
        <v>5</v>
      </c>
      <c r="L15220">
        <f>IF(AND($J15220=0,$K15220=0),0,1)</f>
        <v>1</v>
      </c>
    </row>
    <row r="15221" spans="1:13" x14ac:dyDescent="0.2">
      <c r="A15221" t="s">
        <v>299</v>
      </c>
      <c r="B15221" t="s">
        <v>6</v>
      </c>
      <c r="C15221" t="s">
        <v>11</v>
      </c>
      <c r="D15221">
        <v>9018</v>
      </c>
      <c r="E15221">
        <v>2021</v>
      </c>
      <c r="F15221">
        <v>1</v>
      </c>
      <c r="G15221">
        <v>10985</v>
      </c>
      <c r="H15221" s="1">
        <v>0</v>
      </c>
      <c r="I15221">
        <v>0</v>
      </c>
      <c r="J15221">
        <f>IF($H15221=0,1,IF($I15221&lt;=1,2,0))</f>
        <v>1</v>
      </c>
      <c r="K15221">
        <v>5</v>
      </c>
      <c r="L15221">
        <f>IF(AND($J15221=0,$K15221=0),0,1)</f>
        <v>1</v>
      </c>
    </row>
    <row r="15222" spans="1:13" x14ac:dyDescent="0.2">
      <c r="A15222" t="s">
        <v>300</v>
      </c>
      <c r="B15222" t="s">
        <v>1</v>
      </c>
      <c r="C15222" t="s">
        <v>2</v>
      </c>
      <c r="D15222">
        <v>1510</v>
      </c>
      <c r="E15222">
        <v>2021</v>
      </c>
      <c r="F15222">
        <v>2</v>
      </c>
      <c r="G15222">
        <v>487</v>
      </c>
      <c r="H15222" s="1">
        <v>4</v>
      </c>
      <c r="I15222">
        <v>31</v>
      </c>
      <c r="J15222">
        <f>IF($H15222=0,1,IF($I15222&lt;=1,2,0))</f>
        <v>0</v>
      </c>
      <c r="K15222">
        <v>7</v>
      </c>
      <c r="L15222">
        <f>IF(AND($J15222=0,$K15222=0),0,1)</f>
        <v>1</v>
      </c>
      <c r="M15222" t="s">
        <v>1487</v>
      </c>
    </row>
    <row r="15223" spans="1:13" x14ac:dyDescent="0.2">
      <c r="A15223" t="s">
        <v>300</v>
      </c>
      <c r="B15223" t="s">
        <v>1</v>
      </c>
      <c r="C15223" t="s">
        <v>2</v>
      </c>
      <c r="D15223">
        <v>1510</v>
      </c>
      <c r="E15223">
        <v>2021</v>
      </c>
      <c r="F15223">
        <v>1</v>
      </c>
      <c r="G15223">
        <v>486</v>
      </c>
      <c r="H15223" s="1">
        <v>4</v>
      </c>
      <c r="I15223">
        <v>30</v>
      </c>
      <c r="J15223">
        <f>IF($H15223=0,1,IF($I15223&lt;=1,2,0))</f>
        <v>0</v>
      </c>
      <c r="K15223">
        <v>7</v>
      </c>
      <c r="L15223">
        <f>IF(AND($J15223=0,$K15223=0),0,1)</f>
        <v>1</v>
      </c>
      <c r="M15223" t="s">
        <v>1486</v>
      </c>
    </row>
    <row r="15224" spans="1:13" x14ac:dyDescent="0.2">
      <c r="A15224" t="s">
        <v>300</v>
      </c>
      <c r="B15224" t="s">
        <v>1</v>
      </c>
      <c r="C15224" t="s">
        <v>2</v>
      </c>
      <c r="D15224">
        <v>1511</v>
      </c>
      <c r="E15224">
        <v>2021</v>
      </c>
      <c r="F15224">
        <v>1</v>
      </c>
      <c r="G15224">
        <v>488</v>
      </c>
      <c r="H15224" s="1">
        <v>0</v>
      </c>
      <c r="I15224">
        <v>19</v>
      </c>
      <c r="J15224">
        <f>IF($H15224=0,1,IF($I15224&lt;=1,2,0))</f>
        <v>1</v>
      </c>
      <c r="K15224">
        <v>7</v>
      </c>
      <c r="L15224">
        <f>IF(AND($J15224=0,$K15224=0),0,1)</f>
        <v>1</v>
      </c>
      <c r="M15224" t="s">
        <v>2057</v>
      </c>
    </row>
    <row r="15225" spans="1:13" x14ac:dyDescent="0.2">
      <c r="A15225" t="s">
        <v>300</v>
      </c>
      <c r="B15225" t="s">
        <v>1</v>
      </c>
      <c r="C15225" t="s">
        <v>2</v>
      </c>
      <c r="D15225">
        <v>1511</v>
      </c>
      <c r="E15225">
        <v>2021</v>
      </c>
      <c r="F15225">
        <v>2</v>
      </c>
      <c r="G15225">
        <v>489</v>
      </c>
      <c r="H15225" s="1">
        <v>0</v>
      </c>
      <c r="I15225">
        <v>19</v>
      </c>
      <c r="J15225">
        <f>IF($H15225=0,1,IF($I15225&lt;=1,2,0))</f>
        <v>1</v>
      </c>
      <c r="K15225">
        <v>7</v>
      </c>
      <c r="L15225">
        <f>IF(AND($J15225=0,$K15225=0),0,1)</f>
        <v>1</v>
      </c>
      <c r="M15225" t="s">
        <v>2058</v>
      </c>
    </row>
    <row r="15226" spans="1:13" x14ac:dyDescent="0.2">
      <c r="A15226" t="s">
        <v>300</v>
      </c>
      <c r="B15226" t="s">
        <v>1</v>
      </c>
      <c r="C15226" t="s">
        <v>2</v>
      </c>
      <c r="D15226">
        <v>1511</v>
      </c>
      <c r="E15226">
        <v>2021</v>
      </c>
      <c r="F15226">
        <v>4</v>
      </c>
      <c r="G15226">
        <v>491</v>
      </c>
      <c r="H15226" s="1">
        <v>0</v>
      </c>
      <c r="I15226">
        <v>12</v>
      </c>
      <c r="J15226">
        <f>IF($H15226=0,1,IF($I15226&lt;=1,2,0))</f>
        <v>1</v>
      </c>
      <c r="K15226">
        <v>7</v>
      </c>
      <c r="L15226">
        <f>IF(AND($J15226=0,$K15226=0),0,1)</f>
        <v>1</v>
      </c>
      <c r="M15226" t="s">
        <v>2058</v>
      </c>
    </row>
    <row r="15227" spans="1:13" x14ac:dyDescent="0.2">
      <c r="A15227" t="s">
        <v>300</v>
      </c>
      <c r="B15227" t="s">
        <v>1</v>
      </c>
      <c r="C15227" t="s">
        <v>2</v>
      </c>
      <c r="D15227">
        <v>1511</v>
      </c>
      <c r="E15227">
        <v>2021</v>
      </c>
      <c r="F15227">
        <v>3</v>
      </c>
      <c r="G15227">
        <v>490</v>
      </c>
      <c r="H15227" s="1">
        <v>0</v>
      </c>
      <c r="I15227">
        <v>11</v>
      </c>
      <c r="J15227">
        <f>IF($H15227=0,1,IF($I15227&lt;=1,2,0))</f>
        <v>1</v>
      </c>
      <c r="K15227">
        <v>7</v>
      </c>
      <c r="L15227">
        <f>IF(AND($J15227=0,$K15227=0),0,1)</f>
        <v>1</v>
      </c>
      <c r="M15227" t="s">
        <v>2057</v>
      </c>
    </row>
    <row r="15228" spans="1:13" x14ac:dyDescent="0.2">
      <c r="A15228" t="s">
        <v>300</v>
      </c>
      <c r="B15228" t="s">
        <v>1</v>
      </c>
      <c r="C15228" t="s">
        <v>2</v>
      </c>
      <c r="D15228">
        <v>3032</v>
      </c>
      <c r="E15228">
        <v>2021</v>
      </c>
      <c r="F15228">
        <v>1</v>
      </c>
      <c r="G15228">
        <v>676</v>
      </c>
      <c r="H15228" s="1">
        <v>4</v>
      </c>
      <c r="I15228">
        <v>20</v>
      </c>
      <c r="J15228">
        <f>IF($H15228=0,1,IF($I15228&lt;=1,2,0))</f>
        <v>0</v>
      </c>
      <c r="K15228">
        <v>7</v>
      </c>
      <c r="L15228">
        <f>IF(AND($J15228=0,$K15228=0),0,1)</f>
        <v>1</v>
      </c>
      <c r="M15228" t="s">
        <v>1488</v>
      </c>
    </row>
    <row r="15229" spans="1:13" x14ac:dyDescent="0.2">
      <c r="A15229" t="s">
        <v>300</v>
      </c>
      <c r="B15229" t="s">
        <v>1</v>
      </c>
      <c r="C15229" t="s">
        <v>2</v>
      </c>
      <c r="D15229">
        <v>3044</v>
      </c>
      <c r="E15229">
        <v>2021</v>
      </c>
      <c r="F15229">
        <v>1</v>
      </c>
      <c r="G15229">
        <v>496</v>
      </c>
      <c r="H15229" s="1">
        <v>4</v>
      </c>
      <c r="I15229">
        <v>21</v>
      </c>
      <c r="J15229">
        <f>IF($H15229=0,1,IF($I15229&lt;=1,2,0))</f>
        <v>0</v>
      </c>
      <c r="K15229">
        <v>7</v>
      </c>
      <c r="L15229">
        <f>IF(AND($J15229=0,$K15229=0),0,1)</f>
        <v>1</v>
      </c>
      <c r="M15229" t="s">
        <v>1488</v>
      </c>
    </row>
    <row r="15230" spans="1:13" x14ac:dyDescent="0.2">
      <c r="A15230" t="s">
        <v>300</v>
      </c>
      <c r="B15230" t="s">
        <v>1</v>
      </c>
      <c r="C15230" t="s">
        <v>2</v>
      </c>
      <c r="D15230">
        <v>3045</v>
      </c>
      <c r="E15230">
        <v>2021</v>
      </c>
      <c r="F15230">
        <v>1</v>
      </c>
      <c r="G15230">
        <v>497</v>
      </c>
      <c r="H15230" s="1">
        <v>4</v>
      </c>
      <c r="I15230">
        <v>22</v>
      </c>
      <c r="J15230">
        <f>IF($H15230=0,1,IF($I15230&lt;=1,2,0))</f>
        <v>0</v>
      </c>
      <c r="K15230">
        <v>7</v>
      </c>
      <c r="L15230">
        <f>IF(AND($J15230=0,$K15230=0),0,1)</f>
        <v>1</v>
      </c>
      <c r="M15230" t="s">
        <v>1488</v>
      </c>
    </row>
    <row r="15231" spans="1:13" x14ac:dyDescent="0.2">
      <c r="A15231" t="s">
        <v>300</v>
      </c>
      <c r="B15231" t="s">
        <v>1</v>
      </c>
      <c r="C15231" t="s">
        <v>2</v>
      </c>
      <c r="D15231">
        <v>3050</v>
      </c>
      <c r="E15231">
        <v>2021</v>
      </c>
      <c r="F15231">
        <v>1</v>
      </c>
      <c r="G15231">
        <v>521</v>
      </c>
      <c r="H15231" s="1">
        <v>4</v>
      </c>
      <c r="I15231">
        <v>16</v>
      </c>
      <c r="J15231">
        <f>IF($H15231=0,1,IF($I15231&lt;=1,2,0))</f>
        <v>0</v>
      </c>
      <c r="K15231">
        <v>7</v>
      </c>
      <c r="L15231">
        <f>IF(AND($J15231=0,$K15231=0),0,1)</f>
        <v>1</v>
      </c>
      <c r="M15231" t="s">
        <v>1489</v>
      </c>
    </row>
    <row r="15232" spans="1:13" x14ac:dyDescent="0.2">
      <c r="A15232" t="s">
        <v>300</v>
      </c>
      <c r="B15232" t="s">
        <v>1</v>
      </c>
      <c r="C15232" t="s">
        <v>2</v>
      </c>
      <c r="D15232">
        <v>3051</v>
      </c>
      <c r="E15232">
        <v>2021</v>
      </c>
      <c r="F15232">
        <v>1</v>
      </c>
      <c r="G15232">
        <v>522</v>
      </c>
      <c r="H15232" s="1">
        <v>4</v>
      </c>
      <c r="I15232">
        <v>12</v>
      </c>
      <c r="J15232">
        <f>IF($H15232=0,1,IF($I15232&lt;=1,2,0))</f>
        <v>0</v>
      </c>
      <c r="K15232">
        <v>7</v>
      </c>
      <c r="L15232">
        <f>IF(AND($J15232=0,$K15232=0),0,1)</f>
        <v>1</v>
      </c>
      <c r="M15232" t="s">
        <v>1490</v>
      </c>
    </row>
    <row r="15233" spans="1:13" x14ac:dyDescent="0.2">
      <c r="A15233" t="s">
        <v>300</v>
      </c>
      <c r="B15233" t="s">
        <v>1</v>
      </c>
      <c r="C15233" t="s">
        <v>2</v>
      </c>
      <c r="D15233">
        <v>3051</v>
      </c>
      <c r="E15233">
        <v>2021</v>
      </c>
      <c r="F15233">
        <v>2</v>
      </c>
      <c r="G15233">
        <v>523</v>
      </c>
      <c r="H15233" s="1">
        <v>4</v>
      </c>
      <c r="I15233">
        <v>8</v>
      </c>
      <c r="J15233">
        <f>IF($H15233=0,1,IF($I15233&lt;=1,2,0))</f>
        <v>0</v>
      </c>
      <c r="K15233">
        <v>7</v>
      </c>
      <c r="L15233">
        <f>IF(AND($J15233=0,$K15233=0),0,1)</f>
        <v>1</v>
      </c>
      <c r="M15233" t="s">
        <v>1490</v>
      </c>
    </row>
    <row r="15234" spans="1:13" x14ac:dyDescent="0.2">
      <c r="A15234" t="s">
        <v>300</v>
      </c>
      <c r="B15234" t="s">
        <v>1</v>
      </c>
      <c r="C15234" t="s">
        <v>2</v>
      </c>
      <c r="D15234">
        <v>3053</v>
      </c>
      <c r="E15234">
        <v>2021</v>
      </c>
      <c r="F15234">
        <v>1</v>
      </c>
      <c r="G15234">
        <v>524</v>
      </c>
      <c r="H15234" s="1">
        <v>4</v>
      </c>
      <c r="I15234">
        <v>3</v>
      </c>
      <c r="J15234">
        <f>IF($H15234=0,1,IF($I15234&lt;=1,2,0))</f>
        <v>0</v>
      </c>
      <c r="K15234">
        <v>7</v>
      </c>
      <c r="L15234">
        <f>IF(AND($J15234=0,$K15234=0),0,1)</f>
        <v>1</v>
      </c>
      <c r="M15234" t="s">
        <v>1491</v>
      </c>
    </row>
    <row r="15235" spans="1:13" x14ac:dyDescent="0.2">
      <c r="A15235" t="s">
        <v>300</v>
      </c>
      <c r="B15235" t="s">
        <v>1</v>
      </c>
      <c r="C15235" t="s">
        <v>2</v>
      </c>
      <c r="D15235">
        <v>3054</v>
      </c>
      <c r="E15235">
        <v>2021</v>
      </c>
      <c r="F15235">
        <v>1</v>
      </c>
      <c r="G15235">
        <v>525</v>
      </c>
      <c r="H15235" s="1">
        <v>4</v>
      </c>
      <c r="I15235">
        <v>5</v>
      </c>
      <c r="J15235">
        <f>IF($H15235=0,1,IF($I15235&lt;=1,2,0))</f>
        <v>0</v>
      </c>
      <c r="K15235">
        <v>7</v>
      </c>
      <c r="L15235">
        <f>IF(AND($J15235=0,$K15235=0),0,1)</f>
        <v>1</v>
      </c>
      <c r="M15235" t="s">
        <v>1491</v>
      </c>
    </row>
    <row r="15236" spans="1:13" x14ac:dyDescent="0.2">
      <c r="A15236" t="s">
        <v>300</v>
      </c>
      <c r="B15236" t="s">
        <v>1</v>
      </c>
      <c r="C15236" t="s">
        <v>2</v>
      </c>
      <c r="D15236">
        <v>3055</v>
      </c>
      <c r="E15236">
        <v>2021</v>
      </c>
      <c r="F15236">
        <v>1</v>
      </c>
      <c r="G15236">
        <v>526</v>
      </c>
      <c r="H15236" s="1">
        <v>4</v>
      </c>
      <c r="I15236">
        <v>19</v>
      </c>
      <c r="J15236">
        <f>IF($H15236=0,1,IF($I15236&lt;=1,2,0))</f>
        <v>0</v>
      </c>
      <c r="K15236">
        <v>7</v>
      </c>
      <c r="L15236">
        <f>IF(AND($J15236=0,$K15236=0),0,1)</f>
        <v>1</v>
      </c>
      <c r="M15236" t="s">
        <v>1492</v>
      </c>
    </row>
    <row r="15237" spans="1:13" x14ac:dyDescent="0.2">
      <c r="A15237" t="s">
        <v>300</v>
      </c>
      <c r="B15237" t="s">
        <v>1</v>
      </c>
      <c r="C15237" t="s">
        <v>2</v>
      </c>
      <c r="D15237">
        <v>3064</v>
      </c>
      <c r="E15237">
        <v>2021</v>
      </c>
      <c r="F15237">
        <v>1</v>
      </c>
      <c r="G15237">
        <v>527</v>
      </c>
      <c r="H15237" s="1">
        <v>4</v>
      </c>
      <c r="I15237">
        <v>5</v>
      </c>
      <c r="J15237">
        <f>IF($H15237=0,1,IF($I15237&lt;=1,2,0))</f>
        <v>0</v>
      </c>
      <c r="K15237">
        <v>7</v>
      </c>
      <c r="L15237">
        <f>IF(AND($J15237=0,$K15237=0),0,1)</f>
        <v>1</v>
      </c>
      <c r="M15237" t="s">
        <v>1493</v>
      </c>
    </row>
    <row r="15238" spans="1:13" x14ac:dyDescent="0.2">
      <c r="A15238" t="s">
        <v>300</v>
      </c>
      <c r="B15238" t="s">
        <v>1</v>
      </c>
      <c r="C15238" t="s">
        <v>2</v>
      </c>
      <c r="D15238">
        <v>3088</v>
      </c>
      <c r="E15238">
        <v>2021</v>
      </c>
      <c r="F15238">
        <v>1</v>
      </c>
      <c r="G15238">
        <v>528</v>
      </c>
      <c r="H15238" s="1">
        <v>4</v>
      </c>
      <c r="I15238">
        <v>11</v>
      </c>
      <c r="J15238">
        <f>IF($H15238=0,1,IF($I15238&lt;=1,2,0))</f>
        <v>0</v>
      </c>
      <c r="K15238">
        <v>7</v>
      </c>
      <c r="L15238">
        <f>IF(AND($J15238=0,$K15238=0),0,1)</f>
        <v>1</v>
      </c>
      <c r="M15238" t="s">
        <v>1494</v>
      </c>
    </row>
    <row r="15239" spans="1:13" x14ac:dyDescent="0.2">
      <c r="A15239" t="s">
        <v>300</v>
      </c>
      <c r="B15239" t="s">
        <v>1</v>
      </c>
      <c r="C15239" t="s">
        <v>2</v>
      </c>
      <c r="D15239">
        <v>3150</v>
      </c>
      <c r="E15239">
        <v>2021</v>
      </c>
      <c r="F15239">
        <v>3</v>
      </c>
      <c r="G15239">
        <v>607</v>
      </c>
      <c r="H15239" s="1">
        <v>0</v>
      </c>
      <c r="I15239">
        <v>8</v>
      </c>
      <c r="J15239">
        <f>IF($H15239=0,1,IF($I15239&lt;=1,2,0))</f>
        <v>1</v>
      </c>
      <c r="K15239">
        <v>7</v>
      </c>
      <c r="L15239">
        <f>IF(AND($J15239=0,$K15239=0),0,1)</f>
        <v>1</v>
      </c>
      <c r="M15239" t="s">
        <v>1496</v>
      </c>
    </row>
    <row r="15240" spans="1:13" x14ac:dyDescent="0.2">
      <c r="A15240" t="s">
        <v>300</v>
      </c>
      <c r="B15240" t="s">
        <v>1</v>
      </c>
      <c r="C15240" t="s">
        <v>2</v>
      </c>
      <c r="D15240">
        <v>3150</v>
      </c>
      <c r="E15240">
        <v>2021</v>
      </c>
      <c r="F15240">
        <v>1</v>
      </c>
      <c r="G15240">
        <v>605</v>
      </c>
      <c r="H15240" s="1">
        <v>0</v>
      </c>
      <c r="I15240">
        <v>4</v>
      </c>
      <c r="J15240">
        <f>IF($H15240=0,1,IF($I15240&lt;=1,2,0))</f>
        <v>1</v>
      </c>
      <c r="K15240">
        <v>7</v>
      </c>
      <c r="L15240">
        <f>IF(AND($J15240=0,$K15240=0),0,1)</f>
        <v>1</v>
      </c>
      <c r="M15240" t="s">
        <v>1495</v>
      </c>
    </row>
    <row r="15241" spans="1:13" x14ac:dyDescent="0.2">
      <c r="A15241" t="s">
        <v>300</v>
      </c>
      <c r="B15241" t="s">
        <v>1</v>
      </c>
      <c r="C15241" t="s">
        <v>2</v>
      </c>
      <c r="D15241">
        <v>3150</v>
      </c>
      <c r="E15241">
        <v>2021</v>
      </c>
      <c r="F15241">
        <v>2</v>
      </c>
      <c r="G15241">
        <v>606</v>
      </c>
      <c r="H15241" s="1">
        <v>0</v>
      </c>
      <c r="I15241">
        <v>4</v>
      </c>
      <c r="J15241">
        <f>IF($H15241=0,1,IF($I15241&lt;=1,2,0))</f>
        <v>1</v>
      </c>
      <c r="K15241">
        <v>7</v>
      </c>
      <c r="L15241">
        <f>IF(AND($J15241=0,$K15241=0),0,1)</f>
        <v>1</v>
      </c>
      <c r="M15241" t="s">
        <v>1495</v>
      </c>
    </row>
    <row r="15242" spans="1:13" x14ac:dyDescent="0.2">
      <c r="A15242" t="s">
        <v>300</v>
      </c>
      <c r="B15242" t="s">
        <v>1</v>
      </c>
      <c r="C15242" t="s">
        <v>2</v>
      </c>
      <c r="D15242">
        <v>3155</v>
      </c>
      <c r="E15242">
        <v>2021</v>
      </c>
      <c r="F15242">
        <v>1</v>
      </c>
      <c r="G15242">
        <v>608</v>
      </c>
      <c r="H15242" s="1">
        <v>0</v>
      </c>
      <c r="I15242">
        <v>1</v>
      </c>
      <c r="J15242">
        <f>IF($H15242=0,1,IF($I15242&lt;=1,2,0))</f>
        <v>1</v>
      </c>
      <c r="K15242">
        <v>7</v>
      </c>
      <c r="L15242">
        <f>IF(AND($J15242=0,$K15242=0),0,1)</f>
        <v>1</v>
      </c>
      <c r="M15242" t="s">
        <v>1497</v>
      </c>
    </row>
    <row r="15243" spans="1:13" x14ac:dyDescent="0.2">
      <c r="A15243" t="s">
        <v>300</v>
      </c>
      <c r="B15243" t="s">
        <v>1</v>
      </c>
      <c r="C15243" t="s">
        <v>2</v>
      </c>
      <c r="D15243">
        <v>3155</v>
      </c>
      <c r="E15243">
        <v>2021</v>
      </c>
      <c r="F15243">
        <v>2</v>
      </c>
      <c r="G15243">
        <v>609</v>
      </c>
      <c r="H15243" s="1">
        <v>0</v>
      </c>
      <c r="I15243">
        <v>0</v>
      </c>
      <c r="J15243">
        <f>IF($H15243=0,1,IF($I15243&lt;=1,2,0))</f>
        <v>1</v>
      </c>
      <c r="K15243">
        <v>7</v>
      </c>
      <c r="L15243">
        <f>IF(AND($J15243=0,$K15243=0),0,1)</f>
        <v>1</v>
      </c>
      <c r="M15243" t="s">
        <v>1497</v>
      </c>
    </row>
    <row r="15244" spans="1:13" x14ac:dyDescent="0.2">
      <c r="A15244" t="s">
        <v>300</v>
      </c>
      <c r="B15244" t="s">
        <v>1</v>
      </c>
      <c r="C15244" t="s">
        <v>2</v>
      </c>
      <c r="D15244">
        <v>3155</v>
      </c>
      <c r="E15244">
        <v>2021</v>
      </c>
      <c r="F15244">
        <v>3</v>
      </c>
      <c r="G15244">
        <v>610</v>
      </c>
      <c r="H15244" s="1">
        <v>0</v>
      </c>
      <c r="I15244">
        <v>0</v>
      </c>
      <c r="J15244">
        <f>IF($H15244=0,1,IF($I15244&lt;=1,2,0))</f>
        <v>1</v>
      </c>
      <c r="K15244">
        <v>7</v>
      </c>
      <c r="L15244">
        <f>IF(AND($J15244=0,$K15244=0),0,1)</f>
        <v>1</v>
      </c>
      <c r="M15244" t="s">
        <v>1497</v>
      </c>
    </row>
    <row r="15245" spans="1:13" x14ac:dyDescent="0.2">
      <c r="A15245" t="s">
        <v>300</v>
      </c>
      <c r="B15245" t="s">
        <v>1</v>
      </c>
      <c r="C15245" t="s">
        <v>2</v>
      </c>
      <c r="D15245">
        <v>3799</v>
      </c>
      <c r="E15245">
        <v>2021</v>
      </c>
      <c r="F15245">
        <v>1</v>
      </c>
      <c r="G15245">
        <v>786</v>
      </c>
      <c r="H15245" s="1">
        <v>4</v>
      </c>
      <c r="I15245">
        <v>1</v>
      </c>
      <c r="J15245">
        <f>IF($H15245=0,1,IF($I15245&lt;=1,2,0))</f>
        <v>2</v>
      </c>
      <c r="K15245">
        <v>7</v>
      </c>
      <c r="L15245">
        <f>IF(AND($J15245=0,$K15245=0),0,1)</f>
        <v>1</v>
      </c>
    </row>
    <row r="15246" spans="1:13" x14ac:dyDescent="0.2">
      <c r="A15246" t="s">
        <v>310</v>
      </c>
      <c r="B15246" t="s">
        <v>71</v>
      </c>
      <c r="C15246" t="s">
        <v>72</v>
      </c>
      <c r="D15246">
        <v>4750</v>
      </c>
      <c r="E15246">
        <v>2021</v>
      </c>
      <c r="F15246" t="s">
        <v>84</v>
      </c>
      <c r="G15246">
        <v>17610</v>
      </c>
      <c r="H15246" s="1">
        <v>3</v>
      </c>
      <c r="I15246">
        <v>1</v>
      </c>
      <c r="J15246">
        <f>IF($H15246=0,1,IF($I15246&lt;=1,2,0))</f>
        <v>2</v>
      </c>
      <c r="K15246">
        <v>0</v>
      </c>
      <c r="L15246">
        <f>IF(AND($J15246=0,$K15246=0),0,1)</f>
        <v>1</v>
      </c>
      <c r="M15246" t="s">
        <v>85</v>
      </c>
    </row>
    <row r="15247" spans="1:13" x14ac:dyDescent="0.2">
      <c r="A15247" t="s">
        <v>310</v>
      </c>
      <c r="B15247" t="s">
        <v>71</v>
      </c>
      <c r="C15247" t="s">
        <v>72</v>
      </c>
      <c r="D15247">
        <v>6690</v>
      </c>
      <c r="E15247">
        <v>2021</v>
      </c>
      <c r="F15247" t="s">
        <v>84</v>
      </c>
      <c r="G15247">
        <v>17611</v>
      </c>
      <c r="H15247" s="1">
        <v>3</v>
      </c>
      <c r="I15247">
        <v>0</v>
      </c>
      <c r="J15247">
        <f>IF($H15247=0,1,IF($I15247&lt;=1,2,0))</f>
        <v>2</v>
      </c>
      <c r="K15247">
        <v>0</v>
      </c>
      <c r="L15247">
        <f>IF(AND($J15247=0,$K15247=0),0,1)</f>
        <v>1</v>
      </c>
      <c r="M15247" t="s">
        <v>85</v>
      </c>
    </row>
    <row r="15248" spans="1:13" x14ac:dyDescent="0.2">
      <c r="A15248" t="s">
        <v>313</v>
      </c>
      <c r="B15248" t="s">
        <v>133</v>
      </c>
      <c r="C15248" t="s">
        <v>9</v>
      </c>
      <c r="D15248">
        <v>1110</v>
      </c>
      <c r="E15248">
        <v>2021</v>
      </c>
      <c r="F15248">
        <v>1</v>
      </c>
      <c r="G15248">
        <v>12594</v>
      </c>
      <c r="H15248" s="1">
        <v>0</v>
      </c>
      <c r="I15248">
        <v>29</v>
      </c>
      <c r="J15248">
        <f>IF($H15248=0,1,IF($I15248&lt;=1,2,0))</f>
        <v>1</v>
      </c>
      <c r="K15248">
        <v>0</v>
      </c>
      <c r="L15248">
        <f>IF(AND($J15248=0,$K15248=0),0,1)</f>
        <v>1</v>
      </c>
    </row>
    <row r="15249" spans="1:12" x14ac:dyDescent="0.2">
      <c r="A15249" t="s">
        <v>313</v>
      </c>
      <c r="B15249" t="s">
        <v>133</v>
      </c>
      <c r="C15249" t="s">
        <v>9</v>
      </c>
      <c r="D15249">
        <v>1110</v>
      </c>
      <c r="E15249">
        <v>2021</v>
      </c>
      <c r="F15249">
        <v>2</v>
      </c>
      <c r="G15249">
        <v>12595</v>
      </c>
      <c r="H15249" s="1">
        <v>0</v>
      </c>
      <c r="I15249">
        <v>27</v>
      </c>
      <c r="J15249">
        <f>IF($H15249=0,1,IF($I15249&lt;=1,2,0))</f>
        <v>1</v>
      </c>
      <c r="K15249">
        <v>0</v>
      </c>
      <c r="L15249">
        <f>IF(AND($J15249=0,$K15249=0),0,1)</f>
        <v>1</v>
      </c>
    </row>
    <row r="15250" spans="1:12" x14ac:dyDescent="0.2">
      <c r="A15250" t="s">
        <v>313</v>
      </c>
      <c r="B15250" t="s">
        <v>133</v>
      </c>
      <c r="C15250" t="s">
        <v>9</v>
      </c>
      <c r="D15250">
        <v>1110</v>
      </c>
      <c r="E15250">
        <v>2021</v>
      </c>
      <c r="F15250">
        <v>3</v>
      </c>
      <c r="G15250">
        <v>12596</v>
      </c>
      <c r="H15250" s="1">
        <v>0</v>
      </c>
      <c r="I15250">
        <v>16</v>
      </c>
      <c r="J15250">
        <f>IF($H15250=0,1,IF($I15250&lt;=1,2,0))</f>
        <v>1</v>
      </c>
      <c r="K15250">
        <v>0</v>
      </c>
      <c r="L15250">
        <f>IF(AND($J15250=0,$K15250=0),0,1)</f>
        <v>1</v>
      </c>
    </row>
    <row r="15251" spans="1:12" x14ac:dyDescent="0.2">
      <c r="A15251" t="s">
        <v>313</v>
      </c>
      <c r="B15251" t="s">
        <v>133</v>
      </c>
      <c r="C15251" t="s">
        <v>9</v>
      </c>
      <c r="D15251">
        <v>3015</v>
      </c>
      <c r="E15251">
        <v>2021</v>
      </c>
      <c r="F15251">
        <v>1</v>
      </c>
      <c r="G15251">
        <v>12804</v>
      </c>
      <c r="H15251" s="1">
        <v>0</v>
      </c>
      <c r="I15251">
        <v>15</v>
      </c>
      <c r="J15251">
        <f>IF($H15251=0,1,IF($I15251&lt;=1,2,0))</f>
        <v>1</v>
      </c>
      <c r="K15251">
        <v>0</v>
      </c>
      <c r="L15251">
        <f>IF(AND($J15251=0,$K15251=0),0,1)</f>
        <v>1</v>
      </c>
    </row>
    <row r="15252" spans="1:12" x14ac:dyDescent="0.2">
      <c r="A15252" t="s">
        <v>313</v>
      </c>
      <c r="B15252" t="s">
        <v>133</v>
      </c>
      <c r="C15252" t="s">
        <v>9</v>
      </c>
      <c r="D15252">
        <v>3015</v>
      </c>
      <c r="E15252">
        <v>2021</v>
      </c>
      <c r="F15252">
        <v>2</v>
      </c>
      <c r="G15252">
        <v>12806</v>
      </c>
      <c r="H15252" s="1">
        <v>0</v>
      </c>
      <c r="I15252">
        <v>10</v>
      </c>
      <c r="J15252">
        <f>IF($H15252=0,1,IF($I15252&lt;=1,2,0))</f>
        <v>1</v>
      </c>
      <c r="K15252">
        <v>0</v>
      </c>
      <c r="L15252">
        <f>IF(AND($J15252=0,$K15252=0),0,1)</f>
        <v>1</v>
      </c>
    </row>
    <row r="15253" spans="1:12" x14ac:dyDescent="0.2">
      <c r="A15253" t="s">
        <v>313</v>
      </c>
      <c r="B15253" t="s">
        <v>133</v>
      </c>
      <c r="C15253" t="s">
        <v>9</v>
      </c>
      <c r="D15253">
        <v>3997</v>
      </c>
      <c r="E15253">
        <v>2021</v>
      </c>
      <c r="F15253">
        <v>2</v>
      </c>
      <c r="G15253">
        <v>13530</v>
      </c>
      <c r="H15253" s="1" t="s">
        <v>1827</v>
      </c>
      <c r="I15253">
        <v>9</v>
      </c>
      <c r="J15253">
        <f>IF($H15253=0,1,IF($I15253&lt;=1,2,0))</f>
        <v>0</v>
      </c>
      <c r="K15253">
        <v>9</v>
      </c>
      <c r="L15253">
        <f>IF(AND($J15253=0,$K15253=0),0,1)</f>
        <v>1</v>
      </c>
    </row>
    <row r="15254" spans="1:12" x14ac:dyDescent="0.2">
      <c r="A15254" t="s">
        <v>313</v>
      </c>
      <c r="B15254" t="s">
        <v>133</v>
      </c>
      <c r="C15254" t="s">
        <v>9</v>
      </c>
      <c r="D15254">
        <v>3997</v>
      </c>
      <c r="E15254">
        <v>2021</v>
      </c>
      <c r="F15254">
        <v>1</v>
      </c>
      <c r="G15254">
        <v>13528</v>
      </c>
      <c r="H15254" s="1" t="s">
        <v>1827</v>
      </c>
      <c r="I15254">
        <v>4</v>
      </c>
      <c r="J15254">
        <f>IF($H15254=0,1,IF($I15254&lt;=1,2,0))</f>
        <v>0</v>
      </c>
      <c r="K15254">
        <v>9</v>
      </c>
      <c r="L15254">
        <f>IF(AND($J15254=0,$K15254=0),0,1)</f>
        <v>1</v>
      </c>
    </row>
    <row r="15255" spans="1:12" x14ac:dyDescent="0.2">
      <c r="A15255" t="s">
        <v>313</v>
      </c>
      <c r="B15255" t="s">
        <v>133</v>
      </c>
      <c r="C15255" t="s">
        <v>11</v>
      </c>
      <c r="D15255">
        <v>5015</v>
      </c>
      <c r="E15255">
        <v>2021</v>
      </c>
      <c r="F15255">
        <v>1</v>
      </c>
      <c r="G15255">
        <v>12825</v>
      </c>
      <c r="H15255" s="1">
        <v>0</v>
      </c>
      <c r="I15255">
        <v>17</v>
      </c>
      <c r="J15255">
        <f>IF($H15255=0,1,IF($I15255&lt;=1,2,0))</f>
        <v>1</v>
      </c>
      <c r="K15255">
        <v>0</v>
      </c>
      <c r="L15255">
        <f>IF(AND($J15255=0,$K15255=0),0,1)</f>
        <v>1</v>
      </c>
    </row>
    <row r="15256" spans="1:12" x14ac:dyDescent="0.2">
      <c r="A15256" t="s">
        <v>313</v>
      </c>
      <c r="B15256" t="s">
        <v>133</v>
      </c>
      <c r="C15256" t="s">
        <v>11</v>
      </c>
      <c r="D15256">
        <v>5015</v>
      </c>
      <c r="E15256">
        <v>2021</v>
      </c>
      <c r="F15256">
        <v>2</v>
      </c>
      <c r="G15256">
        <v>12826</v>
      </c>
      <c r="H15256" s="1">
        <v>0</v>
      </c>
      <c r="I15256">
        <v>13</v>
      </c>
      <c r="J15256">
        <f>IF($H15256=0,1,IF($I15256&lt;=1,2,0))</f>
        <v>1</v>
      </c>
      <c r="K15256">
        <v>0</v>
      </c>
      <c r="L15256">
        <f>IF(AND($J15256=0,$K15256=0),0,1)</f>
        <v>1</v>
      </c>
    </row>
    <row r="15257" spans="1:12" x14ac:dyDescent="0.2">
      <c r="A15257" t="s">
        <v>313</v>
      </c>
      <c r="B15257" t="s">
        <v>133</v>
      </c>
      <c r="C15257" t="s">
        <v>11</v>
      </c>
      <c r="D15257">
        <v>5850</v>
      </c>
      <c r="E15257">
        <v>2021</v>
      </c>
      <c r="F15257">
        <v>1</v>
      </c>
      <c r="G15257">
        <v>12827</v>
      </c>
      <c r="H15257" s="1">
        <v>3</v>
      </c>
      <c r="I15257">
        <v>24</v>
      </c>
      <c r="J15257">
        <f>IF($H15257=0,1,IF($I15257&lt;=1,2,0))</f>
        <v>0</v>
      </c>
      <c r="K15257">
        <v>4</v>
      </c>
      <c r="L15257">
        <f>IF(AND($J15257=0,$K15257=0),0,1)</f>
        <v>1</v>
      </c>
    </row>
    <row r="15258" spans="1:12" x14ac:dyDescent="0.2">
      <c r="A15258" t="s">
        <v>313</v>
      </c>
      <c r="B15258" t="s">
        <v>133</v>
      </c>
      <c r="C15258" t="s">
        <v>11</v>
      </c>
      <c r="D15258">
        <v>6850</v>
      </c>
      <c r="E15258">
        <v>2021</v>
      </c>
      <c r="F15258">
        <v>1</v>
      </c>
      <c r="G15258">
        <v>12830</v>
      </c>
      <c r="H15258" s="1">
        <v>6</v>
      </c>
      <c r="I15258">
        <v>10</v>
      </c>
      <c r="J15258">
        <f>IF($H15258=0,1,IF($I15258&lt;=1,2,0))</f>
        <v>0</v>
      </c>
      <c r="K15258">
        <v>4</v>
      </c>
      <c r="L15258">
        <f>IF(AND($J15258=0,$K15258=0),0,1)</f>
        <v>1</v>
      </c>
    </row>
    <row r="15259" spans="1:12" x14ac:dyDescent="0.2">
      <c r="A15259" t="s">
        <v>313</v>
      </c>
      <c r="B15259" t="s">
        <v>133</v>
      </c>
      <c r="C15259" t="s">
        <v>11</v>
      </c>
      <c r="D15259">
        <v>9501</v>
      </c>
      <c r="E15259">
        <v>2021</v>
      </c>
      <c r="F15259">
        <v>1</v>
      </c>
      <c r="G15259">
        <v>20386</v>
      </c>
      <c r="H15259" s="1" t="s">
        <v>1842</v>
      </c>
      <c r="I15259">
        <v>4</v>
      </c>
      <c r="J15259">
        <f>IF($H15259=0,1,IF($I15259&lt;=1,2,0))</f>
        <v>0</v>
      </c>
      <c r="K15259">
        <v>5</v>
      </c>
      <c r="L15259">
        <f>IF(AND($J15259=0,$K15259=0),0,1)</f>
        <v>1</v>
      </c>
    </row>
    <row r="15260" spans="1:12" x14ac:dyDescent="0.2">
      <c r="A15260" t="s">
        <v>313</v>
      </c>
      <c r="B15260" t="s">
        <v>133</v>
      </c>
      <c r="C15260" t="s">
        <v>11</v>
      </c>
      <c r="D15260">
        <v>9501</v>
      </c>
      <c r="E15260">
        <v>2021</v>
      </c>
      <c r="F15260">
        <v>2</v>
      </c>
      <c r="G15260">
        <v>20509</v>
      </c>
      <c r="H15260" s="1" t="s">
        <v>1842</v>
      </c>
      <c r="I15260">
        <v>1</v>
      </c>
      <c r="J15260">
        <f>IF($H15260=0,1,IF($I15260&lt;=1,2,0))</f>
        <v>2</v>
      </c>
      <c r="K15260">
        <v>5</v>
      </c>
      <c r="L15260">
        <f>IF(AND($J15260=0,$K15260=0),0,1)</f>
        <v>1</v>
      </c>
    </row>
    <row r="15261" spans="1:12" x14ac:dyDescent="0.2">
      <c r="A15261" t="s">
        <v>313</v>
      </c>
      <c r="B15261" t="s">
        <v>133</v>
      </c>
      <c r="C15261" t="s">
        <v>11</v>
      </c>
      <c r="D15261">
        <v>9501</v>
      </c>
      <c r="E15261">
        <v>2021</v>
      </c>
      <c r="F15261">
        <v>3</v>
      </c>
      <c r="G15261">
        <v>20516</v>
      </c>
      <c r="H15261" s="1" t="s">
        <v>1842</v>
      </c>
      <c r="I15261">
        <v>1</v>
      </c>
      <c r="J15261">
        <f>IF($H15261=0,1,IF($I15261&lt;=1,2,0))</f>
        <v>2</v>
      </c>
      <c r="K15261">
        <v>5</v>
      </c>
      <c r="L15261">
        <f>IF(AND($J15261=0,$K15261=0),0,1)</f>
        <v>1</v>
      </c>
    </row>
    <row r="15262" spans="1:12" x14ac:dyDescent="0.2">
      <c r="A15262" t="s">
        <v>313</v>
      </c>
      <c r="B15262" t="s">
        <v>133</v>
      </c>
      <c r="C15262" t="s">
        <v>11</v>
      </c>
      <c r="D15262">
        <v>9501</v>
      </c>
      <c r="E15262">
        <v>2021</v>
      </c>
      <c r="F15262">
        <v>4</v>
      </c>
      <c r="G15262">
        <v>20540</v>
      </c>
      <c r="H15262" s="1" t="s">
        <v>1842</v>
      </c>
      <c r="I15262">
        <v>1</v>
      </c>
      <c r="J15262">
        <f>IF($H15262=0,1,IF($I15262&lt;=1,2,0))</f>
        <v>2</v>
      </c>
      <c r="K15262">
        <v>5</v>
      </c>
      <c r="L15262">
        <f>IF(AND($J15262=0,$K15262=0),0,1)</f>
        <v>1</v>
      </c>
    </row>
    <row r="15263" spans="1:12" x14ac:dyDescent="0.2">
      <c r="A15263" t="s">
        <v>313</v>
      </c>
      <c r="B15263" t="s">
        <v>133</v>
      </c>
      <c r="C15263" t="s">
        <v>11</v>
      </c>
      <c r="D15263">
        <v>9501</v>
      </c>
      <c r="E15263">
        <v>2021</v>
      </c>
      <c r="F15263">
        <v>5</v>
      </c>
      <c r="G15263">
        <v>20560</v>
      </c>
      <c r="H15263" s="1" t="s">
        <v>1842</v>
      </c>
      <c r="I15263">
        <v>1</v>
      </c>
      <c r="J15263">
        <f>IF($H15263=0,1,IF($I15263&lt;=1,2,0))</f>
        <v>2</v>
      </c>
      <c r="K15263">
        <v>5</v>
      </c>
      <c r="L15263">
        <f>IF(AND($J15263=0,$K15263=0),0,1)</f>
        <v>1</v>
      </c>
    </row>
    <row r="15264" spans="1:12" x14ac:dyDescent="0.2">
      <c r="A15264" t="s">
        <v>313</v>
      </c>
      <c r="B15264" t="s">
        <v>133</v>
      </c>
      <c r="C15264" t="s">
        <v>11</v>
      </c>
      <c r="D15264">
        <v>9501</v>
      </c>
      <c r="E15264">
        <v>2021</v>
      </c>
      <c r="F15264">
        <v>6</v>
      </c>
      <c r="G15264">
        <v>20579</v>
      </c>
      <c r="H15264" s="1" t="s">
        <v>1842</v>
      </c>
      <c r="I15264">
        <v>1</v>
      </c>
      <c r="J15264">
        <f>IF($H15264=0,1,IF($I15264&lt;=1,2,0))</f>
        <v>2</v>
      </c>
      <c r="K15264">
        <v>5</v>
      </c>
      <c r="L15264">
        <f>IF(AND($J15264=0,$K15264=0),0,1)</f>
        <v>1</v>
      </c>
    </row>
    <row r="15265" spans="1:13" x14ac:dyDescent="0.2">
      <c r="A15265" t="s">
        <v>313</v>
      </c>
      <c r="B15265" t="s">
        <v>133</v>
      </c>
      <c r="C15265" t="s">
        <v>11</v>
      </c>
      <c r="D15265">
        <v>9501</v>
      </c>
      <c r="E15265">
        <v>2021</v>
      </c>
      <c r="F15265">
        <v>7</v>
      </c>
      <c r="G15265">
        <v>20581</v>
      </c>
      <c r="H15265" s="1" t="s">
        <v>1842</v>
      </c>
      <c r="I15265">
        <v>1</v>
      </c>
      <c r="J15265">
        <f>IF($H15265=0,1,IF($I15265&lt;=1,2,0))</f>
        <v>2</v>
      </c>
      <c r="K15265">
        <v>5</v>
      </c>
      <c r="L15265">
        <f>IF(AND($J15265=0,$K15265=0),0,1)</f>
        <v>1</v>
      </c>
    </row>
    <row r="15266" spans="1:13" x14ac:dyDescent="0.2">
      <c r="A15266" t="s">
        <v>313</v>
      </c>
      <c r="B15266" t="s">
        <v>133</v>
      </c>
      <c r="C15266" t="s">
        <v>11</v>
      </c>
      <c r="D15266">
        <v>9503</v>
      </c>
      <c r="E15266">
        <v>2021</v>
      </c>
      <c r="F15266">
        <v>1</v>
      </c>
      <c r="G15266">
        <v>20499</v>
      </c>
      <c r="H15266" s="1" t="s">
        <v>1842</v>
      </c>
      <c r="I15266">
        <v>4</v>
      </c>
      <c r="J15266">
        <f>IF($H15266=0,1,IF($I15266&lt;=1,2,0))</f>
        <v>0</v>
      </c>
      <c r="K15266">
        <v>5</v>
      </c>
      <c r="L15266">
        <f>IF(AND($J15266=0,$K15266=0),0,1)</f>
        <v>1</v>
      </c>
    </row>
    <row r="15267" spans="1:13" x14ac:dyDescent="0.2">
      <c r="A15267" t="s">
        <v>313</v>
      </c>
      <c r="B15267" t="s">
        <v>133</v>
      </c>
      <c r="C15267" t="s">
        <v>11</v>
      </c>
      <c r="D15267">
        <v>9503</v>
      </c>
      <c r="E15267">
        <v>2021</v>
      </c>
      <c r="F15267">
        <v>2</v>
      </c>
      <c r="G15267">
        <v>20517</v>
      </c>
      <c r="H15267" s="1" t="s">
        <v>1842</v>
      </c>
      <c r="I15267">
        <v>1</v>
      </c>
      <c r="J15267">
        <f>IF($H15267=0,1,IF($I15267&lt;=1,2,0))</f>
        <v>2</v>
      </c>
      <c r="K15267">
        <v>5</v>
      </c>
      <c r="L15267">
        <f>IF(AND($J15267=0,$K15267=0),0,1)</f>
        <v>1</v>
      </c>
    </row>
    <row r="15268" spans="1:13" x14ac:dyDescent="0.2">
      <c r="A15268" t="s">
        <v>313</v>
      </c>
      <c r="B15268" t="s">
        <v>133</v>
      </c>
      <c r="C15268" t="s">
        <v>11</v>
      </c>
      <c r="D15268">
        <v>9503</v>
      </c>
      <c r="E15268">
        <v>2021</v>
      </c>
      <c r="F15268">
        <v>3</v>
      </c>
      <c r="G15268">
        <v>20561</v>
      </c>
      <c r="H15268" s="1" t="s">
        <v>1842</v>
      </c>
      <c r="I15268">
        <v>1</v>
      </c>
      <c r="J15268">
        <f>IF($H15268=0,1,IF($I15268&lt;=1,2,0))</f>
        <v>2</v>
      </c>
      <c r="K15268">
        <v>5</v>
      </c>
      <c r="L15268">
        <f>IF(AND($J15268=0,$K15268=0),0,1)</f>
        <v>1</v>
      </c>
    </row>
    <row r="15269" spans="1:13" x14ac:dyDescent="0.2">
      <c r="A15269" t="s">
        <v>313</v>
      </c>
      <c r="B15269" t="s">
        <v>133</v>
      </c>
      <c r="C15269" t="s">
        <v>11</v>
      </c>
      <c r="D15269">
        <v>9503</v>
      </c>
      <c r="E15269">
        <v>2021</v>
      </c>
      <c r="F15269">
        <v>4</v>
      </c>
      <c r="G15269">
        <v>20580</v>
      </c>
      <c r="H15269" s="1" t="s">
        <v>1842</v>
      </c>
      <c r="I15269">
        <v>1</v>
      </c>
      <c r="J15269">
        <f>IF($H15269=0,1,IF($I15269&lt;=1,2,0))</f>
        <v>2</v>
      </c>
      <c r="K15269">
        <v>5</v>
      </c>
      <c r="L15269">
        <f>IF(AND($J15269=0,$K15269=0),0,1)</f>
        <v>1</v>
      </c>
    </row>
    <row r="15270" spans="1:13" x14ac:dyDescent="0.2">
      <c r="A15270" t="s">
        <v>313</v>
      </c>
      <c r="B15270" t="s">
        <v>133</v>
      </c>
      <c r="C15270" t="s">
        <v>11</v>
      </c>
      <c r="D15270">
        <v>9509</v>
      </c>
      <c r="E15270">
        <v>2021</v>
      </c>
      <c r="F15270">
        <v>3</v>
      </c>
      <c r="G15270">
        <v>20638</v>
      </c>
      <c r="H15270" s="1" t="s">
        <v>1828</v>
      </c>
      <c r="I15270">
        <v>2</v>
      </c>
      <c r="J15270">
        <f>IF($H15270=0,1,IF($I15270&lt;=1,2,0))</f>
        <v>0</v>
      </c>
      <c r="K15270">
        <v>5</v>
      </c>
      <c r="L15270">
        <f>IF(AND($J15270=0,$K15270=0),0,1)</f>
        <v>1</v>
      </c>
    </row>
    <row r="15271" spans="1:13" x14ac:dyDescent="0.2">
      <c r="A15271" t="s">
        <v>313</v>
      </c>
      <c r="B15271" t="s">
        <v>133</v>
      </c>
      <c r="C15271" t="s">
        <v>11</v>
      </c>
      <c r="D15271">
        <v>9509</v>
      </c>
      <c r="E15271">
        <v>2021</v>
      </c>
      <c r="F15271">
        <v>1</v>
      </c>
      <c r="G15271">
        <v>20582</v>
      </c>
      <c r="H15271" s="1" t="s">
        <v>1828</v>
      </c>
      <c r="I15271">
        <v>1</v>
      </c>
      <c r="J15271">
        <f>IF($H15271=0,1,IF($I15271&lt;=1,2,0))</f>
        <v>2</v>
      </c>
      <c r="K15271">
        <v>5</v>
      </c>
      <c r="L15271">
        <f>IF(AND($J15271=0,$K15271=0),0,1)</f>
        <v>1</v>
      </c>
    </row>
    <row r="15272" spans="1:13" x14ac:dyDescent="0.2">
      <c r="A15272" t="s">
        <v>313</v>
      </c>
      <c r="B15272" t="s">
        <v>133</v>
      </c>
      <c r="C15272" t="s">
        <v>11</v>
      </c>
      <c r="D15272">
        <v>9509</v>
      </c>
      <c r="E15272">
        <v>2021</v>
      </c>
      <c r="F15272">
        <v>2</v>
      </c>
      <c r="G15272">
        <v>20586</v>
      </c>
      <c r="H15272" s="1" t="s">
        <v>1828</v>
      </c>
      <c r="I15272">
        <v>1</v>
      </c>
      <c r="J15272">
        <f>IF($H15272=0,1,IF($I15272&lt;=1,2,0))</f>
        <v>2</v>
      </c>
      <c r="K15272">
        <v>5</v>
      </c>
      <c r="L15272">
        <f>IF(AND($J15272=0,$K15272=0),0,1)</f>
        <v>1</v>
      </c>
    </row>
    <row r="15273" spans="1:13" x14ac:dyDescent="0.2">
      <c r="A15273" t="s">
        <v>313</v>
      </c>
      <c r="B15273" t="s">
        <v>133</v>
      </c>
      <c r="C15273" t="s">
        <v>11</v>
      </c>
      <c r="D15273">
        <v>9509</v>
      </c>
      <c r="E15273">
        <v>2021</v>
      </c>
      <c r="F15273">
        <v>4</v>
      </c>
      <c r="G15273">
        <v>20813</v>
      </c>
      <c r="H15273" s="1" t="s">
        <v>1828</v>
      </c>
      <c r="I15273">
        <v>0</v>
      </c>
      <c r="J15273">
        <f>IF($H15273=0,1,IF($I15273&lt;=1,2,0))</f>
        <v>2</v>
      </c>
      <c r="K15273">
        <v>5</v>
      </c>
      <c r="L15273">
        <f>IF(AND($J15273=0,$K15273=0),0,1)</f>
        <v>1</v>
      </c>
    </row>
    <row r="15274" spans="1:13" x14ac:dyDescent="0.2">
      <c r="A15274" t="s">
        <v>318</v>
      </c>
      <c r="B15274" t="s">
        <v>133</v>
      </c>
      <c r="C15274" t="s">
        <v>2</v>
      </c>
      <c r="D15274">
        <v>1001</v>
      </c>
      <c r="E15274">
        <v>2021</v>
      </c>
      <c r="F15274">
        <v>1</v>
      </c>
      <c r="G15274">
        <v>282</v>
      </c>
      <c r="H15274" s="1">
        <v>4.5</v>
      </c>
      <c r="I15274">
        <v>114</v>
      </c>
      <c r="J15274">
        <f>IF($H15274=0,1,IF($I15274&lt;=1,2,0))</f>
        <v>0</v>
      </c>
      <c r="K15274">
        <v>7</v>
      </c>
      <c r="L15274">
        <f>IF(AND($J15274=0,$K15274=0),0,1)</f>
        <v>1</v>
      </c>
      <c r="M15274" t="s">
        <v>1502</v>
      </c>
    </row>
    <row r="15275" spans="1:13" x14ac:dyDescent="0.2">
      <c r="A15275" t="s">
        <v>318</v>
      </c>
      <c r="B15275" t="s">
        <v>133</v>
      </c>
      <c r="C15275" t="s">
        <v>2</v>
      </c>
      <c r="D15275">
        <v>1011</v>
      </c>
      <c r="E15275">
        <v>2021</v>
      </c>
      <c r="F15275">
        <v>2</v>
      </c>
      <c r="G15275">
        <v>284</v>
      </c>
      <c r="H15275" s="1">
        <v>0</v>
      </c>
      <c r="I15275">
        <v>18</v>
      </c>
      <c r="J15275">
        <f>IF($H15275=0,1,IF($I15275&lt;=1,2,0))</f>
        <v>1</v>
      </c>
      <c r="K15275">
        <v>7</v>
      </c>
      <c r="L15275">
        <f>IF(AND($J15275=0,$K15275=0),0,1)</f>
        <v>1</v>
      </c>
      <c r="M15275" t="s">
        <v>2061</v>
      </c>
    </row>
    <row r="15276" spans="1:13" x14ac:dyDescent="0.2">
      <c r="A15276" t="s">
        <v>318</v>
      </c>
      <c r="B15276" t="s">
        <v>133</v>
      </c>
      <c r="C15276" t="s">
        <v>2</v>
      </c>
      <c r="D15276">
        <v>1011</v>
      </c>
      <c r="E15276">
        <v>2021</v>
      </c>
      <c r="F15276">
        <v>4</v>
      </c>
      <c r="G15276">
        <v>286</v>
      </c>
      <c r="H15276" s="1">
        <v>0</v>
      </c>
      <c r="I15276">
        <v>18</v>
      </c>
      <c r="J15276">
        <f>IF($H15276=0,1,IF($I15276&lt;=1,2,0))</f>
        <v>1</v>
      </c>
      <c r="K15276">
        <v>7</v>
      </c>
      <c r="L15276">
        <f>IF(AND($J15276=0,$K15276=0),0,1)</f>
        <v>1</v>
      </c>
      <c r="M15276" t="s">
        <v>2061</v>
      </c>
    </row>
    <row r="15277" spans="1:13" x14ac:dyDescent="0.2">
      <c r="A15277" t="s">
        <v>318</v>
      </c>
      <c r="B15277" t="s">
        <v>133</v>
      </c>
      <c r="C15277" t="s">
        <v>2</v>
      </c>
      <c r="D15277">
        <v>1011</v>
      </c>
      <c r="E15277">
        <v>2021</v>
      </c>
      <c r="F15277">
        <v>6</v>
      </c>
      <c r="G15277">
        <v>288</v>
      </c>
      <c r="H15277" s="1">
        <v>0</v>
      </c>
      <c r="I15277">
        <v>18</v>
      </c>
      <c r="J15277">
        <f>IF($H15277=0,1,IF($I15277&lt;=1,2,0))</f>
        <v>1</v>
      </c>
      <c r="K15277">
        <v>7</v>
      </c>
      <c r="L15277">
        <f>IF(AND($J15277=0,$K15277=0),0,1)</f>
        <v>1</v>
      </c>
    </row>
    <row r="15278" spans="1:13" x14ac:dyDescent="0.2">
      <c r="A15278" t="s">
        <v>318</v>
      </c>
      <c r="B15278" t="s">
        <v>133</v>
      </c>
      <c r="C15278" t="s">
        <v>2</v>
      </c>
      <c r="D15278">
        <v>1011</v>
      </c>
      <c r="E15278">
        <v>2021</v>
      </c>
      <c r="F15278">
        <v>1</v>
      </c>
      <c r="G15278">
        <v>283</v>
      </c>
      <c r="H15278" s="1">
        <v>0</v>
      </c>
      <c r="I15278">
        <v>16</v>
      </c>
      <c r="J15278">
        <f>IF($H15278=0,1,IF($I15278&lt;=1,2,0))</f>
        <v>1</v>
      </c>
      <c r="K15278">
        <v>7</v>
      </c>
      <c r="L15278">
        <f>IF(AND($J15278=0,$K15278=0),0,1)</f>
        <v>1</v>
      </c>
      <c r="M15278" t="s">
        <v>2061</v>
      </c>
    </row>
    <row r="15279" spans="1:13" x14ac:dyDescent="0.2">
      <c r="A15279" t="s">
        <v>318</v>
      </c>
      <c r="B15279" t="s">
        <v>133</v>
      </c>
      <c r="C15279" t="s">
        <v>2</v>
      </c>
      <c r="D15279">
        <v>1011</v>
      </c>
      <c r="E15279">
        <v>2021</v>
      </c>
      <c r="F15279">
        <v>3</v>
      </c>
      <c r="G15279">
        <v>285</v>
      </c>
      <c r="H15279" s="1">
        <v>0</v>
      </c>
      <c r="I15279">
        <v>16</v>
      </c>
      <c r="J15279">
        <f>IF($H15279=0,1,IF($I15279&lt;=1,2,0))</f>
        <v>1</v>
      </c>
      <c r="K15279">
        <v>7</v>
      </c>
      <c r="L15279">
        <f>IF(AND($J15279=0,$K15279=0),0,1)</f>
        <v>1</v>
      </c>
      <c r="M15279" t="s">
        <v>2061</v>
      </c>
    </row>
    <row r="15280" spans="1:13" x14ac:dyDescent="0.2">
      <c r="A15280" t="s">
        <v>318</v>
      </c>
      <c r="B15280" t="s">
        <v>133</v>
      </c>
      <c r="C15280" t="s">
        <v>2</v>
      </c>
      <c r="D15280">
        <v>1011</v>
      </c>
      <c r="E15280">
        <v>2021</v>
      </c>
      <c r="F15280">
        <v>5</v>
      </c>
      <c r="G15280">
        <v>287</v>
      </c>
      <c r="H15280" s="1">
        <v>0</v>
      </c>
      <c r="I15280">
        <v>14</v>
      </c>
      <c r="J15280">
        <f>IF($H15280=0,1,IF($I15280&lt;=1,2,0))</f>
        <v>1</v>
      </c>
      <c r="K15280">
        <v>7</v>
      </c>
      <c r="L15280">
        <f>IF(AND($J15280=0,$K15280=0),0,1)</f>
        <v>1</v>
      </c>
      <c r="M15280" t="s">
        <v>2061</v>
      </c>
    </row>
    <row r="15281" spans="1:13" x14ac:dyDescent="0.2">
      <c r="A15281" t="s">
        <v>318</v>
      </c>
      <c r="B15281" t="s">
        <v>133</v>
      </c>
      <c r="C15281" t="s">
        <v>2</v>
      </c>
      <c r="D15281">
        <v>1011</v>
      </c>
      <c r="E15281">
        <v>2021</v>
      </c>
      <c r="F15281">
        <v>7</v>
      </c>
      <c r="G15281">
        <v>289</v>
      </c>
      <c r="H15281" s="1">
        <v>0</v>
      </c>
      <c r="I15281">
        <v>14</v>
      </c>
      <c r="J15281">
        <f>IF($H15281=0,1,IF($I15281&lt;=1,2,0))</f>
        <v>1</v>
      </c>
      <c r="K15281">
        <v>7</v>
      </c>
      <c r="L15281">
        <f>IF(AND($J15281=0,$K15281=0),0,1)</f>
        <v>1</v>
      </c>
      <c r="M15281" t="s">
        <v>2061</v>
      </c>
    </row>
    <row r="15282" spans="1:13" x14ac:dyDescent="0.2">
      <c r="A15282" t="s">
        <v>318</v>
      </c>
      <c r="B15282" t="s">
        <v>133</v>
      </c>
      <c r="C15282" t="s">
        <v>9</v>
      </c>
      <c r="D15282">
        <v>3000</v>
      </c>
      <c r="E15282">
        <v>2021</v>
      </c>
      <c r="F15282">
        <v>1</v>
      </c>
      <c r="G15282">
        <v>15057</v>
      </c>
      <c r="H15282" s="1" t="s">
        <v>1827</v>
      </c>
      <c r="I15282">
        <v>1</v>
      </c>
      <c r="J15282">
        <f>IF($H15282=0,1,IF($I15282&lt;=1,2,0))</f>
        <v>2</v>
      </c>
      <c r="K15282">
        <v>0</v>
      </c>
      <c r="L15282">
        <f>IF(AND($J15282=0,$K15282=0),0,1)</f>
        <v>1</v>
      </c>
    </row>
    <row r="15283" spans="1:13" x14ac:dyDescent="0.2">
      <c r="A15283" t="s">
        <v>318</v>
      </c>
      <c r="B15283" t="s">
        <v>133</v>
      </c>
      <c r="C15283" t="s">
        <v>2</v>
      </c>
      <c r="D15283">
        <v>3017</v>
      </c>
      <c r="E15283">
        <v>2021</v>
      </c>
      <c r="F15283">
        <v>1</v>
      </c>
      <c r="G15283">
        <v>281</v>
      </c>
      <c r="H15283" s="1">
        <v>3</v>
      </c>
      <c r="I15283">
        <v>24</v>
      </c>
      <c r="J15283">
        <f>IF($H15283=0,1,IF($I15283&lt;=1,2,0))</f>
        <v>0</v>
      </c>
      <c r="K15283">
        <v>7</v>
      </c>
      <c r="L15283">
        <f>IF(AND($J15283=0,$K15283=0),0,1)</f>
        <v>1</v>
      </c>
      <c r="M15283" t="s">
        <v>2062</v>
      </c>
    </row>
    <row r="15284" spans="1:13" x14ac:dyDescent="0.2">
      <c r="A15284" t="s">
        <v>318</v>
      </c>
      <c r="B15284" t="s">
        <v>133</v>
      </c>
      <c r="C15284" t="s">
        <v>2</v>
      </c>
      <c r="D15284">
        <v>3050</v>
      </c>
      <c r="E15284">
        <v>2021</v>
      </c>
      <c r="F15284">
        <v>1</v>
      </c>
      <c r="G15284">
        <v>291</v>
      </c>
      <c r="H15284" s="1">
        <v>3</v>
      </c>
      <c r="I15284">
        <v>24</v>
      </c>
      <c r="J15284">
        <f>IF($H15284=0,1,IF($I15284&lt;=1,2,0))</f>
        <v>0</v>
      </c>
      <c r="K15284">
        <v>7</v>
      </c>
      <c r="L15284">
        <f>IF(AND($J15284=0,$K15284=0),0,1)</f>
        <v>1</v>
      </c>
    </row>
    <row r="15285" spans="1:13" x14ac:dyDescent="0.2">
      <c r="A15285" t="s">
        <v>318</v>
      </c>
      <c r="B15285" t="s">
        <v>133</v>
      </c>
      <c r="C15285" t="s">
        <v>2</v>
      </c>
      <c r="D15285">
        <v>3800</v>
      </c>
      <c r="E15285">
        <v>2021</v>
      </c>
      <c r="F15285">
        <v>1</v>
      </c>
      <c r="G15285">
        <v>292</v>
      </c>
      <c r="H15285" s="1">
        <v>3</v>
      </c>
      <c r="I15285">
        <v>38</v>
      </c>
      <c r="J15285">
        <f>IF($H15285=0,1,IF($I15285&lt;=1,2,0))</f>
        <v>0</v>
      </c>
      <c r="K15285">
        <v>7</v>
      </c>
      <c r="L15285">
        <f>IF(AND($J15285=0,$K15285=0),0,1)</f>
        <v>1</v>
      </c>
    </row>
    <row r="15286" spans="1:13" x14ac:dyDescent="0.2">
      <c r="A15286" t="s">
        <v>318</v>
      </c>
      <c r="B15286" t="s">
        <v>133</v>
      </c>
      <c r="C15286" t="s">
        <v>2</v>
      </c>
      <c r="D15286">
        <v>3999</v>
      </c>
      <c r="E15286">
        <v>2021</v>
      </c>
      <c r="F15286">
        <v>1</v>
      </c>
      <c r="G15286">
        <v>872</v>
      </c>
      <c r="H15286" s="1">
        <v>2</v>
      </c>
      <c r="I15286">
        <v>1</v>
      </c>
      <c r="J15286">
        <f>IF($H15286=0,1,IF($I15286&lt;=1,2,0))</f>
        <v>2</v>
      </c>
      <c r="K15286">
        <v>7</v>
      </c>
      <c r="L15286">
        <f>IF(AND($J15286=0,$K15286=0),0,1)</f>
        <v>1</v>
      </c>
    </row>
    <row r="15287" spans="1:13" x14ac:dyDescent="0.2">
      <c r="A15287" t="s">
        <v>318</v>
      </c>
      <c r="B15287" t="s">
        <v>133</v>
      </c>
      <c r="C15287" t="s">
        <v>2</v>
      </c>
      <c r="D15287">
        <v>3999</v>
      </c>
      <c r="E15287">
        <v>2021</v>
      </c>
      <c r="F15287">
        <v>2</v>
      </c>
      <c r="G15287">
        <v>885</v>
      </c>
      <c r="H15287" s="1">
        <v>1</v>
      </c>
      <c r="I15287">
        <v>1</v>
      </c>
      <c r="J15287">
        <f>IF($H15287=0,1,IF($I15287&lt;=1,2,0))</f>
        <v>2</v>
      </c>
      <c r="K15287">
        <v>7</v>
      </c>
      <c r="L15287">
        <f>IF(AND($J15287=0,$K15287=0),0,1)</f>
        <v>1</v>
      </c>
    </row>
    <row r="15288" spans="1:13" x14ac:dyDescent="0.2">
      <c r="A15288" t="s">
        <v>318</v>
      </c>
      <c r="B15288" t="s">
        <v>133</v>
      </c>
      <c r="C15288" t="s">
        <v>11</v>
      </c>
      <c r="D15288">
        <v>9001</v>
      </c>
      <c r="E15288">
        <v>2021</v>
      </c>
      <c r="F15288">
        <v>1</v>
      </c>
      <c r="G15288">
        <v>12787</v>
      </c>
      <c r="H15288" s="1" t="s">
        <v>1834</v>
      </c>
      <c r="I15288">
        <v>3</v>
      </c>
      <c r="J15288">
        <f>IF($H15288=0,1,IF($I15288&lt;=1,2,0))</f>
        <v>0</v>
      </c>
      <c r="K15288">
        <v>5</v>
      </c>
      <c r="L15288">
        <f>IF(AND($J15288=0,$K15288=0),0,1)</f>
        <v>1</v>
      </c>
    </row>
    <row r="15289" spans="1:13" x14ac:dyDescent="0.2">
      <c r="A15289" t="s">
        <v>318</v>
      </c>
      <c r="B15289" t="s">
        <v>133</v>
      </c>
      <c r="C15289" t="s">
        <v>11</v>
      </c>
      <c r="D15289">
        <v>9701</v>
      </c>
      <c r="E15289">
        <v>2021</v>
      </c>
      <c r="F15289">
        <v>1</v>
      </c>
      <c r="G15289">
        <v>19003</v>
      </c>
      <c r="H15289" s="1" t="s">
        <v>1837</v>
      </c>
      <c r="I15289">
        <v>5</v>
      </c>
      <c r="J15289">
        <f>IF($H15289=0,1,IF($I15289&lt;=1,2,0))</f>
        <v>0</v>
      </c>
      <c r="K15289">
        <v>5</v>
      </c>
      <c r="L15289">
        <f>IF(AND($J15289=0,$K15289=0),0,1)</f>
        <v>1</v>
      </c>
      <c r="M15289" t="s">
        <v>334</v>
      </c>
    </row>
    <row r="15290" spans="1:13" x14ac:dyDescent="0.2">
      <c r="A15290" t="s">
        <v>318</v>
      </c>
      <c r="B15290" t="s">
        <v>133</v>
      </c>
      <c r="C15290" t="s">
        <v>11</v>
      </c>
      <c r="D15290">
        <v>9931</v>
      </c>
      <c r="E15290">
        <v>2021</v>
      </c>
      <c r="F15290">
        <v>1</v>
      </c>
      <c r="G15290">
        <v>17214</v>
      </c>
      <c r="H15290" s="1" t="s">
        <v>1837</v>
      </c>
      <c r="I15290">
        <v>19</v>
      </c>
      <c r="J15290">
        <f>IF($H15290=0,1,IF($I15290&lt;=1,2,0))</f>
        <v>0</v>
      </c>
      <c r="K15290">
        <v>5</v>
      </c>
      <c r="L15290">
        <f>IF(AND($J15290=0,$K15290=0),0,1)</f>
        <v>1</v>
      </c>
      <c r="M15290" t="s">
        <v>1506</v>
      </c>
    </row>
    <row r="15291" spans="1:13" x14ac:dyDescent="0.2">
      <c r="A15291" t="s">
        <v>318</v>
      </c>
      <c r="B15291" t="s">
        <v>133</v>
      </c>
      <c r="C15291" t="s">
        <v>11</v>
      </c>
      <c r="D15291">
        <v>9945</v>
      </c>
      <c r="E15291">
        <v>2021</v>
      </c>
      <c r="F15291">
        <v>2</v>
      </c>
      <c r="G15291">
        <v>12992</v>
      </c>
      <c r="H15291" s="1">
        <v>1</v>
      </c>
      <c r="I15291">
        <v>2</v>
      </c>
      <c r="J15291">
        <f>IF($H15291=0,1,IF($I15291&lt;=1,2,0))</f>
        <v>0</v>
      </c>
      <c r="K15291">
        <v>5</v>
      </c>
      <c r="L15291">
        <f>IF(AND($J15291=0,$K15291=0),0,1)</f>
        <v>1</v>
      </c>
      <c r="M15291" t="s">
        <v>1508</v>
      </c>
    </row>
    <row r="15292" spans="1:13" x14ac:dyDescent="0.2">
      <c r="A15292" t="s">
        <v>318</v>
      </c>
      <c r="B15292" t="s">
        <v>133</v>
      </c>
      <c r="C15292" t="s">
        <v>11</v>
      </c>
      <c r="D15292">
        <v>9945</v>
      </c>
      <c r="E15292">
        <v>2021</v>
      </c>
      <c r="F15292">
        <v>1</v>
      </c>
      <c r="G15292">
        <v>12990</v>
      </c>
      <c r="H15292" s="1">
        <v>1</v>
      </c>
      <c r="I15292">
        <v>1</v>
      </c>
      <c r="J15292">
        <f>IF($H15292=0,1,IF($I15292&lt;=1,2,0))</f>
        <v>2</v>
      </c>
      <c r="K15292">
        <v>5</v>
      </c>
      <c r="L15292">
        <f>IF(AND($J15292=0,$K15292=0),0,1)</f>
        <v>1</v>
      </c>
      <c r="M15292" t="s">
        <v>1508</v>
      </c>
    </row>
    <row r="15293" spans="1:13" x14ac:dyDescent="0.2">
      <c r="A15293" t="s">
        <v>318</v>
      </c>
      <c r="B15293" t="s">
        <v>133</v>
      </c>
      <c r="C15293" t="s">
        <v>11</v>
      </c>
      <c r="D15293">
        <v>9946</v>
      </c>
      <c r="E15293">
        <v>2021</v>
      </c>
      <c r="F15293">
        <v>1</v>
      </c>
      <c r="G15293">
        <v>20324</v>
      </c>
      <c r="H15293" s="1" t="s">
        <v>1837</v>
      </c>
      <c r="I15293">
        <v>8</v>
      </c>
      <c r="J15293">
        <f>IF($H15293=0,1,IF($I15293&lt;=1,2,0))</f>
        <v>0</v>
      </c>
      <c r="K15293">
        <v>5</v>
      </c>
      <c r="L15293">
        <f>IF(AND($J15293=0,$K15293=0),0,1)</f>
        <v>1</v>
      </c>
    </row>
    <row r="15294" spans="1:13" x14ac:dyDescent="0.2">
      <c r="A15294" t="s">
        <v>343</v>
      </c>
      <c r="B15294" t="s">
        <v>6</v>
      </c>
      <c r="C15294" t="s">
        <v>11</v>
      </c>
      <c r="D15294">
        <v>5999</v>
      </c>
      <c r="E15294">
        <v>2021</v>
      </c>
      <c r="F15294">
        <v>1</v>
      </c>
      <c r="G15294">
        <v>20532</v>
      </c>
      <c r="H15294" s="1" t="s">
        <v>1823</v>
      </c>
      <c r="I15294">
        <v>1</v>
      </c>
      <c r="J15294">
        <f>IF($H15294=0,1,IF($I15294&lt;=1,2,0))</f>
        <v>2</v>
      </c>
      <c r="K15294">
        <v>0</v>
      </c>
      <c r="L15294">
        <f>IF(AND($J15294=0,$K15294=0),0,1)</f>
        <v>1</v>
      </c>
    </row>
    <row r="15295" spans="1:13" x14ac:dyDescent="0.2">
      <c r="A15295" t="s">
        <v>343</v>
      </c>
      <c r="B15295" t="s">
        <v>6</v>
      </c>
      <c r="C15295" t="s">
        <v>11</v>
      </c>
      <c r="D15295">
        <v>6999</v>
      </c>
      <c r="E15295">
        <v>2021</v>
      </c>
      <c r="F15295">
        <v>1</v>
      </c>
      <c r="G15295">
        <v>20462</v>
      </c>
      <c r="H15295" s="1" t="s">
        <v>1832</v>
      </c>
      <c r="I15295">
        <v>1</v>
      </c>
      <c r="J15295">
        <f>IF($H15295=0,1,IF($I15295&lt;=1,2,0))</f>
        <v>2</v>
      </c>
      <c r="K15295">
        <v>9</v>
      </c>
      <c r="L15295">
        <f>IF(AND($J15295=0,$K15295=0),0,1)</f>
        <v>1</v>
      </c>
    </row>
    <row r="15296" spans="1:13" x14ac:dyDescent="0.2">
      <c r="A15296" t="s">
        <v>343</v>
      </c>
      <c r="B15296" t="s">
        <v>6</v>
      </c>
      <c r="C15296" t="s">
        <v>11</v>
      </c>
      <c r="D15296">
        <v>6999</v>
      </c>
      <c r="E15296">
        <v>2021</v>
      </c>
      <c r="F15296">
        <v>3</v>
      </c>
      <c r="G15296">
        <v>20558</v>
      </c>
      <c r="H15296" s="1" t="s">
        <v>1832</v>
      </c>
      <c r="I15296">
        <v>1</v>
      </c>
      <c r="J15296">
        <f>IF($H15296=0,1,IF($I15296&lt;=1,2,0))</f>
        <v>2</v>
      </c>
      <c r="K15296">
        <v>9</v>
      </c>
      <c r="L15296">
        <f>IF(AND($J15296=0,$K15296=0),0,1)</f>
        <v>1</v>
      </c>
    </row>
    <row r="15297" spans="1:12" x14ac:dyDescent="0.2">
      <c r="A15297" t="s">
        <v>343</v>
      </c>
      <c r="B15297" t="s">
        <v>6</v>
      </c>
      <c r="C15297" t="s">
        <v>11</v>
      </c>
      <c r="D15297">
        <v>6999</v>
      </c>
      <c r="E15297">
        <v>2021</v>
      </c>
      <c r="F15297">
        <v>4</v>
      </c>
      <c r="G15297">
        <v>20742</v>
      </c>
      <c r="H15297" s="1" t="s">
        <v>1832</v>
      </c>
      <c r="I15297">
        <v>1</v>
      </c>
      <c r="J15297">
        <f>IF($H15297=0,1,IF($I15297&lt;=1,2,0))</f>
        <v>2</v>
      </c>
      <c r="K15297">
        <v>9</v>
      </c>
      <c r="L15297">
        <f>IF(AND($J15297=0,$K15297=0),0,1)</f>
        <v>1</v>
      </c>
    </row>
    <row r="15298" spans="1:12" x14ac:dyDescent="0.2">
      <c r="A15298" t="s">
        <v>343</v>
      </c>
      <c r="B15298" t="s">
        <v>6</v>
      </c>
      <c r="C15298" t="s">
        <v>11</v>
      </c>
      <c r="D15298">
        <v>6999</v>
      </c>
      <c r="E15298">
        <v>2021</v>
      </c>
      <c r="F15298">
        <v>2</v>
      </c>
      <c r="G15298">
        <v>20566</v>
      </c>
      <c r="H15298" s="1" t="s">
        <v>1832</v>
      </c>
      <c r="I15298">
        <v>0</v>
      </c>
      <c r="J15298">
        <f>IF($H15298=0,1,IF($I15298&lt;=1,2,0))</f>
        <v>2</v>
      </c>
      <c r="K15298">
        <v>9</v>
      </c>
      <c r="L15298">
        <f>IF(AND($J15298=0,$K15298=0),0,1)</f>
        <v>1</v>
      </c>
    </row>
    <row r="15299" spans="1:12" x14ac:dyDescent="0.2">
      <c r="A15299" t="s">
        <v>344</v>
      </c>
      <c r="B15299" t="s">
        <v>71</v>
      </c>
      <c r="C15299" t="s">
        <v>72</v>
      </c>
      <c r="D15299">
        <v>3081</v>
      </c>
      <c r="E15299">
        <v>2021</v>
      </c>
      <c r="F15299">
        <v>3</v>
      </c>
      <c r="G15299">
        <v>12031</v>
      </c>
      <c r="H15299" s="1">
        <v>1</v>
      </c>
      <c r="I15299">
        <v>25</v>
      </c>
      <c r="J15299">
        <f>IF($H15299=0,1,IF($I15299&lt;=1,2,0))</f>
        <v>0</v>
      </c>
      <c r="K15299">
        <v>8</v>
      </c>
      <c r="L15299">
        <f>IF(AND($J15299=0,$K15299=0),0,1)</f>
        <v>1</v>
      </c>
    </row>
    <row r="15300" spans="1:12" x14ac:dyDescent="0.2">
      <c r="A15300" t="s">
        <v>344</v>
      </c>
      <c r="B15300" t="s">
        <v>71</v>
      </c>
      <c r="C15300" t="s">
        <v>72</v>
      </c>
      <c r="D15300">
        <v>3081</v>
      </c>
      <c r="E15300">
        <v>2021</v>
      </c>
      <c r="F15300">
        <v>1</v>
      </c>
      <c r="G15300">
        <v>12029</v>
      </c>
      <c r="H15300" s="1">
        <v>1</v>
      </c>
      <c r="I15300">
        <v>22</v>
      </c>
      <c r="J15300">
        <f>IF($H15300=0,1,IF($I15300&lt;=1,2,0))</f>
        <v>0</v>
      </c>
      <c r="K15300">
        <v>8</v>
      </c>
      <c r="L15300">
        <f>IF(AND($J15300=0,$K15300=0),0,1)</f>
        <v>1</v>
      </c>
    </row>
    <row r="15301" spans="1:12" x14ac:dyDescent="0.2">
      <c r="A15301" t="s">
        <v>344</v>
      </c>
      <c r="B15301" t="s">
        <v>71</v>
      </c>
      <c r="C15301" t="s">
        <v>72</v>
      </c>
      <c r="D15301">
        <v>3081</v>
      </c>
      <c r="E15301">
        <v>2021</v>
      </c>
      <c r="F15301">
        <v>4</v>
      </c>
      <c r="G15301">
        <v>20539</v>
      </c>
      <c r="H15301" s="1">
        <v>1</v>
      </c>
      <c r="I15301">
        <v>14</v>
      </c>
      <c r="J15301">
        <f>IF($H15301=0,1,IF($I15301&lt;=1,2,0))</f>
        <v>0</v>
      </c>
      <c r="K15301">
        <v>8</v>
      </c>
      <c r="L15301">
        <f>IF(AND($J15301=0,$K15301=0),0,1)</f>
        <v>1</v>
      </c>
    </row>
    <row r="15302" spans="1:12" x14ac:dyDescent="0.2">
      <c r="A15302" t="s">
        <v>344</v>
      </c>
      <c r="B15302" t="s">
        <v>71</v>
      </c>
      <c r="C15302" t="s">
        <v>72</v>
      </c>
      <c r="D15302">
        <v>3081</v>
      </c>
      <c r="E15302">
        <v>2021</v>
      </c>
      <c r="F15302">
        <v>2</v>
      </c>
      <c r="G15302">
        <v>12030</v>
      </c>
      <c r="H15302" s="1">
        <v>1</v>
      </c>
      <c r="I15302">
        <v>13</v>
      </c>
      <c r="J15302">
        <f>IF($H15302=0,1,IF($I15302&lt;=1,2,0))</f>
        <v>0</v>
      </c>
      <c r="K15302">
        <v>8</v>
      </c>
      <c r="L15302">
        <f>IF(AND($J15302=0,$K15302=0),0,1)</f>
        <v>1</v>
      </c>
    </row>
    <row r="15303" spans="1:12" x14ac:dyDescent="0.2">
      <c r="A15303" t="s">
        <v>344</v>
      </c>
      <c r="B15303" t="s">
        <v>71</v>
      </c>
      <c r="C15303" t="s">
        <v>72</v>
      </c>
      <c r="D15303">
        <v>3084</v>
      </c>
      <c r="E15303">
        <v>2021</v>
      </c>
      <c r="F15303">
        <v>3</v>
      </c>
      <c r="G15303">
        <v>12034</v>
      </c>
      <c r="H15303" s="1">
        <v>1</v>
      </c>
      <c r="I15303">
        <v>25</v>
      </c>
      <c r="J15303">
        <f>IF($H15303=0,1,IF($I15303&lt;=1,2,0))</f>
        <v>0</v>
      </c>
      <c r="K15303">
        <v>8</v>
      </c>
      <c r="L15303">
        <f>IF(AND($J15303=0,$K15303=0),0,1)</f>
        <v>1</v>
      </c>
    </row>
    <row r="15304" spans="1:12" x14ac:dyDescent="0.2">
      <c r="A15304" t="s">
        <v>344</v>
      </c>
      <c r="B15304" t="s">
        <v>71</v>
      </c>
      <c r="C15304" t="s">
        <v>72</v>
      </c>
      <c r="D15304">
        <v>3084</v>
      </c>
      <c r="E15304">
        <v>2021</v>
      </c>
      <c r="F15304">
        <v>1</v>
      </c>
      <c r="G15304">
        <v>12032</v>
      </c>
      <c r="H15304" s="1">
        <v>1</v>
      </c>
      <c r="I15304">
        <v>23</v>
      </c>
      <c r="J15304">
        <f>IF($H15304=0,1,IF($I15304&lt;=1,2,0))</f>
        <v>0</v>
      </c>
      <c r="K15304">
        <v>8</v>
      </c>
      <c r="L15304">
        <f>IF(AND($J15304=0,$K15304=0),0,1)</f>
        <v>1</v>
      </c>
    </row>
    <row r="15305" spans="1:12" x14ac:dyDescent="0.2">
      <c r="A15305" t="s">
        <v>344</v>
      </c>
      <c r="B15305" t="s">
        <v>71</v>
      </c>
      <c r="C15305" t="s">
        <v>72</v>
      </c>
      <c r="D15305">
        <v>3084</v>
      </c>
      <c r="E15305">
        <v>2021</v>
      </c>
      <c r="F15305">
        <v>2</v>
      </c>
      <c r="G15305">
        <v>12033</v>
      </c>
      <c r="H15305" s="1">
        <v>1</v>
      </c>
      <c r="I15305">
        <v>21</v>
      </c>
      <c r="J15305">
        <f>IF($H15305=0,1,IF($I15305&lt;=1,2,0))</f>
        <v>0</v>
      </c>
      <c r="K15305">
        <v>8</v>
      </c>
      <c r="L15305">
        <f>IF(AND($J15305=0,$K15305=0),0,1)</f>
        <v>1</v>
      </c>
    </row>
    <row r="15306" spans="1:12" x14ac:dyDescent="0.2">
      <c r="A15306" t="s">
        <v>344</v>
      </c>
      <c r="B15306" t="s">
        <v>71</v>
      </c>
      <c r="C15306" t="s">
        <v>72</v>
      </c>
      <c r="D15306">
        <v>3998</v>
      </c>
      <c r="E15306">
        <v>2021</v>
      </c>
      <c r="F15306">
        <v>13</v>
      </c>
      <c r="G15306">
        <v>13878</v>
      </c>
      <c r="H15306" s="1" t="s">
        <v>1840</v>
      </c>
      <c r="I15306">
        <v>1</v>
      </c>
      <c r="J15306">
        <f>IF($H15306=0,1,IF($I15306&lt;=1,2,0))</f>
        <v>2</v>
      </c>
      <c r="K15306">
        <v>9</v>
      </c>
      <c r="L15306">
        <f>IF(AND($J15306=0,$K15306=0),0,1)</f>
        <v>1</v>
      </c>
    </row>
    <row r="15307" spans="1:12" x14ac:dyDescent="0.2">
      <c r="A15307" t="s">
        <v>344</v>
      </c>
      <c r="B15307" t="s">
        <v>71</v>
      </c>
      <c r="C15307" t="s">
        <v>72</v>
      </c>
      <c r="D15307">
        <v>3998</v>
      </c>
      <c r="E15307">
        <v>2021</v>
      </c>
      <c r="F15307">
        <v>14</v>
      </c>
      <c r="G15307">
        <v>13879</v>
      </c>
      <c r="H15307" s="1" t="s">
        <v>1840</v>
      </c>
      <c r="I15307">
        <v>1</v>
      </c>
      <c r="J15307">
        <f>IF($H15307=0,1,IF($I15307&lt;=1,2,0))</f>
        <v>2</v>
      </c>
      <c r="K15307">
        <v>9</v>
      </c>
      <c r="L15307">
        <f>IF(AND($J15307=0,$K15307=0),0,1)</f>
        <v>1</v>
      </c>
    </row>
    <row r="15308" spans="1:12" x14ac:dyDescent="0.2">
      <c r="A15308" t="s">
        <v>344</v>
      </c>
      <c r="B15308" t="s">
        <v>71</v>
      </c>
      <c r="C15308" t="s">
        <v>72</v>
      </c>
      <c r="D15308">
        <v>3998</v>
      </c>
      <c r="E15308">
        <v>2021</v>
      </c>
      <c r="F15308">
        <v>21</v>
      </c>
      <c r="G15308">
        <v>13886</v>
      </c>
      <c r="H15308" s="1" t="s">
        <v>1840</v>
      </c>
      <c r="I15308">
        <v>1</v>
      </c>
      <c r="J15308">
        <f>IF($H15308=0,1,IF($I15308&lt;=1,2,0))</f>
        <v>2</v>
      </c>
      <c r="K15308">
        <v>9</v>
      </c>
      <c r="L15308">
        <f>IF(AND($J15308=0,$K15308=0),0,1)</f>
        <v>1</v>
      </c>
    </row>
    <row r="15309" spans="1:12" x14ac:dyDescent="0.2">
      <c r="A15309" t="s">
        <v>344</v>
      </c>
      <c r="B15309" t="s">
        <v>71</v>
      </c>
      <c r="C15309" t="s">
        <v>72</v>
      </c>
      <c r="D15309">
        <v>3998</v>
      </c>
      <c r="E15309">
        <v>2021</v>
      </c>
      <c r="F15309">
        <v>29</v>
      </c>
      <c r="G15309">
        <v>13894</v>
      </c>
      <c r="H15309" s="1" t="s">
        <v>1840</v>
      </c>
      <c r="I15309">
        <v>1</v>
      </c>
      <c r="J15309">
        <f>IF($H15309=0,1,IF($I15309&lt;=1,2,0))</f>
        <v>2</v>
      </c>
      <c r="K15309">
        <v>9</v>
      </c>
      <c r="L15309">
        <f>IF(AND($J15309=0,$K15309=0),0,1)</f>
        <v>1</v>
      </c>
    </row>
    <row r="15310" spans="1:12" x14ac:dyDescent="0.2">
      <c r="A15310" t="s">
        <v>344</v>
      </c>
      <c r="B15310" t="s">
        <v>71</v>
      </c>
      <c r="C15310" t="s">
        <v>72</v>
      </c>
      <c r="D15310">
        <v>3998</v>
      </c>
      <c r="E15310">
        <v>2021</v>
      </c>
      <c r="F15310">
        <v>1</v>
      </c>
      <c r="G15310">
        <v>13866</v>
      </c>
      <c r="H15310" s="1" t="s">
        <v>1840</v>
      </c>
      <c r="I15310">
        <v>0</v>
      </c>
      <c r="J15310">
        <f>IF($H15310=0,1,IF($I15310&lt;=1,2,0))</f>
        <v>2</v>
      </c>
      <c r="K15310">
        <v>9</v>
      </c>
      <c r="L15310">
        <f>IF(AND($J15310=0,$K15310=0),0,1)</f>
        <v>1</v>
      </c>
    </row>
    <row r="15311" spans="1:12" x14ac:dyDescent="0.2">
      <c r="A15311" t="s">
        <v>344</v>
      </c>
      <c r="B15311" t="s">
        <v>71</v>
      </c>
      <c r="C15311" t="s">
        <v>72</v>
      </c>
      <c r="D15311">
        <v>3998</v>
      </c>
      <c r="E15311">
        <v>2021</v>
      </c>
      <c r="F15311">
        <v>2</v>
      </c>
      <c r="G15311">
        <v>13867</v>
      </c>
      <c r="H15311" s="1" t="s">
        <v>1840</v>
      </c>
      <c r="I15311">
        <v>0</v>
      </c>
      <c r="J15311">
        <f>IF($H15311=0,1,IF($I15311&lt;=1,2,0))</f>
        <v>2</v>
      </c>
      <c r="K15311">
        <v>9</v>
      </c>
      <c r="L15311">
        <f>IF(AND($J15311=0,$K15311=0),0,1)</f>
        <v>1</v>
      </c>
    </row>
    <row r="15312" spans="1:12" x14ac:dyDescent="0.2">
      <c r="A15312" t="s">
        <v>344</v>
      </c>
      <c r="B15312" t="s">
        <v>71</v>
      </c>
      <c r="C15312" t="s">
        <v>72</v>
      </c>
      <c r="D15312">
        <v>3998</v>
      </c>
      <c r="E15312">
        <v>2021</v>
      </c>
      <c r="F15312">
        <v>3</v>
      </c>
      <c r="G15312">
        <v>13868</v>
      </c>
      <c r="H15312" s="1" t="s">
        <v>1840</v>
      </c>
      <c r="I15312">
        <v>0</v>
      </c>
      <c r="J15312">
        <f>IF($H15312=0,1,IF($I15312&lt;=1,2,0))</f>
        <v>2</v>
      </c>
      <c r="K15312">
        <v>9</v>
      </c>
      <c r="L15312">
        <f>IF(AND($J15312=0,$K15312=0),0,1)</f>
        <v>1</v>
      </c>
    </row>
    <row r="15313" spans="1:12" x14ac:dyDescent="0.2">
      <c r="A15313" t="s">
        <v>344</v>
      </c>
      <c r="B15313" t="s">
        <v>71</v>
      </c>
      <c r="C15313" t="s">
        <v>72</v>
      </c>
      <c r="D15313">
        <v>3998</v>
      </c>
      <c r="E15313">
        <v>2021</v>
      </c>
      <c r="F15313">
        <v>4</v>
      </c>
      <c r="G15313">
        <v>13869</v>
      </c>
      <c r="H15313" s="1" t="s">
        <v>1840</v>
      </c>
      <c r="I15313">
        <v>0</v>
      </c>
      <c r="J15313">
        <f>IF($H15313=0,1,IF($I15313&lt;=1,2,0))</f>
        <v>2</v>
      </c>
      <c r="K15313">
        <v>9</v>
      </c>
      <c r="L15313">
        <f>IF(AND($J15313=0,$K15313=0),0,1)</f>
        <v>1</v>
      </c>
    </row>
    <row r="15314" spans="1:12" x14ac:dyDescent="0.2">
      <c r="A15314" t="s">
        <v>344</v>
      </c>
      <c r="B15314" t="s">
        <v>71</v>
      </c>
      <c r="C15314" t="s">
        <v>72</v>
      </c>
      <c r="D15314">
        <v>3998</v>
      </c>
      <c r="E15314">
        <v>2021</v>
      </c>
      <c r="F15314">
        <v>5</v>
      </c>
      <c r="G15314">
        <v>13870</v>
      </c>
      <c r="H15314" s="1" t="s">
        <v>1840</v>
      </c>
      <c r="I15314">
        <v>0</v>
      </c>
      <c r="J15314">
        <f>IF($H15314=0,1,IF($I15314&lt;=1,2,0))</f>
        <v>2</v>
      </c>
      <c r="K15314">
        <v>9</v>
      </c>
      <c r="L15314">
        <f>IF(AND($J15314=0,$K15314=0),0,1)</f>
        <v>1</v>
      </c>
    </row>
    <row r="15315" spans="1:12" x14ac:dyDescent="0.2">
      <c r="A15315" t="s">
        <v>344</v>
      </c>
      <c r="B15315" t="s">
        <v>71</v>
      </c>
      <c r="C15315" t="s">
        <v>72</v>
      </c>
      <c r="D15315">
        <v>3998</v>
      </c>
      <c r="E15315">
        <v>2021</v>
      </c>
      <c r="F15315">
        <v>6</v>
      </c>
      <c r="G15315">
        <v>13871</v>
      </c>
      <c r="H15315" s="1" t="s">
        <v>1840</v>
      </c>
      <c r="I15315">
        <v>0</v>
      </c>
      <c r="J15315">
        <f>IF($H15315=0,1,IF($I15315&lt;=1,2,0))</f>
        <v>2</v>
      </c>
      <c r="K15315">
        <v>9</v>
      </c>
      <c r="L15315">
        <f>IF(AND($J15315=0,$K15315=0),0,1)</f>
        <v>1</v>
      </c>
    </row>
    <row r="15316" spans="1:12" x14ac:dyDescent="0.2">
      <c r="A15316" t="s">
        <v>344</v>
      </c>
      <c r="B15316" t="s">
        <v>71</v>
      </c>
      <c r="C15316" t="s">
        <v>72</v>
      </c>
      <c r="D15316">
        <v>3998</v>
      </c>
      <c r="E15316">
        <v>2021</v>
      </c>
      <c r="F15316">
        <v>7</v>
      </c>
      <c r="G15316">
        <v>13872</v>
      </c>
      <c r="H15316" s="1" t="s">
        <v>1840</v>
      </c>
      <c r="I15316">
        <v>0</v>
      </c>
      <c r="J15316">
        <f>IF($H15316=0,1,IF($I15316&lt;=1,2,0))</f>
        <v>2</v>
      </c>
      <c r="K15316">
        <v>9</v>
      </c>
      <c r="L15316">
        <f>IF(AND($J15316=0,$K15316=0),0,1)</f>
        <v>1</v>
      </c>
    </row>
    <row r="15317" spans="1:12" x14ac:dyDescent="0.2">
      <c r="A15317" t="s">
        <v>344</v>
      </c>
      <c r="B15317" t="s">
        <v>71</v>
      </c>
      <c r="C15317" t="s">
        <v>72</v>
      </c>
      <c r="D15317">
        <v>3998</v>
      </c>
      <c r="E15317">
        <v>2021</v>
      </c>
      <c r="F15317">
        <v>8</v>
      </c>
      <c r="G15317">
        <v>13873</v>
      </c>
      <c r="H15317" s="1" t="s">
        <v>1840</v>
      </c>
      <c r="I15317">
        <v>0</v>
      </c>
      <c r="J15317">
        <f>IF($H15317=0,1,IF($I15317&lt;=1,2,0))</f>
        <v>2</v>
      </c>
      <c r="K15317">
        <v>9</v>
      </c>
      <c r="L15317">
        <f>IF(AND($J15317=0,$K15317=0),0,1)</f>
        <v>1</v>
      </c>
    </row>
    <row r="15318" spans="1:12" x14ac:dyDescent="0.2">
      <c r="A15318" t="s">
        <v>344</v>
      </c>
      <c r="B15318" t="s">
        <v>71</v>
      </c>
      <c r="C15318" t="s">
        <v>72</v>
      </c>
      <c r="D15318">
        <v>3998</v>
      </c>
      <c r="E15318">
        <v>2021</v>
      </c>
      <c r="F15318">
        <v>9</v>
      </c>
      <c r="G15318">
        <v>13874</v>
      </c>
      <c r="H15318" s="1" t="s">
        <v>1840</v>
      </c>
      <c r="I15318">
        <v>0</v>
      </c>
      <c r="J15318">
        <f>IF($H15318=0,1,IF($I15318&lt;=1,2,0))</f>
        <v>2</v>
      </c>
      <c r="K15318">
        <v>9</v>
      </c>
      <c r="L15318">
        <f>IF(AND($J15318=0,$K15318=0),0,1)</f>
        <v>1</v>
      </c>
    </row>
    <row r="15319" spans="1:12" x14ac:dyDescent="0.2">
      <c r="A15319" t="s">
        <v>344</v>
      </c>
      <c r="B15319" t="s">
        <v>71</v>
      </c>
      <c r="C15319" t="s">
        <v>72</v>
      </c>
      <c r="D15319">
        <v>3998</v>
      </c>
      <c r="E15319">
        <v>2021</v>
      </c>
      <c r="F15319">
        <v>10</v>
      </c>
      <c r="G15319">
        <v>13875</v>
      </c>
      <c r="H15319" s="1" t="s">
        <v>1840</v>
      </c>
      <c r="I15319">
        <v>0</v>
      </c>
      <c r="J15319">
        <f>IF($H15319=0,1,IF($I15319&lt;=1,2,0))</f>
        <v>2</v>
      </c>
      <c r="K15319">
        <v>9</v>
      </c>
      <c r="L15319">
        <f>IF(AND($J15319=0,$K15319=0),0,1)</f>
        <v>1</v>
      </c>
    </row>
    <row r="15320" spans="1:12" x14ac:dyDescent="0.2">
      <c r="A15320" t="s">
        <v>344</v>
      </c>
      <c r="B15320" t="s">
        <v>71</v>
      </c>
      <c r="C15320" t="s">
        <v>72</v>
      </c>
      <c r="D15320">
        <v>3998</v>
      </c>
      <c r="E15320">
        <v>2021</v>
      </c>
      <c r="F15320">
        <v>11</v>
      </c>
      <c r="G15320">
        <v>13876</v>
      </c>
      <c r="H15320" s="1" t="s">
        <v>1840</v>
      </c>
      <c r="I15320">
        <v>0</v>
      </c>
      <c r="J15320">
        <f>IF($H15320=0,1,IF($I15320&lt;=1,2,0))</f>
        <v>2</v>
      </c>
      <c r="K15320">
        <v>9</v>
      </c>
      <c r="L15320">
        <f>IF(AND($J15320=0,$K15320=0),0,1)</f>
        <v>1</v>
      </c>
    </row>
    <row r="15321" spans="1:12" x14ac:dyDescent="0.2">
      <c r="A15321" t="s">
        <v>344</v>
      </c>
      <c r="B15321" t="s">
        <v>71</v>
      </c>
      <c r="C15321" t="s">
        <v>72</v>
      </c>
      <c r="D15321">
        <v>3998</v>
      </c>
      <c r="E15321">
        <v>2021</v>
      </c>
      <c r="F15321">
        <v>12</v>
      </c>
      <c r="G15321">
        <v>13877</v>
      </c>
      <c r="H15321" s="1" t="s">
        <v>1840</v>
      </c>
      <c r="I15321">
        <v>0</v>
      </c>
      <c r="J15321">
        <f>IF($H15321=0,1,IF($I15321&lt;=1,2,0))</f>
        <v>2</v>
      </c>
      <c r="K15321">
        <v>9</v>
      </c>
      <c r="L15321">
        <f>IF(AND($J15321=0,$K15321=0),0,1)</f>
        <v>1</v>
      </c>
    </row>
    <row r="15322" spans="1:12" x14ac:dyDescent="0.2">
      <c r="A15322" t="s">
        <v>344</v>
      </c>
      <c r="B15322" t="s">
        <v>71</v>
      </c>
      <c r="C15322" t="s">
        <v>72</v>
      </c>
      <c r="D15322">
        <v>3998</v>
      </c>
      <c r="E15322">
        <v>2021</v>
      </c>
      <c r="F15322">
        <v>15</v>
      </c>
      <c r="G15322">
        <v>13880</v>
      </c>
      <c r="H15322" s="1" t="s">
        <v>1840</v>
      </c>
      <c r="I15322">
        <v>0</v>
      </c>
      <c r="J15322">
        <f>IF($H15322=0,1,IF($I15322&lt;=1,2,0))</f>
        <v>2</v>
      </c>
      <c r="K15322">
        <v>9</v>
      </c>
      <c r="L15322">
        <f>IF(AND($J15322=0,$K15322=0),0,1)</f>
        <v>1</v>
      </c>
    </row>
    <row r="15323" spans="1:12" x14ac:dyDescent="0.2">
      <c r="A15323" t="s">
        <v>344</v>
      </c>
      <c r="B15323" t="s">
        <v>71</v>
      </c>
      <c r="C15323" t="s">
        <v>72</v>
      </c>
      <c r="D15323">
        <v>3998</v>
      </c>
      <c r="E15323">
        <v>2021</v>
      </c>
      <c r="F15323">
        <v>16</v>
      </c>
      <c r="G15323">
        <v>13881</v>
      </c>
      <c r="H15323" s="1" t="s">
        <v>1840</v>
      </c>
      <c r="I15323">
        <v>0</v>
      </c>
      <c r="J15323">
        <f>IF($H15323=0,1,IF($I15323&lt;=1,2,0))</f>
        <v>2</v>
      </c>
      <c r="K15323">
        <v>9</v>
      </c>
      <c r="L15323">
        <f>IF(AND($J15323=0,$K15323=0),0,1)</f>
        <v>1</v>
      </c>
    </row>
    <row r="15324" spans="1:12" x14ac:dyDescent="0.2">
      <c r="A15324" t="s">
        <v>344</v>
      </c>
      <c r="B15324" t="s">
        <v>71</v>
      </c>
      <c r="C15324" t="s">
        <v>72</v>
      </c>
      <c r="D15324">
        <v>3998</v>
      </c>
      <c r="E15324">
        <v>2021</v>
      </c>
      <c r="F15324">
        <v>17</v>
      </c>
      <c r="G15324">
        <v>13882</v>
      </c>
      <c r="H15324" s="1" t="s">
        <v>1840</v>
      </c>
      <c r="I15324">
        <v>0</v>
      </c>
      <c r="J15324">
        <f>IF($H15324=0,1,IF($I15324&lt;=1,2,0))</f>
        <v>2</v>
      </c>
      <c r="K15324">
        <v>9</v>
      </c>
      <c r="L15324">
        <f>IF(AND($J15324=0,$K15324=0),0,1)</f>
        <v>1</v>
      </c>
    </row>
    <row r="15325" spans="1:12" x14ac:dyDescent="0.2">
      <c r="A15325" t="s">
        <v>344</v>
      </c>
      <c r="B15325" t="s">
        <v>71</v>
      </c>
      <c r="C15325" t="s">
        <v>72</v>
      </c>
      <c r="D15325">
        <v>3998</v>
      </c>
      <c r="E15325">
        <v>2021</v>
      </c>
      <c r="F15325">
        <v>18</v>
      </c>
      <c r="G15325">
        <v>13883</v>
      </c>
      <c r="H15325" s="1" t="s">
        <v>1840</v>
      </c>
      <c r="I15325">
        <v>0</v>
      </c>
      <c r="J15325">
        <f>IF($H15325=0,1,IF($I15325&lt;=1,2,0))</f>
        <v>2</v>
      </c>
      <c r="K15325">
        <v>9</v>
      </c>
      <c r="L15325">
        <f>IF(AND($J15325=0,$K15325=0),0,1)</f>
        <v>1</v>
      </c>
    </row>
    <row r="15326" spans="1:12" x14ac:dyDescent="0.2">
      <c r="A15326" t="s">
        <v>344</v>
      </c>
      <c r="B15326" t="s">
        <v>71</v>
      </c>
      <c r="C15326" t="s">
        <v>72</v>
      </c>
      <c r="D15326">
        <v>3998</v>
      </c>
      <c r="E15326">
        <v>2021</v>
      </c>
      <c r="F15326">
        <v>19</v>
      </c>
      <c r="G15326">
        <v>13884</v>
      </c>
      <c r="H15326" s="1" t="s">
        <v>1840</v>
      </c>
      <c r="I15326">
        <v>0</v>
      </c>
      <c r="J15326">
        <f>IF($H15326=0,1,IF($I15326&lt;=1,2,0))</f>
        <v>2</v>
      </c>
      <c r="K15326">
        <v>9</v>
      </c>
      <c r="L15326">
        <f>IF(AND($J15326=0,$K15326=0),0,1)</f>
        <v>1</v>
      </c>
    </row>
    <row r="15327" spans="1:12" x14ac:dyDescent="0.2">
      <c r="A15327" t="s">
        <v>344</v>
      </c>
      <c r="B15327" t="s">
        <v>71</v>
      </c>
      <c r="C15327" t="s">
        <v>72</v>
      </c>
      <c r="D15327">
        <v>3998</v>
      </c>
      <c r="E15327">
        <v>2021</v>
      </c>
      <c r="F15327">
        <v>20</v>
      </c>
      <c r="G15327">
        <v>13885</v>
      </c>
      <c r="H15327" s="1" t="s">
        <v>1840</v>
      </c>
      <c r="I15327">
        <v>0</v>
      </c>
      <c r="J15327">
        <f>IF($H15327=0,1,IF($I15327&lt;=1,2,0))</f>
        <v>2</v>
      </c>
      <c r="K15327">
        <v>9</v>
      </c>
      <c r="L15327">
        <f>IF(AND($J15327=0,$K15327=0),0,1)</f>
        <v>1</v>
      </c>
    </row>
    <row r="15328" spans="1:12" x14ac:dyDescent="0.2">
      <c r="A15328" t="s">
        <v>344</v>
      </c>
      <c r="B15328" t="s">
        <v>71</v>
      </c>
      <c r="C15328" t="s">
        <v>72</v>
      </c>
      <c r="D15328">
        <v>3998</v>
      </c>
      <c r="E15328">
        <v>2021</v>
      </c>
      <c r="F15328">
        <v>22</v>
      </c>
      <c r="G15328">
        <v>13887</v>
      </c>
      <c r="H15328" s="1" t="s">
        <v>1840</v>
      </c>
      <c r="I15328">
        <v>0</v>
      </c>
      <c r="J15328">
        <f>IF($H15328=0,1,IF($I15328&lt;=1,2,0))</f>
        <v>2</v>
      </c>
      <c r="K15328">
        <v>9</v>
      </c>
      <c r="L15328">
        <f>IF(AND($J15328=0,$K15328=0),0,1)</f>
        <v>1</v>
      </c>
    </row>
    <row r="15329" spans="1:13" x14ac:dyDescent="0.2">
      <c r="A15329" t="s">
        <v>344</v>
      </c>
      <c r="B15329" t="s">
        <v>71</v>
      </c>
      <c r="C15329" t="s">
        <v>72</v>
      </c>
      <c r="D15329">
        <v>3998</v>
      </c>
      <c r="E15329">
        <v>2021</v>
      </c>
      <c r="F15329">
        <v>23</v>
      </c>
      <c r="G15329">
        <v>13888</v>
      </c>
      <c r="H15329" s="1" t="s">
        <v>1840</v>
      </c>
      <c r="I15329">
        <v>0</v>
      </c>
      <c r="J15329">
        <f>IF($H15329=0,1,IF($I15329&lt;=1,2,0))</f>
        <v>2</v>
      </c>
      <c r="K15329">
        <v>9</v>
      </c>
      <c r="L15329">
        <f>IF(AND($J15329=0,$K15329=0),0,1)</f>
        <v>1</v>
      </c>
    </row>
    <row r="15330" spans="1:13" x14ac:dyDescent="0.2">
      <c r="A15330" t="s">
        <v>344</v>
      </c>
      <c r="B15330" t="s">
        <v>71</v>
      </c>
      <c r="C15330" t="s">
        <v>72</v>
      </c>
      <c r="D15330">
        <v>3998</v>
      </c>
      <c r="E15330">
        <v>2021</v>
      </c>
      <c r="F15330">
        <v>24</v>
      </c>
      <c r="G15330">
        <v>13889</v>
      </c>
      <c r="H15330" s="1" t="s">
        <v>1840</v>
      </c>
      <c r="I15330">
        <v>0</v>
      </c>
      <c r="J15330">
        <f>IF($H15330=0,1,IF($I15330&lt;=1,2,0))</f>
        <v>2</v>
      </c>
      <c r="K15330">
        <v>9</v>
      </c>
      <c r="L15330">
        <f>IF(AND($J15330=0,$K15330=0),0,1)</f>
        <v>1</v>
      </c>
    </row>
    <row r="15331" spans="1:13" x14ac:dyDescent="0.2">
      <c r="A15331" t="s">
        <v>344</v>
      </c>
      <c r="B15331" t="s">
        <v>71</v>
      </c>
      <c r="C15331" t="s">
        <v>72</v>
      </c>
      <c r="D15331">
        <v>3998</v>
      </c>
      <c r="E15331">
        <v>2021</v>
      </c>
      <c r="F15331">
        <v>25</v>
      </c>
      <c r="G15331">
        <v>13890</v>
      </c>
      <c r="H15331" s="1" t="s">
        <v>1840</v>
      </c>
      <c r="I15331">
        <v>0</v>
      </c>
      <c r="J15331">
        <f>IF($H15331=0,1,IF($I15331&lt;=1,2,0))</f>
        <v>2</v>
      </c>
      <c r="K15331">
        <v>9</v>
      </c>
      <c r="L15331">
        <f>IF(AND($J15331=0,$K15331=0),0,1)</f>
        <v>1</v>
      </c>
    </row>
    <row r="15332" spans="1:13" x14ac:dyDescent="0.2">
      <c r="A15332" t="s">
        <v>344</v>
      </c>
      <c r="B15332" t="s">
        <v>71</v>
      </c>
      <c r="C15332" t="s">
        <v>72</v>
      </c>
      <c r="D15332">
        <v>3998</v>
      </c>
      <c r="E15332">
        <v>2021</v>
      </c>
      <c r="F15332">
        <v>26</v>
      </c>
      <c r="G15332">
        <v>13891</v>
      </c>
      <c r="H15332" s="1" t="s">
        <v>1840</v>
      </c>
      <c r="I15332">
        <v>0</v>
      </c>
      <c r="J15332">
        <f>IF($H15332=0,1,IF($I15332&lt;=1,2,0))</f>
        <v>2</v>
      </c>
      <c r="K15332">
        <v>9</v>
      </c>
      <c r="L15332">
        <f>IF(AND($J15332=0,$K15332=0),0,1)</f>
        <v>1</v>
      </c>
    </row>
    <row r="15333" spans="1:13" x14ac:dyDescent="0.2">
      <c r="A15333" t="s">
        <v>344</v>
      </c>
      <c r="B15333" t="s">
        <v>71</v>
      </c>
      <c r="C15333" t="s">
        <v>72</v>
      </c>
      <c r="D15333">
        <v>3998</v>
      </c>
      <c r="E15333">
        <v>2021</v>
      </c>
      <c r="F15333">
        <v>27</v>
      </c>
      <c r="G15333">
        <v>13892</v>
      </c>
      <c r="H15333" s="1" t="s">
        <v>1840</v>
      </c>
      <c r="I15333">
        <v>0</v>
      </c>
      <c r="J15333">
        <f>IF($H15333=0,1,IF($I15333&lt;=1,2,0))</f>
        <v>2</v>
      </c>
      <c r="K15333">
        <v>9</v>
      </c>
      <c r="L15333">
        <f>IF(AND($J15333=0,$K15333=0),0,1)</f>
        <v>1</v>
      </c>
    </row>
    <row r="15334" spans="1:13" x14ac:dyDescent="0.2">
      <c r="A15334" t="s">
        <v>344</v>
      </c>
      <c r="B15334" t="s">
        <v>71</v>
      </c>
      <c r="C15334" t="s">
        <v>72</v>
      </c>
      <c r="D15334">
        <v>3998</v>
      </c>
      <c r="E15334">
        <v>2021</v>
      </c>
      <c r="F15334">
        <v>28</v>
      </c>
      <c r="G15334">
        <v>13893</v>
      </c>
      <c r="H15334" s="1" t="s">
        <v>1840</v>
      </c>
      <c r="I15334">
        <v>0</v>
      </c>
      <c r="J15334">
        <f>IF($H15334=0,1,IF($I15334&lt;=1,2,0))</f>
        <v>2</v>
      </c>
      <c r="K15334">
        <v>9</v>
      </c>
      <c r="L15334">
        <f>IF(AND($J15334=0,$K15334=0),0,1)</f>
        <v>1</v>
      </c>
    </row>
    <row r="15335" spans="1:13" x14ac:dyDescent="0.2">
      <c r="A15335" t="s">
        <v>344</v>
      </c>
      <c r="B15335" t="s">
        <v>71</v>
      </c>
      <c r="C15335" t="s">
        <v>72</v>
      </c>
      <c r="D15335">
        <v>4720</v>
      </c>
      <c r="E15335">
        <v>2021</v>
      </c>
      <c r="F15335" t="s">
        <v>84</v>
      </c>
      <c r="G15335">
        <v>20236</v>
      </c>
      <c r="H15335" s="1">
        <v>3</v>
      </c>
      <c r="I15335">
        <v>0</v>
      </c>
      <c r="J15335">
        <f>IF($H15335=0,1,IF($I15335&lt;=1,2,0))</f>
        <v>2</v>
      </c>
      <c r="K15335">
        <v>0</v>
      </c>
      <c r="L15335">
        <f>IF(AND($J15335=0,$K15335=0),0,1)</f>
        <v>1</v>
      </c>
      <c r="M15335" t="s">
        <v>85</v>
      </c>
    </row>
    <row r="15336" spans="1:13" x14ac:dyDescent="0.2">
      <c r="A15336" t="s">
        <v>344</v>
      </c>
      <c r="B15336" t="s">
        <v>71</v>
      </c>
      <c r="C15336" t="s">
        <v>72</v>
      </c>
      <c r="D15336">
        <v>4998</v>
      </c>
      <c r="E15336">
        <v>2021</v>
      </c>
      <c r="F15336">
        <v>5</v>
      </c>
      <c r="G15336">
        <v>13899</v>
      </c>
      <c r="H15336" s="1" t="s">
        <v>1840</v>
      </c>
      <c r="I15336">
        <v>1</v>
      </c>
      <c r="J15336">
        <f>IF($H15336=0,1,IF($I15336&lt;=1,2,0))</f>
        <v>2</v>
      </c>
      <c r="K15336">
        <v>9</v>
      </c>
      <c r="L15336">
        <f>IF(AND($J15336=0,$K15336=0),0,1)</f>
        <v>1</v>
      </c>
    </row>
    <row r="15337" spans="1:13" x14ac:dyDescent="0.2">
      <c r="A15337" t="s">
        <v>344</v>
      </c>
      <c r="B15337" t="s">
        <v>71</v>
      </c>
      <c r="C15337" t="s">
        <v>72</v>
      </c>
      <c r="D15337">
        <v>4998</v>
      </c>
      <c r="E15337">
        <v>2021</v>
      </c>
      <c r="F15337">
        <v>9</v>
      </c>
      <c r="G15337">
        <v>13903</v>
      </c>
      <c r="H15337" s="1" t="s">
        <v>1840</v>
      </c>
      <c r="I15337">
        <v>1</v>
      </c>
      <c r="J15337">
        <f>IF($H15337=0,1,IF($I15337&lt;=1,2,0))</f>
        <v>2</v>
      </c>
      <c r="K15337">
        <v>9</v>
      </c>
      <c r="L15337">
        <f>IF(AND($J15337=0,$K15337=0),0,1)</f>
        <v>1</v>
      </c>
    </row>
    <row r="15338" spans="1:13" x14ac:dyDescent="0.2">
      <c r="A15338" t="s">
        <v>344</v>
      </c>
      <c r="B15338" t="s">
        <v>71</v>
      </c>
      <c r="C15338" t="s">
        <v>72</v>
      </c>
      <c r="D15338">
        <v>4998</v>
      </c>
      <c r="E15338">
        <v>2021</v>
      </c>
      <c r="F15338">
        <v>13</v>
      </c>
      <c r="G15338">
        <v>13907</v>
      </c>
      <c r="H15338" s="1" t="s">
        <v>1840</v>
      </c>
      <c r="I15338">
        <v>1</v>
      </c>
      <c r="J15338">
        <f>IF($H15338=0,1,IF($I15338&lt;=1,2,0))</f>
        <v>2</v>
      </c>
      <c r="K15338">
        <v>9</v>
      </c>
      <c r="L15338">
        <f>IF(AND($J15338=0,$K15338=0),0,1)</f>
        <v>1</v>
      </c>
    </row>
    <row r="15339" spans="1:13" x14ac:dyDescent="0.2">
      <c r="A15339" t="s">
        <v>344</v>
      </c>
      <c r="B15339" t="s">
        <v>71</v>
      </c>
      <c r="C15339" t="s">
        <v>72</v>
      </c>
      <c r="D15339">
        <v>4998</v>
      </c>
      <c r="E15339">
        <v>2021</v>
      </c>
      <c r="F15339">
        <v>20</v>
      </c>
      <c r="G15339">
        <v>13915</v>
      </c>
      <c r="H15339" s="1" t="s">
        <v>1840</v>
      </c>
      <c r="I15339">
        <v>1</v>
      </c>
      <c r="J15339">
        <f>IF($H15339=0,1,IF($I15339&lt;=1,2,0))</f>
        <v>2</v>
      </c>
      <c r="K15339">
        <v>9</v>
      </c>
      <c r="L15339">
        <f>IF(AND($J15339=0,$K15339=0),0,1)</f>
        <v>1</v>
      </c>
    </row>
    <row r="15340" spans="1:13" x14ac:dyDescent="0.2">
      <c r="A15340" t="s">
        <v>344</v>
      </c>
      <c r="B15340" t="s">
        <v>71</v>
      </c>
      <c r="C15340" t="s">
        <v>72</v>
      </c>
      <c r="D15340">
        <v>4998</v>
      </c>
      <c r="E15340">
        <v>2021</v>
      </c>
      <c r="F15340">
        <v>1</v>
      </c>
      <c r="G15340">
        <v>13895</v>
      </c>
      <c r="H15340" s="1" t="s">
        <v>1840</v>
      </c>
      <c r="I15340">
        <v>0</v>
      </c>
      <c r="J15340">
        <f>IF($H15340=0,1,IF($I15340&lt;=1,2,0))</f>
        <v>2</v>
      </c>
      <c r="K15340">
        <v>9</v>
      </c>
      <c r="L15340">
        <f>IF(AND($J15340=0,$K15340=0),0,1)</f>
        <v>1</v>
      </c>
    </row>
    <row r="15341" spans="1:13" x14ac:dyDescent="0.2">
      <c r="A15341" t="s">
        <v>344</v>
      </c>
      <c r="B15341" t="s">
        <v>71</v>
      </c>
      <c r="C15341" t="s">
        <v>72</v>
      </c>
      <c r="D15341">
        <v>4998</v>
      </c>
      <c r="E15341">
        <v>2021</v>
      </c>
      <c r="F15341">
        <v>2</v>
      </c>
      <c r="G15341">
        <v>13896</v>
      </c>
      <c r="H15341" s="1" t="s">
        <v>1840</v>
      </c>
      <c r="I15341">
        <v>0</v>
      </c>
      <c r="J15341">
        <f>IF($H15341=0,1,IF($I15341&lt;=1,2,0))</f>
        <v>2</v>
      </c>
      <c r="K15341">
        <v>9</v>
      </c>
      <c r="L15341">
        <f>IF(AND($J15341=0,$K15341=0),0,1)</f>
        <v>1</v>
      </c>
    </row>
    <row r="15342" spans="1:13" x14ac:dyDescent="0.2">
      <c r="A15342" t="s">
        <v>344</v>
      </c>
      <c r="B15342" t="s">
        <v>71</v>
      </c>
      <c r="C15342" t="s">
        <v>72</v>
      </c>
      <c r="D15342">
        <v>4998</v>
      </c>
      <c r="E15342">
        <v>2021</v>
      </c>
      <c r="F15342">
        <v>3</v>
      </c>
      <c r="G15342">
        <v>13897</v>
      </c>
      <c r="H15342" s="1" t="s">
        <v>1840</v>
      </c>
      <c r="I15342">
        <v>0</v>
      </c>
      <c r="J15342">
        <f>IF($H15342=0,1,IF($I15342&lt;=1,2,0))</f>
        <v>2</v>
      </c>
      <c r="K15342">
        <v>9</v>
      </c>
      <c r="L15342">
        <f>IF(AND($J15342=0,$K15342=0),0,1)</f>
        <v>1</v>
      </c>
    </row>
    <row r="15343" spans="1:13" x14ac:dyDescent="0.2">
      <c r="A15343" t="s">
        <v>344</v>
      </c>
      <c r="B15343" t="s">
        <v>71</v>
      </c>
      <c r="C15343" t="s">
        <v>72</v>
      </c>
      <c r="D15343">
        <v>4998</v>
      </c>
      <c r="E15343">
        <v>2021</v>
      </c>
      <c r="F15343">
        <v>4</v>
      </c>
      <c r="G15343">
        <v>13898</v>
      </c>
      <c r="H15343" s="1" t="s">
        <v>1840</v>
      </c>
      <c r="I15343">
        <v>0</v>
      </c>
      <c r="J15343">
        <f>IF($H15343=0,1,IF($I15343&lt;=1,2,0))</f>
        <v>2</v>
      </c>
      <c r="K15343">
        <v>9</v>
      </c>
      <c r="L15343">
        <f>IF(AND($J15343=0,$K15343=0),0,1)</f>
        <v>1</v>
      </c>
    </row>
    <row r="15344" spans="1:13" x14ac:dyDescent="0.2">
      <c r="A15344" t="s">
        <v>344</v>
      </c>
      <c r="B15344" t="s">
        <v>71</v>
      </c>
      <c r="C15344" t="s">
        <v>72</v>
      </c>
      <c r="D15344">
        <v>4998</v>
      </c>
      <c r="E15344">
        <v>2021</v>
      </c>
      <c r="F15344">
        <v>6</v>
      </c>
      <c r="G15344">
        <v>13900</v>
      </c>
      <c r="H15344" s="1" t="s">
        <v>1840</v>
      </c>
      <c r="I15344">
        <v>0</v>
      </c>
      <c r="J15344">
        <f>IF($H15344=0,1,IF($I15344&lt;=1,2,0))</f>
        <v>2</v>
      </c>
      <c r="K15344">
        <v>9</v>
      </c>
      <c r="L15344">
        <f>IF(AND($J15344=0,$K15344=0),0,1)</f>
        <v>1</v>
      </c>
    </row>
    <row r="15345" spans="1:12" x14ac:dyDescent="0.2">
      <c r="A15345" t="s">
        <v>344</v>
      </c>
      <c r="B15345" t="s">
        <v>71</v>
      </c>
      <c r="C15345" t="s">
        <v>72</v>
      </c>
      <c r="D15345">
        <v>4998</v>
      </c>
      <c r="E15345">
        <v>2021</v>
      </c>
      <c r="F15345">
        <v>7</v>
      </c>
      <c r="G15345">
        <v>13901</v>
      </c>
      <c r="H15345" s="1" t="s">
        <v>1840</v>
      </c>
      <c r="I15345">
        <v>0</v>
      </c>
      <c r="J15345">
        <f>IF($H15345=0,1,IF($I15345&lt;=1,2,0))</f>
        <v>2</v>
      </c>
      <c r="K15345">
        <v>9</v>
      </c>
      <c r="L15345">
        <f>IF(AND($J15345=0,$K15345=0),0,1)</f>
        <v>1</v>
      </c>
    </row>
    <row r="15346" spans="1:12" x14ac:dyDescent="0.2">
      <c r="A15346" t="s">
        <v>344</v>
      </c>
      <c r="B15346" t="s">
        <v>71</v>
      </c>
      <c r="C15346" t="s">
        <v>72</v>
      </c>
      <c r="D15346">
        <v>4998</v>
      </c>
      <c r="E15346">
        <v>2021</v>
      </c>
      <c r="F15346">
        <v>8</v>
      </c>
      <c r="G15346">
        <v>13902</v>
      </c>
      <c r="H15346" s="1" t="s">
        <v>1840</v>
      </c>
      <c r="I15346">
        <v>0</v>
      </c>
      <c r="J15346">
        <f>IF($H15346=0,1,IF($I15346&lt;=1,2,0))</f>
        <v>2</v>
      </c>
      <c r="K15346">
        <v>9</v>
      </c>
      <c r="L15346">
        <f>IF(AND($J15346=0,$K15346=0),0,1)</f>
        <v>1</v>
      </c>
    </row>
    <row r="15347" spans="1:12" x14ac:dyDescent="0.2">
      <c r="A15347" t="s">
        <v>344</v>
      </c>
      <c r="B15347" t="s">
        <v>71</v>
      </c>
      <c r="C15347" t="s">
        <v>72</v>
      </c>
      <c r="D15347">
        <v>4998</v>
      </c>
      <c r="E15347">
        <v>2021</v>
      </c>
      <c r="F15347">
        <v>10</v>
      </c>
      <c r="G15347">
        <v>13905</v>
      </c>
      <c r="H15347" s="1" t="s">
        <v>1840</v>
      </c>
      <c r="I15347">
        <v>0</v>
      </c>
      <c r="J15347">
        <f>IF($H15347=0,1,IF($I15347&lt;=1,2,0))</f>
        <v>2</v>
      </c>
      <c r="K15347">
        <v>9</v>
      </c>
      <c r="L15347">
        <f>IF(AND($J15347=0,$K15347=0),0,1)</f>
        <v>1</v>
      </c>
    </row>
    <row r="15348" spans="1:12" x14ac:dyDescent="0.2">
      <c r="A15348" t="s">
        <v>344</v>
      </c>
      <c r="B15348" t="s">
        <v>71</v>
      </c>
      <c r="C15348" t="s">
        <v>72</v>
      </c>
      <c r="D15348">
        <v>4998</v>
      </c>
      <c r="E15348">
        <v>2021</v>
      </c>
      <c r="F15348">
        <v>11</v>
      </c>
      <c r="G15348">
        <v>13904</v>
      </c>
      <c r="H15348" s="1" t="s">
        <v>1840</v>
      </c>
      <c r="I15348">
        <v>0</v>
      </c>
      <c r="J15348">
        <f>IF($H15348=0,1,IF($I15348&lt;=1,2,0))</f>
        <v>2</v>
      </c>
      <c r="K15348">
        <v>9</v>
      </c>
      <c r="L15348">
        <f>IF(AND($J15348=0,$K15348=0),0,1)</f>
        <v>1</v>
      </c>
    </row>
    <row r="15349" spans="1:12" x14ac:dyDescent="0.2">
      <c r="A15349" t="s">
        <v>344</v>
      </c>
      <c r="B15349" t="s">
        <v>71</v>
      </c>
      <c r="C15349" t="s">
        <v>72</v>
      </c>
      <c r="D15349">
        <v>4998</v>
      </c>
      <c r="E15349">
        <v>2021</v>
      </c>
      <c r="F15349">
        <v>12</v>
      </c>
      <c r="G15349">
        <v>13906</v>
      </c>
      <c r="H15349" s="1" t="s">
        <v>1840</v>
      </c>
      <c r="I15349">
        <v>0</v>
      </c>
      <c r="J15349">
        <f>IF($H15349=0,1,IF($I15349&lt;=1,2,0))</f>
        <v>2</v>
      </c>
      <c r="K15349">
        <v>9</v>
      </c>
      <c r="L15349">
        <f>IF(AND($J15349=0,$K15349=0),0,1)</f>
        <v>1</v>
      </c>
    </row>
    <row r="15350" spans="1:12" x14ac:dyDescent="0.2">
      <c r="A15350" t="s">
        <v>344</v>
      </c>
      <c r="B15350" t="s">
        <v>71</v>
      </c>
      <c r="C15350" t="s">
        <v>72</v>
      </c>
      <c r="D15350">
        <v>4998</v>
      </c>
      <c r="E15350">
        <v>2021</v>
      </c>
      <c r="F15350">
        <v>14</v>
      </c>
      <c r="G15350">
        <v>13909</v>
      </c>
      <c r="H15350" s="1" t="s">
        <v>1840</v>
      </c>
      <c r="I15350">
        <v>0</v>
      </c>
      <c r="J15350">
        <f>IF($H15350=0,1,IF($I15350&lt;=1,2,0))</f>
        <v>2</v>
      </c>
      <c r="K15350">
        <v>9</v>
      </c>
      <c r="L15350">
        <f>IF(AND($J15350=0,$K15350=0),0,1)</f>
        <v>1</v>
      </c>
    </row>
    <row r="15351" spans="1:12" x14ac:dyDescent="0.2">
      <c r="A15351" t="s">
        <v>344</v>
      </c>
      <c r="B15351" t="s">
        <v>71</v>
      </c>
      <c r="C15351" t="s">
        <v>72</v>
      </c>
      <c r="D15351">
        <v>4998</v>
      </c>
      <c r="E15351">
        <v>2021</v>
      </c>
      <c r="F15351">
        <v>15</v>
      </c>
      <c r="G15351">
        <v>13910</v>
      </c>
      <c r="H15351" s="1" t="s">
        <v>1840</v>
      </c>
      <c r="I15351">
        <v>0</v>
      </c>
      <c r="J15351">
        <f>IF($H15351=0,1,IF($I15351&lt;=1,2,0))</f>
        <v>2</v>
      </c>
      <c r="K15351">
        <v>9</v>
      </c>
      <c r="L15351">
        <f>IF(AND($J15351=0,$K15351=0),0,1)</f>
        <v>1</v>
      </c>
    </row>
    <row r="15352" spans="1:12" x14ac:dyDescent="0.2">
      <c r="A15352" t="s">
        <v>344</v>
      </c>
      <c r="B15352" t="s">
        <v>71</v>
      </c>
      <c r="C15352" t="s">
        <v>72</v>
      </c>
      <c r="D15352">
        <v>4998</v>
      </c>
      <c r="E15352">
        <v>2021</v>
      </c>
      <c r="F15352">
        <v>16</v>
      </c>
      <c r="G15352">
        <v>13911</v>
      </c>
      <c r="H15352" s="1" t="s">
        <v>1840</v>
      </c>
      <c r="I15352">
        <v>0</v>
      </c>
      <c r="J15352">
        <f>IF($H15352=0,1,IF($I15352&lt;=1,2,0))</f>
        <v>2</v>
      </c>
      <c r="K15352">
        <v>9</v>
      </c>
      <c r="L15352">
        <f>IF(AND($J15352=0,$K15352=0),0,1)</f>
        <v>1</v>
      </c>
    </row>
    <row r="15353" spans="1:12" x14ac:dyDescent="0.2">
      <c r="A15353" t="s">
        <v>344</v>
      </c>
      <c r="B15353" t="s">
        <v>71</v>
      </c>
      <c r="C15353" t="s">
        <v>72</v>
      </c>
      <c r="D15353">
        <v>4998</v>
      </c>
      <c r="E15353">
        <v>2021</v>
      </c>
      <c r="F15353">
        <v>17</v>
      </c>
      <c r="G15353">
        <v>13912</v>
      </c>
      <c r="H15353" s="1" t="s">
        <v>1840</v>
      </c>
      <c r="I15353">
        <v>0</v>
      </c>
      <c r="J15353">
        <f>IF($H15353=0,1,IF($I15353&lt;=1,2,0))</f>
        <v>2</v>
      </c>
      <c r="K15353">
        <v>9</v>
      </c>
      <c r="L15353">
        <f>IF(AND($J15353=0,$K15353=0),0,1)</f>
        <v>1</v>
      </c>
    </row>
    <row r="15354" spans="1:12" x14ac:dyDescent="0.2">
      <c r="A15354" t="s">
        <v>344</v>
      </c>
      <c r="B15354" t="s">
        <v>71</v>
      </c>
      <c r="C15354" t="s">
        <v>72</v>
      </c>
      <c r="D15354">
        <v>4998</v>
      </c>
      <c r="E15354">
        <v>2021</v>
      </c>
      <c r="F15354">
        <v>18</v>
      </c>
      <c r="G15354">
        <v>13913</v>
      </c>
      <c r="H15354" s="1" t="s">
        <v>1840</v>
      </c>
      <c r="I15354">
        <v>0</v>
      </c>
      <c r="J15354">
        <f>IF($H15354=0,1,IF($I15354&lt;=1,2,0))</f>
        <v>2</v>
      </c>
      <c r="K15354">
        <v>9</v>
      </c>
      <c r="L15354">
        <f>IF(AND($J15354=0,$K15354=0),0,1)</f>
        <v>1</v>
      </c>
    </row>
    <row r="15355" spans="1:12" x14ac:dyDescent="0.2">
      <c r="A15355" t="s">
        <v>344</v>
      </c>
      <c r="B15355" t="s">
        <v>71</v>
      </c>
      <c r="C15355" t="s">
        <v>72</v>
      </c>
      <c r="D15355">
        <v>4998</v>
      </c>
      <c r="E15355">
        <v>2021</v>
      </c>
      <c r="F15355">
        <v>19</v>
      </c>
      <c r="G15355">
        <v>13914</v>
      </c>
      <c r="H15355" s="1" t="s">
        <v>1840</v>
      </c>
      <c r="I15355">
        <v>0</v>
      </c>
      <c r="J15355">
        <f>IF($H15355=0,1,IF($I15355&lt;=1,2,0))</f>
        <v>2</v>
      </c>
      <c r="K15355">
        <v>9</v>
      </c>
      <c r="L15355">
        <f>IF(AND($J15355=0,$K15355=0),0,1)</f>
        <v>1</v>
      </c>
    </row>
    <row r="15356" spans="1:12" x14ac:dyDescent="0.2">
      <c r="A15356" t="s">
        <v>344</v>
      </c>
      <c r="B15356" t="s">
        <v>71</v>
      </c>
      <c r="C15356" t="s">
        <v>72</v>
      </c>
      <c r="D15356">
        <v>4998</v>
      </c>
      <c r="E15356">
        <v>2021</v>
      </c>
      <c r="F15356">
        <v>21</v>
      </c>
      <c r="G15356">
        <v>13916</v>
      </c>
      <c r="H15356" s="1" t="s">
        <v>1840</v>
      </c>
      <c r="I15356">
        <v>0</v>
      </c>
      <c r="J15356">
        <f>IF($H15356=0,1,IF($I15356&lt;=1,2,0))</f>
        <v>2</v>
      </c>
      <c r="K15356">
        <v>9</v>
      </c>
      <c r="L15356">
        <f>IF(AND($J15356=0,$K15356=0),0,1)</f>
        <v>1</v>
      </c>
    </row>
    <row r="15357" spans="1:12" x14ac:dyDescent="0.2">
      <c r="A15357" t="s">
        <v>344</v>
      </c>
      <c r="B15357" t="s">
        <v>71</v>
      </c>
      <c r="C15357" t="s">
        <v>72</v>
      </c>
      <c r="D15357">
        <v>4998</v>
      </c>
      <c r="E15357">
        <v>2021</v>
      </c>
      <c r="F15357">
        <v>22</v>
      </c>
      <c r="G15357">
        <v>13917</v>
      </c>
      <c r="H15357" s="1" t="s">
        <v>1840</v>
      </c>
      <c r="I15357">
        <v>0</v>
      </c>
      <c r="J15357">
        <f>IF($H15357=0,1,IF($I15357&lt;=1,2,0))</f>
        <v>2</v>
      </c>
      <c r="K15357">
        <v>9</v>
      </c>
      <c r="L15357">
        <f>IF(AND($J15357=0,$K15357=0),0,1)</f>
        <v>1</v>
      </c>
    </row>
    <row r="15358" spans="1:12" x14ac:dyDescent="0.2">
      <c r="A15358" t="s">
        <v>344</v>
      </c>
      <c r="B15358" t="s">
        <v>71</v>
      </c>
      <c r="C15358" t="s">
        <v>72</v>
      </c>
      <c r="D15358">
        <v>4998</v>
      </c>
      <c r="E15358">
        <v>2021</v>
      </c>
      <c r="F15358">
        <v>23</v>
      </c>
      <c r="G15358">
        <v>13918</v>
      </c>
      <c r="H15358" s="1" t="s">
        <v>1840</v>
      </c>
      <c r="I15358">
        <v>0</v>
      </c>
      <c r="J15358">
        <f>IF($H15358=0,1,IF($I15358&lt;=1,2,0))</f>
        <v>2</v>
      </c>
      <c r="K15358">
        <v>9</v>
      </c>
      <c r="L15358">
        <f>IF(AND($J15358=0,$K15358=0),0,1)</f>
        <v>1</v>
      </c>
    </row>
    <row r="15359" spans="1:12" x14ac:dyDescent="0.2">
      <c r="A15359" t="s">
        <v>344</v>
      </c>
      <c r="B15359" t="s">
        <v>71</v>
      </c>
      <c r="C15359" t="s">
        <v>72</v>
      </c>
      <c r="D15359">
        <v>4998</v>
      </c>
      <c r="E15359">
        <v>2021</v>
      </c>
      <c r="F15359">
        <v>24</v>
      </c>
      <c r="G15359">
        <v>13919</v>
      </c>
      <c r="H15359" s="1" t="s">
        <v>1840</v>
      </c>
      <c r="I15359">
        <v>0</v>
      </c>
      <c r="J15359">
        <f>IF($H15359=0,1,IF($I15359&lt;=1,2,0))</f>
        <v>2</v>
      </c>
      <c r="K15359">
        <v>9</v>
      </c>
      <c r="L15359">
        <f>IF(AND($J15359=0,$K15359=0),0,1)</f>
        <v>1</v>
      </c>
    </row>
    <row r="15360" spans="1:12" x14ac:dyDescent="0.2">
      <c r="A15360" t="s">
        <v>344</v>
      </c>
      <c r="B15360" t="s">
        <v>71</v>
      </c>
      <c r="C15360" t="s">
        <v>72</v>
      </c>
      <c r="D15360">
        <v>4998</v>
      </c>
      <c r="E15360">
        <v>2021</v>
      </c>
      <c r="F15360">
        <v>25</v>
      </c>
      <c r="G15360">
        <v>13920</v>
      </c>
      <c r="H15360" s="1" t="s">
        <v>1840</v>
      </c>
      <c r="I15360">
        <v>0</v>
      </c>
      <c r="J15360">
        <f>IF($H15360=0,1,IF($I15360&lt;=1,2,0))</f>
        <v>2</v>
      </c>
      <c r="K15360">
        <v>9</v>
      </c>
      <c r="L15360">
        <f>IF(AND($J15360=0,$K15360=0),0,1)</f>
        <v>1</v>
      </c>
    </row>
    <row r="15361" spans="1:12" x14ac:dyDescent="0.2">
      <c r="A15361" t="s">
        <v>344</v>
      </c>
      <c r="B15361" t="s">
        <v>71</v>
      </c>
      <c r="C15361" t="s">
        <v>72</v>
      </c>
      <c r="D15361">
        <v>4998</v>
      </c>
      <c r="E15361">
        <v>2021</v>
      </c>
      <c r="F15361">
        <v>26</v>
      </c>
      <c r="G15361">
        <v>13921</v>
      </c>
      <c r="H15361" s="1" t="s">
        <v>1840</v>
      </c>
      <c r="I15361">
        <v>0</v>
      </c>
      <c r="J15361">
        <f>IF($H15361=0,1,IF($I15361&lt;=1,2,0))</f>
        <v>2</v>
      </c>
      <c r="K15361">
        <v>9</v>
      </c>
      <c r="L15361">
        <f>IF(AND($J15361=0,$K15361=0),0,1)</f>
        <v>1</v>
      </c>
    </row>
    <row r="15362" spans="1:12" x14ac:dyDescent="0.2">
      <c r="A15362" t="s">
        <v>344</v>
      </c>
      <c r="B15362" t="s">
        <v>71</v>
      </c>
      <c r="C15362" t="s">
        <v>72</v>
      </c>
      <c r="D15362">
        <v>4998</v>
      </c>
      <c r="E15362">
        <v>2021</v>
      </c>
      <c r="F15362">
        <v>27</v>
      </c>
      <c r="G15362">
        <v>13922</v>
      </c>
      <c r="H15362" s="1" t="s">
        <v>1840</v>
      </c>
      <c r="I15362">
        <v>0</v>
      </c>
      <c r="J15362">
        <f>IF($H15362=0,1,IF($I15362&lt;=1,2,0))</f>
        <v>2</v>
      </c>
      <c r="K15362">
        <v>9</v>
      </c>
      <c r="L15362">
        <f>IF(AND($J15362=0,$K15362=0),0,1)</f>
        <v>1</v>
      </c>
    </row>
    <row r="15363" spans="1:12" x14ac:dyDescent="0.2">
      <c r="A15363" t="s">
        <v>344</v>
      </c>
      <c r="B15363" t="s">
        <v>71</v>
      </c>
      <c r="C15363" t="s">
        <v>72</v>
      </c>
      <c r="D15363">
        <v>4998</v>
      </c>
      <c r="E15363">
        <v>2021</v>
      </c>
      <c r="F15363">
        <v>28</v>
      </c>
      <c r="G15363">
        <v>13923</v>
      </c>
      <c r="H15363" s="1" t="s">
        <v>1840</v>
      </c>
      <c r="I15363">
        <v>0</v>
      </c>
      <c r="J15363">
        <f>IF($H15363=0,1,IF($I15363&lt;=1,2,0))</f>
        <v>2</v>
      </c>
      <c r="K15363">
        <v>9</v>
      </c>
      <c r="L15363">
        <f>IF(AND($J15363=0,$K15363=0),0,1)</f>
        <v>1</v>
      </c>
    </row>
    <row r="15364" spans="1:12" x14ac:dyDescent="0.2">
      <c r="A15364" t="s">
        <v>344</v>
      </c>
      <c r="B15364" t="s">
        <v>71</v>
      </c>
      <c r="C15364" t="s">
        <v>72</v>
      </c>
      <c r="D15364">
        <v>4998</v>
      </c>
      <c r="E15364">
        <v>2021</v>
      </c>
      <c r="F15364">
        <v>29</v>
      </c>
      <c r="G15364">
        <v>13924</v>
      </c>
      <c r="H15364" s="1" t="s">
        <v>1840</v>
      </c>
      <c r="I15364">
        <v>0</v>
      </c>
      <c r="J15364">
        <f>IF($H15364=0,1,IF($I15364&lt;=1,2,0))</f>
        <v>2</v>
      </c>
      <c r="K15364">
        <v>9</v>
      </c>
      <c r="L15364">
        <f>IF(AND($J15364=0,$K15364=0),0,1)</f>
        <v>1</v>
      </c>
    </row>
    <row r="15365" spans="1:12" x14ac:dyDescent="0.2">
      <c r="A15365" t="s">
        <v>344</v>
      </c>
      <c r="B15365" t="s">
        <v>71</v>
      </c>
      <c r="C15365" t="s">
        <v>72</v>
      </c>
      <c r="D15365">
        <v>6001</v>
      </c>
      <c r="E15365">
        <v>2021</v>
      </c>
      <c r="F15365">
        <v>4</v>
      </c>
      <c r="G15365">
        <v>13807</v>
      </c>
      <c r="H15365" s="1" t="s">
        <v>1823</v>
      </c>
      <c r="I15365">
        <v>1</v>
      </c>
      <c r="J15365">
        <f>IF($H15365=0,1,IF($I15365&lt;=1,2,0))</f>
        <v>2</v>
      </c>
      <c r="K15365">
        <v>0</v>
      </c>
      <c r="L15365">
        <f>IF(AND($J15365=0,$K15365=0),0,1)</f>
        <v>1</v>
      </c>
    </row>
    <row r="15366" spans="1:12" x14ac:dyDescent="0.2">
      <c r="A15366" t="s">
        <v>344</v>
      </c>
      <c r="B15366" t="s">
        <v>71</v>
      </c>
      <c r="C15366" t="s">
        <v>72</v>
      </c>
      <c r="D15366">
        <v>6001</v>
      </c>
      <c r="E15366">
        <v>2021</v>
      </c>
      <c r="F15366">
        <v>12</v>
      </c>
      <c r="G15366">
        <v>13815</v>
      </c>
      <c r="H15366" s="1" t="s">
        <v>1823</v>
      </c>
      <c r="I15366">
        <v>1</v>
      </c>
      <c r="J15366">
        <f>IF($H15366=0,1,IF($I15366&lt;=1,2,0))</f>
        <v>2</v>
      </c>
      <c r="K15366">
        <v>0</v>
      </c>
      <c r="L15366">
        <f>IF(AND($J15366=0,$K15366=0),0,1)</f>
        <v>1</v>
      </c>
    </row>
    <row r="15367" spans="1:12" x14ac:dyDescent="0.2">
      <c r="A15367" t="s">
        <v>344</v>
      </c>
      <c r="B15367" t="s">
        <v>71</v>
      </c>
      <c r="C15367" t="s">
        <v>72</v>
      </c>
      <c r="D15367">
        <v>6001</v>
      </c>
      <c r="E15367">
        <v>2021</v>
      </c>
      <c r="F15367">
        <v>14</v>
      </c>
      <c r="G15367">
        <v>13817</v>
      </c>
      <c r="H15367" s="1" t="s">
        <v>1823</v>
      </c>
      <c r="I15367">
        <v>1</v>
      </c>
      <c r="J15367">
        <f>IF($H15367=0,1,IF($I15367&lt;=1,2,0))</f>
        <v>2</v>
      </c>
      <c r="K15367">
        <v>0</v>
      </c>
      <c r="L15367">
        <f>IF(AND($J15367=0,$K15367=0),0,1)</f>
        <v>1</v>
      </c>
    </row>
    <row r="15368" spans="1:12" x14ac:dyDescent="0.2">
      <c r="A15368" t="s">
        <v>344</v>
      </c>
      <c r="B15368" t="s">
        <v>71</v>
      </c>
      <c r="C15368" t="s">
        <v>72</v>
      </c>
      <c r="D15368">
        <v>6001</v>
      </c>
      <c r="E15368">
        <v>2021</v>
      </c>
      <c r="F15368">
        <v>15</v>
      </c>
      <c r="G15368">
        <v>13818</v>
      </c>
      <c r="H15368" s="1" t="s">
        <v>1823</v>
      </c>
      <c r="I15368">
        <v>1</v>
      </c>
      <c r="J15368">
        <f>IF($H15368=0,1,IF($I15368&lt;=1,2,0))</f>
        <v>2</v>
      </c>
      <c r="K15368">
        <v>0</v>
      </c>
      <c r="L15368">
        <f>IF(AND($J15368=0,$K15368=0),0,1)</f>
        <v>1</v>
      </c>
    </row>
    <row r="15369" spans="1:12" x14ac:dyDescent="0.2">
      <c r="A15369" t="s">
        <v>344</v>
      </c>
      <c r="B15369" t="s">
        <v>71</v>
      </c>
      <c r="C15369" t="s">
        <v>72</v>
      </c>
      <c r="D15369">
        <v>6001</v>
      </c>
      <c r="E15369">
        <v>2021</v>
      </c>
      <c r="F15369">
        <v>19</v>
      </c>
      <c r="G15369">
        <v>18345</v>
      </c>
      <c r="H15369" s="1" t="s">
        <v>1823</v>
      </c>
      <c r="I15369">
        <v>1</v>
      </c>
      <c r="J15369">
        <f>IF($H15369=0,1,IF($I15369&lt;=1,2,0))</f>
        <v>2</v>
      </c>
      <c r="K15369">
        <v>0</v>
      </c>
      <c r="L15369">
        <f>IF(AND($J15369=0,$K15369=0),0,1)</f>
        <v>1</v>
      </c>
    </row>
    <row r="15370" spans="1:12" x14ac:dyDescent="0.2">
      <c r="A15370" t="s">
        <v>344</v>
      </c>
      <c r="B15370" t="s">
        <v>71</v>
      </c>
      <c r="C15370" t="s">
        <v>72</v>
      </c>
      <c r="D15370">
        <v>6001</v>
      </c>
      <c r="E15370">
        <v>2021</v>
      </c>
      <c r="F15370">
        <v>32</v>
      </c>
      <c r="G15370">
        <v>13834</v>
      </c>
      <c r="H15370" s="1" t="s">
        <v>1823</v>
      </c>
      <c r="I15370">
        <v>1</v>
      </c>
      <c r="J15370">
        <f>IF($H15370=0,1,IF($I15370&lt;=1,2,0))</f>
        <v>2</v>
      </c>
      <c r="K15370">
        <v>0</v>
      </c>
      <c r="L15370">
        <f>IF(AND($J15370=0,$K15370=0),0,1)</f>
        <v>1</v>
      </c>
    </row>
    <row r="15371" spans="1:12" x14ac:dyDescent="0.2">
      <c r="A15371" t="s">
        <v>344</v>
      </c>
      <c r="B15371" t="s">
        <v>71</v>
      </c>
      <c r="C15371" t="s">
        <v>72</v>
      </c>
      <c r="D15371">
        <v>6001</v>
      </c>
      <c r="E15371">
        <v>2021</v>
      </c>
      <c r="F15371">
        <v>1</v>
      </c>
      <c r="G15371">
        <v>13804</v>
      </c>
      <c r="H15371" s="1" t="s">
        <v>1823</v>
      </c>
      <c r="I15371">
        <v>0</v>
      </c>
      <c r="J15371">
        <f>IF($H15371=0,1,IF($I15371&lt;=1,2,0))</f>
        <v>2</v>
      </c>
      <c r="K15371">
        <v>0</v>
      </c>
      <c r="L15371">
        <f>IF(AND($J15371=0,$K15371=0),0,1)</f>
        <v>1</v>
      </c>
    </row>
    <row r="15372" spans="1:12" x14ac:dyDescent="0.2">
      <c r="A15372" t="s">
        <v>344</v>
      </c>
      <c r="B15372" t="s">
        <v>71</v>
      </c>
      <c r="C15372" t="s">
        <v>72</v>
      </c>
      <c r="D15372">
        <v>6001</v>
      </c>
      <c r="E15372">
        <v>2021</v>
      </c>
      <c r="F15372">
        <v>6</v>
      </c>
      <c r="G15372">
        <v>13809</v>
      </c>
      <c r="H15372" s="1" t="s">
        <v>1823</v>
      </c>
      <c r="I15372">
        <v>0</v>
      </c>
      <c r="J15372">
        <f>IF($H15372=0,1,IF($I15372&lt;=1,2,0))</f>
        <v>2</v>
      </c>
      <c r="K15372">
        <v>0</v>
      </c>
      <c r="L15372">
        <f>IF(AND($J15372=0,$K15372=0),0,1)</f>
        <v>1</v>
      </c>
    </row>
    <row r="15373" spans="1:12" x14ac:dyDescent="0.2">
      <c r="A15373" t="s">
        <v>344</v>
      </c>
      <c r="B15373" t="s">
        <v>71</v>
      </c>
      <c r="C15373" t="s">
        <v>72</v>
      </c>
      <c r="D15373">
        <v>6001</v>
      </c>
      <c r="E15373">
        <v>2021</v>
      </c>
      <c r="F15373">
        <v>8</v>
      </c>
      <c r="G15373">
        <v>13811</v>
      </c>
      <c r="H15373" s="1" t="s">
        <v>1823</v>
      </c>
      <c r="I15373">
        <v>0</v>
      </c>
      <c r="J15373">
        <f>IF($H15373=0,1,IF($I15373&lt;=1,2,0))</f>
        <v>2</v>
      </c>
      <c r="K15373">
        <v>0</v>
      </c>
      <c r="L15373">
        <f>IF(AND($J15373=0,$K15373=0),0,1)</f>
        <v>1</v>
      </c>
    </row>
    <row r="15374" spans="1:12" x14ac:dyDescent="0.2">
      <c r="A15374" t="s">
        <v>344</v>
      </c>
      <c r="B15374" t="s">
        <v>71</v>
      </c>
      <c r="C15374" t="s">
        <v>72</v>
      </c>
      <c r="D15374">
        <v>6001</v>
      </c>
      <c r="E15374">
        <v>2021</v>
      </c>
      <c r="F15374">
        <v>17</v>
      </c>
      <c r="G15374">
        <v>13820</v>
      </c>
      <c r="H15374" s="1" t="s">
        <v>1823</v>
      </c>
      <c r="I15374">
        <v>0</v>
      </c>
      <c r="J15374">
        <f>IF($H15374=0,1,IF($I15374&lt;=1,2,0))</f>
        <v>2</v>
      </c>
      <c r="K15374">
        <v>0</v>
      </c>
      <c r="L15374">
        <f>IF(AND($J15374=0,$K15374=0),0,1)</f>
        <v>1</v>
      </c>
    </row>
    <row r="15375" spans="1:12" x14ac:dyDescent="0.2">
      <c r="A15375" t="s">
        <v>344</v>
      </c>
      <c r="B15375" t="s">
        <v>71</v>
      </c>
      <c r="C15375" t="s">
        <v>72</v>
      </c>
      <c r="D15375">
        <v>6001</v>
      </c>
      <c r="E15375">
        <v>2021</v>
      </c>
      <c r="F15375">
        <v>18</v>
      </c>
      <c r="G15375">
        <v>13821</v>
      </c>
      <c r="H15375" s="1" t="s">
        <v>1823</v>
      </c>
      <c r="I15375">
        <v>0</v>
      </c>
      <c r="J15375">
        <f>IF($H15375=0,1,IF($I15375&lt;=1,2,0))</f>
        <v>2</v>
      </c>
      <c r="K15375">
        <v>0</v>
      </c>
      <c r="L15375">
        <f>IF(AND($J15375=0,$K15375=0),0,1)</f>
        <v>1</v>
      </c>
    </row>
    <row r="15376" spans="1:12" x14ac:dyDescent="0.2">
      <c r="A15376" t="s">
        <v>344</v>
      </c>
      <c r="B15376" t="s">
        <v>71</v>
      </c>
      <c r="C15376" t="s">
        <v>72</v>
      </c>
      <c r="D15376">
        <v>6001</v>
      </c>
      <c r="E15376">
        <v>2021</v>
      </c>
      <c r="F15376">
        <v>22</v>
      </c>
      <c r="G15376">
        <v>13824</v>
      </c>
      <c r="H15376" s="1" t="s">
        <v>1823</v>
      </c>
      <c r="I15376">
        <v>0</v>
      </c>
      <c r="J15376">
        <f>IF($H15376=0,1,IF($I15376&lt;=1,2,0))</f>
        <v>2</v>
      </c>
      <c r="K15376">
        <v>0</v>
      </c>
      <c r="L15376">
        <f>IF(AND($J15376=0,$K15376=0),0,1)</f>
        <v>1</v>
      </c>
    </row>
    <row r="15377" spans="1:13" x14ac:dyDescent="0.2">
      <c r="A15377" t="s">
        <v>344</v>
      </c>
      <c r="B15377" t="s">
        <v>71</v>
      </c>
      <c r="C15377" t="s">
        <v>72</v>
      </c>
      <c r="D15377">
        <v>6001</v>
      </c>
      <c r="E15377">
        <v>2021</v>
      </c>
      <c r="F15377">
        <v>23</v>
      </c>
      <c r="G15377">
        <v>13825</v>
      </c>
      <c r="H15377" s="1" t="s">
        <v>1823</v>
      </c>
      <c r="I15377">
        <v>0</v>
      </c>
      <c r="J15377">
        <f>IF($H15377=0,1,IF($I15377&lt;=1,2,0))</f>
        <v>2</v>
      </c>
      <c r="K15377">
        <v>0</v>
      </c>
      <c r="L15377">
        <f>IF(AND($J15377=0,$K15377=0),0,1)</f>
        <v>1</v>
      </c>
    </row>
    <row r="15378" spans="1:13" x14ac:dyDescent="0.2">
      <c r="A15378" t="s">
        <v>344</v>
      </c>
      <c r="B15378" t="s">
        <v>71</v>
      </c>
      <c r="C15378" t="s">
        <v>72</v>
      </c>
      <c r="D15378">
        <v>6001</v>
      </c>
      <c r="E15378">
        <v>2021</v>
      </c>
      <c r="F15378">
        <v>24</v>
      </c>
      <c r="G15378">
        <v>13826</v>
      </c>
      <c r="H15378" s="1" t="s">
        <v>1823</v>
      </c>
      <c r="I15378">
        <v>0</v>
      </c>
      <c r="J15378">
        <f>IF($H15378=0,1,IF($I15378&lt;=1,2,0))</f>
        <v>2</v>
      </c>
      <c r="K15378">
        <v>0</v>
      </c>
      <c r="L15378">
        <f>IF(AND($J15378=0,$K15378=0),0,1)</f>
        <v>1</v>
      </c>
    </row>
    <row r="15379" spans="1:13" x14ac:dyDescent="0.2">
      <c r="A15379" t="s">
        <v>344</v>
      </c>
      <c r="B15379" t="s">
        <v>71</v>
      </c>
      <c r="C15379" t="s">
        <v>72</v>
      </c>
      <c r="D15379">
        <v>6001</v>
      </c>
      <c r="E15379">
        <v>2021</v>
      </c>
      <c r="F15379">
        <v>25</v>
      </c>
      <c r="G15379">
        <v>13827</v>
      </c>
      <c r="H15379" s="1" t="s">
        <v>1823</v>
      </c>
      <c r="I15379">
        <v>0</v>
      </c>
      <c r="J15379">
        <f>IF($H15379=0,1,IF($I15379&lt;=1,2,0))</f>
        <v>2</v>
      </c>
      <c r="K15379">
        <v>0</v>
      </c>
      <c r="L15379">
        <f>IF(AND($J15379=0,$K15379=0),0,1)</f>
        <v>1</v>
      </c>
    </row>
    <row r="15380" spans="1:13" x14ac:dyDescent="0.2">
      <c r="A15380" t="s">
        <v>344</v>
      </c>
      <c r="B15380" t="s">
        <v>71</v>
      </c>
      <c r="C15380" t="s">
        <v>72</v>
      </c>
      <c r="D15380">
        <v>6001</v>
      </c>
      <c r="E15380">
        <v>2021</v>
      </c>
      <c r="F15380">
        <v>27</v>
      </c>
      <c r="G15380">
        <v>13829</v>
      </c>
      <c r="H15380" s="1" t="s">
        <v>1823</v>
      </c>
      <c r="I15380">
        <v>0</v>
      </c>
      <c r="J15380">
        <f>IF($H15380=0,1,IF($I15380&lt;=1,2,0))</f>
        <v>2</v>
      </c>
      <c r="K15380">
        <v>0</v>
      </c>
      <c r="L15380">
        <f>IF(AND($J15380=0,$K15380=0),0,1)</f>
        <v>1</v>
      </c>
    </row>
    <row r="15381" spans="1:13" x14ac:dyDescent="0.2">
      <c r="A15381" t="s">
        <v>344</v>
      </c>
      <c r="B15381" t="s">
        <v>71</v>
      </c>
      <c r="C15381" t="s">
        <v>72</v>
      </c>
      <c r="D15381">
        <v>6001</v>
      </c>
      <c r="E15381">
        <v>2021</v>
      </c>
      <c r="F15381">
        <v>28</v>
      </c>
      <c r="G15381">
        <v>13830</v>
      </c>
      <c r="H15381" s="1" t="s">
        <v>1823</v>
      </c>
      <c r="I15381">
        <v>0</v>
      </c>
      <c r="J15381">
        <f>IF($H15381=0,1,IF($I15381&lt;=1,2,0))</f>
        <v>2</v>
      </c>
      <c r="K15381">
        <v>0</v>
      </c>
      <c r="L15381">
        <f>IF(AND($J15381=0,$K15381=0),0,1)</f>
        <v>1</v>
      </c>
    </row>
    <row r="15382" spans="1:13" x14ac:dyDescent="0.2">
      <c r="A15382" t="s">
        <v>344</v>
      </c>
      <c r="B15382" t="s">
        <v>71</v>
      </c>
      <c r="C15382" t="s">
        <v>72</v>
      </c>
      <c r="D15382">
        <v>6001</v>
      </c>
      <c r="E15382">
        <v>2021</v>
      </c>
      <c r="F15382">
        <v>30</v>
      </c>
      <c r="G15382">
        <v>13832</v>
      </c>
      <c r="H15382" s="1" t="s">
        <v>1823</v>
      </c>
      <c r="I15382">
        <v>0</v>
      </c>
      <c r="J15382">
        <f>IF($H15382=0,1,IF($I15382&lt;=1,2,0))</f>
        <v>2</v>
      </c>
      <c r="K15382">
        <v>0</v>
      </c>
      <c r="L15382">
        <f>IF(AND($J15382=0,$K15382=0),0,1)</f>
        <v>1</v>
      </c>
    </row>
    <row r="15383" spans="1:13" x14ac:dyDescent="0.2">
      <c r="A15383" t="s">
        <v>344</v>
      </c>
      <c r="B15383" t="s">
        <v>71</v>
      </c>
      <c r="C15383" t="s">
        <v>72</v>
      </c>
      <c r="D15383">
        <v>6001</v>
      </c>
      <c r="E15383">
        <v>2021</v>
      </c>
      <c r="F15383">
        <v>31</v>
      </c>
      <c r="G15383">
        <v>13833</v>
      </c>
      <c r="H15383" s="1" t="s">
        <v>1823</v>
      </c>
      <c r="I15383">
        <v>0</v>
      </c>
      <c r="J15383">
        <f>IF($H15383=0,1,IF($I15383&lt;=1,2,0))</f>
        <v>2</v>
      </c>
      <c r="K15383">
        <v>0</v>
      </c>
      <c r="L15383">
        <f>IF(AND($J15383=0,$K15383=0),0,1)</f>
        <v>1</v>
      </c>
    </row>
    <row r="15384" spans="1:13" x14ac:dyDescent="0.2">
      <c r="A15384" t="s">
        <v>344</v>
      </c>
      <c r="B15384" t="s">
        <v>71</v>
      </c>
      <c r="C15384" t="s">
        <v>72</v>
      </c>
      <c r="D15384">
        <v>6320</v>
      </c>
      <c r="E15384">
        <v>2021</v>
      </c>
      <c r="F15384" t="s">
        <v>84</v>
      </c>
      <c r="G15384">
        <v>17062</v>
      </c>
      <c r="H15384" s="1">
        <v>3</v>
      </c>
      <c r="I15384">
        <v>0</v>
      </c>
      <c r="J15384">
        <f>IF($H15384=0,1,IF($I15384&lt;=1,2,0))</f>
        <v>2</v>
      </c>
      <c r="K15384">
        <v>0</v>
      </c>
      <c r="L15384">
        <f>IF(AND($J15384=0,$K15384=0),0,1)</f>
        <v>1</v>
      </c>
      <c r="M15384" t="s">
        <v>85</v>
      </c>
    </row>
    <row r="15385" spans="1:13" x14ac:dyDescent="0.2">
      <c r="A15385" t="s">
        <v>344</v>
      </c>
      <c r="B15385" t="s">
        <v>71</v>
      </c>
      <c r="C15385" t="s">
        <v>72</v>
      </c>
      <c r="D15385">
        <v>6767</v>
      </c>
      <c r="E15385">
        <v>2021</v>
      </c>
      <c r="F15385" t="s">
        <v>84</v>
      </c>
      <c r="G15385">
        <v>16175</v>
      </c>
      <c r="H15385" s="1">
        <v>3</v>
      </c>
      <c r="I15385">
        <v>0</v>
      </c>
      <c r="J15385">
        <f>IF($H15385=0,1,IF($I15385&lt;=1,2,0))</f>
        <v>2</v>
      </c>
      <c r="K15385">
        <v>0</v>
      </c>
      <c r="L15385">
        <f>IF(AND($J15385=0,$K15385=0),0,1)</f>
        <v>1</v>
      </c>
      <c r="M15385" t="s">
        <v>85</v>
      </c>
    </row>
    <row r="15386" spans="1:13" x14ac:dyDescent="0.2">
      <c r="A15386" t="s">
        <v>344</v>
      </c>
      <c r="B15386" t="s">
        <v>71</v>
      </c>
      <c r="C15386" t="s">
        <v>72</v>
      </c>
      <c r="D15386">
        <v>6999</v>
      </c>
      <c r="E15386">
        <v>2021</v>
      </c>
      <c r="F15386">
        <v>1</v>
      </c>
      <c r="G15386">
        <v>18898</v>
      </c>
      <c r="H15386" s="1" t="s">
        <v>221</v>
      </c>
      <c r="I15386">
        <v>2</v>
      </c>
      <c r="J15386">
        <f>IF($H15386=0,1,IF($I15386&lt;=1,2,0))</f>
        <v>0</v>
      </c>
      <c r="K15386">
        <v>9</v>
      </c>
      <c r="L15386">
        <f>IF(AND($J15386=0,$K15386=0),0,1)</f>
        <v>1</v>
      </c>
    </row>
    <row r="15387" spans="1:13" x14ac:dyDescent="0.2">
      <c r="A15387" t="s">
        <v>344</v>
      </c>
      <c r="B15387" t="s">
        <v>71</v>
      </c>
      <c r="C15387" t="s">
        <v>72</v>
      </c>
      <c r="D15387">
        <v>6999</v>
      </c>
      <c r="E15387">
        <v>2021</v>
      </c>
      <c r="F15387">
        <v>2</v>
      </c>
      <c r="G15387">
        <v>18899</v>
      </c>
      <c r="H15387" s="1" t="s">
        <v>221</v>
      </c>
      <c r="I15387">
        <v>2</v>
      </c>
      <c r="J15387">
        <f>IF($H15387=0,1,IF($I15387&lt;=1,2,0))</f>
        <v>0</v>
      </c>
      <c r="K15387">
        <v>9</v>
      </c>
      <c r="L15387">
        <f>IF(AND($J15387=0,$K15387=0),0,1)</f>
        <v>1</v>
      </c>
    </row>
    <row r="15388" spans="1:13" x14ac:dyDescent="0.2">
      <c r="A15388" t="s">
        <v>344</v>
      </c>
      <c r="B15388" t="s">
        <v>71</v>
      </c>
      <c r="C15388" t="s">
        <v>72</v>
      </c>
      <c r="D15388">
        <v>6999</v>
      </c>
      <c r="E15388">
        <v>2021</v>
      </c>
      <c r="F15388">
        <v>3</v>
      </c>
      <c r="G15388">
        <v>18900</v>
      </c>
      <c r="H15388" s="1" t="s">
        <v>221</v>
      </c>
      <c r="I15388">
        <v>2</v>
      </c>
      <c r="J15388">
        <f>IF($H15388=0,1,IF($I15388&lt;=1,2,0))</f>
        <v>0</v>
      </c>
      <c r="K15388">
        <v>9</v>
      </c>
      <c r="L15388">
        <f>IF(AND($J15388=0,$K15388=0),0,1)</f>
        <v>1</v>
      </c>
    </row>
    <row r="15389" spans="1:13" x14ac:dyDescent="0.2">
      <c r="A15389" t="s">
        <v>344</v>
      </c>
      <c r="B15389" t="s">
        <v>71</v>
      </c>
      <c r="C15389" t="s">
        <v>72</v>
      </c>
      <c r="D15389">
        <v>6999</v>
      </c>
      <c r="E15389">
        <v>2021</v>
      </c>
      <c r="F15389">
        <v>4</v>
      </c>
      <c r="G15389">
        <v>18901</v>
      </c>
      <c r="H15389" s="1" t="s">
        <v>221</v>
      </c>
      <c r="I15389">
        <v>0</v>
      </c>
      <c r="J15389">
        <f>IF($H15389=0,1,IF($I15389&lt;=1,2,0))</f>
        <v>2</v>
      </c>
      <c r="K15389">
        <v>9</v>
      </c>
      <c r="L15389">
        <f>IF(AND($J15389=0,$K15389=0),0,1)</f>
        <v>1</v>
      </c>
    </row>
    <row r="15390" spans="1:13" x14ac:dyDescent="0.2">
      <c r="A15390" t="s">
        <v>344</v>
      </c>
      <c r="B15390" t="s">
        <v>71</v>
      </c>
      <c r="C15390" t="s">
        <v>72</v>
      </c>
      <c r="D15390">
        <v>6999</v>
      </c>
      <c r="E15390">
        <v>2021</v>
      </c>
      <c r="F15390">
        <v>5</v>
      </c>
      <c r="G15390">
        <v>18902</v>
      </c>
      <c r="H15390" s="1" t="s">
        <v>221</v>
      </c>
      <c r="I15390">
        <v>0</v>
      </c>
      <c r="J15390">
        <f>IF($H15390=0,1,IF($I15390&lt;=1,2,0))</f>
        <v>2</v>
      </c>
      <c r="K15390">
        <v>9</v>
      </c>
      <c r="L15390">
        <f>IF(AND($J15390=0,$K15390=0),0,1)</f>
        <v>1</v>
      </c>
    </row>
    <row r="15391" spans="1:13" x14ac:dyDescent="0.2">
      <c r="A15391" t="s">
        <v>344</v>
      </c>
      <c r="B15391" t="s">
        <v>71</v>
      </c>
      <c r="C15391" t="s">
        <v>72</v>
      </c>
      <c r="D15391">
        <v>6999</v>
      </c>
      <c r="E15391">
        <v>2021</v>
      </c>
      <c r="F15391">
        <v>6</v>
      </c>
      <c r="G15391">
        <v>18903</v>
      </c>
      <c r="H15391" s="1" t="s">
        <v>221</v>
      </c>
      <c r="I15391">
        <v>0</v>
      </c>
      <c r="J15391">
        <f>IF($H15391=0,1,IF($I15391&lt;=1,2,0))</f>
        <v>2</v>
      </c>
      <c r="K15391">
        <v>9</v>
      </c>
      <c r="L15391">
        <f>IF(AND($J15391=0,$K15391=0),0,1)</f>
        <v>1</v>
      </c>
    </row>
    <row r="15392" spans="1:13" x14ac:dyDescent="0.2">
      <c r="A15392" t="s">
        <v>344</v>
      </c>
      <c r="B15392" t="s">
        <v>71</v>
      </c>
      <c r="C15392" t="s">
        <v>72</v>
      </c>
      <c r="D15392">
        <v>6999</v>
      </c>
      <c r="E15392">
        <v>2021</v>
      </c>
      <c r="F15392">
        <v>7</v>
      </c>
      <c r="G15392">
        <v>18904</v>
      </c>
      <c r="H15392" s="1" t="s">
        <v>221</v>
      </c>
      <c r="I15392">
        <v>0</v>
      </c>
      <c r="J15392">
        <f>IF($H15392=0,1,IF($I15392&lt;=1,2,0))</f>
        <v>2</v>
      </c>
      <c r="K15392">
        <v>9</v>
      </c>
      <c r="L15392">
        <f>IF(AND($J15392=0,$K15392=0),0,1)</f>
        <v>1</v>
      </c>
    </row>
    <row r="15393" spans="1:12" x14ac:dyDescent="0.2">
      <c r="A15393" t="s">
        <v>344</v>
      </c>
      <c r="B15393" t="s">
        <v>71</v>
      </c>
      <c r="C15393" t="s">
        <v>72</v>
      </c>
      <c r="D15393">
        <v>6999</v>
      </c>
      <c r="E15393">
        <v>2021</v>
      </c>
      <c r="F15393">
        <v>8</v>
      </c>
      <c r="G15393">
        <v>18905</v>
      </c>
      <c r="H15393" s="1" t="s">
        <v>221</v>
      </c>
      <c r="I15393">
        <v>0</v>
      </c>
      <c r="J15393">
        <f>IF($H15393=0,1,IF($I15393&lt;=1,2,0))</f>
        <v>2</v>
      </c>
      <c r="K15393">
        <v>9</v>
      </c>
      <c r="L15393">
        <f>IF(AND($J15393=0,$K15393=0),0,1)</f>
        <v>1</v>
      </c>
    </row>
    <row r="15394" spans="1:12" x14ac:dyDescent="0.2">
      <c r="A15394" t="s">
        <v>344</v>
      </c>
      <c r="B15394" t="s">
        <v>71</v>
      </c>
      <c r="C15394" t="s">
        <v>72</v>
      </c>
      <c r="D15394">
        <v>9001</v>
      </c>
      <c r="E15394">
        <v>2021</v>
      </c>
      <c r="F15394">
        <v>21</v>
      </c>
      <c r="G15394">
        <v>13855</v>
      </c>
      <c r="H15394" s="1" t="s">
        <v>1836</v>
      </c>
      <c r="I15394">
        <v>6</v>
      </c>
      <c r="J15394">
        <f>IF($H15394=0,1,IF($I15394&lt;=1,2,0))</f>
        <v>0</v>
      </c>
      <c r="K15394">
        <v>5</v>
      </c>
      <c r="L15394">
        <f>IF(AND($J15394=0,$K15394=0),0,1)</f>
        <v>1</v>
      </c>
    </row>
    <row r="15395" spans="1:12" x14ac:dyDescent="0.2">
      <c r="A15395" t="s">
        <v>344</v>
      </c>
      <c r="B15395" t="s">
        <v>71</v>
      </c>
      <c r="C15395" t="s">
        <v>72</v>
      </c>
      <c r="D15395">
        <v>9001</v>
      </c>
      <c r="E15395">
        <v>2021</v>
      </c>
      <c r="F15395">
        <v>2</v>
      </c>
      <c r="G15395">
        <v>13836</v>
      </c>
      <c r="H15395" s="1" t="s">
        <v>1836</v>
      </c>
      <c r="I15395">
        <v>5</v>
      </c>
      <c r="J15395">
        <f>IF($H15395=0,1,IF($I15395&lt;=1,2,0))</f>
        <v>0</v>
      </c>
      <c r="K15395">
        <v>5</v>
      </c>
      <c r="L15395">
        <f>IF(AND($J15395=0,$K15395=0),0,1)</f>
        <v>1</v>
      </c>
    </row>
    <row r="15396" spans="1:12" x14ac:dyDescent="0.2">
      <c r="A15396" t="s">
        <v>344</v>
      </c>
      <c r="B15396" t="s">
        <v>71</v>
      </c>
      <c r="C15396" t="s">
        <v>72</v>
      </c>
      <c r="D15396">
        <v>9001</v>
      </c>
      <c r="E15396">
        <v>2021</v>
      </c>
      <c r="F15396">
        <v>5</v>
      </c>
      <c r="G15396">
        <v>13839</v>
      </c>
      <c r="H15396" s="1" t="s">
        <v>1836</v>
      </c>
      <c r="I15396">
        <v>5</v>
      </c>
      <c r="J15396">
        <f>IF($H15396=0,1,IF($I15396&lt;=1,2,0))</f>
        <v>0</v>
      </c>
      <c r="K15396">
        <v>5</v>
      </c>
      <c r="L15396">
        <f>IF(AND($J15396=0,$K15396=0),0,1)</f>
        <v>1</v>
      </c>
    </row>
    <row r="15397" spans="1:12" x14ac:dyDescent="0.2">
      <c r="A15397" t="s">
        <v>344</v>
      </c>
      <c r="B15397" t="s">
        <v>71</v>
      </c>
      <c r="C15397" t="s">
        <v>72</v>
      </c>
      <c r="D15397">
        <v>9001</v>
      </c>
      <c r="E15397">
        <v>2021</v>
      </c>
      <c r="F15397">
        <v>13</v>
      </c>
      <c r="G15397">
        <v>13847</v>
      </c>
      <c r="H15397" s="1" t="s">
        <v>1836</v>
      </c>
      <c r="I15397">
        <v>4</v>
      </c>
      <c r="J15397">
        <f>IF($H15397=0,1,IF($I15397&lt;=1,2,0))</f>
        <v>0</v>
      </c>
      <c r="K15397">
        <v>5</v>
      </c>
      <c r="L15397">
        <f>IF(AND($J15397=0,$K15397=0),0,1)</f>
        <v>1</v>
      </c>
    </row>
    <row r="15398" spans="1:12" x14ac:dyDescent="0.2">
      <c r="A15398" t="s">
        <v>344</v>
      </c>
      <c r="B15398" t="s">
        <v>71</v>
      </c>
      <c r="C15398" t="s">
        <v>72</v>
      </c>
      <c r="D15398">
        <v>9001</v>
      </c>
      <c r="E15398">
        <v>2021</v>
      </c>
      <c r="F15398">
        <v>20</v>
      </c>
      <c r="G15398">
        <v>13854</v>
      </c>
      <c r="H15398" s="1" t="s">
        <v>1836</v>
      </c>
      <c r="I15398">
        <v>4</v>
      </c>
      <c r="J15398">
        <f>IF($H15398=0,1,IF($I15398&lt;=1,2,0))</f>
        <v>0</v>
      </c>
      <c r="K15398">
        <v>5</v>
      </c>
      <c r="L15398">
        <f>IF(AND($J15398=0,$K15398=0),0,1)</f>
        <v>1</v>
      </c>
    </row>
    <row r="15399" spans="1:12" x14ac:dyDescent="0.2">
      <c r="A15399" t="s">
        <v>344</v>
      </c>
      <c r="B15399" t="s">
        <v>71</v>
      </c>
      <c r="C15399" t="s">
        <v>72</v>
      </c>
      <c r="D15399">
        <v>9001</v>
      </c>
      <c r="E15399">
        <v>2021</v>
      </c>
      <c r="F15399">
        <v>9</v>
      </c>
      <c r="G15399">
        <v>13843</v>
      </c>
      <c r="H15399" s="1" t="s">
        <v>1836</v>
      </c>
      <c r="I15399">
        <v>2</v>
      </c>
      <c r="J15399">
        <f>IF($H15399=0,1,IF($I15399&lt;=1,2,0))</f>
        <v>0</v>
      </c>
      <c r="K15399">
        <v>5</v>
      </c>
      <c r="L15399">
        <f>IF(AND($J15399=0,$K15399=0),0,1)</f>
        <v>1</v>
      </c>
    </row>
    <row r="15400" spans="1:12" x14ac:dyDescent="0.2">
      <c r="A15400" t="s">
        <v>344</v>
      </c>
      <c r="B15400" t="s">
        <v>71</v>
      </c>
      <c r="C15400" t="s">
        <v>72</v>
      </c>
      <c r="D15400">
        <v>9001</v>
      </c>
      <c r="E15400">
        <v>2021</v>
      </c>
      <c r="F15400">
        <v>12</v>
      </c>
      <c r="G15400">
        <v>13846</v>
      </c>
      <c r="H15400" s="1" t="s">
        <v>1836</v>
      </c>
      <c r="I15400">
        <v>2</v>
      </c>
      <c r="J15400">
        <f>IF($H15400=0,1,IF($I15400&lt;=1,2,0))</f>
        <v>0</v>
      </c>
      <c r="K15400">
        <v>5</v>
      </c>
      <c r="L15400">
        <f>IF(AND($J15400=0,$K15400=0),0,1)</f>
        <v>1</v>
      </c>
    </row>
    <row r="15401" spans="1:12" x14ac:dyDescent="0.2">
      <c r="A15401" t="s">
        <v>344</v>
      </c>
      <c r="B15401" t="s">
        <v>71</v>
      </c>
      <c r="C15401" t="s">
        <v>72</v>
      </c>
      <c r="D15401">
        <v>9001</v>
      </c>
      <c r="E15401">
        <v>2021</v>
      </c>
      <c r="F15401">
        <v>19</v>
      </c>
      <c r="G15401">
        <v>13853</v>
      </c>
      <c r="H15401" s="1" t="s">
        <v>1836</v>
      </c>
      <c r="I15401">
        <v>2</v>
      </c>
      <c r="J15401">
        <f>IF($H15401=0,1,IF($I15401&lt;=1,2,0))</f>
        <v>0</v>
      </c>
      <c r="K15401">
        <v>5</v>
      </c>
      <c r="L15401">
        <f>IF(AND($J15401=0,$K15401=0),0,1)</f>
        <v>1</v>
      </c>
    </row>
    <row r="15402" spans="1:12" x14ac:dyDescent="0.2">
      <c r="A15402" t="s">
        <v>344</v>
      </c>
      <c r="B15402" t="s">
        <v>71</v>
      </c>
      <c r="C15402" t="s">
        <v>72</v>
      </c>
      <c r="D15402">
        <v>9001</v>
      </c>
      <c r="E15402">
        <v>2021</v>
      </c>
      <c r="F15402">
        <v>26</v>
      </c>
      <c r="G15402">
        <v>13860</v>
      </c>
      <c r="H15402" s="1" t="s">
        <v>1836</v>
      </c>
      <c r="I15402">
        <v>2</v>
      </c>
      <c r="J15402">
        <f>IF($H15402=0,1,IF($I15402&lt;=1,2,0))</f>
        <v>0</v>
      </c>
      <c r="K15402">
        <v>5</v>
      </c>
      <c r="L15402">
        <f>IF(AND($J15402=0,$K15402=0),0,1)</f>
        <v>1</v>
      </c>
    </row>
    <row r="15403" spans="1:12" x14ac:dyDescent="0.2">
      <c r="A15403" t="s">
        <v>344</v>
      </c>
      <c r="B15403" t="s">
        <v>71</v>
      </c>
      <c r="C15403" t="s">
        <v>72</v>
      </c>
      <c r="D15403">
        <v>9001</v>
      </c>
      <c r="E15403">
        <v>2021</v>
      </c>
      <c r="F15403">
        <v>1</v>
      </c>
      <c r="G15403">
        <v>13835</v>
      </c>
      <c r="H15403" s="1" t="s">
        <v>1836</v>
      </c>
      <c r="I15403">
        <v>1</v>
      </c>
      <c r="J15403">
        <f>IF($H15403=0,1,IF($I15403&lt;=1,2,0))</f>
        <v>2</v>
      </c>
      <c r="K15403">
        <v>5</v>
      </c>
      <c r="L15403">
        <f>IF(AND($J15403=0,$K15403=0),0,1)</f>
        <v>1</v>
      </c>
    </row>
    <row r="15404" spans="1:12" x14ac:dyDescent="0.2">
      <c r="A15404" t="s">
        <v>344</v>
      </c>
      <c r="B15404" t="s">
        <v>71</v>
      </c>
      <c r="C15404" t="s">
        <v>72</v>
      </c>
      <c r="D15404">
        <v>9001</v>
      </c>
      <c r="E15404">
        <v>2021</v>
      </c>
      <c r="F15404">
        <v>7</v>
      </c>
      <c r="G15404">
        <v>13841</v>
      </c>
      <c r="H15404" s="1" t="s">
        <v>1836</v>
      </c>
      <c r="I15404">
        <v>1</v>
      </c>
      <c r="J15404">
        <f>IF($H15404=0,1,IF($I15404&lt;=1,2,0))</f>
        <v>2</v>
      </c>
      <c r="K15404">
        <v>5</v>
      </c>
      <c r="L15404">
        <f>IF(AND($J15404=0,$K15404=0),0,1)</f>
        <v>1</v>
      </c>
    </row>
    <row r="15405" spans="1:12" x14ac:dyDescent="0.2">
      <c r="A15405" t="s">
        <v>344</v>
      </c>
      <c r="B15405" t="s">
        <v>71</v>
      </c>
      <c r="C15405" t="s">
        <v>72</v>
      </c>
      <c r="D15405">
        <v>9001</v>
      </c>
      <c r="E15405">
        <v>2021</v>
      </c>
      <c r="F15405">
        <v>8</v>
      </c>
      <c r="G15405">
        <v>13842</v>
      </c>
      <c r="H15405" s="1" t="s">
        <v>1836</v>
      </c>
      <c r="I15405">
        <v>1</v>
      </c>
      <c r="J15405">
        <f>IF($H15405=0,1,IF($I15405&lt;=1,2,0))</f>
        <v>2</v>
      </c>
      <c r="K15405">
        <v>5</v>
      </c>
      <c r="L15405">
        <f>IF(AND($J15405=0,$K15405=0),0,1)</f>
        <v>1</v>
      </c>
    </row>
    <row r="15406" spans="1:12" x14ac:dyDescent="0.2">
      <c r="A15406" t="s">
        <v>344</v>
      </c>
      <c r="B15406" t="s">
        <v>71</v>
      </c>
      <c r="C15406" t="s">
        <v>72</v>
      </c>
      <c r="D15406">
        <v>9001</v>
      </c>
      <c r="E15406">
        <v>2021</v>
      </c>
      <c r="F15406">
        <v>10</v>
      </c>
      <c r="G15406">
        <v>13844</v>
      </c>
      <c r="H15406" s="1" t="s">
        <v>1836</v>
      </c>
      <c r="I15406">
        <v>1</v>
      </c>
      <c r="J15406">
        <f>IF($H15406=0,1,IF($I15406&lt;=1,2,0))</f>
        <v>2</v>
      </c>
      <c r="K15406">
        <v>5</v>
      </c>
      <c r="L15406">
        <f>IF(AND($J15406=0,$K15406=0),0,1)</f>
        <v>1</v>
      </c>
    </row>
    <row r="15407" spans="1:12" x14ac:dyDescent="0.2">
      <c r="A15407" t="s">
        <v>344</v>
      </c>
      <c r="B15407" t="s">
        <v>71</v>
      </c>
      <c r="C15407" t="s">
        <v>72</v>
      </c>
      <c r="D15407">
        <v>9001</v>
      </c>
      <c r="E15407">
        <v>2021</v>
      </c>
      <c r="F15407">
        <v>14</v>
      </c>
      <c r="G15407">
        <v>13848</v>
      </c>
      <c r="H15407" s="1" t="s">
        <v>1836</v>
      </c>
      <c r="I15407">
        <v>1</v>
      </c>
      <c r="J15407">
        <f>IF($H15407=0,1,IF($I15407&lt;=1,2,0))</f>
        <v>2</v>
      </c>
      <c r="K15407">
        <v>5</v>
      </c>
      <c r="L15407">
        <f>IF(AND($J15407=0,$K15407=0),0,1)</f>
        <v>1</v>
      </c>
    </row>
    <row r="15408" spans="1:12" x14ac:dyDescent="0.2">
      <c r="A15408" t="s">
        <v>344</v>
      </c>
      <c r="B15408" t="s">
        <v>71</v>
      </c>
      <c r="C15408" t="s">
        <v>72</v>
      </c>
      <c r="D15408">
        <v>9001</v>
      </c>
      <c r="E15408">
        <v>2021</v>
      </c>
      <c r="F15408">
        <v>16</v>
      </c>
      <c r="G15408">
        <v>13850</v>
      </c>
      <c r="H15408" s="1" t="s">
        <v>1836</v>
      </c>
      <c r="I15408">
        <v>1</v>
      </c>
      <c r="J15408">
        <f>IF($H15408=0,1,IF($I15408&lt;=1,2,0))</f>
        <v>2</v>
      </c>
      <c r="K15408">
        <v>5</v>
      </c>
      <c r="L15408">
        <f>IF(AND($J15408=0,$K15408=0),0,1)</f>
        <v>1</v>
      </c>
    </row>
    <row r="15409" spans="1:12" x14ac:dyDescent="0.2">
      <c r="A15409" t="s">
        <v>344</v>
      </c>
      <c r="B15409" t="s">
        <v>71</v>
      </c>
      <c r="C15409" t="s">
        <v>72</v>
      </c>
      <c r="D15409">
        <v>9001</v>
      </c>
      <c r="E15409">
        <v>2021</v>
      </c>
      <c r="F15409">
        <v>18</v>
      </c>
      <c r="G15409">
        <v>13852</v>
      </c>
      <c r="H15409" s="1" t="s">
        <v>1836</v>
      </c>
      <c r="I15409">
        <v>1</v>
      </c>
      <c r="J15409">
        <f>IF($H15409=0,1,IF($I15409&lt;=1,2,0))</f>
        <v>2</v>
      </c>
      <c r="K15409">
        <v>5</v>
      </c>
      <c r="L15409">
        <f>IF(AND($J15409=0,$K15409=0),0,1)</f>
        <v>1</v>
      </c>
    </row>
    <row r="15410" spans="1:12" x14ac:dyDescent="0.2">
      <c r="A15410" t="s">
        <v>344</v>
      </c>
      <c r="B15410" t="s">
        <v>71</v>
      </c>
      <c r="C15410" t="s">
        <v>72</v>
      </c>
      <c r="D15410">
        <v>9001</v>
      </c>
      <c r="E15410">
        <v>2021</v>
      </c>
      <c r="F15410">
        <v>30</v>
      </c>
      <c r="G15410">
        <v>13864</v>
      </c>
      <c r="H15410" s="1" t="s">
        <v>1836</v>
      </c>
      <c r="I15410">
        <v>1</v>
      </c>
      <c r="J15410">
        <f>IF($H15410=0,1,IF($I15410&lt;=1,2,0))</f>
        <v>2</v>
      </c>
      <c r="K15410">
        <v>5</v>
      </c>
      <c r="L15410">
        <f>IF(AND($J15410=0,$K15410=0),0,1)</f>
        <v>1</v>
      </c>
    </row>
    <row r="15411" spans="1:12" x14ac:dyDescent="0.2">
      <c r="A15411" t="s">
        <v>344</v>
      </c>
      <c r="B15411" t="s">
        <v>71</v>
      </c>
      <c r="C15411" t="s">
        <v>72</v>
      </c>
      <c r="D15411">
        <v>9001</v>
      </c>
      <c r="E15411">
        <v>2021</v>
      </c>
      <c r="F15411">
        <v>31</v>
      </c>
      <c r="G15411">
        <v>20472</v>
      </c>
      <c r="H15411" s="1" t="s">
        <v>1836</v>
      </c>
      <c r="I15411">
        <v>1</v>
      </c>
      <c r="J15411">
        <f>IF($H15411=0,1,IF($I15411&lt;=1,2,0))</f>
        <v>2</v>
      </c>
      <c r="K15411">
        <v>5</v>
      </c>
      <c r="L15411">
        <f>IF(AND($J15411=0,$K15411=0),0,1)</f>
        <v>1</v>
      </c>
    </row>
    <row r="15412" spans="1:12" x14ac:dyDescent="0.2">
      <c r="A15412" t="s">
        <v>344</v>
      </c>
      <c r="B15412" t="s">
        <v>71</v>
      </c>
      <c r="C15412" t="s">
        <v>72</v>
      </c>
      <c r="D15412">
        <v>9001</v>
      </c>
      <c r="E15412">
        <v>2021</v>
      </c>
      <c r="F15412">
        <v>3</v>
      </c>
      <c r="G15412">
        <v>13837</v>
      </c>
      <c r="H15412" s="1" t="s">
        <v>1836</v>
      </c>
      <c r="I15412">
        <v>0</v>
      </c>
      <c r="J15412">
        <f>IF($H15412=0,1,IF($I15412&lt;=1,2,0))</f>
        <v>2</v>
      </c>
      <c r="K15412">
        <v>5</v>
      </c>
      <c r="L15412">
        <f>IF(AND($J15412=0,$K15412=0),0,1)</f>
        <v>1</v>
      </c>
    </row>
    <row r="15413" spans="1:12" x14ac:dyDescent="0.2">
      <c r="A15413" t="s">
        <v>344</v>
      </c>
      <c r="B15413" t="s">
        <v>71</v>
      </c>
      <c r="C15413" t="s">
        <v>72</v>
      </c>
      <c r="D15413">
        <v>9001</v>
      </c>
      <c r="E15413">
        <v>2021</v>
      </c>
      <c r="F15413">
        <v>4</v>
      </c>
      <c r="G15413">
        <v>13838</v>
      </c>
      <c r="H15413" s="1" t="s">
        <v>1836</v>
      </c>
      <c r="I15413">
        <v>0</v>
      </c>
      <c r="J15413">
        <f>IF($H15413=0,1,IF($I15413&lt;=1,2,0))</f>
        <v>2</v>
      </c>
      <c r="K15413">
        <v>5</v>
      </c>
      <c r="L15413">
        <f>IF(AND($J15413=0,$K15413=0),0,1)</f>
        <v>1</v>
      </c>
    </row>
    <row r="15414" spans="1:12" x14ac:dyDescent="0.2">
      <c r="A15414" t="s">
        <v>344</v>
      </c>
      <c r="B15414" t="s">
        <v>71</v>
      </c>
      <c r="C15414" t="s">
        <v>72</v>
      </c>
      <c r="D15414">
        <v>9001</v>
      </c>
      <c r="E15414">
        <v>2021</v>
      </c>
      <c r="F15414">
        <v>6</v>
      </c>
      <c r="G15414">
        <v>13840</v>
      </c>
      <c r="H15414" s="1" t="s">
        <v>1836</v>
      </c>
      <c r="I15414">
        <v>0</v>
      </c>
      <c r="J15414">
        <f>IF($H15414=0,1,IF($I15414&lt;=1,2,0))</f>
        <v>2</v>
      </c>
      <c r="K15414">
        <v>5</v>
      </c>
      <c r="L15414">
        <f>IF(AND($J15414=0,$K15414=0),0,1)</f>
        <v>1</v>
      </c>
    </row>
    <row r="15415" spans="1:12" x14ac:dyDescent="0.2">
      <c r="A15415" t="s">
        <v>344</v>
      </c>
      <c r="B15415" t="s">
        <v>71</v>
      </c>
      <c r="C15415" t="s">
        <v>72</v>
      </c>
      <c r="D15415">
        <v>9001</v>
      </c>
      <c r="E15415">
        <v>2021</v>
      </c>
      <c r="F15415">
        <v>11</v>
      </c>
      <c r="G15415">
        <v>13845</v>
      </c>
      <c r="H15415" s="1" t="s">
        <v>1836</v>
      </c>
      <c r="I15415">
        <v>0</v>
      </c>
      <c r="J15415">
        <f>IF($H15415=0,1,IF($I15415&lt;=1,2,0))</f>
        <v>2</v>
      </c>
      <c r="K15415">
        <v>5</v>
      </c>
      <c r="L15415">
        <f>IF(AND($J15415=0,$K15415=0),0,1)</f>
        <v>1</v>
      </c>
    </row>
    <row r="15416" spans="1:12" x14ac:dyDescent="0.2">
      <c r="A15416" t="s">
        <v>344</v>
      </c>
      <c r="B15416" t="s">
        <v>71</v>
      </c>
      <c r="C15416" t="s">
        <v>72</v>
      </c>
      <c r="D15416">
        <v>9001</v>
      </c>
      <c r="E15416">
        <v>2021</v>
      </c>
      <c r="F15416">
        <v>15</v>
      </c>
      <c r="G15416">
        <v>13849</v>
      </c>
      <c r="H15416" s="1" t="s">
        <v>1836</v>
      </c>
      <c r="I15416">
        <v>0</v>
      </c>
      <c r="J15416">
        <f>IF($H15416=0,1,IF($I15416&lt;=1,2,0))</f>
        <v>2</v>
      </c>
      <c r="K15416">
        <v>5</v>
      </c>
      <c r="L15416">
        <f>IF(AND($J15416=0,$K15416=0),0,1)</f>
        <v>1</v>
      </c>
    </row>
    <row r="15417" spans="1:12" x14ac:dyDescent="0.2">
      <c r="A15417" t="s">
        <v>344</v>
      </c>
      <c r="B15417" t="s">
        <v>71</v>
      </c>
      <c r="C15417" t="s">
        <v>72</v>
      </c>
      <c r="D15417">
        <v>9001</v>
      </c>
      <c r="E15417">
        <v>2021</v>
      </c>
      <c r="F15417">
        <v>17</v>
      </c>
      <c r="G15417">
        <v>13851</v>
      </c>
      <c r="H15417" s="1" t="s">
        <v>1836</v>
      </c>
      <c r="I15417">
        <v>0</v>
      </c>
      <c r="J15417">
        <f>IF($H15417=0,1,IF($I15417&lt;=1,2,0))</f>
        <v>2</v>
      </c>
      <c r="K15417">
        <v>5</v>
      </c>
      <c r="L15417">
        <f>IF(AND($J15417=0,$K15417=0),0,1)</f>
        <v>1</v>
      </c>
    </row>
    <row r="15418" spans="1:12" x14ac:dyDescent="0.2">
      <c r="A15418" t="s">
        <v>344</v>
      </c>
      <c r="B15418" t="s">
        <v>71</v>
      </c>
      <c r="C15418" t="s">
        <v>72</v>
      </c>
      <c r="D15418">
        <v>9001</v>
      </c>
      <c r="E15418">
        <v>2021</v>
      </c>
      <c r="F15418">
        <v>22</v>
      </c>
      <c r="G15418">
        <v>13856</v>
      </c>
      <c r="H15418" s="1" t="s">
        <v>1836</v>
      </c>
      <c r="I15418">
        <v>0</v>
      </c>
      <c r="J15418">
        <f>IF($H15418=0,1,IF($I15418&lt;=1,2,0))</f>
        <v>2</v>
      </c>
      <c r="K15418">
        <v>5</v>
      </c>
      <c r="L15418">
        <f>IF(AND($J15418=0,$K15418=0),0,1)</f>
        <v>1</v>
      </c>
    </row>
    <row r="15419" spans="1:12" x14ac:dyDescent="0.2">
      <c r="A15419" t="s">
        <v>344</v>
      </c>
      <c r="B15419" t="s">
        <v>71</v>
      </c>
      <c r="C15419" t="s">
        <v>72</v>
      </c>
      <c r="D15419">
        <v>9001</v>
      </c>
      <c r="E15419">
        <v>2021</v>
      </c>
      <c r="F15419">
        <v>23</v>
      </c>
      <c r="G15419">
        <v>13857</v>
      </c>
      <c r="H15419" s="1" t="s">
        <v>1836</v>
      </c>
      <c r="I15419">
        <v>0</v>
      </c>
      <c r="J15419">
        <f>IF($H15419=0,1,IF($I15419&lt;=1,2,0))</f>
        <v>2</v>
      </c>
      <c r="K15419">
        <v>5</v>
      </c>
      <c r="L15419">
        <f>IF(AND($J15419=0,$K15419=0),0,1)</f>
        <v>1</v>
      </c>
    </row>
    <row r="15420" spans="1:12" x14ac:dyDescent="0.2">
      <c r="A15420" t="s">
        <v>344</v>
      </c>
      <c r="B15420" t="s">
        <v>71</v>
      </c>
      <c r="C15420" t="s">
        <v>72</v>
      </c>
      <c r="D15420">
        <v>9001</v>
      </c>
      <c r="E15420">
        <v>2021</v>
      </c>
      <c r="F15420">
        <v>24</v>
      </c>
      <c r="G15420">
        <v>13858</v>
      </c>
      <c r="H15420" s="1" t="s">
        <v>1836</v>
      </c>
      <c r="I15420">
        <v>0</v>
      </c>
      <c r="J15420">
        <f>IF($H15420=0,1,IF($I15420&lt;=1,2,0))</f>
        <v>2</v>
      </c>
      <c r="K15420">
        <v>5</v>
      </c>
      <c r="L15420">
        <f>IF(AND($J15420=0,$K15420=0),0,1)</f>
        <v>1</v>
      </c>
    </row>
    <row r="15421" spans="1:12" x14ac:dyDescent="0.2">
      <c r="A15421" t="s">
        <v>344</v>
      </c>
      <c r="B15421" t="s">
        <v>71</v>
      </c>
      <c r="C15421" t="s">
        <v>72</v>
      </c>
      <c r="D15421">
        <v>9001</v>
      </c>
      <c r="E15421">
        <v>2021</v>
      </c>
      <c r="F15421">
        <v>25</v>
      </c>
      <c r="G15421">
        <v>13859</v>
      </c>
      <c r="H15421" s="1" t="s">
        <v>1836</v>
      </c>
      <c r="I15421">
        <v>0</v>
      </c>
      <c r="J15421">
        <f>IF($H15421=0,1,IF($I15421&lt;=1,2,0))</f>
        <v>2</v>
      </c>
      <c r="K15421">
        <v>5</v>
      </c>
      <c r="L15421">
        <f>IF(AND($J15421=0,$K15421=0),0,1)</f>
        <v>1</v>
      </c>
    </row>
    <row r="15422" spans="1:12" x14ac:dyDescent="0.2">
      <c r="A15422" t="s">
        <v>344</v>
      </c>
      <c r="B15422" t="s">
        <v>71</v>
      </c>
      <c r="C15422" t="s">
        <v>72</v>
      </c>
      <c r="D15422">
        <v>9001</v>
      </c>
      <c r="E15422">
        <v>2021</v>
      </c>
      <c r="F15422">
        <v>27</v>
      </c>
      <c r="G15422">
        <v>13861</v>
      </c>
      <c r="H15422" s="1" t="s">
        <v>1836</v>
      </c>
      <c r="I15422">
        <v>0</v>
      </c>
      <c r="J15422">
        <f>IF($H15422=0,1,IF($I15422&lt;=1,2,0))</f>
        <v>2</v>
      </c>
      <c r="K15422">
        <v>5</v>
      </c>
      <c r="L15422">
        <f>IF(AND($J15422=0,$K15422=0),0,1)</f>
        <v>1</v>
      </c>
    </row>
    <row r="15423" spans="1:12" x14ac:dyDescent="0.2">
      <c r="A15423" t="s">
        <v>344</v>
      </c>
      <c r="B15423" t="s">
        <v>71</v>
      </c>
      <c r="C15423" t="s">
        <v>72</v>
      </c>
      <c r="D15423">
        <v>9001</v>
      </c>
      <c r="E15423">
        <v>2021</v>
      </c>
      <c r="F15423">
        <v>28</v>
      </c>
      <c r="G15423">
        <v>13862</v>
      </c>
      <c r="H15423" s="1" t="s">
        <v>1836</v>
      </c>
      <c r="I15423">
        <v>0</v>
      </c>
      <c r="J15423">
        <f>IF($H15423=0,1,IF($I15423&lt;=1,2,0))</f>
        <v>2</v>
      </c>
      <c r="K15423">
        <v>5</v>
      </c>
      <c r="L15423">
        <f>IF(AND($J15423=0,$K15423=0),0,1)</f>
        <v>1</v>
      </c>
    </row>
    <row r="15424" spans="1:12" x14ac:dyDescent="0.2">
      <c r="A15424" t="s">
        <v>344</v>
      </c>
      <c r="B15424" t="s">
        <v>71</v>
      </c>
      <c r="C15424" t="s">
        <v>72</v>
      </c>
      <c r="D15424">
        <v>9001</v>
      </c>
      <c r="E15424">
        <v>2021</v>
      </c>
      <c r="F15424">
        <v>29</v>
      </c>
      <c r="G15424">
        <v>13863</v>
      </c>
      <c r="H15424" s="1" t="s">
        <v>1836</v>
      </c>
      <c r="I15424">
        <v>0</v>
      </c>
      <c r="J15424">
        <f>IF($H15424=0,1,IF($I15424&lt;=1,2,0))</f>
        <v>2</v>
      </c>
      <c r="K15424">
        <v>5</v>
      </c>
      <c r="L15424">
        <f>IF(AND($J15424=0,$K15424=0),0,1)</f>
        <v>1</v>
      </c>
    </row>
    <row r="15425" spans="1:13" x14ac:dyDescent="0.2">
      <c r="A15425" t="s">
        <v>345</v>
      </c>
      <c r="B15425" t="s">
        <v>71</v>
      </c>
      <c r="C15425" t="s">
        <v>72</v>
      </c>
      <c r="D15425">
        <v>4000</v>
      </c>
      <c r="E15425">
        <v>2021</v>
      </c>
      <c r="F15425">
        <v>5</v>
      </c>
      <c r="G15425">
        <v>17200</v>
      </c>
      <c r="H15425" s="1">
        <v>0</v>
      </c>
      <c r="I15425">
        <v>457</v>
      </c>
      <c r="J15425">
        <f>IF($H15425=0,1,IF($I15425&lt;=1,2,0))</f>
        <v>1</v>
      </c>
      <c r="K15425">
        <v>0</v>
      </c>
      <c r="L15425">
        <f>IF(AND($J15425=0,$K15425=0),0,1)</f>
        <v>1</v>
      </c>
    </row>
    <row r="15426" spans="1:13" x14ac:dyDescent="0.2">
      <c r="A15426" t="s">
        <v>345</v>
      </c>
      <c r="B15426" t="s">
        <v>71</v>
      </c>
      <c r="C15426" t="s">
        <v>72</v>
      </c>
      <c r="D15426">
        <v>4000</v>
      </c>
      <c r="E15426">
        <v>2021</v>
      </c>
      <c r="F15426">
        <v>9</v>
      </c>
      <c r="G15426">
        <v>17204</v>
      </c>
      <c r="H15426" s="1">
        <v>0</v>
      </c>
      <c r="I15426">
        <v>248</v>
      </c>
      <c r="J15426">
        <f>IF($H15426=0,1,IF($I15426&lt;=1,2,0))</f>
        <v>1</v>
      </c>
      <c r="K15426">
        <v>0</v>
      </c>
      <c r="L15426">
        <f>IF(AND($J15426=0,$K15426=0),0,1)</f>
        <v>1</v>
      </c>
    </row>
    <row r="15427" spans="1:13" x14ac:dyDescent="0.2">
      <c r="A15427" t="s">
        <v>345</v>
      </c>
      <c r="B15427" t="s">
        <v>71</v>
      </c>
      <c r="C15427" t="s">
        <v>72</v>
      </c>
      <c r="D15427">
        <v>4000</v>
      </c>
      <c r="E15427">
        <v>2021</v>
      </c>
      <c r="F15427">
        <v>13</v>
      </c>
      <c r="G15427">
        <v>17208</v>
      </c>
      <c r="H15427" s="1">
        <v>0</v>
      </c>
      <c r="I15427">
        <v>233</v>
      </c>
      <c r="J15427">
        <f>IF($H15427=0,1,IF($I15427&lt;=1,2,0))</f>
        <v>1</v>
      </c>
      <c r="K15427">
        <v>0</v>
      </c>
      <c r="L15427">
        <f>IF(AND($J15427=0,$K15427=0),0,1)</f>
        <v>1</v>
      </c>
      <c r="M15427" t="s">
        <v>1010</v>
      </c>
    </row>
    <row r="15428" spans="1:13" x14ac:dyDescent="0.2">
      <c r="A15428" t="s">
        <v>345</v>
      </c>
      <c r="B15428" t="s">
        <v>71</v>
      </c>
      <c r="C15428" t="s">
        <v>72</v>
      </c>
      <c r="D15428">
        <v>4000</v>
      </c>
      <c r="E15428">
        <v>2021</v>
      </c>
      <c r="F15428">
        <v>6</v>
      </c>
      <c r="G15428">
        <v>17201</v>
      </c>
      <c r="H15428" s="1">
        <v>0</v>
      </c>
      <c r="I15428">
        <v>219</v>
      </c>
      <c r="J15428">
        <f>IF($H15428=0,1,IF($I15428&lt;=1,2,0))</f>
        <v>1</v>
      </c>
      <c r="K15428">
        <v>0</v>
      </c>
      <c r="L15428">
        <f>IF(AND($J15428=0,$K15428=0),0,1)</f>
        <v>1</v>
      </c>
    </row>
    <row r="15429" spans="1:13" x14ac:dyDescent="0.2">
      <c r="A15429" t="s">
        <v>345</v>
      </c>
      <c r="B15429" t="s">
        <v>71</v>
      </c>
      <c r="C15429" t="s">
        <v>72</v>
      </c>
      <c r="D15429">
        <v>4000</v>
      </c>
      <c r="E15429">
        <v>2021</v>
      </c>
      <c r="F15429">
        <v>10</v>
      </c>
      <c r="G15429">
        <v>17205</v>
      </c>
      <c r="H15429" s="1">
        <v>0</v>
      </c>
      <c r="I15429">
        <v>195</v>
      </c>
      <c r="J15429">
        <f>IF($H15429=0,1,IF($I15429&lt;=1,2,0))</f>
        <v>1</v>
      </c>
      <c r="K15429">
        <v>0</v>
      </c>
      <c r="L15429">
        <f>IF(AND($J15429=0,$K15429=0),0,1)</f>
        <v>1</v>
      </c>
      <c r="M15429" t="s">
        <v>1010</v>
      </c>
    </row>
    <row r="15430" spans="1:13" x14ac:dyDescent="0.2">
      <c r="A15430" t="s">
        <v>345</v>
      </c>
      <c r="B15430" t="s">
        <v>71</v>
      </c>
      <c r="C15430" t="s">
        <v>72</v>
      </c>
      <c r="D15430">
        <v>4000</v>
      </c>
      <c r="E15430">
        <v>2021</v>
      </c>
      <c r="F15430">
        <v>14</v>
      </c>
      <c r="G15430">
        <v>17210</v>
      </c>
      <c r="H15430" s="1">
        <v>0</v>
      </c>
      <c r="I15430">
        <v>130</v>
      </c>
      <c r="J15430">
        <f>IF($H15430=0,1,IF($I15430&lt;=1,2,0))</f>
        <v>1</v>
      </c>
      <c r="K15430">
        <v>0</v>
      </c>
      <c r="L15430">
        <f>IF(AND($J15430=0,$K15430=0),0,1)</f>
        <v>1</v>
      </c>
    </row>
    <row r="15431" spans="1:13" x14ac:dyDescent="0.2">
      <c r="A15431" t="s">
        <v>345</v>
      </c>
      <c r="B15431" t="s">
        <v>71</v>
      </c>
      <c r="C15431" t="s">
        <v>72</v>
      </c>
      <c r="D15431">
        <v>4000</v>
      </c>
      <c r="E15431">
        <v>2021</v>
      </c>
      <c r="F15431">
        <v>11</v>
      </c>
      <c r="G15431">
        <v>17206</v>
      </c>
      <c r="H15431" s="1">
        <v>0</v>
      </c>
      <c r="I15431">
        <v>128</v>
      </c>
      <c r="J15431">
        <f>IF($H15431=0,1,IF($I15431&lt;=1,2,0))</f>
        <v>1</v>
      </c>
      <c r="K15431">
        <v>0</v>
      </c>
      <c r="L15431">
        <f>IF(AND($J15431=0,$K15431=0),0,1)</f>
        <v>1</v>
      </c>
      <c r="M15431" t="s">
        <v>1010</v>
      </c>
    </row>
    <row r="15432" spans="1:13" x14ac:dyDescent="0.2">
      <c r="A15432" t="s">
        <v>345</v>
      </c>
      <c r="B15432" t="s">
        <v>71</v>
      </c>
      <c r="C15432" t="s">
        <v>72</v>
      </c>
      <c r="D15432">
        <v>4000</v>
      </c>
      <c r="E15432">
        <v>2021</v>
      </c>
      <c r="F15432">
        <v>3</v>
      </c>
      <c r="G15432">
        <v>17198</v>
      </c>
      <c r="H15432" s="1">
        <v>0</v>
      </c>
      <c r="I15432">
        <v>110</v>
      </c>
      <c r="J15432">
        <f>IF($H15432=0,1,IF($I15432&lt;=1,2,0))</f>
        <v>1</v>
      </c>
      <c r="K15432">
        <v>0</v>
      </c>
      <c r="L15432">
        <f>IF(AND($J15432=0,$K15432=0),0,1)</f>
        <v>1</v>
      </c>
    </row>
    <row r="15433" spans="1:13" x14ac:dyDescent="0.2">
      <c r="A15433" t="s">
        <v>345</v>
      </c>
      <c r="B15433" t="s">
        <v>71</v>
      </c>
      <c r="C15433" t="s">
        <v>72</v>
      </c>
      <c r="D15433">
        <v>4000</v>
      </c>
      <c r="E15433">
        <v>2021</v>
      </c>
      <c r="F15433">
        <v>12</v>
      </c>
      <c r="G15433">
        <v>17207</v>
      </c>
      <c r="H15433" s="1">
        <v>0</v>
      </c>
      <c r="I15433">
        <v>105</v>
      </c>
      <c r="J15433">
        <f>IF($H15433=0,1,IF($I15433&lt;=1,2,0))</f>
        <v>1</v>
      </c>
      <c r="K15433">
        <v>0</v>
      </c>
      <c r="L15433">
        <f>IF(AND($J15433=0,$K15433=0),0,1)</f>
        <v>1</v>
      </c>
      <c r="M15433" t="s">
        <v>1010</v>
      </c>
    </row>
    <row r="15434" spans="1:13" x14ac:dyDescent="0.2">
      <c r="A15434" t="s">
        <v>345</v>
      </c>
      <c r="B15434" t="s">
        <v>71</v>
      </c>
      <c r="C15434" t="s">
        <v>72</v>
      </c>
      <c r="D15434">
        <v>4000</v>
      </c>
      <c r="E15434">
        <v>2021</v>
      </c>
      <c r="F15434">
        <v>2</v>
      </c>
      <c r="G15434">
        <v>17197</v>
      </c>
      <c r="H15434" s="1">
        <v>0</v>
      </c>
      <c r="I15434">
        <v>103</v>
      </c>
      <c r="J15434">
        <f>IF($H15434=0,1,IF($I15434&lt;=1,2,0))</f>
        <v>1</v>
      </c>
      <c r="K15434">
        <v>0</v>
      </c>
      <c r="L15434">
        <f>IF(AND($J15434=0,$K15434=0),0,1)</f>
        <v>1</v>
      </c>
    </row>
    <row r="15435" spans="1:13" x14ac:dyDescent="0.2">
      <c r="A15435" t="s">
        <v>345</v>
      </c>
      <c r="B15435" t="s">
        <v>71</v>
      </c>
      <c r="C15435" t="s">
        <v>72</v>
      </c>
      <c r="D15435">
        <v>4000</v>
      </c>
      <c r="E15435">
        <v>2021</v>
      </c>
      <c r="F15435">
        <v>1</v>
      </c>
      <c r="G15435">
        <v>17196</v>
      </c>
      <c r="H15435" s="1">
        <v>0</v>
      </c>
      <c r="I15435">
        <v>85</v>
      </c>
      <c r="J15435">
        <f>IF($H15435=0,1,IF($I15435&lt;=1,2,0))</f>
        <v>1</v>
      </c>
      <c r="K15435">
        <v>0</v>
      </c>
      <c r="L15435">
        <f>IF(AND($J15435=0,$K15435=0),0,1)</f>
        <v>1</v>
      </c>
    </row>
    <row r="15436" spans="1:13" x14ac:dyDescent="0.2">
      <c r="A15436" t="s">
        <v>345</v>
      </c>
      <c r="B15436" t="s">
        <v>71</v>
      </c>
      <c r="C15436" t="s">
        <v>72</v>
      </c>
      <c r="D15436">
        <v>4000</v>
      </c>
      <c r="E15436">
        <v>2021</v>
      </c>
      <c r="F15436">
        <v>4</v>
      </c>
      <c r="G15436">
        <v>17199</v>
      </c>
      <c r="H15436" s="1">
        <v>0</v>
      </c>
      <c r="I15436">
        <v>69</v>
      </c>
      <c r="J15436">
        <f>IF($H15436=0,1,IF($I15436&lt;=1,2,0))</f>
        <v>1</v>
      </c>
      <c r="K15436">
        <v>0</v>
      </c>
      <c r="L15436">
        <f>IF(AND($J15436=0,$K15436=0),0,1)</f>
        <v>1</v>
      </c>
    </row>
    <row r="15437" spans="1:13" x14ac:dyDescent="0.2">
      <c r="A15437" t="s">
        <v>345</v>
      </c>
      <c r="B15437" t="s">
        <v>71</v>
      </c>
      <c r="C15437" t="s">
        <v>72</v>
      </c>
      <c r="D15437">
        <v>4000</v>
      </c>
      <c r="E15437">
        <v>2021</v>
      </c>
      <c r="F15437">
        <v>7</v>
      </c>
      <c r="G15437">
        <v>17202</v>
      </c>
      <c r="H15437" s="1">
        <v>0</v>
      </c>
      <c r="I15437">
        <v>38</v>
      </c>
      <c r="J15437">
        <f>IF($H15437=0,1,IF($I15437&lt;=1,2,0))</f>
        <v>1</v>
      </c>
      <c r="K15437">
        <v>0</v>
      </c>
      <c r="L15437">
        <f>IF(AND($J15437=0,$K15437=0),0,1)</f>
        <v>1</v>
      </c>
    </row>
    <row r="15438" spans="1:13" x14ac:dyDescent="0.2">
      <c r="A15438" t="s">
        <v>345</v>
      </c>
      <c r="B15438" t="s">
        <v>71</v>
      </c>
      <c r="C15438" t="s">
        <v>72</v>
      </c>
      <c r="D15438">
        <v>4000</v>
      </c>
      <c r="E15438">
        <v>2021</v>
      </c>
      <c r="F15438">
        <v>8</v>
      </c>
      <c r="G15438">
        <v>17203</v>
      </c>
      <c r="H15438" s="1">
        <v>0</v>
      </c>
      <c r="I15438">
        <v>26</v>
      </c>
      <c r="J15438">
        <f>IF($H15438=0,1,IF($I15438&lt;=1,2,0))</f>
        <v>1</v>
      </c>
      <c r="K15438">
        <v>0</v>
      </c>
      <c r="L15438">
        <f>IF(AND($J15438=0,$K15438=0),0,1)</f>
        <v>1</v>
      </c>
    </row>
    <row r="15439" spans="1:13" x14ac:dyDescent="0.2">
      <c r="A15439" t="s">
        <v>345</v>
      </c>
      <c r="B15439" t="s">
        <v>71</v>
      </c>
      <c r="C15439" t="s">
        <v>72</v>
      </c>
      <c r="D15439">
        <v>4000</v>
      </c>
      <c r="E15439">
        <v>2021</v>
      </c>
      <c r="F15439" t="s">
        <v>489</v>
      </c>
      <c r="G15439">
        <v>17209</v>
      </c>
      <c r="H15439" s="1">
        <v>0</v>
      </c>
      <c r="I15439">
        <v>8</v>
      </c>
      <c r="J15439">
        <f>IF($H15439=0,1,IF($I15439&lt;=1,2,0))</f>
        <v>1</v>
      </c>
      <c r="K15439">
        <v>0</v>
      </c>
      <c r="L15439">
        <f>IF(AND($J15439=0,$K15439=0),0,1)</f>
        <v>1</v>
      </c>
    </row>
    <row r="15440" spans="1:13" x14ac:dyDescent="0.2">
      <c r="A15440" t="s">
        <v>345</v>
      </c>
      <c r="B15440" t="s">
        <v>71</v>
      </c>
      <c r="C15440" t="s">
        <v>72</v>
      </c>
      <c r="D15440">
        <v>4990</v>
      </c>
      <c r="E15440">
        <v>2021</v>
      </c>
      <c r="F15440">
        <v>5</v>
      </c>
      <c r="G15440">
        <v>20587</v>
      </c>
      <c r="H15440" s="1" t="s">
        <v>1836</v>
      </c>
      <c r="I15440">
        <v>3</v>
      </c>
      <c r="J15440">
        <f>IF($H15440=0,1,IF($I15440&lt;=1,2,0))</f>
        <v>0</v>
      </c>
      <c r="K15440">
        <v>9</v>
      </c>
      <c r="L15440">
        <f>IF(AND($J15440=0,$K15440=0),0,1)</f>
        <v>1</v>
      </c>
    </row>
    <row r="15441" spans="1:13" x14ac:dyDescent="0.2">
      <c r="A15441" t="s">
        <v>345</v>
      </c>
      <c r="B15441" t="s">
        <v>71</v>
      </c>
      <c r="C15441" t="s">
        <v>72</v>
      </c>
      <c r="D15441">
        <v>4990</v>
      </c>
      <c r="E15441">
        <v>2021</v>
      </c>
      <c r="F15441">
        <v>8</v>
      </c>
      <c r="G15441">
        <v>20591</v>
      </c>
      <c r="H15441" s="1" t="s">
        <v>1836</v>
      </c>
      <c r="I15441">
        <v>2</v>
      </c>
      <c r="J15441">
        <f>IF($H15441=0,1,IF($I15441&lt;=1,2,0))</f>
        <v>0</v>
      </c>
      <c r="K15441">
        <v>9</v>
      </c>
      <c r="L15441">
        <f>IF(AND($J15441=0,$K15441=0),0,1)</f>
        <v>1</v>
      </c>
    </row>
    <row r="15442" spans="1:13" x14ac:dyDescent="0.2">
      <c r="A15442" t="s">
        <v>345</v>
      </c>
      <c r="B15442" t="s">
        <v>71</v>
      </c>
      <c r="C15442" t="s">
        <v>72</v>
      </c>
      <c r="D15442">
        <v>4990</v>
      </c>
      <c r="E15442">
        <v>2021</v>
      </c>
      <c r="F15442">
        <v>3</v>
      </c>
      <c r="G15442">
        <v>20590</v>
      </c>
      <c r="H15442" s="1" t="s">
        <v>1836</v>
      </c>
      <c r="I15442">
        <v>1</v>
      </c>
      <c r="J15442">
        <f>IF($H15442=0,1,IF($I15442&lt;=1,2,0))</f>
        <v>2</v>
      </c>
      <c r="K15442">
        <v>9</v>
      </c>
      <c r="L15442">
        <f>IF(AND($J15442=0,$K15442=0),0,1)</f>
        <v>1</v>
      </c>
    </row>
    <row r="15443" spans="1:13" x14ac:dyDescent="0.2">
      <c r="A15443" t="s">
        <v>345</v>
      </c>
      <c r="B15443" t="s">
        <v>71</v>
      </c>
      <c r="C15443" t="s">
        <v>72</v>
      </c>
      <c r="D15443">
        <v>4990</v>
      </c>
      <c r="E15443">
        <v>2021</v>
      </c>
      <c r="F15443">
        <v>7</v>
      </c>
      <c r="G15443">
        <v>20812</v>
      </c>
      <c r="H15443" s="1" t="s">
        <v>1836</v>
      </c>
      <c r="I15443">
        <v>1</v>
      </c>
      <c r="J15443">
        <f>IF($H15443=0,1,IF($I15443&lt;=1,2,0))</f>
        <v>2</v>
      </c>
      <c r="K15443">
        <v>9</v>
      </c>
      <c r="L15443">
        <f>IF(AND($J15443=0,$K15443=0),0,1)</f>
        <v>1</v>
      </c>
    </row>
    <row r="15444" spans="1:13" x14ac:dyDescent="0.2">
      <c r="A15444" t="s">
        <v>345</v>
      </c>
      <c r="B15444" t="s">
        <v>71</v>
      </c>
      <c r="C15444" t="s">
        <v>72</v>
      </c>
      <c r="D15444">
        <v>4990</v>
      </c>
      <c r="E15444">
        <v>2021</v>
      </c>
      <c r="F15444">
        <v>9</v>
      </c>
      <c r="G15444">
        <v>20588</v>
      </c>
      <c r="H15444" s="1" t="s">
        <v>1836</v>
      </c>
      <c r="I15444">
        <v>1</v>
      </c>
      <c r="J15444">
        <f>IF($H15444=0,1,IF($I15444&lt;=1,2,0))</f>
        <v>2</v>
      </c>
      <c r="K15444">
        <v>9</v>
      </c>
      <c r="L15444">
        <f>IF(AND($J15444=0,$K15444=0),0,1)</f>
        <v>1</v>
      </c>
    </row>
    <row r="15445" spans="1:13" x14ac:dyDescent="0.2">
      <c r="A15445" t="s">
        <v>345</v>
      </c>
      <c r="B15445" t="s">
        <v>71</v>
      </c>
      <c r="C15445" t="s">
        <v>72</v>
      </c>
      <c r="D15445">
        <v>5000</v>
      </c>
      <c r="E15445">
        <v>2021</v>
      </c>
      <c r="F15445">
        <v>15</v>
      </c>
      <c r="G15445">
        <v>19006</v>
      </c>
      <c r="H15445" s="1">
        <v>0</v>
      </c>
      <c r="I15445">
        <v>17</v>
      </c>
      <c r="J15445">
        <f>IF($H15445=0,1,IF($I15445&lt;=1,2,0))</f>
        <v>1</v>
      </c>
      <c r="K15445">
        <v>0</v>
      </c>
      <c r="L15445">
        <f>IF(AND($J15445=0,$K15445=0),0,1)</f>
        <v>1</v>
      </c>
    </row>
    <row r="15446" spans="1:13" x14ac:dyDescent="0.2">
      <c r="A15446" t="s">
        <v>345</v>
      </c>
      <c r="B15446" t="s">
        <v>71</v>
      </c>
      <c r="C15446" t="s">
        <v>72</v>
      </c>
      <c r="D15446">
        <v>5000</v>
      </c>
      <c r="E15446">
        <v>2021</v>
      </c>
      <c r="F15446">
        <v>1</v>
      </c>
      <c r="G15446">
        <v>17413</v>
      </c>
      <c r="H15446" s="1">
        <v>0</v>
      </c>
      <c r="I15446">
        <v>16</v>
      </c>
      <c r="J15446">
        <f>IF($H15446=0,1,IF($I15446&lt;=1,2,0))</f>
        <v>1</v>
      </c>
      <c r="K15446">
        <v>0</v>
      </c>
      <c r="L15446">
        <f>IF(AND($J15446=0,$K15446=0),0,1)</f>
        <v>1</v>
      </c>
      <c r="M15446" t="s">
        <v>1510</v>
      </c>
    </row>
    <row r="15447" spans="1:13" x14ac:dyDescent="0.2">
      <c r="A15447" t="s">
        <v>345</v>
      </c>
      <c r="B15447" t="s">
        <v>71</v>
      </c>
      <c r="C15447" t="s">
        <v>72</v>
      </c>
      <c r="D15447">
        <v>5000</v>
      </c>
      <c r="E15447">
        <v>2021</v>
      </c>
      <c r="F15447">
        <v>11</v>
      </c>
      <c r="G15447">
        <v>17428</v>
      </c>
      <c r="H15447" s="1">
        <v>0</v>
      </c>
      <c r="I15447">
        <v>16</v>
      </c>
      <c r="J15447">
        <f>IF($H15447=0,1,IF($I15447&lt;=1,2,0))</f>
        <v>1</v>
      </c>
      <c r="K15447">
        <v>0</v>
      </c>
      <c r="L15447">
        <f>IF(AND($J15447=0,$K15447=0),0,1)</f>
        <v>1</v>
      </c>
      <c r="M15447" t="s">
        <v>1511</v>
      </c>
    </row>
    <row r="15448" spans="1:13" x14ac:dyDescent="0.2">
      <c r="A15448" t="s">
        <v>345</v>
      </c>
      <c r="B15448" t="s">
        <v>71</v>
      </c>
      <c r="C15448" t="s">
        <v>72</v>
      </c>
      <c r="D15448">
        <v>5000</v>
      </c>
      <c r="E15448">
        <v>2021</v>
      </c>
      <c r="F15448">
        <v>12</v>
      </c>
      <c r="G15448">
        <v>17429</v>
      </c>
      <c r="H15448" s="1">
        <v>0</v>
      </c>
      <c r="I15448">
        <v>16</v>
      </c>
      <c r="J15448">
        <f>IF($H15448=0,1,IF($I15448&lt;=1,2,0))</f>
        <v>1</v>
      </c>
      <c r="K15448">
        <v>0</v>
      </c>
      <c r="L15448">
        <f>IF(AND($J15448=0,$K15448=0),0,1)</f>
        <v>1</v>
      </c>
      <c r="M15448" t="s">
        <v>1511</v>
      </c>
    </row>
    <row r="15449" spans="1:13" x14ac:dyDescent="0.2">
      <c r="A15449" t="s">
        <v>345</v>
      </c>
      <c r="B15449" t="s">
        <v>71</v>
      </c>
      <c r="C15449" t="s">
        <v>72</v>
      </c>
      <c r="D15449">
        <v>5000</v>
      </c>
      <c r="E15449">
        <v>2021</v>
      </c>
      <c r="F15449">
        <v>16</v>
      </c>
      <c r="G15449">
        <v>20344</v>
      </c>
      <c r="H15449" s="1">
        <v>0</v>
      </c>
      <c r="I15449">
        <v>16</v>
      </c>
      <c r="J15449">
        <f>IF($H15449=0,1,IF($I15449&lt;=1,2,0))</f>
        <v>1</v>
      </c>
      <c r="K15449">
        <v>0</v>
      </c>
      <c r="L15449">
        <f>IF(AND($J15449=0,$K15449=0),0,1)</f>
        <v>1</v>
      </c>
      <c r="M15449" t="s">
        <v>1511</v>
      </c>
    </row>
    <row r="15450" spans="1:13" x14ac:dyDescent="0.2">
      <c r="A15450" t="s">
        <v>345</v>
      </c>
      <c r="B15450" t="s">
        <v>71</v>
      </c>
      <c r="C15450" t="s">
        <v>72</v>
      </c>
      <c r="D15450">
        <v>5000</v>
      </c>
      <c r="E15450">
        <v>2021</v>
      </c>
      <c r="F15450">
        <v>14</v>
      </c>
      <c r="G15450">
        <v>17431</v>
      </c>
      <c r="H15450" s="1">
        <v>0</v>
      </c>
      <c r="I15450">
        <v>15</v>
      </c>
      <c r="J15450">
        <f>IF($H15450=0,1,IF($I15450&lt;=1,2,0))</f>
        <v>1</v>
      </c>
      <c r="K15450">
        <v>0</v>
      </c>
      <c r="L15450">
        <f>IF(AND($J15450=0,$K15450=0),0,1)</f>
        <v>1</v>
      </c>
      <c r="M15450" t="s">
        <v>1511</v>
      </c>
    </row>
    <row r="15451" spans="1:13" x14ac:dyDescent="0.2">
      <c r="A15451" t="s">
        <v>345</v>
      </c>
      <c r="B15451" t="s">
        <v>71</v>
      </c>
      <c r="C15451" t="s">
        <v>72</v>
      </c>
      <c r="D15451">
        <v>5000</v>
      </c>
      <c r="E15451">
        <v>2021</v>
      </c>
      <c r="F15451">
        <v>3</v>
      </c>
      <c r="G15451">
        <v>17423</v>
      </c>
      <c r="H15451" s="1">
        <v>0</v>
      </c>
      <c r="I15451">
        <v>14</v>
      </c>
      <c r="J15451">
        <f>IF($H15451=0,1,IF($I15451&lt;=1,2,0))</f>
        <v>1</v>
      </c>
      <c r="K15451">
        <v>0</v>
      </c>
      <c r="L15451">
        <f>IF(AND($J15451=0,$K15451=0),0,1)</f>
        <v>1</v>
      </c>
      <c r="M15451" t="s">
        <v>1510</v>
      </c>
    </row>
    <row r="15452" spans="1:13" x14ac:dyDescent="0.2">
      <c r="A15452" t="s">
        <v>345</v>
      </c>
      <c r="B15452" t="s">
        <v>71</v>
      </c>
      <c r="C15452" t="s">
        <v>72</v>
      </c>
      <c r="D15452">
        <v>5000</v>
      </c>
      <c r="E15452">
        <v>2021</v>
      </c>
      <c r="F15452">
        <v>4</v>
      </c>
      <c r="G15452">
        <v>17424</v>
      </c>
      <c r="H15452" s="1">
        <v>0</v>
      </c>
      <c r="I15452">
        <v>14</v>
      </c>
      <c r="J15452">
        <f>IF($H15452=0,1,IF($I15452&lt;=1,2,0))</f>
        <v>1</v>
      </c>
      <c r="K15452">
        <v>0</v>
      </c>
      <c r="L15452">
        <f>IF(AND($J15452=0,$K15452=0),0,1)</f>
        <v>1</v>
      </c>
      <c r="M15452" t="s">
        <v>1510</v>
      </c>
    </row>
    <row r="15453" spans="1:13" x14ac:dyDescent="0.2">
      <c r="A15453" t="s">
        <v>345</v>
      </c>
      <c r="B15453" t="s">
        <v>71</v>
      </c>
      <c r="C15453" t="s">
        <v>72</v>
      </c>
      <c r="D15453">
        <v>5000</v>
      </c>
      <c r="E15453">
        <v>2021</v>
      </c>
      <c r="F15453">
        <v>13</v>
      </c>
      <c r="G15453">
        <v>17430</v>
      </c>
      <c r="H15453" s="1">
        <v>0</v>
      </c>
      <c r="I15453">
        <v>14</v>
      </c>
      <c r="J15453">
        <f>IF($H15453=0,1,IF($I15453&lt;=1,2,0))</f>
        <v>1</v>
      </c>
      <c r="K15453">
        <v>0</v>
      </c>
      <c r="L15453">
        <f>IF(AND($J15453=0,$K15453=0),0,1)</f>
        <v>1</v>
      </c>
      <c r="M15453" t="s">
        <v>1511</v>
      </c>
    </row>
    <row r="15454" spans="1:13" x14ac:dyDescent="0.2">
      <c r="A15454" t="s">
        <v>345</v>
      </c>
      <c r="B15454" t="s">
        <v>71</v>
      </c>
      <c r="C15454" t="s">
        <v>72</v>
      </c>
      <c r="D15454">
        <v>5000</v>
      </c>
      <c r="E15454">
        <v>2021</v>
      </c>
      <c r="F15454">
        <v>2</v>
      </c>
      <c r="G15454">
        <v>17421</v>
      </c>
      <c r="H15454" s="1">
        <v>0</v>
      </c>
      <c r="I15454">
        <v>12</v>
      </c>
      <c r="J15454">
        <f>IF($H15454=0,1,IF($I15454&lt;=1,2,0))</f>
        <v>1</v>
      </c>
      <c r="K15454">
        <v>0</v>
      </c>
      <c r="L15454">
        <f>IF(AND($J15454=0,$K15454=0),0,1)</f>
        <v>1</v>
      </c>
      <c r="M15454" t="s">
        <v>1510</v>
      </c>
    </row>
    <row r="15455" spans="1:13" x14ac:dyDescent="0.2">
      <c r="A15455" t="s">
        <v>345</v>
      </c>
      <c r="B15455" t="s">
        <v>71</v>
      </c>
      <c r="C15455" t="s">
        <v>72</v>
      </c>
      <c r="D15455">
        <v>5000</v>
      </c>
      <c r="E15455">
        <v>2021</v>
      </c>
      <c r="F15455">
        <v>5</v>
      </c>
      <c r="G15455">
        <v>17426</v>
      </c>
      <c r="H15455" s="1">
        <v>0</v>
      </c>
      <c r="I15455">
        <v>12</v>
      </c>
      <c r="J15455">
        <f>IF($H15455=0,1,IF($I15455&lt;=1,2,0))</f>
        <v>1</v>
      </c>
      <c r="K15455">
        <v>0</v>
      </c>
      <c r="L15455">
        <f>IF(AND($J15455=0,$K15455=0),0,1)</f>
        <v>1</v>
      </c>
      <c r="M15455" t="s">
        <v>1510</v>
      </c>
    </row>
    <row r="15456" spans="1:13" x14ac:dyDescent="0.2">
      <c r="A15456" t="s">
        <v>345</v>
      </c>
      <c r="B15456" t="s">
        <v>71</v>
      </c>
      <c r="C15456" t="s">
        <v>72</v>
      </c>
      <c r="D15456">
        <v>5001</v>
      </c>
      <c r="E15456">
        <v>2021</v>
      </c>
      <c r="F15456">
        <v>11</v>
      </c>
      <c r="G15456">
        <v>17432</v>
      </c>
      <c r="H15456" s="1">
        <v>0</v>
      </c>
      <c r="I15456">
        <v>12</v>
      </c>
      <c r="J15456">
        <f>IF($H15456=0,1,IF($I15456&lt;=1,2,0))</f>
        <v>1</v>
      </c>
      <c r="K15456">
        <v>0</v>
      </c>
      <c r="L15456">
        <f>IF(AND($J15456=0,$K15456=0),0,1)</f>
        <v>1</v>
      </c>
      <c r="M15456" t="s">
        <v>1511</v>
      </c>
    </row>
    <row r="15457" spans="1:13" x14ac:dyDescent="0.2">
      <c r="A15457" t="s">
        <v>345</v>
      </c>
      <c r="B15457" t="s">
        <v>71</v>
      </c>
      <c r="C15457" t="s">
        <v>72</v>
      </c>
      <c r="D15457">
        <v>5001</v>
      </c>
      <c r="E15457">
        <v>2021</v>
      </c>
      <c r="F15457">
        <v>12</v>
      </c>
      <c r="G15457">
        <v>17433</v>
      </c>
      <c r="H15457" s="1">
        <v>0</v>
      </c>
      <c r="I15457">
        <v>11</v>
      </c>
      <c r="J15457">
        <f>IF($H15457=0,1,IF($I15457&lt;=1,2,0))</f>
        <v>1</v>
      </c>
      <c r="K15457">
        <v>0</v>
      </c>
      <c r="L15457">
        <f>IF(AND($J15457=0,$K15457=0),0,1)</f>
        <v>1</v>
      </c>
      <c r="M15457" t="s">
        <v>1511</v>
      </c>
    </row>
    <row r="15458" spans="1:13" x14ac:dyDescent="0.2">
      <c r="A15458" t="s">
        <v>345</v>
      </c>
      <c r="B15458" t="s">
        <v>71</v>
      </c>
      <c r="C15458" t="s">
        <v>72</v>
      </c>
      <c r="D15458">
        <v>5001</v>
      </c>
      <c r="E15458">
        <v>2021</v>
      </c>
      <c r="F15458">
        <v>1</v>
      </c>
      <c r="G15458">
        <v>17427</v>
      </c>
      <c r="H15458" s="1">
        <v>0</v>
      </c>
      <c r="I15458">
        <v>10</v>
      </c>
      <c r="J15458">
        <f>IF($H15458=0,1,IF($I15458&lt;=1,2,0))</f>
        <v>1</v>
      </c>
      <c r="K15458">
        <v>0</v>
      </c>
      <c r="L15458">
        <f>IF(AND($J15458=0,$K15458=0),0,1)</f>
        <v>1</v>
      </c>
      <c r="M15458" t="s">
        <v>1510</v>
      </c>
    </row>
    <row r="15459" spans="1:13" x14ac:dyDescent="0.2">
      <c r="A15459" t="s">
        <v>345</v>
      </c>
      <c r="B15459" t="s">
        <v>71</v>
      </c>
      <c r="C15459" t="s">
        <v>72</v>
      </c>
      <c r="D15459">
        <v>5002</v>
      </c>
      <c r="E15459">
        <v>2021</v>
      </c>
      <c r="F15459">
        <v>11</v>
      </c>
      <c r="G15459">
        <v>17437</v>
      </c>
      <c r="H15459" s="1">
        <v>0</v>
      </c>
      <c r="I15459">
        <v>9</v>
      </c>
      <c r="J15459">
        <f>IF($H15459=0,1,IF($I15459&lt;=1,2,0))</f>
        <v>1</v>
      </c>
      <c r="K15459">
        <v>0</v>
      </c>
      <c r="L15459">
        <f>IF(AND($J15459=0,$K15459=0),0,1)</f>
        <v>1</v>
      </c>
      <c r="M15459" t="s">
        <v>1511</v>
      </c>
    </row>
    <row r="15460" spans="1:13" x14ac:dyDescent="0.2">
      <c r="A15460" t="s">
        <v>345</v>
      </c>
      <c r="B15460" t="s">
        <v>71</v>
      </c>
      <c r="C15460" t="s">
        <v>72</v>
      </c>
      <c r="D15460">
        <v>5003</v>
      </c>
      <c r="E15460">
        <v>2021</v>
      </c>
      <c r="F15460">
        <v>11</v>
      </c>
      <c r="G15460">
        <v>17440</v>
      </c>
      <c r="H15460" s="1">
        <v>0</v>
      </c>
      <c r="I15460">
        <v>6</v>
      </c>
      <c r="J15460">
        <f>IF($H15460=0,1,IF($I15460&lt;=1,2,0))</f>
        <v>1</v>
      </c>
      <c r="K15460">
        <v>0</v>
      </c>
      <c r="L15460">
        <f>IF(AND($J15460=0,$K15460=0),0,1)</f>
        <v>1</v>
      </c>
      <c r="M15460" t="s">
        <v>1511</v>
      </c>
    </row>
    <row r="15461" spans="1:13" x14ac:dyDescent="0.2">
      <c r="A15461" t="s">
        <v>345</v>
      </c>
      <c r="B15461" t="s">
        <v>71</v>
      </c>
      <c r="C15461" t="s">
        <v>72</v>
      </c>
      <c r="D15461">
        <v>5009</v>
      </c>
      <c r="E15461">
        <v>2021</v>
      </c>
      <c r="F15461">
        <v>31</v>
      </c>
      <c r="G15461">
        <v>20370</v>
      </c>
      <c r="H15461" s="1">
        <v>0</v>
      </c>
      <c r="I15461">
        <v>1</v>
      </c>
      <c r="J15461">
        <f>IF($H15461=0,1,IF($I15461&lt;=1,2,0))</f>
        <v>1</v>
      </c>
      <c r="K15461">
        <v>4</v>
      </c>
      <c r="L15461">
        <f>IF(AND($J15461=0,$K15461=0),0,1)</f>
        <v>1</v>
      </c>
      <c r="M15461" t="s">
        <v>1017</v>
      </c>
    </row>
    <row r="15462" spans="1:13" x14ac:dyDescent="0.2">
      <c r="A15462" t="s">
        <v>345</v>
      </c>
      <c r="B15462" t="s">
        <v>71</v>
      </c>
      <c r="C15462" t="s">
        <v>72</v>
      </c>
      <c r="D15462">
        <v>6001</v>
      </c>
      <c r="E15462">
        <v>2021</v>
      </c>
      <c r="F15462">
        <v>1</v>
      </c>
      <c r="G15462">
        <v>17211</v>
      </c>
      <c r="H15462" s="1">
        <v>0</v>
      </c>
      <c r="I15462">
        <v>144</v>
      </c>
      <c r="J15462">
        <f>IF($H15462=0,1,IF($I15462&lt;=1,2,0))</f>
        <v>1</v>
      </c>
      <c r="K15462">
        <v>0</v>
      </c>
      <c r="L15462">
        <f>IF(AND($J15462=0,$K15462=0),0,1)</f>
        <v>1</v>
      </c>
    </row>
    <row r="15463" spans="1:13" x14ac:dyDescent="0.2">
      <c r="A15463" t="s">
        <v>345</v>
      </c>
      <c r="B15463" t="s">
        <v>71</v>
      </c>
      <c r="C15463" t="s">
        <v>72</v>
      </c>
      <c r="D15463">
        <v>6002</v>
      </c>
      <c r="E15463">
        <v>2021</v>
      </c>
      <c r="F15463">
        <v>1</v>
      </c>
      <c r="G15463">
        <v>17212</v>
      </c>
      <c r="H15463" s="1">
        <v>0</v>
      </c>
      <c r="I15463">
        <v>155</v>
      </c>
      <c r="J15463">
        <f>IF($H15463=0,1,IF($I15463&lt;=1,2,0))</f>
        <v>1</v>
      </c>
      <c r="K15463">
        <v>0</v>
      </c>
      <c r="L15463">
        <f>IF(AND($J15463=0,$K15463=0),0,1)</f>
        <v>1</v>
      </c>
    </row>
    <row r="15464" spans="1:13" x14ac:dyDescent="0.2">
      <c r="A15464" t="s">
        <v>345</v>
      </c>
      <c r="B15464" t="s">
        <v>71</v>
      </c>
      <c r="C15464" t="s">
        <v>72</v>
      </c>
      <c r="D15464">
        <v>6003</v>
      </c>
      <c r="E15464">
        <v>2021</v>
      </c>
      <c r="F15464">
        <v>1</v>
      </c>
      <c r="G15464">
        <v>17213</v>
      </c>
      <c r="H15464" s="1">
        <v>0</v>
      </c>
      <c r="I15464">
        <v>158</v>
      </c>
      <c r="J15464">
        <f>IF($H15464=0,1,IF($I15464&lt;=1,2,0))</f>
        <v>1</v>
      </c>
      <c r="K15464">
        <v>0</v>
      </c>
      <c r="L15464">
        <f>IF(AND($J15464=0,$K15464=0),0,1)</f>
        <v>1</v>
      </c>
    </row>
    <row r="15465" spans="1:13" x14ac:dyDescent="0.2">
      <c r="A15465" t="s">
        <v>345</v>
      </c>
      <c r="B15465" t="s">
        <v>71</v>
      </c>
      <c r="C15465" t="s">
        <v>72</v>
      </c>
      <c r="D15465">
        <v>7000</v>
      </c>
      <c r="E15465">
        <v>2021</v>
      </c>
      <c r="F15465">
        <v>11</v>
      </c>
      <c r="G15465">
        <v>17443</v>
      </c>
      <c r="H15465" s="1">
        <v>0</v>
      </c>
      <c r="I15465">
        <v>7</v>
      </c>
      <c r="J15465">
        <f>IF($H15465=0,1,IF($I15465&lt;=1,2,0))</f>
        <v>1</v>
      </c>
      <c r="K15465">
        <v>0</v>
      </c>
      <c r="L15465">
        <f>IF(AND($J15465=0,$K15465=0),0,1)</f>
        <v>1</v>
      </c>
      <c r="M15465" t="s">
        <v>1511</v>
      </c>
    </row>
    <row r="15466" spans="1:13" x14ac:dyDescent="0.2">
      <c r="A15466" t="s">
        <v>345</v>
      </c>
      <c r="B15466" t="s">
        <v>71</v>
      </c>
      <c r="C15466" t="s">
        <v>72</v>
      </c>
      <c r="D15466">
        <v>7009</v>
      </c>
      <c r="E15466">
        <v>2021</v>
      </c>
      <c r="F15466">
        <v>11</v>
      </c>
      <c r="G15466">
        <v>20219</v>
      </c>
      <c r="H15466" s="1">
        <v>0</v>
      </c>
      <c r="I15466">
        <v>3</v>
      </c>
      <c r="J15466">
        <f>IF($H15466=0,1,IF($I15466&lt;=1,2,0))</f>
        <v>1</v>
      </c>
      <c r="K15466">
        <v>0</v>
      </c>
      <c r="L15466">
        <f>IF(AND($J15466=0,$K15466=0),0,1)</f>
        <v>1</v>
      </c>
    </row>
    <row r="15467" spans="1:13" x14ac:dyDescent="0.2">
      <c r="A15467" t="s">
        <v>349</v>
      </c>
      <c r="B15467" t="s">
        <v>17</v>
      </c>
      <c r="C15467" t="s">
        <v>350</v>
      </c>
      <c r="D15467">
        <v>5</v>
      </c>
      <c r="E15467">
        <v>2021</v>
      </c>
      <c r="F15467">
        <v>2</v>
      </c>
      <c r="G15467">
        <v>17626</v>
      </c>
      <c r="H15467" s="1">
        <v>0</v>
      </c>
      <c r="I15467">
        <v>11</v>
      </c>
      <c r="J15467">
        <f>IF($H15467=0,1,IF($I15467&lt;=1,2,0))</f>
        <v>1</v>
      </c>
      <c r="K15467">
        <v>0</v>
      </c>
      <c r="L15467">
        <f>IF(AND($J15467=0,$K15467=0),0,1)</f>
        <v>1</v>
      </c>
    </row>
    <row r="15468" spans="1:13" x14ac:dyDescent="0.2">
      <c r="A15468" t="s">
        <v>349</v>
      </c>
      <c r="B15468" t="s">
        <v>17</v>
      </c>
      <c r="C15468" t="s">
        <v>350</v>
      </c>
      <c r="D15468">
        <v>5</v>
      </c>
      <c r="E15468">
        <v>2021</v>
      </c>
      <c r="F15468">
        <v>3</v>
      </c>
      <c r="G15468">
        <v>18848</v>
      </c>
      <c r="H15468" s="1">
        <v>0</v>
      </c>
      <c r="I15468">
        <v>10</v>
      </c>
      <c r="J15468">
        <f>IF($H15468=0,1,IF($I15468&lt;=1,2,0))</f>
        <v>1</v>
      </c>
      <c r="K15468">
        <v>0</v>
      </c>
      <c r="L15468">
        <f>IF(AND($J15468=0,$K15468=0),0,1)</f>
        <v>1</v>
      </c>
    </row>
    <row r="15469" spans="1:13" x14ac:dyDescent="0.2">
      <c r="A15469" t="s">
        <v>349</v>
      </c>
      <c r="B15469" t="s">
        <v>17</v>
      </c>
      <c r="C15469" t="s">
        <v>350</v>
      </c>
      <c r="D15469">
        <v>5</v>
      </c>
      <c r="E15469">
        <v>2021</v>
      </c>
      <c r="F15469">
        <v>1</v>
      </c>
      <c r="G15469">
        <v>17625</v>
      </c>
      <c r="H15469" s="1">
        <v>0</v>
      </c>
      <c r="I15469">
        <v>9</v>
      </c>
      <c r="J15469">
        <f>IF($H15469=0,1,IF($I15469&lt;=1,2,0))</f>
        <v>1</v>
      </c>
      <c r="K15469">
        <v>0</v>
      </c>
      <c r="L15469">
        <f>IF(AND($J15469=0,$K15469=0),0,1)</f>
        <v>1</v>
      </c>
    </row>
    <row r="15470" spans="1:13" x14ac:dyDescent="0.2">
      <c r="A15470" t="s">
        <v>349</v>
      </c>
      <c r="B15470" t="s">
        <v>17</v>
      </c>
      <c r="C15470" t="s">
        <v>350</v>
      </c>
      <c r="D15470">
        <v>6</v>
      </c>
      <c r="E15470">
        <v>2021</v>
      </c>
      <c r="F15470">
        <v>1</v>
      </c>
      <c r="G15470">
        <v>17623</v>
      </c>
      <c r="H15470" s="1">
        <v>0</v>
      </c>
      <c r="I15470">
        <v>11</v>
      </c>
      <c r="J15470">
        <f>IF($H15470=0,1,IF($I15470&lt;=1,2,0))</f>
        <v>1</v>
      </c>
      <c r="K15470">
        <v>0</v>
      </c>
      <c r="L15470">
        <f>IF(AND($J15470=0,$K15470=0),0,1)</f>
        <v>1</v>
      </c>
    </row>
    <row r="15471" spans="1:13" x14ac:dyDescent="0.2">
      <c r="A15471" t="s">
        <v>349</v>
      </c>
      <c r="B15471" t="s">
        <v>17</v>
      </c>
      <c r="C15471" t="s">
        <v>350</v>
      </c>
      <c r="D15471">
        <v>6</v>
      </c>
      <c r="E15471">
        <v>2021</v>
      </c>
      <c r="F15471">
        <v>2</v>
      </c>
      <c r="G15471">
        <v>17624</v>
      </c>
      <c r="H15471" s="1">
        <v>0</v>
      </c>
      <c r="I15471">
        <v>11</v>
      </c>
      <c r="J15471">
        <f>IF($H15471=0,1,IF($I15471&lt;=1,2,0))</f>
        <v>1</v>
      </c>
      <c r="K15471">
        <v>0</v>
      </c>
      <c r="L15471">
        <f>IF(AND($J15471=0,$K15471=0),0,1)</f>
        <v>1</v>
      </c>
    </row>
    <row r="15472" spans="1:13" x14ac:dyDescent="0.2">
      <c r="A15472" t="s">
        <v>349</v>
      </c>
      <c r="B15472" t="s">
        <v>17</v>
      </c>
      <c r="C15472" t="s">
        <v>350</v>
      </c>
      <c r="D15472">
        <v>12</v>
      </c>
      <c r="E15472">
        <v>2021</v>
      </c>
      <c r="F15472">
        <v>2</v>
      </c>
      <c r="G15472">
        <v>17615</v>
      </c>
      <c r="H15472" s="1">
        <v>0</v>
      </c>
      <c r="I15472">
        <v>12</v>
      </c>
      <c r="J15472">
        <f>IF($H15472=0,1,IF($I15472&lt;=1,2,0))</f>
        <v>1</v>
      </c>
      <c r="K15472">
        <v>0</v>
      </c>
      <c r="L15472">
        <f>IF(AND($J15472=0,$K15472=0),0,1)</f>
        <v>1</v>
      </c>
    </row>
    <row r="15473" spans="1:13" x14ac:dyDescent="0.2">
      <c r="A15473" t="s">
        <v>349</v>
      </c>
      <c r="B15473" t="s">
        <v>17</v>
      </c>
      <c r="C15473" t="s">
        <v>350</v>
      </c>
      <c r="D15473">
        <v>12</v>
      </c>
      <c r="E15473">
        <v>2021</v>
      </c>
      <c r="F15473">
        <v>4</v>
      </c>
      <c r="G15473">
        <v>17618</v>
      </c>
      <c r="H15473" s="1">
        <v>0</v>
      </c>
      <c r="I15473">
        <v>12</v>
      </c>
      <c r="J15473">
        <f>IF($H15473=0,1,IF($I15473&lt;=1,2,0))</f>
        <v>1</v>
      </c>
      <c r="K15473">
        <v>0</v>
      </c>
      <c r="L15473">
        <f>IF(AND($J15473=0,$K15473=0),0,1)</f>
        <v>1</v>
      </c>
    </row>
    <row r="15474" spans="1:13" x14ac:dyDescent="0.2">
      <c r="A15474" t="s">
        <v>349</v>
      </c>
      <c r="B15474" t="s">
        <v>17</v>
      </c>
      <c r="C15474" t="s">
        <v>350</v>
      </c>
      <c r="D15474">
        <v>12</v>
      </c>
      <c r="E15474">
        <v>2021</v>
      </c>
      <c r="F15474">
        <v>3</v>
      </c>
      <c r="G15474">
        <v>17617</v>
      </c>
      <c r="H15474" s="1">
        <v>0</v>
      </c>
      <c r="I15474">
        <v>9</v>
      </c>
      <c r="J15474">
        <f>IF($H15474=0,1,IF($I15474&lt;=1,2,0))</f>
        <v>1</v>
      </c>
      <c r="K15474">
        <v>0</v>
      </c>
      <c r="L15474">
        <f>IF(AND($J15474=0,$K15474=0),0,1)</f>
        <v>1</v>
      </c>
    </row>
    <row r="15475" spans="1:13" x14ac:dyDescent="0.2">
      <c r="A15475" t="s">
        <v>349</v>
      </c>
      <c r="B15475" t="s">
        <v>17</v>
      </c>
      <c r="C15475" t="s">
        <v>350</v>
      </c>
      <c r="D15475">
        <v>12</v>
      </c>
      <c r="E15475">
        <v>2021</v>
      </c>
      <c r="F15475">
        <v>1</v>
      </c>
      <c r="G15475">
        <v>17589</v>
      </c>
      <c r="H15475" s="1">
        <v>0</v>
      </c>
      <c r="I15475">
        <v>5</v>
      </c>
      <c r="J15475">
        <f>IF($H15475=0,1,IF($I15475&lt;=1,2,0))</f>
        <v>1</v>
      </c>
      <c r="K15475">
        <v>0</v>
      </c>
      <c r="L15475">
        <f>IF(AND($J15475=0,$K15475=0),0,1)</f>
        <v>1</v>
      </c>
    </row>
    <row r="15476" spans="1:13" x14ac:dyDescent="0.2">
      <c r="A15476" t="s">
        <v>349</v>
      </c>
      <c r="B15476" t="s">
        <v>17</v>
      </c>
      <c r="C15476" t="s">
        <v>350</v>
      </c>
      <c r="D15476">
        <v>106</v>
      </c>
      <c r="E15476">
        <v>2021</v>
      </c>
      <c r="F15476" t="s">
        <v>1512</v>
      </c>
      <c r="G15476">
        <v>20853</v>
      </c>
      <c r="H15476" s="1">
        <v>0</v>
      </c>
      <c r="I15476">
        <v>6</v>
      </c>
      <c r="J15476">
        <f>IF($H15476=0,1,IF($I15476&lt;=1,2,0))</f>
        <v>1</v>
      </c>
      <c r="K15476">
        <v>0</v>
      </c>
      <c r="L15476">
        <f>IF(AND($J15476=0,$K15476=0),0,1)</f>
        <v>1</v>
      </c>
    </row>
    <row r="15477" spans="1:13" x14ac:dyDescent="0.2">
      <c r="A15477" t="s">
        <v>349</v>
      </c>
      <c r="B15477" t="s">
        <v>17</v>
      </c>
      <c r="C15477" t="s">
        <v>350</v>
      </c>
      <c r="D15477">
        <v>850</v>
      </c>
      <c r="E15477">
        <v>2021</v>
      </c>
      <c r="F15477">
        <v>1</v>
      </c>
      <c r="G15477">
        <v>17766</v>
      </c>
      <c r="H15477" s="1">
        <v>0</v>
      </c>
      <c r="I15477">
        <v>10</v>
      </c>
      <c r="J15477">
        <f>IF($H15477=0,1,IF($I15477&lt;=1,2,0))</f>
        <v>1</v>
      </c>
      <c r="K15477">
        <v>0</v>
      </c>
      <c r="L15477">
        <f>IF(AND($J15477=0,$K15477=0),0,1)</f>
        <v>1</v>
      </c>
    </row>
    <row r="15478" spans="1:13" x14ac:dyDescent="0.2">
      <c r="A15478" t="s">
        <v>349</v>
      </c>
      <c r="B15478" t="s">
        <v>17</v>
      </c>
      <c r="C15478" t="s">
        <v>9</v>
      </c>
      <c r="D15478">
        <v>3011</v>
      </c>
      <c r="E15478">
        <v>2021</v>
      </c>
      <c r="F15478">
        <v>1</v>
      </c>
      <c r="G15478">
        <v>10309</v>
      </c>
      <c r="H15478" s="1">
        <v>0</v>
      </c>
      <c r="I15478">
        <v>15</v>
      </c>
      <c r="J15478">
        <f>IF($H15478=0,1,IF($I15478&lt;=1,2,0))</f>
        <v>1</v>
      </c>
      <c r="K15478">
        <v>0</v>
      </c>
      <c r="L15478">
        <f>IF(AND($J15478=0,$K15478=0),0,1)</f>
        <v>1</v>
      </c>
    </row>
    <row r="15479" spans="1:13" x14ac:dyDescent="0.2">
      <c r="A15479" t="s">
        <v>349</v>
      </c>
      <c r="B15479" t="s">
        <v>17</v>
      </c>
      <c r="C15479" t="s">
        <v>9</v>
      </c>
      <c r="D15479">
        <v>3011</v>
      </c>
      <c r="E15479">
        <v>2021</v>
      </c>
      <c r="F15479">
        <v>4</v>
      </c>
      <c r="G15479">
        <v>10312</v>
      </c>
      <c r="H15479" s="1">
        <v>0</v>
      </c>
      <c r="I15479">
        <v>15</v>
      </c>
      <c r="J15479">
        <f>IF($H15479=0,1,IF($I15479&lt;=1,2,0))</f>
        <v>1</v>
      </c>
      <c r="K15479">
        <v>0</v>
      </c>
      <c r="L15479">
        <f>IF(AND($J15479=0,$K15479=0),0,1)</f>
        <v>1</v>
      </c>
    </row>
    <row r="15480" spans="1:13" x14ac:dyDescent="0.2">
      <c r="A15480" t="s">
        <v>349</v>
      </c>
      <c r="B15480" t="s">
        <v>17</v>
      </c>
      <c r="C15480" t="s">
        <v>9</v>
      </c>
      <c r="D15480">
        <v>3011</v>
      </c>
      <c r="E15480">
        <v>2021</v>
      </c>
      <c r="F15480">
        <v>2</v>
      </c>
      <c r="G15480">
        <v>10308</v>
      </c>
      <c r="H15480" s="1">
        <v>0</v>
      </c>
      <c r="I15480">
        <v>14</v>
      </c>
      <c r="J15480">
        <f>IF($H15480=0,1,IF($I15480&lt;=1,2,0))</f>
        <v>1</v>
      </c>
      <c r="K15480">
        <v>0</v>
      </c>
      <c r="L15480">
        <f>IF(AND($J15480=0,$K15480=0),0,1)</f>
        <v>1</v>
      </c>
    </row>
    <row r="15481" spans="1:13" x14ac:dyDescent="0.2">
      <c r="A15481" t="s">
        <v>349</v>
      </c>
      <c r="B15481" t="s">
        <v>17</v>
      </c>
      <c r="C15481" t="s">
        <v>9</v>
      </c>
      <c r="D15481">
        <v>3011</v>
      </c>
      <c r="E15481">
        <v>2021</v>
      </c>
      <c r="F15481">
        <v>5</v>
      </c>
      <c r="G15481">
        <v>10313</v>
      </c>
      <c r="H15481" s="1">
        <v>0</v>
      </c>
      <c r="I15481">
        <v>14</v>
      </c>
      <c r="J15481">
        <f>IF($H15481=0,1,IF($I15481&lt;=1,2,0))</f>
        <v>1</v>
      </c>
      <c r="K15481">
        <v>0</v>
      </c>
      <c r="L15481">
        <f>IF(AND($J15481=0,$K15481=0),0,1)</f>
        <v>1</v>
      </c>
    </row>
    <row r="15482" spans="1:13" x14ac:dyDescent="0.2">
      <c r="A15482" t="s">
        <v>349</v>
      </c>
      <c r="B15482" t="s">
        <v>17</v>
      </c>
      <c r="C15482" t="s">
        <v>9</v>
      </c>
      <c r="D15482">
        <v>3011</v>
      </c>
      <c r="E15482">
        <v>2021</v>
      </c>
      <c r="F15482">
        <v>3</v>
      </c>
      <c r="G15482">
        <v>10310</v>
      </c>
      <c r="H15482" s="1">
        <v>0</v>
      </c>
      <c r="I15482">
        <v>13</v>
      </c>
      <c r="J15482">
        <f>IF($H15482=0,1,IF($I15482&lt;=1,2,0))</f>
        <v>1</v>
      </c>
      <c r="K15482">
        <v>0</v>
      </c>
      <c r="L15482">
        <f>IF(AND($J15482=0,$K15482=0),0,1)</f>
        <v>1</v>
      </c>
    </row>
    <row r="15483" spans="1:13" x14ac:dyDescent="0.2">
      <c r="A15483" t="s">
        <v>349</v>
      </c>
      <c r="B15483" t="s">
        <v>17</v>
      </c>
      <c r="C15483" t="s">
        <v>2</v>
      </c>
      <c r="D15483">
        <v>3101</v>
      </c>
      <c r="E15483">
        <v>2021</v>
      </c>
      <c r="F15483">
        <v>1</v>
      </c>
      <c r="G15483">
        <v>391</v>
      </c>
      <c r="H15483" s="1">
        <v>4</v>
      </c>
      <c r="I15483">
        <v>17</v>
      </c>
      <c r="J15483">
        <f>IF($H15483=0,1,IF($I15483&lt;=1,2,0))</f>
        <v>0</v>
      </c>
      <c r="K15483">
        <v>7</v>
      </c>
      <c r="L15483">
        <f>IF(AND($J15483=0,$K15483=0),0,1)</f>
        <v>1</v>
      </c>
      <c r="M15483" t="s">
        <v>1515</v>
      </c>
    </row>
    <row r="15484" spans="1:13" x14ac:dyDescent="0.2">
      <c r="A15484" t="s">
        <v>349</v>
      </c>
      <c r="B15484" t="s">
        <v>17</v>
      </c>
      <c r="C15484" t="s">
        <v>2</v>
      </c>
      <c r="D15484">
        <v>3101</v>
      </c>
      <c r="E15484">
        <v>2021</v>
      </c>
      <c r="F15484">
        <v>2</v>
      </c>
      <c r="G15484">
        <v>392</v>
      </c>
      <c r="H15484" s="1">
        <v>4</v>
      </c>
      <c r="I15484">
        <v>16</v>
      </c>
      <c r="J15484">
        <f>IF($H15484=0,1,IF($I15484&lt;=1,2,0))</f>
        <v>0</v>
      </c>
      <c r="K15484">
        <v>7</v>
      </c>
      <c r="L15484">
        <f>IF(AND($J15484=0,$K15484=0),0,1)</f>
        <v>1</v>
      </c>
      <c r="M15484" t="s">
        <v>1515</v>
      </c>
    </row>
    <row r="15485" spans="1:13" x14ac:dyDescent="0.2">
      <c r="A15485" t="s">
        <v>349</v>
      </c>
      <c r="B15485" t="s">
        <v>17</v>
      </c>
      <c r="C15485" t="s">
        <v>2</v>
      </c>
      <c r="D15485">
        <v>3102</v>
      </c>
      <c r="E15485">
        <v>2021</v>
      </c>
      <c r="F15485">
        <v>1</v>
      </c>
      <c r="G15485">
        <v>393</v>
      </c>
      <c r="H15485" s="1">
        <v>4</v>
      </c>
      <c r="I15485">
        <v>9</v>
      </c>
      <c r="J15485">
        <f>IF($H15485=0,1,IF($I15485&lt;=1,2,0))</f>
        <v>0</v>
      </c>
      <c r="K15485">
        <v>7</v>
      </c>
      <c r="L15485">
        <f>IF(AND($J15485=0,$K15485=0),0,1)</f>
        <v>1</v>
      </c>
      <c r="M15485" t="s">
        <v>1516</v>
      </c>
    </row>
    <row r="15486" spans="1:13" x14ac:dyDescent="0.2">
      <c r="A15486" t="s">
        <v>349</v>
      </c>
      <c r="B15486" t="s">
        <v>17</v>
      </c>
      <c r="C15486" t="s">
        <v>2</v>
      </c>
      <c r="D15486">
        <v>3103</v>
      </c>
      <c r="E15486">
        <v>2021</v>
      </c>
      <c r="F15486">
        <v>2</v>
      </c>
      <c r="G15486">
        <v>395</v>
      </c>
      <c r="H15486" s="1">
        <v>3</v>
      </c>
      <c r="I15486">
        <v>11</v>
      </c>
      <c r="J15486">
        <f>IF($H15486=0,1,IF($I15486&lt;=1,2,0))</f>
        <v>0</v>
      </c>
      <c r="K15486">
        <v>7</v>
      </c>
      <c r="L15486">
        <f>IF(AND($J15486=0,$K15486=0),0,1)</f>
        <v>1</v>
      </c>
      <c r="M15486" t="s">
        <v>359</v>
      </c>
    </row>
    <row r="15487" spans="1:13" x14ac:dyDescent="0.2">
      <c r="A15487" t="s">
        <v>349</v>
      </c>
      <c r="B15487" t="s">
        <v>17</v>
      </c>
      <c r="C15487" t="s">
        <v>2</v>
      </c>
      <c r="D15487">
        <v>3103</v>
      </c>
      <c r="E15487">
        <v>2021</v>
      </c>
      <c r="F15487">
        <v>3</v>
      </c>
      <c r="G15487">
        <v>396</v>
      </c>
      <c r="H15487" s="1">
        <v>3</v>
      </c>
      <c r="I15487">
        <v>11</v>
      </c>
      <c r="J15487">
        <f>IF($H15487=0,1,IF($I15487&lt;=1,2,0))</f>
        <v>0</v>
      </c>
      <c r="K15487">
        <v>7</v>
      </c>
      <c r="L15487">
        <f>IF(AND($J15487=0,$K15487=0),0,1)</f>
        <v>1</v>
      </c>
      <c r="M15487" t="s">
        <v>359</v>
      </c>
    </row>
    <row r="15488" spans="1:13" x14ac:dyDescent="0.2">
      <c r="A15488" t="s">
        <v>349</v>
      </c>
      <c r="B15488" t="s">
        <v>17</v>
      </c>
      <c r="C15488" t="s">
        <v>2</v>
      </c>
      <c r="D15488">
        <v>3103</v>
      </c>
      <c r="E15488">
        <v>2021</v>
      </c>
      <c r="F15488">
        <v>1</v>
      </c>
      <c r="G15488">
        <v>394</v>
      </c>
      <c r="H15488" s="1">
        <v>3</v>
      </c>
      <c r="I15488">
        <v>10</v>
      </c>
      <c r="J15488">
        <f>IF($H15488=0,1,IF($I15488&lt;=1,2,0))</f>
        <v>0</v>
      </c>
      <c r="K15488">
        <v>7</v>
      </c>
      <c r="L15488">
        <f>IF(AND($J15488=0,$K15488=0),0,1)</f>
        <v>1</v>
      </c>
      <c r="M15488" t="s">
        <v>359</v>
      </c>
    </row>
    <row r="15489" spans="1:13" x14ac:dyDescent="0.2">
      <c r="A15489" t="s">
        <v>349</v>
      </c>
      <c r="B15489" t="s">
        <v>17</v>
      </c>
      <c r="C15489" t="s">
        <v>2</v>
      </c>
      <c r="D15489">
        <v>3103</v>
      </c>
      <c r="E15489">
        <v>2021</v>
      </c>
      <c r="F15489">
        <v>4</v>
      </c>
      <c r="G15489">
        <v>828</v>
      </c>
      <c r="H15489" s="1">
        <v>3</v>
      </c>
      <c r="I15489">
        <v>7</v>
      </c>
      <c r="J15489">
        <f>IF($H15489=0,1,IF($I15489&lt;=1,2,0))</f>
        <v>0</v>
      </c>
      <c r="K15489">
        <v>7</v>
      </c>
      <c r="L15489">
        <f>IF(AND($J15489=0,$K15489=0),0,1)</f>
        <v>1</v>
      </c>
      <c r="M15489" t="s">
        <v>359</v>
      </c>
    </row>
    <row r="15490" spans="1:13" x14ac:dyDescent="0.2">
      <c r="A15490" t="s">
        <v>349</v>
      </c>
      <c r="B15490" t="s">
        <v>17</v>
      </c>
      <c r="C15490" t="s">
        <v>2</v>
      </c>
      <c r="D15490">
        <v>3105</v>
      </c>
      <c r="E15490">
        <v>2021</v>
      </c>
      <c r="F15490">
        <v>2</v>
      </c>
      <c r="G15490">
        <v>399</v>
      </c>
      <c r="H15490" s="1">
        <v>3</v>
      </c>
      <c r="I15490">
        <v>9</v>
      </c>
      <c r="J15490">
        <f>IF($H15490=0,1,IF($I15490&lt;=1,2,0))</f>
        <v>0</v>
      </c>
      <c r="K15490">
        <v>7</v>
      </c>
      <c r="L15490">
        <f>IF(AND($J15490=0,$K15490=0),0,1)</f>
        <v>1</v>
      </c>
      <c r="M15490" t="s">
        <v>1517</v>
      </c>
    </row>
    <row r="15491" spans="1:13" x14ac:dyDescent="0.2">
      <c r="A15491" t="s">
        <v>349</v>
      </c>
      <c r="B15491" t="s">
        <v>17</v>
      </c>
      <c r="C15491" t="s">
        <v>2</v>
      </c>
      <c r="D15491">
        <v>3105</v>
      </c>
      <c r="E15491">
        <v>2021</v>
      </c>
      <c r="F15491">
        <v>1</v>
      </c>
      <c r="G15491">
        <v>398</v>
      </c>
      <c r="H15491" s="1">
        <v>3</v>
      </c>
      <c r="I15491">
        <v>8</v>
      </c>
      <c r="J15491">
        <f>IF($H15491=0,1,IF($I15491&lt;=1,2,0))</f>
        <v>0</v>
      </c>
      <c r="K15491">
        <v>7</v>
      </c>
      <c r="L15491">
        <f>IF(AND($J15491=0,$K15491=0),0,1)</f>
        <v>1</v>
      </c>
      <c r="M15491" t="s">
        <v>1517</v>
      </c>
    </row>
    <row r="15492" spans="1:13" x14ac:dyDescent="0.2">
      <c r="A15492" t="s">
        <v>349</v>
      </c>
      <c r="B15492" t="s">
        <v>17</v>
      </c>
      <c r="C15492" t="s">
        <v>2</v>
      </c>
      <c r="D15492">
        <v>3107</v>
      </c>
      <c r="E15492">
        <v>2021</v>
      </c>
      <c r="F15492">
        <v>1</v>
      </c>
      <c r="G15492">
        <v>400</v>
      </c>
      <c r="H15492" s="1">
        <v>3</v>
      </c>
      <c r="I15492">
        <v>8</v>
      </c>
      <c r="J15492">
        <f>IF($H15492=0,1,IF($I15492&lt;=1,2,0))</f>
        <v>0</v>
      </c>
      <c r="K15492">
        <v>7</v>
      </c>
      <c r="L15492">
        <f>IF(AND($J15492=0,$K15492=0),0,1)</f>
        <v>1</v>
      </c>
      <c r="M15492" t="s">
        <v>1517</v>
      </c>
    </row>
    <row r="15493" spans="1:13" x14ac:dyDescent="0.2">
      <c r="A15493" t="s">
        <v>349</v>
      </c>
      <c r="B15493" t="s">
        <v>17</v>
      </c>
      <c r="C15493" t="s">
        <v>2</v>
      </c>
      <c r="D15493">
        <v>3110</v>
      </c>
      <c r="E15493">
        <v>2021</v>
      </c>
      <c r="F15493">
        <v>1</v>
      </c>
      <c r="G15493">
        <v>401</v>
      </c>
      <c r="H15493" s="1">
        <v>3</v>
      </c>
      <c r="I15493">
        <v>11</v>
      </c>
      <c r="J15493">
        <f>IF($H15493=0,1,IF($I15493&lt;=1,2,0))</f>
        <v>0</v>
      </c>
      <c r="K15493">
        <v>7</v>
      </c>
      <c r="L15493">
        <f>IF(AND($J15493=0,$K15493=0),0,1)</f>
        <v>1</v>
      </c>
      <c r="M15493" t="s">
        <v>1517</v>
      </c>
    </row>
    <row r="15494" spans="1:13" x14ac:dyDescent="0.2">
      <c r="A15494" t="s">
        <v>349</v>
      </c>
      <c r="B15494" t="s">
        <v>17</v>
      </c>
      <c r="C15494" t="s">
        <v>2</v>
      </c>
      <c r="D15494">
        <v>3113</v>
      </c>
      <c r="E15494">
        <v>2021</v>
      </c>
      <c r="F15494">
        <v>1</v>
      </c>
      <c r="G15494">
        <v>402</v>
      </c>
      <c r="H15494" s="1">
        <v>3</v>
      </c>
      <c r="I15494">
        <v>12</v>
      </c>
      <c r="J15494">
        <f>IF($H15494=0,1,IF($I15494&lt;=1,2,0))</f>
        <v>0</v>
      </c>
      <c r="K15494">
        <v>7</v>
      </c>
      <c r="L15494">
        <f>IF(AND($J15494=0,$K15494=0),0,1)</f>
        <v>1</v>
      </c>
      <c r="M15494" t="s">
        <v>1517</v>
      </c>
    </row>
    <row r="15495" spans="1:13" x14ac:dyDescent="0.2">
      <c r="A15495" t="s">
        <v>349</v>
      </c>
      <c r="B15495" t="s">
        <v>17</v>
      </c>
      <c r="C15495" t="s">
        <v>2</v>
      </c>
      <c r="D15495">
        <v>3115</v>
      </c>
      <c r="E15495">
        <v>2021</v>
      </c>
      <c r="F15495">
        <v>1</v>
      </c>
      <c r="G15495">
        <v>403</v>
      </c>
      <c r="H15495" s="1">
        <v>3</v>
      </c>
      <c r="I15495">
        <v>8</v>
      </c>
      <c r="J15495">
        <f>IF($H15495=0,1,IF($I15495&lt;=1,2,0))</f>
        <v>0</v>
      </c>
      <c r="K15495">
        <v>7</v>
      </c>
      <c r="L15495">
        <f>IF(AND($J15495=0,$K15495=0),0,1)</f>
        <v>1</v>
      </c>
      <c r="M15495" t="s">
        <v>1517</v>
      </c>
    </row>
    <row r="15496" spans="1:13" x14ac:dyDescent="0.2">
      <c r="A15496" t="s">
        <v>349</v>
      </c>
      <c r="B15496" t="s">
        <v>17</v>
      </c>
      <c r="C15496" t="s">
        <v>2</v>
      </c>
      <c r="D15496">
        <v>3117</v>
      </c>
      <c r="E15496">
        <v>2021</v>
      </c>
      <c r="F15496">
        <v>1</v>
      </c>
      <c r="G15496">
        <v>404</v>
      </c>
      <c r="H15496" s="1">
        <v>3</v>
      </c>
      <c r="I15496">
        <v>10</v>
      </c>
      <c r="J15496">
        <f>IF($H15496=0,1,IF($I15496&lt;=1,2,0))</f>
        <v>0</v>
      </c>
      <c r="K15496">
        <v>7</v>
      </c>
      <c r="L15496">
        <f>IF(AND($J15496=0,$K15496=0),0,1)</f>
        <v>1</v>
      </c>
      <c r="M15496" t="s">
        <v>1517</v>
      </c>
    </row>
    <row r="15497" spans="1:13" x14ac:dyDescent="0.2">
      <c r="A15497" t="s">
        <v>349</v>
      </c>
      <c r="B15497" t="s">
        <v>17</v>
      </c>
      <c r="C15497" t="s">
        <v>2</v>
      </c>
      <c r="D15497">
        <v>3118</v>
      </c>
      <c r="E15497">
        <v>2021</v>
      </c>
      <c r="F15497">
        <v>1</v>
      </c>
      <c r="G15497">
        <v>405</v>
      </c>
      <c r="H15497" s="1">
        <v>3</v>
      </c>
      <c r="I15497">
        <v>7</v>
      </c>
      <c r="J15497">
        <f>IF($H15497=0,1,IF($I15497&lt;=1,2,0))</f>
        <v>0</v>
      </c>
      <c r="K15497">
        <v>7</v>
      </c>
      <c r="L15497">
        <f>IF(AND($J15497=0,$K15497=0),0,1)</f>
        <v>1</v>
      </c>
      <c r="M15497" t="s">
        <v>1517</v>
      </c>
    </row>
    <row r="15498" spans="1:13" x14ac:dyDescent="0.2">
      <c r="A15498" t="s">
        <v>349</v>
      </c>
      <c r="B15498" t="s">
        <v>17</v>
      </c>
      <c r="C15498" t="s">
        <v>2</v>
      </c>
      <c r="D15498">
        <v>3121</v>
      </c>
      <c r="E15498">
        <v>2021</v>
      </c>
      <c r="F15498">
        <v>1</v>
      </c>
      <c r="G15498">
        <v>406</v>
      </c>
      <c r="H15498" s="1">
        <v>3</v>
      </c>
      <c r="I15498">
        <v>14</v>
      </c>
      <c r="J15498">
        <f>IF($H15498=0,1,IF($I15498&lt;=1,2,0))</f>
        <v>0</v>
      </c>
      <c r="K15498">
        <v>7</v>
      </c>
      <c r="L15498">
        <f>IF(AND($J15498=0,$K15498=0),0,1)</f>
        <v>1</v>
      </c>
      <c r="M15498" t="s">
        <v>1025</v>
      </c>
    </row>
    <row r="15499" spans="1:13" x14ac:dyDescent="0.2">
      <c r="A15499" t="s">
        <v>349</v>
      </c>
      <c r="B15499" t="s">
        <v>17</v>
      </c>
      <c r="C15499" t="s">
        <v>2</v>
      </c>
      <c r="D15499">
        <v>3123</v>
      </c>
      <c r="E15499">
        <v>2021</v>
      </c>
      <c r="F15499">
        <v>1</v>
      </c>
      <c r="G15499">
        <v>407</v>
      </c>
      <c r="H15499" s="1">
        <v>4</v>
      </c>
      <c r="I15499">
        <v>12</v>
      </c>
      <c r="J15499">
        <f>IF($H15499=0,1,IF($I15499&lt;=1,2,0))</f>
        <v>0</v>
      </c>
      <c r="K15499">
        <v>7</v>
      </c>
      <c r="L15499">
        <f>IF(AND($J15499=0,$K15499=0),0,1)</f>
        <v>1</v>
      </c>
      <c r="M15499" t="s">
        <v>1518</v>
      </c>
    </row>
    <row r="15500" spans="1:13" x14ac:dyDescent="0.2">
      <c r="A15500" t="s">
        <v>349</v>
      </c>
      <c r="B15500" t="s">
        <v>17</v>
      </c>
      <c r="C15500" t="s">
        <v>2</v>
      </c>
      <c r="D15500">
        <v>3134</v>
      </c>
      <c r="E15500">
        <v>2021</v>
      </c>
      <c r="F15500">
        <v>1</v>
      </c>
      <c r="G15500">
        <v>408</v>
      </c>
      <c r="H15500" s="1">
        <v>3</v>
      </c>
      <c r="I15500">
        <v>9</v>
      </c>
      <c r="J15500">
        <f>IF($H15500=0,1,IF($I15500&lt;=1,2,0))</f>
        <v>0</v>
      </c>
      <c r="K15500">
        <v>7</v>
      </c>
      <c r="L15500">
        <f>IF(AND($J15500=0,$K15500=0),0,1)</f>
        <v>1</v>
      </c>
      <c r="M15500" t="s">
        <v>1517</v>
      </c>
    </row>
    <row r="15501" spans="1:13" x14ac:dyDescent="0.2">
      <c r="A15501" t="s">
        <v>349</v>
      </c>
      <c r="B15501" t="s">
        <v>17</v>
      </c>
      <c r="C15501" t="s">
        <v>2</v>
      </c>
      <c r="D15501">
        <v>3141</v>
      </c>
      <c r="E15501">
        <v>2021</v>
      </c>
      <c r="F15501">
        <v>1</v>
      </c>
      <c r="G15501">
        <v>409</v>
      </c>
      <c r="H15501" s="1">
        <v>3</v>
      </c>
      <c r="I15501">
        <v>22</v>
      </c>
      <c r="J15501">
        <f>IF($H15501=0,1,IF($I15501&lt;=1,2,0))</f>
        <v>0</v>
      </c>
      <c r="K15501">
        <v>7</v>
      </c>
      <c r="L15501">
        <f>IF(AND($J15501=0,$K15501=0),0,1)</f>
        <v>1</v>
      </c>
    </row>
    <row r="15502" spans="1:13" x14ac:dyDescent="0.2">
      <c r="A15502" t="s">
        <v>349</v>
      </c>
      <c r="B15502" t="s">
        <v>17</v>
      </c>
      <c r="C15502" t="s">
        <v>2</v>
      </c>
      <c r="D15502">
        <v>3146</v>
      </c>
      <c r="E15502">
        <v>2021</v>
      </c>
      <c r="F15502">
        <v>1</v>
      </c>
      <c r="G15502">
        <v>410</v>
      </c>
      <c r="H15502" s="1">
        <v>3</v>
      </c>
      <c r="I15502">
        <v>39</v>
      </c>
      <c r="J15502">
        <f>IF($H15502=0,1,IF($I15502&lt;=1,2,0))</f>
        <v>0</v>
      </c>
      <c r="K15502">
        <v>7</v>
      </c>
      <c r="L15502">
        <f>IF(AND($J15502=0,$K15502=0),0,1)</f>
        <v>1</v>
      </c>
    </row>
    <row r="15503" spans="1:13" x14ac:dyDescent="0.2">
      <c r="A15503" t="s">
        <v>349</v>
      </c>
      <c r="B15503" t="s">
        <v>17</v>
      </c>
      <c r="C15503" t="s">
        <v>2</v>
      </c>
      <c r="D15503">
        <v>3154</v>
      </c>
      <c r="E15503">
        <v>2021</v>
      </c>
      <c r="F15503">
        <v>1</v>
      </c>
      <c r="G15503">
        <v>411</v>
      </c>
      <c r="H15503" s="1">
        <v>3</v>
      </c>
      <c r="I15503">
        <v>7</v>
      </c>
      <c r="J15503">
        <f>IF($H15503=0,1,IF($I15503&lt;=1,2,0))</f>
        <v>0</v>
      </c>
      <c r="K15503">
        <v>7</v>
      </c>
      <c r="L15503">
        <f>IF(AND($J15503=0,$K15503=0),0,1)</f>
        <v>1</v>
      </c>
    </row>
    <row r="15504" spans="1:13" x14ac:dyDescent="0.2">
      <c r="A15504" t="s">
        <v>349</v>
      </c>
      <c r="B15504" t="s">
        <v>17</v>
      </c>
      <c r="C15504" t="s">
        <v>2</v>
      </c>
      <c r="D15504">
        <v>3159</v>
      </c>
      <c r="E15504">
        <v>2021</v>
      </c>
      <c r="F15504">
        <v>1</v>
      </c>
      <c r="G15504">
        <v>412</v>
      </c>
      <c r="H15504" s="1">
        <v>4</v>
      </c>
      <c r="I15504">
        <v>15</v>
      </c>
      <c r="J15504">
        <f>IF($H15504=0,1,IF($I15504&lt;=1,2,0))</f>
        <v>0</v>
      </c>
      <c r="K15504">
        <v>7</v>
      </c>
      <c r="L15504">
        <f>IF(AND($J15504=0,$K15504=0),0,1)</f>
        <v>1</v>
      </c>
      <c r="M15504" t="s">
        <v>1519</v>
      </c>
    </row>
    <row r="15505" spans="1:13" x14ac:dyDescent="0.2">
      <c r="A15505" t="s">
        <v>349</v>
      </c>
      <c r="B15505" t="s">
        <v>17</v>
      </c>
      <c r="C15505" t="s">
        <v>2</v>
      </c>
      <c r="D15505">
        <v>3159</v>
      </c>
      <c r="E15505">
        <v>2021</v>
      </c>
      <c r="F15505">
        <v>2</v>
      </c>
      <c r="G15505">
        <v>413</v>
      </c>
      <c r="H15505" s="1">
        <v>4</v>
      </c>
      <c r="I15505">
        <v>14</v>
      </c>
      <c r="J15505">
        <f>IF($H15505=0,1,IF($I15505&lt;=1,2,0))</f>
        <v>0</v>
      </c>
      <c r="K15505">
        <v>7</v>
      </c>
      <c r="L15505">
        <f>IF(AND($J15505=0,$K15505=0),0,1)</f>
        <v>1</v>
      </c>
      <c r="M15505" t="s">
        <v>1519</v>
      </c>
    </row>
    <row r="15506" spans="1:13" x14ac:dyDescent="0.2">
      <c r="A15506" t="s">
        <v>349</v>
      </c>
      <c r="B15506" t="s">
        <v>17</v>
      </c>
      <c r="C15506" t="s">
        <v>2</v>
      </c>
      <c r="D15506">
        <v>3159</v>
      </c>
      <c r="E15506">
        <v>2021</v>
      </c>
      <c r="F15506">
        <v>4</v>
      </c>
      <c r="G15506">
        <v>415</v>
      </c>
      <c r="H15506" s="1">
        <v>4</v>
      </c>
      <c r="I15506">
        <v>13</v>
      </c>
      <c r="J15506">
        <f>IF($H15506=0,1,IF($I15506&lt;=1,2,0))</f>
        <v>0</v>
      </c>
      <c r="K15506">
        <v>7</v>
      </c>
      <c r="L15506">
        <f>IF(AND($J15506=0,$K15506=0),0,1)</f>
        <v>1</v>
      </c>
      <c r="M15506" t="s">
        <v>1519</v>
      </c>
    </row>
    <row r="15507" spans="1:13" x14ac:dyDescent="0.2">
      <c r="A15507" t="s">
        <v>349</v>
      </c>
      <c r="B15507" t="s">
        <v>17</v>
      </c>
      <c r="C15507" t="s">
        <v>2</v>
      </c>
      <c r="D15507">
        <v>3159</v>
      </c>
      <c r="E15507">
        <v>2021</v>
      </c>
      <c r="F15507">
        <v>3</v>
      </c>
      <c r="G15507">
        <v>414</v>
      </c>
      <c r="H15507" s="1">
        <v>4</v>
      </c>
      <c r="I15507">
        <v>10</v>
      </c>
      <c r="J15507">
        <f>IF($H15507=0,1,IF($I15507&lt;=1,2,0))</f>
        <v>0</v>
      </c>
      <c r="K15507">
        <v>7</v>
      </c>
      <c r="L15507">
        <f>IF(AND($J15507=0,$K15507=0),0,1)</f>
        <v>1</v>
      </c>
      <c r="M15507" t="s">
        <v>1519</v>
      </c>
    </row>
    <row r="15508" spans="1:13" x14ac:dyDescent="0.2">
      <c r="A15508" t="s">
        <v>349</v>
      </c>
      <c r="B15508" t="s">
        <v>17</v>
      </c>
      <c r="C15508" t="s">
        <v>2</v>
      </c>
      <c r="D15508">
        <v>3163</v>
      </c>
      <c r="E15508">
        <v>2021</v>
      </c>
      <c r="F15508">
        <v>1</v>
      </c>
      <c r="G15508">
        <v>416</v>
      </c>
      <c r="H15508" s="1">
        <v>3</v>
      </c>
      <c r="I15508">
        <v>46</v>
      </c>
      <c r="J15508">
        <f>IF($H15508=0,1,IF($I15508&lt;=1,2,0))</f>
        <v>0</v>
      </c>
      <c r="K15508">
        <v>7</v>
      </c>
      <c r="L15508">
        <f>IF(AND($J15508=0,$K15508=0),0,1)</f>
        <v>1</v>
      </c>
    </row>
    <row r="15509" spans="1:13" x14ac:dyDescent="0.2">
      <c r="A15509" t="s">
        <v>349</v>
      </c>
      <c r="B15509" t="s">
        <v>17</v>
      </c>
      <c r="C15509" t="s">
        <v>2</v>
      </c>
      <c r="D15509">
        <v>3166</v>
      </c>
      <c r="E15509">
        <v>2021</v>
      </c>
      <c r="F15509">
        <v>1</v>
      </c>
      <c r="G15509">
        <v>417</v>
      </c>
      <c r="H15509" s="1">
        <v>3</v>
      </c>
      <c r="I15509">
        <v>27</v>
      </c>
      <c r="J15509">
        <f>IF($H15509=0,1,IF($I15509&lt;=1,2,0))</f>
        <v>0</v>
      </c>
      <c r="K15509">
        <v>7</v>
      </c>
      <c r="L15509">
        <f>IF(AND($J15509=0,$K15509=0),0,1)</f>
        <v>1</v>
      </c>
    </row>
    <row r="15510" spans="1:13" x14ac:dyDescent="0.2">
      <c r="A15510" t="s">
        <v>349</v>
      </c>
      <c r="B15510" t="s">
        <v>17</v>
      </c>
      <c r="C15510" t="s">
        <v>2</v>
      </c>
      <c r="D15510">
        <v>3179</v>
      </c>
      <c r="E15510">
        <v>2021</v>
      </c>
      <c r="F15510">
        <v>1</v>
      </c>
      <c r="G15510">
        <v>418</v>
      </c>
      <c r="H15510" s="1">
        <v>3</v>
      </c>
      <c r="I15510">
        <v>24</v>
      </c>
      <c r="J15510">
        <f>IF($H15510=0,1,IF($I15510&lt;=1,2,0))</f>
        <v>0</v>
      </c>
      <c r="K15510">
        <v>7</v>
      </c>
      <c r="L15510">
        <f>IF(AND($J15510=0,$K15510=0),0,1)</f>
        <v>1</v>
      </c>
    </row>
    <row r="15511" spans="1:13" x14ac:dyDescent="0.2">
      <c r="A15511" t="s">
        <v>349</v>
      </c>
      <c r="B15511" t="s">
        <v>17</v>
      </c>
      <c r="C15511" t="s">
        <v>2</v>
      </c>
      <c r="D15511">
        <v>3181</v>
      </c>
      <c r="E15511">
        <v>2021</v>
      </c>
      <c r="F15511">
        <v>1</v>
      </c>
      <c r="G15511">
        <v>419</v>
      </c>
      <c r="H15511" s="1">
        <v>3</v>
      </c>
      <c r="I15511">
        <v>29</v>
      </c>
      <c r="J15511">
        <f>IF($H15511=0,1,IF($I15511&lt;=1,2,0))</f>
        <v>0</v>
      </c>
      <c r="K15511">
        <v>7</v>
      </c>
      <c r="L15511">
        <f>IF(AND($J15511=0,$K15511=0),0,1)</f>
        <v>1</v>
      </c>
    </row>
    <row r="15512" spans="1:13" x14ac:dyDescent="0.2">
      <c r="A15512" t="s">
        <v>349</v>
      </c>
      <c r="B15512" t="s">
        <v>17</v>
      </c>
      <c r="C15512" t="s">
        <v>2</v>
      </c>
      <c r="D15512">
        <v>3183</v>
      </c>
      <c r="E15512">
        <v>2021</v>
      </c>
      <c r="F15512">
        <v>1</v>
      </c>
      <c r="G15512">
        <v>420</v>
      </c>
      <c r="H15512" s="1">
        <v>3</v>
      </c>
      <c r="I15512">
        <v>29</v>
      </c>
      <c r="J15512">
        <f>IF($H15512=0,1,IF($I15512&lt;=1,2,0))</f>
        <v>0</v>
      </c>
      <c r="K15512">
        <v>7</v>
      </c>
      <c r="L15512">
        <f>IF(AND($J15512=0,$K15512=0),0,1)</f>
        <v>1</v>
      </c>
    </row>
    <row r="15513" spans="1:13" x14ac:dyDescent="0.2">
      <c r="A15513" t="s">
        <v>349</v>
      </c>
      <c r="B15513" t="s">
        <v>17</v>
      </c>
      <c r="C15513" t="s">
        <v>2</v>
      </c>
      <c r="D15513">
        <v>3185</v>
      </c>
      <c r="E15513">
        <v>2021</v>
      </c>
      <c r="F15513">
        <v>1</v>
      </c>
      <c r="G15513">
        <v>421</v>
      </c>
      <c r="H15513" s="1">
        <v>3</v>
      </c>
      <c r="I15513">
        <v>32</v>
      </c>
      <c r="J15513">
        <f>IF($H15513=0,1,IF($I15513&lt;=1,2,0))</f>
        <v>0</v>
      </c>
      <c r="K15513">
        <v>7</v>
      </c>
      <c r="L15513">
        <f>IF(AND($J15513=0,$K15513=0),0,1)</f>
        <v>1</v>
      </c>
    </row>
    <row r="15514" spans="1:13" x14ac:dyDescent="0.2">
      <c r="A15514" t="s">
        <v>349</v>
      </c>
      <c r="B15514" t="s">
        <v>17</v>
      </c>
      <c r="C15514" t="s">
        <v>2</v>
      </c>
      <c r="D15514">
        <v>3193</v>
      </c>
      <c r="E15514">
        <v>2021</v>
      </c>
      <c r="F15514">
        <v>1</v>
      </c>
      <c r="G15514">
        <v>423</v>
      </c>
      <c r="H15514" s="1">
        <v>4</v>
      </c>
      <c r="I15514">
        <v>11</v>
      </c>
      <c r="J15514">
        <f>IF($H15514=0,1,IF($I15514&lt;=1,2,0))</f>
        <v>0</v>
      </c>
      <c r="K15514">
        <v>7</v>
      </c>
      <c r="L15514">
        <f>IF(AND($J15514=0,$K15514=0),0,1)</f>
        <v>1</v>
      </c>
      <c r="M15514" t="s">
        <v>367</v>
      </c>
    </row>
    <row r="15515" spans="1:13" x14ac:dyDescent="0.2">
      <c r="A15515" t="s">
        <v>349</v>
      </c>
      <c r="B15515" t="s">
        <v>17</v>
      </c>
      <c r="C15515" t="s">
        <v>2</v>
      </c>
      <c r="D15515">
        <v>3193</v>
      </c>
      <c r="E15515">
        <v>2021</v>
      </c>
      <c r="F15515">
        <v>2</v>
      </c>
      <c r="G15515">
        <v>424</v>
      </c>
      <c r="H15515" s="1">
        <v>4</v>
      </c>
      <c r="I15515">
        <v>10</v>
      </c>
      <c r="J15515">
        <f>IF($H15515=0,1,IF($I15515&lt;=1,2,0))</f>
        <v>0</v>
      </c>
      <c r="K15515">
        <v>7</v>
      </c>
      <c r="L15515">
        <f>IF(AND($J15515=0,$K15515=0),0,1)</f>
        <v>1</v>
      </c>
      <c r="M15515" t="s">
        <v>367</v>
      </c>
    </row>
    <row r="15516" spans="1:13" x14ac:dyDescent="0.2">
      <c r="A15516" t="s">
        <v>349</v>
      </c>
      <c r="B15516" t="s">
        <v>17</v>
      </c>
      <c r="C15516" t="s">
        <v>2</v>
      </c>
      <c r="D15516">
        <v>3193</v>
      </c>
      <c r="E15516">
        <v>2021</v>
      </c>
      <c r="F15516">
        <v>3</v>
      </c>
      <c r="G15516">
        <v>425</v>
      </c>
      <c r="H15516" s="1">
        <v>4</v>
      </c>
      <c r="I15516">
        <v>10</v>
      </c>
      <c r="J15516">
        <f>IF($H15516=0,1,IF($I15516&lt;=1,2,0))</f>
        <v>0</v>
      </c>
      <c r="K15516">
        <v>7</v>
      </c>
      <c r="L15516">
        <f>IF(AND($J15516=0,$K15516=0),0,1)</f>
        <v>1</v>
      </c>
      <c r="M15516" t="s">
        <v>367</v>
      </c>
    </row>
    <row r="15517" spans="1:13" x14ac:dyDescent="0.2">
      <c r="A15517" t="s">
        <v>349</v>
      </c>
      <c r="B15517" t="s">
        <v>17</v>
      </c>
      <c r="C15517" t="s">
        <v>2</v>
      </c>
      <c r="D15517">
        <v>3193</v>
      </c>
      <c r="E15517">
        <v>2021</v>
      </c>
      <c r="F15517">
        <v>4</v>
      </c>
      <c r="G15517">
        <v>426</v>
      </c>
      <c r="H15517" s="1">
        <v>4</v>
      </c>
      <c r="I15517">
        <v>6</v>
      </c>
      <c r="J15517">
        <f>IF($H15517=0,1,IF($I15517&lt;=1,2,0))</f>
        <v>0</v>
      </c>
      <c r="K15517">
        <v>7</v>
      </c>
      <c r="L15517">
        <f>IF(AND($J15517=0,$K15517=0),0,1)</f>
        <v>1</v>
      </c>
      <c r="M15517" t="s">
        <v>367</v>
      </c>
    </row>
    <row r="15518" spans="1:13" x14ac:dyDescent="0.2">
      <c r="A15518" t="s">
        <v>349</v>
      </c>
      <c r="B15518" t="s">
        <v>17</v>
      </c>
      <c r="C15518" t="s">
        <v>2</v>
      </c>
      <c r="D15518">
        <v>3195</v>
      </c>
      <c r="E15518">
        <v>2021</v>
      </c>
      <c r="F15518">
        <v>1</v>
      </c>
      <c r="G15518">
        <v>427</v>
      </c>
      <c r="H15518" s="1">
        <v>3</v>
      </c>
      <c r="I15518">
        <v>21</v>
      </c>
      <c r="J15518">
        <f>IF($H15518=0,1,IF($I15518&lt;=1,2,0))</f>
        <v>0</v>
      </c>
      <c r="K15518">
        <v>7</v>
      </c>
      <c r="L15518">
        <f>IF(AND($J15518=0,$K15518=0),0,1)</f>
        <v>1</v>
      </c>
    </row>
    <row r="15519" spans="1:13" x14ac:dyDescent="0.2">
      <c r="A15519" t="s">
        <v>349</v>
      </c>
      <c r="B15519" t="s">
        <v>17</v>
      </c>
      <c r="C15519" t="s">
        <v>2</v>
      </c>
      <c r="D15519">
        <v>3204</v>
      </c>
      <c r="E15519">
        <v>2021</v>
      </c>
      <c r="F15519">
        <v>1</v>
      </c>
      <c r="G15519">
        <v>428</v>
      </c>
      <c r="H15519" s="1">
        <v>3</v>
      </c>
      <c r="I15519">
        <v>18</v>
      </c>
      <c r="J15519">
        <f>IF($H15519=0,1,IF($I15519&lt;=1,2,0))</f>
        <v>0</v>
      </c>
      <c r="K15519">
        <v>7</v>
      </c>
      <c r="L15519">
        <f>IF(AND($J15519=0,$K15519=0),0,1)</f>
        <v>1</v>
      </c>
    </row>
    <row r="15520" spans="1:13" x14ac:dyDescent="0.2">
      <c r="A15520" t="s">
        <v>349</v>
      </c>
      <c r="B15520" t="s">
        <v>17</v>
      </c>
      <c r="C15520" t="s">
        <v>2</v>
      </c>
      <c r="D15520">
        <v>3208</v>
      </c>
      <c r="E15520">
        <v>2021</v>
      </c>
      <c r="F15520">
        <v>1</v>
      </c>
      <c r="G15520">
        <v>429</v>
      </c>
      <c r="H15520" s="1">
        <v>3</v>
      </c>
      <c r="I15520">
        <v>11</v>
      </c>
      <c r="J15520">
        <f>IF($H15520=0,1,IF($I15520&lt;=1,2,0))</f>
        <v>0</v>
      </c>
      <c r="K15520">
        <v>7</v>
      </c>
      <c r="L15520">
        <f>IF(AND($J15520=0,$K15520=0),0,1)</f>
        <v>1</v>
      </c>
      <c r="M15520" t="s">
        <v>1517</v>
      </c>
    </row>
    <row r="15521" spans="1:13" x14ac:dyDescent="0.2">
      <c r="A15521" t="s">
        <v>349</v>
      </c>
      <c r="B15521" t="s">
        <v>17</v>
      </c>
      <c r="C15521" t="s">
        <v>2</v>
      </c>
      <c r="D15521">
        <v>3214</v>
      </c>
      <c r="E15521">
        <v>2021</v>
      </c>
      <c r="F15521">
        <v>1</v>
      </c>
      <c r="G15521">
        <v>430</v>
      </c>
      <c r="H15521" s="1">
        <v>4</v>
      </c>
      <c r="I15521">
        <v>22</v>
      </c>
      <c r="J15521">
        <f>IF($H15521=0,1,IF($I15521&lt;=1,2,0))</f>
        <v>0</v>
      </c>
      <c r="K15521">
        <v>7</v>
      </c>
      <c r="L15521">
        <f>IF(AND($J15521=0,$K15521=0),0,1)</f>
        <v>1</v>
      </c>
    </row>
    <row r="15522" spans="1:13" x14ac:dyDescent="0.2">
      <c r="A15522" t="s">
        <v>349</v>
      </c>
      <c r="B15522" t="s">
        <v>17</v>
      </c>
      <c r="C15522" t="s">
        <v>2</v>
      </c>
      <c r="D15522">
        <v>3215</v>
      </c>
      <c r="E15522">
        <v>2021</v>
      </c>
      <c r="F15522">
        <v>1</v>
      </c>
      <c r="G15522">
        <v>431</v>
      </c>
      <c r="H15522" s="1">
        <v>3</v>
      </c>
      <c r="I15522">
        <v>33</v>
      </c>
      <c r="J15522">
        <f>IF($H15522=0,1,IF($I15522&lt;=1,2,0))</f>
        <v>0</v>
      </c>
      <c r="K15522">
        <v>7</v>
      </c>
      <c r="L15522">
        <f>IF(AND($J15522=0,$K15522=0),0,1)</f>
        <v>1</v>
      </c>
    </row>
    <row r="15523" spans="1:13" x14ac:dyDescent="0.2">
      <c r="A15523" t="s">
        <v>349</v>
      </c>
      <c r="B15523" t="s">
        <v>17</v>
      </c>
      <c r="C15523" t="s">
        <v>2</v>
      </c>
      <c r="D15523">
        <v>3218</v>
      </c>
      <c r="E15523">
        <v>2021</v>
      </c>
      <c r="F15523">
        <v>1</v>
      </c>
      <c r="G15523">
        <v>432</v>
      </c>
      <c r="H15523" s="1">
        <v>3</v>
      </c>
      <c r="I15523">
        <v>17</v>
      </c>
      <c r="J15523">
        <f>IF($H15523=0,1,IF($I15523&lt;=1,2,0))</f>
        <v>0</v>
      </c>
      <c r="K15523">
        <v>7</v>
      </c>
      <c r="L15523">
        <f>IF(AND($J15523=0,$K15523=0),0,1)</f>
        <v>1</v>
      </c>
    </row>
    <row r="15524" spans="1:13" x14ac:dyDescent="0.2">
      <c r="A15524" t="s">
        <v>349</v>
      </c>
      <c r="B15524" t="s">
        <v>17</v>
      </c>
      <c r="C15524" t="s">
        <v>2</v>
      </c>
      <c r="D15524">
        <v>3223</v>
      </c>
      <c r="E15524">
        <v>2021</v>
      </c>
      <c r="F15524">
        <v>1</v>
      </c>
      <c r="G15524">
        <v>434</v>
      </c>
      <c r="H15524" s="1">
        <v>4</v>
      </c>
      <c r="I15524">
        <v>11</v>
      </c>
      <c r="J15524">
        <f>IF($H15524=0,1,IF($I15524&lt;=1,2,0))</f>
        <v>0</v>
      </c>
      <c r="K15524">
        <v>7</v>
      </c>
      <c r="L15524">
        <f>IF(AND($J15524=0,$K15524=0),0,1)</f>
        <v>1</v>
      </c>
      <c r="M15524" t="s">
        <v>1520</v>
      </c>
    </row>
    <row r="15525" spans="1:13" x14ac:dyDescent="0.2">
      <c r="A15525" t="s">
        <v>349</v>
      </c>
      <c r="B15525" t="s">
        <v>17</v>
      </c>
      <c r="C15525" t="s">
        <v>2</v>
      </c>
      <c r="D15525">
        <v>3250</v>
      </c>
      <c r="E15525">
        <v>2021</v>
      </c>
      <c r="F15525">
        <v>1</v>
      </c>
      <c r="G15525">
        <v>435</v>
      </c>
      <c r="H15525" s="1">
        <v>3</v>
      </c>
      <c r="I15525">
        <v>27</v>
      </c>
      <c r="J15525">
        <f>IF($H15525=0,1,IF($I15525&lt;=1,2,0))</f>
        <v>0</v>
      </c>
      <c r="K15525">
        <v>7</v>
      </c>
      <c r="L15525">
        <f>IF(AND($J15525=0,$K15525=0),0,1)</f>
        <v>1</v>
      </c>
    </row>
    <row r="15526" spans="1:13" x14ac:dyDescent="0.2">
      <c r="A15526" t="s">
        <v>349</v>
      </c>
      <c r="B15526" t="s">
        <v>17</v>
      </c>
      <c r="C15526" t="s">
        <v>2</v>
      </c>
      <c r="D15526">
        <v>3252</v>
      </c>
      <c r="E15526">
        <v>2021</v>
      </c>
      <c r="F15526">
        <v>1</v>
      </c>
      <c r="G15526">
        <v>436</v>
      </c>
      <c r="H15526" s="1">
        <v>4</v>
      </c>
      <c r="I15526">
        <v>12</v>
      </c>
      <c r="J15526">
        <f>IF($H15526=0,1,IF($I15526&lt;=1,2,0))</f>
        <v>0</v>
      </c>
      <c r="K15526">
        <v>7</v>
      </c>
      <c r="L15526">
        <f>IF(AND($J15526=0,$K15526=0),0,1)</f>
        <v>1</v>
      </c>
      <c r="M15526" t="s">
        <v>370</v>
      </c>
    </row>
    <row r="15527" spans="1:13" x14ac:dyDescent="0.2">
      <c r="A15527" t="s">
        <v>349</v>
      </c>
      <c r="B15527" t="s">
        <v>17</v>
      </c>
      <c r="C15527" t="s">
        <v>9</v>
      </c>
      <c r="D15527">
        <v>3871</v>
      </c>
      <c r="E15527">
        <v>2021</v>
      </c>
      <c r="F15527">
        <v>1</v>
      </c>
      <c r="G15527">
        <v>18244</v>
      </c>
      <c r="H15527" s="1" t="s">
        <v>1823</v>
      </c>
      <c r="I15527">
        <v>2</v>
      </c>
      <c r="J15527">
        <f>IF($H15527=0,1,IF($I15527&lt;=1,2,0))</f>
        <v>0</v>
      </c>
      <c r="K15527">
        <v>4</v>
      </c>
      <c r="L15527">
        <f>IF(AND($J15527=0,$K15527=0),0,1)</f>
        <v>1</v>
      </c>
    </row>
    <row r="15528" spans="1:13" x14ac:dyDescent="0.2">
      <c r="A15528" t="s">
        <v>349</v>
      </c>
      <c r="B15528" t="s">
        <v>17</v>
      </c>
      <c r="C15528" t="s">
        <v>9</v>
      </c>
      <c r="D15528">
        <v>3871</v>
      </c>
      <c r="E15528">
        <v>2021</v>
      </c>
      <c r="F15528">
        <v>2</v>
      </c>
      <c r="G15528">
        <v>20523</v>
      </c>
      <c r="H15528" s="1" t="s">
        <v>1823</v>
      </c>
      <c r="I15528">
        <v>1</v>
      </c>
      <c r="J15528">
        <f>IF($H15528=0,1,IF($I15528&lt;=1,2,0))</f>
        <v>2</v>
      </c>
      <c r="K15528">
        <v>4</v>
      </c>
      <c r="L15528">
        <f>IF(AND($J15528=0,$K15528=0),0,1)</f>
        <v>1</v>
      </c>
    </row>
    <row r="15529" spans="1:13" x14ac:dyDescent="0.2">
      <c r="A15529" t="s">
        <v>349</v>
      </c>
      <c r="B15529" t="s">
        <v>17</v>
      </c>
      <c r="C15529" t="s">
        <v>2</v>
      </c>
      <c r="D15529">
        <v>3996</v>
      </c>
      <c r="E15529">
        <v>2021</v>
      </c>
      <c r="F15529">
        <v>9</v>
      </c>
      <c r="G15529">
        <v>450</v>
      </c>
      <c r="H15529" s="1">
        <v>1</v>
      </c>
      <c r="I15529">
        <v>2</v>
      </c>
      <c r="J15529">
        <f>IF($H15529=0,1,IF($I15529&lt;=1,2,0))</f>
        <v>0</v>
      </c>
      <c r="K15529">
        <v>7</v>
      </c>
      <c r="L15529">
        <f>IF(AND($J15529=0,$K15529=0),0,1)</f>
        <v>1</v>
      </c>
      <c r="M15529" t="s">
        <v>1531</v>
      </c>
    </row>
    <row r="15530" spans="1:13" x14ac:dyDescent="0.2">
      <c r="A15530" t="s">
        <v>349</v>
      </c>
      <c r="B15530" t="s">
        <v>17</v>
      </c>
      <c r="C15530" t="s">
        <v>2</v>
      </c>
      <c r="D15530">
        <v>3996</v>
      </c>
      <c r="E15530">
        <v>2021</v>
      </c>
      <c r="F15530">
        <v>5</v>
      </c>
      <c r="G15530">
        <v>445</v>
      </c>
      <c r="H15530" s="1">
        <v>1</v>
      </c>
      <c r="I15530">
        <v>1</v>
      </c>
      <c r="J15530">
        <f>IF($H15530=0,1,IF($I15530&lt;=1,2,0))</f>
        <v>2</v>
      </c>
      <c r="K15530">
        <v>7</v>
      </c>
      <c r="L15530">
        <f>IF(AND($J15530=0,$K15530=0),0,1)</f>
        <v>1</v>
      </c>
      <c r="M15530" t="s">
        <v>1527</v>
      </c>
    </row>
    <row r="15531" spans="1:13" x14ac:dyDescent="0.2">
      <c r="A15531" t="s">
        <v>349</v>
      </c>
      <c r="B15531" t="s">
        <v>17</v>
      </c>
      <c r="C15531" t="s">
        <v>2</v>
      </c>
      <c r="D15531">
        <v>3996</v>
      </c>
      <c r="E15531">
        <v>2021</v>
      </c>
      <c r="F15531">
        <v>7</v>
      </c>
      <c r="G15531">
        <v>448</v>
      </c>
      <c r="H15531" s="1">
        <v>1</v>
      </c>
      <c r="I15531">
        <v>1</v>
      </c>
      <c r="J15531">
        <f>IF($H15531=0,1,IF($I15531&lt;=1,2,0))</f>
        <v>2</v>
      </c>
      <c r="K15531">
        <v>7</v>
      </c>
      <c r="L15531">
        <f>IF(AND($J15531=0,$K15531=0),0,1)</f>
        <v>1</v>
      </c>
      <c r="M15531" t="s">
        <v>1529</v>
      </c>
    </row>
    <row r="15532" spans="1:13" x14ac:dyDescent="0.2">
      <c r="A15532" t="s">
        <v>349</v>
      </c>
      <c r="B15532" t="s">
        <v>17</v>
      </c>
      <c r="C15532" t="s">
        <v>2</v>
      </c>
      <c r="D15532">
        <v>3996</v>
      </c>
      <c r="E15532">
        <v>2021</v>
      </c>
      <c r="F15532">
        <v>1</v>
      </c>
      <c r="G15532">
        <v>441</v>
      </c>
      <c r="H15532" s="1">
        <v>1</v>
      </c>
      <c r="I15532">
        <v>0</v>
      </c>
      <c r="J15532">
        <f>IF($H15532=0,1,IF($I15532&lt;=1,2,0))</f>
        <v>2</v>
      </c>
      <c r="K15532">
        <v>7</v>
      </c>
      <c r="L15532">
        <f>IF(AND($J15532=0,$K15532=0),0,1)</f>
        <v>1</v>
      </c>
      <c r="M15532" t="s">
        <v>1523</v>
      </c>
    </row>
    <row r="15533" spans="1:13" x14ac:dyDescent="0.2">
      <c r="A15533" t="s">
        <v>349</v>
      </c>
      <c r="B15533" t="s">
        <v>17</v>
      </c>
      <c r="C15533" t="s">
        <v>2</v>
      </c>
      <c r="D15533">
        <v>3996</v>
      </c>
      <c r="E15533">
        <v>2021</v>
      </c>
      <c r="F15533">
        <v>2</v>
      </c>
      <c r="G15533">
        <v>442</v>
      </c>
      <c r="H15533" s="1">
        <v>1</v>
      </c>
      <c r="I15533">
        <v>0</v>
      </c>
      <c r="J15533">
        <f>IF($H15533=0,1,IF($I15533&lt;=1,2,0))</f>
        <v>2</v>
      </c>
      <c r="K15533">
        <v>7</v>
      </c>
      <c r="L15533">
        <f>IF(AND($J15533=0,$K15533=0),0,1)</f>
        <v>1</v>
      </c>
      <c r="M15533" t="s">
        <v>1524</v>
      </c>
    </row>
    <row r="15534" spans="1:13" x14ac:dyDescent="0.2">
      <c r="A15534" t="s">
        <v>349</v>
      </c>
      <c r="B15534" t="s">
        <v>17</v>
      </c>
      <c r="C15534" t="s">
        <v>2</v>
      </c>
      <c r="D15534">
        <v>3996</v>
      </c>
      <c r="E15534">
        <v>2021</v>
      </c>
      <c r="F15534">
        <v>3</v>
      </c>
      <c r="G15534">
        <v>443</v>
      </c>
      <c r="H15534" s="1">
        <v>1</v>
      </c>
      <c r="I15534">
        <v>0</v>
      </c>
      <c r="J15534">
        <f>IF($H15534=0,1,IF($I15534&lt;=1,2,0))</f>
        <v>2</v>
      </c>
      <c r="K15534">
        <v>7</v>
      </c>
      <c r="L15534">
        <f>IF(AND($J15534=0,$K15534=0),0,1)</f>
        <v>1</v>
      </c>
      <c r="M15534" t="s">
        <v>1525</v>
      </c>
    </row>
    <row r="15535" spans="1:13" x14ac:dyDescent="0.2">
      <c r="A15535" t="s">
        <v>349</v>
      </c>
      <c r="B15535" t="s">
        <v>17</v>
      </c>
      <c r="C15535" t="s">
        <v>2</v>
      </c>
      <c r="D15535">
        <v>3996</v>
      </c>
      <c r="E15535">
        <v>2021</v>
      </c>
      <c r="F15535">
        <v>4</v>
      </c>
      <c r="G15535">
        <v>444</v>
      </c>
      <c r="H15535" s="1">
        <v>1</v>
      </c>
      <c r="I15535">
        <v>0</v>
      </c>
      <c r="J15535">
        <f>IF($H15535=0,1,IF($I15535&lt;=1,2,0))</f>
        <v>2</v>
      </c>
      <c r="K15535">
        <v>7</v>
      </c>
      <c r="L15535">
        <f>IF(AND($J15535=0,$K15535=0),0,1)</f>
        <v>1</v>
      </c>
      <c r="M15535" t="s">
        <v>1526</v>
      </c>
    </row>
    <row r="15536" spans="1:13" x14ac:dyDescent="0.2">
      <c r="A15536" t="s">
        <v>349</v>
      </c>
      <c r="B15536" t="s">
        <v>17</v>
      </c>
      <c r="C15536" t="s">
        <v>2</v>
      </c>
      <c r="D15536">
        <v>3996</v>
      </c>
      <c r="E15536">
        <v>2021</v>
      </c>
      <c r="F15536">
        <v>6</v>
      </c>
      <c r="G15536">
        <v>446</v>
      </c>
      <c r="H15536" s="1">
        <v>1</v>
      </c>
      <c r="I15536">
        <v>0</v>
      </c>
      <c r="J15536">
        <f>IF($H15536=0,1,IF($I15536&lt;=1,2,0))</f>
        <v>2</v>
      </c>
      <c r="K15536">
        <v>7</v>
      </c>
      <c r="L15536">
        <f>IF(AND($J15536=0,$K15536=0),0,1)</f>
        <v>1</v>
      </c>
      <c r="M15536" t="s">
        <v>1528</v>
      </c>
    </row>
    <row r="15537" spans="1:13" x14ac:dyDescent="0.2">
      <c r="A15537" t="s">
        <v>349</v>
      </c>
      <c r="B15537" t="s">
        <v>17</v>
      </c>
      <c r="C15537" t="s">
        <v>2</v>
      </c>
      <c r="D15537">
        <v>3996</v>
      </c>
      <c r="E15537">
        <v>2021</v>
      </c>
      <c r="F15537">
        <v>8</v>
      </c>
      <c r="G15537">
        <v>449</v>
      </c>
      <c r="H15537" s="1">
        <v>1</v>
      </c>
      <c r="I15537">
        <v>0</v>
      </c>
      <c r="J15537">
        <f>IF($H15537=0,1,IF($I15537&lt;=1,2,0))</f>
        <v>2</v>
      </c>
      <c r="K15537">
        <v>7</v>
      </c>
      <c r="L15537">
        <f>IF(AND($J15537=0,$K15537=0),0,1)</f>
        <v>1</v>
      </c>
      <c r="M15537" t="s">
        <v>1530</v>
      </c>
    </row>
    <row r="15538" spans="1:13" x14ac:dyDescent="0.2">
      <c r="A15538" t="s">
        <v>349</v>
      </c>
      <c r="B15538" t="s">
        <v>17</v>
      </c>
      <c r="C15538" t="s">
        <v>2</v>
      </c>
      <c r="D15538">
        <v>3996</v>
      </c>
      <c r="E15538">
        <v>2021</v>
      </c>
      <c r="F15538">
        <v>10</v>
      </c>
      <c r="G15538">
        <v>451</v>
      </c>
      <c r="H15538" s="1">
        <v>1</v>
      </c>
      <c r="I15538">
        <v>0</v>
      </c>
      <c r="J15538">
        <f>IF($H15538=0,1,IF($I15538&lt;=1,2,0))</f>
        <v>2</v>
      </c>
      <c r="K15538">
        <v>7</v>
      </c>
      <c r="L15538">
        <f>IF(AND($J15538=0,$K15538=0),0,1)</f>
        <v>1</v>
      </c>
      <c r="M15538" t="s">
        <v>1532</v>
      </c>
    </row>
    <row r="15539" spans="1:13" x14ac:dyDescent="0.2">
      <c r="A15539" t="s">
        <v>349</v>
      </c>
      <c r="B15539" t="s">
        <v>17</v>
      </c>
      <c r="C15539" t="s">
        <v>2</v>
      </c>
      <c r="D15539">
        <v>3996</v>
      </c>
      <c r="E15539">
        <v>2021</v>
      </c>
      <c r="F15539">
        <v>11</v>
      </c>
      <c r="G15539">
        <v>452</v>
      </c>
      <c r="H15539" s="1">
        <v>1</v>
      </c>
      <c r="I15539">
        <v>0</v>
      </c>
      <c r="J15539">
        <f>IF($H15539=0,1,IF($I15539&lt;=1,2,0))</f>
        <v>2</v>
      </c>
      <c r="K15539">
        <v>7</v>
      </c>
      <c r="L15539">
        <f>IF(AND($J15539=0,$K15539=0),0,1)</f>
        <v>1</v>
      </c>
      <c r="M15539" t="s">
        <v>1533</v>
      </c>
    </row>
    <row r="15540" spans="1:13" x14ac:dyDescent="0.2">
      <c r="A15540" t="s">
        <v>349</v>
      </c>
      <c r="B15540" t="s">
        <v>17</v>
      </c>
      <c r="C15540" t="s">
        <v>2</v>
      </c>
      <c r="D15540">
        <v>3997</v>
      </c>
      <c r="E15540">
        <v>2021</v>
      </c>
      <c r="F15540">
        <v>2</v>
      </c>
      <c r="G15540">
        <v>438</v>
      </c>
      <c r="H15540" s="1">
        <v>4</v>
      </c>
      <c r="I15540">
        <v>14</v>
      </c>
      <c r="J15540">
        <f>IF($H15540=0,1,IF($I15540&lt;=1,2,0))</f>
        <v>0</v>
      </c>
      <c r="K15540">
        <v>7</v>
      </c>
      <c r="L15540">
        <f>IF(AND($J15540=0,$K15540=0),0,1)</f>
        <v>1</v>
      </c>
      <c r="M15540" t="s">
        <v>373</v>
      </c>
    </row>
    <row r="15541" spans="1:13" x14ac:dyDescent="0.2">
      <c r="A15541" t="s">
        <v>349</v>
      </c>
      <c r="B15541" t="s">
        <v>17</v>
      </c>
      <c r="C15541" t="s">
        <v>2</v>
      </c>
      <c r="D15541">
        <v>3997</v>
      </c>
      <c r="E15541">
        <v>2021</v>
      </c>
      <c r="F15541">
        <v>1</v>
      </c>
      <c r="G15541">
        <v>437</v>
      </c>
      <c r="H15541" s="1">
        <v>4</v>
      </c>
      <c r="I15541">
        <v>11</v>
      </c>
      <c r="J15541">
        <f>IF($H15541=0,1,IF($I15541&lt;=1,2,0))</f>
        <v>0</v>
      </c>
      <c r="K15541">
        <v>7</v>
      </c>
      <c r="L15541">
        <f>IF(AND($J15541=0,$K15541=0),0,1)</f>
        <v>1</v>
      </c>
      <c r="M15541" t="s">
        <v>373</v>
      </c>
    </row>
    <row r="15542" spans="1:13" x14ac:dyDescent="0.2">
      <c r="A15542" t="s">
        <v>349</v>
      </c>
      <c r="B15542" t="s">
        <v>17</v>
      </c>
      <c r="C15542" t="s">
        <v>2</v>
      </c>
      <c r="D15542">
        <v>3997</v>
      </c>
      <c r="E15542">
        <v>2021</v>
      </c>
      <c r="F15542">
        <v>3</v>
      </c>
      <c r="G15542">
        <v>439</v>
      </c>
      <c r="H15542" s="1">
        <v>4</v>
      </c>
      <c r="I15542">
        <v>10</v>
      </c>
      <c r="J15542">
        <f>IF($H15542=0,1,IF($I15542&lt;=1,2,0))</f>
        <v>0</v>
      </c>
      <c r="K15542">
        <v>7</v>
      </c>
      <c r="L15542">
        <f>IF(AND($J15542=0,$K15542=0),0,1)</f>
        <v>1</v>
      </c>
      <c r="M15542" t="s">
        <v>373</v>
      </c>
    </row>
    <row r="15543" spans="1:13" x14ac:dyDescent="0.2">
      <c r="A15543" t="s">
        <v>349</v>
      </c>
      <c r="B15543" t="s">
        <v>17</v>
      </c>
      <c r="C15543" t="s">
        <v>2</v>
      </c>
      <c r="D15543">
        <v>3997</v>
      </c>
      <c r="E15543">
        <v>2021</v>
      </c>
      <c r="F15543">
        <v>4</v>
      </c>
      <c r="G15543">
        <v>440</v>
      </c>
      <c r="H15543" s="1">
        <v>4</v>
      </c>
      <c r="I15543">
        <v>9</v>
      </c>
      <c r="J15543">
        <f>IF($H15543=0,1,IF($I15543&lt;=1,2,0))</f>
        <v>0</v>
      </c>
      <c r="K15543">
        <v>7</v>
      </c>
      <c r="L15543">
        <f>IF(AND($J15543=0,$K15543=0),0,1)</f>
        <v>1</v>
      </c>
      <c r="M15543" t="s">
        <v>373</v>
      </c>
    </row>
    <row r="15544" spans="1:13" x14ac:dyDescent="0.2">
      <c r="A15544" t="s">
        <v>349</v>
      </c>
      <c r="B15544" t="s">
        <v>17</v>
      </c>
      <c r="C15544" t="s">
        <v>2</v>
      </c>
      <c r="D15544">
        <v>3999</v>
      </c>
      <c r="E15544">
        <v>2021</v>
      </c>
      <c r="F15544">
        <v>1</v>
      </c>
      <c r="G15544">
        <v>453</v>
      </c>
      <c r="H15544" s="1" t="s">
        <v>1823</v>
      </c>
      <c r="I15544">
        <v>1</v>
      </c>
      <c r="J15544">
        <f>IF($H15544=0,1,IF($I15544&lt;=1,2,0))</f>
        <v>2</v>
      </c>
      <c r="K15544">
        <v>7</v>
      </c>
      <c r="L15544">
        <f>IF(AND($J15544=0,$K15544=0),0,1)</f>
        <v>1</v>
      </c>
    </row>
    <row r="15545" spans="1:13" x14ac:dyDescent="0.2">
      <c r="A15545" t="s">
        <v>349</v>
      </c>
      <c r="B15545" t="s">
        <v>17</v>
      </c>
      <c r="C15545" t="s">
        <v>2</v>
      </c>
      <c r="D15545">
        <v>3999</v>
      </c>
      <c r="E15545">
        <v>2021</v>
      </c>
      <c r="F15545">
        <v>2</v>
      </c>
      <c r="G15545">
        <v>454</v>
      </c>
      <c r="H15545" s="1" t="s">
        <v>1823</v>
      </c>
      <c r="I15545">
        <v>1</v>
      </c>
      <c r="J15545">
        <f>IF($H15545=0,1,IF($I15545&lt;=1,2,0))</f>
        <v>2</v>
      </c>
      <c r="K15545">
        <v>7</v>
      </c>
      <c r="L15545">
        <f>IF(AND($J15545=0,$K15545=0),0,1)</f>
        <v>1</v>
      </c>
    </row>
    <row r="15546" spans="1:13" x14ac:dyDescent="0.2">
      <c r="A15546" t="s">
        <v>349</v>
      </c>
      <c r="B15546" t="s">
        <v>17</v>
      </c>
      <c r="C15546" t="s">
        <v>2</v>
      </c>
      <c r="D15546">
        <v>3999</v>
      </c>
      <c r="E15546">
        <v>2021</v>
      </c>
      <c r="F15546">
        <v>3</v>
      </c>
      <c r="G15546">
        <v>787</v>
      </c>
      <c r="H15546" s="1">
        <v>1</v>
      </c>
      <c r="I15546">
        <v>1</v>
      </c>
      <c r="J15546">
        <f>IF($H15546=0,1,IF($I15546&lt;=1,2,0))</f>
        <v>2</v>
      </c>
      <c r="K15546">
        <v>7</v>
      </c>
      <c r="L15546">
        <f>IF(AND($J15546=0,$K15546=0),0,1)</f>
        <v>1</v>
      </c>
    </row>
    <row r="15547" spans="1:13" x14ac:dyDescent="0.2">
      <c r="A15547" t="s">
        <v>349</v>
      </c>
      <c r="B15547" t="s">
        <v>17</v>
      </c>
      <c r="C15547" t="s">
        <v>2</v>
      </c>
      <c r="D15547">
        <v>3999</v>
      </c>
      <c r="E15547">
        <v>2021</v>
      </c>
      <c r="F15547">
        <v>4</v>
      </c>
      <c r="G15547">
        <v>788</v>
      </c>
      <c r="H15547" s="1">
        <v>1</v>
      </c>
      <c r="I15547">
        <v>1</v>
      </c>
      <c r="J15547">
        <f>IF($H15547=0,1,IF($I15547&lt;=1,2,0))</f>
        <v>2</v>
      </c>
      <c r="K15547">
        <v>7</v>
      </c>
      <c r="L15547">
        <f>IF(AND($J15547=0,$K15547=0),0,1)</f>
        <v>1</v>
      </c>
    </row>
    <row r="15548" spans="1:13" x14ac:dyDescent="0.2">
      <c r="A15548" t="s">
        <v>349</v>
      </c>
      <c r="B15548" t="s">
        <v>17</v>
      </c>
      <c r="C15548" t="s">
        <v>2</v>
      </c>
      <c r="D15548">
        <v>3999</v>
      </c>
      <c r="E15548">
        <v>2021</v>
      </c>
      <c r="F15548">
        <v>5</v>
      </c>
      <c r="G15548">
        <v>873</v>
      </c>
      <c r="H15548" s="1" t="s">
        <v>1823</v>
      </c>
      <c r="I15548">
        <v>1</v>
      </c>
      <c r="J15548">
        <f>IF($H15548=0,1,IF($I15548&lt;=1,2,0))</f>
        <v>2</v>
      </c>
      <c r="K15548">
        <v>7</v>
      </c>
      <c r="L15548">
        <f>IF(AND($J15548=0,$K15548=0),0,1)</f>
        <v>1</v>
      </c>
    </row>
    <row r="15549" spans="1:13" x14ac:dyDescent="0.2">
      <c r="A15549" t="s">
        <v>349</v>
      </c>
      <c r="B15549" t="s">
        <v>17</v>
      </c>
      <c r="C15549" t="s">
        <v>9</v>
      </c>
      <c r="D15549">
        <v>4999</v>
      </c>
      <c r="E15549">
        <v>2021</v>
      </c>
      <c r="F15549">
        <v>1</v>
      </c>
      <c r="G15549">
        <v>20456</v>
      </c>
      <c r="H15549" s="1" t="s">
        <v>1823</v>
      </c>
      <c r="I15549">
        <v>2</v>
      </c>
      <c r="J15549">
        <f>IF($H15549=0,1,IF($I15549&lt;=1,2,0))</f>
        <v>0</v>
      </c>
      <c r="K15549">
        <v>9</v>
      </c>
      <c r="L15549">
        <f>IF(AND($J15549=0,$K15549=0),0,1)</f>
        <v>1</v>
      </c>
    </row>
    <row r="15550" spans="1:13" x14ac:dyDescent="0.2">
      <c r="A15550" t="s">
        <v>349</v>
      </c>
      <c r="B15550" t="s">
        <v>17</v>
      </c>
      <c r="C15550" t="s">
        <v>9</v>
      </c>
      <c r="D15550">
        <v>4999</v>
      </c>
      <c r="E15550">
        <v>2021</v>
      </c>
      <c r="F15550">
        <v>2</v>
      </c>
      <c r="G15550">
        <v>20490</v>
      </c>
      <c r="H15550" s="1" t="s">
        <v>1823</v>
      </c>
      <c r="I15550">
        <v>1</v>
      </c>
      <c r="J15550">
        <f>IF($H15550=0,1,IF($I15550&lt;=1,2,0))</f>
        <v>2</v>
      </c>
      <c r="K15550">
        <v>9</v>
      </c>
      <c r="L15550">
        <f>IF(AND($J15550=0,$K15550=0),0,1)</f>
        <v>1</v>
      </c>
    </row>
    <row r="15551" spans="1:13" x14ac:dyDescent="0.2">
      <c r="A15551" t="s">
        <v>349</v>
      </c>
      <c r="B15551" t="s">
        <v>17</v>
      </c>
      <c r="C15551" t="s">
        <v>9</v>
      </c>
      <c r="D15551">
        <v>4999</v>
      </c>
      <c r="E15551">
        <v>2021</v>
      </c>
      <c r="F15551">
        <v>3</v>
      </c>
      <c r="G15551">
        <v>20491</v>
      </c>
      <c r="H15551" s="1" t="s">
        <v>1823</v>
      </c>
      <c r="I15551">
        <v>1</v>
      </c>
      <c r="J15551">
        <f>IF($H15551=0,1,IF($I15551&lt;=1,2,0))</f>
        <v>2</v>
      </c>
      <c r="K15551">
        <v>9</v>
      </c>
      <c r="L15551">
        <f>IF(AND($J15551=0,$K15551=0),0,1)</f>
        <v>1</v>
      </c>
    </row>
    <row r="15552" spans="1:13" x14ac:dyDescent="0.2">
      <c r="A15552" t="s">
        <v>349</v>
      </c>
      <c r="B15552" t="s">
        <v>17</v>
      </c>
      <c r="C15552" t="s">
        <v>11</v>
      </c>
      <c r="D15552">
        <v>5001</v>
      </c>
      <c r="E15552">
        <v>2021</v>
      </c>
      <c r="F15552">
        <v>1</v>
      </c>
      <c r="G15552">
        <v>13938</v>
      </c>
      <c r="H15552" s="1">
        <v>4</v>
      </c>
      <c r="I15552">
        <v>20</v>
      </c>
      <c r="J15552">
        <f>IF($H15552=0,1,IF($I15552&lt;=1,2,0))</f>
        <v>0</v>
      </c>
      <c r="K15552">
        <v>4</v>
      </c>
      <c r="L15552">
        <f>IF(AND($J15552=0,$K15552=0),0,1)</f>
        <v>1</v>
      </c>
    </row>
    <row r="15553" spans="1:13" x14ac:dyDescent="0.2">
      <c r="A15553" t="s">
        <v>349</v>
      </c>
      <c r="B15553" t="s">
        <v>17</v>
      </c>
      <c r="C15553" t="s">
        <v>11</v>
      </c>
      <c r="D15553">
        <v>6910</v>
      </c>
      <c r="E15553">
        <v>2021</v>
      </c>
      <c r="F15553">
        <v>1</v>
      </c>
      <c r="G15553">
        <v>20392</v>
      </c>
      <c r="H15553" s="1">
        <v>3</v>
      </c>
      <c r="I15553">
        <v>1</v>
      </c>
      <c r="J15553">
        <f>IF($H15553=0,1,IF($I15553&lt;=1,2,0))</f>
        <v>2</v>
      </c>
      <c r="K15553">
        <v>0</v>
      </c>
      <c r="L15553">
        <f>IF(AND($J15553=0,$K15553=0),0,1)</f>
        <v>1</v>
      </c>
    </row>
    <row r="15554" spans="1:13" x14ac:dyDescent="0.2">
      <c r="A15554" t="s">
        <v>349</v>
      </c>
      <c r="B15554" t="s">
        <v>17</v>
      </c>
      <c r="C15554" t="s">
        <v>11</v>
      </c>
      <c r="D15554">
        <v>6999</v>
      </c>
      <c r="E15554">
        <v>2021</v>
      </c>
      <c r="F15554">
        <v>1</v>
      </c>
      <c r="G15554">
        <v>15376</v>
      </c>
      <c r="H15554" s="1" t="s">
        <v>1823</v>
      </c>
      <c r="I15554">
        <v>3</v>
      </c>
      <c r="J15554">
        <f>IF($H15554=0,1,IF($I15554&lt;=1,2,0))</f>
        <v>0</v>
      </c>
      <c r="K15554">
        <v>9</v>
      </c>
      <c r="L15554">
        <f>IF(AND($J15554=0,$K15554=0),0,1)</f>
        <v>1</v>
      </c>
    </row>
    <row r="15555" spans="1:13" x14ac:dyDescent="0.2">
      <c r="A15555" t="s">
        <v>349</v>
      </c>
      <c r="B15555" t="s">
        <v>17</v>
      </c>
      <c r="C15555" t="s">
        <v>11</v>
      </c>
      <c r="D15555">
        <v>6999</v>
      </c>
      <c r="E15555">
        <v>2021</v>
      </c>
      <c r="F15555">
        <v>5</v>
      </c>
      <c r="G15555">
        <v>20562</v>
      </c>
      <c r="H15555" s="1" t="s">
        <v>1823</v>
      </c>
      <c r="I15555">
        <v>2</v>
      </c>
      <c r="J15555">
        <f>IF($H15555=0,1,IF($I15555&lt;=1,2,0))</f>
        <v>0</v>
      </c>
      <c r="K15555">
        <v>9</v>
      </c>
      <c r="L15555">
        <f>IF(AND($J15555=0,$K15555=0),0,1)</f>
        <v>1</v>
      </c>
    </row>
    <row r="15556" spans="1:13" x14ac:dyDescent="0.2">
      <c r="A15556" t="s">
        <v>349</v>
      </c>
      <c r="B15556" t="s">
        <v>17</v>
      </c>
      <c r="C15556" t="s">
        <v>11</v>
      </c>
      <c r="D15556">
        <v>6999</v>
      </c>
      <c r="E15556">
        <v>2021</v>
      </c>
      <c r="F15556">
        <v>2</v>
      </c>
      <c r="G15556">
        <v>20464</v>
      </c>
      <c r="H15556" s="1" t="s">
        <v>1823</v>
      </c>
      <c r="I15556">
        <v>1</v>
      </c>
      <c r="J15556">
        <f>IF($H15556=0,1,IF($I15556&lt;=1,2,0))</f>
        <v>2</v>
      </c>
      <c r="K15556">
        <v>9</v>
      </c>
      <c r="L15556">
        <f>IF(AND($J15556=0,$K15556=0),0,1)</f>
        <v>1</v>
      </c>
    </row>
    <row r="15557" spans="1:13" x14ac:dyDescent="0.2">
      <c r="A15557" t="s">
        <v>349</v>
      </c>
      <c r="B15557" t="s">
        <v>17</v>
      </c>
      <c r="C15557" t="s">
        <v>11</v>
      </c>
      <c r="D15557">
        <v>6999</v>
      </c>
      <c r="E15557">
        <v>2021</v>
      </c>
      <c r="F15557">
        <v>3</v>
      </c>
      <c r="G15557">
        <v>20465</v>
      </c>
      <c r="H15557" s="1" t="s">
        <v>1823</v>
      </c>
      <c r="I15557">
        <v>1</v>
      </c>
      <c r="J15557">
        <f>IF($H15557=0,1,IF($I15557&lt;=1,2,0))</f>
        <v>2</v>
      </c>
      <c r="K15557">
        <v>9</v>
      </c>
      <c r="L15557">
        <f>IF(AND($J15557=0,$K15557=0),0,1)</f>
        <v>1</v>
      </c>
    </row>
    <row r="15558" spans="1:13" x14ac:dyDescent="0.2">
      <c r="A15558" t="s">
        <v>349</v>
      </c>
      <c r="B15558" t="s">
        <v>17</v>
      </c>
      <c r="C15558" t="s">
        <v>11</v>
      </c>
      <c r="D15558">
        <v>6999</v>
      </c>
      <c r="E15558">
        <v>2021</v>
      </c>
      <c r="F15558">
        <v>4</v>
      </c>
      <c r="G15558">
        <v>20468</v>
      </c>
      <c r="H15558" s="1" t="s">
        <v>1823</v>
      </c>
      <c r="I15558">
        <v>1</v>
      </c>
      <c r="J15558">
        <f>IF($H15558=0,1,IF($I15558&lt;=1,2,0))</f>
        <v>2</v>
      </c>
      <c r="K15558">
        <v>9</v>
      </c>
      <c r="L15558">
        <f>IF(AND($J15558=0,$K15558=0),0,1)</f>
        <v>1</v>
      </c>
    </row>
    <row r="15559" spans="1:13" x14ac:dyDescent="0.2">
      <c r="A15559" t="s">
        <v>349</v>
      </c>
      <c r="B15559" t="s">
        <v>17</v>
      </c>
      <c r="C15559" t="s">
        <v>11</v>
      </c>
      <c r="D15559">
        <v>6999</v>
      </c>
      <c r="E15559">
        <v>2021</v>
      </c>
      <c r="F15559">
        <v>6</v>
      </c>
      <c r="G15559">
        <v>20563</v>
      </c>
      <c r="H15559" s="1" t="s">
        <v>1823</v>
      </c>
      <c r="I15559">
        <v>1</v>
      </c>
      <c r="J15559">
        <f>IF($H15559=0,1,IF($I15559&lt;=1,2,0))</f>
        <v>2</v>
      </c>
      <c r="K15559">
        <v>9</v>
      </c>
      <c r="L15559">
        <f>IF(AND($J15559=0,$K15559=0),0,1)</f>
        <v>1</v>
      </c>
    </row>
    <row r="15560" spans="1:13" x14ac:dyDescent="0.2">
      <c r="A15560" t="s">
        <v>349</v>
      </c>
      <c r="B15560" t="s">
        <v>17</v>
      </c>
      <c r="C15560" t="s">
        <v>11</v>
      </c>
      <c r="D15560">
        <v>6999</v>
      </c>
      <c r="E15560">
        <v>2021</v>
      </c>
      <c r="F15560">
        <v>7</v>
      </c>
      <c r="G15560">
        <v>20565</v>
      </c>
      <c r="H15560" s="1" t="s">
        <v>1823</v>
      </c>
      <c r="I15560">
        <v>1</v>
      </c>
      <c r="J15560">
        <f>IF($H15560=0,1,IF($I15560&lt;=1,2,0))</f>
        <v>2</v>
      </c>
      <c r="K15560">
        <v>9</v>
      </c>
      <c r="L15560">
        <f>IF(AND($J15560=0,$K15560=0),0,1)</f>
        <v>1</v>
      </c>
    </row>
    <row r="15561" spans="1:13" x14ac:dyDescent="0.2">
      <c r="A15561" t="s">
        <v>349</v>
      </c>
      <c r="B15561" t="s">
        <v>17</v>
      </c>
      <c r="C15561" t="s">
        <v>11</v>
      </c>
      <c r="D15561">
        <v>6999</v>
      </c>
      <c r="E15561">
        <v>2021</v>
      </c>
      <c r="F15561">
        <v>8</v>
      </c>
      <c r="G15561">
        <v>20637</v>
      </c>
      <c r="H15561" s="1" t="s">
        <v>1823</v>
      </c>
      <c r="I15561">
        <v>1</v>
      </c>
      <c r="J15561">
        <f>IF($H15561=0,1,IF($I15561&lt;=1,2,0))</f>
        <v>2</v>
      </c>
      <c r="K15561">
        <v>9</v>
      </c>
      <c r="L15561">
        <f>IF(AND($J15561=0,$K15561=0),0,1)</f>
        <v>1</v>
      </c>
    </row>
    <row r="15562" spans="1:13" x14ac:dyDescent="0.2">
      <c r="A15562" t="s">
        <v>349</v>
      </c>
      <c r="B15562" t="s">
        <v>17</v>
      </c>
      <c r="C15562" t="s">
        <v>11</v>
      </c>
      <c r="D15562">
        <v>6999</v>
      </c>
      <c r="E15562">
        <v>2021</v>
      </c>
      <c r="F15562">
        <v>9</v>
      </c>
      <c r="G15562">
        <v>20643</v>
      </c>
      <c r="H15562" s="1" t="s">
        <v>1823</v>
      </c>
      <c r="I15562">
        <v>1</v>
      </c>
      <c r="J15562">
        <f>IF($H15562=0,1,IF($I15562&lt;=1,2,0))</f>
        <v>2</v>
      </c>
      <c r="K15562">
        <v>9</v>
      </c>
      <c r="L15562">
        <f>IF(AND($J15562=0,$K15562=0),0,1)</f>
        <v>1</v>
      </c>
    </row>
    <row r="15563" spans="1:13" x14ac:dyDescent="0.2">
      <c r="A15563" t="s">
        <v>375</v>
      </c>
      <c r="B15563" t="s">
        <v>71</v>
      </c>
      <c r="C15563" t="s">
        <v>72</v>
      </c>
      <c r="D15563">
        <v>4202</v>
      </c>
      <c r="E15563">
        <v>2021</v>
      </c>
      <c r="F15563">
        <v>1</v>
      </c>
      <c r="G15563">
        <v>17604</v>
      </c>
      <c r="H15563" s="1">
        <v>3</v>
      </c>
      <c r="I15563">
        <v>1</v>
      </c>
      <c r="J15563">
        <f>IF($H15563=0,1,IF($I15563&lt;=1,2,0))</f>
        <v>2</v>
      </c>
      <c r="K15563">
        <v>0</v>
      </c>
      <c r="L15563">
        <f>IF(AND($J15563=0,$K15563=0),0,1)</f>
        <v>1</v>
      </c>
    </row>
    <row r="15564" spans="1:13" x14ac:dyDescent="0.2">
      <c r="A15564" t="s">
        <v>375</v>
      </c>
      <c r="B15564" t="s">
        <v>71</v>
      </c>
      <c r="C15564" t="s">
        <v>72</v>
      </c>
      <c r="D15564">
        <v>8310</v>
      </c>
      <c r="E15564">
        <v>2021</v>
      </c>
      <c r="F15564">
        <v>1</v>
      </c>
      <c r="G15564">
        <v>13535</v>
      </c>
      <c r="H15564" s="1">
        <v>4</v>
      </c>
      <c r="I15564">
        <v>2</v>
      </c>
      <c r="J15564">
        <f>IF($H15564=0,1,IF($I15564&lt;=1,2,0))</f>
        <v>0</v>
      </c>
      <c r="K15564">
        <v>1</v>
      </c>
      <c r="L15564">
        <f>IF(AND($J15564=0,$K15564=0),0,1)</f>
        <v>1</v>
      </c>
    </row>
    <row r="15565" spans="1:13" x14ac:dyDescent="0.2">
      <c r="A15565" t="s">
        <v>1535</v>
      </c>
      <c r="B15565" t="s">
        <v>17</v>
      </c>
      <c r="C15565" t="s">
        <v>2</v>
      </c>
      <c r="D15565">
        <v>3810</v>
      </c>
      <c r="E15565">
        <v>2021</v>
      </c>
      <c r="F15565">
        <v>1</v>
      </c>
      <c r="G15565">
        <v>455</v>
      </c>
      <c r="H15565" s="1">
        <v>4</v>
      </c>
      <c r="I15565">
        <v>12</v>
      </c>
      <c r="J15565">
        <f>IF($H15565=0,1,IF($I15565&lt;=1,2,0))</f>
        <v>0</v>
      </c>
      <c r="K15565">
        <v>7</v>
      </c>
      <c r="L15565">
        <f>IF(AND($J15565=0,$K15565=0),0,1)</f>
        <v>1</v>
      </c>
    </row>
    <row r="15566" spans="1:13" x14ac:dyDescent="0.2">
      <c r="A15566" t="s">
        <v>377</v>
      </c>
      <c r="B15566" t="s">
        <v>17</v>
      </c>
      <c r="C15566" t="s">
        <v>11</v>
      </c>
      <c r="D15566">
        <v>6999</v>
      </c>
      <c r="E15566">
        <v>2021</v>
      </c>
      <c r="F15566">
        <v>1</v>
      </c>
      <c r="G15566">
        <v>15040</v>
      </c>
      <c r="H15566" s="1">
        <v>4</v>
      </c>
      <c r="I15566">
        <v>1</v>
      </c>
      <c r="J15566">
        <f>IF($H15566=0,1,IF($I15566&lt;=1,2,0))</f>
        <v>2</v>
      </c>
      <c r="K15566">
        <v>9</v>
      </c>
      <c r="L15566">
        <f>IF(AND($J15566=0,$K15566=0),0,1)</f>
        <v>1</v>
      </c>
    </row>
    <row r="15567" spans="1:13" x14ac:dyDescent="0.2">
      <c r="A15567" t="s">
        <v>377</v>
      </c>
      <c r="B15567" t="s">
        <v>17</v>
      </c>
      <c r="C15567" t="s">
        <v>11</v>
      </c>
      <c r="D15567">
        <v>6999</v>
      </c>
      <c r="E15567">
        <v>2021</v>
      </c>
      <c r="F15567">
        <v>2</v>
      </c>
      <c r="G15567">
        <v>15041</v>
      </c>
      <c r="H15567" s="1">
        <v>4</v>
      </c>
      <c r="I15567">
        <v>0</v>
      </c>
      <c r="J15567">
        <f>IF($H15567=0,1,IF($I15567&lt;=1,2,0))</f>
        <v>2</v>
      </c>
      <c r="K15567">
        <v>9</v>
      </c>
      <c r="L15567">
        <f>IF(AND($J15567=0,$K15567=0),0,1)</f>
        <v>1</v>
      </c>
    </row>
    <row r="15568" spans="1:13" x14ac:dyDescent="0.2">
      <c r="A15568" t="s">
        <v>380</v>
      </c>
      <c r="B15568" t="s">
        <v>381</v>
      </c>
      <c r="C15568" t="s">
        <v>382</v>
      </c>
      <c r="D15568">
        <v>6225</v>
      </c>
      <c r="E15568">
        <v>2021</v>
      </c>
      <c r="F15568">
        <v>1</v>
      </c>
      <c r="G15568">
        <v>16195</v>
      </c>
      <c r="H15568" s="1">
        <v>3</v>
      </c>
      <c r="I15568">
        <v>66</v>
      </c>
      <c r="J15568">
        <f>IF($H15568=0,1,IF($I15568&lt;=1,2,0))</f>
        <v>0</v>
      </c>
      <c r="K15568">
        <v>6</v>
      </c>
      <c r="L15568">
        <f>IF(AND($J15568=0,$K15568=0),0,1)</f>
        <v>1</v>
      </c>
      <c r="M15568" t="s">
        <v>383</v>
      </c>
    </row>
    <row r="15569" spans="1:13" x14ac:dyDescent="0.2">
      <c r="A15569" t="s">
        <v>380</v>
      </c>
      <c r="B15569" t="s">
        <v>381</v>
      </c>
      <c r="C15569" t="s">
        <v>382</v>
      </c>
      <c r="D15569">
        <v>6234</v>
      </c>
      <c r="E15569">
        <v>2021</v>
      </c>
      <c r="F15569">
        <v>1</v>
      </c>
      <c r="G15569">
        <v>16196</v>
      </c>
      <c r="H15569" s="1">
        <v>3</v>
      </c>
      <c r="I15569">
        <v>28</v>
      </c>
      <c r="J15569">
        <f>IF($H15569=0,1,IF($I15569&lt;=1,2,0))</f>
        <v>0</v>
      </c>
      <c r="K15569">
        <v>6</v>
      </c>
      <c r="L15569">
        <f>IF(AND($J15569=0,$K15569=0),0,1)</f>
        <v>1</v>
      </c>
      <c r="M15569" t="s">
        <v>383</v>
      </c>
    </row>
    <row r="15570" spans="1:13" x14ac:dyDescent="0.2">
      <c r="A15570" t="s">
        <v>380</v>
      </c>
      <c r="B15570" t="s">
        <v>381</v>
      </c>
      <c r="C15570" t="s">
        <v>382</v>
      </c>
      <c r="D15570">
        <v>6310</v>
      </c>
      <c r="E15570">
        <v>2021</v>
      </c>
      <c r="F15570">
        <v>1</v>
      </c>
      <c r="G15570">
        <v>16197</v>
      </c>
      <c r="H15570" s="1">
        <v>3</v>
      </c>
      <c r="I15570">
        <v>41</v>
      </c>
      <c r="J15570">
        <f>IF($H15570=0,1,IF($I15570&lt;=1,2,0))</f>
        <v>0</v>
      </c>
      <c r="K15570">
        <v>6</v>
      </c>
      <c r="L15570">
        <f>IF(AND($J15570=0,$K15570=0),0,1)</f>
        <v>1</v>
      </c>
      <c r="M15570" t="s">
        <v>383</v>
      </c>
    </row>
    <row r="15571" spans="1:13" x14ac:dyDescent="0.2">
      <c r="A15571" t="s">
        <v>380</v>
      </c>
      <c r="B15571" t="s">
        <v>381</v>
      </c>
      <c r="C15571" t="s">
        <v>382</v>
      </c>
      <c r="D15571">
        <v>6310</v>
      </c>
      <c r="E15571">
        <v>2021</v>
      </c>
      <c r="F15571" t="s">
        <v>59</v>
      </c>
      <c r="G15571">
        <v>16198</v>
      </c>
      <c r="H15571" s="1">
        <v>0</v>
      </c>
      <c r="I15571">
        <v>0</v>
      </c>
      <c r="J15571">
        <f>IF($H15571=0,1,IF($I15571&lt;=1,2,0))</f>
        <v>1</v>
      </c>
      <c r="K15571">
        <v>6</v>
      </c>
      <c r="L15571">
        <f>IF(AND($J15571=0,$K15571=0),0,1)</f>
        <v>1</v>
      </c>
      <c r="M15571" t="s">
        <v>384</v>
      </c>
    </row>
    <row r="15572" spans="1:13" x14ac:dyDescent="0.2">
      <c r="A15572" t="s">
        <v>380</v>
      </c>
      <c r="B15572" t="s">
        <v>381</v>
      </c>
      <c r="C15572" t="s">
        <v>382</v>
      </c>
      <c r="D15572">
        <v>6320</v>
      </c>
      <c r="E15572">
        <v>2021</v>
      </c>
      <c r="F15572">
        <v>1</v>
      </c>
      <c r="G15572">
        <v>16199</v>
      </c>
      <c r="H15572" s="1">
        <v>3</v>
      </c>
      <c r="I15572">
        <v>15</v>
      </c>
      <c r="J15572">
        <f>IF($H15572=0,1,IF($I15572&lt;=1,2,0))</f>
        <v>0</v>
      </c>
      <c r="K15572">
        <v>6</v>
      </c>
      <c r="L15572">
        <f>IF(AND($J15572=0,$K15572=0),0,1)</f>
        <v>1</v>
      </c>
      <c r="M15572" t="s">
        <v>1536</v>
      </c>
    </row>
    <row r="15573" spans="1:13" x14ac:dyDescent="0.2">
      <c r="A15573" t="s">
        <v>380</v>
      </c>
      <c r="B15573" t="s">
        <v>381</v>
      </c>
      <c r="C15573" t="s">
        <v>382</v>
      </c>
      <c r="D15573">
        <v>8213</v>
      </c>
      <c r="E15573">
        <v>2021</v>
      </c>
      <c r="F15573">
        <v>1</v>
      </c>
      <c r="G15573">
        <v>16200</v>
      </c>
      <c r="H15573" s="1">
        <v>3</v>
      </c>
      <c r="I15573">
        <v>54</v>
      </c>
      <c r="J15573">
        <f>IF($H15573=0,1,IF($I15573&lt;=1,2,0))</f>
        <v>0</v>
      </c>
      <c r="K15573">
        <v>6</v>
      </c>
      <c r="L15573">
        <f>IF(AND($J15573=0,$K15573=0),0,1)</f>
        <v>1</v>
      </c>
      <c r="M15573" t="s">
        <v>383</v>
      </c>
    </row>
    <row r="15574" spans="1:13" x14ac:dyDescent="0.2">
      <c r="A15574" t="s">
        <v>380</v>
      </c>
      <c r="B15574" t="s">
        <v>381</v>
      </c>
      <c r="C15574" t="s">
        <v>382</v>
      </c>
      <c r="D15574">
        <v>8213</v>
      </c>
      <c r="E15574">
        <v>2021</v>
      </c>
      <c r="F15574" t="s">
        <v>59</v>
      </c>
      <c r="G15574">
        <v>16201</v>
      </c>
      <c r="H15574" s="1">
        <v>0</v>
      </c>
      <c r="I15574">
        <v>0</v>
      </c>
      <c r="J15574">
        <f>IF($H15574=0,1,IF($I15574&lt;=1,2,0))</f>
        <v>1</v>
      </c>
      <c r="K15574">
        <v>6</v>
      </c>
      <c r="L15574">
        <f>IF(AND($J15574=0,$K15574=0),0,1)</f>
        <v>1</v>
      </c>
      <c r="M15574" t="s">
        <v>384</v>
      </c>
    </row>
    <row r="15575" spans="1:13" x14ac:dyDescent="0.2">
      <c r="A15575" t="s">
        <v>380</v>
      </c>
      <c r="B15575" t="s">
        <v>381</v>
      </c>
      <c r="C15575" t="s">
        <v>382</v>
      </c>
      <c r="D15575">
        <v>9230</v>
      </c>
      <c r="E15575">
        <v>2021</v>
      </c>
      <c r="F15575">
        <v>6</v>
      </c>
      <c r="G15575">
        <v>16207</v>
      </c>
      <c r="H15575" s="1">
        <v>0</v>
      </c>
      <c r="I15575">
        <v>66</v>
      </c>
      <c r="J15575">
        <f>IF($H15575=0,1,IF($I15575&lt;=1,2,0))</f>
        <v>1</v>
      </c>
      <c r="K15575">
        <v>5</v>
      </c>
      <c r="L15575">
        <f>IF(AND($J15575=0,$K15575=0),0,1)</f>
        <v>1</v>
      </c>
      <c r="M15575" t="s">
        <v>383</v>
      </c>
    </row>
    <row r="15576" spans="1:13" x14ac:dyDescent="0.2">
      <c r="A15576" t="s">
        <v>380</v>
      </c>
      <c r="B15576" t="s">
        <v>381</v>
      </c>
      <c r="C15576" t="s">
        <v>382</v>
      </c>
      <c r="D15576">
        <v>9230</v>
      </c>
      <c r="E15576">
        <v>2021</v>
      </c>
      <c r="F15576">
        <v>2</v>
      </c>
      <c r="G15576">
        <v>16203</v>
      </c>
      <c r="H15576" s="1">
        <v>3</v>
      </c>
      <c r="I15576">
        <v>14</v>
      </c>
      <c r="J15576">
        <f>IF($H15576=0,1,IF($I15576&lt;=1,2,0))</f>
        <v>0</v>
      </c>
      <c r="K15576">
        <v>5</v>
      </c>
      <c r="L15576">
        <f>IF(AND($J15576=0,$K15576=0),0,1)</f>
        <v>1</v>
      </c>
      <c r="M15576" t="s">
        <v>383</v>
      </c>
    </row>
    <row r="15577" spans="1:13" x14ac:dyDescent="0.2">
      <c r="A15577" t="s">
        <v>380</v>
      </c>
      <c r="B15577" t="s">
        <v>381</v>
      </c>
      <c r="C15577" t="s">
        <v>382</v>
      </c>
      <c r="D15577">
        <v>9230</v>
      </c>
      <c r="E15577">
        <v>2021</v>
      </c>
      <c r="F15577">
        <v>3</v>
      </c>
      <c r="G15577">
        <v>16204</v>
      </c>
      <c r="H15577" s="1">
        <v>3</v>
      </c>
      <c r="I15577">
        <v>14</v>
      </c>
      <c r="J15577">
        <f>IF($H15577=0,1,IF($I15577&lt;=1,2,0))</f>
        <v>0</v>
      </c>
      <c r="K15577">
        <v>5</v>
      </c>
      <c r="L15577">
        <f>IF(AND($J15577=0,$K15577=0),0,1)</f>
        <v>1</v>
      </c>
      <c r="M15577" t="s">
        <v>383</v>
      </c>
    </row>
    <row r="15578" spans="1:13" x14ac:dyDescent="0.2">
      <c r="A15578" t="s">
        <v>380</v>
      </c>
      <c r="B15578" t="s">
        <v>381</v>
      </c>
      <c r="C15578" t="s">
        <v>382</v>
      </c>
      <c r="D15578">
        <v>9230</v>
      </c>
      <c r="E15578">
        <v>2021</v>
      </c>
      <c r="F15578">
        <v>1</v>
      </c>
      <c r="G15578">
        <v>16202</v>
      </c>
      <c r="H15578" s="1">
        <v>3</v>
      </c>
      <c r="I15578">
        <v>13</v>
      </c>
      <c r="J15578">
        <f>IF($H15578=0,1,IF($I15578&lt;=1,2,0))</f>
        <v>0</v>
      </c>
      <c r="K15578">
        <v>5</v>
      </c>
      <c r="L15578">
        <f>IF(AND($J15578=0,$K15578=0),0,1)</f>
        <v>1</v>
      </c>
      <c r="M15578" t="s">
        <v>383</v>
      </c>
    </row>
    <row r="15579" spans="1:13" x14ac:dyDescent="0.2">
      <c r="A15579" t="s">
        <v>380</v>
      </c>
      <c r="B15579" t="s">
        <v>381</v>
      </c>
      <c r="C15579" t="s">
        <v>382</v>
      </c>
      <c r="D15579">
        <v>9230</v>
      </c>
      <c r="E15579">
        <v>2021</v>
      </c>
      <c r="F15579">
        <v>4</v>
      </c>
      <c r="G15579">
        <v>16206</v>
      </c>
      <c r="H15579" s="1">
        <v>3</v>
      </c>
      <c r="I15579">
        <v>13</v>
      </c>
      <c r="J15579">
        <f>IF($H15579=0,1,IF($I15579&lt;=1,2,0))</f>
        <v>0</v>
      </c>
      <c r="K15579">
        <v>5</v>
      </c>
      <c r="L15579">
        <f>IF(AND($J15579=0,$K15579=0),0,1)</f>
        <v>1</v>
      </c>
      <c r="M15579" t="s">
        <v>383</v>
      </c>
    </row>
    <row r="15580" spans="1:13" x14ac:dyDescent="0.2">
      <c r="A15580" t="s">
        <v>380</v>
      </c>
      <c r="B15580" t="s">
        <v>381</v>
      </c>
      <c r="C15580" t="s">
        <v>382</v>
      </c>
      <c r="D15580">
        <v>9230</v>
      </c>
      <c r="E15580">
        <v>2021</v>
      </c>
      <c r="F15580">
        <v>5</v>
      </c>
      <c r="G15580">
        <v>16205</v>
      </c>
      <c r="H15580" s="1">
        <v>3</v>
      </c>
      <c r="I15580">
        <v>12</v>
      </c>
      <c r="J15580">
        <f>IF($H15580=0,1,IF($I15580&lt;=1,2,0))</f>
        <v>0</v>
      </c>
      <c r="K15580">
        <v>5</v>
      </c>
      <c r="L15580">
        <f>IF(AND($J15580=0,$K15580=0),0,1)</f>
        <v>1</v>
      </c>
      <c r="M15580" t="s">
        <v>383</v>
      </c>
    </row>
    <row r="15581" spans="1:13" x14ac:dyDescent="0.2">
      <c r="A15581" t="s">
        <v>385</v>
      </c>
      <c r="B15581" t="s">
        <v>386</v>
      </c>
      <c r="C15581" t="s">
        <v>9</v>
      </c>
      <c r="D15581">
        <v>1001</v>
      </c>
      <c r="E15581">
        <v>2021</v>
      </c>
      <c r="F15581">
        <v>3</v>
      </c>
      <c r="G15581">
        <v>11790</v>
      </c>
      <c r="H15581" s="1">
        <v>0</v>
      </c>
      <c r="I15581">
        <v>23</v>
      </c>
      <c r="J15581">
        <f>IF($H15581=0,1,IF($I15581&lt;=1,2,0))</f>
        <v>1</v>
      </c>
      <c r="K15581">
        <v>0</v>
      </c>
      <c r="L15581">
        <f>IF(AND($J15581=0,$K15581=0),0,1)</f>
        <v>1</v>
      </c>
      <c r="M15581" t="s">
        <v>389</v>
      </c>
    </row>
    <row r="15582" spans="1:13" x14ac:dyDescent="0.2">
      <c r="A15582" t="s">
        <v>385</v>
      </c>
      <c r="B15582" t="s">
        <v>386</v>
      </c>
      <c r="C15582" t="s">
        <v>9</v>
      </c>
      <c r="D15582">
        <v>1001</v>
      </c>
      <c r="E15582">
        <v>2021</v>
      </c>
      <c r="F15582">
        <v>2</v>
      </c>
      <c r="G15582">
        <v>11788</v>
      </c>
      <c r="H15582" s="1">
        <v>0</v>
      </c>
      <c r="I15582">
        <v>20</v>
      </c>
      <c r="J15582">
        <f>IF($H15582=0,1,IF($I15582&lt;=1,2,0))</f>
        <v>1</v>
      </c>
      <c r="K15582">
        <v>0</v>
      </c>
      <c r="L15582">
        <f>IF(AND($J15582=0,$K15582=0),0,1)</f>
        <v>1</v>
      </c>
      <c r="M15582" t="s">
        <v>389</v>
      </c>
    </row>
    <row r="15583" spans="1:13" x14ac:dyDescent="0.2">
      <c r="A15583" t="s">
        <v>385</v>
      </c>
      <c r="B15583" t="s">
        <v>386</v>
      </c>
      <c r="C15583" t="s">
        <v>9</v>
      </c>
      <c r="D15583">
        <v>1001</v>
      </c>
      <c r="E15583">
        <v>2021</v>
      </c>
      <c r="F15583">
        <v>5</v>
      </c>
      <c r="G15583">
        <v>20275</v>
      </c>
      <c r="H15583" s="1">
        <v>0</v>
      </c>
      <c r="I15583">
        <v>20</v>
      </c>
      <c r="J15583">
        <f>IF($H15583=0,1,IF($I15583&lt;=1,2,0))</f>
        <v>1</v>
      </c>
      <c r="K15583">
        <v>0</v>
      </c>
      <c r="L15583">
        <f>IF(AND($J15583=0,$K15583=0),0,1)</f>
        <v>1</v>
      </c>
      <c r="M15583" t="s">
        <v>1537</v>
      </c>
    </row>
    <row r="15584" spans="1:13" x14ac:dyDescent="0.2">
      <c r="A15584" t="s">
        <v>385</v>
      </c>
      <c r="B15584" t="s">
        <v>386</v>
      </c>
      <c r="C15584" t="s">
        <v>9</v>
      </c>
      <c r="D15584">
        <v>1001</v>
      </c>
      <c r="E15584">
        <v>2021</v>
      </c>
      <c r="F15584">
        <v>1</v>
      </c>
      <c r="G15584">
        <v>11787</v>
      </c>
      <c r="H15584" s="1">
        <v>0</v>
      </c>
      <c r="I15584">
        <v>19</v>
      </c>
      <c r="J15584">
        <f>IF($H15584=0,1,IF($I15584&lt;=1,2,0))</f>
        <v>1</v>
      </c>
      <c r="K15584">
        <v>0</v>
      </c>
      <c r="L15584">
        <f>IF(AND($J15584=0,$K15584=0),0,1)</f>
        <v>1</v>
      </c>
      <c r="M15584" t="s">
        <v>388</v>
      </c>
    </row>
    <row r="15585" spans="1:13" x14ac:dyDescent="0.2">
      <c r="A15585" t="s">
        <v>385</v>
      </c>
      <c r="B15585" t="s">
        <v>386</v>
      </c>
      <c r="C15585" t="s">
        <v>9</v>
      </c>
      <c r="D15585">
        <v>1001</v>
      </c>
      <c r="E15585">
        <v>2021</v>
      </c>
      <c r="F15585">
        <v>4</v>
      </c>
      <c r="G15585">
        <v>11791</v>
      </c>
      <c r="H15585" s="1">
        <v>0</v>
      </c>
      <c r="I15585">
        <v>17</v>
      </c>
      <c r="J15585">
        <f>IF($H15585=0,1,IF($I15585&lt;=1,2,0))</f>
        <v>1</v>
      </c>
      <c r="K15585">
        <v>0</v>
      </c>
      <c r="L15585">
        <f>IF(AND($J15585=0,$K15585=0),0,1)</f>
        <v>1</v>
      </c>
      <c r="M15585" t="s">
        <v>2065</v>
      </c>
    </row>
    <row r="15586" spans="1:13" x14ac:dyDescent="0.2">
      <c r="A15586" t="s">
        <v>385</v>
      </c>
      <c r="B15586" t="s">
        <v>386</v>
      </c>
      <c r="C15586" t="s">
        <v>9</v>
      </c>
      <c r="D15586">
        <v>2020</v>
      </c>
      <c r="E15586">
        <v>2021</v>
      </c>
      <c r="F15586" t="s">
        <v>1349</v>
      </c>
      <c r="G15586">
        <v>18961</v>
      </c>
      <c r="H15586" s="1">
        <v>0</v>
      </c>
      <c r="I15586">
        <v>28</v>
      </c>
      <c r="J15586">
        <f>IF($H15586=0,1,IF($I15586&lt;=1,2,0))</f>
        <v>1</v>
      </c>
      <c r="K15586">
        <v>0</v>
      </c>
      <c r="L15586">
        <f>IF(AND($J15586=0,$K15586=0),0,1)</f>
        <v>1</v>
      </c>
    </row>
    <row r="15587" spans="1:13" x14ac:dyDescent="0.2">
      <c r="A15587" t="s">
        <v>385</v>
      </c>
      <c r="B15587" t="s">
        <v>386</v>
      </c>
      <c r="C15587" t="s">
        <v>9</v>
      </c>
      <c r="D15587">
        <v>2021</v>
      </c>
      <c r="E15587">
        <v>2021</v>
      </c>
      <c r="F15587">
        <v>1</v>
      </c>
      <c r="G15587">
        <v>11800</v>
      </c>
      <c r="H15587" s="1">
        <v>0</v>
      </c>
      <c r="I15587">
        <v>23</v>
      </c>
      <c r="J15587">
        <f>IF($H15587=0,1,IF($I15587&lt;=1,2,0))</f>
        <v>1</v>
      </c>
      <c r="K15587">
        <v>0</v>
      </c>
      <c r="L15587">
        <f>IF(AND($J15587=0,$K15587=0),0,1)</f>
        <v>1</v>
      </c>
      <c r="M15587" t="s">
        <v>389</v>
      </c>
    </row>
    <row r="15588" spans="1:13" x14ac:dyDescent="0.2">
      <c r="A15588" t="s">
        <v>385</v>
      </c>
      <c r="B15588" t="s">
        <v>386</v>
      </c>
      <c r="C15588" t="s">
        <v>9</v>
      </c>
      <c r="D15588">
        <v>2021</v>
      </c>
      <c r="E15588">
        <v>2021</v>
      </c>
      <c r="F15588">
        <v>3</v>
      </c>
      <c r="G15588">
        <v>18294</v>
      </c>
      <c r="H15588" s="1">
        <v>0</v>
      </c>
      <c r="I15588">
        <v>19</v>
      </c>
      <c r="J15588">
        <f>IF($H15588=0,1,IF($I15588&lt;=1,2,0))</f>
        <v>1</v>
      </c>
      <c r="K15588">
        <v>0</v>
      </c>
      <c r="L15588">
        <f>IF(AND($J15588=0,$K15588=0),0,1)</f>
        <v>1</v>
      </c>
    </row>
    <row r="15589" spans="1:13" x14ac:dyDescent="0.2">
      <c r="A15589" t="s">
        <v>385</v>
      </c>
      <c r="B15589" t="s">
        <v>386</v>
      </c>
      <c r="C15589" t="s">
        <v>9</v>
      </c>
      <c r="D15589">
        <v>2021</v>
      </c>
      <c r="E15589">
        <v>2021</v>
      </c>
      <c r="F15589">
        <v>2</v>
      </c>
      <c r="G15589">
        <v>11802</v>
      </c>
      <c r="H15589" s="1">
        <v>0</v>
      </c>
      <c r="I15589">
        <v>9</v>
      </c>
      <c r="J15589">
        <f>IF($H15589=0,1,IF($I15589&lt;=1,2,0))</f>
        <v>1</v>
      </c>
      <c r="K15589">
        <v>0</v>
      </c>
      <c r="L15589">
        <f>IF(AND($J15589=0,$K15589=0),0,1)</f>
        <v>1</v>
      </c>
      <c r="M15589" t="s">
        <v>2066</v>
      </c>
    </row>
    <row r="15590" spans="1:13" x14ac:dyDescent="0.2">
      <c r="A15590" t="s">
        <v>385</v>
      </c>
      <c r="B15590" t="s">
        <v>386</v>
      </c>
      <c r="C15590" t="s">
        <v>9</v>
      </c>
      <c r="D15590">
        <v>2031</v>
      </c>
      <c r="E15590">
        <v>2021</v>
      </c>
      <c r="F15590">
        <v>1</v>
      </c>
      <c r="G15590">
        <v>11810</v>
      </c>
      <c r="H15590" s="1">
        <v>0</v>
      </c>
      <c r="I15590">
        <v>20</v>
      </c>
      <c r="J15590">
        <f>IF($H15590=0,1,IF($I15590&lt;=1,2,0))</f>
        <v>1</v>
      </c>
      <c r="K15590">
        <v>0</v>
      </c>
      <c r="L15590">
        <f>IF(AND($J15590=0,$K15590=0),0,1)</f>
        <v>1</v>
      </c>
      <c r="M15590" t="s">
        <v>396</v>
      </c>
    </row>
    <row r="15591" spans="1:13" x14ac:dyDescent="0.2">
      <c r="A15591" t="s">
        <v>385</v>
      </c>
      <c r="B15591" t="s">
        <v>386</v>
      </c>
      <c r="C15591" t="s">
        <v>9</v>
      </c>
      <c r="D15591">
        <v>2031</v>
      </c>
      <c r="E15591">
        <v>2021</v>
      </c>
      <c r="F15591">
        <v>2</v>
      </c>
      <c r="G15591">
        <v>11811</v>
      </c>
      <c r="H15591" s="1">
        <v>0</v>
      </c>
      <c r="I15591">
        <v>20</v>
      </c>
      <c r="J15591">
        <f>IF($H15591=0,1,IF($I15591&lt;=1,2,0))</f>
        <v>1</v>
      </c>
      <c r="K15591">
        <v>0</v>
      </c>
      <c r="L15591">
        <f>IF(AND($J15591=0,$K15591=0),0,1)</f>
        <v>1</v>
      </c>
      <c r="M15591" t="s">
        <v>397</v>
      </c>
    </row>
    <row r="15592" spans="1:13" x14ac:dyDescent="0.2">
      <c r="A15592" t="s">
        <v>385</v>
      </c>
      <c r="B15592" t="s">
        <v>386</v>
      </c>
      <c r="C15592" t="s">
        <v>9</v>
      </c>
      <c r="D15592">
        <v>2031</v>
      </c>
      <c r="E15592">
        <v>2021</v>
      </c>
      <c r="F15592">
        <v>3</v>
      </c>
      <c r="G15592">
        <v>20401</v>
      </c>
      <c r="H15592" s="1">
        <v>0</v>
      </c>
      <c r="I15592">
        <v>6</v>
      </c>
      <c r="J15592">
        <f>IF($H15592=0,1,IF($I15592&lt;=1,2,0))</f>
        <v>1</v>
      </c>
      <c r="K15592">
        <v>0</v>
      </c>
      <c r="L15592">
        <f>IF(AND($J15592=0,$K15592=0),0,1)</f>
        <v>1</v>
      </c>
      <c r="M15592" t="s">
        <v>397</v>
      </c>
    </row>
    <row r="15593" spans="1:13" x14ac:dyDescent="0.2">
      <c r="A15593" t="s">
        <v>385</v>
      </c>
      <c r="B15593" t="s">
        <v>386</v>
      </c>
      <c r="C15593" t="s">
        <v>9</v>
      </c>
      <c r="D15593">
        <v>2191</v>
      </c>
      <c r="E15593">
        <v>2021</v>
      </c>
      <c r="F15593">
        <v>2</v>
      </c>
      <c r="G15593">
        <v>11819</v>
      </c>
      <c r="H15593" s="1">
        <v>0</v>
      </c>
      <c r="I15593">
        <v>14</v>
      </c>
      <c r="J15593">
        <f>IF($H15593=0,1,IF($I15593&lt;=1,2,0))</f>
        <v>1</v>
      </c>
      <c r="K15593">
        <v>0</v>
      </c>
      <c r="L15593">
        <f>IF(AND($J15593=0,$K15593=0),0,1)</f>
        <v>1</v>
      </c>
      <c r="M15593" t="s">
        <v>1539</v>
      </c>
    </row>
    <row r="15594" spans="1:13" x14ac:dyDescent="0.2">
      <c r="A15594" t="s">
        <v>385</v>
      </c>
      <c r="B15594" t="s">
        <v>386</v>
      </c>
      <c r="C15594" t="s">
        <v>9</v>
      </c>
      <c r="D15594">
        <v>2191</v>
      </c>
      <c r="E15594">
        <v>2021</v>
      </c>
      <c r="F15594">
        <v>1</v>
      </c>
      <c r="G15594">
        <v>11818</v>
      </c>
      <c r="H15594" s="1">
        <v>0</v>
      </c>
      <c r="I15594">
        <v>12</v>
      </c>
      <c r="J15594">
        <f>IF($H15594=0,1,IF($I15594&lt;=1,2,0))</f>
        <v>1</v>
      </c>
      <c r="K15594">
        <v>0</v>
      </c>
      <c r="L15594">
        <f>IF(AND($J15594=0,$K15594=0),0,1)</f>
        <v>1</v>
      </c>
      <c r="M15594" t="s">
        <v>397</v>
      </c>
    </row>
    <row r="15595" spans="1:13" x14ac:dyDescent="0.2">
      <c r="A15595" t="s">
        <v>385</v>
      </c>
      <c r="B15595" t="s">
        <v>386</v>
      </c>
      <c r="C15595" t="s">
        <v>9</v>
      </c>
      <c r="D15595">
        <v>2191</v>
      </c>
      <c r="E15595">
        <v>2021</v>
      </c>
      <c r="F15595">
        <v>3</v>
      </c>
      <c r="G15595">
        <v>18292</v>
      </c>
      <c r="H15595" s="1">
        <v>0</v>
      </c>
      <c r="I15595">
        <v>9</v>
      </c>
      <c r="J15595">
        <f>IF($H15595=0,1,IF($I15595&lt;=1,2,0))</f>
        <v>1</v>
      </c>
      <c r="K15595">
        <v>0</v>
      </c>
      <c r="L15595">
        <f>IF(AND($J15595=0,$K15595=0),0,1)</f>
        <v>1</v>
      </c>
      <c r="M15595" t="s">
        <v>1540</v>
      </c>
    </row>
    <row r="15596" spans="1:13" x14ac:dyDescent="0.2">
      <c r="A15596" t="s">
        <v>385</v>
      </c>
      <c r="B15596" t="s">
        <v>386</v>
      </c>
      <c r="C15596" t="s">
        <v>2</v>
      </c>
      <c r="D15596">
        <v>3099</v>
      </c>
      <c r="E15596">
        <v>2021</v>
      </c>
      <c r="F15596">
        <v>1</v>
      </c>
      <c r="G15596">
        <v>878</v>
      </c>
      <c r="H15596" s="1">
        <v>1</v>
      </c>
      <c r="I15596">
        <v>1</v>
      </c>
      <c r="J15596">
        <f>IF($H15596=0,1,IF($I15596&lt;=1,2,0))</f>
        <v>2</v>
      </c>
      <c r="K15596">
        <v>7</v>
      </c>
      <c r="L15596">
        <f>IF(AND($J15596=0,$K15596=0),0,1)</f>
        <v>1</v>
      </c>
    </row>
    <row r="15597" spans="1:13" x14ac:dyDescent="0.2">
      <c r="A15597" t="s">
        <v>385</v>
      </c>
      <c r="B15597" t="s">
        <v>386</v>
      </c>
      <c r="C15597" t="s">
        <v>2</v>
      </c>
      <c r="D15597">
        <v>3099</v>
      </c>
      <c r="E15597">
        <v>2021</v>
      </c>
      <c r="F15597">
        <v>2</v>
      </c>
      <c r="G15597">
        <v>880</v>
      </c>
      <c r="H15597" s="1">
        <v>1</v>
      </c>
      <c r="I15597">
        <v>1</v>
      </c>
      <c r="J15597">
        <f>IF($H15597=0,1,IF($I15597&lt;=1,2,0))</f>
        <v>2</v>
      </c>
      <c r="K15597">
        <v>7</v>
      </c>
      <c r="L15597">
        <f>IF(AND($J15597=0,$K15597=0),0,1)</f>
        <v>1</v>
      </c>
    </row>
    <row r="15598" spans="1:13" x14ac:dyDescent="0.2">
      <c r="A15598" t="s">
        <v>385</v>
      </c>
      <c r="B15598" t="s">
        <v>386</v>
      </c>
      <c r="C15598" t="s">
        <v>2</v>
      </c>
      <c r="D15598">
        <v>3119</v>
      </c>
      <c r="E15598">
        <v>2021</v>
      </c>
      <c r="F15598">
        <v>1</v>
      </c>
      <c r="G15598">
        <v>543</v>
      </c>
      <c r="H15598" s="1">
        <v>3</v>
      </c>
      <c r="I15598">
        <v>9</v>
      </c>
      <c r="J15598">
        <f>IF($H15598=0,1,IF($I15598&lt;=1,2,0))</f>
        <v>0</v>
      </c>
      <c r="K15598">
        <v>7</v>
      </c>
      <c r="L15598">
        <f>IF(AND($J15598=0,$K15598=0),0,1)</f>
        <v>1</v>
      </c>
    </row>
    <row r="15599" spans="1:13" x14ac:dyDescent="0.2">
      <c r="A15599" t="s">
        <v>385</v>
      </c>
      <c r="B15599" t="s">
        <v>386</v>
      </c>
      <c r="C15599" t="s">
        <v>2</v>
      </c>
      <c r="D15599">
        <v>3120</v>
      </c>
      <c r="E15599">
        <v>2021</v>
      </c>
      <c r="F15599">
        <v>1</v>
      </c>
      <c r="G15599">
        <v>544</v>
      </c>
      <c r="H15599" s="1">
        <v>3</v>
      </c>
      <c r="I15599">
        <v>11</v>
      </c>
      <c r="J15599">
        <f>IF($H15599=0,1,IF($I15599&lt;=1,2,0))</f>
        <v>0</v>
      </c>
      <c r="K15599">
        <v>7</v>
      </c>
      <c r="L15599">
        <f>IF(AND($J15599=0,$K15599=0),0,1)</f>
        <v>1</v>
      </c>
    </row>
    <row r="15600" spans="1:13" x14ac:dyDescent="0.2">
      <c r="A15600" t="s">
        <v>385</v>
      </c>
      <c r="B15600" t="s">
        <v>386</v>
      </c>
      <c r="C15600" t="s">
        <v>2</v>
      </c>
      <c r="D15600">
        <v>3201</v>
      </c>
      <c r="E15600">
        <v>2021</v>
      </c>
      <c r="F15600">
        <v>1</v>
      </c>
      <c r="G15600">
        <v>545</v>
      </c>
      <c r="H15600" s="1">
        <v>3</v>
      </c>
      <c r="I15600">
        <v>109</v>
      </c>
      <c r="J15600">
        <f>IF($H15600=0,1,IF($I15600&lt;=1,2,0))</f>
        <v>0</v>
      </c>
      <c r="K15600">
        <v>7</v>
      </c>
      <c r="L15600">
        <f>IF(AND($J15600=0,$K15600=0),0,1)</f>
        <v>1</v>
      </c>
    </row>
    <row r="15601" spans="1:13" x14ac:dyDescent="0.2">
      <c r="A15601" t="s">
        <v>385</v>
      </c>
      <c r="B15601" t="s">
        <v>386</v>
      </c>
      <c r="C15601" t="s">
        <v>2</v>
      </c>
      <c r="D15601">
        <v>3225</v>
      </c>
      <c r="E15601">
        <v>2021</v>
      </c>
      <c r="F15601">
        <v>1</v>
      </c>
      <c r="G15601">
        <v>546</v>
      </c>
      <c r="H15601" s="1">
        <v>3</v>
      </c>
      <c r="I15601">
        <v>19</v>
      </c>
      <c r="J15601">
        <f>IF($H15601=0,1,IF($I15601&lt;=1,2,0))</f>
        <v>0</v>
      </c>
      <c r="K15601">
        <v>7</v>
      </c>
      <c r="L15601">
        <f>IF(AND($J15601=0,$K15601=0),0,1)</f>
        <v>1</v>
      </c>
    </row>
    <row r="15602" spans="1:13" x14ac:dyDescent="0.2">
      <c r="A15602" t="s">
        <v>385</v>
      </c>
      <c r="B15602" t="s">
        <v>386</v>
      </c>
      <c r="C15602" t="s">
        <v>2</v>
      </c>
      <c r="D15602">
        <v>3260</v>
      </c>
      <c r="E15602">
        <v>2021</v>
      </c>
      <c r="F15602">
        <v>1</v>
      </c>
      <c r="G15602">
        <v>547</v>
      </c>
      <c r="H15602" s="1">
        <v>3</v>
      </c>
      <c r="I15602">
        <v>11</v>
      </c>
      <c r="J15602">
        <f>IF($H15602=0,1,IF($I15602&lt;=1,2,0))</f>
        <v>0</v>
      </c>
      <c r="K15602">
        <v>7</v>
      </c>
      <c r="L15602">
        <f>IF(AND($J15602=0,$K15602=0),0,1)</f>
        <v>1</v>
      </c>
    </row>
    <row r="15603" spans="1:13" x14ac:dyDescent="0.2">
      <c r="A15603" t="s">
        <v>385</v>
      </c>
      <c r="B15603" t="s">
        <v>386</v>
      </c>
      <c r="C15603" t="s">
        <v>2</v>
      </c>
      <c r="D15603">
        <v>3275</v>
      </c>
      <c r="E15603">
        <v>2021</v>
      </c>
      <c r="F15603">
        <v>1</v>
      </c>
      <c r="G15603">
        <v>548</v>
      </c>
      <c r="H15603" s="1">
        <v>3</v>
      </c>
      <c r="I15603">
        <v>12</v>
      </c>
      <c r="J15603">
        <f>IF($H15603=0,1,IF($I15603&lt;=1,2,0))</f>
        <v>0</v>
      </c>
      <c r="K15603">
        <v>7</v>
      </c>
      <c r="L15603">
        <f>IF(AND($J15603=0,$K15603=0),0,1)</f>
        <v>1</v>
      </c>
      <c r="M15603" t="s">
        <v>370</v>
      </c>
    </row>
    <row r="15604" spans="1:13" x14ac:dyDescent="0.2">
      <c r="A15604" t="s">
        <v>385</v>
      </c>
      <c r="B15604" t="s">
        <v>386</v>
      </c>
      <c r="C15604" t="s">
        <v>34</v>
      </c>
      <c r="D15604">
        <v>3800</v>
      </c>
      <c r="E15604">
        <v>2021</v>
      </c>
      <c r="F15604">
        <v>1</v>
      </c>
      <c r="G15604">
        <v>20639</v>
      </c>
      <c r="H15604" s="1" t="s">
        <v>1827</v>
      </c>
      <c r="I15604">
        <v>1</v>
      </c>
      <c r="J15604">
        <f>IF($H15604=0,1,IF($I15604&lt;=1,2,0))</f>
        <v>2</v>
      </c>
      <c r="K15604">
        <v>4</v>
      </c>
      <c r="L15604">
        <f>IF(AND($J15604=0,$K15604=0),0,1)</f>
        <v>1</v>
      </c>
      <c r="M15604" t="s">
        <v>1542</v>
      </c>
    </row>
    <row r="15605" spans="1:13" x14ac:dyDescent="0.2">
      <c r="A15605" t="s">
        <v>385</v>
      </c>
      <c r="B15605" t="s">
        <v>386</v>
      </c>
      <c r="C15605" t="s">
        <v>9</v>
      </c>
      <c r="D15605">
        <v>4001</v>
      </c>
      <c r="E15605">
        <v>2021</v>
      </c>
      <c r="F15605">
        <v>4</v>
      </c>
      <c r="G15605">
        <v>20277</v>
      </c>
      <c r="H15605" s="1">
        <v>0</v>
      </c>
      <c r="I15605">
        <v>21</v>
      </c>
      <c r="J15605">
        <f>IF($H15605=0,1,IF($I15605&lt;=1,2,0))</f>
        <v>1</v>
      </c>
      <c r="K15605">
        <v>0</v>
      </c>
      <c r="L15605">
        <f>IF(AND($J15605=0,$K15605=0),0,1)</f>
        <v>1</v>
      </c>
      <c r="M15605" t="s">
        <v>1543</v>
      </c>
    </row>
    <row r="15606" spans="1:13" x14ac:dyDescent="0.2">
      <c r="A15606" t="s">
        <v>385</v>
      </c>
      <c r="B15606" t="s">
        <v>386</v>
      </c>
      <c r="C15606" t="s">
        <v>9</v>
      </c>
      <c r="D15606">
        <v>4001</v>
      </c>
      <c r="E15606">
        <v>2021</v>
      </c>
      <c r="F15606">
        <v>3</v>
      </c>
      <c r="G15606">
        <v>12113</v>
      </c>
      <c r="H15606" s="1">
        <v>0</v>
      </c>
      <c r="I15606">
        <v>17</v>
      </c>
      <c r="J15606">
        <f>IF($H15606=0,1,IF($I15606&lt;=1,2,0))</f>
        <v>1</v>
      </c>
      <c r="K15606">
        <v>0</v>
      </c>
      <c r="L15606">
        <f>IF(AND($J15606=0,$K15606=0),0,1)</f>
        <v>1</v>
      </c>
      <c r="M15606" t="s">
        <v>397</v>
      </c>
    </row>
    <row r="15607" spans="1:13" x14ac:dyDescent="0.2">
      <c r="A15607" t="s">
        <v>385</v>
      </c>
      <c r="B15607" t="s">
        <v>386</v>
      </c>
      <c r="C15607" t="s">
        <v>9</v>
      </c>
      <c r="D15607">
        <v>4001</v>
      </c>
      <c r="E15607">
        <v>2021</v>
      </c>
      <c r="F15607">
        <v>2</v>
      </c>
      <c r="G15607">
        <v>12111</v>
      </c>
      <c r="H15607" s="1">
        <v>0</v>
      </c>
      <c r="I15607">
        <v>16</v>
      </c>
      <c r="J15607">
        <f>IF($H15607=0,1,IF($I15607&lt;=1,2,0))</f>
        <v>1</v>
      </c>
      <c r="K15607">
        <v>0</v>
      </c>
      <c r="L15607">
        <f>IF(AND($J15607=0,$K15607=0),0,1)</f>
        <v>1</v>
      </c>
      <c r="M15607" t="s">
        <v>397</v>
      </c>
    </row>
    <row r="15608" spans="1:13" x14ac:dyDescent="0.2">
      <c r="A15608" t="s">
        <v>385</v>
      </c>
      <c r="B15608" t="s">
        <v>386</v>
      </c>
      <c r="C15608" t="s">
        <v>9</v>
      </c>
      <c r="D15608">
        <v>4001</v>
      </c>
      <c r="E15608">
        <v>2021</v>
      </c>
      <c r="F15608">
        <v>1</v>
      </c>
      <c r="G15608">
        <v>12110</v>
      </c>
      <c r="H15608" s="1">
        <v>0</v>
      </c>
      <c r="I15608">
        <v>13</v>
      </c>
      <c r="J15608">
        <f>IF($H15608=0,1,IF($I15608&lt;=1,2,0))</f>
        <v>1</v>
      </c>
      <c r="K15608">
        <v>0</v>
      </c>
      <c r="L15608">
        <f>IF(AND($J15608=0,$K15608=0),0,1)</f>
        <v>1</v>
      </c>
      <c r="M15608" t="s">
        <v>397</v>
      </c>
    </row>
    <row r="15609" spans="1:13" x14ac:dyDescent="0.2">
      <c r="A15609" t="s">
        <v>385</v>
      </c>
      <c r="B15609" t="s">
        <v>386</v>
      </c>
      <c r="C15609" t="s">
        <v>9</v>
      </c>
      <c r="D15609">
        <v>4021</v>
      </c>
      <c r="E15609">
        <v>2021</v>
      </c>
      <c r="F15609">
        <v>2</v>
      </c>
      <c r="G15609">
        <v>17598</v>
      </c>
      <c r="H15609" s="1">
        <v>0</v>
      </c>
      <c r="I15609">
        <v>10</v>
      </c>
      <c r="J15609">
        <f>IF($H15609=0,1,IF($I15609&lt;=1,2,0))</f>
        <v>1</v>
      </c>
      <c r="K15609">
        <v>0</v>
      </c>
      <c r="L15609">
        <f>IF(AND($J15609=0,$K15609=0),0,1)</f>
        <v>1</v>
      </c>
      <c r="M15609" t="s">
        <v>1545</v>
      </c>
    </row>
    <row r="15610" spans="1:13" x14ac:dyDescent="0.2">
      <c r="A15610" t="s">
        <v>385</v>
      </c>
      <c r="B15610" t="s">
        <v>386</v>
      </c>
      <c r="C15610" t="s">
        <v>9</v>
      </c>
      <c r="D15610">
        <v>4021</v>
      </c>
      <c r="E15610">
        <v>2021</v>
      </c>
      <c r="F15610">
        <v>1</v>
      </c>
      <c r="G15610">
        <v>17597</v>
      </c>
      <c r="H15610" s="1">
        <v>0</v>
      </c>
      <c r="I15610">
        <v>7</v>
      </c>
      <c r="J15610">
        <f>IF($H15610=0,1,IF($I15610&lt;=1,2,0))</f>
        <v>1</v>
      </c>
      <c r="K15610">
        <v>0</v>
      </c>
      <c r="L15610">
        <f>IF(AND($J15610=0,$K15610=0),0,1)</f>
        <v>1</v>
      </c>
      <c r="M15610" t="s">
        <v>1545</v>
      </c>
    </row>
    <row r="15611" spans="1:13" x14ac:dyDescent="0.2">
      <c r="A15611" t="s">
        <v>385</v>
      </c>
      <c r="B15611" t="s">
        <v>386</v>
      </c>
      <c r="C15611" t="s">
        <v>407</v>
      </c>
      <c r="D15611">
        <v>5100</v>
      </c>
      <c r="E15611">
        <v>2021</v>
      </c>
      <c r="F15611">
        <v>1</v>
      </c>
      <c r="G15611">
        <v>13943</v>
      </c>
      <c r="H15611" s="1">
        <v>3</v>
      </c>
      <c r="I15611">
        <v>70</v>
      </c>
      <c r="J15611">
        <f>IF($H15611=0,1,IF($I15611&lt;=1,2,0))</f>
        <v>0</v>
      </c>
      <c r="K15611">
        <v>4</v>
      </c>
      <c r="L15611">
        <f>IF(AND($J15611=0,$K15611=0),0,1)</f>
        <v>1</v>
      </c>
      <c r="M15611" t="s">
        <v>1037</v>
      </c>
    </row>
    <row r="15612" spans="1:13" x14ac:dyDescent="0.2">
      <c r="A15612" t="s">
        <v>385</v>
      </c>
      <c r="B15612" t="s">
        <v>386</v>
      </c>
      <c r="C15612" t="s">
        <v>407</v>
      </c>
      <c r="D15612">
        <v>5200</v>
      </c>
      <c r="E15612">
        <v>2021</v>
      </c>
      <c r="F15612">
        <v>1</v>
      </c>
      <c r="G15612">
        <v>13959</v>
      </c>
      <c r="H15612" s="1">
        <v>3</v>
      </c>
      <c r="I15612">
        <v>70</v>
      </c>
      <c r="J15612">
        <f>IF($H15612=0,1,IF($I15612&lt;=1,2,0))</f>
        <v>0</v>
      </c>
      <c r="K15612">
        <v>4</v>
      </c>
      <c r="L15612">
        <f>IF(AND($J15612=0,$K15612=0),0,1)</f>
        <v>1</v>
      </c>
      <c r="M15612" t="s">
        <v>1038</v>
      </c>
    </row>
    <row r="15613" spans="1:13" x14ac:dyDescent="0.2">
      <c r="A15613" t="s">
        <v>385</v>
      </c>
      <c r="B15613" t="s">
        <v>386</v>
      </c>
      <c r="C15613" t="s">
        <v>407</v>
      </c>
      <c r="D15613">
        <v>5201</v>
      </c>
      <c r="E15613">
        <v>2021</v>
      </c>
      <c r="F15613">
        <v>1</v>
      </c>
      <c r="G15613">
        <v>17908</v>
      </c>
      <c r="H15613" s="1">
        <v>0</v>
      </c>
      <c r="I15613">
        <v>70</v>
      </c>
      <c r="J15613">
        <f>IF($H15613=0,1,IF($I15613&lt;=1,2,0))</f>
        <v>1</v>
      </c>
      <c r="K15613">
        <v>0</v>
      </c>
      <c r="L15613">
        <f>IF(AND($J15613=0,$K15613=0),0,1)</f>
        <v>1</v>
      </c>
      <c r="M15613" t="s">
        <v>1548</v>
      </c>
    </row>
    <row r="15614" spans="1:13" x14ac:dyDescent="0.2">
      <c r="A15614" t="s">
        <v>385</v>
      </c>
      <c r="B15614" t="s">
        <v>386</v>
      </c>
      <c r="C15614" t="s">
        <v>407</v>
      </c>
      <c r="D15614">
        <v>5250</v>
      </c>
      <c r="E15614">
        <v>2021</v>
      </c>
      <c r="F15614">
        <v>3</v>
      </c>
      <c r="G15614">
        <v>13974</v>
      </c>
      <c r="H15614" s="1">
        <v>1.5</v>
      </c>
      <c r="I15614">
        <v>10</v>
      </c>
      <c r="J15614">
        <f>IF($H15614=0,1,IF($I15614&lt;=1,2,0))</f>
        <v>0</v>
      </c>
      <c r="K15614">
        <v>4</v>
      </c>
      <c r="L15614">
        <f>IF(AND($J15614=0,$K15614=0),0,1)</f>
        <v>1</v>
      </c>
      <c r="M15614" t="s">
        <v>1549</v>
      </c>
    </row>
    <row r="15615" spans="1:13" x14ac:dyDescent="0.2">
      <c r="A15615" t="s">
        <v>385</v>
      </c>
      <c r="B15615" t="s">
        <v>386</v>
      </c>
      <c r="C15615" t="s">
        <v>407</v>
      </c>
      <c r="D15615">
        <v>5250</v>
      </c>
      <c r="E15615">
        <v>2021</v>
      </c>
      <c r="F15615">
        <v>4</v>
      </c>
      <c r="G15615">
        <v>13975</v>
      </c>
      <c r="H15615" s="1">
        <v>1.5</v>
      </c>
      <c r="I15615">
        <v>10</v>
      </c>
      <c r="J15615">
        <f>IF($H15615=0,1,IF($I15615&lt;=1,2,0))</f>
        <v>0</v>
      </c>
      <c r="K15615">
        <v>4</v>
      </c>
      <c r="L15615">
        <f>IF(AND($J15615=0,$K15615=0),0,1)</f>
        <v>1</v>
      </c>
      <c r="M15615" t="s">
        <v>1550</v>
      </c>
    </row>
    <row r="15616" spans="1:13" x14ac:dyDescent="0.2">
      <c r="A15616" t="s">
        <v>385</v>
      </c>
      <c r="B15616" t="s">
        <v>386</v>
      </c>
      <c r="C15616" t="s">
        <v>407</v>
      </c>
      <c r="D15616">
        <v>5250</v>
      </c>
      <c r="E15616">
        <v>2021</v>
      </c>
      <c r="F15616">
        <v>1</v>
      </c>
      <c r="G15616">
        <v>13972</v>
      </c>
      <c r="H15616" s="1">
        <v>1.5</v>
      </c>
      <c r="I15616">
        <v>8</v>
      </c>
      <c r="J15616">
        <f>IF($H15616=0,1,IF($I15616&lt;=1,2,0))</f>
        <v>0</v>
      </c>
      <c r="K15616">
        <v>4</v>
      </c>
      <c r="L15616">
        <f>IF(AND($J15616=0,$K15616=0),0,1)</f>
        <v>1</v>
      </c>
      <c r="M15616" t="s">
        <v>408</v>
      </c>
    </row>
    <row r="15617" spans="1:13" x14ac:dyDescent="0.2">
      <c r="A15617" t="s">
        <v>385</v>
      </c>
      <c r="B15617" t="s">
        <v>386</v>
      </c>
      <c r="C15617" t="s">
        <v>407</v>
      </c>
      <c r="D15617">
        <v>5400</v>
      </c>
      <c r="E15617">
        <v>2021</v>
      </c>
      <c r="F15617">
        <v>1</v>
      </c>
      <c r="G15617">
        <v>13977</v>
      </c>
      <c r="H15617" s="1">
        <v>1.5</v>
      </c>
      <c r="I15617">
        <v>70</v>
      </c>
      <c r="J15617">
        <f>IF($H15617=0,1,IF($I15617&lt;=1,2,0))</f>
        <v>0</v>
      </c>
      <c r="K15617">
        <v>4</v>
      </c>
      <c r="L15617">
        <f>IF(AND($J15617=0,$K15617=0),0,1)</f>
        <v>1</v>
      </c>
      <c r="M15617" t="s">
        <v>1040</v>
      </c>
    </row>
    <row r="15618" spans="1:13" x14ac:dyDescent="0.2">
      <c r="A15618" t="s">
        <v>385</v>
      </c>
      <c r="B15618" t="s">
        <v>386</v>
      </c>
      <c r="C15618" t="s">
        <v>407</v>
      </c>
      <c r="D15618">
        <v>5401</v>
      </c>
      <c r="E15618">
        <v>2021</v>
      </c>
      <c r="F15618">
        <v>1</v>
      </c>
      <c r="G15618">
        <v>18892</v>
      </c>
      <c r="H15618" s="1">
        <v>0</v>
      </c>
      <c r="I15618">
        <v>12</v>
      </c>
      <c r="J15618">
        <f>IF($H15618=0,1,IF($I15618&lt;=1,2,0))</f>
        <v>1</v>
      </c>
      <c r="K15618">
        <v>0</v>
      </c>
      <c r="L15618">
        <f>IF(AND($J15618=0,$K15618=0),0,1)</f>
        <v>1</v>
      </c>
      <c r="M15618" t="s">
        <v>1551</v>
      </c>
    </row>
    <row r="15619" spans="1:13" x14ac:dyDescent="0.2">
      <c r="A15619" t="s">
        <v>385</v>
      </c>
      <c r="B15619" t="s">
        <v>386</v>
      </c>
      <c r="C15619" t="s">
        <v>407</v>
      </c>
      <c r="D15619">
        <v>5401</v>
      </c>
      <c r="E15619">
        <v>2021</v>
      </c>
      <c r="F15619">
        <v>3</v>
      </c>
      <c r="G15619">
        <v>18894</v>
      </c>
      <c r="H15619" s="1">
        <v>0</v>
      </c>
      <c r="I15619">
        <v>12</v>
      </c>
      <c r="J15619">
        <f>IF($H15619=0,1,IF($I15619&lt;=1,2,0))</f>
        <v>1</v>
      </c>
      <c r="K15619">
        <v>0</v>
      </c>
      <c r="L15619">
        <f>IF(AND($J15619=0,$K15619=0),0,1)</f>
        <v>1</v>
      </c>
      <c r="M15619" t="s">
        <v>1552</v>
      </c>
    </row>
    <row r="15620" spans="1:13" x14ac:dyDescent="0.2">
      <c r="A15620" t="s">
        <v>385</v>
      </c>
      <c r="B15620" t="s">
        <v>386</v>
      </c>
      <c r="C15620" t="s">
        <v>407</v>
      </c>
      <c r="D15620">
        <v>5401</v>
      </c>
      <c r="E15620">
        <v>2021</v>
      </c>
      <c r="F15620">
        <v>2</v>
      </c>
      <c r="G15620">
        <v>18893</v>
      </c>
      <c r="H15620" s="1">
        <v>0</v>
      </c>
      <c r="I15620">
        <v>11</v>
      </c>
      <c r="J15620">
        <f>IF($H15620=0,1,IF($I15620&lt;=1,2,0))</f>
        <v>1</v>
      </c>
      <c r="K15620">
        <v>0</v>
      </c>
      <c r="L15620">
        <f>IF(AND($J15620=0,$K15620=0),0,1)</f>
        <v>1</v>
      </c>
      <c r="M15620" t="s">
        <v>1552</v>
      </c>
    </row>
    <row r="15621" spans="1:13" x14ac:dyDescent="0.2">
      <c r="A15621" t="s">
        <v>385</v>
      </c>
      <c r="B15621" t="s">
        <v>386</v>
      </c>
      <c r="C15621" t="s">
        <v>407</v>
      </c>
      <c r="D15621">
        <v>5420</v>
      </c>
      <c r="E15621">
        <v>2021</v>
      </c>
      <c r="F15621">
        <v>1</v>
      </c>
      <c r="G15621">
        <v>13978</v>
      </c>
      <c r="H15621" s="1">
        <v>0</v>
      </c>
      <c r="I15621">
        <v>70</v>
      </c>
      <c r="J15621">
        <f>IF($H15621=0,1,IF($I15621&lt;=1,2,0))</f>
        <v>1</v>
      </c>
      <c r="K15621">
        <v>0</v>
      </c>
      <c r="L15621">
        <f>IF(AND($J15621=0,$K15621=0),0,1)</f>
        <v>1</v>
      </c>
      <c r="M15621" t="s">
        <v>1037</v>
      </c>
    </row>
    <row r="15622" spans="1:13" x14ac:dyDescent="0.2">
      <c r="A15622" t="s">
        <v>385</v>
      </c>
      <c r="B15622" t="s">
        <v>386</v>
      </c>
      <c r="C15622" t="s">
        <v>407</v>
      </c>
      <c r="D15622">
        <v>5500</v>
      </c>
      <c r="E15622">
        <v>2021</v>
      </c>
      <c r="F15622">
        <v>1</v>
      </c>
      <c r="G15622">
        <v>18888</v>
      </c>
      <c r="H15622" s="1">
        <v>1.5</v>
      </c>
      <c r="I15622">
        <v>70</v>
      </c>
      <c r="J15622">
        <f>IF($H15622=0,1,IF($I15622&lt;=1,2,0))</f>
        <v>0</v>
      </c>
      <c r="K15622">
        <v>4</v>
      </c>
      <c r="L15622">
        <f>IF(AND($J15622=0,$K15622=0),0,1)</f>
        <v>1</v>
      </c>
      <c r="M15622" t="s">
        <v>1555</v>
      </c>
    </row>
    <row r="15623" spans="1:13" x14ac:dyDescent="0.2">
      <c r="A15623" t="s">
        <v>385</v>
      </c>
      <c r="B15623" t="s">
        <v>386</v>
      </c>
      <c r="C15623" t="s">
        <v>407</v>
      </c>
      <c r="D15623">
        <v>5800</v>
      </c>
      <c r="E15623">
        <v>2021</v>
      </c>
      <c r="F15623">
        <v>2</v>
      </c>
      <c r="G15623">
        <v>12792</v>
      </c>
      <c r="H15623" s="1" t="s">
        <v>1827</v>
      </c>
      <c r="I15623">
        <v>1</v>
      </c>
      <c r="J15623">
        <f>IF($H15623=0,1,IF($I15623&lt;=1,2,0))</f>
        <v>2</v>
      </c>
      <c r="K15623">
        <v>4</v>
      </c>
      <c r="L15623">
        <f>IF(AND($J15623=0,$K15623=0),0,1)</f>
        <v>1</v>
      </c>
    </row>
    <row r="15624" spans="1:13" x14ac:dyDescent="0.2">
      <c r="A15624" t="s">
        <v>385</v>
      </c>
      <c r="B15624" t="s">
        <v>386</v>
      </c>
      <c r="C15624" t="s">
        <v>407</v>
      </c>
      <c r="D15624">
        <v>5800</v>
      </c>
      <c r="E15624">
        <v>2021</v>
      </c>
      <c r="F15624">
        <v>3</v>
      </c>
      <c r="G15624">
        <v>12793</v>
      </c>
      <c r="H15624" s="1" t="s">
        <v>1827</v>
      </c>
      <c r="I15624">
        <v>1</v>
      </c>
      <c r="J15624">
        <f>IF($H15624=0,1,IF($I15624&lt;=1,2,0))</f>
        <v>2</v>
      </c>
      <c r="K15624">
        <v>4</v>
      </c>
      <c r="L15624">
        <f>IF(AND($J15624=0,$K15624=0),0,1)</f>
        <v>1</v>
      </c>
    </row>
    <row r="15625" spans="1:13" x14ac:dyDescent="0.2">
      <c r="A15625" t="s">
        <v>385</v>
      </c>
      <c r="B15625" t="s">
        <v>386</v>
      </c>
      <c r="C15625" t="s">
        <v>407</v>
      </c>
      <c r="D15625">
        <v>5800</v>
      </c>
      <c r="E15625">
        <v>2021</v>
      </c>
      <c r="F15625">
        <v>1</v>
      </c>
      <c r="G15625">
        <v>12791</v>
      </c>
      <c r="H15625" s="1" t="s">
        <v>1827</v>
      </c>
      <c r="I15625">
        <v>0</v>
      </c>
      <c r="J15625">
        <f>IF($H15625=0,1,IF($I15625&lt;=1,2,0))</f>
        <v>2</v>
      </c>
      <c r="K15625">
        <v>4</v>
      </c>
      <c r="L15625">
        <f>IF(AND($J15625=0,$K15625=0),0,1)</f>
        <v>1</v>
      </c>
    </row>
    <row r="15626" spans="1:13" x14ac:dyDescent="0.2">
      <c r="A15626" t="s">
        <v>385</v>
      </c>
      <c r="B15626" t="s">
        <v>386</v>
      </c>
      <c r="C15626" t="s">
        <v>407</v>
      </c>
      <c r="D15626">
        <v>5800</v>
      </c>
      <c r="E15626">
        <v>2021</v>
      </c>
      <c r="F15626">
        <v>4</v>
      </c>
      <c r="G15626">
        <v>12795</v>
      </c>
      <c r="H15626" s="1" t="s">
        <v>1827</v>
      </c>
      <c r="I15626">
        <v>0</v>
      </c>
      <c r="J15626">
        <f>IF($H15626=0,1,IF($I15626&lt;=1,2,0))</f>
        <v>2</v>
      </c>
      <c r="K15626">
        <v>4</v>
      </c>
      <c r="L15626">
        <f>IF(AND($J15626=0,$K15626=0),0,1)</f>
        <v>1</v>
      </c>
    </row>
    <row r="15627" spans="1:13" x14ac:dyDescent="0.2">
      <c r="A15627" t="s">
        <v>385</v>
      </c>
      <c r="B15627" t="s">
        <v>386</v>
      </c>
      <c r="C15627" t="s">
        <v>407</v>
      </c>
      <c r="D15627">
        <v>6310</v>
      </c>
      <c r="E15627">
        <v>2021</v>
      </c>
      <c r="F15627">
        <v>1</v>
      </c>
      <c r="G15627">
        <v>11677</v>
      </c>
      <c r="H15627" s="1">
        <v>3</v>
      </c>
      <c r="I15627">
        <v>20</v>
      </c>
      <c r="J15627">
        <f>IF($H15627=0,1,IF($I15627&lt;=1,2,0))</f>
        <v>0</v>
      </c>
      <c r="K15627">
        <v>4</v>
      </c>
      <c r="L15627">
        <f>IF(AND($J15627=0,$K15627=0),0,1)</f>
        <v>1</v>
      </c>
      <c r="M15627" t="s">
        <v>410</v>
      </c>
    </row>
    <row r="15628" spans="1:13" x14ac:dyDescent="0.2">
      <c r="A15628" t="s">
        <v>385</v>
      </c>
      <c r="B15628" t="s">
        <v>386</v>
      </c>
      <c r="C15628" t="s">
        <v>407</v>
      </c>
      <c r="D15628">
        <v>6330</v>
      </c>
      <c r="E15628">
        <v>2021</v>
      </c>
      <c r="F15628">
        <v>1</v>
      </c>
      <c r="G15628">
        <v>11679</v>
      </c>
      <c r="H15628" s="1">
        <v>3</v>
      </c>
      <c r="I15628">
        <v>9</v>
      </c>
      <c r="J15628">
        <f>IF($H15628=0,1,IF($I15628&lt;=1,2,0))</f>
        <v>0</v>
      </c>
      <c r="K15628">
        <v>4</v>
      </c>
      <c r="L15628">
        <f>IF(AND($J15628=0,$K15628=0),0,1)</f>
        <v>1</v>
      </c>
      <c r="M15628" t="s">
        <v>1556</v>
      </c>
    </row>
    <row r="15629" spans="1:13" x14ac:dyDescent="0.2">
      <c r="A15629" t="s">
        <v>385</v>
      </c>
      <c r="B15629" t="s">
        <v>386</v>
      </c>
      <c r="C15629" t="s">
        <v>407</v>
      </c>
      <c r="D15629">
        <v>6340</v>
      </c>
      <c r="E15629">
        <v>2021</v>
      </c>
      <c r="F15629">
        <v>1</v>
      </c>
      <c r="G15629">
        <v>11681</v>
      </c>
      <c r="H15629" s="1">
        <v>3</v>
      </c>
      <c r="I15629">
        <v>11</v>
      </c>
      <c r="J15629">
        <f>IF($H15629=0,1,IF($I15629&lt;=1,2,0))</f>
        <v>0</v>
      </c>
      <c r="K15629">
        <v>4</v>
      </c>
      <c r="L15629">
        <f>IF(AND($J15629=0,$K15629=0),0,1)</f>
        <v>1</v>
      </c>
      <c r="M15629" t="s">
        <v>412</v>
      </c>
    </row>
    <row r="15630" spans="1:13" x14ac:dyDescent="0.2">
      <c r="A15630" t="s">
        <v>385</v>
      </c>
      <c r="B15630" t="s">
        <v>386</v>
      </c>
      <c r="C15630" t="s">
        <v>407</v>
      </c>
      <c r="D15630">
        <v>8800</v>
      </c>
      <c r="E15630">
        <v>2021</v>
      </c>
      <c r="F15630">
        <v>2</v>
      </c>
      <c r="G15630">
        <v>20522</v>
      </c>
      <c r="H15630" s="1" t="s">
        <v>1827</v>
      </c>
      <c r="I15630">
        <v>1</v>
      </c>
      <c r="J15630">
        <f>IF($H15630=0,1,IF($I15630&lt;=1,2,0))</f>
        <v>2</v>
      </c>
      <c r="K15630">
        <v>0</v>
      </c>
      <c r="L15630">
        <f>IF(AND($J15630=0,$K15630=0),0,1)</f>
        <v>1</v>
      </c>
      <c r="M15630" t="s">
        <v>1561</v>
      </c>
    </row>
    <row r="15631" spans="1:13" x14ac:dyDescent="0.2">
      <c r="A15631" t="s">
        <v>385</v>
      </c>
      <c r="B15631" t="s">
        <v>386</v>
      </c>
      <c r="C15631" t="s">
        <v>407</v>
      </c>
      <c r="D15631">
        <v>8800</v>
      </c>
      <c r="E15631">
        <v>2021</v>
      </c>
      <c r="F15631">
        <v>3</v>
      </c>
      <c r="G15631">
        <v>20625</v>
      </c>
      <c r="H15631" s="1" t="s">
        <v>1827</v>
      </c>
      <c r="I15631">
        <v>1</v>
      </c>
      <c r="J15631">
        <f>IF($H15631=0,1,IF($I15631&lt;=1,2,0))</f>
        <v>2</v>
      </c>
      <c r="K15631">
        <v>0</v>
      </c>
      <c r="L15631">
        <f>IF(AND($J15631=0,$K15631=0),0,1)</f>
        <v>1</v>
      </c>
    </row>
    <row r="15632" spans="1:13" x14ac:dyDescent="0.2">
      <c r="A15632" t="s">
        <v>385</v>
      </c>
      <c r="B15632" t="s">
        <v>386</v>
      </c>
      <c r="C15632" t="s">
        <v>407</v>
      </c>
      <c r="D15632">
        <v>8800</v>
      </c>
      <c r="E15632">
        <v>2021</v>
      </c>
      <c r="F15632">
        <v>1</v>
      </c>
      <c r="G15632">
        <v>18258</v>
      </c>
      <c r="H15632" s="1" t="s">
        <v>1827</v>
      </c>
      <c r="I15632">
        <v>0</v>
      </c>
      <c r="J15632">
        <f>IF($H15632=0,1,IF($I15632&lt;=1,2,0))</f>
        <v>2</v>
      </c>
      <c r="K15632">
        <v>0</v>
      </c>
      <c r="L15632">
        <f>IF(AND($J15632=0,$K15632=0),0,1)</f>
        <v>1</v>
      </c>
      <c r="M15632" t="s">
        <v>1560</v>
      </c>
    </row>
    <row r="15633" spans="1:13" x14ac:dyDescent="0.2">
      <c r="A15633" t="s">
        <v>385</v>
      </c>
      <c r="B15633" t="s">
        <v>386</v>
      </c>
      <c r="C15633" t="s">
        <v>407</v>
      </c>
      <c r="D15633">
        <v>8900</v>
      </c>
      <c r="E15633">
        <v>2021</v>
      </c>
      <c r="F15633">
        <v>1</v>
      </c>
      <c r="G15633">
        <v>12205</v>
      </c>
      <c r="H15633" s="1">
        <v>3</v>
      </c>
      <c r="I15633">
        <v>9</v>
      </c>
      <c r="J15633">
        <f>IF($H15633=0,1,IF($I15633&lt;=1,2,0))</f>
        <v>0</v>
      </c>
      <c r="K15633">
        <v>4</v>
      </c>
      <c r="L15633">
        <f>IF(AND($J15633=0,$K15633=0),0,1)</f>
        <v>1</v>
      </c>
    </row>
    <row r="15634" spans="1:13" x14ac:dyDescent="0.2">
      <c r="A15634" t="s">
        <v>385</v>
      </c>
      <c r="B15634" t="s">
        <v>386</v>
      </c>
      <c r="C15634" t="s">
        <v>407</v>
      </c>
      <c r="D15634">
        <v>8900</v>
      </c>
      <c r="E15634">
        <v>2021</v>
      </c>
      <c r="F15634">
        <v>2</v>
      </c>
      <c r="G15634">
        <v>12206</v>
      </c>
      <c r="H15634" s="1">
        <v>3</v>
      </c>
      <c r="I15634">
        <v>6</v>
      </c>
      <c r="J15634">
        <f>IF($H15634=0,1,IF($I15634&lt;=1,2,0))</f>
        <v>0</v>
      </c>
      <c r="K15634">
        <v>4</v>
      </c>
      <c r="L15634">
        <f>IF(AND($J15634=0,$K15634=0),0,1)</f>
        <v>1</v>
      </c>
    </row>
    <row r="15635" spans="1:13" x14ac:dyDescent="0.2">
      <c r="A15635" t="s">
        <v>385</v>
      </c>
      <c r="B15635" t="s">
        <v>386</v>
      </c>
      <c r="C15635" t="s">
        <v>34</v>
      </c>
      <c r="D15635">
        <v>9000</v>
      </c>
      <c r="E15635">
        <v>2021</v>
      </c>
      <c r="F15635" t="s">
        <v>1562</v>
      </c>
      <c r="G15635">
        <v>11715</v>
      </c>
      <c r="H15635" s="1">
        <v>0</v>
      </c>
      <c r="I15635">
        <v>96</v>
      </c>
      <c r="J15635">
        <f>IF($H15635=0,1,IF($I15635&lt;=1,2,0))</f>
        <v>1</v>
      </c>
      <c r="K15635">
        <v>5</v>
      </c>
      <c r="L15635">
        <f>IF(AND($J15635=0,$K15635=0),0,1)</f>
        <v>1</v>
      </c>
    </row>
    <row r="15636" spans="1:13" x14ac:dyDescent="0.2">
      <c r="A15636" t="s">
        <v>385</v>
      </c>
      <c r="B15636" t="s">
        <v>386</v>
      </c>
      <c r="C15636" t="s">
        <v>34</v>
      </c>
      <c r="D15636">
        <v>9001</v>
      </c>
      <c r="E15636">
        <v>2021</v>
      </c>
      <c r="F15636">
        <v>1</v>
      </c>
      <c r="G15636">
        <v>11841</v>
      </c>
      <c r="H15636" s="1">
        <v>0</v>
      </c>
      <c r="I15636">
        <v>14</v>
      </c>
      <c r="J15636">
        <f>IF($H15636=0,1,IF($I15636&lt;=1,2,0))</f>
        <v>1</v>
      </c>
      <c r="K15636">
        <v>5</v>
      </c>
      <c r="L15636">
        <f>IF(AND($J15636=0,$K15636=0),0,1)</f>
        <v>1</v>
      </c>
      <c r="M15636" t="s">
        <v>1044</v>
      </c>
    </row>
    <row r="15637" spans="1:13" x14ac:dyDescent="0.2">
      <c r="A15637" t="s">
        <v>385</v>
      </c>
      <c r="B15637" t="s">
        <v>386</v>
      </c>
      <c r="C15637" t="s">
        <v>407</v>
      </c>
      <c r="D15637">
        <v>9100</v>
      </c>
      <c r="E15637">
        <v>2021</v>
      </c>
      <c r="F15637">
        <v>2</v>
      </c>
      <c r="G15637">
        <v>18248</v>
      </c>
      <c r="H15637" s="1">
        <v>0</v>
      </c>
      <c r="I15637">
        <v>8</v>
      </c>
      <c r="J15637">
        <f>IF($H15637=0,1,IF($I15637&lt;=1,2,0))</f>
        <v>1</v>
      </c>
      <c r="K15637">
        <v>5</v>
      </c>
      <c r="L15637">
        <f>IF(AND($J15637=0,$K15637=0),0,1)</f>
        <v>1</v>
      </c>
      <c r="M15637" t="s">
        <v>1564</v>
      </c>
    </row>
    <row r="15638" spans="1:13" x14ac:dyDescent="0.2">
      <c r="A15638" t="s">
        <v>385</v>
      </c>
      <c r="B15638" t="s">
        <v>386</v>
      </c>
      <c r="C15638" t="s">
        <v>407</v>
      </c>
      <c r="D15638">
        <v>9100</v>
      </c>
      <c r="E15638">
        <v>2021</v>
      </c>
      <c r="F15638">
        <v>1</v>
      </c>
      <c r="G15638">
        <v>18246</v>
      </c>
      <c r="H15638" s="1">
        <v>0</v>
      </c>
      <c r="I15638">
        <v>6</v>
      </c>
      <c r="J15638">
        <f>IF($H15638=0,1,IF($I15638&lt;=1,2,0))</f>
        <v>1</v>
      </c>
      <c r="K15638">
        <v>5</v>
      </c>
      <c r="L15638">
        <f>IF(AND($J15638=0,$K15638=0),0,1)</f>
        <v>1</v>
      </c>
      <c r="M15638" t="s">
        <v>1563</v>
      </c>
    </row>
    <row r="15639" spans="1:13" x14ac:dyDescent="0.2">
      <c r="A15639" t="s">
        <v>385</v>
      </c>
      <c r="B15639" t="s">
        <v>386</v>
      </c>
      <c r="C15639" t="s">
        <v>407</v>
      </c>
      <c r="D15639">
        <v>9100</v>
      </c>
      <c r="E15639">
        <v>2021</v>
      </c>
      <c r="F15639">
        <v>3</v>
      </c>
      <c r="G15639">
        <v>18249</v>
      </c>
      <c r="H15639" s="1">
        <v>0</v>
      </c>
      <c r="I15639">
        <v>6</v>
      </c>
      <c r="J15639">
        <f>IF($H15639=0,1,IF($I15639&lt;=1,2,0))</f>
        <v>1</v>
      </c>
      <c r="K15639">
        <v>5</v>
      </c>
      <c r="L15639">
        <f>IF(AND($J15639=0,$K15639=0),0,1)</f>
        <v>1</v>
      </c>
      <c r="M15639" t="s">
        <v>1564</v>
      </c>
    </row>
    <row r="15640" spans="1:13" x14ac:dyDescent="0.2">
      <c r="A15640" t="s">
        <v>385</v>
      </c>
      <c r="B15640" t="s">
        <v>386</v>
      </c>
      <c r="C15640" t="s">
        <v>407</v>
      </c>
      <c r="D15640">
        <v>9110</v>
      </c>
      <c r="E15640">
        <v>2021</v>
      </c>
      <c r="F15640">
        <v>1</v>
      </c>
      <c r="G15640">
        <v>18482</v>
      </c>
      <c r="H15640" s="1">
        <v>0</v>
      </c>
      <c r="I15640">
        <v>11</v>
      </c>
      <c r="J15640">
        <f>IF($H15640=0,1,IF($I15640&lt;=1,2,0))</f>
        <v>1</v>
      </c>
      <c r="K15640">
        <v>5</v>
      </c>
      <c r="L15640">
        <f>IF(AND($J15640=0,$K15640=0),0,1)</f>
        <v>1</v>
      </c>
      <c r="M15640" t="s">
        <v>1565</v>
      </c>
    </row>
    <row r="15641" spans="1:13" x14ac:dyDescent="0.2">
      <c r="A15641" t="s">
        <v>385</v>
      </c>
      <c r="B15641" t="s">
        <v>386</v>
      </c>
      <c r="C15641" t="s">
        <v>407</v>
      </c>
      <c r="D15641">
        <v>9110</v>
      </c>
      <c r="E15641">
        <v>2021</v>
      </c>
      <c r="F15641">
        <v>2</v>
      </c>
      <c r="G15641">
        <v>18484</v>
      </c>
      <c r="H15641" s="1">
        <v>0</v>
      </c>
      <c r="I15641">
        <v>10</v>
      </c>
      <c r="J15641">
        <f>IF($H15641=0,1,IF($I15641&lt;=1,2,0))</f>
        <v>1</v>
      </c>
      <c r="K15641">
        <v>5</v>
      </c>
      <c r="L15641">
        <f>IF(AND($J15641=0,$K15641=0),0,1)</f>
        <v>1</v>
      </c>
      <c r="M15641" t="s">
        <v>1565</v>
      </c>
    </row>
    <row r="15642" spans="1:13" x14ac:dyDescent="0.2">
      <c r="A15642" t="s">
        <v>385</v>
      </c>
      <c r="B15642" t="s">
        <v>386</v>
      </c>
      <c r="C15642" t="s">
        <v>407</v>
      </c>
      <c r="D15642">
        <v>9110</v>
      </c>
      <c r="E15642">
        <v>2021</v>
      </c>
      <c r="F15642">
        <v>3</v>
      </c>
      <c r="G15642">
        <v>18485</v>
      </c>
      <c r="H15642" s="1">
        <v>0</v>
      </c>
      <c r="I15642">
        <v>6</v>
      </c>
      <c r="J15642">
        <f>IF($H15642=0,1,IF($I15642&lt;=1,2,0))</f>
        <v>1</v>
      </c>
      <c r="K15642">
        <v>5</v>
      </c>
      <c r="L15642">
        <f>IF(AND($J15642=0,$K15642=0),0,1)</f>
        <v>1</v>
      </c>
      <c r="M15642" t="s">
        <v>1565</v>
      </c>
    </row>
    <row r="15643" spans="1:13" x14ac:dyDescent="0.2">
      <c r="A15643" t="s">
        <v>385</v>
      </c>
      <c r="B15643" t="s">
        <v>386</v>
      </c>
      <c r="C15643" t="s">
        <v>407</v>
      </c>
      <c r="D15643">
        <v>9120</v>
      </c>
      <c r="E15643">
        <v>2021</v>
      </c>
      <c r="F15643">
        <v>1</v>
      </c>
      <c r="G15643">
        <v>18486</v>
      </c>
      <c r="H15643" s="1">
        <v>0</v>
      </c>
      <c r="I15643">
        <v>9</v>
      </c>
      <c r="J15643">
        <f>IF($H15643=0,1,IF($I15643&lt;=1,2,0))</f>
        <v>1</v>
      </c>
      <c r="K15643">
        <v>5</v>
      </c>
      <c r="L15643">
        <f>IF(AND($J15643=0,$K15643=0),0,1)</f>
        <v>1</v>
      </c>
      <c r="M15643" t="s">
        <v>1565</v>
      </c>
    </row>
    <row r="15644" spans="1:13" x14ac:dyDescent="0.2">
      <c r="A15644" t="s">
        <v>385</v>
      </c>
      <c r="B15644" t="s">
        <v>386</v>
      </c>
      <c r="C15644" t="s">
        <v>407</v>
      </c>
      <c r="D15644">
        <v>9120</v>
      </c>
      <c r="E15644">
        <v>2021</v>
      </c>
      <c r="F15644">
        <v>2</v>
      </c>
      <c r="G15644">
        <v>18487</v>
      </c>
      <c r="H15644" s="1">
        <v>0</v>
      </c>
      <c r="I15644">
        <v>8</v>
      </c>
      <c r="J15644">
        <f>IF($H15644=0,1,IF($I15644&lt;=1,2,0))</f>
        <v>1</v>
      </c>
      <c r="K15644">
        <v>5</v>
      </c>
      <c r="L15644">
        <f>IF(AND($J15644=0,$K15644=0),0,1)</f>
        <v>1</v>
      </c>
      <c r="M15644" t="s">
        <v>1565</v>
      </c>
    </row>
    <row r="15645" spans="1:13" x14ac:dyDescent="0.2">
      <c r="A15645" t="s">
        <v>385</v>
      </c>
      <c r="B15645" t="s">
        <v>386</v>
      </c>
      <c r="C15645" t="s">
        <v>407</v>
      </c>
      <c r="D15645">
        <v>9150</v>
      </c>
      <c r="E15645">
        <v>2021</v>
      </c>
      <c r="F15645">
        <v>1</v>
      </c>
      <c r="G15645">
        <v>18257</v>
      </c>
      <c r="H15645" s="1">
        <v>0</v>
      </c>
      <c r="I15645">
        <v>10</v>
      </c>
      <c r="J15645">
        <f>IF($H15645=0,1,IF($I15645&lt;=1,2,0))</f>
        <v>1</v>
      </c>
      <c r="K15645">
        <v>5</v>
      </c>
      <c r="L15645">
        <f>IF(AND($J15645=0,$K15645=0),0,1)</f>
        <v>1</v>
      </c>
      <c r="M15645" t="s">
        <v>1566</v>
      </c>
    </row>
    <row r="15646" spans="1:13" x14ac:dyDescent="0.2">
      <c r="A15646" t="s">
        <v>385</v>
      </c>
      <c r="B15646" t="s">
        <v>386</v>
      </c>
      <c r="C15646" t="s">
        <v>407</v>
      </c>
      <c r="D15646">
        <v>9210</v>
      </c>
      <c r="E15646">
        <v>2021</v>
      </c>
      <c r="F15646">
        <v>1</v>
      </c>
      <c r="G15646">
        <v>18250</v>
      </c>
      <c r="H15646" s="1">
        <v>0</v>
      </c>
      <c r="I15646">
        <v>7</v>
      </c>
      <c r="J15646">
        <f>IF($H15646=0,1,IF($I15646&lt;=1,2,0))</f>
        <v>1</v>
      </c>
      <c r="K15646">
        <v>5</v>
      </c>
      <c r="L15646">
        <f>IF(AND($J15646=0,$K15646=0),0,1)</f>
        <v>1</v>
      </c>
    </row>
    <row r="15647" spans="1:13" x14ac:dyDescent="0.2">
      <c r="A15647" t="s">
        <v>385</v>
      </c>
      <c r="B15647" t="s">
        <v>386</v>
      </c>
      <c r="C15647" t="s">
        <v>407</v>
      </c>
      <c r="D15647">
        <v>9210</v>
      </c>
      <c r="E15647">
        <v>2021</v>
      </c>
      <c r="F15647">
        <v>2</v>
      </c>
      <c r="G15647">
        <v>18254</v>
      </c>
      <c r="H15647" s="1">
        <v>0</v>
      </c>
      <c r="I15647">
        <v>7</v>
      </c>
      <c r="J15647">
        <f>IF($H15647=0,1,IF($I15647&lt;=1,2,0))</f>
        <v>1</v>
      </c>
      <c r="K15647">
        <v>5</v>
      </c>
      <c r="L15647">
        <f>IF(AND($J15647=0,$K15647=0),0,1)</f>
        <v>1</v>
      </c>
    </row>
    <row r="15648" spans="1:13" x14ac:dyDescent="0.2">
      <c r="A15648" t="s">
        <v>385</v>
      </c>
      <c r="B15648" t="s">
        <v>386</v>
      </c>
      <c r="C15648" t="s">
        <v>407</v>
      </c>
      <c r="D15648">
        <v>9210</v>
      </c>
      <c r="E15648">
        <v>2021</v>
      </c>
      <c r="F15648">
        <v>4</v>
      </c>
      <c r="G15648">
        <v>18255</v>
      </c>
      <c r="H15648" s="1">
        <v>0</v>
      </c>
      <c r="I15648">
        <v>7</v>
      </c>
      <c r="J15648">
        <f>IF($H15648=0,1,IF($I15648&lt;=1,2,0))</f>
        <v>1</v>
      </c>
      <c r="K15648">
        <v>5</v>
      </c>
      <c r="L15648">
        <f>IF(AND($J15648=0,$K15648=0),0,1)</f>
        <v>1</v>
      </c>
    </row>
    <row r="15649" spans="1:13" x14ac:dyDescent="0.2">
      <c r="A15649" t="s">
        <v>385</v>
      </c>
      <c r="B15649" t="s">
        <v>386</v>
      </c>
      <c r="C15649" t="s">
        <v>407</v>
      </c>
      <c r="D15649">
        <v>9210</v>
      </c>
      <c r="E15649">
        <v>2021</v>
      </c>
      <c r="F15649">
        <v>5</v>
      </c>
      <c r="G15649">
        <v>18256</v>
      </c>
      <c r="H15649" s="1">
        <v>0</v>
      </c>
      <c r="I15649">
        <v>7</v>
      </c>
      <c r="J15649">
        <f>IF($H15649=0,1,IF($I15649&lt;=1,2,0))</f>
        <v>1</v>
      </c>
      <c r="K15649">
        <v>5</v>
      </c>
      <c r="L15649">
        <f>IF(AND($J15649=0,$K15649=0),0,1)</f>
        <v>1</v>
      </c>
      <c r="M15649" t="s">
        <v>1567</v>
      </c>
    </row>
    <row r="15650" spans="1:13" x14ac:dyDescent="0.2">
      <c r="A15650" t="s">
        <v>385</v>
      </c>
      <c r="B15650" t="s">
        <v>386</v>
      </c>
      <c r="C15650" t="s">
        <v>407</v>
      </c>
      <c r="D15650">
        <v>9210</v>
      </c>
      <c r="E15650">
        <v>2021</v>
      </c>
      <c r="F15650">
        <v>3</v>
      </c>
      <c r="G15650">
        <v>18253</v>
      </c>
      <c r="H15650" s="1">
        <v>0</v>
      </c>
      <c r="I15650">
        <v>5</v>
      </c>
      <c r="J15650">
        <f>IF($H15650=0,1,IF($I15650&lt;=1,2,0))</f>
        <v>1</v>
      </c>
      <c r="K15650">
        <v>5</v>
      </c>
      <c r="L15650">
        <f>IF(AND($J15650=0,$K15650=0),0,1)</f>
        <v>1</v>
      </c>
    </row>
    <row r="15651" spans="1:13" x14ac:dyDescent="0.2">
      <c r="A15651" t="s">
        <v>385</v>
      </c>
      <c r="B15651" t="s">
        <v>386</v>
      </c>
      <c r="C15651" t="s">
        <v>407</v>
      </c>
      <c r="D15651">
        <v>9210</v>
      </c>
      <c r="E15651">
        <v>2021</v>
      </c>
      <c r="F15651">
        <v>6</v>
      </c>
      <c r="G15651">
        <v>18251</v>
      </c>
      <c r="H15651" s="1">
        <v>0</v>
      </c>
      <c r="I15651">
        <v>5</v>
      </c>
      <c r="J15651">
        <f>IF($H15651=0,1,IF($I15651&lt;=1,2,0))</f>
        <v>1</v>
      </c>
      <c r="K15651">
        <v>5</v>
      </c>
      <c r="L15651">
        <f>IF(AND($J15651=0,$K15651=0),0,1)</f>
        <v>1</v>
      </c>
    </row>
    <row r="15652" spans="1:13" x14ac:dyDescent="0.2">
      <c r="A15652" t="s">
        <v>385</v>
      </c>
      <c r="B15652" t="s">
        <v>386</v>
      </c>
      <c r="C15652" t="s">
        <v>407</v>
      </c>
      <c r="D15652">
        <v>9250</v>
      </c>
      <c r="E15652">
        <v>2021</v>
      </c>
      <c r="F15652">
        <v>3</v>
      </c>
      <c r="G15652">
        <v>20154</v>
      </c>
      <c r="H15652" s="1">
        <v>0</v>
      </c>
      <c r="I15652">
        <v>10</v>
      </c>
      <c r="J15652">
        <f>IF($H15652=0,1,IF($I15652&lt;=1,2,0))</f>
        <v>1</v>
      </c>
      <c r="K15652">
        <v>5</v>
      </c>
      <c r="L15652">
        <f>IF(AND($J15652=0,$K15652=0),0,1)</f>
        <v>1</v>
      </c>
    </row>
    <row r="15653" spans="1:13" x14ac:dyDescent="0.2">
      <c r="A15653" t="s">
        <v>385</v>
      </c>
      <c r="B15653" t="s">
        <v>386</v>
      </c>
      <c r="C15653" t="s">
        <v>407</v>
      </c>
      <c r="D15653">
        <v>9250</v>
      </c>
      <c r="E15653">
        <v>2021</v>
      </c>
      <c r="F15653">
        <v>2</v>
      </c>
      <c r="G15653">
        <v>20153</v>
      </c>
      <c r="H15653" s="1">
        <v>0</v>
      </c>
      <c r="I15653">
        <v>6</v>
      </c>
      <c r="J15653">
        <f>IF($H15653=0,1,IF($I15653&lt;=1,2,0))</f>
        <v>1</v>
      </c>
      <c r="K15653">
        <v>5</v>
      </c>
      <c r="L15653">
        <f>IF(AND($J15653=0,$K15653=0),0,1)</f>
        <v>1</v>
      </c>
    </row>
    <row r="15654" spans="1:13" x14ac:dyDescent="0.2">
      <c r="A15654" t="s">
        <v>385</v>
      </c>
      <c r="B15654" t="s">
        <v>386</v>
      </c>
      <c r="C15654" t="s">
        <v>407</v>
      </c>
      <c r="D15654">
        <v>9250</v>
      </c>
      <c r="E15654">
        <v>2021</v>
      </c>
      <c r="F15654">
        <v>1</v>
      </c>
      <c r="G15654">
        <v>20152</v>
      </c>
      <c r="H15654" s="1">
        <v>0</v>
      </c>
      <c r="I15654">
        <v>5</v>
      </c>
      <c r="J15654">
        <f>IF($H15654=0,1,IF($I15654&lt;=1,2,0))</f>
        <v>1</v>
      </c>
      <c r="K15654">
        <v>5</v>
      </c>
      <c r="L15654">
        <f>IF(AND($J15654=0,$K15654=0),0,1)</f>
        <v>1</v>
      </c>
      <c r="M15654" t="s">
        <v>1568</v>
      </c>
    </row>
    <row r="15655" spans="1:13" x14ac:dyDescent="0.2">
      <c r="A15655" t="s">
        <v>385</v>
      </c>
      <c r="B15655" t="s">
        <v>386</v>
      </c>
      <c r="C15655" t="s">
        <v>407</v>
      </c>
      <c r="D15655">
        <v>9300</v>
      </c>
      <c r="E15655">
        <v>2021</v>
      </c>
      <c r="F15655">
        <v>3</v>
      </c>
      <c r="G15655">
        <v>12122</v>
      </c>
      <c r="H15655" s="1">
        <v>0</v>
      </c>
      <c r="I15655">
        <v>7</v>
      </c>
      <c r="J15655">
        <f>IF($H15655=0,1,IF($I15655&lt;=1,2,0))</f>
        <v>1</v>
      </c>
      <c r="K15655">
        <v>5</v>
      </c>
      <c r="L15655">
        <f>IF(AND($J15655=0,$K15655=0),0,1)</f>
        <v>1</v>
      </c>
    </row>
    <row r="15656" spans="1:13" x14ac:dyDescent="0.2">
      <c r="A15656" t="s">
        <v>385</v>
      </c>
      <c r="B15656" t="s">
        <v>386</v>
      </c>
      <c r="C15656" t="s">
        <v>407</v>
      </c>
      <c r="D15656">
        <v>9300</v>
      </c>
      <c r="E15656">
        <v>2021</v>
      </c>
      <c r="F15656">
        <v>1</v>
      </c>
      <c r="G15656">
        <v>12119</v>
      </c>
      <c r="H15656" s="1">
        <v>0</v>
      </c>
      <c r="I15656">
        <v>6</v>
      </c>
      <c r="J15656">
        <f>IF($H15656=0,1,IF($I15656&lt;=1,2,0))</f>
        <v>1</v>
      </c>
      <c r="K15656">
        <v>5</v>
      </c>
      <c r="L15656">
        <f>IF(AND($J15656=0,$K15656=0),0,1)</f>
        <v>1</v>
      </c>
    </row>
    <row r="15657" spans="1:13" x14ac:dyDescent="0.2">
      <c r="A15657" t="s">
        <v>385</v>
      </c>
      <c r="B15657" t="s">
        <v>386</v>
      </c>
      <c r="C15657" t="s">
        <v>407</v>
      </c>
      <c r="D15657">
        <v>9300</v>
      </c>
      <c r="E15657">
        <v>2021</v>
      </c>
      <c r="F15657">
        <v>2</v>
      </c>
      <c r="G15657">
        <v>12121</v>
      </c>
      <c r="H15657" s="1">
        <v>0</v>
      </c>
      <c r="I15657">
        <v>3</v>
      </c>
      <c r="J15657">
        <f>IF($H15657=0,1,IF($I15657&lt;=1,2,0))</f>
        <v>1</v>
      </c>
      <c r="K15657">
        <v>5</v>
      </c>
      <c r="L15657">
        <f>IF(AND($J15657=0,$K15657=0),0,1)</f>
        <v>1</v>
      </c>
    </row>
    <row r="15658" spans="1:13" x14ac:dyDescent="0.2">
      <c r="A15658" t="s">
        <v>385</v>
      </c>
      <c r="B15658" t="s">
        <v>386</v>
      </c>
      <c r="C15658" t="s">
        <v>407</v>
      </c>
      <c r="D15658">
        <v>9315</v>
      </c>
      <c r="E15658">
        <v>2021</v>
      </c>
      <c r="F15658">
        <v>1</v>
      </c>
      <c r="G15658">
        <v>11690</v>
      </c>
      <c r="H15658" s="1">
        <v>0</v>
      </c>
      <c r="I15658">
        <v>8</v>
      </c>
      <c r="J15658">
        <f>IF($H15658=0,1,IF($I15658&lt;=1,2,0))</f>
        <v>1</v>
      </c>
      <c r="K15658">
        <v>5</v>
      </c>
      <c r="L15658">
        <f>IF(AND($J15658=0,$K15658=0),0,1)</f>
        <v>1</v>
      </c>
      <c r="M15658" t="s">
        <v>1569</v>
      </c>
    </row>
    <row r="15659" spans="1:13" x14ac:dyDescent="0.2">
      <c r="A15659" t="s">
        <v>385</v>
      </c>
      <c r="B15659" t="s">
        <v>386</v>
      </c>
      <c r="C15659" t="s">
        <v>407</v>
      </c>
      <c r="D15659">
        <v>9360</v>
      </c>
      <c r="E15659">
        <v>2021</v>
      </c>
      <c r="F15659">
        <v>1</v>
      </c>
      <c r="G15659">
        <v>12677</v>
      </c>
      <c r="H15659" s="1">
        <v>0</v>
      </c>
      <c r="I15659">
        <v>11</v>
      </c>
      <c r="J15659">
        <f>IF($H15659=0,1,IF($I15659&lt;=1,2,0))</f>
        <v>1</v>
      </c>
      <c r="K15659">
        <v>5</v>
      </c>
      <c r="L15659">
        <f>IF(AND($J15659=0,$K15659=0),0,1)</f>
        <v>1</v>
      </c>
      <c r="M15659" t="s">
        <v>1570</v>
      </c>
    </row>
    <row r="15660" spans="1:13" x14ac:dyDescent="0.2">
      <c r="A15660" t="s">
        <v>385</v>
      </c>
      <c r="B15660" t="s">
        <v>386</v>
      </c>
      <c r="C15660" t="s">
        <v>407</v>
      </c>
      <c r="D15660">
        <v>9500</v>
      </c>
      <c r="E15660">
        <v>2021</v>
      </c>
      <c r="F15660" t="s">
        <v>1571</v>
      </c>
      <c r="G15660">
        <v>11845</v>
      </c>
      <c r="H15660" s="1">
        <v>0</v>
      </c>
      <c r="I15660">
        <v>38</v>
      </c>
      <c r="J15660">
        <f>IF($H15660=0,1,IF($I15660&lt;=1,2,0))</f>
        <v>1</v>
      </c>
      <c r="K15660">
        <v>5</v>
      </c>
      <c r="L15660">
        <f>IF(AND($J15660=0,$K15660=0),0,1)</f>
        <v>1</v>
      </c>
    </row>
    <row r="15661" spans="1:13" x14ac:dyDescent="0.2">
      <c r="A15661" t="s">
        <v>385</v>
      </c>
      <c r="B15661" t="s">
        <v>386</v>
      </c>
      <c r="C15661" t="s">
        <v>407</v>
      </c>
      <c r="D15661">
        <v>9700</v>
      </c>
      <c r="E15661">
        <v>2021</v>
      </c>
      <c r="F15661">
        <v>1</v>
      </c>
      <c r="G15661">
        <v>12125</v>
      </c>
      <c r="H15661" s="1">
        <v>3</v>
      </c>
      <c r="I15661">
        <v>15</v>
      </c>
      <c r="J15661">
        <f>IF($H15661=0,1,IF($I15661&lt;=1,2,0))</f>
        <v>0</v>
      </c>
      <c r="K15661">
        <v>5</v>
      </c>
      <c r="L15661">
        <f>IF(AND($J15661=0,$K15661=0),0,1)</f>
        <v>1</v>
      </c>
    </row>
    <row r="15662" spans="1:13" x14ac:dyDescent="0.2">
      <c r="A15662" t="s">
        <v>385</v>
      </c>
      <c r="B15662" t="s">
        <v>386</v>
      </c>
      <c r="C15662" t="s">
        <v>407</v>
      </c>
      <c r="D15662">
        <v>9800</v>
      </c>
      <c r="E15662">
        <v>2021</v>
      </c>
      <c r="F15662">
        <v>1</v>
      </c>
      <c r="G15662">
        <v>12796</v>
      </c>
      <c r="H15662" s="1" t="s">
        <v>1828</v>
      </c>
      <c r="I15662">
        <v>5</v>
      </c>
      <c r="J15662">
        <f>IF($H15662=0,1,IF($I15662&lt;=1,2,0))</f>
        <v>0</v>
      </c>
      <c r="K15662">
        <v>5</v>
      </c>
      <c r="L15662">
        <f>IF(AND($J15662=0,$K15662=0),0,1)</f>
        <v>1</v>
      </c>
      <c r="M15662" t="s">
        <v>414</v>
      </c>
    </row>
    <row r="15663" spans="1:13" x14ac:dyDescent="0.2">
      <c r="A15663" t="s">
        <v>385</v>
      </c>
      <c r="B15663" t="s">
        <v>386</v>
      </c>
      <c r="C15663" t="s">
        <v>407</v>
      </c>
      <c r="D15663">
        <v>9800</v>
      </c>
      <c r="E15663">
        <v>2021</v>
      </c>
      <c r="F15663">
        <v>4</v>
      </c>
      <c r="G15663">
        <v>12799</v>
      </c>
      <c r="H15663" s="1" t="s">
        <v>1828</v>
      </c>
      <c r="I15663">
        <v>3</v>
      </c>
      <c r="J15663">
        <f>IF($H15663=0,1,IF($I15663&lt;=1,2,0))</f>
        <v>0</v>
      </c>
      <c r="K15663">
        <v>5</v>
      </c>
      <c r="L15663">
        <f>IF(AND($J15663=0,$K15663=0),0,1)</f>
        <v>1</v>
      </c>
      <c r="M15663" t="s">
        <v>414</v>
      </c>
    </row>
    <row r="15664" spans="1:13" x14ac:dyDescent="0.2">
      <c r="A15664" t="s">
        <v>385</v>
      </c>
      <c r="B15664" t="s">
        <v>386</v>
      </c>
      <c r="C15664" t="s">
        <v>407</v>
      </c>
      <c r="D15664">
        <v>9800</v>
      </c>
      <c r="E15664">
        <v>2021</v>
      </c>
      <c r="F15664">
        <v>2</v>
      </c>
      <c r="G15664">
        <v>12797</v>
      </c>
      <c r="H15664" s="1" t="s">
        <v>1828</v>
      </c>
      <c r="I15664">
        <v>2</v>
      </c>
      <c r="J15664">
        <f>IF($H15664=0,1,IF($I15664&lt;=1,2,0))</f>
        <v>0</v>
      </c>
      <c r="K15664">
        <v>5</v>
      </c>
      <c r="L15664">
        <f>IF(AND($J15664=0,$K15664=0),0,1)</f>
        <v>1</v>
      </c>
      <c r="M15664" t="s">
        <v>414</v>
      </c>
    </row>
    <row r="15665" spans="1:13" x14ac:dyDescent="0.2">
      <c r="A15665" t="s">
        <v>385</v>
      </c>
      <c r="B15665" t="s">
        <v>386</v>
      </c>
      <c r="C15665" t="s">
        <v>407</v>
      </c>
      <c r="D15665">
        <v>9800</v>
      </c>
      <c r="E15665">
        <v>2021</v>
      </c>
      <c r="F15665">
        <v>3</v>
      </c>
      <c r="G15665">
        <v>12798</v>
      </c>
      <c r="H15665" s="1" t="s">
        <v>1828</v>
      </c>
      <c r="I15665">
        <v>0</v>
      </c>
      <c r="J15665">
        <f>IF($H15665=0,1,IF($I15665&lt;=1,2,0))</f>
        <v>2</v>
      </c>
      <c r="K15665">
        <v>5</v>
      </c>
      <c r="L15665">
        <f>IF(AND($J15665=0,$K15665=0),0,1)</f>
        <v>1</v>
      </c>
      <c r="M15665" t="s">
        <v>415</v>
      </c>
    </row>
    <row r="15666" spans="1:13" x14ac:dyDescent="0.2">
      <c r="A15666" t="s">
        <v>417</v>
      </c>
      <c r="B15666" t="s">
        <v>17</v>
      </c>
      <c r="C15666" t="s">
        <v>2</v>
      </c>
      <c r="D15666">
        <v>1001</v>
      </c>
      <c r="E15666">
        <v>2021</v>
      </c>
      <c r="F15666">
        <v>1</v>
      </c>
      <c r="G15666">
        <v>15</v>
      </c>
      <c r="H15666" s="1">
        <v>4</v>
      </c>
      <c r="I15666">
        <v>18</v>
      </c>
      <c r="J15666">
        <f>IF($H15666=0,1,IF($I15666&lt;=1,2,0))</f>
        <v>0</v>
      </c>
      <c r="K15666">
        <v>7</v>
      </c>
      <c r="L15666">
        <f>IF(AND($J15666=0,$K15666=0),0,1)</f>
        <v>1</v>
      </c>
    </row>
    <row r="15667" spans="1:13" x14ac:dyDescent="0.2">
      <c r="A15667" t="s">
        <v>417</v>
      </c>
      <c r="B15667" t="s">
        <v>17</v>
      </c>
      <c r="C15667" t="s">
        <v>2</v>
      </c>
      <c r="D15667">
        <v>1001</v>
      </c>
      <c r="E15667">
        <v>2021</v>
      </c>
      <c r="F15667">
        <v>2</v>
      </c>
      <c r="G15667">
        <v>16</v>
      </c>
      <c r="H15667" s="1">
        <v>4</v>
      </c>
      <c r="I15667">
        <v>18</v>
      </c>
      <c r="J15667">
        <f>IF($H15667=0,1,IF($I15667&lt;=1,2,0))</f>
        <v>0</v>
      </c>
      <c r="K15667">
        <v>7</v>
      </c>
      <c r="L15667">
        <f>IF(AND($J15667=0,$K15667=0),0,1)</f>
        <v>1</v>
      </c>
    </row>
    <row r="15668" spans="1:13" x14ac:dyDescent="0.2">
      <c r="A15668" t="s">
        <v>417</v>
      </c>
      <c r="B15668" t="s">
        <v>17</v>
      </c>
      <c r="C15668" t="s">
        <v>2</v>
      </c>
      <c r="D15668">
        <v>1001</v>
      </c>
      <c r="E15668">
        <v>2021</v>
      </c>
      <c r="F15668">
        <v>3</v>
      </c>
      <c r="G15668">
        <v>834</v>
      </c>
      <c r="H15668" s="1">
        <v>4</v>
      </c>
      <c r="I15668">
        <v>16</v>
      </c>
      <c r="J15668">
        <f>IF($H15668=0,1,IF($I15668&lt;=1,2,0))</f>
        <v>0</v>
      </c>
      <c r="K15668">
        <v>7</v>
      </c>
      <c r="L15668">
        <f>IF(AND($J15668=0,$K15668=0),0,1)</f>
        <v>1</v>
      </c>
    </row>
    <row r="15669" spans="1:13" x14ac:dyDescent="0.2">
      <c r="A15669" t="s">
        <v>417</v>
      </c>
      <c r="B15669" t="s">
        <v>17</v>
      </c>
      <c r="C15669" t="s">
        <v>2</v>
      </c>
      <c r="D15669">
        <v>1102</v>
      </c>
      <c r="E15669">
        <v>2021</v>
      </c>
      <c r="F15669">
        <v>1</v>
      </c>
      <c r="G15669">
        <v>17</v>
      </c>
      <c r="H15669" s="1">
        <v>3</v>
      </c>
      <c r="I15669">
        <v>16</v>
      </c>
      <c r="J15669">
        <f>IF($H15669=0,1,IF($I15669&lt;=1,2,0))</f>
        <v>0</v>
      </c>
      <c r="K15669">
        <v>7</v>
      </c>
      <c r="L15669">
        <f>IF(AND($J15669=0,$K15669=0),0,1)</f>
        <v>1</v>
      </c>
    </row>
    <row r="15670" spans="1:13" x14ac:dyDescent="0.2">
      <c r="A15670" t="s">
        <v>417</v>
      </c>
      <c r="B15670" t="s">
        <v>17</v>
      </c>
      <c r="C15670" t="s">
        <v>2</v>
      </c>
      <c r="D15670">
        <v>1102</v>
      </c>
      <c r="E15670">
        <v>2021</v>
      </c>
      <c r="F15670">
        <v>2</v>
      </c>
      <c r="G15670">
        <v>18</v>
      </c>
      <c r="H15670" s="1">
        <v>3</v>
      </c>
      <c r="I15670">
        <v>16</v>
      </c>
      <c r="J15670">
        <f>IF($H15670=0,1,IF($I15670&lt;=1,2,0))</f>
        <v>0</v>
      </c>
      <c r="K15670">
        <v>7</v>
      </c>
      <c r="L15670">
        <f>IF(AND($J15670=0,$K15670=0),0,1)</f>
        <v>1</v>
      </c>
    </row>
    <row r="15671" spans="1:13" x14ac:dyDescent="0.2">
      <c r="A15671" t="s">
        <v>417</v>
      </c>
      <c r="B15671" t="s">
        <v>17</v>
      </c>
      <c r="C15671" t="s">
        <v>2</v>
      </c>
      <c r="D15671">
        <v>1203</v>
      </c>
      <c r="E15671">
        <v>2021</v>
      </c>
      <c r="F15671">
        <v>2</v>
      </c>
      <c r="G15671">
        <v>20</v>
      </c>
      <c r="H15671" s="1">
        <v>3</v>
      </c>
      <c r="I15671">
        <v>17</v>
      </c>
      <c r="J15671">
        <f>IF($H15671=0,1,IF($I15671&lt;=1,2,0))</f>
        <v>0</v>
      </c>
      <c r="K15671">
        <v>7</v>
      </c>
      <c r="L15671">
        <f>IF(AND($J15671=0,$K15671=0),0,1)</f>
        <v>1</v>
      </c>
    </row>
    <row r="15672" spans="1:13" x14ac:dyDescent="0.2">
      <c r="A15672" t="s">
        <v>417</v>
      </c>
      <c r="B15672" t="s">
        <v>17</v>
      </c>
      <c r="C15672" t="s">
        <v>2</v>
      </c>
      <c r="D15672">
        <v>1203</v>
      </c>
      <c r="E15672">
        <v>2021</v>
      </c>
      <c r="F15672">
        <v>1</v>
      </c>
      <c r="G15672">
        <v>19</v>
      </c>
      <c r="H15672" s="1">
        <v>3</v>
      </c>
      <c r="I15672">
        <v>15</v>
      </c>
      <c r="J15672">
        <f>IF($H15672=0,1,IF($I15672&lt;=1,2,0))</f>
        <v>0</v>
      </c>
      <c r="K15672">
        <v>7</v>
      </c>
      <c r="L15672">
        <f>IF(AND($J15672=0,$K15672=0),0,1)</f>
        <v>1</v>
      </c>
    </row>
    <row r="15673" spans="1:13" x14ac:dyDescent="0.2">
      <c r="A15673" t="s">
        <v>417</v>
      </c>
      <c r="B15673" t="s">
        <v>17</v>
      </c>
      <c r="C15673" t="s">
        <v>2</v>
      </c>
      <c r="D15673">
        <v>1203</v>
      </c>
      <c r="E15673">
        <v>2021</v>
      </c>
      <c r="F15673">
        <v>3</v>
      </c>
      <c r="G15673">
        <v>21</v>
      </c>
      <c r="H15673" s="1">
        <v>3</v>
      </c>
      <c r="I15673">
        <v>12</v>
      </c>
      <c r="J15673">
        <f>IF($H15673=0,1,IF($I15673&lt;=1,2,0))</f>
        <v>0</v>
      </c>
      <c r="K15673">
        <v>7</v>
      </c>
      <c r="L15673">
        <f>IF(AND($J15673=0,$K15673=0),0,1)</f>
        <v>1</v>
      </c>
    </row>
    <row r="15674" spans="1:13" x14ac:dyDescent="0.2">
      <c r="A15674" t="s">
        <v>417</v>
      </c>
      <c r="B15674" t="s">
        <v>17</v>
      </c>
      <c r="C15674" t="s">
        <v>2</v>
      </c>
      <c r="D15674">
        <v>1203</v>
      </c>
      <c r="E15674">
        <v>2021</v>
      </c>
      <c r="F15674">
        <v>4</v>
      </c>
      <c r="G15674">
        <v>22</v>
      </c>
      <c r="H15674" s="1">
        <v>3</v>
      </c>
      <c r="I15674">
        <v>11</v>
      </c>
      <c r="J15674">
        <f>IF($H15674=0,1,IF($I15674&lt;=1,2,0))</f>
        <v>0</v>
      </c>
      <c r="K15674">
        <v>7</v>
      </c>
      <c r="L15674">
        <f>IF(AND($J15674=0,$K15674=0),0,1)</f>
        <v>1</v>
      </c>
    </row>
    <row r="15675" spans="1:13" x14ac:dyDescent="0.2">
      <c r="A15675" t="s">
        <v>417</v>
      </c>
      <c r="B15675" t="s">
        <v>17</v>
      </c>
      <c r="C15675" t="s">
        <v>2</v>
      </c>
      <c r="D15675">
        <v>1203</v>
      </c>
      <c r="E15675">
        <v>2021</v>
      </c>
      <c r="F15675">
        <v>5</v>
      </c>
      <c r="G15675">
        <v>830</v>
      </c>
      <c r="H15675" s="1">
        <v>3</v>
      </c>
      <c r="I15675">
        <v>6</v>
      </c>
      <c r="J15675">
        <f>IF($H15675=0,1,IF($I15675&lt;=1,2,0))</f>
        <v>0</v>
      </c>
      <c r="K15675">
        <v>7</v>
      </c>
      <c r="L15675">
        <f>IF(AND($J15675=0,$K15675=0),0,1)</f>
        <v>1</v>
      </c>
    </row>
    <row r="15676" spans="1:13" x14ac:dyDescent="0.2">
      <c r="A15676" t="s">
        <v>417</v>
      </c>
      <c r="B15676" t="s">
        <v>17</v>
      </c>
      <c r="C15676" t="s">
        <v>2</v>
      </c>
      <c r="D15676">
        <v>1204</v>
      </c>
      <c r="E15676">
        <v>2021</v>
      </c>
      <c r="F15676">
        <v>1</v>
      </c>
      <c r="G15676">
        <v>23</v>
      </c>
      <c r="H15676" s="1">
        <v>3</v>
      </c>
      <c r="I15676">
        <v>17</v>
      </c>
      <c r="J15676">
        <f>IF($H15676=0,1,IF($I15676&lt;=1,2,0))</f>
        <v>0</v>
      </c>
      <c r="K15676">
        <v>7</v>
      </c>
      <c r="L15676">
        <f>IF(AND($J15676=0,$K15676=0),0,1)</f>
        <v>1</v>
      </c>
    </row>
    <row r="15677" spans="1:13" x14ac:dyDescent="0.2">
      <c r="A15677" t="s">
        <v>417</v>
      </c>
      <c r="B15677" t="s">
        <v>17</v>
      </c>
      <c r="C15677" t="s">
        <v>2</v>
      </c>
      <c r="D15677">
        <v>1204</v>
      </c>
      <c r="E15677">
        <v>2021</v>
      </c>
      <c r="F15677">
        <v>2</v>
      </c>
      <c r="G15677">
        <v>24</v>
      </c>
      <c r="H15677" s="1">
        <v>3</v>
      </c>
      <c r="I15677">
        <v>13</v>
      </c>
      <c r="J15677">
        <f>IF($H15677=0,1,IF($I15677&lt;=1,2,0))</f>
        <v>0</v>
      </c>
      <c r="K15677">
        <v>7</v>
      </c>
      <c r="L15677">
        <f>IF(AND($J15677=0,$K15677=0),0,1)</f>
        <v>1</v>
      </c>
    </row>
    <row r="15678" spans="1:13" x14ac:dyDescent="0.2">
      <c r="A15678" t="s">
        <v>417</v>
      </c>
      <c r="B15678" t="s">
        <v>17</v>
      </c>
      <c r="C15678" t="s">
        <v>2</v>
      </c>
      <c r="D15678">
        <v>1204</v>
      </c>
      <c r="E15678">
        <v>2021</v>
      </c>
      <c r="F15678">
        <v>4</v>
      </c>
      <c r="G15678">
        <v>26</v>
      </c>
      <c r="H15678" s="1">
        <v>3</v>
      </c>
      <c r="I15678">
        <v>9</v>
      </c>
      <c r="J15678">
        <f>IF($H15678=0,1,IF($I15678&lt;=1,2,0))</f>
        <v>0</v>
      </c>
      <c r="K15678">
        <v>7</v>
      </c>
      <c r="L15678">
        <f>IF(AND($J15678=0,$K15678=0),0,1)</f>
        <v>1</v>
      </c>
    </row>
    <row r="15679" spans="1:13" x14ac:dyDescent="0.2">
      <c r="A15679" t="s">
        <v>417</v>
      </c>
      <c r="B15679" t="s">
        <v>17</v>
      </c>
      <c r="C15679" t="s">
        <v>2</v>
      </c>
      <c r="D15679">
        <v>3006</v>
      </c>
      <c r="E15679">
        <v>2021</v>
      </c>
      <c r="F15679">
        <v>2</v>
      </c>
      <c r="G15679">
        <v>28</v>
      </c>
      <c r="H15679" s="1">
        <v>3</v>
      </c>
      <c r="I15679">
        <v>12</v>
      </c>
      <c r="J15679">
        <f>IF($H15679=0,1,IF($I15679&lt;=1,2,0))</f>
        <v>0</v>
      </c>
      <c r="K15679">
        <v>7</v>
      </c>
      <c r="L15679">
        <f>IF(AND($J15679=0,$K15679=0),0,1)</f>
        <v>1</v>
      </c>
    </row>
    <row r="15680" spans="1:13" x14ac:dyDescent="0.2">
      <c r="A15680" t="s">
        <v>417</v>
      </c>
      <c r="B15680" t="s">
        <v>17</v>
      </c>
      <c r="C15680" t="s">
        <v>2</v>
      </c>
      <c r="D15680">
        <v>3006</v>
      </c>
      <c r="E15680">
        <v>2021</v>
      </c>
      <c r="F15680">
        <v>1</v>
      </c>
      <c r="G15680">
        <v>27</v>
      </c>
      <c r="H15680" s="1">
        <v>3</v>
      </c>
      <c r="I15680">
        <v>0</v>
      </c>
      <c r="J15680">
        <f>IF($H15680=0,1,IF($I15680&lt;=1,2,0))</f>
        <v>2</v>
      </c>
      <c r="K15680">
        <v>7</v>
      </c>
      <c r="L15680">
        <f>IF(AND($J15680=0,$K15680=0),0,1)</f>
        <v>1</v>
      </c>
    </row>
    <row r="15681" spans="1:13" x14ac:dyDescent="0.2">
      <c r="A15681" t="s">
        <v>417</v>
      </c>
      <c r="B15681" t="s">
        <v>17</v>
      </c>
      <c r="C15681" t="s">
        <v>2</v>
      </c>
      <c r="D15681">
        <v>3014</v>
      </c>
      <c r="E15681">
        <v>2021</v>
      </c>
      <c r="F15681">
        <v>1</v>
      </c>
      <c r="G15681">
        <v>50</v>
      </c>
      <c r="H15681" s="1">
        <v>3</v>
      </c>
      <c r="I15681">
        <v>10</v>
      </c>
      <c r="J15681">
        <f>IF($H15681=0,1,IF($I15681&lt;=1,2,0))</f>
        <v>0</v>
      </c>
      <c r="K15681">
        <v>7</v>
      </c>
      <c r="L15681">
        <f>IF(AND($J15681=0,$K15681=0),0,1)</f>
        <v>1</v>
      </c>
    </row>
    <row r="15682" spans="1:13" x14ac:dyDescent="0.2">
      <c r="A15682" t="s">
        <v>417</v>
      </c>
      <c r="B15682" t="s">
        <v>17</v>
      </c>
      <c r="C15682" t="s">
        <v>2</v>
      </c>
      <c r="D15682">
        <v>3016</v>
      </c>
      <c r="E15682">
        <v>2021</v>
      </c>
      <c r="F15682">
        <v>1</v>
      </c>
      <c r="G15682">
        <v>30</v>
      </c>
      <c r="H15682" s="1">
        <v>3</v>
      </c>
      <c r="I15682">
        <v>12</v>
      </c>
      <c r="J15682">
        <f>IF($H15682=0,1,IF($I15682&lt;=1,2,0))</f>
        <v>0</v>
      </c>
      <c r="K15682">
        <v>7</v>
      </c>
      <c r="L15682">
        <f>IF(AND($J15682=0,$K15682=0),0,1)</f>
        <v>1</v>
      </c>
      <c r="M15682" t="s">
        <v>1572</v>
      </c>
    </row>
    <row r="15683" spans="1:13" x14ac:dyDescent="0.2">
      <c r="A15683" t="s">
        <v>417</v>
      </c>
      <c r="B15683" t="s">
        <v>17</v>
      </c>
      <c r="C15683" t="s">
        <v>2</v>
      </c>
      <c r="D15683">
        <v>3021</v>
      </c>
      <c r="E15683">
        <v>2021</v>
      </c>
      <c r="F15683">
        <v>1</v>
      </c>
      <c r="G15683">
        <v>61</v>
      </c>
      <c r="H15683" s="1">
        <v>3</v>
      </c>
      <c r="I15683">
        <v>16</v>
      </c>
      <c r="J15683">
        <f>IF($H15683=0,1,IF($I15683&lt;=1,2,0))</f>
        <v>0</v>
      </c>
      <c r="K15683">
        <v>7</v>
      </c>
      <c r="L15683">
        <f>IF(AND($J15683=0,$K15683=0),0,1)</f>
        <v>1</v>
      </c>
    </row>
    <row r="15684" spans="1:13" x14ac:dyDescent="0.2">
      <c r="A15684" t="s">
        <v>417</v>
      </c>
      <c r="B15684" t="s">
        <v>17</v>
      </c>
      <c r="C15684" t="s">
        <v>2</v>
      </c>
      <c r="D15684">
        <v>3099</v>
      </c>
      <c r="E15684">
        <v>2021</v>
      </c>
      <c r="F15684">
        <v>1</v>
      </c>
      <c r="G15684">
        <v>877</v>
      </c>
      <c r="H15684" s="1">
        <v>3</v>
      </c>
      <c r="I15684">
        <v>1</v>
      </c>
      <c r="J15684">
        <f>IF($H15684=0,1,IF($I15684&lt;=1,2,0))</f>
        <v>2</v>
      </c>
      <c r="K15684">
        <v>7</v>
      </c>
      <c r="L15684">
        <f>IF(AND($J15684=0,$K15684=0),0,1)</f>
        <v>1</v>
      </c>
    </row>
    <row r="15685" spans="1:13" x14ac:dyDescent="0.2">
      <c r="A15685" t="s">
        <v>417</v>
      </c>
      <c r="B15685" t="s">
        <v>17</v>
      </c>
      <c r="C15685" t="s">
        <v>2</v>
      </c>
      <c r="D15685">
        <v>3101</v>
      </c>
      <c r="E15685">
        <v>2021</v>
      </c>
      <c r="F15685">
        <v>1</v>
      </c>
      <c r="G15685">
        <v>32</v>
      </c>
      <c r="H15685" s="1">
        <v>3</v>
      </c>
      <c r="I15685">
        <v>33</v>
      </c>
      <c r="J15685">
        <f>IF($H15685=0,1,IF($I15685&lt;=1,2,0))</f>
        <v>0</v>
      </c>
      <c r="K15685">
        <v>7</v>
      </c>
      <c r="L15685">
        <f>IF(AND($J15685=0,$K15685=0),0,1)</f>
        <v>1</v>
      </c>
    </row>
    <row r="15686" spans="1:13" x14ac:dyDescent="0.2">
      <c r="A15686" t="s">
        <v>417</v>
      </c>
      <c r="B15686" t="s">
        <v>17</v>
      </c>
      <c r="C15686" t="s">
        <v>2</v>
      </c>
      <c r="D15686">
        <v>3102</v>
      </c>
      <c r="E15686">
        <v>2021</v>
      </c>
      <c r="F15686">
        <v>1</v>
      </c>
      <c r="G15686">
        <v>33</v>
      </c>
      <c r="H15686" s="1">
        <v>3</v>
      </c>
      <c r="I15686">
        <v>17</v>
      </c>
      <c r="J15686">
        <f>IF($H15686=0,1,IF($I15686&lt;=1,2,0))</f>
        <v>0</v>
      </c>
      <c r="K15686">
        <v>7</v>
      </c>
      <c r="L15686">
        <f>IF(AND($J15686=0,$K15686=0),0,1)</f>
        <v>1</v>
      </c>
    </row>
    <row r="15687" spans="1:13" x14ac:dyDescent="0.2">
      <c r="A15687" t="s">
        <v>417</v>
      </c>
      <c r="B15687" t="s">
        <v>17</v>
      </c>
      <c r="C15687" t="s">
        <v>9</v>
      </c>
      <c r="D15687">
        <v>3996</v>
      </c>
      <c r="E15687">
        <v>2021</v>
      </c>
      <c r="F15687">
        <v>1</v>
      </c>
      <c r="G15687">
        <v>13011</v>
      </c>
      <c r="H15687" s="1">
        <v>3</v>
      </c>
      <c r="I15687">
        <v>0</v>
      </c>
      <c r="J15687">
        <f>IF($H15687=0,1,IF($I15687&lt;=1,2,0))</f>
        <v>2</v>
      </c>
      <c r="K15687">
        <v>0</v>
      </c>
      <c r="L15687">
        <f>IF(AND($J15687=0,$K15687=0),0,1)</f>
        <v>1</v>
      </c>
    </row>
    <row r="15688" spans="1:13" x14ac:dyDescent="0.2">
      <c r="A15688" t="s">
        <v>417</v>
      </c>
      <c r="B15688" t="s">
        <v>17</v>
      </c>
      <c r="C15688" t="s">
        <v>9</v>
      </c>
      <c r="D15688">
        <v>3998</v>
      </c>
      <c r="E15688">
        <v>2021</v>
      </c>
      <c r="F15688">
        <v>2</v>
      </c>
      <c r="G15688">
        <v>20369</v>
      </c>
      <c r="H15688" s="1">
        <v>1</v>
      </c>
      <c r="I15688">
        <v>2</v>
      </c>
      <c r="J15688">
        <f>IF($H15688=0,1,IF($I15688&lt;=1,2,0))</f>
        <v>0</v>
      </c>
      <c r="K15688">
        <v>9</v>
      </c>
      <c r="L15688">
        <f>IF(AND($J15688=0,$K15688=0),0,1)</f>
        <v>1</v>
      </c>
    </row>
    <row r="15689" spans="1:13" x14ac:dyDescent="0.2">
      <c r="A15689" t="s">
        <v>417</v>
      </c>
      <c r="B15689" t="s">
        <v>17</v>
      </c>
      <c r="C15689" t="s">
        <v>9</v>
      </c>
      <c r="D15689">
        <v>3998</v>
      </c>
      <c r="E15689">
        <v>2021</v>
      </c>
      <c r="F15689">
        <v>1</v>
      </c>
      <c r="G15689">
        <v>13012</v>
      </c>
      <c r="H15689" s="1">
        <v>1</v>
      </c>
      <c r="I15689">
        <v>1</v>
      </c>
      <c r="J15689">
        <f>IF($H15689=0,1,IF($I15689&lt;=1,2,0))</f>
        <v>2</v>
      </c>
      <c r="K15689">
        <v>9</v>
      </c>
      <c r="L15689">
        <f>IF(AND($J15689=0,$K15689=0),0,1)</f>
        <v>1</v>
      </c>
    </row>
    <row r="15690" spans="1:13" x14ac:dyDescent="0.2">
      <c r="A15690" t="s">
        <v>417</v>
      </c>
      <c r="B15690" t="s">
        <v>17</v>
      </c>
      <c r="C15690" t="s">
        <v>11</v>
      </c>
      <c r="D15690">
        <v>9701</v>
      </c>
      <c r="E15690">
        <v>2021</v>
      </c>
      <c r="F15690">
        <v>1</v>
      </c>
      <c r="G15690">
        <v>13087</v>
      </c>
      <c r="H15690" s="1">
        <v>3</v>
      </c>
      <c r="I15690">
        <v>6</v>
      </c>
      <c r="J15690">
        <f>IF($H15690=0,1,IF($I15690&lt;=1,2,0))</f>
        <v>0</v>
      </c>
      <c r="K15690">
        <v>5</v>
      </c>
      <c r="L15690">
        <f>IF(AND($J15690=0,$K15690=0),0,1)</f>
        <v>1</v>
      </c>
    </row>
    <row r="15691" spans="1:13" x14ac:dyDescent="0.2">
      <c r="A15691" t="s">
        <v>421</v>
      </c>
      <c r="B15691" t="s">
        <v>1</v>
      </c>
      <c r="C15691" t="s">
        <v>2</v>
      </c>
      <c r="D15691">
        <v>1189</v>
      </c>
      <c r="E15691">
        <v>2021</v>
      </c>
      <c r="F15691">
        <v>1</v>
      </c>
      <c r="G15691">
        <v>716</v>
      </c>
      <c r="H15691" s="1">
        <v>3</v>
      </c>
      <c r="I15691">
        <v>16</v>
      </c>
      <c r="J15691">
        <f>IF($H15691=0,1,IF($I15691&lt;=1,2,0))</f>
        <v>0</v>
      </c>
      <c r="K15691">
        <v>7</v>
      </c>
      <c r="L15691">
        <f>IF(AND($J15691=0,$K15691=0),0,1)</f>
        <v>1</v>
      </c>
      <c r="M15691" t="s">
        <v>1050</v>
      </c>
    </row>
    <row r="15692" spans="1:13" x14ac:dyDescent="0.2">
      <c r="A15692" t="s">
        <v>421</v>
      </c>
      <c r="B15692" t="s">
        <v>1</v>
      </c>
      <c r="C15692" t="s">
        <v>2</v>
      </c>
      <c r="D15692">
        <v>1336</v>
      </c>
      <c r="E15692">
        <v>2021</v>
      </c>
      <c r="F15692">
        <v>1</v>
      </c>
      <c r="G15692">
        <v>759</v>
      </c>
      <c r="H15692" s="1">
        <v>3</v>
      </c>
      <c r="I15692">
        <v>15</v>
      </c>
      <c r="J15692">
        <f>IF($H15692=0,1,IF($I15692&lt;=1,2,0))</f>
        <v>0</v>
      </c>
      <c r="K15692">
        <v>7</v>
      </c>
      <c r="L15692">
        <f>IF(AND($J15692=0,$K15692=0),0,1)</f>
        <v>1</v>
      </c>
    </row>
    <row r="15693" spans="1:13" x14ac:dyDescent="0.2">
      <c r="A15693" t="s">
        <v>421</v>
      </c>
      <c r="B15693" t="s">
        <v>1</v>
      </c>
      <c r="C15693" t="s">
        <v>2</v>
      </c>
      <c r="D15693">
        <v>1422</v>
      </c>
      <c r="E15693">
        <v>2021</v>
      </c>
      <c r="F15693">
        <v>1</v>
      </c>
      <c r="G15693">
        <v>717</v>
      </c>
      <c r="H15693" s="1">
        <v>3</v>
      </c>
      <c r="I15693">
        <v>16</v>
      </c>
      <c r="J15693">
        <f>IF($H15693=0,1,IF($I15693&lt;=1,2,0))</f>
        <v>0</v>
      </c>
      <c r="K15693">
        <v>7</v>
      </c>
      <c r="L15693">
        <f>IF(AND($J15693=0,$K15693=0),0,1)</f>
        <v>1</v>
      </c>
      <c r="M15693" t="s">
        <v>1050</v>
      </c>
    </row>
    <row r="15694" spans="1:13" x14ac:dyDescent="0.2">
      <c r="A15694" t="s">
        <v>421</v>
      </c>
      <c r="B15694" t="s">
        <v>1</v>
      </c>
      <c r="C15694" t="s">
        <v>2</v>
      </c>
      <c r="D15694">
        <v>1460</v>
      </c>
      <c r="E15694">
        <v>2021</v>
      </c>
      <c r="F15694">
        <v>1</v>
      </c>
      <c r="G15694">
        <v>718</v>
      </c>
      <c r="H15694" s="1">
        <v>3</v>
      </c>
      <c r="I15694">
        <v>16</v>
      </c>
      <c r="J15694">
        <f>IF($H15694=0,1,IF($I15694&lt;=1,2,0))</f>
        <v>0</v>
      </c>
      <c r="K15694">
        <v>7</v>
      </c>
      <c r="L15694">
        <f>IF(AND($J15694=0,$K15694=0),0,1)</f>
        <v>1</v>
      </c>
      <c r="M15694" t="s">
        <v>1050</v>
      </c>
    </row>
    <row r="15695" spans="1:13" x14ac:dyDescent="0.2">
      <c r="A15695" t="s">
        <v>421</v>
      </c>
      <c r="B15695" t="s">
        <v>1</v>
      </c>
      <c r="C15695" t="s">
        <v>2</v>
      </c>
      <c r="D15695">
        <v>1469</v>
      </c>
      <c r="E15695">
        <v>2021</v>
      </c>
      <c r="F15695">
        <v>1</v>
      </c>
      <c r="G15695">
        <v>719</v>
      </c>
      <c r="H15695" s="1">
        <v>3</v>
      </c>
      <c r="I15695">
        <v>16</v>
      </c>
      <c r="J15695">
        <f>IF($H15695=0,1,IF($I15695&lt;=1,2,0))</f>
        <v>0</v>
      </c>
      <c r="K15695">
        <v>7</v>
      </c>
      <c r="L15695">
        <f>IF(AND($J15695=0,$K15695=0),0,1)</f>
        <v>1</v>
      </c>
      <c r="M15695" t="s">
        <v>1050</v>
      </c>
    </row>
    <row r="15696" spans="1:13" x14ac:dyDescent="0.2">
      <c r="A15696" t="s">
        <v>421</v>
      </c>
      <c r="B15696" t="s">
        <v>1</v>
      </c>
      <c r="C15696" t="s">
        <v>2</v>
      </c>
      <c r="D15696">
        <v>1474</v>
      </c>
      <c r="E15696">
        <v>2021</v>
      </c>
      <c r="F15696">
        <v>1</v>
      </c>
      <c r="G15696">
        <v>720</v>
      </c>
      <c r="H15696" s="1">
        <v>3</v>
      </c>
      <c r="I15696">
        <v>16</v>
      </c>
      <c r="J15696">
        <f>IF($H15696=0,1,IF($I15696&lt;=1,2,0))</f>
        <v>0</v>
      </c>
      <c r="K15696">
        <v>7</v>
      </c>
      <c r="L15696">
        <f>IF(AND($J15696=0,$K15696=0),0,1)</f>
        <v>1</v>
      </c>
      <c r="M15696" t="s">
        <v>1050</v>
      </c>
    </row>
    <row r="15697" spans="1:13" x14ac:dyDescent="0.2">
      <c r="A15697" t="s">
        <v>421</v>
      </c>
      <c r="B15697" t="s">
        <v>1</v>
      </c>
      <c r="C15697" t="s">
        <v>2</v>
      </c>
      <c r="D15697">
        <v>1601</v>
      </c>
      <c r="E15697">
        <v>2021</v>
      </c>
      <c r="F15697">
        <v>1</v>
      </c>
      <c r="G15697">
        <v>721</v>
      </c>
      <c r="H15697" s="1">
        <v>3</v>
      </c>
      <c r="I15697">
        <v>19</v>
      </c>
      <c r="J15697">
        <f>IF($H15697=0,1,IF($I15697&lt;=1,2,0))</f>
        <v>0</v>
      </c>
      <c r="K15697">
        <v>7</v>
      </c>
      <c r="L15697">
        <f>IF(AND($J15697=0,$K15697=0),0,1)</f>
        <v>1</v>
      </c>
      <c r="M15697" t="s">
        <v>1050</v>
      </c>
    </row>
    <row r="15698" spans="1:13" x14ac:dyDescent="0.2">
      <c r="A15698" t="s">
        <v>421</v>
      </c>
      <c r="B15698" t="s">
        <v>1</v>
      </c>
      <c r="C15698" t="s">
        <v>2</v>
      </c>
      <c r="D15698">
        <v>1601</v>
      </c>
      <c r="E15698">
        <v>2021</v>
      </c>
      <c r="F15698">
        <v>2</v>
      </c>
      <c r="G15698">
        <v>722</v>
      </c>
      <c r="H15698" s="1">
        <v>3</v>
      </c>
      <c r="I15698">
        <v>18</v>
      </c>
      <c r="J15698">
        <f>IF($H15698=0,1,IF($I15698&lt;=1,2,0))</f>
        <v>0</v>
      </c>
      <c r="K15698">
        <v>7</v>
      </c>
      <c r="L15698">
        <f>IF(AND($J15698=0,$K15698=0),0,1)</f>
        <v>1</v>
      </c>
      <c r="M15698" t="s">
        <v>1050</v>
      </c>
    </row>
    <row r="15699" spans="1:13" x14ac:dyDescent="0.2">
      <c r="A15699" t="s">
        <v>421</v>
      </c>
      <c r="B15699" t="s">
        <v>1</v>
      </c>
      <c r="C15699" t="s">
        <v>2</v>
      </c>
      <c r="D15699">
        <v>1601</v>
      </c>
      <c r="E15699">
        <v>2021</v>
      </c>
      <c r="F15699">
        <v>3</v>
      </c>
      <c r="G15699">
        <v>729</v>
      </c>
      <c r="H15699" s="1">
        <v>3</v>
      </c>
      <c r="I15699">
        <v>18</v>
      </c>
      <c r="J15699">
        <f>IF($H15699=0,1,IF($I15699&lt;=1,2,0))</f>
        <v>0</v>
      </c>
      <c r="K15699">
        <v>7</v>
      </c>
      <c r="L15699">
        <f>IF(AND($J15699=0,$K15699=0),0,1)</f>
        <v>1</v>
      </c>
      <c r="M15699" t="s">
        <v>1050</v>
      </c>
    </row>
    <row r="15700" spans="1:13" x14ac:dyDescent="0.2">
      <c r="A15700" t="s">
        <v>421</v>
      </c>
      <c r="B15700" t="s">
        <v>1</v>
      </c>
      <c r="C15700" t="s">
        <v>2</v>
      </c>
      <c r="D15700">
        <v>1709</v>
      </c>
      <c r="E15700">
        <v>2021</v>
      </c>
      <c r="F15700">
        <v>1</v>
      </c>
      <c r="G15700">
        <v>734</v>
      </c>
      <c r="H15700" s="1">
        <v>3</v>
      </c>
      <c r="I15700">
        <v>15</v>
      </c>
      <c r="J15700">
        <f>IF($H15700=0,1,IF($I15700&lt;=1,2,0))</f>
        <v>0</v>
      </c>
      <c r="K15700">
        <v>7</v>
      </c>
      <c r="L15700">
        <f>IF(AND($J15700=0,$K15700=0),0,1)</f>
        <v>1</v>
      </c>
      <c r="M15700" t="s">
        <v>1050</v>
      </c>
    </row>
    <row r="15701" spans="1:13" x14ac:dyDescent="0.2">
      <c r="A15701" t="s">
        <v>421</v>
      </c>
      <c r="B15701" t="s">
        <v>1</v>
      </c>
      <c r="C15701" t="s">
        <v>2</v>
      </c>
      <c r="D15701">
        <v>1715</v>
      </c>
      <c r="E15701">
        <v>2021</v>
      </c>
      <c r="F15701">
        <v>1</v>
      </c>
      <c r="G15701">
        <v>724</v>
      </c>
      <c r="H15701" s="1">
        <v>3</v>
      </c>
      <c r="I15701">
        <v>16</v>
      </c>
      <c r="J15701">
        <f>IF($H15701=0,1,IF($I15701&lt;=1,2,0))</f>
        <v>0</v>
      </c>
      <c r="K15701">
        <v>7</v>
      </c>
      <c r="L15701">
        <f>IF(AND($J15701=0,$K15701=0),0,1)</f>
        <v>1</v>
      </c>
      <c r="M15701" t="s">
        <v>1050</v>
      </c>
    </row>
    <row r="15702" spans="1:13" x14ac:dyDescent="0.2">
      <c r="A15702" t="s">
        <v>421</v>
      </c>
      <c r="B15702" t="s">
        <v>1</v>
      </c>
      <c r="C15702" t="s">
        <v>2</v>
      </c>
      <c r="D15702">
        <v>1715</v>
      </c>
      <c r="E15702">
        <v>2021</v>
      </c>
      <c r="F15702">
        <v>2</v>
      </c>
      <c r="G15702">
        <v>725</v>
      </c>
      <c r="H15702" s="1">
        <v>3</v>
      </c>
      <c r="I15702">
        <v>15</v>
      </c>
      <c r="J15702">
        <f>IF($H15702=0,1,IF($I15702&lt;=1,2,0))</f>
        <v>0</v>
      </c>
      <c r="K15702">
        <v>7</v>
      </c>
      <c r="L15702">
        <f>IF(AND($J15702=0,$K15702=0),0,1)</f>
        <v>1</v>
      </c>
      <c r="M15702" t="s">
        <v>1050</v>
      </c>
    </row>
    <row r="15703" spans="1:13" x14ac:dyDescent="0.2">
      <c r="A15703" t="s">
        <v>421</v>
      </c>
      <c r="B15703" t="s">
        <v>1</v>
      </c>
      <c r="C15703" t="s">
        <v>2</v>
      </c>
      <c r="D15703">
        <v>1722</v>
      </c>
      <c r="E15703">
        <v>2021</v>
      </c>
      <c r="F15703">
        <v>1</v>
      </c>
      <c r="G15703">
        <v>723</v>
      </c>
      <c r="H15703" s="1">
        <v>3</v>
      </c>
      <c r="I15703">
        <v>15</v>
      </c>
      <c r="J15703">
        <f>IF($H15703=0,1,IF($I15703&lt;=1,2,0))</f>
        <v>0</v>
      </c>
      <c r="K15703">
        <v>7</v>
      </c>
      <c r="L15703">
        <f>IF(AND($J15703=0,$K15703=0),0,1)</f>
        <v>1</v>
      </c>
      <c r="M15703" t="s">
        <v>1050</v>
      </c>
    </row>
    <row r="15704" spans="1:13" x14ac:dyDescent="0.2">
      <c r="A15704" t="s">
        <v>421</v>
      </c>
      <c r="B15704" t="s">
        <v>1</v>
      </c>
      <c r="C15704" t="s">
        <v>2</v>
      </c>
      <c r="D15704">
        <v>1733</v>
      </c>
      <c r="E15704">
        <v>2021</v>
      </c>
      <c r="F15704">
        <v>1</v>
      </c>
      <c r="G15704">
        <v>726</v>
      </c>
      <c r="H15704" s="1">
        <v>3</v>
      </c>
      <c r="I15704">
        <v>16</v>
      </c>
      <c r="J15704">
        <f>IF($H15704=0,1,IF($I15704&lt;=1,2,0))</f>
        <v>0</v>
      </c>
      <c r="K15704">
        <v>7</v>
      </c>
      <c r="L15704">
        <f>IF(AND($J15704=0,$K15704=0),0,1)</f>
        <v>1</v>
      </c>
      <c r="M15704" t="s">
        <v>1050</v>
      </c>
    </row>
    <row r="15705" spans="1:13" x14ac:dyDescent="0.2">
      <c r="A15705" t="s">
        <v>421</v>
      </c>
      <c r="B15705" t="s">
        <v>1</v>
      </c>
      <c r="C15705" t="s">
        <v>2</v>
      </c>
      <c r="D15705">
        <v>1735</v>
      </c>
      <c r="E15705">
        <v>2021</v>
      </c>
      <c r="F15705">
        <v>1</v>
      </c>
      <c r="G15705">
        <v>727</v>
      </c>
      <c r="H15705" s="1">
        <v>3</v>
      </c>
      <c r="I15705">
        <v>16</v>
      </c>
      <c r="J15705">
        <f>IF($H15705=0,1,IF($I15705&lt;=1,2,0))</f>
        <v>0</v>
      </c>
      <c r="K15705">
        <v>7</v>
      </c>
      <c r="L15705">
        <f>IF(AND($J15705=0,$K15705=0),0,1)</f>
        <v>1</v>
      </c>
      <c r="M15705" t="s">
        <v>1050</v>
      </c>
    </row>
    <row r="15706" spans="1:13" x14ac:dyDescent="0.2">
      <c r="A15706" t="s">
        <v>421</v>
      </c>
      <c r="B15706" t="s">
        <v>1</v>
      </c>
      <c r="C15706" t="s">
        <v>2</v>
      </c>
      <c r="D15706">
        <v>1736</v>
      </c>
      <c r="E15706">
        <v>2021</v>
      </c>
      <c r="F15706">
        <v>1</v>
      </c>
      <c r="G15706">
        <v>745</v>
      </c>
      <c r="H15706" s="1">
        <v>3</v>
      </c>
      <c r="I15706">
        <v>16</v>
      </c>
      <c r="J15706">
        <f>IF($H15706=0,1,IF($I15706&lt;=1,2,0))</f>
        <v>0</v>
      </c>
      <c r="K15706">
        <v>7</v>
      </c>
      <c r="L15706">
        <f>IF(AND($J15706=0,$K15706=0),0,1)</f>
        <v>1</v>
      </c>
      <c r="M15706" t="s">
        <v>1050</v>
      </c>
    </row>
    <row r="15707" spans="1:13" x14ac:dyDescent="0.2">
      <c r="A15707" t="s">
        <v>421</v>
      </c>
      <c r="B15707" t="s">
        <v>1</v>
      </c>
      <c r="C15707" t="s">
        <v>2</v>
      </c>
      <c r="D15707">
        <v>1737</v>
      </c>
      <c r="E15707">
        <v>2021</v>
      </c>
      <c r="F15707">
        <v>1</v>
      </c>
      <c r="G15707">
        <v>730</v>
      </c>
      <c r="H15707" s="1">
        <v>3</v>
      </c>
      <c r="I15707">
        <v>16</v>
      </c>
      <c r="J15707">
        <f>IF($H15707=0,1,IF($I15707&lt;=1,2,0))</f>
        <v>0</v>
      </c>
      <c r="K15707">
        <v>7</v>
      </c>
      <c r="L15707">
        <f>IF(AND($J15707=0,$K15707=0),0,1)</f>
        <v>1</v>
      </c>
      <c r="M15707" t="s">
        <v>1050</v>
      </c>
    </row>
    <row r="15708" spans="1:13" x14ac:dyDescent="0.2">
      <c r="A15708" t="s">
        <v>421</v>
      </c>
      <c r="B15708" t="s">
        <v>1</v>
      </c>
      <c r="C15708" t="s">
        <v>2</v>
      </c>
      <c r="D15708">
        <v>1738</v>
      </c>
      <c r="E15708">
        <v>2021</v>
      </c>
      <c r="F15708">
        <v>1</v>
      </c>
      <c r="G15708">
        <v>731</v>
      </c>
      <c r="H15708" s="1">
        <v>3</v>
      </c>
      <c r="I15708">
        <v>15</v>
      </c>
      <c r="J15708">
        <f>IF($H15708=0,1,IF($I15708&lt;=1,2,0))</f>
        <v>0</v>
      </c>
      <c r="K15708">
        <v>7</v>
      </c>
      <c r="L15708">
        <f>IF(AND($J15708=0,$K15708=0),0,1)</f>
        <v>1</v>
      </c>
      <c r="M15708" t="s">
        <v>1050</v>
      </c>
    </row>
    <row r="15709" spans="1:13" x14ac:dyDescent="0.2">
      <c r="A15709" t="s">
        <v>421</v>
      </c>
      <c r="B15709" t="s">
        <v>1</v>
      </c>
      <c r="C15709" t="s">
        <v>2</v>
      </c>
      <c r="D15709">
        <v>1742</v>
      </c>
      <c r="E15709">
        <v>2021</v>
      </c>
      <c r="F15709">
        <v>1</v>
      </c>
      <c r="G15709">
        <v>780</v>
      </c>
      <c r="H15709" s="1">
        <v>3</v>
      </c>
      <c r="I15709">
        <v>14</v>
      </c>
      <c r="J15709">
        <f>IF($H15709=0,1,IF($I15709&lt;=1,2,0))</f>
        <v>0</v>
      </c>
      <c r="K15709">
        <v>7</v>
      </c>
      <c r="L15709">
        <f>IF(AND($J15709=0,$K15709=0),0,1)</f>
        <v>1</v>
      </c>
      <c r="M15709" t="s">
        <v>1050</v>
      </c>
    </row>
    <row r="15710" spans="1:13" x14ac:dyDescent="0.2">
      <c r="A15710" t="s">
        <v>421</v>
      </c>
      <c r="B15710" t="s">
        <v>1</v>
      </c>
      <c r="C15710" t="s">
        <v>2</v>
      </c>
      <c r="D15710">
        <v>1744</v>
      </c>
      <c r="E15710">
        <v>2021</v>
      </c>
      <c r="F15710">
        <v>1</v>
      </c>
      <c r="G15710">
        <v>732</v>
      </c>
      <c r="H15710" s="1">
        <v>3</v>
      </c>
      <c r="I15710">
        <v>16</v>
      </c>
      <c r="J15710">
        <f>IF($H15710=0,1,IF($I15710&lt;=1,2,0))</f>
        <v>0</v>
      </c>
      <c r="K15710">
        <v>7</v>
      </c>
      <c r="L15710">
        <f>IF(AND($J15710=0,$K15710=0),0,1)</f>
        <v>1</v>
      </c>
      <c r="M15710" t="s">
        <v>1050</v>
      </c>
    </row>
    <row r="15711" spans="1:13" x14ac:dyDescent="0.2">
      <c r="A15711" t="s">
        <v>421</v>
      </c>
      <c r="B15711" t="s">
        <v>1</v>
      </c>
      <c r="C15711" t="s">
        <v>2</v>
      </c>
      <c r="D15711">
        <v>1746</v>
      </c>
      <c r="E15711">
        <v>2021</v>
      </c>
      <c r="F15711">
        <v>1</v>
      </c>
      <c r="G15711">
        <v>733</v>
      </c>
      <c r="H15711" s="1">
        <v>3</v>
      </c>
      <c r="I15711">
        <v>14</v>
      </c>
      <c r="J15711">
        <f>IF($H15711=0,1,IF($I15711&lt;=1,2,0))</f>
        <v>0</v>
      </c>
      <c r="K15711">
        <v>7</v>
      </c>
      <c r="L15711">
        <f>IF(AND($J15711=0,$K15711=0),0,1)</f>
        <v>1</v>
      </c>
      <c r="M15711" t="s">
        <v>1050</v>
      </c>
    </row>
    <row r="15712" spans="1:13" x14ac:dyDescent="0.2">
      <c r="A15712" t="s">
        <v>421</v>
      </c>
      <c r="B15712" t="s">
        <v>1</v>
      </c>
      <c r="C15712" t="s">
        <v>2</v>
      </c>
      <c r="D15712">
        <v>1747</v>
      </c>
      <c r="E15712">
        <v>2021</v>
      </c>
      <c r="F15712">
        <v>1</v>
      </c>
      <c r="G15712">
        <v>735</v>
      </c>
      <c r="H15712" s="1">
        <v>3</v>
      </c>
      <c r="I15712">
        <v>16</v>
      </c>
      <c r="J15712">
        <f>IF($H15712=0,1,IF($I15712&lt;=1,2,0))</f>
        <v>0</v>
      </c>
      <c r="K15712">
        <v>7</v>
      </c>
      <c r="L15712">
        <f>IF(AND($J15712=0,$K15712=0),0,1)</f>
        <v>1</v>
      </c>
      <c r="M15712" t="s">
        <v>1050</v>
      </c>
    </row>
    <row r="15713" spans="1:13" x14ac:dyDescent="0.2">
      <c r="A15713" t="s">
        <v>421</v>
      </c>
      <c r="B15713" t="s">
        <v>1</v>
      </c>
      <c r="C15713" t="s">
        <v>2</v>
      </c>
      <c r="D15713">
        <v>1749</v>
      </c>
      <c r="E15713">
        <v>2021</v>
      </c>
      <c r="F15713">
        <v>1</v>
      </c>
      <c r="G15713">
        <v>736</v>
      </c>
      <c r="H15713" s="1">
        <v>3</v>
      </c>
      <c r="I15713">
        <v>16</v>
      </c>
      <c r="J15713">
        <f>IF($H15713=0,1,IF($I15713&lt;=1,2,0))</f>
        <v>0</v>
      </c>
      <c r="K15713">
        <v>7</v>
      </c>
      <c r="L15713">
        <f>IF(AND($J15713=0,$K15713=0),0,1)</f>
        <v>1</v>
      </c>
      <c r="M15713" t="s">
        <v>1050</v>
      </c>
    </row>
    <row r="15714" spans="1:13" x14ac:dyDescent="0.2">
      <c r="A15714" t="s">
        <v>421</v>
      </c>
      <c r="B15714" t="s">
        <v>1</v>
      </c>
      <c r="C15714" t="s">
        <v>2</v>
      </c>
      <c r="D15714">
        <v>1750</v>
      </c>
      <c r="E15714">
        <v>2021</v>
      </c>
      <c r="F15714">
        <v>1</v>
      </c>
      <c r="G15714">
        <v>744</v>
      </c>
      <c r="H15714" s="1">
        <v>3</v>
      </c>
      <c r="I15714">
        <v>16</v>
      </c>
      <c r="J15714">
        <f>IF($H15714=0,1,IF($I15714&lt;=1,2,0))</f>
        <v>0</v>
      </c>
      <c r="K15714">
        <v>7</v>
      </c>
      <c r="L15714">
        <f>IF(AND($J15714=0,$K15714=0),0,1)</f>
        <v>1</v>
      </c>
      <c r="M15714" t="s">
        <v>1050</v>
      </c>
    </row>
    <row r="15715" spans="1:13" x14ac:dyDescent="0.2">
      <c r="A15715" t="s">
        <v>421</v>
      </c>
      <c r="B15715" t="s">
        <v>1</v>
      </c>
      <c r="C15715" t="s">
        <v>2</v>
      </c>
      <c r="D15715">
        <v>1751</v>
      </c>
      <c r="E15715">
        <v>2021</v>
      </c>
      <c r="F15715">
        <v>1</v>
      </c>
      <c r="G15715">
        <v>760</v>
      </c>
      <c r="H15715" s="1">
        <v>3</v>
      </c>
      <c r="I15715">
        <v>16</v>
      </c>
      <c r="J15715">
        <f>IF($H15715=0,1,IF($I15715&lt;=1,2,0))</f>
        <v>0</v>
      </c>
      <c r="K15715">
        <v>7</v>
      </c>
      <c r="L15715">
        <f>IF(AND($J15715=0,$K15715=0),0,1)</f>
        <v>1</v>
      </c>
      <c r="M15715" t="s">
        <v>1050</v>
      </c>
    </row>
    <row r="15716" spans="1:13" x14ac:dyDescent="0.2">
      <c r="A15716" t="s">
        <v>1053</v>
      </c>
      <c r="B15716" t="s">
        <v>1</v>
      </c>
      <c r="C15716" t="s">
        <v>2</v>
      </c>
      <c r="D15716">
        <v>1100</v>
      </c>
      <c r="E15716">
        <v>2021</v>
      </c>
      <c r="F15716">
        <v>1</v>
      </c>
      <c r="G15716">
        <v>683</v>
      </c>
      <c r="H15716" s="1">
        <v>3</v>
      </c>
      <c r="I15716">
        <v>17</v>
      </c>
      <c r="J15716">
        <f>IF($H15716=0,1,IF($I15716&lt;=1,2,0))</f>
        <v>0</v>
      </c>
      <c r="K15716">
        <v>7</v>
      </c>
      <c r="L15716">
        <f>IF(AND($J15716=0,$K15716=0),0,1)</f>
        <v>1</v>
      </c>
    </row>
    <row r="15717" spans="1:13" x14ac:dyDescent="0.2">
      <c r="A15717" t="s">
        <v>1053</v>
      </c>
      <c r="B15717" t="s">
        <v>1</v>
      </c>
      <c r="C15717" t="s">
        <v>2</v>
      </c>
      <c r="D15717">
        <v>1100</v>
      </c>
      <c r="E15717">
        <v>2021</v>
      </c>
      <c r="F15717">
        <v>2</v>
      </c>
      <c r="G15717">
        <v>684</v>
      </c>
      <c r="H15717" s="1">
        <v>3</v>
      </c>
      <c r="I15717">
        <v>15</v>
      </c>
      <c r="J15717">
        <f>IF($H15717=0,1,IF($I15717&lt;=1,2,0))</f>
        <v>0</v>
      </c>
      <c r="K15717">
        <v>7</v>
      </c>
      <c r="L15717">
        <f>IF(AND($J15717=0,$K15717=0),0,1)</f>
        <v>1</v>
      </c>
    </row>
    <row r="15718" spans="1:13" x14ac:dyDescent="0.2">
      <c r="A15718" t="s">
        <v>1053</v>
      </c>
      <c r="B15718" t="s">
        <v>1</v>
      </c>
      <c r="C15718" t="s">
        <v>2</v>
      </c>
      <c r="D15718">
        <v>1100</v>
      </c>
      <c r="E15718">
        <v>2021</v>
      </c>
      <c r="F15718">
        <v>3</v>
      </c>
      <c r="G15718">
        <v>685</v>
      </c>
      <c r="H15718" s="1">
        <v>3</v>
      </c>
      <c r="I15718">
        <v>13</v>
      </c>
      <c r="J15718">
        <f>IF($H15718=0,1,IF($I15718&lt;=1,2,0))</f>
        <v>0</v>
      </c>
      <c r="K15718">
        <v>7</v>
      </c>
      <c r="L15718">
        <f>IF(AND($J15718=0,$K15718=0),0,1)</f>
        <v>1</v>
      </c>
    </row>
    <row r="15719" spans="1:13" x14ac:dyDescent="0.2">
      <c r="A15719" t="s">
        <v>1053</v>
      </c>
      <c r="B15719" t="s">
        <v>1</v>
      </c>
      <c r="C15719" t="s">
        <v>2</v>
      </c>
      <c r="D15719">
        <v>1102</v>
      </c>
      <c r="E15719">
        <v>2021</v>
      </c>
      <c r="F15719">
        <v>1</v>
      </c>
      <c r="G15719">
        <v>686</v>
      </c>
      <c r="H15719" s="1">
        <v>3</v>
      </c>
      <c r="I15719">
        <v>15</v>
      </c>
      <c r="J15719">
        <f>IF($H15719=0,1,IF($I15719&lt;=1,2,0))</f>
        <v>0</v>
      </c>
      <c r="K15719">
        <v>7</v>
      </c>
      <c r="L15719">
        <f>IF(AND($J15719=0,$K15719=0),0,1)</f>
        <v>1</v>
      </c>
    </row>
    <row r="15720" spans="1:13" x14ac:dyDescent="0.2">
      <c r="A15720" t="s">
        <v>1053</v>
      </c>
      <c r="B15720" t="s">
        <v>1</v>
      </c>
      <c r="C15720" t="s">
        <v>2</v>
      </c>
      <c r="D15720">
        <v>1102</v>
      </c>
      <c r="E15720">
        <v>2021</v>
      </c>
      <c r="F15720">
        <v>2</v>
      </c>
      <c r="G15720">
        <v>687</v>
      </c>
      <c r="H15720" s="1">
        <v>3</v>
      </c>
      <c r="I15720">
        <v>15</v>
      </c>
      <c r="J15720">
        <f>IF($H15720=0,1,IF($I15720&lt;=1,2,0))</f>
        <v>0</v>
      </c>
      <c r="K15720">
        <v>7</v>
      </c>
      <c r="L15720">
        <f>IF(AND($J15720=0,$K15720=0),0,1)</f>
        <v>1</v>
      </c>
    </row>
    <row r="15721" spans="1:13" x14ac:dyDescent="0.2">
      <c r="A15721" t="s">
        <v>1053</v>
      </c>
      <c r="B15721" t="s">
        <v>1</v>
      </c>
      <c r="C15721" t="s">
        <v>2</v>
      </c>
      <c r="D15721">
        <v>1102</v>
      </c>
      <c r="E15721">
        <v>2021</v>
      </c>
      <c r="F15721">
        <v>3</v>
      </c>
      <c r="G15721">
        <v>688</v>
      </c>
      <c r="H15721" s="1">
        <v>3</v>
      </c>
      <c r="I15721">
        <v>15</v>
      </c>
      <c r="J15721">
        <f>IF($H15721=0,1,IF($I15721&lt;=1,2,0))</f>
        <v>0</v>
      </c>
      <c r="K15721">
        <v>7</v>
      </c>
      <c r="L15721">
        <f>IF(AND($J15721=0,$K15721=0),0,1)</f>
        <v>1</v>
      </c>
    </row>
    <row r="15722" spans="1:13" x14ac:dyDescent="0.2">
      <c r="A15722" t="s">
        <v>1053</v>
      </c>
      <c r="B15722" t="s">
        <v>1</v>
      </c>
      <c r="C15722" t="s">
        <v>2</v>
      </c>
      <c r="D15722">
        <v>1106</v>
      </c>
      <c r="E15722">
        <v>2021</v>
      </c>
      <c r="F15722">
        <v>1</v>
      </c>
      <c r="G15722">
        <v>711</v>
      </c>
      <c r="H15722" s="1">
        <v>3</v>
      </c>
      <c r="I15722">
        <v>15</v>
      </c>
      <c r="J15722">
        <f>IF($H15722=0,1,IF($I15722&lt;=1,2,0))</f>
        <v>0</v>
      </c>
      <c r="K15722">
        <v>7</v>
      </c>
      <c r="L15722">
        <f>IF(AND($J15722=0,$K15722=0),0,1)</f>
        <v>1</v>
      </c>
    </row>
    <row r="15723" spans="1:13" x14ac:dyDescent="0.2">
      <c r="A15723" t="s">
        <v>1053</v>
      </c>
      <c r="B15723" t="s">
        <v>1</v>
      </c>
      <c r="C15723" t="s">
        <v>2</v>
      </c>
      <c r="D15723">
        <v>1107</v>
      </c>
      <c r="E15723">
        <v>2021</v>
      </c>
      <c r="F15723">
        <v>1</v>
      </c>
      <c r="G15723">
        <v>689</v>
      </c>
      <c r="H15723" s="1">
        <v>3</v>
      </c>
      <c r="I15723">
        <v>15</v>
      </c>
      <c r="J15723">
        <f>IF($H15723=0,1,IF($I15723&lt;=1,2,0))</f>
        <v>0</v>
      </c>
      <c r="K15723">
        <v>7</v>
      </c>
      <c r="L15723">
        <f>IF(AND($J15723=0,$K15723=0),0,1)</f>
        <v>1</v>
      </c>
    </row>
    <row r="15724" spans="1:13" x14ac:dyDescent="0.2">
      <c r="A15724" t="s">
        <v>1053</v>
      </c>
      <c r="B15724" t="s">
        <v>1</v>
      </c>
      <c r="C15724" t="s">
        <v>2</v>
      </c>
      <c r="D15724">
        <v>1107</v>
      </c>
      <c r="E15724">
        <v>2021</v>
      </c>
      <c r="F15724">
        <v>2</v>
      </c>
      <c r="G15724">
        <v>740</v>
      </c>
      <c r="H15724" s="1">
        <v>3</v>
      </c>
      <c r="I15724">
        <v>15</v>
      </c>
      <c r="J15724">
        <f>IF($H15724=0,1,IF($I15724&lt;=1,2,0))</f>
        <v>0</v>
      </c>
      <c r="K15724">
        <v>7</v>
      </c>
      <c r="L15724">
        <f>IF(AND($J15724=0,$K15724=0),0,1)</f>
        <v>1</v>
      </c>
    </row>
    <row r="15725" spans="1:13" x14ac:dyDescent="0.2">
      <c r="A15725" t="s">
        <v>1053</v>
      </c>
      <c r="B15725" t="s">
        <v>1</v>
      </c>
      <c r="C15725" t="s">
        <v>2</v>
      </c>
      <c r="D15725">
        <v>1108</v>
      </c>
      <c r="E15725">
        <v>2021</v>
      </c>
      <c r="F15725">
        <v>1</v>
      </c>
      <c r="G15725">
        <v>690</v>
      </c>
      <c r="H15725" s="1">
        <v>3</v>
      </c>
      <c r="I15725">
        <v>15</v>
      </c>
      <c r="J15725">
        <f>IF($H15725=0,1,IF($I15725&lt;=1,2,0))</f>
        <v>0</v>
      </c>
      <c r="K15725">
        <v>7</v>
      </c>
      <c r="L15725">
        <f>IF(AND($J15725=0,$K15725=0),0,1)</f>
        <v>1</v>
      </c>
    </row>
    <row r="15726" spans="1:13" x14ac:dyDescent="0.2">
      <c r="A15726" t="s">
        <v>1053</v>
      </c>
      <c r="B15726" t="s">
        <v>1</v>
      </c>
      <c r="C15726" t="s">
        <v>2</v>
      </c>
      <c r="D15726">
        <v>1109</v>
      </c>
      <c r="E15726">
        <v>2021</v>
      </c>
      <c r="F15726">
        <v>2</v>
      </c>
      <c r="G15726">
        <v>692</v>
      </c>
      <c r="H15726" s="1">
        <v>3</v>
      </c>
      <c r="I15726">
        <v>15</v>
      </c>
      <c r="J15726">
        <f>IF($H15726=0,1,IF($I15726&lt;=1,2,0))</f>
        <v>0</v>
      </c>
      <c r="K15726">
        <v>7</v>
      </c>
      <c r="L15726">
        <f>IF(AND($J15726=0,$K15726=0),0,1)</f>
        <v>1</v>
      </c>
    </row>
    <row r="15727" spans="1:13" x14ac:dyDescent="0.2">
      <c r="A15727" t="s">
        <v>1053</v>
      </c>
      <c r="B15727" t="s">
        <v>1</v>
      </c>
      <c r="C15727" t="s">
        <v>2</v>
      </c>
      <c r="D15727">
        <v>1109</v>
      </c>
      <c r="E15727">
        <v>2021</v>
      </c>
      <c r="F15727">
        <v>3</v>
      </c>
      <c r="G15727">
        <v>693</v>
      </c>
      <c r="H15727" s="1">
        <v>3</v>
      </c>
      <c r="I15727">
        <v>15</v>
      </c>
      <c r="J15727">
        <f>IF($H15727=0,1,IF($I15727&lt;=1,2,0))</f>
        <v>0</v>
      </c>
      <c r="K15727">
        <v>7</v>
      </c>
      <c r="L15727">
        <f>IF(AND($J15727=0,$K15727=0),0,1)</f>
        <v>1</v>
      </c>
    </row>
    <row r="15728" spans="1:13" x14ac:dyDescent="0.2">
      <c r="A15728" t="s">
        <v>1053</v>
      </c>
      <c r="B15728" t="s">
        <v>1</v>
      </c>
      <c r="C15728" t="s">
        <v>2</v>
      </c>
      <c r="D15728">
        <v>1109</v>
      </c>
      <c r="E15728">
        <v>2021</v>
      </c>
      <c r="F15728">
        <v>1</v>
      </c>
      <c r="G15728">
        <v>691</v>
      </c>
      <c r="H15728" s="1">
        <v>3</v>
      </c>
      <c r="I15728">
        <v>14</v>
      </c>
      <c r="J15728">
        <f>IF($H15728=0,1,IF($I15728&lt;=1,2,0))</f>
        <v>0</v>
      </c>
      <c r="K15728">
        <v>7</v>
      </c>
      <c r="L15728">
        <f>IF(AND($J15728=0,$K15728=0),0,1)</f>
        <v>1</v>
      </c>
    </row>
    <row r="15729" spans="1:12" x14ac:dyDescent="0.2">
      <c r="A15729" t="s">
        <v>1053</v>
      </c>
      <c r="B15729" t="s">
        <v>1</v>
      </c>
      <c r="C15729" t="s">
        <v>2</v>
      </c>
      <c r="D15729">
        <v>1110</v>
      </c>
      <c r="E15729">
        <v>2021</v>
      </c>
      <c r="F15729">
        <v>2</v>
      </c>
      <c r="G15729">
        <v>695</v>
      </c>
      <c r="H15729" s="1">
        <v>3</v>
      </c>
      <c r="I15729">
        <v>16</v>
      </c>
      <c r="J15729">
        <f>IF($H15729=0,1,IF($I15729&lt;=1,2,0))</f>
        <v>0</v>
      </c>
      <c r="K15729">
        <v>7</v>
      </c>
      <c r="L15729">
        <f>IF(AND($J15729=0,$K15729=0),0,1)</f>
        <v>1</v>
      </c>
    </row>
    <row r="15730" spans="1:12" x14ac:dyDescent="0.2">
      <c r="A15730" t="s">
        <v>1053</v>
      </c>
      <c r="B15730" t="s">
        <v>1</v>
      </c>
      <c r="C15730" t="s">
        <v>2</v>
      </c>
      <c r="D15730">
        <v>1110</v>
      </c>
      <c r="E15730">
        <v>2021</v>
      </c>
      <c r="F15730">
        <v>1</v>
      </c>
      <c r="G15730">
        <v>694</v>
      </c>
      <c r="H15730" s="1">
        <v>3</v>
      </c>
      <c r="I15730">
        <v>14</v>
      </c>
      <c r="J15730">
        <f>IF($H15730=0,1,IF($I15730&lt;=1,2,0))</f>
        <v>0</v>
      </c>
      <c r="K15730">
        <v>7</v>
      </c>
      <c r="L15730">
        <f>IF(AND($J15730=0,$K15730=0),0,1)</f>
        <v>1</v>
      </c>
    </row>
    <row r="15731" spans="1:12" x14ac:dyDescent="0.2">
      <c r="A15731" t="s">
        <v>1053</v>
      </c>
      <c r="B15731" t="s">
        <v>1</v>
      </c>
      <c r="C15731" t="s">
        <v>2</v>
      </c>
      <c r="D15731">
        <v>1111</v>
      </c>
      <c r="E15731">
        <v>2021</v>
      </c>
      <c r="F15731">
        <v>1</v>
      </c>
      <c r="G15731">
        <v>696</v>
      </c>
      <c r="H15731" s="1">
        <v>3</v>
      </c>
      <c r="I15731">
        <v>15</v>
      </c>
      <c r="J15731">
        <f>IF($H15731=0,1,IF($I15731&lt;=1,2,0))</f>
        <v>0</v>
      </c>
      <c r="K15731">
        <v>7</v>
      </c>
      <c r="L15731">
        <f>IF(AND($J15731=0,$K15731=0),0,1)</f>
        <v>1</v>
      </c>
    </row>
    <row r="15732" spans="1:12" x14ac:dyDescent="0.2">
      <c r="A15732" t="s">
        <v>1053</v>
      </c>
      <c r="B15732" t="s">
        <v>1</v>
      </c>
      <c r="C15732" t="s">
        <v>2</v>
      </c>
      <c r="D15732">
        <v>1114</v>
      </c>
      <c r="E15732">
        <v>2021</v>
      </c>
      <c r="F15732">
        <v>1</v>
      </c>
      <c r="G15732">
        <v>741</v>
      </c>
      <c r="H15732" s="1">
        <v>3</v>
      </c>
      <c r="I15732">
        <v>15</v>
      </c>
      <c r="J15732">
        <f>IF($H15732=0,1,IF($I15732&lt;=1,2,0))</f>
        <v>0</v>
      </c>
      <c r="K15732">
        <v>7</v>
      </c>
      <c r="L15732">
        <f>IF(AND($J15732=0,$K15732=0),0,1)</f>
        <v>1</v>
      </c>
    </row>
    <row r="15733" spans="1:12" x14ac:dyDescent="0.2">
      <c r="A15733" t="s">
        <v>1053</v>
      </c>
      <c r="B15733" t="s">
        <v>1</v>
      </c>
      <c r="C15733" t="s">
        <v>2</v>
      </c>
      <c r="D15733">
        <v>1120</v>
      </c>
      <c r="E15733">
        <v>2021</v>
      </c>
      <c r="F15733">
        <v>1</v>
      </c>
      <c r="G15733">
        <v>697</v>
      </c>
      <c r="H15733" s="1">
        <v>3</v>
      </c>
      <c r="I15733">
        <v>15</v>
      </c>
      <c r="J15733">
        <f>IF($H15733=0,1,IF($I15733&lt;=1,2,0))</f>
        <v>0</v>
      </c>
      <c r="K15733">
        <v>7</v>
      </c>
      <c r="L15733">
        <f>IF(AND($J15733=0,$K15733=0),0,1)</f>
        <v>1</v>
      </c>
    </row>
    <row r="15734" spans="1:12" x14ac:dyDescent="0.2">
      <c r="A15734" t="s">
        <v>1053</v>
      </c>
      <c r="B15734" t="s">
        <v>1</v>
      </c>
      <c r="C15734" t="s">
        <v>2</v>
      </c>
      <c r="D15734">
        <v>1121</v>
      </c>
      <c r="E15734">
        <v>2021</v>
      </c>
      <c r="F15734">
        <v>1</v>
      </c>
      <c r="G15734">
        <v>698</v>
      </c>
      <c r="H15734" s="1">
        <v>3</v>
      </c>
      <c r="I15734">
        <v>15</v>
      </c>
      <c r="J15734">
        <f>IF($H15734=0,1,IF($I15734&lt;=1,2,0))</f>
        <v>0</v>
      </c>
      <c r="K15734">
        <v>7</v>
      </c>
      <c r="L15734">
        <f>IF(AND($J15734=0,$K15734=0),0,1)</f>
        <v>1</v>
      </c>
    </row>
    <row r="15735" spans="1:12" x14ac:dyDescent="0.2">
      <c r="A15735" t="s">
        <v>1053</v>
      </c>
      <c r="B15735" t="s">
        <v>1</v>
      </c>
      <c r="C15735" t="s">
        <v>2</v>
      </c>
      <c r="D15735">
        <v>1121</v>
      </c>
      <c r="E15735">
        <v>2021</v>
      </c>
      <c r="F15735">
        <v>2</v>
      </c>
      <c r="G15735">
        <v>699</v>
      </c>
      <c r="H15735" s="1">
        <v>3</v>
      </c>
      <c r="I15735">
        <v>15</v>
      </c>
      <c r="J15735">
        <f>IF($H15735=0,1,IF($I15735&lt;=1,2,0))</f>
        <v>0</v>
      </c>
      <c r="K15735">
        <v>7</v>
      </c>
      <c r="L15735">
        <f>IF(AND($J15735=0,$K15735=0),0,1)</f>
        <v>1</v>
      </c>
    </row>
    <row r="15736" spans="1:12" x14ac:dyDescent="0.2">
      <c r="A15736" t="s">
        <v>1053</v>
      </c>
      <c r="B15736" t="s">
        <v>1</v>
      </c>
      <c r="C15736" t="s">
        <v>2</v>
      </c>
      <c r="D15736">
        <v>1123</v>
      </c>
      <c r="E15736">
        <v>2021</v>
      </c>
      <c r="F15736">
        <v>1</v>
      </c>
      <c r="G15736">
        <v>701</v>
      </c>
      <c r="H15736" s="1">
        <v>3</v>
      </c>
      <c r="I15736">
        <v>15</v>
      </c>
      <c r="J15736">
        <f>IF($H15736=0,1,IF($I15736&lt;=1,2,0))</f>
        <v>0</v>
      </c>
      <c r="K15736">
        <v>7</v>
      </c>
      <c r="L15736">
        <f>IF(AND($J15736=0,$K15736=0),0,1)</f>
        <v>1</v>
      </c>
    </row>
    <row r="15737" spans="1:12" x14ac:dyDescent="0.2">
      <c r="A15737" t="s">
        <v>1053</v>
      </c>
      <c r="B15737" t="s">
        <v>1</v>
      </c>
      <c r="C15737" t="s">
        <v>2</v>
      </c>
      <c r="D15737">
        <v>1503</v>
      </c>
      <c r="E15737">
        <v>2021</v>
      </c>
      <c r="F15737">
        <v>1</v>
      </c>
      <c r="G15737">
        <v>702</v>
      </c>
      <c r="H15737" s="1">
        <v>4</v>
      </c>
      <c r="I15737">
        <v>12</v>
      </c>
      <c r="J15737">
        <f>IF($H15737=0,1,IF($I15737&lt;=1,2,0))</f>
        <v>0</v>
      </c>
      <c r="K15737">
        <v>7</v>
      </c>
      <c r="L15737">
        <f>IF(AND($J15737=0,$K15737=0),0,1)</f>
        <v>1</v>
      </c>
    </row>
    <row r="15738" spans="1:12" x14ac:dyDescent="0.2">
      <c r="A15738" t="s">
        <v>1053</v>
      </c>
      <c r="B15738" t="s">
        <v>1</v>
      </c>
      <c r="C15738" t="s">
        <v>2</v>
      </c>
      <c r="D15738">
        <v>1503</v>
      </c>
      <c r="E15738">
        <v>2021</v>
      </c>
      <c r="F15738">
        <v>2</v>
      </c>
      <c r="G15738">
        <v>703</v>
      </c>
      <c r="H15738" s="1">
        <v>4</v>
      </c>
      <c r="I15738">
        <v>11</v>
      </c>
      <c r="J15738">
        <f>IF($H15738=0,1,IF($I15738&lt;=1,2,0))</f>
        <v>0</v>
      </c>
      <c r="K15738">
        <v>7</v>
      </c>
      <c r="L15738">
        <f>IF(AND($J15738=0,$K15738=0),0,1)</f>
        <v>1</v>
      </c>
    </row>
    <row r="15739" spans="1:12" x14ac:dyDescent="0.2">
      <c r="A15739" t="s">
        <v>1053</v>
      </c>
      <c r="B15739" t="s">
        <v>1</v>
      </c>
      <c r="C15739" t="s">
        <v>2</v>
      </c>
      <c r="D15739">
        <v>1504</v>
      </c>
      <c r="E15739">
        <v>2021</v>
      </c>
      <c r="F15739">
        <v>1</v>
      </c>
      <c r="G15739">
        <v>704</v>
      </c>
      <c r="H15739" s="1">
        <v>4</v>
      </c>
      <c r="I15739">
        <v>12</v>
      </c>
      <c r="J15739">
        <f>IF($H15739=0,1,IF($I15739&lt;=1,2,0))</f>
        <v>0</v>
      </c>
      <c r="K15739">
        <v>7</v>
      </c>
      <c r="L15739">
        <f>IF(AND($J15739=0,$K15739=0),0,1)</f>
        <v>1</v>
      </c>
    </row>
    <row r="15740" spans="1:12" x14ac:dyDescent="0.2">
      <c r="A15740" t="s">
        <v>1053</v>
      </c>
      <c r="B15740" t="s">
        <v>1</v>
      </c>
      <c r="C15740" t="s">
        <v>2</v>
      </c>
      <c r="D15740">
        <v>1505</v>
      </c>
      <c r="E15740">
        <v>2021</v>
      </c>
      <c r="F15740">
        <v>1</v>
      </c>
      <c r="G15740">
        <v>705</v>
      </c>
      <c r="H15740" s="1">
        <v>4</v>
      </c>
      <c r="I15740">
        <v>12</v>
      </c>
      <c r="J15740">
        <f>IF($H15740=0,1,IF($I15740&lt;=1,2,0))</f>
        <v>0</v>
      </c>
      <c r="K15740">
        <v>7</v>
      </c>
      <c r="L15740">
        <f>IF(AND($J15740=0,$K15740=0),0,1)</f>
        <v>1</v>
      </c>
    </row>
    <row r="15741" spans="1:12" x14ac:dyDescent="0.2">
      <c r="A15741" t="s">
        <v>1053</v>
      </c>
      <c r="B15741" t="s">
        <v>1</v>
      </c>
      <c r="C15741" t="s">
        <v>2</v>
      </c>
      <c r="D15741">
        <v>1506</v>
      </c>
      <c r="E15741">
        <v>2021</v>
      </c>
      <c r="F15741">
        <v>1</v>
      </c>
      <c r="G15741">
        <v>706</v>
      </c>
      <c r="H15741" s="1">
        <v>4</v>
      </c>
      <c r="I15741">
        <v>12</v>
      </c>
      <c r="J15741">
        <f>IF($H15741=0,1,IF($I15741&lt;=1,2,0))</f>
        <v>0</v>
      </c>
      <c r="K15741">
        <v>7</v>
      </c>
      <c r="L15741">
        <f>IF(AND($J15741=0,$K15741=0),0,1)</f>
        <v>1</v>
      </c>
    </row>
    <row r="15742" spans="1:12" x14ac:dyDescent="0.2">
      <c r="A15742" t="s">
        <v>1053</v>
      </c>
      <c r="B15742" t="s">
        <v>1</v>
      </c>
      <c r="C15742" t="s">
        <v>2</v>
      </c>
      <c r="D15742">
        <v>1506</v>
      </c>
      <c r="E15742">
        <v>2021</v>
      </c>
      <c r="F15742">
        <v>2</v>
      </c>
      <c r="G15742">
        <v>707</v>
      </c>
      <c r="H15742" s="1">
        <v>4</v>
      </c>
      <c r="I15742">
        <v>12</v>
      </c>
      <c r="J15742">
        <f>IF($H15742=0,1,IF($I15742&lt;=1,2,0))</f>
        <v>0</v>
      </c>
      <c r="K15742">
        <v>7</v>
      </c>
      <c r="L15742">
        <f>IF(AND($J15742=0,$K15742=0),0,1)</f>
        <v>1</v>
      </c>
    </row>
    <row r="15743" spans="1:12" x14ac:dyDescent="0.2">
      <c r="A15743" t="s">
        <v>423</v>
      </c>
      <c r="B15743" t="s">
        <v>133</v>
      </c>
      <c r="C15743" t="s">
        <v>11</v>
      </c>
      <c r="D15743">
        <v>9321</v>
      </c>
      <c r="E15743">
        <v>2021</v>
      </c>
      <c r="F15743">
        <v>1</v>
      </c>
      <c r="G15743">
        <v>17544</v>
      </c>
      <c r="H15743" s="1">
        <v>1</v>
      </c>
      <c r="I15743">
        <v>38</v>
      </c>
      <c r="J15743">
        <f>IF($H15743=0,1,IF($I15743&lt;=1,2,0))</f>
        <v>0</v>
      </c>
      <c r="K15743">
        <v>5</v>
      </c>
      <c r="L15743">
        <f>IF(AND($J15743=0,$K15743=0),0,1)</f>
        <v>1</v>
      </c>
    </row>
    <row r="15744" spans="1:12" x14ac:dyDescent="0.2">
      <c r="A15744" t="s">
        <v>423</v>
      </c>
      <c r="B15744" t="s">
        <v>133</v>
      </c>
      <c r="C15744" t="s">
        <v>11</v>
      </c>
      <c r="D15744">
        <v>9355</v>
      </c>
      <c r="E15744">
        <v>2021</v>
      </c>
      <c r="F15744">
        <v>1</v>
      </c>
      <c r="G15744">
        <v>17545</v>
      </c>
      <c r="H15744" s="1" t="s">
        <v>1843</v>
      </c>
      <c r="I15744">
        <v>32</v>
      </c>
      <c r="J15744">
        <f>IF($H15744=0,1,IF($I15744&lt;=1,2,0))</f>
        <v>0</v>
      </c>
      <c r="K15744">
        <v>5</v>
      </c>
      <c r="L15744">
        <f>IF(AND($J15744=0,$K15744=0),0,1)</f>
        <v>1</v>
      </c>
    </row>
    <row r="15745" spans="1:13" x14ac:dyDescent="0.2">
      <c r="A15745" t="s">
        <v>424</v>
      </c>
      <c r="B15745" t="s">
        <v>17</v>
      </c>
      <c r="C15745" t="s">
        <v>2</v>
      </c>
      <c r="D15745">
        <v>3009</v>
      </c>
      <c r="E15745">
        <v>2021</v>
      </c>
      <c r="F15745">
        <v>1</v>
      </c>
      <c r="G15745">
        <v>37</v>
      </c>
      <c r="H15745" s="1">
        <v>3</v>
      </c>
      <c r="I15745">
        <v>12</v>
      </c>
      <c r="J15745">
        <f>IF($H15745=0,1,IF($I15745&lt;=1,2,0))</f>
        <v>0</v>
      </c>
      <c r="K15745">
        <v>7</v>
      </c>
      <c r="L15745">
        <f>IF(AND($J15745=0,$K15745=0),0,1)</f>
        <v>1</v>
      </c>
    </row>
    <row r="15746" spans="1:13" x14ac:dyDescent="0.2">
      <c r="A15746" t="s">
        <v>424</v>
      </c>
      <c r="B15746" t="s">
        <v>17</v>
      </c>
      <c r="C15746" t="s">
        <v>2</v>
      </c>
      <c r="D15746">
        <v>3050</v>
      </c>
      <c r="E15746">
        <v>2021</v>
      </c>
      <c r="F15746">
        <v>1</v>
      </c>
      <c r="G15746">
        <v>34</v>
      </c>
      <c r="H15746" s="1">
        <v>3</v>
      </c>
      <c r="I15746">
        <v>3</v>
      </c>
      <c r="J15746">
        <f>IF($H15746=0,1,IF($I15746&lt;=1,2,0))</f>
        <v>0</v>
      </c>
      <c r="K15746">
        <v>7</v>
      </c>
      <c r="L15746">
        <f>IF(AND($J15746=0,$K15746=0),0,1)</f>
        <v>1</v>
      </c>
      <c r="M15746" t="s">
        <v>1575</v>
      </c>
    </row>
    <row r="15747" spans="1:13" x14ac:dyDescent="0.2">
      <c r="A15747" t="s">
        <v>424</v>
      </c>
      <c r="B15747" t="s">
        <v>17</v>
      </c>
      <c r="C15747" t="s">
        <v>9</v>
      </c>
      <c r="D15747">
        <v>3444</v>
      </c>
      <c r="E15747">
        <v>2021</v>
      </c>
      <c r="F15747" t="s">
        <v>1349</v>
      </c>
      <c r="G15747">
        <v>20382</v>
      </c>
      <c r="H15747" s="1">
        <v>0</v>
      </c>
      <c r="I15747">
        <v>0</v>
      </c>
      <c r="J15747">
        <f>IF($H15747=0,1,IF($I15747&lt;=1,2,0))</f>
        <v>1</v>
      </c>
      <c r="K15747">
        <v>0</v>
      </c>
      <c r="L15747">
        <f>IF(AND($J15747=0,$K15747=0),0,1)</f>
        <v>1</v>
      </c>
    </row>
    <row r="15748" spans="1:13" x14ac:dyDescent="0.2">
      <c r="A15748" t="s">
        <v>424</v>
      </c>
      <c r="B15748" t="s">
        <v>17</v>
      </c>
      <c r="C15748" t="s">
        <v>9</v>
      </c>
      <c r="D15748">
        <v>3997</v>
      </c>
      <c r="E15748">
        <v>2021</v>
      </c>
      <c r="F15748">
        <v>1</v>
      </c>
      <c r="G15748">
        <v>20519</v>
      </c>
      <c r="H15748" s="1">
        <v>3</v>
      </c>
      <c r="I15748">
        <v>1</v>
      </c>
      <c r="J15748">
        <f>IF($H15748=0,1,IF($I15748&lt;=1,2,0))</f>
        <v>2</v>
      </c>
      <c r="K15748">
        <v>9</v>
      </c>
      <c r="L15748">
        <f>IF(AND($J15748=0,$K15748=0),0,1)</f>
        <v>1</v>
      </c>
    </row>
    <row r="15749" spans="1:13" x14ac:dyDescent="0.2">
      <c r="A15749" t="s">
        <v>426</v>
      </c>
      <c r="B15749" t="s">
        <v>17</v>
      </c>
      <c r="C15749" t="s">
        <v>21</v>
      </c>
      <c r="D15749">
        <v>1101</v>
      </c>
      <c r="E15749">
        <v>2021</v>
      </c>
      <c r="F15749" t="s">
        <v>1436</v>
      </c>
      <c r="G15749">
        <v>18929</v>
      </c>
      <c r="H15749" s="1">
        <v>0</v>
      </c>
      <c r="I15749">
        <v>2</v>
      </c>
      <c r="J15749">
        <f>IF($H15749=0,1,IF($I15749&lt;=1,2,0))</f>
        <v>1</v>
      </c>
      <c r="K15749">
        <v>0</v>
      </c>
      <c r="L15749">
        <f>IF(AND($J15749=0,$K15749=0),0,1)</f>
        <v>1</v>
      </c>
    </row>
    <row r="15750" spans="1:13" x14ac:dyDescent="0.2">
      <c r="A15750" t="s">
        <v>426</v>
      </c>
      <c r="B15750" t="s">
        <v>17</v>
      </c>
      <c r="C15750" t="s">
        <v>21</v>
      </c>
      <c r="D15750">
        <v>1101</v>
      </c>
      <c r="E15750">
        <v>2021</v>
      </c>
      <c r="F15750" t="s">
        <v>1349</v>
      </c>
      <c r="G15750">
        <v>20207</v>
      </c>
      <c r="H15750" s="1">
        <v>0</v>
      </c>
      <c r="I15750">
        <v>1</v>
      </c>
      <c r="J15750">
        <f>IF($H15750=0,1,IF($I15750&lt;=1,2,0))</f>
        <v>1</v>
      </c>
      <c r="K15750">
        <v>0</v>
      </c>
      <c r="L15750">
        <f>IF(AND($J15750=0,$K15750=0),0,1)</f>
        <v>1</v>
      </c>
    </row>
    <row r="15751" spans="1:13" x14ac:dyDescent="0.2">
      <c r="A15751" t="s">
        <v>426</v>
      </c>
      <c r="B15751" t="s">
        <v>17</v>
      </c>
      <c r="C15751" t="s">
        <v>9</v>
      </c>
      <c r="D15751">
        <v>3980</v>
      </c>
      <c r="E15751">
        <v>2021</v>
      </c>
      <c r="F15751">
        <v>1</v>
      </c>
      <c r="G15751">
        <v>10701</v>
      </c>
      <c r="H15751" s="1">
        <v>3</v>
      </c>
      <c r="I15751">
        <v>1</v>
      </c>
      <c r="J15751">
        <f>IF($H15751=0,1,IF($I15751&lt;=1,2,0))</f>
        <v>2</v>
      </c>
      <c r="K15751">
        <v>0</v>
      </c>
      <c r="L15751">
        <f>IF(AND($J15751=0,$K15751=0),0,1)</f>
        <v>1</v>
      </c>
    </row>
    <row r="15752" spans="1:13" x14ac:dyDescent="0.2">
      <c r="A15752" t="s">
        <v>426</v>
      </c>
      <c r="B15752" t="s">
        <v>17</v>
      </c>
      <c r="C15752" t="s">
        <v>21</v>
      </c>
      <c r="D15752">
        <v>3996</v>
      </c>
      <c r="E15752">
        <v>2021</v>
      </c>
      <c r="F15752">
        <v>1</v>
      </c>
      <c r="G15752">
        <v>10702</v>
      </c>
      <c r="H15752" s="1">
        <v>3</v>
      </c>
      <c r="I15752">
        <v>1</v>
      </c>
      <c r="J15752">
        <f>IF($H15752=0,1,IF($I15752&lt;=1,2,0))</f>
        <v>2</v>
      </c>
      <c r="K15752">
        <v>0</v>
      </c>
      <c r="L15752">
        <f>IF(AND($J15752=0,$K15752=0),0,1)</f>
        <v>1</v>
      </c>
    </row>
    <row r="15753" spans="1:13" x14ac:dyDescent="0.2">
      <c r="A15753" t="s">
        <v>426</v>
      </c>
      <c r="B15753" t="s">
        <v>17</v>
      </c>
      <c r="C15753" t="s">
        <v>21</v>
      </c>
      <c r="D15753">
        <v>3996</v>
      </c>
      <c r="E15753">
        <v>2021</v>
      </c>
      <c r="F15753" t="s">
        <v>1349</v>
      </c>
      <c r="G15753">
        <v>18931</v>
      </c>
      <c r="H15753" s="1">
        <v>0</v>
      </c>
      <c r="I15753">
        <v>0</v>
      </c>
      <c r="J15753">
        <f>IF($H15753=0,1,IF($I15753&lt;=1,2,0))</f>
        <v>1</v>
      </c>
      <c r="K15753">
        <v>0</v>
      </c>
      <c r="L15753">
        <f>IF(AND($J15753=0,$K15753=0),0,1)</f>
        <v>1</v>
      </c>
    </row>
    <row r="15754" spans="1:13" x14ac:dyDescent="0.2">
      <c r="A15754" t="s">
        <v>426</v>
      </c>
      <c r="B15754" t="s">
        <v>17</v>
      </c>
      <c r="C15754" t="s">
        <v>21</v>
      </c>
      <c r="D15754">
        <v>3997</v>
      </c>
      <c r="E15754">
        <v>2021</v>
      </c>
      <c r="F15754">
        <v>1</v>
      </c>
      <c r="G15754">
        <v>10703</v>
      </c>
      <c r="H15754" s="1">
        <v>3</v>
      </c>
      <c r="I15754">
        <v>0</v>
      </c>
      <c r="J15754">
        <f>IF($H15754=0,1,IF($I15754&lt;=1,2,0))</f>
        <v>2</v>
      </c>
      <c r="K15754">
        <v>9</v>
      </c>
      <c r="L15754">
        <f>IF(AND($J15754=0,$K15754=0),0,1)</f>
        <v>1</v>
      </c>
    </row>
    <row r="15755" spans="1:13" x14ac:dyDescent="0.2">
      <c r="A15755" t="s">
        <v>426</v>
      </c>
      <c r="B15755" t="s">
        <v>17</v>
      </c>
      <c r="C15755" t="s">
        <v>21</v>
      </c>
      <c r="D15755">
        <v>3997</v>
      </c>
      <c r="E15755">
        <v>2021</v>
      </c>
      <c r="F15755">
        <v>2</v>
      </c>
      <c r="G15755">
        <v>10704</v>
      </c>
      <c r="H15755" s="1">
        <v>3</v>
      </c>
      <c r="I15755">
        <v>0</v>
      </c>
      <c r="J15755">
        <f>IF($H15755=0,1,IF($I15755&lt;=1,2,0))</f>
        <v>2</v>
      </c>
      <c r="K15755">
        <v>9</v>
      </c>
      <c r="L15755">
        <f>IF(AND($J15755=0,$K15755=0),0,1)</f>
        <v>1</v>
      </c>
    </row>
    <row r="15756" spans="1:13" x14ac:dyDescent="0.2">
      <c r="A15756" t="s">
        <v>426</v>
      </c>
      <c r="B15756" t="s">
        <v>17</v>
      </c>
      <c r="C15756" t="s">
        <v>21</v>
      </c>
      <c r="D15756">
        <v>3997</v>
      </c>
      <c r="E15756">
        <v>2021</v>
      </c>
      <c r="F15756">
        <v>3</v>
      </c>
      <c r="G15756">
        <v>10705</v>
      </c>
      <c r="H15756" s="1">
        <v>3</v>
      </c>
      <c r="I15756">
        <v>0</v>
      </c>
      <c r="J15756">
        <f>IF($H15756=0,1,IF($I15756&lt;=1,2,0))</f>
        <v>2</v>
      </c>
      <c r="K15756">
        <v>9</v>
      </c>
      <c r="L15756">
        <f>IF(AND($J15756=0,$K15756=0),0,1)</f>
        <v>1</v>
      </c>
    </row>
    <row r="15757" spans="1:13" x14ac:dyDescent="0.2">
      <c r="A15757" t="s">
        <v>426</v>
      </c>
      <c r="B15757" t="s">
        <v>17</v>
      </c>
      <c r="C15757" t="s">
        <v>21</v>
      </c>
      <c r="D15757">
        <v>3997</v>
      </c>
      <c r="E15757">
        <v>2021</v>
      </c>
      <c r="F15757">
        <v>4</v>
      </c>
      <c r="G15757">
        <v>10706</v>
      </c>
      <c r="H15757" s="1">
        <v>3</v>
      </c>
      <c r="I15757">
        <v>0</v>
      </c>
      <c r="J15757">
        <f>IF($H15757=0,1,IF($I15757&lt;=1,2,0))</f>
        <v>2</v>
      </c>
      <c r="K15757">
        <v>9</v>
      </c>
      <c r="L15757">
        <f>IF(AND($J15757=0,$K15757=0),0,1)</f>
        <v>1</v>
      </c>
    </row>
    <row r="15758" spans="1:13" x14ac:dyDescent="0.2">
      <c r="A15758" t="s">
        <v>426</v>
      </c>
      <c r="B15758" t="s">
        <v>17</v>
      </c>
      <c r="C15758" t="s">
        <v>21</v>
      </c>
      <c r="D15758">
        <v>3997</v>
      </c>
      <c r="E15758">
        <v>2021</v>
      </c>
      <c r="F15758">
        <v>6</v>
      </c>
      <c r="G15758">
        <v>10707</v>
      </c>
      <c r="H15758" s="1">
        <v>3</v>
      </c>
      <c r="I15758">
        <v>0</v>
      </c>
      <c r="J15758">
        <f>IF($H15758=0,1,IF($I15758&lt;=1,2,0))</f>
        <v>2</v>
      </c>
      <c r="K15758">
        <v>9</v>
      </c>
      <c r="L15758">
        <f>IF(AND($J15758=0,$K15758=0),0,1)</f>
        <v>1</v>
      </c>
    </row>
    <row r="15759" spans="1:13" x14ac:dyDescent="0.2">
      <c r="A15759" t="s">
        <v>426</v>
      </c>
      <c r="B15759" t="s">
        <v>17</v>
      </c>
      <c r="C15759" t="s">
        <v>21</v>
      </c>
      <c r="D15759">
        <v>3998</v>
      </c>
      <c r="E15759">
        <v>2021</v>
      </c>
      <c r="F15759">
        <v>1</v>
      </c>
      <c r="G15759">
        <v>10708</v>
      </c>
      <c r="H15759" s="1">
        <v>3</v>
      </c>
      <c r="I15759">
        <v>0</v>
      </c>
      <c r="J15759">
        <f>IF($H15759=0,1,IF($I15759&lt;=1,2,0))</f>
        <v>2</v>
      </c>
      <c r="K15759">
        <v>9</v>
      </c>
      <c r="L15759">
        <f>IF(AND($J15759=0,$K15759=0),0,1)</f>
        <v>1</v>
      </c>
    </row>
    <row r="15760" spans="1:13" x14ac:dyDescent="0.2">
      <c r="A15760" t="s">
        <v>426</v>
      </c>
      <c r="B15760" t="s">
        <v>17</v>
      </c>
      <c r="C15760" t="s">
        <v>21</v>
      </c>
      <c r="D15760">
        <v>3998</v>
      </c>
      <c r="E15760">
        <v>2021</v>
      </c>
      <c r="F15760">
        <v>2</v>
      </c>
      <c r="G15760">
        <v>10709</v>
      </c>
      <c r="H15760" s="1">
        <v>3</v>
      </c>
      <c r="I15760">
        <v>0</v>
      </c>
      <c r="J15760">
        <f>IF($H15760=0,1,IF($I15760&lt;=1,2,0))</f>
        <v>2</v>
      </c>
      <c r="K15760">
        <v>9</v>
      </c>
      <c r="L15760">
        <f>IF(AND($J15760=0,$K15760=0),0,1)</f>
        <v>1</v>
      </c>
    </row>
    <row r="15761" spans="1:13" x14ac:dyDescent="0.2">
      <c r="A15761" t="s">
        <v>426</v>
      </c>
      <c r="B15761" t="s">
        <v>17</v>
      </c>
      <c r="C15761" t="s">
        <v>21</v>
      </c>
      <c r="D15761">
        <v>3998</v>
      </c>
      <c r="E15761">
        <v>2021</v>
      </c>
      <c r="F15761">
        <v>3</v>
      </c>
      <c r="G15761">
        <v>10710</v>
      </c>
      <c r="H15761" s="1">
        <v>3</v>
      </c>
      <c r="I15761">
        <v>0</v>
      </c>
      <c r="J15761">
        <f>IF($H15761=0,1,IF($I15761&lt;=1,2,0))</f>
        <v>2</v>
      </c>
      <c r="K15761">
        <v>9</v>
      </c>
      <c r="L15761">
        <f>IF(AND($J15761=0,$K15761=0),0,1)</f>
        <v>1</v>
      </c>
    </row>
    <row r="15762" spans="1:13" x14ac:dyDescent="0.2">
      <c r="A15762" t="s">
        <v>426</v>
      </c>
      <c r="B15762" t="s">
        <v>17</v>
      </c>
      <c r="C15762" t="s">
        <v>21</v>
      </c>
      <c r="D15762">
        <v>3998</v>
      </c>
      <c r="E15762">
        <v>2021</v>
      </c>
      <c r="F15762">
        <v>4</v>
      </c>
      <c r="G15762">
        <v>10711</v>
      </c>
      <c r="H15762" s="1">
        <v>3</v>
      </c>
      <c r="I15762">
        <v>0</v>
      </c>
      <c r="J15762">
        <f>IF($H15762=0,1,IF($I15762&lt;=1,2,0))</f>
        <v>2</v>
      </c>
      <c r="K15762">
        <v>9</v>
      </c>
      <c r="L15762">
        <f>IF(AND($J15762=0,$K15762=0),0,1)</f>
        <v>1</v>
      </c>
    </row>
    <row r="15763" spans="1:13" x14ac:dyDescent="0.2">
      <c r="A15763" t="s">
        <v>426</v>
      </c>
      <c r="B15763" t="s">
        <v>17</v>
      </c>
      <c r="C15763" t="s">
        <v>21</v>
      </c>
      <c r="D15763">
        <v>3998</v>
      </c>
      <c r="E15763">
        <v>2021</v>
      </c>
      <c r="F15763">
        <v>5</v>
      </c>
      <c r="G15763">
        <v>10712</v>
      </c>
      <c r="H15763" s="1">
        <v>3</v>
      </c>
      <c r="I15763">
        <v>0</v>
      </c>
      <c r="J15763">
        <f>IF($H15763=0,1,IF($I15763&lt;=1,2,0))</f>
        <v>2</v>
      </c>
      <c r="K15763">
        <v>9</v>
      </c>
      <c r="L15763">
        <f>IF(AND($J15763=0,$K15763=0),0,1)</f>
        <v>1</v>
      </c>
    </row>
    <row r="15764" spans="1:13" x14ac:dyDescent="0.2">
      <c r="A15764" t="s">
        <v>429</v>
      </c>
      <c r="B15764" t="s">
        <v>17</v>
      </c>
      <c r="C15764" t="s">
        <v>21</v>
      </c>
      <c r="D15764">
        <v>1101</v>
      </c>
      <c r="E15764">
        <v>2021</v>
      </c>
      <c r="F15764" t="s">
        <v>1349</v>
      </c>
      <c r="G15764">
        <v>18930</v>
      </c>
      <c r="H15764" s="1">
        <v>0</v>
      </c>
      <c r="I15764">
        <v>1</v>
      </c>
      <c r="J15764">
        <f>IF($H15764=0,1,IF($I15764&lt;=1,2,0))</f>
        <v>1</v>
      </c>
      <c r="K15764">
        <v>0</v>
      </c>
      <c r="L15764">
        <f>IF(AND($J15764=0,$K15764=0),0,1)</f>
        <v>1</v>
      </c>
    </row>
    <row r="15765" spans="1:13" x14ac:dyDescent="0.2">
      <c r="A15765" t="s">
        <v>429</v>
      </c>
      <c r="B15765" t="s">
        <v>17</v>
      </c>
      <c r="C15765" t="s">
        <v>21</v>
      </c>
      <c r="D15765">
        <v>3997</v>
      </c>
      <c r="E15765">
        <v>2021</v>
      </c>
      <c r="F15765">
        <v>2</v>
      </c>
      <c r="G15765">
        <v>10725</v>
      </c>
      <c r="H15765" s="1" t="s">
        <v>1823</v>
      </c>
      <c r="I15765">
        <v>2</v>
      </c>
      <c r="J15765">
        <f>IF($H15765=0,1,IF($I15765&lt;=1,2,0))</f>
        <v>0</v>
      </c>
      <c r="K15765">
        <v>9</v>
      </c>
      <c r="L15765">
        <f>IF(AND($J15765=0,$K15765=0),0,1)</f>
        <v>1</v>
      </c>
      <c r="M15765" t="s">
        <v>1577</v>
      </c>
    </row>
    <row r="15766" spans="1:13" x14ac:dyDescent="0.2">
      <c r="A15766" t="s">
        <v>429</v>
      </c>
      <c r="B15766" t="s">
        <v>17</v>
      </c>
      <c r="C15766" t="s">
        <v>21</v>
      </c>
      <c r="D15766">
        <v>3997</v>
      </c>
      <c r="E15766">
        <v>2021</v>
      </c>
      <c r="F15766">
        <v>3</v>
      </c>
      <c r="G15766">
        <v>10726</v>
      </c>
      <c r="H15766" s="1" t="s">
        <v>1823</v>
      </c>
      <c r="I15766">
        <v>1</v>
      </c>
      <c r="J15766">
        <f>IF($H15766=0,1,IF($I15766&lt;=1,2,0))</f>
        <v>2</v>
      </c>
      <c r="K15766">
        <v>9</v>
      </c>
      <c r="L15766">
        <f>IF(AND($J15766=0,$K15766=0),0,1)</f>
        <v>1</v>
      </c>
      <c r="M15766" t="s">
        <v>1577</v>
      </c>
    </row>
    <row r="15767" spans="1:13" x14ac:dyDescent="0.2">
      <c r="A15767" t="s">
        <v>429</v>
      </c>
      <c r="B15767" t="s">
        <v>17</v>
      </c>
      <c r="C15767" t="s">
        <v>21</v>
      </c>
      <c r="D15767">
        <v>3997</v>
      </c>
      <c r="E15767">
        <v>2021</v>
      </c>
      <c r="F15767">
        <v>4</v>
      </c>
      <c r="G15767">
        <v>10727</v>
      </c>
      <c r="H15767" s="1" t="s">
        <v>1823</v>
      </c>
      <c r="I15767">
        <v>1</v>
      </c>
      <c r="J15767">
        <f>IF($H15767=0,1,IF($I15767&lt;=1,2,0))</f>
        <v>2</v>
      </c>
      <c r="K15767">
        <v>9</v>
      </c>
      <c r="L15767">
        <f>IF(AND($J15767=0,$K15767=0),0,1)</f>
        <v>1</v>
      </c>
      <c r="M15767" t="s">
        <v>1577</v>
      </c>
    </row>
    <row r="15768" spans="1:13" x14ac:dyDescent="0.2">
      <c r="A15768" t="s">
        <v>429</v>
      </c>
      <c r="B15768" t="s">
        <v>17</v>
      </c>
      <c r="C15768" t="s">
        <v>21</v>
      </c>
      <c r="D15768">
        <v>3997</v>
      </c>
      <c r="E15768">
        <v>2021</v>
      </c>
      <c r="F15768">
        <v>1</v>
      </c>
      <c r="G15768">
        <v>10724</v>
      </c>
      <c r="H15768" s="1" t="s">
        <v>1823</v>
      </c>
      <c r="I15768">
        <v>0</v>
      </c>
      <c r="J15768">
        <f>IF($H15768=0,1,IF($I15768&lt;=1,2,0))</f>
        <v>2</v>
      </c>
      <c r="K15768">
        <v>9</v>
      </c>
      <c r="L15768">
        <f>IF(AND($J15768=0,$K15768=0),0,1)</f>
        <v>1</v>
      </c>
      <c r="M15768" t="s">
        <v>1577</v>
      </c>
    </row>
    <row r="15769" spans="1:13" x14ac:dyDescent="0.2">
      <c r="A15769" t="s">
        <v>429</v>
      </c>
      <c r="B15769" t="s">
        <v>17</v>
      </c>
      <c r="C15769" t="s">
        <v>21</v>
      </c>
      <c r="D15769">
        <v>3997</v>
      </c>
      <c r="E15769">
        <v>2021</v>
      </c>
      <c r="F15769">
        <v>5</v>
      </c>
      <c r="G15769">
        <v>10728</v>
      </c>
      <c r="H15769" s="1" t="s">
        <v>1823</v>
      </c>
      <c r="I15769">
        <v>0</v>
      </c>
      <c r="J15769">
        <f>IF($H15769=0,1,IF($I15769&lt;=1,2,0))</f>
        <v>2</v>
      </c>
      <c r="K15769">
        <v>9</v>
      </c>
      <c r="L15769">
        <f>IF(AND($J15769=0,$K15769=0),0,1)</f>
        <v>1</v>
      </c>
      <c r="M15769" t="s">
        <v>1577</v>
      </c>
    </row>
    <row r="15770" spans="1:13" x14ac:dyDescent="0.2">
      <c r="A15770" t="s">
        <v>429</v>
      </c>
      <c r="B15770" t="s">
        <v>17</v>
      </c>
      <c r="C15770" t="s">
        <v>21</v>
      </c>
      <c r="D15770">
        <v>3998</v>
      </c>
      <c r="E15770">
        <v>2021</v>
      </c>
      <c r="F15770">
        <v>1</v>
      </c>
      <c r="G15770">
        <v>11231</v>
      </c>
      <c r="H15770" s="1" t="s">
        <v>1823</v>
      </c>
      <c r="I15770">
        <v>0</v>
      </c>
      <c r="J15770">
        <f>IF($H15770=0,1,IF($I15770&lt;=1,2,0))</f>
        <v>2</v>
      </c>
      <c r="K15770">
        <v>9</v>
      </c>
      <c r="L15770">
        <f>IF(AND($J15770=0,$K15770=0),0,1)</f>
        <v>1</v>
      </c>
      <c r="M15770" t="s">
        <v>1577</v>
      </c>
    </row>
    <row r="15771" spans="1:13" x14ac:dyDescent="0.2">
      <c r="A15771" t="s">
        <v>429</v>
      </c>
      <c r="B15771" t="s">
        <v>17</v>
      </c>
      <c r="C15771" t="s">
        <v>9</v>
      </c>
      <c r="D15771">
        <v>4460</v>
      </c>
      <c r="E15771">
        <v>2021</v>
      </c>
      <c r="F15771">
        <v>1</v>
      </c>
      <c r="G15771">
        <v>10730</v>
      </c>
      <c r="H15771" s="1">
        <v>3</v>
      </c>
      <c r="I15771">
        <v>0</v>
      </c>
      <c r="J15771">
        <f>IF($H15771=0,1,IF($I15771&lt;=1,2,0))</f>
        <v>2</v>
      </c>
      <c r="K15771">
        <v>4</v>
      </c>
      <c r="L15771">
        <f>IF(AND($J15771=0,$K15771=0),0,1)</f>
        <v>1</v>
      </c>
      <c r="M15771" t="s">
        <v>1577</v>
      </c>
    </row>
    <row r="15772" spans="1:13" x14ac:dyDescent="0.2">
      <c r="A15772" t="s">
        <v>429</v>
      </c>
      <c r="B15772" t="s">
        <v>17</v>
      </c>
      <c r="C15772" t="s">
        <v>9</v>
      </c>
      <c r="D15772">
        <v>4460</v>
      </c>
      <c r="E15772">
        <v>2021</v>
      </c>
      <c r="F15772">
        <v>2</v>
      </c>
      <c r="G15772">
        <v>10731</v>
      </c>
      <c r="H15772" s="1">
        <v>3</v>
      </c>
      <c r="I15772">
        <v>0</v>
      </c>
      <c r="J15772">
        <f>IF($H15772=0,1,IF($I15772&lt;=1,2,0))</f>
        <v>2</v>
      </c>
      <c r="K15772">
        <v>4</v>
      </c>
      <c r="L15772">
        <f>IF(AND($J15772=0,$K15772=0),0,1)</f>
        <v>1</v>
      </c>
      <c r="M15772" t="s">
        <v>1577</v>
      </c>
    </row>
    <row r="15773" spans="1:13" x14ac:dyDescent="0.2">
      <c r="A15773" t="s">
        <v>429</v>
      </c>
      <c r="B15773" t="s">
        <v>17</v>
      </c>
      <c r="C15773" t="s">
        <v>9</v>
      </c>
      <c r="D15773">
        <v>4460</v>
      </c>
      <c r="E15773">
        <v>2021</v>
      </c>
      <c r="F15773">
        <v>3</v>
      </c>
      <c r="G15773">
        <v>10732</v>
      </c>
      <c r="H15773" s="1">
        <v>3</v>
      </c>
      <c r="I15773">
        <v>0</v>
      </c>
      <c r="J15773">
        <f>IF($H15773=0,1,IF($I15773&lt;=1,2,0))</f>
        <v>2</v>
      </c>
      <c r="K15773">
        <v>4</v>
      </c>
      <c r="L15773">
        <f>IF(AND($J15773=0,$K15773=0),0,1)</f>
        <v>1</v>
      </c>
      <c r="M15773" t="s">
        <v>1577</v>
      </c>
    </row>
    <row r="15774" spans="1:13" x14ac:dyDescent="0.2">
      <c r="A15774" t="s">
        <v>429</v>
      </c>
      <c r="B15774" t="s">
        <v>17</v>
      </c>
      <c r="C15774" t="s">
        <v>9</v>
      </c>
      <c r="D15774">
        <v>4460</v>
      </c>
      <c r="E15774">
        <v>2021</v>
      </c>
      <c r="F15774">
        <v>4</v>
      </c>
      <c r="G15774">
        <v>10733</v>
      </c>
      <c r="H15774" s="1">
        <v>3</v>
      </c>
      <c r="I15774">
        <v>0</v>
      </c>
      <c r="J15774">
        <f>IF($H15774=0,1,IF($I15774&lt;=1,2,0))</f>
        <v>2</v>
      </c>
      <c r="K15774">
        <v>4</v>
      </c>
      <c r="L15774">
        <f>IF(AND($J15774=0,$K15774=0),0,1)</f>
        <v>1</v>
      </c>
      <c r="M15774" t="s">
        <v>1577</v>
      </c>
    </row>
    <row r="15775" spans="1:13" x14ac:dyDescent="0.2">
      <c r="A15775" t="s">
        <v>429</v>
      </c>
      <c r="B15775" t="s">
        <v>17</v>
      </c>
      <c r="C15775" t="s">
        <v>9</v>
      </c>
      <c r="D15775">
        <v>4460</v>
      </c>
      <c r="E15775">
        <v>2021</v>
      </c>
      <c r="F15775">
        <v>5</v>
      </c>
      <c r="G15775">
        <v>10734</v>
      </c>
      <c r="H15775" s="1">
        <v>3</v>
      </c>
      <c r="I15775">
        <v>0</v>
      </c>
      <c r="J15775">
        <f>IF($H15775=0,1,IF($I15775&lt;=1,2,0))</f>
        <v>2</v>
      </c>
      <c r="K15775">
        <v>4</v>
      </c>
      <c r="L15775">
        <f>IF(AND($J15775=0,$K15775=0),0,1)</f>
        <v>1</v>
      </c>
      <c r="M15775" t="s">
        <v>1577</v>
      </c>
    </row>
    <row r="15776" spans="1:13" x14ac:dyDescent="0.2">
      <c r="A15776" t="s">
        <v>429</v>
      </c>
      <c r="B15776" t="s">
        <v>17</v>
      </c>
      <c r="C15776" t="s">
        <v>9</v>
      </c>
      <c r="D15776">
        <v>4821</v>
      </c>
      <c r="E15776">
        <v>2021</v>
      </c>
      <c r="F15776" t="s">
        <v>1349</v>
      </c>
      <c r="G15776">
        <v>20208</v>
      </c>
      <c r="H15776" s="1">
        <v>0</v>
      </c>
      <c r="I15776">
        <v>5</v>
      </c>
      <c r="J15776">
        <f>IF($H15776=0,1,IF($I15776&lt;=1,2,0))</f>
        <v>1</v>
      </c>
      <c r="K15776">
        <v>0</v>
      </c>
      <c r="L15776">
        <f>IF(AND($J15776=0,$K15776=0),0,1)</f>
        <v>1</v>
      </c>
    </row>
    <row r="15777" spans="1:13" x14ac:dyDescent="0.2">
      <c r="A15777" t="s">
        <v>431</v>
      </c>
      <c r="B15777" t="s">
        <v>6</v>
      </c>
      <c r="C15777" t="s">
        <v>9</v>
      </c>
      <c r="D15777">
        <v>1021</v>
      </c>
      <c r="E15777">
        <v>2021</v>
      </c>
      <c r="F15777">
        <v>1</v>
      </c>
      <c r="G15777">
        <v>10323</v>
      </c>
      <c r="H15777" s="1">
        <v>0</v>
      </c>
      <c r="I15777">
        <v>64</v>
      </c>
      <c r="J15777">
        <f>IF($H15777=0,1,IF($I15777&lt;=1,2,0))</f>
        <v>1</v>
      </c>
      <c r="K15777">
        <v>0</v>
      </c>
      <c r="L15777">
        <f>IF(AND($J15777=0,$K15777=0),0,1)</f>
        <v>1</v>
      </c>
      <c r="M15777" t="s">
        <v>1579</v>
      </c>
    </row>
    <row r="15778" spans="1:13" x14ac:dyDescent="0.2">
      <c r="A15778" t="s">
        <v>431</v>
      </c>
      <c r="B15778" t="s">
        <v>6</v>
      </c>
      <c r="C15778" t="s">
        <v>2</v>
      </c>
      <c r="D15778">
        <v>1101</v>
      </c>
      <c r="E15778">
        <v>2021</v>
      </c>
      <c r="F15778">
        <v>1</v>
      </c>
      <c r="G15778">
        <v>38</v>
      </c>
      <c r="H15778" s="1">
        <v>4</v>
      </c>
      <c r="I15778">
        <v>65</v>
      </c>
      <c r="J15778">
        <f>IF($H15778=0,1,IF($I15778&lt;=1,2,0))</f>
        <v>0</v>
      </c>
      <c r="K15778">
        <v>7</v>
      </c>
      <c r="L15778">
        <f>IF(AND($J15778=0,$K15778=0),0,1)</f>
        <v>1</v>
      </c>
      <c r="M15778" t="s">
        <v>436</v>
      </c>
    </row>
    <row r="15779" spans="1:13" x14ac:dyDescent="0.2">
      <c r="A15779" t="s">
        <v>431</v>
      </c>
      <c r="B15779" t="s">
        <v>6</v>
      </c>
      <c r="C15779" t="s">
        <v>2</v>
      </c>
      <c r="D15779">
        <v>1112</v>
      </c>
      <c r="E15779">
        <v>2021</v>
      </c>
      <c r="F15779">
        <v>1</v>
      </c>
      <c r="G15779">
        <v>202</v>
      </c>
      <c r="H15779" s="1">
        <v>0</v>
      </c>
      <c r="I15779">
        <v>15</v>
      </c>
      <c r="J15779">
        <f>IF($H15779=0,1,IF($I15779&lt;=1,2,0))</f>
        <v>1</v>
      </c>
      <c r="K15779">
        <v>7</v>
      </c>
      <c r="L15779">
        <f>IF(AND($J15779=0,$K15779=0),0,1)</f>
        <v>1</v>
      </c>
      <c r="M15779" t="s">
        <v>438</v>
      </c>
    </row>
    <row r="15780" spans="1:13" x14ac:dyDescent="0.2">
      <c r="A15780" t="s">
        <v>431</v>
      </c>
      <c r="B15780" t="s">
        <v>6</v>
      </c>
      <c r="C15780" t="s">
        <v>2</v>
      </c>
      <c r="D15780">
        <v>1112</v>
      </c>
      <c r="E15780">
        <v>2021</v>
      </c>
      <c r="F15780">
        <v>2</v>
      </c>
      <c r="G15780">
        <v>203</v>
      </c>
      <c r="H15780" s="1">
        <v>0</v>
      </c>
      <c r="I15780">
        <v>12</v>
      </c>
      <c r="J15780">
        <f>IF($H15780=0,1,IF($I15780&lt;=1,2,0))</f>
        <v>1</v>
      </c>
      <c r="K15780">
        <v>7</v>
      </c>
      <c r="L15780">
        <f>IF(AND($J15780=0,$K15780=0),0,1)</f>
        <v>1</v>
      </c>
      <c r="M15780" t="s">
        <v>438</v>
      </c>
    </row>
    <row r="15781" spans="1:13" x14ac:dyDescent="0.2">
      <c r="A15781" t="s">
        <v>431</v>
      </c>
      <c r="B15781" t="s">
        <v>6</v>
      </c>
      <c r="C15781" t="s">
        <v>2</v>
      </c>
      <c r="D15781">
        <v>1112</v>
      </c>
      <c r="E15781">
        <v>2021</v>
      </c>
      <c r="F15781">
        <v>5</v>
      </c>
      <c r="G15781">
        <v>206</v>
      </c>
      <c r="H15781" s="1">
        <v>0</v>
      </c>
      <c r="I15781">
        <v>11</v>
      </c>
      <c r="J15781">
        <f>IF($H15781=0,1,IF($I15781&lt;=1,2,0))</f>
        <v>1</v>
      </c>
      <c r="K15781">
        <v>7</v>
      </c>
      <c r="L15781">
        <f>IF(AND($J15781=0,$K15781=0),0,1)</f>
        <v>1</v>
      </c>
      <c r="M15781" t="s">
        <v>438</v>
      </c>
    </row>
    <row r="15782" spans="1:13" x14ac:dyDescent="0.2">
      <c r="A15782" t="s">
        <v>431</v>
      </c>
      <c r="B15782" t="s">
        <v>6</v>
      </c>
      <c r="C15782" t="s">
        <v>2</v>
      </c>
      <c r="D15782">
        <v>1112</v>
      </c>
      <c r="E15782">
        <v>2021</v>
      </c>
      <c r="F15782">
        <v>4</v>
      </c>
      <c r="G15782">
        <v>205</v>
      </c>
      <c r="H15782" s="1">
        <v>0</v>
      </c>
      <c r="I15782">
        <v>10</v>
      </c>
      <c r="J15782">
        <f>IF($H15782=0,1,IF($I15782&lt;=1,2,0))</f>
        <v>1</v>
      </c>
      <c r="K15782">
        <v>7</v>
      </c>
      <c r="L15782">
        <f>IF(AND($J15782=0,$K15782=0),0,1)</f>
        <v>1</v>
      </c>
      <c r="M15782" t="s">
        <v>438</v>
      </c>
    </row>
    <row r="15783" spans="1:13" x14ac:dyDescent="0.2">
      <c r="A15783" t="s">
        <v>431</v>
      </c>
      <c r="B15783" t="s">
        <v>6</v>
      </c>
      <c r="C15783" t="s">
        <v>2</v>
      </c>
      <c r="D15783">
        <v>1112</v>
      </c>
      <c r="E15783">
        <v>2021</v>
      </c>
      <c r="F15783">
        <v>3</v>
      </c>
      <c r="G15783">
        <v>204</v>
      </c>
      <c r="H15783" s="1">
        <v>0</v>
      </c>
      <c r="I15783">
        <v>8</v>
      </c>
      <c r="J15783">
        <f>IF($H15783=0,1,IF($I15783&lt;=1,2,0))</f>
        <v>1</v>
      </c>
      <c r="K15783">
        <v>7</v>
      </c>
      <c r="L15783">
        <f>IF(AND($J15783=0,$K15783=0),0,1)</f>
        <v>1</v>
      </c>
      <c r="M15783" t="s">
        <v>438</v>
      </c>
    </row>
    <row r="15784" spans="1:13" x14ac:dyDescent="0.2">
      <c r="A15784" t="s">
        <v>431</v>
      </c>
      <c r="B15784" t="s">
        <v>6</v>
      </c>
      <c r="C15784" t="s">
        <v>2</v>
      </c>
      <c r="D15784">
        <v>1112</v>
      </c>
      <c r="E15784">
        <v>2021</v>
      </c>
      <c r="F15784">
        <v>6</v>
      </c>
      <c r="G15784">
        <v>865</v>
      </c>
      <c r="H15784" s="1">
        <v>0</v>
      </c>
      <c r="I15784">
        <v>6</v>
      </c>
      <c r="J15784">
        <f>IF($H15784=0,1,IF($I15784&lt;=1,2,0))</f>
        <v>1</v>
      </c>
      <c r="K15784">
        <v>7</v>
      </c>
      <c r="L15784">
        <f>IF(AND($J15784=0,$K15784=0),0,1)</f>
        <v>1</v>
      </c>
      <c r="M15784" t="s">
        <v>438</v>
      </c>
    </row>
    <row r="15785" spans="1:13" x14ac:dyDescent="0.2">
      <c r="A15785" t="s">
        <v>431</v>
      </c>
      <c r="B15785" t="s">
        <v>6</v>
      </c>
      <c r="C15785" t="s">
        <v>9</v>
      </c>
      <c r="D15785">
        <v>2002</v>
      </c>
      <c r="E15785">
        <v>2021</v>
      </c>
      <c r="F15785">
        <v>6</v>
      </c>
      <c r="G15785">
        <v>20459</v>
      </c>
      <c r="H15785" s="1">
        <v>0</v>
      </c>
      <c r="I15785">
        <v>17</v>
      </c>
      <c r="J15785">
        <f>IF($H15785=0,1,IF($I15785&lt;=1,2,0))</f>
        <v>1</v>
      </c>
      <c r="K15785">
        <v>0</v>
      </c>
      <c r="L15785">
        <f>IF(AND($J15785=0,$K15785=0),0,1)</f>
        <v>1</v>
      </c>
      <c r="M15785" t="s">
        <v>1585</v>
      </c>
    </row>
    <row r="15786" spans="1:13" x14ac:dyDescent="0.2">
      <c r="A15786" t="s">
        <v>431</v>
      </c>
      <c r="B15786" t="s">
        <v>6</v>
      </c>
      <c r="C15786" t="s">
        <v>9</v>
      </c>
      <c r="D15786">
        <v>2002</v>
      </c>
      <c r="E15786">
        <v>2021</v>
      </c>
      <c r="F15786">
        <v>2</v>
      </c>
      <c r="G15786">
        <v>20454</v>
      </c>
      <c r="H15786" s="1">
        <v>0</v>
      </c>
      <c r="I15786">
        <v>13</v>
      </c>
      <c r="J15786">
        <f>IF($H15786=0,1,IF($I15786&lt;=1,2,0))</f>
        <v>1</v>
      </c>
      <c r="K15786">
        <v>0</v>
      </c>
      <c r="L15786">
        <f>IF(AND($J15786=0,$K15786=0),0,1)</f>
        <v>1</v>
      </c>
      <c r="M15786" t="s">
        <v>1581</v>
      </c>
    </row>
    <row r="15787" spans="1:13" x14ac:dyDescent="0.2">
      <c r="A15787" t="s">
        <v>431</v>
      </c>
      <c r="B15787" t="s">
        <v>6</v>
      </c>
      <c r="C15787" t="s">
        <v>9</v>
      </c>
      <c r="D15787">
        <v>2002</v>
      </c>
      <c r="E15787">
        <v>2021</v>
      </c>
      <c r="F15787">
        <v>3</v>
      </c>
      <c r="G15787">
        <v>20455</v>
      </c>
      <c r="H15787" s="1">
        <v>0</v>
      </c>
      <c r="I15787">
        <v>13</v>
      </c>
      <c r="J15787">
        <f>IF($H15787=0,1,IF($I15787&lt;=1,2,0))</f>
        <v>1</v>
      </c>
      <c r="K15787">
        <v>0</v>
      </c>
      <c r="L15787">
        <f>IF(AND($J15787=0,$K15787=0),0,1)</f>
        <v>1</v>
      </c>
      <c r="M15787" t="s">
        <v>1582</v>
      </c>
    </row>
    <row r="15788" spans="1:13" x14ac:dyDescent="0.2">
      <c r="A15788" t="s">
        <v>431</v>
      </c>
      <c r="B15788" t="s">
        <v>6</v>
      </c>
      <c r="C15788" t="s">
        <v>9</v>
      </c>
      <c r="D15788">
        <v>2002</v>
      </c>
      <c r="E15788">
        <v>2021</v>
      </c>
      <c r="F15788">
        <v>4</v>
      </c>
      <c r="G15788">
        <v>20457</v>
      </c>
      <c r="H15788" s="1">
        <v>0</v>
      </c>
      <c r="I15788">
        <v>11</v>
      </c>
      <c r="J15788">
        <f>IF($H15788=0,1,IF($I15788&lt;=1,2,0))</f>
        <v>1</v>
      </c>
      <c r="K15788">
        <v>0</v>
      </c>
      <c r="L15788">
        <f>IF(AND($J15788=0,$K15788=0),0,1)</f>
        <v>1</v>
      </c>
      <c r="M15788" t="s">
        <v>1583</v>
      </c>
    </row>
    <row r="15789" spans="1:13" x14ac:dyDescent="0.2">
      <c r="A15789" t="s">
        <v>431</v>
      </c>
      <c r="B15789" t="s">
        <v>6</v>
      </c>
      <c r="C15789" t="s">
        <v>9</v>
      </c>
      <c r="D15789">
        <v>2002</v>
      </c>
      <c r="E15789">
        <v>2021</v>
      </c>
      <c r="F15789">
        <v>7</v>
      </c>
      <c r="G15789">
        <v>20460</v>
      </c>
      <c r="H15789" s="1">
        <v>0</v>
      </c>
      <c r="I15789">
        <v>11</v>
      </c>
      <c r="J15789">
        <f>IF($H15789=0,1,IF($I15789&lt;=1,2,0))</f>
        <v>1</v>
      </c>
      <c r="K15789">
        <v>0</v>
      </c>
      <c r="L15789">
        <f>IF(AND($J15789=0,$K15789=0),0,1)</f>
        <v>1</v>
      </c>
      <c r="M15789" t="s">
        <v>1586</v>
      </c>
    </row>
    <row r="15790" spans="1:13" x14ac:dyDescent="0.2">
      <c r="A15790" t="s">
        <v>431</v>
      </c>
      <c r="B15790" t="s">
        <v>6</v>
      </c>
      <c r="C15790" t="s">
        <v>9</v>
      </c>
      <c r="D15790">
        <v>2002</v>
      </c>
      <c r="E15790">
        <v>2021</v>
      </c>
      <c r="F15790">
        <v>5</v>
      </c>
      <c r="G15790">
        <v>20458</v>
      </c>
      <c r="H15790" s="1">
        <v>0</v>
      </c>
      <c r="I15790">
        <v>8</v>
      </c>
      <c r="J15790">
        <f>IF($H15790=0,1,IF($I15790&lt;=1,2,0))</f>
        <v>1</v>
      </c>
      <c r="K15790">
        <v>0</v>
      </c>
      <c r="L15790">
        <f>IF(AND($J15790=0,$K15790=0),0,1)</f>
        <v>1</v>
      </c>
      <c r="M15790" t="s">
        <v>1584</v>
      </c>
    </row>
    <row r="15791" spans="1:13" x14ac:dyDescent="0.2">
      <c r="A15791" t="s">
        <v>431</v>
      </c>
      <c r="B15791" t="s">
        <v>6</v>
      </c>
      <c r="C15791" t="s">
        <v>9</v>
      </c>
      <c r="D15791">
        <v>2002</v>
      </c>
      <c r="E15791">
        <v>2021</v>
      </c>
      <c r="F15791">
        <v>1</v>
      </c>
      <c r="G15791">
        <v>10505</v>
      </c>
      <c r="H15791" s="1">
        <v>0</v>
      </c>
      <c r="I15791">
        <v>3</v>
      </c>
      <c r="J15791">
        <f>IF($H15791=0,1,IF($I15791&lt;=1,2,0))</f>
        <v>1</v>
      </c>
      <c r="K15791">
        <v>0</v>
      </c>
      <c r="L15791">
        <f>IF(AND($J15791=0,$K15791=0),0,1)</f>
        <v>1</v>
      </c>
      <c r="M15791" t="s">
        <v>1580</v>
      </c>
    </row>
    <row r="15792" spans="1:13" x14ac:dyDescent="0.2">
      <c r="A15792" t="s">
        <v>431</v>
      </c>
      <c r="B15792" t="s">
        <v>6</v>
      </c>
      <c r="C15792" t="s">
        <v>2</v>
      </c>
      <c r="D15792">
        <v>2062</v>
      </c>
      <c r="E15792">
        <v>2021</v>
      </c>
      <c r="F15792">
        <v>1</v>
      </c>
      <c r="G15792">
        <v>43</v>
      </c>
      <c r="H15792" s="1">
        <v>3</v>
      </c>
      <c r="I15792">
        <v>31</v>
      </c>
      <c r="J15792">
        <f>IF($H15792=0,1,IF($I15792&lt;=1,2,0))</f>
        <v>0</v>
      </c>
      <c r="K15792">
        <v>7</v>
      </c>
      <c r="L15792">
        <f>IF(AND($J15792=0,$K15792=0),0,1)</f>
        <v>1</v>
      </c>
    </row>
    <row r="15793" spans="1:13" x14ac:dyDescent="0.2">
      <c r="A15793" t="s">
        <v>431</v>
      </c>
      <c r="B15793" t="s">
        <v>6</v>
      </c>
      <c r="C15793" t="s">
        <v>9</v>
      </c>
      <c r="D15793">
        <v>2089</v>
      </c>
      <c r="E15793">
        <v>2021</v>
      </c>
      <c r="F15793">
        <v>1</v>
      </c>
      <c r="G15793">
        <v>10321</v>
      </c>
      <c r="H15793" s="1">
        <v>0</v>
      </c>
      <c r="I15793">
        <v>38</v>
      </c>
      <c r="J15793">
        <f>IF($H15793=0,1,IF($I15793&lt;=1,2,0))</f>
        <v>1</v>
      </c>
      <c r="K15793">
        <v>0</v>
      </c>
      <c r="L15793">
        <f>IF(AND($J15793=0,$K15793=0),0,1)</f>
        <v>1</v>
      </c>
      <c r="M15793" t="s">
        <v>1589</v>
      </c>
    </row>
    <row r="15794" spans="1:13" x14ac:dyDescent="0.2">
      <c r="A15794" t="s">
        <v>431</v>
      </c>
      <c r="B15794" t="s">
        <v>6</v>
      </c>
      <c r="C15794" t="s">
        <v>9</v>
      </c>
      <c r="D15794">
        <v>2100</v>
      </c>
      <c r="E15794">
        <v>2021</v>
      </c>
      <c r="F15794">
        <v>1</v>
      </c>
      <c r="G15794">
        <v>10358</v>
      </c>
      <c r="H15794" s="1">
        <v>4</v>
      </c>
      <c r="I15794">
        <v>0</v>
      </c>
      <c r="J15794">
        <f>IF($H15794=0,1,IF($I15794&lt;=1,2,0))</f>
        <v>2</v>
      </c>
      <c r="K15794">
        <v>0</v>
      </c>
      <c r="L15794">
        <f>IF(AND($J15794=0,$K15794=0),0,1)</f>
        <v>1</v>
      </c>
      <c r="M15794" t="s">
        <v>1590</v>
      </c>
    </row>
    <row r="15795" spans="1:13" x14ac:dyDescent="0.2">
      <c r="A15795" t="s">
        <v>431</v>
      </c>
      <c r="B15795" t="s">
        <v>6</v>
      </c>
      <c r="C15795" t="s">
        <v>2</v>
      </c>
      <c r="D15795">
        <v>2101</v>
      </c>
      <c r="E15795">
        <v>2021</v>
      </c>
      <c r="F15795">
        <v>1</v>
      </c>
      <c r="G15795">
        <v>39</v>
      </c>
      <c r="H15795" s="1">
        <v>3</v>
      </c>
      <c r="I15795">
        <v>25</v>
      </c>
      <c r="J15795">
        <f>IF($H15795=0,1,IF($I15795&lt;=1,2,0))</f>
        <v>0</v>
      </c>
      <c r="K15795">
        <v>7</v>
      </c>
      <c r="L15795">
        <f>IF(AND($J15795=0,$K15795=0),0,1)</f>
        <v>1</v>
      </c>
    </row>
    <row r="15796" spans="1:13" x14ac:dyDescent="0.2">
      <c r="A15796" t="s">
        <v>431</v>
      </c>
      <c r="B15796" t="s">
        <v>6</v>
      </c>
      <c r="C15796" t="s">
        <v>9</v>
      </c>
      <c r="D15796">
        <v>2101</v>
      </c>
      <c r="E15796">
        <v>2021</v>
      </c>
      <c r="F15796">
        <v>1</v>
      </c>
      <c r="G15796">
        <v>10360</v>
      </c>
      <c r="H15796" s="1">
        <v>0</v>
      </c>
      <c r="I15796">
        <v>0</v>
      </c>
      <c r="J15796">
        <f>IF($H15796=0,1,IF($I15796&lt;=1,2,0))</f>
        <v>1</v>
      </c>
      <c r="K15796">
        <v>0</v>
      </c>
      <c r="L15796">
        <f>IF(AND($J15796=0,$K15796=0),0,1)</f>
        <v>1</v>
      </c>
      <c r="M15796" t="s">
        <v>1590</v>
      </c>
    </row>
    <row r="15797" spans="1:13" x14ac:dyDescent="0.2">
      <c r="A15797" t="s">
        <v>431</v>
      </c>
      <c r="B15797" t="s">
        <v>6</v>
      </c>
      <c r="C15797" t="s">
        <v>9</v>
      </c>
      <c r="D15797">
        <v>2113</v>
      </c>
      <c r="E15797">
        <v>2021</v>
      </c>
      <c r="F15797">
        <v>1</v>
      </c>
      <c r="G15797">
        <v>10367</v>
      </c>
      <c r="H15797" s="1">
        <v>0</v>
      </c>
      <c r="I15797">
        <v>20</v>
      </c>
      <c r="J15797">
        <f>IF($H15797=0,1,IF($I15797&lt;=1,2,0))</f>
        <v>1</v>
      </c>
      <c r="K15797">
        <v>0</v>
      </c>
      <c r="L15797">
        <f>IF(AND($J15797=0,$K15797=0),0,1)</f>
        <v>1</v>
      </c>
      <c r="M15797" t="s">
        <v>1592</v>
      </c>
    </row>
    <row r="15798" spans="1:13" x14ac:dyDescent="0.2">
      <c r="A15798" t="s">
        <v>431</v>
      </c>
      <c r="B15798" t="s">
        <v>6</v>
      </c>
      <c r="C15798" t="s">
        <v>2</v>
      </c>
      <c r="D15798">
        <v>2321</v>
      </c>
      <c r="E15798">
        <v>2021</v>
      </c>
      <c r="F15798">
        <v>1</v>
      </c>
      <c r="G15798">
        <v>41</v>
      </c>
      <c r="H15798" s="1">
        <v>3</v>
      </c>
      <c r="I15798">
        <v>26</v>
      </c>
      <c r="J15798">
        <f>IF($H15798=0,1,IF($I15798&lt;=1,2,0))</f>
        <v>0</v>
      </c>
      <c r="K15798">
        <v>7</v>
      </c>
      <c r="L15798">
        <f>IF(AND($J15798=0,$K15798=0),0,1)</f>
        <v>1</v>
      </c>
    </row>
    <row r="15799" spans="1:13" x14ac:dyDescent="0.2">
      <c r="A15799" t="s">
        <v>431</v>
      </c>
      <c r="B15799" t="s">
        <v>6</v>
      </c>
      <c r="C15799" t="s">
        <v>2</v>
      </c>
      <c r="D15799">
        <v>2375</v>
      </c>
      <c r="E15799">
        <v>2021</v>
      </c>
      <c r="F15799">
        <v>1</v>
      </c>
      <c r="G15799">
        <v>40</v>
      </c>
      <c r="H15799" s="1">
        <v>3</v>
      </c>
      <c r="I15799">
        <v>36</v>
      </c>
      <c r="J15799">
        <f>IF($H15799=0,1,IF($I15799&lt;=1,2,0))</f>
        <v>0</v>
      </c>
      <c r="K15799">
        <v>7</v>
      </c>
      <c r="L15799">
        <f>IF(AND($J15799=0,$K15799=0),0,1)</f>
        <v>1</v>
      </c>
    </row>
    <row r="15800" spans="1:13" x14ac:dyDescent="0.2">
      <c r="A15800" t="s">
        <v>431</v>
      </c>
      <c r="B15800" t="s">
        <v>6</v>
      </c>
      <c r="C15800" t="s">
        <v>2</v>
      </c>
      <c r="D15800">
        <v>2413</v>
      </c>
      <c r="E15800">
        <v>2021</v>
      </c>
      <c r="F15800">
        <v>1</v>
      </c>
      <c r="G15800">
        <v>42</v>
      </c>
      <c r="H15800" s="1">
        <v>3</v>
      </c>
      <c r="I15800">
        <v>126</v>
      </c>
      <c r="J15800">
        <f>IF($H15800=0,1,IF($I15800&lt;=1,2,0))</f>
        <v>0</v>
      </c>
      <c r="K15800">
        <v>7</v>
      </c>
      <c r="L15800">
        <f>IF(AND($J15800=0,$K15800=0),0,1)</f>
        <v>1</v>
      </c>
    </row>
    <row r="15801" spans="1:13" x14ac:dyDescent="0.2">
      <c r="A15801" t="s">
        <v>431</v>
      </c>
      <c r="B15801" t="s">
        <v>6</v>
      </c>
      <c r="C15801" t="s">
        <v>2</v>
      </c>
      <c r="D15801">
        <v>2413</v>
      </c>
      <c r="E15801">
        <v>2021</v>
      </c>
      <c r="F15801" t="s">
        <v>1349</v>
      </c>
      <c r="G15801">
        <v>18963</v>
      </c>
      <c r="H15801" s="1">
        <v>0</v>
      </c>
      <c r="I15801">
        <v>14</v>
      </c>
      <c r="J15801">
        <f>IF($H15801=0,1,IF($I15801&lt;=1,2,0))</f>
        <v>1</v>
      </c>
      <c r="K15801">
        <v>7</v>
      </c>
      <c r="L15801">
        <f>IF(AND($J15801=0,$K15801=0),0,1)</f>
        <v>1</v>
      </c>
    </row>
    <row r="15802" spans="1:13" x14ac:dyDescent="0.2">
      <c r="A15802" t="s">
        <v>431</v>
      </c>
      <c r="B15802" t="s">
        <v>6</v>
      </c>
      <c r="C15802" t="s">
        <v>9</v>
      </c>
      <c r="D15802">
        <v>2433</v>
      </c>
      <c r="E15802">
        <v>2021</v>
      </c>
      <c r="F15802">
        <v>1</v>
      </c>
      <c r="G15802">
        <v>10494</v>
      </c>
      <c r="H15802" s="1">
        <v>0</v>
      </c>
      <c r="I15802">
        <v>45</v>
      </c>
      <c r="J15802">
        <f>IF($H15802=0,1,IF($I15802&lt;=1,2,0))</f>
        <v>1</v>
      </c>
      <c r="K15802">
        <v>0</v>
      </c>
      <c r="L15802">
        <f>IF(AND($J15802=0,$K15802=0),0,1)</f>
        <v>1</v>
      </c>
      <c r="M15802" t="s">
        <v>1594</v>
      </c>
    </row>
    <row r="15803" spans="1:13" x14ac:dyDescent="0.2">
      <c r="A15803" t="s">
        <v>431</v>
      </c>
      <c r="B15803" t="s">
        <v>6</v>
      </c>
      <c r="C15803" t="s">
        <v>2</v>
      </c>
      <c r="D15803">
        <v>2440</v>
      </c>
      <c r="E15803">
        <v>2021</v>
      </c>
      <c r="F15803">
        <v>1</v>
      </c>
      <c r="G15803">
        <v>44</v>
      </c>
      <c r="H15803" s="1">
        <v>3</v>
      </c>
      <c r="I15803">
        <v>29</v>
      </c>
      <c r="J15803">
        <f>IF($H15803=0,1,IF($I15803&lt;=1,2,0))</f>
        <v>0</v>
      </c>
      <c r="K15803">
        <v>7</v>
      </c>
      <c r="L15803">
        <f>IF(AND($J15803=0,$K15803=0),0,1)</f>
        <v>1</v>
      </c>
    </row>
    <row r="15804" spans="1:13" x14ac:dyDescent="0.2">
      <c r="A15804" t="s">
        <v>431</v>
      </c>
      <c r="B15804" t="s">
        <v>6</v>
      </c>
      <c r="C15804" t="s">
        <v>2</v>
      </c>
      <c r="D15804">
        <v>2477</v>
      </c>
      <c r="E15804">
        <v>2021</v>
      </c>
      <c r="F15804">
        <v>1</v>
      </c>
      <c r="G15804">
        <v>45</v>
      </c>
      <c r="H15804" s="1">
        <v>3</v>
      </c>
      <c r="I15804">
        <v>67</v>
      </c>
      <c r="J15804">
        <f>IF($H15804=0,1,IF($I15804&lt;=1,2,0))</f>
        <v>0</v>
      </c>
      <c r="K15804">
        <v>7</v>
      </c>
      <c r="L15804">
        <f>IF(AND($J15804=0,$K15804=0),0,1)</f>
        <v>1</v>
      </c>
    </row>
    <row r="15805" spans="1:13" x14ac:dyDescent="0.2">
      <c r="A15805" t="s">
        <v>431</v>
      </c>
      <c r="B15805" t="s">
        <v>6</v>
      </c>
      <c r="C15805" t="s">
        <v>9</v>
      </c>
      <c r="D15805">
        <v>2502</v>
      </c>
      <c r="E15805">
        <v>2021</v>
      </c>
      <c r="F15805">
        <v>1</v>
      </c>
      <c r="G15805">
        <v>10442</v>
      </c>
      <c r="H15805" s="1">
        <v>0</v>
      </c>
      <c r="I15805">
        <v>38</v>
      </c>
      <c r="J15805">
        <f>IF($H15805=0,1,IF($I15805&lt;=1,2,0))</f>
        <v>1</v>
      </c>
      <c r="K15805">
        <v>0</v>
      </c>
      <c r="L15805">
        <f>IF(AND($J15805=0,$K15805=0),0,1)</f>
        <v>1</v>
      </c>
      <c r="M15805" t="s">
        <v>1596</v>
      </c>
    </row>
    <row r="15806" spans="1:13" x14ac:dyDescent="0.2">
      <c r="A15806" t="s">
        <v>431</v>
      </c>
      <c r="B15806" t="s">
        <v>6</v>
      </c>
      <c r="C15806" t="s">
        <v>9</v>
      </c>
      <c r="D15806">
        <v>2533</v>
      </c>
      <c r="E15806">
        <v>2021</v>
      </c>
      <c r="F15806" t="s">
        <v>1349</v>
      </c>
      <c r="G15806">
        <v>18965</v>
      </c>
      <c r="H15806" s="1">
        <v>0</v>
      </c>
      <c r="I15806">
        <v>15</v>
      </c>
      <c r="J15806">
        <f>IF($H15806=0,1,IF($I15806&lt;=1,2,0))</f>
        <v>1</v>
      </c>
      <c r="K15806">
        <v>0</v>
      </c>
      <c r="L15806">
        <f>IF(AND($J15806=0,$K15806=0),0,1)</f>
        <v>1</v>
      </c>
    </row>
    <row r="15807" spans="1:13" x14ac:dyDescent="0.2">
      <c r="A15807" t="s">
        <v>431</v>
      </c>
      <c r="B15807" t="s">
        <v>6</v>
      </c>
      <c r="C15807" t="s">
        <v>9</v>
      </c>
      <c r="D15807">
        <v>2534</v>
      </c>
      <c r="E15807">
        <v>2021</v>
      </c>
      <c r="F15807">
        <v>1</v>
      </c>
      <c r="G15807">
        <v>10500</v>
      </c>
      <c r="H15807" s="1">
        <v>0</v>
      </c>
      <c r="I15807">
        <v>73</v>
      </c>
      <c r="J15807">
        <f>IF($H15807=0,1,IF($I15807&lt;=1,2,0))</f>
        <v>1</v>
      </c>
      <c r="K15807">
        <v>0</v>
      </c>
      <c r="L15807">
        <f>IF(AND($J15807=0,$K15807=0),0,1)</f>
        <v>1</v>
      </c>
      <c r="M15807" t="s">
        <v>1598</v>
      </c>
    </row>
    <row r="15808" spans="1:13" x14ac:dyDescent="0.2">
      <c r="A15808" t="s">
        <v>431</v>
      </c>
      <c r="B15808" t="s">
        <v>6</v>
      </c>
      <c r="C15808" t="s">
        <v>9</v>
      </c>
      <c r="D15808">
        <v>2536</v>
      </c>
      <c r="E15808">
        <v>2021</v>
      </c>
      <c r="F15808">
        <v>1</v>
      </c>
      <c r="G15808">
        <v>15774</v>
      </c>
      <c r="H15808" s="1">
        <v>0</v>
      </c>
      <c r="I15808">
        <v>5</v>
      </c>
      <c r="J15808">
        <f>IF($H15808=0,1,IF($I15808&lt;=1,2,0))</f>
        <v>1</v>
      </c>
      <c r="K15808">
        <v>0</v>
      </c>
      <c r="L15808">
        <f>IF(AND($J15808=0,$K15808=0),0,1)</f>
        <v>1</v>
      </c>
      <c r="M15808" t="s">
        <v>1600</v>
      </c>
    </row>
    <row r="15809" spans="1:13" x14ac:dyDescent="0.2">
      <c r="A15809" t="s">
        <v>431</v>
      </c>
      <c r="B15809" t="s">
        <v>6</v>
      </c>
      <c r="C15809" t="s">
        <v>9</v>
      </c>
      <c r="D15809">
        <v>2581</v>
      </c>
      <c r="E15809">
        <v>2021</v>
      </c>
      <c r="F15809">
        <v>1</v>
      </c>
      <c r="G15809">
        <v>10369</v>
      </c>
      <c r="H15809" s="1">
        <v>0</v>
      </c>
      <c r="I15809">
        <v>100</v>
      </c>
      <c r="J15809">
        <f>IF($H15809=0,1,IF($I15809&lt;=1,2,0))</f>
        <v>1</v>
      </c>
      <c r="K15809">
        <v>0</v>
      </c>
      <c r="L15809">
        <f>IF(AND($J15809=0,$K15809=0),0,1)</f>
        <v>1</v>
      </c>
      <c r="M15809" t="s">
        <v>1602</v>
      </c>
    </row>
    <row r="15810" spans="1:13" x14ac:dyDescent="0.2">
      <c r="A15810" t="s">
        <v>431</v>
      </c>
      <c r="B15810" t="s">
        <v>6</v>
      </c>
      <c r="C15810" t="s">
        <v>9</v>
      </c>
      <c r="D15810">
        <v>2619</v>
      </c>
      <c r="E15810">
        <v>2021</v>
      </c>
      <c r="F15810">
        <v>1</v>
      </c>
      <c r="G15810">
        <v>10491</v>
      </c>
      <c r="H15810" s="1">
        <v>0</v>
      </c>
      <c r="I15810">
        <v>58</v>
      </c>
      <c r="J15810">
        <f>IF($H15810=0,1,IF($I15810&lt;=1,2,0))</f>
        <v>1</v>
      </c>
      <c r="K15810">
        <v>0</v>
      </c>
      <c r="L15810">
        <f>IF(AND($J15810=0,$K15810=0),0,1)</f>
        <v>1</v>
      </c>
      <c r="M15810" t="s">
        <v>1604</v>
      </c>
    </row>
    <row r="15811" spans="1:13" x14ac:dyDescent="0.2">
      <c r="A15811" t="s">
        <v>431</v>
      </c>
      <c r="B15811" t="s">
        <v>6</v>
      </c>
      <c r="C15811" t="s">
        <v>9</v>
      </c>
      <c r="D15811">
        <v>2628</v>
      </c>
      <c r="E15811">
        <v>2021</v>
      </c>
      <c r="F15811" t="s">
        <v>1349</v>
      </c>
      <c r="G15811">
        <v>18966</v>
      </c>
      <c r="H15811" s="1">
        <v>0</v>
      </c>
      <c r="I15811">
        <v>9</v>
      </c>
      <c r="J15811">
        <f>IF($H15811=0,1,IF($I15811&lt;=1,2,0))</f>
        <v>1</v>
      </c>
      <c r="K15811">
        <v>0</v>
      </c>
      <c r="L15811">
        <f>IF(AND($J15811=0,$K15811=0),0,1)</f>
        <v>1</v>
      </c>
    </row>
    <row r="15812" spans="1:13" x14ac:dyDescent="0.2">
      <c r="A15812" t="s">
        <v>431</v>
      </c>
      <c r="B15812" t="s">
        <v>6</v>
      </c>
      <c r="C15812" t="s">
        <v>9</v>
      </c>
      <c r="D15812">
        <v>2629</v>
      </c>
      <c r="E15812">
        <v>2021</v>
      </c>
      <c r="F15812">
        <v>1</v>
      </c>
      <c r="G15812">
        <v>10858</v>
      </c>
      <c r="H15812" s="1">
        <v>0</v>
      </c>
      <c r="I15812">
        <v>13</v>
      </c>
      <c r="J15812">
        <f>IF($H15812=0,1,IF($I15812&lt;=1,2,0))</f>
        <v>1</v>
      </c>
      <c r="K15812">
        <v>0</v>
      </c>
      <c r="L15812">
        <f>IF(AND($J15812=0,$K15812=0),0,1)</f>
        <v>1</v>
      </c>
      <c r="M15812" t="s">
        <v>1606</v>
      </c>
    </row>
    <row r="15813" spans="1:13" x14ac:dyDescent="0.2">
      <c r="A15813" t="s">
        <v>431</v>
      </c>
      <c r="B15813" t="s">
        <v>6</v>
      </c>
      <c r="C15813" t="s">
        <v>9</v>
      </c>
      <c r="D15813">
        <v>2690</v>
      </c>
      <c r="E15813">
        <v>2021</v>
      </c>
      <c r="F15813">
        <v>1</v>
      </c>
      <c r="G15813">
        <v>10386</v>
      </c>
      <c r="H15813" s="1">
        <v>0</v>
      </c>
      <c r="I15813">
        <v>26</v>
      </c>
      <c r="J15813">
        <f>IF($H15813=0,1,IF($I15813&lt;=1,2,0))</f>
        <v>1</v>
      </c>
      <c r="K15813">
        <v>0</v>
      </c>
      <c r="L15813">
        <f>IF(AND($J15813=0,$K15813=0),0,1)</f>
        <v>1</v>
      </c>
      <c r="M15813" t="s">
        <v>1608</v>
      </c>
    </row>
    <row r="15814" spans="1:13" x14ac:dyDescent="0.2">
      <c r="A15814" t="s">
        <v>431</v>
      </c>
      <c r="B15814" t="s">
        <v>6</v>
      </c>
      <c r="C15814" t="s">
        <v>9</v>
      </c>
      <c r="D15814">
        <v>2690</v>
      </c>
      <c r="E15814">
        <v>2021</v>
      </c>
      <c r="F15814">
        <v>4</v>
      </c>
      <c r="G15814">
        <v>20450</v>
      </c>
      <c r="H15814" s="1">
        <v>0</v>
      </c>
      <c r="I15814">
        <v>5</v>
      </c>
      <c r="J15814">
        <f>IF($H15814=0,1,IF($I15814&lt;=1,2,0))</f>
        <v>1</v>
      </c>
      <c r="K15814">
        <v>0</v>
      </c>
      <c r="L15814">
        <f>IF(AND($J15814=0,$K15814=0),0,1)</f>
        <v>1</v>
      </c>
      <c r="M15814" t="s">
        <v>1611</v>
      </c>
    </row>
    <row r="15815" spans="1:13" x14ac:dyDescent="0.2">
      <c r="A15815" t="s">
        <v>431</v>
      </c>
      <c r="B15815" t="s">
        <v>6</v>
      </c>
      <c r="C15815" t="s">
        <v>9</v>
      </c>
      <c r="D15815">
        <v>2690</v>
      </c>
      <c r="E15815">
        <v>2021</v>
      </c>
      <c r="F15815">
        <v>3</v>
      </c>
      <c r="G15815">
        <v>20449</v>
      </c>
      <c r="H15815" s="1">
        <v>0</v>
      </c>
      <c r="I15815">
        <v>1</v>
      </c>
      <c r="J15815">
        <f>IF($H15815=0,1,IF($I15815&lt;=1,2,0))</f>
        <v>1</v>
      </c>
      <c r="K15815">
        <v>0</v>
      </c>
      <c r="L15815">
        <f>IF(AND($J15815=0,$K15815=0),0,1)</f>
        <v>1</v>
      </c>
      <c r="M15815" t="s">
        <v>1610</v>
      </c>
    </row>
    <row r="15816" spans="1:13" x14ac:dyDescent="0.2">
      <c r="A15816" t="s">
        <v>431</v>
      </c>
      <c r="B15816" t="s">
        <v>6</v>
      </c>
      <c r="C15816" t="s">
        <v>9</v>
      </c>
      <c r="D15816">
        <v>2690</v>
      </c>
      <c r="E15816">
        <v>2021</v>
      </c>
      <c r="F15816">
        <v>5</v>
      </c>
      <c r="G15816">
        <v>20451</v>
      </c>
      <c r="H15816" s="1">
        <v>0</v>
      </c>
      <c r="I15816">
        <v>1</v>
      </c>
      <c r="J15816">
        <f>IF($H15816=0,1,IF($I15816&lt;=1,2,0))</f>
        <v>1</v>
      </c>
      <c r="K15816">
        <v>0</v>
      </c>
      <c r="L15816">
        <f>IF(AND($J15816=0,$K15816=0),0,1)</f>
        <v>1</v>
      </c>
      <c r="M15816" t="s">
        <v>1612</v>
      </c>
    </row>
    <row r="15817" spans="1:13" x14ac:dyDescent="0.2">
      <c r="A15817" t="s">
        <v>431</v>
      </c>
      <c r="B15817" t="s">
        <v>6</v>
      </c>
      <c r="C15817" t="s">
        <v>9</v>
      </c>
      <c r="D15817">
        <v>2690</v>
      </c>
      <c r="E15817">
        <v>2021</v>
      </c>
      <c r="F15817">
        <v>2</v>
      </c>
      <c r="G15817">
        <v>20448</v>
      </c>
      <c r="H15817" s="1">
        <v>0</v>
      </c>
      <c r="I15817">
        <v>0</v>
      </c>
      <c r="J15817">
        <f>IF($H15817=0,1,IF($I15817&lt;=1,2,0))</f>
        <v>1</v>
      </c>
      <c r="K15817">
        <v>0</v>
      </c>
      <c r="L15817">
        <f>IF(AND($J15817=0,$K15817=0),0,1)</f>
        <v>1</v>
      </c>
      <c r="M15817" t="s">
        <v>1609</v>
      </c>
    </row>
    <row r="15818" spans="1:13" x14ac:dyDescent="0.2">
      <c r="A15818" t="s">
        <v>431</v>
      </c>
      <c r="B15818" t="s">
        <v>6</v>
      </c>
      <c r="C15818" t="s">
        <v>9</v>
      </c>
      <c r="D15818">
        <v>2719</v>
      </c>
      <c r="E15818">
        <v>2021</v>
      </c>
      <c r="F15818" t="s">
        <v>1349</v>
      </c>
      <c r="G15818">
        <v>20379</v>
      </c>
      <c r="H15818" s="1">
        <v>0</v>
      </c>
      <c r="I15818">
        <v>15</v>
      </c>
      <c r="J15818">
        <f>IF($H15818=0,1,IF($I15818&lt;=1,2,0))</f>
        <v>1</v>
      </c>
      <c r="K15818">
        <v>0</v>
      </c>
      <c r="L15818">
        <f>IF(AND($J15818=0,$K15818=0),0,1)</f>
        <v>1</v>
      </c>
    </row>
    <row r="15819" spans="1:13" x14ac:dyDescent="0.2">
      <c r="A15819" t="s">
        <v>431</v>
      </c>
      <c r="B15819" t="s">
        <v>6</v>
      </c>
      <c r="C15819" t="s">
        <v>9</v>
      </c>
      <c r="D15819">
        <v>2720</v>
      </c>
      <c r="E15819">
        <v>2021</v>
      </c>
      <c r="F15819">
        <v>1</v>
      </c>
      <c r="G15819">
        <v>10390</v>
      </c>
      <c r="H15819" s="1">
        <v>0</v>
      </c>
      <c r="I15819">
        <v>136</v>
      </c>
      <c r="J15819">
        <f>IF($H15819=0,1,IF($I15819&lt;=1,2,0))</f>
        <v>1</v>
      </c>
      <c r="K15819">
        <v>0</v>
      </c>
      <c r="L15819">
        <f>IF(AND($J15819=0,$K15819=0),0,1)</f>
        <v>1</v>
      </c>
      <c r="M15819" t="s">
        <v>1614</v>
      </c>
    </row>
    <row r="15820" spans="1:13" x14ac:dyDescent="0.2">
      <c r="A15820" t="s">
        <v>431</v>
      </c>
      <c r="B15820" t="s">
        <v>6</v>
      </c>
      <c r="C15820" t="s">
        <v>2</v>
      </c>
      <c r="D15820">
        <v>2865</v>
      </c>
      <c r="E15820">
        <v>2021</v>
      </c>
      <c r="F15820">
        <v>1</v>
      </c>
      <c r="G15820">
        <v>46</v>
      </c>
      <c r="H15820" s="1">
        <v>3</v>
      </c>
      <c r="I15820">
        <v>49</v>
      </c>
      <c r="J15820">
        <f>IF($H15820=0,1,IF($I15820&lt;=1,2,0))</f>
        <v>0</v>
      </c>
      <c r="K15820">
        <v>7</v>
      </c>
      <c r="L15820">
        <f>IF(AND($J15820=0,$K15820=0),0,1)</f>
        <v>1</v>
      </c>
    </row>
    <row r="15821" spans="1:13" x14ac:dyDescent="0.2">
      <c r="A15821" t="s">
        <v>431</v>
      </c>
      <c r="B15821" t="s">
        <v>6</v>
      </c>
      <c r="C15821" t="s">
        <v>2</v>
      </c>
      <c r="D15821">
        <v>3177</v>
      </c>
      <c r="E15821">
        <v>2021</v>
      </c>
      <c r="F15821">
        <v>1</v>
      </c>
      <c r="G15821">
        <v>47</v>
      </c>
      <c r="H15821" s="1">
        <v>4</v>
      </c>
      <c r="I15821">
        <v>16</v>
      </c>
      <c r="J15821">
        <f>IF($H15821=0,1,IF($I15821&lt;=1,2,0))</f>
        <v>0</v>
      </c>
      <c r="K15821">
        <v>7</v>
      </c>
      <c r="L15821">
        <f>IF(AND($J15821=0,$K15821=0),0,1)</f>
        <v>1</v>
      </c>
      <c r="M15821" t="s">
        <v>1093</v>
      </c>
    </row>
    <row r="15822" spans="1:13" x14ac:dyDescent="0.2">
      <c r="A15822" t="s">
        <v>431</v>
      </c>
      <c r="B15822" t="s">
        <v>6</v>
      </c>
      <c r="C15822" t="s">
        <v>2</v>
      </c>
      <c r="D15822">
        <v>3327</v>
      </c>
      <c r="E15822">
        <v>2021</v>
      </c>
      <c r="F15822">
        <v>1</v>
      </c>
      <c r="G15822">
        <v>48</v>
      </c>
      <c r="H15822" s="1">
        <v>4</v>
      </c>
      <c r="I15822">
        <v>18</v>
      </c>
      <c r="J15822">
        <f>IF($H15822=0,1,IF($I15822&lt;=1,2,0))</f>
        <v>0</v>
      </c>
      <c r="K15822">
        <v>7</v>
      </c>
      <c r="L15822">
        <f>IF(AND($J15822=0,$K15822=0),0,1)</f>
        <v>1</v>
      </c>
      <c r="M15822" t="s">
        <v>1093</v>
      </c>
    </row>
    <row r="15823" spans="1:13" x14ac:dyDescent="0.2">
      <c r="A15823" t="s">
        <v>431</v>
      </c>
      <c r="B15823" t="s">
        <v>6</v>
      </c>
      <c r="C15823" t="s">
        <v>2</v>
      </c>
      <c r="D15823">
        <v>3391</v>
      </c>
      <c r="E15823">
        <v>2021</v>
      </c>
      <c r="F15823">
        <v>1</v>
      </c>
      <c r="G15823">
        <v>49</v>
      </c>
      <c r="H15823" s="1">
        <v>4</v>
      </c>
      <c r="I15823">
        <v>38</v>
      </c>
      <c r="J15823">
        <f>IF($H15823=0,1,IF($I15823&lt;=1,2,0))</f>
        <v>0</v>
      </c>
      <c r="K15823">
        <v>7</v>
      </c>
      <c r="L15823">
        <f>IF(AND($J15823=0,$K15823=0),0,1)</f>
        <v>1</v>
      </c>
      <c r="M15823" t="s">
        <v>452</v>
      </c>
    </row>
    <row r="15824" spans="1:13" x14ac:dyDescent="0.2">
      <c r="A15824" t="s">
        <v>431</v>
      </c>
      <c r="B15824" t="s">
        <v>6</v>
      </c>
      <c r="C15824" t="s">
        <v>2</v>
      </c>
      <c r="D15824">
        <v>3491</v>
      </c>
      <c r="E15824">
        <v>2021</v>
      </c>
      <c r="F15824">
        <v>1</v>
      </c>
      <c r="G15824">
        <v>51</v>
      </c>
      <c r="H15824" s="1">
        <v>4</v>
      </c>
      <c r="I15824">
        <v>15</v>
      </c>
      <c r="J15824">
        <f>IF($H15824=0,1,IF($I15824&lt;=1,2,0))</f>
        <v>0</v>
      </c>
      <c r="K15824">
        <v>7</v>
      </c>
      <c r="L15824">
        <f>IF(AND($J15824=0,$K15824=0),0,1)</f>
        <v>1</v>
      </c>
      <c r="M15824" t="s">
        <v>1616</v>
      </c>
    </row>
    <row r="15825" spans="1:13" x14ac:dyDescent="0.2">
      <c r="A15825" t="s">
        <v>431</v>
      </c>
      <c r="B15825" t="s">
        <v>6</v>
      </c>
      <c r="C15825" t="s">
        <v>2</v>
      </c>
      <c r="D15825">
        <v>3864</v>
      </c>
      <c r="E15825">
        <v>2021</v>
      </c>
      <c r="F15825">
        <v>1</v>
      </c>
      <c r="G15825">
        <v>52</v>
      </c>
      <c r="H15825" s="1">
        <v>4</v>
      </c>
      <c r="I15825">
        <v>15</v>
      </c>
      <c r="J15825">
        <f>IF($H15825=0,1,IF($I15825&lt;=1,2,0))</f>
        <v>0</v>
      </c>
      <c r="K15825">
        <v>7</v>
      </c>
      <c r="L15825">
        <f>IF(AND($J15825=0,$K15825=0),0,1)</f>
        <v>1</v>
      </c>
      <c r="M15825" t="s">
        <v>1093</v>
      </c>
    </row>
    <row r="15826" spans="1:13" x14ac:dyDescent="0.2">
      <c r="A15826" t="s">
        <v>431</v>
      </c>
      <c r="B15826" t="s">
        <v>6</v>
      </c>
      <c r="C15826" t="s">
        <v>2</v>
      </c>
      <c r="D15826">
        <v>3904</v>
      </c>
      <c r="E15826">
        <v>2021</v>
      </c>
      <c r="F15826">
        <v>1</v>
      </c>
      <c r="G15826">
        <v>53</v>
      </c>
      <c r="H15826" s="1">
        <v>4</v>
      </c>
      <c r="I15826">
        <v>8</v>
      </c>
      <c r="J15826">
        <f>IF($H15826=0,1,IF($I15826&lt;=1,2,0))</f>
        <v>0</v>
      </c>
      <c r="K15826">
        <v>7</v>
      </c>
      <c r="L15826">
        <f>IF(AND($J15826=0,$K15826=0),0,1)</f>
        <v>1</v>
      </c>
      <c r="M15826" t="s">
        <v>1616</v>
      </c>
    </row>
    <row r="15827" spans="1:13" x14ac:dyDescent="0.2">
      <c r="A15827" t="s">
        <v>431</v>
      </c>
      <c r="B15827" t="s">
        <v>6</v>
      </c>
      <c r="C15827" t="s">
        <v>11</v>
      </c>
      <c r="D15827">
        <v>5000</v>
      </c>
      <c r="E15827">
        <v>2021</v>
      </c>
      <c r="F15827">
        <v>1</v>
      </c>
      <c r="G15827">
        <v>18657</v>
      </c>
      <c r="H15827" s="1">
        <v>2</v>
      </c>
      <c r="I15827">
        <v>31</v>
      </c>
      <c r="J15827">
        <f>IF($H15827=0,1,IF($I15827&lt;=1,2,0))</f>
        <v>0</v>
      </c>
      <c r="K15827">
        <v>4</v>
      </c>
      <c r="L15827">
        <f>IF(AND($J15827=0,$K15827=0),0,1)</f>
        <v>1</v>
      </c>
      <c r="M15827" t="s">
        <v>458</v>
      </c>
    </row>
    <row r="15828" spans="1:13" x14ac:dyDescent="0.2">
      <c r="A15828" t="s">
        <v>431</v>
      </c>
      <c r="B15828" t="s">
        <v>6</v>
      </c>
      <c r="C15828" t="s">
        <v>11</v>
      </c>
      <c r="D15828">
        <v>5294</v>
      </c>
      <c r="E15828">
        <v>2021</v>
      </c>
      <c r="F15828">
        <v>1</v>
      </c>
      <c r="G15828">
        <v>10817</v>
      </c>
      <c r="H15828" s="1">
        <v>4</v>
      </c>
      <c r="I15828">
        <v>4</v>
      </c>
      <c r="J15828">
        <f>IF($H15828=0,1,IF($I15828&lt;=1,2,0))</f>
        <v>0</v>
      </c>
      <c r="K15828">
        <v>4</v>
      </c>
      <c r="L15828">
        <f>IF(AND($J15828=0,$K15828=0),0,1)</f>
        <v>1</v>
      </c>
      <c r="M15828" t="s">
        <v>1622</v>
      </c>
    </row>
    <row r="15829" spans="1:13" x14ac:dyDescent="0.2">
      <c r="A15829" t="s">
        <v>431</v>
      </c>
      <c r="B15829" t="s">
        <v>6</v>
      </c>
      <c r="C15829" t="s">
        <v>11</v>
      </c>
      <c r="D15829">
        <v>5993</v>
      </c>
      <c r="E15829">
        <v>2021</v>
      </c>
      <c r="F15829">
        <v>1</v>
      </c>
      <c r="G15829">
        <v>18658</v>
      </c>
      <c r="H15829" s="1" t="s">
        <v>1827</v>
      </c>
      <c r="I15829">
        <v>26</v>
      </c>
      <c r="J15829">
        <f>IF($H15829=0,1,IF($I15829&lt;=1,2,0))</f>
        <v>0</v>
      </c>
      <c r="K15829">
        <v>4</v>
      </c>
      <c r="L15829">
        <f>IF(AND($J15829=0,$K15829=0),0,1)</f>
        <v>1</v>
      </c>
      <c r="M15829" t="s">
        <v>458</v>
      </c>
    </row>
    <row r="15830" spans="1:13" x14ac:dyDescent="0.2">
      <c r="A15830" t="s">
        <v>431</v>
      </c>
      <c r="B15830" t="s">
        <v>6</v>
      </c>
      <c r="C15830" t="s">
        <v>11</v>
      </c>
      <c r="D15830">
        <v>6998</v>
      </c>
      <c r="E15830">
        <v>2021</v>
      </c>
      <c r="F15830">
        <v>1</v>
      </c>
      <c r="G15830">
        <v>14983</v>
      </c>
      <c r="H15830" s="1">
        <v>4</v>
      </c>
      <c r="I15830">
        <v>12</v>
      </c>
      <c r="J15830">
        <f>IF($H15830=0,1,IF($I15830&lt;=1,2,0))</f>
        <v>0</v>
      </c>
      <c r="K15830">
        <v>4</v>
      </c>
      <c r="L15830">
        <f>IF(AND($J15830=0,$K15830=0),0,1)</f>
        <v>1</v>
      </c>
      <c r="M15830" t="s">
        <v>1623</v>
      </c>
    </row>
    <row r="15831" spans="1:13" x14ac:dyDescent="0.2">
      <c r="A15831" t="s">
        <v>431</v>
      </c>
      <c r="B15831" t="s">
        <v>6</v>
      </c>
      <c r="C15831" t="s">
        <v>11</v>
      </c>
      <c r="D15831">
        <v>6998</v>
      </c>
      <c r="E15831">
        <v>2021</v>
      </c>
      <c r="F15831">
        <v>2</v>
      </c>
      <c r="G15831">
        <v>14988</v>
      </c>
      <c r="H15831" s="1">
        <v>4</v>
      </c>
      <c r="I15831">
        <v>5</v>
      </c>
      <c r="J15831">
        <f>IF($H15831=0,1,IF($I15831&lt;=1,2,0))</f>
        <v>0</v>
      </c>
      <c r="K15831">
        <v>4</v>
      </c>
      <c r="L15831">
        <f>IF(AND($J15831=0,$K15831=0),0,1)</f>
        <v>1</v>
      </c>
      <c r="M15831" t="s">
        <v>1624</v>
      </c>
    </row>
    <row r="15832" spans="1:13" x14ac:dyDescent="0.2">
      <c r="A15832" t="s">
        <v>431</v>
      </c>
      <c r="B15832" t="s">
        <v>6</v>
      </c>
      <c r="C15832" t="s">
        <v>11</v>
      </c>
      <c r="D15832">
        <v>6998</v>
      </c>
      <c r="E15832">
        <v>2021</v>
      </c>
      <c r="F15832">
        <v>3</v>
      </c>
      <c r="G15832">
        <v>17826</v>
      </c>
      <c r="H15832" s="1">
        <v>4</v>
      </c>
      <c r="I15832">
        <v>2</v>
      </c>
      <c r="J15832">
        <f>IF($H15832=0,1,IF($I15832&lt;=1,2,0))</f>
        <v>0</v>
      </c>
      <c r="K15832">
        <v>4</v>
      </c>
      <c r="L15832">
        <f>IF(AND($J15832=0,$K15832=0),0,1)</f>
        <v>1</v>
      </c>
      <c r="M15832" t="s">
        <v>1625</v>
      </c>
    </row>
    <row r="15833" spans="1:13" x14ac:dyDescent="0.2">
      <c r="A15833" t="s">
        <v>431</v>
      </c>
      <c r="B15833" t="s">
        <v>6</v>
      </c>
      <c r="C15833" t="s">
        <v>11</v>
      </c>
      <c r="D15833">
        <v>6999</v>
      </c>
      <c r="E15833">
        <v>2021</v>
      </c>
      <c r="F15833">
        <v>1</v>
      </c>
      <c r="G15833">
        <v>13400</v>
      </c>
      <c r="H15833" s="1">
        <v>4</v>
      </c>
      <c r="I15833">
        <v>1</v>
      </c>
      <c r="J15833">
        <f>IF($H15833=0,1,IF($I15833&lt;=1,2,0))</f>
        <v>2</v>
      </c>
      <c r="K15833">
        <v>9</v>
      </c>
      <c r="L15833">
        <f>IF(AND($J15833=0,$K15833=0),0,1)</f>
        <v>1</v>
      </c>
      <c r="M15833" t="s">
        <v>1626</v>
      </c>
    </row>
    <row r="15834" spans="1:13" x14ac:dyDescent="0.2">
      <c r="A15834" t="s">
        <v>431</v>
      </c>
      <c r="B15834" t="s">
        <v>6</v>
      </c>
      <c r="C15834" t="s">
        <v>11</v>
      </c>
      <c r="D15834">
        <v>6999</v>
      </c>
      <c r="E15834">
        <v>2021</v>
      </c>
      <c r="F15834">
        <v>2</v>
      </c>
      <c r="G15834">
        <v>14955</v>
      </c>
      <c r="H15834" s="1">
        <v>4</v>
      </c>
      <c r="I15834">
        <v>1</v>
      </c>
      <c r="J15834">
        <f>IF($H15834=0,1,IF($I15834&lt;=1,2,0))</f>
        <v>2</v>
      </c>
      <c r="K15834">
        <v>9</v>
      </c>
      <c r="L15834">
        <f>IF(AND($J15834=0,$K15834=0),0,1)</f>
        <v>1</v>
      </c>
      <c r="M15834" t="s">
        <v>1627</v>
      </c>
    </row>
    <row r="15835" spans="1:13" x14ac:dyDescent="0.2">
      <c r="A15835" t="s">
        <v>431</v>
      </c>
      <c r="B15835" t="s">
        <v>6</v>
      </c>
      <c r="C15835" t="s">
        <v>11</v>
      </c>
      <c r="D15835">
        <v>9999</v>
      </c>
      <c r="E15835">
        <v>2021</v>
      </c>
      <c r="F15835">
        <v>1</v>
      </c>
      <c r="G15835">
        <v>20164</v>
      </c>
      <c r="H15835" s="1">
        <v>4</v>
      </c>
      <c r="I15835">
        <v>36</v>
      </c>
      <c r="J15835">
        <f>IF($H15835=0,1,IF($I15835&lt;=1,2,0))</f>
        <v>0</v>
      </c>
      <c r="K15835">
        <v>5</v>
      </c>
      <c r="L15835">
        <f>IF(AND($J15835=0,$K15835=0),0,1)</f>
        <v>1</v>
      </c>
    </row>
    <row r="15836" spans="1:13" x14ac:dyDescent="0.2">
      <c r="A15836" t="s">
        <v>465</v>
      </c>
      <c r="B15836" t="s">
        <v>6</v>
      </c>
      <c r="C15836" t="s">
        <v>2</v>
      </c>
      <c r="D15836">
        <v>3099</v>
      </c>
      <c r="E15836">
        <v>2021</v>
      </c>
      <c r="F15836">
        <v>1</v>
      </c>
      <c r="G15836">
        <v>712</v>
      </c>
      <c r="H15836" s="1">
        <v>3</v>
      </c>
      <c r="I15836">
        <v>1</v>
      </c>
      <c r="J15836">
        <f>IF($H15836=0,1,IF($I15836&lt;=1,2,0))</f>
        <v>2</v>
      </c>
      <c r="K15836">
        <v>7</v>
      </c>
      <c r="L15836">
        <f>IF(AND($J15836=0,$K15836=0),0,1)</f>
        <v>1</v>
      </c>
    </row>
    <row r="15837" spans="1:13" x14ac:dyDescent="0.2">
      <c r="A15837" t="s">
        <v>465</v>
      </c>
      <c r="B15837" t="s">
        <v>6</v>
      </c>
      <c r="C15837" t="s">
        <v>2</v>
      </c>
      <c r="D15837">
        <v>3099</v>
      </c>
      <c r="E15837">
        <v>2021</v>
      </c>
      <c r="F15837">
        <v>2</v>
      </c>
      <c r="G15837">
        <v>758</v>
      </c>
      <c r="H15837" s="1" t="s">
        <v>1823</v>
      </c>
      <c r="I15837">
        <v>1</v>
      </c>
      <c r="J15837">
        <f>IF($H15837=0,1,IF($I15837&lt;=1,2,0))</f>
        <v>2</v>
      </c>
      <c r="K15837">
        <v>7</v>
      </c>
      <c r="L15837">
        <f>IF(AND($J15837=0,$K15837=0),0,1)</f>
        <v>1</v>
      </c>
    </row>
    <row r="15838" spans="1:13" x14ac:dyDescent="0.2">
      <c r="A15838" t="s">
        <v>465</v>
      </c>
      <c r="B15838" t="s">
        <v>6</v>
      </c>
      <c r="C15838" t="s">
        <v>2</v>
      </c>
      <c r="D15838">
        <v>3360</v>
      </c>
      <c r="E15838">
        <v>2021</v>
      </c>
      <c r="F15838">
        <v>1</v>
      </c>
      <c r="G15838">
        <v>58</v>
      </c>
      <c r="H15838" s="1">
        <v>4</v>
      </c>
      <c r="I15838">
        <v>16</v>
      </c>
      <c r="J15838">
        <f>IF($H15838=0,1,IF($I15838&lt;=1,2,0))</f>
        <v>0</v>
      </c>
      <c r="K15838">
        <v>7</v>
      </c>
      <c r="L15838">
        <f>IF(AND($J15838=0,$K15838=0),0,1)</f>
        <v>1</v>
      </c>
    </row>
    <row r="15839" spans="1:13" x14ac:dyDescent="0.2">
      <c r="A15839" t="s">
        <v>465</v>
      </c>
      <c r="B15839" t="s">
        <v>6</v>
      </c>
      <c r="C15839" t="s">
        <v>2</v>
      </c>
      <c r="D15839">
        <v>3850</v>
      </c>
      <c r="E15839">
        <v>2021</v>
      </c>
      <c r="F15839">
        <v>1</v>
      </c>
      <c r="G15839">
        <v>59</v>
      </c>
      <c r="H15839" s="1">
        <v>4</v>
      </c>
      <c r="I15839">
        <v>17</v>
      </c>
      <c r="J15839">
        <f>IF($H15839=0,1,IF($I15839&lt;=1,2,0))</f>
        <v>0</v>
      </c>
      <c r="K15839">
        <v>7</v>
      </c>
      <c r="L15839">
        <f>IF(AND($J15839=0,$K15839=0),0,1)</f>
        <v>1</v>
      </c>
    </row>
    <row r="15840" spans="1:13" x14ac:dyDescent="0.2">
      <c r="A15840" t="s">
        <v>465</v>
      </c>
      <c r="B15840" t="s">
        <v>6</v>
      </c>
      <c r="C15840" t="s">
        <v>2</v>
      </c>
      <c r="D15840">
        <v>3931</v>
      </c>
      <c r="E15840">
        <v>2021</v>
      </c>
      <c r="F15840">
        <v>1</v>
      </c>
      <c r="G15840">
        <v>60</v>
      </c>
      <c r="H15840" s="1">
        <v>3</v>
      </c>
      <c r="I15840">
        <v>12</v>
      </c>
      <c r="J15840">
        <f>IF($H15840=0,1,IF($I15840&lt;=1,2,0))</f>
        <v>0</v>
      </c>
      <c r="K15840">
        <v>7</v>
      </c>
      <c r="L15840">
        <f>IF(AND($J15840=0,$K15840=0),0,1)</f>
        <v>1</v>
      </c>
      <c r="M15840" t="s">
        <v>1630</v>
      </c>
    </row>
    <row r="15841" spans="1:13" x14ac:dyDescent="0.2">
      <c r="A15841" t="s">
        <v>465</v>
      </c>
      <c r="B15841" t="s">
        <v>6</v>
      </c>
      <c r="C15841" t="s">
        <v>11</v>
      </c>
      <c r="D15841">
        <v>6020</v>
      </c>
      <c r="E15841">
        <v>2021</v>
      </c>
      <c r="F15841">
        <v>1</v>
      </c>
      <c r="G15841">
        <v>12493</v>
      </c>
      <c r="H15841" s="1">
        <v>3</v>
      </c>
      <c r="I15841">
        <v>21</v>
      </c>
      <c r="J15841">
        <f>IF($H15841=0,1,IF($I15841&lt;=1,2,0))</f>
        <v>0</v>
      </c>
      <c r="K15841">
        <v>4</v>
      </c>
      <c r="L15841">
        <f>IF(AND($J15841=0,$K15841=0),0,1)</f>
        <v>1</v>
      </c>
      <c r="M15841" t="s">
        <v>469</v>
      </c>
    </row>
    <row r="15842" spans="1:13" x14ac:dyDescent="0.2">
      <c r="A15842" t="s">
        <v>465</v>
      </c>
      <c r="B15842" t="s">
        <v>6</v>
      </c>
      <c r="C15842" t="s">
        <v>11</v>
      </c>
      <c r="D15842">
        <v>6020</v>
      </c>
      <c r="E15842">
        <v>2021</v>
      </c>
      <c r="F15842">
        <v>2</v>
      </c>
      <c r="G15842">
        <v>12202</v>
      </c>
      <c r="H15842" s="1">
        <v>3</v>
      </c>
      <c r="I15842">
        <v>18</v>
      </c>
      <c r="J15842">
        <f>IF($H15842=0,1,IF($I15842&lt;=1,2,0))</f>
        <v>0</v>
      </c>
      <c r="K15842">
        <v>4</v>
      </c>
      <c r="L15842">
        <f>IF(AND($J15842=0,$K15842=0),0,1)</f>
        <v>1</v>
      </c>
      <c r="M15842" t="s">
        <v>469</v>
      </c>
    </row>
    <row r="15843" spans="1:13" x14ac:dyDescent="0.2">
      <c r="A15843" t="s">
        <v>465</v>
      </c>
      <c r="B15843" t="s">
        <v>6</v>
      </c>
      <c r="C15843" t="s">
        <v>11</v>
      </c>
      <c r="D15843">
        <v>6990</v>
      </c>
      <c r="E15843">
        <v>2021</v>
      </c>
      <c r="F15843">
        <v>1</v>
      </c>
      <c r="G15843">
        <v>13586</v>
      </c>
      <c r="H15843" s="1">
        <v>3</v>
      </c>
      <c r="I15843">
        <v>9</v>
      </c>
      <c r="J15843">
        <f>IF($H15843=0,1,IF($I15843&lt;=1,2,0))</f>
        <v>0</v>
      </c>
      <c r="K15843">
        <v>4</v>
      </c>
      <c r="L15843">
        <f>IF(AND($J15843=0,$K15843=0),0,1)</f>
        <v>1</v>
      </c>
      <c r="M15843" t="s">
        <v>469</v>
      </c>
    </row>
    <row r="15844" spans="1:13" x14ac:dyDescent="0.2">
      <c r="A15844" t="s">
        <v>465</v>
      </c>
      <c r="B15844" t="s">
        <v>6</v>
      </c>
      <c r="C15844" t="s">
        <v>11</v>
      </c>
      <c r="D15844">
        <v>9040</v>
      </c>
      <c r="E15844">
        <v>2021</v>
      </c>
      <c r="F15844">
        <v>1</v>
      </c>
      <c r="G15844">
        <v>17771</v>
      </c>
      <c r="H15844" s="1">
        <v>1</v>
      </c>
      <c r="I15844">
        <v>5</v>
      </c>
      <c r="J15844">
        <f>IF($H15844=0,1,IF($I15844&lt;=1,2,0))</f>
        <v>0</v>
      </c>
      <c r="K15844">
        <v>5</v>
      </c>
      <c r="L15844">
        <f>IF(AND($J15844=0,$K15844=0),0,1)</f>
        <v>1</v>
      </c>
      <c r="M15844" t="s">
        <v>469</v>
      </c>
    </row>
    <row r="15845" spans="1:13" x14ac:dyDescent="0.2">
      <c r="A15845" t="s">
        <v>470</v>
      </c>
      <c r="B15845" t="s">
        <v>6</v>
      </c>
      <c r="C15845" t="s">
        <v>11</v>
      </c>
      <c r="D15845">
        <v>9881</v>
      </c>
      <c r="E15845">
        <v>2021</v>
      </c>
      <c r="F15845">
        <v>1</v>
      </c>
      <c r="G15845">
        <v>10936</v>
      </c>
      <c r="H15845" s="1">
        <v>4</v>
      </c>
      <c r="I15845">
        <v>5</v>
      </c>
      <c r="J15845">
        <f>IF($H15845=0,1,IF($I15845&lt;=1,2,0))</f>
        <v>0</v>
      </c>
      <c r="K15845">
        <v>5</v>
      </c>
      <c r="L15845">
        <f>IF(AND($J15845=0,$K15845=0),0,1)</f>
        <v>1</v>
      </c>
    </row>
    <row r="15846" spans="1:13" x14ac:dyDescent="0.2">
      <c r="A15846" t="s">
        <v>1634</v>
      </c>
      <c r="B15846" t="s">
        <v>6</v>
      </c>
      <c r="C15846" t="s">
        <v>9</v>
      </c>
      <c r="D15846">
        <v>2762</v>
      </c>
      <c r="E15846">
        <v>2021</v>
      </c>
      <c r="F15846">
        <v>1</v>
      </c>
      <c r="G15846">
        <v>10318</v>
      </c>
      <c r="H15846" s="1">
        <v>0</v>
      </c>
      <c r="I15846">
        <v>28</v>
      </c>
      <c r="J15846">
        <f>IF($H15846=0,1,IF($I15846&lt;=1,2,0))</f>
        <v>1</v>
      </c>
      <c r="K15846">
        <v>0</v>
      </c>
      <c r="L15846">
        <f>IF(AND($J15846=0,$K15846=0),0,1)</f>
        <v>1</v>
      </c>
      <c r="M15846" t="s">
        <v>1636</v>
      </c>
    </row>
    <row r="15847" spans="1:13" x14ac:dyDescent="0.2">
      <c r="A15847" t="s">
        <v>483</v>
      </c>
      <c r="B15847" t="s">
        <v>71</v>
      </c>
      <c r="C15847" t="s">
        <v>1101</v>
      </c>
      <c r="D15847">
        <v>3900</v>
      </c>
      <c r="E15847">
        <v>2021</v>
      </c>
      <c r="F15847">
        <v>17</v>
      </c>
      <c r="G15847">
        <v>16500</v>
      </c>
      <c r="H15847" s="1" t="s">
        <v>1827</v>
      </c>
      <c r="I15847">
        <v>4</v>
      </c>
      <c r="J15847">
        <f>IF($H15847=0,1,IF($I15847&lt;=1,2,0))</f>
        <v>0</v>
      </c>
      <c r="K15847">
        <v>9</v>
      </c>
      <c r="L15847">
        <f>IF(AND($J15847=0,$K15847=0),0,1)</f>
        <v>1</v>
      </c>
    </row>
    <row r="15848" spans="1:13" x14ac:dyDescent="0.2">
      <c r="A15848" t="s">
        <v>483</v>
      </c>
      <c r="B15848" t="s">
        <v>71</v>
      </c>
      <c r="C15848" t="s">
        <v>1101</v>
      </c>
      <c r="D15848">
        <v>3900</v>
      </c>
      <c r="E15848">
        <v>2021</v>
      </c>
      <c r="F15848">
        <v>2</v>
      </c>
      <c r="G15848">
        <v>16485</v>
      </c>
      <c r="H15848" s="1" t="s">
        <v>1827</v>
      </c>
      <c r="I15848">
        <v>1</v>
      </c>
      <c r="J15848">
        <f>IF($H15848=0,1,IF($I15848&lt;=1,2,0))</f>
        <v>2</v>
      </c>
      <c r="K15848">
        <v>9</v>
      </c>
      <c r="L15848">
        <f>IF(AND($J15848=0,$K15848=0),0,1)</f>
        <v>1</v>
      </c>
    </row>
    <row r="15849" spans="1:13" x14ac:dyDescent="0.2">
      <c r="A15849" t="s">
        <v>483</v>
      </c>
      <c r="B15849" t="s">
        <v>71</v>
      </c>
      <c r="C15849" t="s">
        <v>1101</v>
      </c>
      <c r="D15849">
        <v>3900</v>
      </c>
      <c r="E15849">
        <v>2021</v>
      </c>
      <c r="F15849">
        <v>10</v>
      </c>
      <c r="G15849">
        <v>16493</v>
      </c>
      <c r="H15849" s="1" t="s">
        <v>1827</v>
      </c>
      <c r="I15849">
        <v>1</v>
      </c>
      <c r="J15849">
        <f>IF($H15849=0,1,IF($I15849&lt;=1,2,0))</f>
        <v>2</v>
      </c>
      <c r="K15849">
        <v>9</v>
      </c>
      <c r="L15849">
        <f>IF(AND($J15849=0,$K15849=0),0,1)</f>
        <v>1</v>
      </c>
    </row>
    <row r="15850" spans="1:13" x14ac:dyDescent="0.2">
      <c r="A15850" t="s">
        <v>483</v>
      </c>
      <c r="B15850" t="s">
        <v>71</v>
      </c>
      <c r="C15850" t="s">
        <v>1101</v>
      </c>
      <c r="D15850">
        <v>3900</v>
      </c>
      <c r="E15850">
        <v>2021</v>
      </c>
      <c r="F15850">
        <v>14</v>
      </c>
      <c r="G15850">
        <v>16497</v>
      </c>
      <c r="H15850" s="1" t="s">
        <v>1827</v>
      </c>
      <c r="I15850">
        <v>1</v>
      </c>
      <c r="J15850">
        <f>IF($H15850=0,1,IF($I15850&lt;=1,2,0))</f>
        <v>2</v>
      </c>
      <c r="K15850">
        <v>9</v>
      </c>
      <c r="L15850">
        <f>IF(AND($J15850=0,$K15850=0),0,1)</f>
        <v>1</v>
      </c>
    </row>
    <row r="15851" spans="1:13" x14ac:dyDescent="0.2">
      <c r="A15851" t="s">
        <v>483</v>
      </c>
      <c r="B15851" t="s">
        <v>71</v>
      </c>
      <c r="C15851" t="s">
        <v>1101</v>
      </c>
      <c r="D15851">
        <v>3900</v>
      </c>
      <c r="E15851">
        <v>2021</v>
      </c>
      <c r="F15851">
        <v>15</v>
      </c>
      <c r="G15851">
        <v>16498</v>
      </c>
      <c r="H15851" s="1" t="s">
        <v>1827</v>
      </c>
      <c r="I15851">
        <v>1</v>
      </c>
      <c r="J15851">
        <f>IF($H15851=0,1,IF($I15851&lt;=1,2,0))</f>
        <v>2</v>
      </c>
      <c r="K15851">
        <v>9</v>
      </c>
      <c r="L15851">
        <f>IF(AND($J15851=0,$K15851=0),0,1)</f>
        <v>1</v>
      </c>
    </row>
    <row r="15852" spans="1:13" x14ac:dyDescent="0.2">
      <c r="A15852" t="s">
        <v>483</v>
      </c>
      <c r="B15852" t="s">
        <v>71</v>
      </c>
      <c r="C15852" t="s">
        <v>1101</v>
      </c>
      <c r="D15852">
        <v>3900</v>
      </c>
      <c r="E15852">
        <v>2021</v>
      </c>
      <c r="F15852">
        <v>1</v>
      </c>
      <c r="G15852">
        <v>16484</v>
      </c>
      <c r="H15852" s="1" t="s">
        <v>1827</v>
      </c>
      <c r="I15852">
        <v>0</v>
      </c>
      <c r="J15852">
        <f>IF($H15852=0,1,IF($I15852&lt;=1,2,0))</f>
        <v>2</v>
      </c>
      <c r="K15852">
        <v>9</v>
      </c>
      <c r="L15852">
        <f>IF(AND($J15852=0,$K15852=0),0,1)</f>
        <v>1</v>
      </c>
    </row>
    <row r="15853" spans="1:13" x14ac:dyDescent="0.2">
      <c r="A15853" t="s">
        <v>483</v>
      </c>
      <c r="B15853" t="s">
        <v>71</v>
      </c>
      <c r="C15853" t="s">
        <v>1101</v>
      </c>
      <c r="D15853">
        <v>3900</v>
      </c>
      <c r="E15853">
        <v>2021</v>
      </c>
      <c r="F15853">
        <v>3</v>
      </c>
      <c r="G15853">
        <v>16486</v>
      </c>
      <c r="H15853" s="1" t="s">
        <v>1827</v>
      </c>
      <c r="I15853">
        <v>0</v>
      </c>
      <c r="J15853">
        <f>IF($H15853=0,1,IF($I15853&lt;=1,2,0))</f>
        <v>2</v>
      </c>
      <c r="K15853">
        <v>9</v>
      </c>
      <c r="L15853">
        <f>IF(AND($J15853=0,$K15853=0),0,1)</f>
        <v>1</v>
      </c>
    </row>
    <row r="15854" spans="1:13" x14ac:dyDescent="0.2">
      <c r="A15854" t="s">
        <v>483</v>
      </c>
      <c r="B15854" t="s">
        <v>71</v>
      </c>
      <c r="C15854" t="s">
        <v>1101</v>
      </c>
      <c r="D15854">
        <v>3900</v>
      </c>
      <c r="E15854">
        <v>2021</v>
      </c>
      <c r="F15854">
        <v>4</v>
      </c>
      <c r="G15854">
        <v>16487</v>
      </c>
      <c r="H15854" s="1" t="s">
        <v>1827</v>
      </c>
      <c r="I15854">
        <v>0</v>
      </c>
      <c r="J15854">
        <f>IF($H15854=0,1,IF($I15854&lt;=1,2,0))</f>
        <v>2</v>
      </c>
      <c r="K15854">
        <v>9</v>
      </c>
      <c r="L15854">
        <f>IF(AND($J15854=0,$K15854=0),0,1)</f>
        <v>1</v>
      </c>
    </row>
    <row r="15855" spans="1:13" x14ac:dyDescent="0.2">
      <c r="A15855" t="s">
        <v>483</v>
      </c>
      <c r="B15855" t="s">
        <v>71</v>
      </c>
      <c r="C15855" t="s">
        <v>1101</v>
      </c>
      <c r="D15855">
        <v>3900</v>
      </c>
      <c r="E15855">
        <v>2021</v>
      </c>
      <c r="F15855">
        <v>5</v>
      </c>
      <c r="G15855">
        <v>16488</v>
      </c>
      <c r="H15855" s="1" t="s">
        <v>1827</v>
      </c>
      <c r="I15855">
        <v>0</v>
      </c>
      <c r="J15855">
        <f>IF($H15855=0,1,IF($I15855&lt;=1,2,0))</f>
        <v>2</v>
      </c>
      <c r="K15855">
        <v>9</v>
      </c>
      <c r="L15855">
        <f>IF(AND($J15855=0,$K15855=0),0,1)</f>
        <v>1</v>
      </c>
    </row>
    <row r="15856" spans="1:13" x14ac:dyDescent="0.2">
      <c r="A15856" t="s">
        <v>483</v>
      </c>
      <c r="B15856" t="s">
        <v>71</v>
      </c>
      <c r="C15856" t="s">
        <v>1101</v>
      </c>
      <c r="D15856">
        <v>3900</v>
      </c>
      <c r="E15856">
        <v>2021</v>
      </c>
      <c r="F15856">
        <v>6</v>
      </c>
      <c r="G15856">
        <v>16489</v>
      </c>
      <c r="H15856" s="1" t="s">
        <v>1827</v>
      </c>
      <c r="I15856">
        <v>0</v>
      </c>
      <c r="J15856">
        <f>IF($H15856=0,1,IF($I15856&lt;=1,2,0))</f>
        <v>2</v>
      </c>
      <c r="K15856">
        <v>9</v>
      </c>
      <c r="L15856">
        <f>IF(AND($J15856=0,$K15856=0),0,1)</f>
        <v>1</v>
      </c>
    </row>
    <row r="15857" spans="1:12" x14ac:dyDescent="0.2">
      <c r="A15857" t="s">
        <v>483</v>
      </c>
      <c r="B15857" t="s">
        <v>71</v>
      </c>
      <c r="C15857" t="s">
        <v>1101</v>
      </c>
      <c r="D15857">
        <v>3900</v>
      </c>
      <c r="E15857">
        <v>2021</v>
      </c>
      <c r="F15857">
        <v>7</v>
      </c>
      <c r="G15857">
        <v>16490</v>
      </c>
      <c r="H15857" s="1" t="s">
        <v>1827</v>
      </c>
      <c r="I15857">
        <v>0</v>
      </c>
      <c r="J15857">
        <f>IF($H15857=0,1,IF($I15857&lt;=1,2,0))</f>
        <v>2</v>
      </c>
      <c r="K15857">
        <v>9</v>
      </c>
      <c r="L15857">
        <f>IF(AND($J15857=0,$K15857=0),0,1)</f>
        <v>1</v>
      </c>
    </row>
    <row r="15858" spans="1:12" x14ac:dyDescent="0.2">
      <c r="A15858" t="s">
        <v>483</v>
      </c>
      <c r="B15858" t="s">
        <v>71</v>
      </c>
      <c r="C15858" t="s">
        <v>1101</v>
      </c>
      <c r="D15858">
        <v>3900</v>
      </c>
      <c r="E15858">
        <v>2021</v>
      </c>
      <c r="F15858">
        <v>8</v>
      </c>
      <c r="G15858">
        <v>16491</v>
      </c>
      <c r="H15858" s="1" t="s">
        <v>1827</v>
      </c>
      <c r="I15858">
        <v>0</v>
      </c>
      <c r="J15858">
        <f>IF($H15858=0,1,IF($I15858&lt;=1,2,0))</f>
        <v>2</v>
      </c>
      <c r="K15858">
        <v>9</v>
      </c>
      <c r="L15858">
        <f>IF(AND($J15858=0,$K15858=0),0,1)</f>
        <v>1</v>
      </c>
    </row>
    <row r="15859" spans="1:12" x14ac:dyDescent="0.2">
      <c r="A15859" t="s">
        <v>483</v>
      </c>
      <c r="B15859" t="s">
        <v>71</v>
      </c>
      <c r="C15859" t="s">
        <v>1101</v>
      </c>
      <c r="D15859">
        <v>3900</v>
      </c>
      <c r="E15859">
        <v>2021</v>
      </c>
      <c r="F15859">
        <v>9</v>
      </c>
      <c r="G15859">
        <v>16492</v>
      </c>
      <c r="H15859" s="1" t="s">
        <v>1827</v>
      </c>
      <c r="I15859">
        <v>0</v>
      </c>
      <c r="J15859">
        <f>IF($H15859=0,1,IF($I15859&lt;=1,2,0))</f>
        <v>2</v>
      </c>
      <c r="K15859">
        <v>9</v>
      </c>
      <c r="L15859">
        <f>IF(AND($J15859=0,$K15859=0),0,1)</f>
        <v>1</v>
      </c>
    </row>
    <row r="15860" spans="1:12" x14ac:dyDescent="0.2">
      <c r="A15860" t="s">
        <v>483</v>
      </c>
      <c r="B15860" t="s">
        <v>71</v>
      </c>
      <c r="C15860" t="s">
        <v>1101</v>
      </c>
      <c r="D15860">
        <v>3900</v>
      </c>
      <c r="E15860">
        <v>2021</v>
      </c>
      <c r="F15860">
        <v>11</v>
      </c>
      <c r="G15860">
        <v>16494</v>
      </c>
      <c r="H15860" s="1" t="s">
        <v>1827</v>
      </c>
      <c r="I15860">
        <v>0</v>
      </c>
      <c r="J15860">
        <f>IF($H15860=0,1,IF($I15860&lt;=1,2,0))</f>
        <v>2</v>
      </c>
      <c r="K15860">
        <v>9</v>
      </c>
      <c r="L15860">
        <f>IF(AND($J15860=0,$K15860=0),0,1)</f>
        <v>1</v>
      </c>
    </row>
    <row r="15861" spans="1:12" x14ac:dyDescent="0.2">
      <c r="A15861" t="s">
        <v>483</v>
      </c>
      <c r="B15861" t="s">
        <v>71</v>
      </c>
      <c r="C15861" t="s">
        <v>1101</v>
      </c>
      <c r="D15861">
        <v>3900</v>
      </c>
      <c r="E15861">
        <v>2021</v>
      </c>
      <c r="F15861">
        <v>12</v>
      </c>
      <c r="G15861">
        <v>16495</v>
      </c>
      <c r="H15861" s="1" t="s">
        <v>1827</v>
      </c>
      <c r="I15861">
        <v>0</v>
      </c>
      <c r="J15861">
        <f>IF($H15861=0,1,IF($I15861&lt;=1,2,0))</f>
        <v>2</v>
      </c>
      <c r="K15861">
        <v>9</v>
      </c>
      <c r="L15861">
        <f>IF(AND($J15861=0,$K15861=0),0,1)</f>
        <v>1</v>
      </c>
    </row>
    <row r="15862" spans="1:12" x14ac:dyDescent="0.2">
      <c r="A15862" t="s">
        <v>483</v>
      </c>
      <c r="B15862" t="s">
        <v>71</v>
      </c>
      <c r="C15862" t="s">
        <v>1101</v>
      </c>
      <c r="D15862">
        <v>3900</v>
      </c>
      <c r="E15862">
        <v>2021</v>
      </c>
      <c r="F15862">
        <v>13</v>
      </c>
      <c r="G15862">
        <v>16496</v>
      </c>
      <c r="H15862" s="1" t="s">
        <v>1827</v>
      </c>
      <c r="I15862">
        <v>0</v>
      </c>
      <c r="J15862">
        <f>IF($H15862=0,1,IF($I15862&lt;=1,2,0))</f>
        <v>2</v>
      </c>
      <c r="K15862">
        <v>9</v>
      </c>
      <c r="L15862">
        <f>IF(AND($J15862=0,$K15862=0),0,1)</f>
        <v>1</v>
      </c>
    </row>
    <row r="15863" spans="1:12" x14ac:dyDescent="0.2">
      <c r="A15863" t="s">
        <v>483</v>
      </c>
      <c r="B15863" t="s">
        <v>71</v>
      </c>
      <c r="C15863" t="s">
        <v>1101</v>
      </c>
      <c r="D15863">
        <v>3900</v>
      </c>
      <c r="E15863">
        <v>2021</v>
      </c>
      <c r="F15863">
        <v>16</v>
      </c>
      <c r="G15863">
        <v>16499</v>
      </c>
      <c r="H15863" s="1" t="s">
        <v>1827</v>
      </c>
      <c r="I15863">
        <v>0</v>
      </c>
      <c r="J15863">
        <f>IF($H15863=0,1,IF($I15863&lt;=1,2,0))</f>
        <v>2</v>
      </c>
      <c r="K15863">
        <v>9</v>
      </c>
      <c r="L15863">
        <f>IF(AND($J15863=0,$K15863=0),0,1)</f>
        <v>1</v>
      </c>
    </row>
    <row r="15864" spans="1:12" x14ac:dyDescent="0.2">
      <c r="A15864" t="s">
        <v>483</v>
      </c>
      <c r="B15864" t="s">
        <v>71</v>
      </c>
      <c r="C15864" t="s">
        <v>1101</v>
      </c>
      <c r="D15864">
        <v>3900</v>
      </c>
      <c r="E15864">
        <v>2021</v>
      </c>
      <c r="F15864">
        <v>18</v>
      </c>
      <c r="G15864">
        <v>16501</v>
      </c>
      <c r="H15864" s="1" t="s">
        <v>1827</v>
      </c>
      <c r="I15864">
        <v>0</v>
      </c>
      <c r="J15864">
        <f>IF($H15864=0,1,IF($I15864&lt;=1,2,0))</f>
        <v>2</v>
      </c>
      <c r="K15864">
        <v>9</v>
      </c>
      <c r="L15864">
        <f>IF(AND($J15864=0,$K15864=0),0,1)</f>
        <v>1</v>
      </c>
    </row>
    <row r="15865" spans="1:12" x14ac:dyDescent="0.2">
      <c r="A15865" t="s">
        <v>483</v>
      </c>
      <c r="B15865" t="s">
        <v>71</v>
      </c>
      <c r="C15865" t="s">
        <v>1101</v>
      </c>
      <c r="D15865">
        <v>3900</v>
      </c>
      <c r="E15865">
        <v>2021</v>
      </c>
      <c r="F15865">
        <v>19</v>
      </c>
      <c r="G15865">
        <v>16502</v>
      </c>
      <c r="H15865" s="1" t="s">
        <v>1827</v>
      </c>
      <c r="I15865">
        <v>0</v>
      </c>
      <c r="J15865">
        <f>IF($H15865=0,1,IF($I15865&lt;=1,2,0))</f>
        <v>2</v>
      </c>
      <c r="K15865">
        <v>9</v>
      </c>
      <c r="L15865">
        <f>IF(AND($J15865=0,$K15865=0),0,1)</f>
        <v>1</v>
      </c>
    </row>
    <row r="15866" spans="1:12" x14ac:dyDescent="0.2">
      <c r="A15866" t="s">
        <v>483</v>
      </c>
      <c r="B15866" t="s">
        <v>71</v>
      </c>
      <c r="C15866" t="s">
        <v>1101</v>
      </c>
      <c r="D15866">
        <v>3900</v>
      </c>
      <c r="E15866">
        <v>2021</v>
      </c>
      <c r="F15866">
        <v>20</v>
      </c>
      <c r="G15866">
        <v>16503</v>
      </c>
      <c r="H15866" s="1" t="s">
        <v>1827</v>
      </c>
      <c r="I15866">
        <v>0</v>
      </c>
      <c r="J15866">
        <f>IF($H15866=0,1,IF($I15866&lt;=1,2,0))</f>
        <v>2</v>
      </c>
      <c r="K15866">
        <v>9</v>
      </c>
      <c r="L15866">
        <f>IF(AND($J15866=0,$K15866=0),0,1)</f>
        <v>1</v>
      </c>
    </row>
    <row r="15867" spans="1:12" x14ac:dyDescent="0.2">
      <c r="A15867" t="s">
        <v>483</v>
      </c>
      <c r="B15867" t="s">
        <v>71</v>
      </c>
      <c r="C15867" t="s">
        <v>1101</v>
      </c>
      <c r="D15867">
        <v>3900</v>
      </c>
      <c r="E15867">
        <v>2021</v>
      </c>
      <c r="F15867">
        <v>21</v>
      </c>
      <c r="G15867">
        <v>16504</v>
      </c>
      <c r="H15867" s="1" t="s">
        <v>1827</v>
      </c>
      <c r="I15867">
        <v>0</v>
      </c>
      <c r="J15867">
        <f>IF($H15867=0,1,IF($I15867&lt;=1,2,0))</f>
        <v>2</v>
      </c>
      <c r="K15867">
        <v>9</v>
      </c>
      <c r="L15867">
        <f>IF(AND($J15867=0,$K15867=0),0,1)</f>
        <v>1</v>
      </c>
    </row>
    <row r="15868" spans="1:12" x14ac:dyDescent="0.2">
      <c r="A15868" t="s">
        <v>483</v>
      </c>
      <c r="B15868" t="s">
        <v>71</v>
      </c>
      <c r="C15868" t="s">
        <v>1101</v>
      </c>
      <c r="D15868">
        <v>3900</v>
      </c>
      <c r="E15868">
        <v>2021</v>
      </c>
      <c r="F15868">
        <v>22</v>
      </c>
      <c r="G15868">
        <v>16505</v>
      </c>
      <c r="H15868" s="1" t="s">
        <v>1827</v>
      </c>
      <c r="I15868">
        <v>0</v>
      </c>
      <c r="J15868">
        <f>IF($H15868=0,1,IF($I15868&lt;=1,2,0))</f>
        <v>2</v>
      </c>
      <c r="K15868">
        <v>9</v>
      </c>
      <c r="L15868">
        <f>IF(AND($J15868=0,$K15868=0),0,1)</f>
        <v>1</v>
      </c>
    </row>
    <row r="15869" spans="1:12" x14ac:dyDescent="0.2">
      <c r="A15869" t="s">
        <v>483</v>
      </c>
      <c r="B15869" t="s">
        <v>71</v>
      </c>
      <c r="C15869" t="s">
        <v>1101</v>
      </c>
      <c r="D15869">
        <v>3900</v>
      </c>
      <c r="E15869">
        <v>2021</v>
      </c>
      <c r="F15869">
        <v>23</v>
      </c>
      <c r="G15869">
        <v>16506</v>
      </c>
      <c r="H15869" s="1" t="s">
        <v>1827</v>
      </c>
      <c r="I15869">
        <v>0</v>
      </c>
      <c r="J15869">
        <f>IF($H15869=0,1,IF($I15869&lt;=1,2,0))</f>
        <v>2</v>
      </c>
      <c r="K15869">
        <v>9</v>
      </c>
      <c r="L15869">
        <f>IF(AND($J15869=0,$K15869=0),0,1)</f>
        <v>1</v>
      </c>
    </row>
    <row r="15870" spans="1:12" x14ac:dyDescent="0.2">
      <c r="A15870" t="s">
        <v>483</v>
      </c>
      <c r="B15870" t="s">
        <v>71</v>
      </c>
      <c r="C15870" t="s">
        <v>1101</v>
      </c>
      <c r="D15870">
        <v>3900</v>
      </c>
      <c r="E15870">
        <v>2021</v>
      </c>
      <c r="F15870">
        <v>24</v>
      </c>
      <c r="G15870">
        <v>16507</v>
      </c>
      <c r="H15870" s="1" t="s">
        <v>1827</v>
      </c>
      <c r="I15870">
        <v>0</v>
      </c>
      <c r="J15870">
        <f>IF($H15870=0,1,IF($I15870&lt;=1,2,0))</f>
        <v>2</v>
      </c>
      <c r="K15870">
        <v>9</v>
      </c>
      <c r="L15870">
        <f>IF(AND($J15870=0,$K15870=0),0,1)</f>
        <v>1</v>
      </c>
    </row>
    <row r="15871" spans="1:12" x14ac:dyDescent="0.2">
      <c r="A15871" t="s">
        <v>483</v>
      </c>
      <c r="B15871" t="s">
        <v>71</v>
      </c>
      <c r="C15871" t="s">
        <v>1101</v>
      </c>
      <c r="D15871">
        <v>3900</v>
      </c>
      <c r="E15871">
        <v>2021</v>
      </c>
      <c r="F15871">
        <v>25</v>
      </c>
      <c r="G15871">
        <v>16508</v>
      </c>
      <c r="H15871" s="1" t="s">
        <v>1827</v>
      </c>
      <c r="I15871">
        <v>0</v>
      </c>
      <c r="J15871">
        <f>IF($H15871=0,1,IF($I15871&lt;=1,2,0))</f>
        <v>2</v>
      </c>
      <c r="K15871">
        <v>9</v>
      </c>
      <c r="L15871">
        <f>IF(AND($J15871=0,$K15871=0),0,1)</f>
        <v>1</v>
      </c>
    </row>
    <row r="15872" spans="1:12" x14ac:dyDescent="0.2">
      <c r="A15872" t="s">
        <v>483</v>
      </c>
      <c r="B15872" t="s">
        <v>71</v>
      </c>
      <c r="C15872" t="s">
        <v>1101</v>
      </c>
      <c r="D15872">
        <v>3900</v>
      </c>
      <c r="E15872">
        <v>2021</v>
      </c>
      <c r="F15872">
        <v>26</v>
      </c>
      <c r="G15872">
        <v>16509</v>
      </c>
      <c r="H15872" s="1" t="s">
        <v>1827</v>
      </c>
      <c r="I15872">
        <v>0</v>
      </c>
      <c r="J15872">
        <f>IF($H15872=0,1,IF($I15872&lt;=1,2,0))</f>
        <v>2</v>
      </c>
      <c r="K15872">
        <v>9</v>
      </c>
      <c r="L15872">
        <f>IF(AND($J15872=0,$K15872=0),0,1)</f>
        <v>1</v>
      </c>
    </row>
    <row r="15873" spans="1:13" x14ac:dyDescent="0.2">
      <c r="A15873" t="s">
        <v>483</v>
      </c>
      <c r="B15873" t="s">
        <v>71</v>
      </c>
      <c r="C15873" t="s">
        <v>1101</v>
      </c>
      <c r="D15873">
        <v>3900</v>
      </c>
      <c r="E15873">
        <v>2021</v>
      </c>
      <c r="F15873">
        <v>27</v>
      </c>
      <c r="G15873">
        <v>16510</v>
      </c>
      <c r="H15873" s="1" t="s">
        <v>1827</v>
      </c>
      <c r="I15873">
        <v>0</v>
      </c>
      <c r="J15873">
        <f>IF($H15873=0,1,IF($I15873&lt;=1,2,0))</f>
        <v>2</v>
      </c>
      <c r="K15873">
        <v>9</v>
      </c>
      <c r="L15873">
        <f>IF(AND($J15873=0,$K15873=0),0,1)</f>
        <v>1</v>
      </c>
    </row>
    <row r="15874" spans="1:13" x14ac:dyDescent="0.2">
      <c r="A15874" t="s">
        <v>483</v>
      </c>
      <c r="B15874" t="s">
        <v>71</v>
      </c>
      <c r="C15874" t="s">
        <v>1101</v>
      </c>
      <c r="D15874">
        <v>3900</v>
      </c>
      <c r="E15874">
        <v>2021</v>
      </c>
      <c r="F15874">
        <v>28</v>
      </c>
      <c r="G15874">
        <v>16511</v>
      </c>
      <c r="H15874" s="1" t="s">
        <v>1827</v>
      </c>
      <c r="I15874">
        <v>0</v>
      </c>
      <c r="J15874">
        <f>IF($H15874=0,1,IF($I15874&lt;=1,2,0))</f>
        <v>2</v>
      </c>
      <c r="K15874">
        <v>9</v>
      </c>
      <c r="L15874">
        <f>IF(AND($J15874=0,$K15874=0),0,1)</f>
        <v>1</v>
      </c>
    </row>
    <row r="15875" spans="1:13" x14ac:dyDescent="0.2">
      <c r="A15875" t="s">
        <v>483</v>
      </c>
      <c r="B15875" t="s">
        <v>71</v>
      </c>
      <c r="C15875" t="s">
        <v>1101</v>
      </c>
      <c r="D15875">
        <v>3900</v>
      </c>
      <c r="E15875">
        <v>2021</v>
      </c>
      <c r="F15875">
        <v>29</v>
      </c>
      <c r="G15875">
        <v>16512</v>
      </c>
      <c r="H15875" s="1" t="s">
        <v>1827</v>
      </c>
      <c r="I15875">
        <v>0</v>
      </c>
      <c r="J15875">
        <f>IF($H15875=0,1,IF($I15875&lt;=1,2,0))</f>
        <v>2</v>
      </c>
      <c r="K15875">
        <v>9</v>
      </c>
      <c r="L15875">
        <f>IF(AND($J15875=0,$K15875=0),0,1)</f>
        <v>1</v>
      </c>
    </row>
    <row r="15876" spans="1:13" x14ac:dyDescent="0.2">
      <c r="A15876" t="s">
        <v>483</v>
      </c>
      <c r="B15876" t="s">
        <v>71</v>
      </c>
      <c r="C15876" t="s">
        <v>1101</v>
      </c>
      <c r="D15876">
        <v>3900</v>
      </c>
      <c r="E15876">
        <v>2021</v>
      </c>
      <c r="F15876">
        <v>30</v>
      </c>
      <c r="G15876">
        <v>16513</v>
      </c>
      <c r="H15876" s="1" t="s">
        <v>1827</v>
      </c>
      <c r="I15876">
        <v>0</v>
      </c>
      <c r="J15876">
        <f>IF($H15876=0,1,IF($I15876&lt;=1,2,0))</f>
        <v>2</v>
      </c>
      <c r="K15876">
        <v>9</v>
      </c>
      <c r="L15876">
        <f>IF(AND($J15876=0,$K15876=0),0,1)</f>
        <v>1</v>
      </c>
    </row>
    <row r="15877" spans="1:13" x14ac:dyDescent="0.2">
      <c r="A15877" t="s">
        <v>483</v>
      </c>
      <c r="B15877" t="s">
        <v>71</v>
      </c>
      <c r="C15877" t="s">
        <v>1101</v>
      </c>
      <c r="D15877">
        <v>3900</v>
      </c>
      <c r="E15877">
        <v>2021</v>
      </c>
      <c r="F15877">
        <v>31</v>
      </c>
      <c r="G15877">
        <v>16514</v>
      </c>
      <c r="H15877" s="1" t="s">
        <v>1827</v>
      </c>
      <c r="I15877">
        <v>0</v>
      </c>
      <c r="J15877">
        <f>IF($H15877=0,1,IF($I15877&lt;=1,2,0))</f>
        <v>2</v>
      </c>
      <c r="K15877">
        <v>9</v>
      </c>
      <c r="L15877">
        <f>IF(AND($J15877=0,$K15877=0),0,1)</f>
        <v>1</v>
      </c>
    </row>
    <row r="15878" spans="1:13" x14ac:dyDescent="0.2">
      <c r="A15878" t="s">
        <v>483</v>
      </c>
      <c r="B15878" t="s">
        <v>71</v>
      </c>
      <c r="C15878" t="s">
        <v>72</v>
      </c>
      <c r="D15878">
        <v>3999</v>
      </c>
      <c r="E15878">
        <v>2021</v>
      </c>
      <c r="F15878">
        <v>1</v>
      </c>
      <c r="G15878">
        <v>18448</v>
      </c>
      <c r="H15878" s="1" t="s">
        <v>221</v>
      </c>
      <c r="I15878">
        <v>0</v>
      </c>
      <c r="J15878">
        <f>IF($H15878=0,1,IF($I15878&lt;=1,2,0))</f>
        <v>2</v>
      </c>
      <c r="K15878">
        <v>9</v>
      </c>
      <c r="L15878">
        <f>IF(AND($J15878=0,$K15878=0),0,1)</f>
        <v>1</v>
      </c>
    </row>
    <row r="15879" spans="1:13" x14ac:dyDescent="0.2">
      <c r="A15879" t="s">
        <v>483</v>
      </c>
      <c r="B15879" t="s">
        <v>71</v>
      </c>
      <c r="C15879" t="s">
        <v>72</v>
      </c>
      <c r="D15879">
        <v>4004</v>
      </c>
      <c r="E15879">
        <v>2021</v>
      </c>
      <c r="F15879">
        <v>2</v>
      </c>
      <c r="G15879">
        <v>11774</v>
      </c>
      <c r="H15879" s="1">
        <v>3</v>
      </c>
      <c r="I15879">
        <v>96</v>
      </c>
      <c r="J15879">
        <f>IF($H15879=0,1,IF($I15879&lt;=1,2,0))</f>
        <v>0</v>
      </c>
      <c r="K15879">
        <v>4</v>
      </c>
      <c r="L15879">
        <f>IF(AND($J15879=0,$K15879=0),0,1)</f>
        <v>1</v>
      </c>
      <c r="M15879" t="s">
        <v>1637</v>
      </c>
    </row>
    <row r="15880" spans="1:13" x14ac:dyDescent="0.2">
      <c r="A15880" t="s">
        <v>483</v>
      </c>
      <c r="B15880" t="s">
        <v>71</v>
      </c>
      <c r="C15880" t="s">
        <v>72</v>
      </c>
      <c r="D15880">
        <v>4004</v>
      </c>
      <c r="E15880">
        <v>2021</v>
      </c>
      <c r="F15880">
        <v>4</v>
      </c>
      <c r="G15880">
        <v>11782</v>
      </c>
      <c r="H15880" s="1">
        <v>3</v>
      </c>
      <c r="I15880">
        <v>86</v>
      </c>
      <c r="J15880">
        <f>IF($H15880=0,1,IF($I15880&lt;=1,2,0))</f>
        <v>0</v>
      </c>
      <c r="K15880">
        <v>4</v>
      </c>
      <c r="L15880">
        <f>IF(AND($J15880=0,$K15880=0),0,1)</f>
        <v>1</v>
      </c>
      <c r="M15880" t="s">
        <v>1638</v>
      </c>
    </row>
    <row r="15881" spans="1:13" x14ac:dyDescent="0.2">
      <c r="A15881" t="s">
        <v>483</v>
      </c>
      <c r="B15881" t="s">
        <v>71</v>
      </c>
      <c r="C15881" t="s">
        <v>72</v>
      </c>
      <c r="D15881">
        <v>4004</v>
      </c>
      <c r="E15881">
        <v>2021</v>
      </c>
      <c r="F15881">
        <v>5</v>
      </c>
      <c r="G15881">
        <v>11784</v>
      </c>
      <c r="H15881" s="1">
        <v>3</v>
      </c>
      <c r="I15881">
        <v>81</v>
      </c>
      <c r="J15881">
        <f>IF($H15881=0,1,IF($I15881&lt;=1,2,0))</f>
        <v>0</v>
      </c>
      <c r="K15881">
        <v>4</v>
      </c>
      <c r="L15881">
        <f>IF(AND($J15881=0,$K15881=0),0,1)</f>
        <v>1</v>
      </c>
      <c r="M15881" t="s">
        <v>1639</v>
      </c>
    </row>
    <row r="15882" spans="1:13" x14ac:dyDescent="0.2">
      <c r="A15882" t="s">
        <v>483</v>
      </c>
      <c r="B15882" t="s">
        <v>71</v>
      </c>
      <c r="C15882" t="s">
        <v>72</v>
      </c>
      <c r="D15882">
        <v>4004</v>
      </c>
      <c r="E15882">
        <v>2021</v>
      </c>
      <c r="F15882">
        <v>1</v>
      </c>
      <c r="G15882">
        <v>11773</v>
      </c>
      <c r="H15882" s="1">
        <v>3</v>
      </c>
      <c r="I15882">
        <v>77</v>
      </c>
      <c r="J15882">
        <f>IF($H15882=0,1,IF($I15882&lt;=1,2,0))</f>
        <v>0</v>
      </c>
      <c r="K15882">
        <v>4</v>
      </c>
      <c r="L15882">
        <f>IF(AND($J15882=0,$K15882=0),0,1)</f>
        <v>1</v>
      </c>
      <c r="M15882" t="s">
        <v>1637</v>
      </c>
    </row>
    <row r="15883" spans="1:13" x14ac:dyDescent="0.2">
      <c r="A15883" t="s">
        <v>483</v>
      </c>
      <c r="B15883" t="s">
        <v>71</v>
      </c>
      <c r="C15883" t="s">
        <v>72</v>
      </c>
      <c r="D15883">
        <v>4007</v>
      </c>
      <c r="E15883">
        <v>2021</v>
      </c>
      <c r="F15883">
        <v>2</v>
      </c>
      <c r="G15883">
        <v>11813</v>
      </c>
      <c r="H15883" s="1">
        <v>3</v>
      </c>
      <c r="I15883">
        <v>90</v>
      </c>
      <c r="J15883">
        <f>IF($H15883=0,1,IF($I15883&lt;=1,2,0))</f>
        <v>0</v>
      </c>
      <c r="K15883">
        <v>1</v>
      </c>
      <c r="L15883">
        <f>IF(AND($J15883=0,$K15883=0),0,1)</f>
        <v>1</v>
      </c>
    </row>
    <row r="15884" spans="1:13" x14ac:dyDescent="0.2">
      <c r="A15884" t="s">
        <v>483</v>
      </c>
      <c r="B15884" t="s">
        <v>71</v>
      </c>
      <c r="C15884" t="s">
        <v>72</v>
      </c>
      <c r="D15884">
        <v>4007</v>
      </c>
      <c r="E15884">
        <v>2021</v>
      </c>
      <c r="F15884">
        <v>1</v>
      </c>
      <c r="G15884">
        <v>11812</v>
      </c>
      <c r="H15884" s="1">
        <v>3</v>
      </c>
      <c r="I15884">
        <v>72</v>
      </c>
      <c r="J15884">
        <f>IF($H15884=0,1,IF($I15884&lt;=1,2,0))</f>
        <v>0</v>
      </c>
      <c r="K15884">
        <v>1</v>
      </c>
      <c r="L15884">
        <f>IF(AND($J15884=0,$K15884=0),0,1)</f>
        <v>1</v>
      </c>
    </row>
    <row r="15885" spans="1:13" x14ac:dyDescent="0.2">
      <c r="A15885" t="s">
        <v>483</v>
      </c>
      <c r="B15885" t="s">
        <v>71</v>
      </c>
      <c r="C15885" t="s">
        <v>72</v>
      </c>
      <c r="D15885">
        <v>4007</v>
      </c>
      <c r="E15885">
        <v>2021</v>
      </c>
      <c r="F15885" t="s">
        <v>185</v>
      </c>
      <c r="G15885">
        <v>20428</v>
      </c>
      <c r="H15885" s="1">
        <v>3</v>
      </c>
      <c r="I15885">
        <v>5</v>
      </c>
      <c r="J15885">
        <f>IF($H15885=0,1,IF($I15885&lt;=1,2,0))</f>
        <v>0</v>
      </c>
      <c r="K15885">
        <v>1</v>
      </c>
      <c r="L15885">
        <f>IF(AND($J15885=0,$K15885=0),0,1)</f>
        <v>1</v>
      </c>
      <c r="M15885" t="s">
        <v>85</v>
      </c>
    </row>
    <row r="15886" spans="1:13" x14ac:dyDescent="0.2">
      <c r="A15886" t="s">
        <v>483</v>
      </c>
      <c r="B15886" t="s">
        <v>71</v>
      </c>
      <c r="C15886" t="s">
        <v>72</v>
      </c>
      <c r="D15886">
        <v>4101</v>
      </c>
      <c r="E15886">
        <v>2021</v>
      </c>
      <c r="F15886">
        <v>1</v>
      </c>
      <c r="G15886">
        <v>11830</v>
      </c>
      <c r="H15886" s="1">
        <v>3</v>
      </c>
      <c r="I15886">
        <v>102</v>
      </c>
      <c r="J15886">
        <f>IF($H15886=0,1,IF($I15886&lt;=1,2,0))</f>
        <v>0</v>
      </c>
      <c r="K15886">
        <v>1</v>
      </c>
      <c r="L15886">
        <f>IF(AND($J15886=0,$K15886=0),0,1)</f>
        <v>1</v>
      </c>
    </row>
    <row r="15887" spans="1:13" x14ac:dyDescent="0.2">
      <c r="A15887" t="s">
        <v>483</v>
      </c>
      <c r="B15887" t="s">
        <v>71</v>
      </c>
      <c r="C15887" t="s">
        <v>72</v>
      </c>
      <c r="D15887">
        <v>4101</v>
      </c>
      <c r="E15887">
        <v>2021</v>
      </c>
      <c r="F15887">
        <v>2</v>
      </c>
      <c r="G15887">
        <v>11833</v>
      </c>
      <c r="H15887" s="1">
        <v>3</v>
      </c>
      <c r="I15887">
        <v>99</v>
      </c>
      <c r="J15887">
        <f>IF($H15887=0,1,IF($I15887&lt;=1,2,0))</f>
        <v>0</v>
      </c>
      <c r="K15887">
        <v>1</v>
      </c>
      <c r="L15887">
        <f>IF(AND($J15887=0,$K15887=0),0,1)</f>
        <v>1</v>
      </c>
    </row>
    <row r="15888" spans="1:13" x14ac:dyDescent="0.2">
      <c r="A15888" t="s">
        <v>483</v>
      </c>
      <c r="B15888" t="s">
        <v>71</v>
      </c>
      <c r="C15888" t="s">
        <v>72</v>
      </c>
      <c r="D15888">
        <v>4101</v>
      </c>
      <c r="E15888">
        <v>2021</v>
      </c>
      <c r="F15888">
        <v>3</v>
      </c>
      <c r="G15888">
        <v>18870</v>
      </c>
      <c r="H15888" s="1">
        <v>3</v>
      </c>
      <c r="I15888">
        <v>90</v>
      </c>
      <c r="J15888">
        <f>IF($H15888=0,1,IF($I15888&lt;=1,2,0))</f>
        <v>0</v>
      </c>
      <c r="K15888">
        <v>1</v>
      </c>
      <c r="L15888">
        <f>IF(AND($J15888=0,$K15888=0),0,1)</f>
        <v>1</v>
      </c>
    </row>
    <row r="15889" spans="1:13" x14ac:dyDescent="0.2">
      <c r="A15889" t="s">
        <v>483</v>
      </c>
      <c r="B15889" t="s">
        <v>71</v>
      </c>
      <c r="C15889" t="s">
        <v>72</v>
      </c>
      <c r="D15889">
        <v>4111</v>
      </c>
      <c r="E15889">
        <v>2021</v>
      </c>
      <c r="F15889">
        <v>1</v>
      </c>
      <c r="G15889">
        <v>11887</v>
      </c>
      <c r="H15889" s="1">
        <v>3</v>
      </c>
      <c r="I15889">
        <v>104</v>
      </c>
      <c r="J15889">
        <f>IF($H15889=0,1,IF($I15889&lt;=1,2,0))</f>
        <v>0</v>
      </c>
      <c r="K15889">
        <v>1</v>
      </c>
      <c r="L15889">
        <f>IF(AND($J15889=0,$K15889=0),0,1)</f>
        <v>1</v>
      </c>
    </row>
    <row r="15890" spans="1:13" x14ac:dyDescent="0.2">
      <c r="A15890" t="s">
        <v>483</v>
      </c>
      <c r="B15890" t="s">
        <v>71</v>
      </c>
      <c r="C15890" t="s">
        <v>72</v>
      </c>
      <c r="D15890">
        <v>4150</v>
      </c>
      <c r="E15890">
        <v>2021</v>
      </c>
      <c r="F15890" t="s">
        <v>489</v>
      </c>
      <c r="G15890">
        <v>20816</v>
      </c>
      <c r="H15890" s="1">
        <v>0</v>
      </c>
      <c r="I15890">
        <v>104</v>
      </c>
      <c r="J15890">
        <f>IF($H15890=0,1,IF($I15890&lt;=1,2,0))</f>
        <v>1</v>
      </c>
      <c r="K15890">
        <v>0</v>
      </c>
      <c r="L15890">
        <f>IF(AND($J15890=0,$K15890=0),0,1)</f>
        <v>1</v>
      </c>
    </row>
    <row r="15891" spans="1:13" x14ac:dyDescent="0.2">
      <c r="A15891" t="s">
        <v>483</v>
      </c>
      <c r="B15891" t="s">
        <v>71</v>
      </c>
      <c r="C15891" t="s">
        <v>72</v>
      </c>
      <c r="D15891">
        <v>4199</v>
      </c>
      <c r="E15891">
        <v>2021</v>
      </c>
      <c r="F15891">
        <v>1</v>
      </c>
      <c r="G15891">
        <v>14962</v>
      </c>
      <c r="H15891" s="1">
        <v>0</v>
      </c>
      <c r="I15891">
        <v>257</v>
      </c>
      <c r="J15891">
        <f>IF($H15891=0,1,IF($I15891&lt;=1,2,0))</f>
        <v>1</v>
      </c>
      <c r="K15891">
        <v>0</v>
      </c>
      <c r="L15891">
        <f>IF(AND($J15891=0,$K15891=0),0,1)</f>
        <v>1</v>
      </c>
    </row>
    <row r="15892" spans="1:13" x14ac:dyDescent="0.2">
      <c r="A15892" t="s">
        <v>483</v>
      </c>
      <c r="B15892" t="s">
        <v>71</v>
      </c>
      <c r="C15892" t="s">
        <v>72</v>
      </c>
      <c r="D15892">
        <v>4399</v>
      </c>
      <c r="E15892">
        <v>2021</v>
      </c>
      <c r="F15892">
        <v>1</v>
      </c>
      <c r="G15892">
        <v>14963</v>
      </c>
      <c r="H15892" s="1">
        <v>0</v>
      </c>
      <c r="I15892">
        <v>107</v>
      </c>
      <c r="J15892">
        <f>IF($H15892=0,1,IF($I15892&lt;=1,2,0))</f>
        <v>1</v>
      </c>
      <c r="K15892">
        <v>0</v>
      </c>
      <c r="L15892">
        <f>IF(AND($J15892=0,$K15892=0),0,1)</f>
        <v>1</v>
      </c>
    </row>
    <row r="15893" spans="1:13" x14ac:dyDescent="0.2">
      <c r="A15893" t="s">
        <v>483</v>
      </c>
      <c r="B15893" t="s">
        <v>71</v>
      </c>
      <c r="C15893" t="s">
        <v>72</v>
      </c>
      <c r="D15893">
        <v>4501</v>
      </c>
      <c r="E15893">
        <v>2021</v>
      </c>
      <c r="F15893" t="s">
        <v>489</v>
      </c>
      <c r="G15893">
        <v>20817</v>
      </c>
      <c r="H15893" s="1">
        <v>0</v>
      </c>
      <c r="I15893">
        <v>216</v>
      </c>
      <c r="J15893">
        <f>IF($H15893=0,1,IF($I15893&lt;=1,2,0))</f>
        <v>1</v>
      </c>
      <c r="K15893">
        <v>0</v>
      </c>
      <c r="L15893">
        <f>IF(AND($J15893=0,$K15893=0),0,1)</f>
        <v>1</v>
      </c>
    </row>
    <row r="15894" spans="1:13" x14ac:dyDescent="0.2">
      <c r="A15894" t="s">
        <v>483</v>
      </c>
      <c r="B15894" t="s">
        <v>71</v>
      </c>
      <c r="C15894" t="s">
        <v>72</v>
      </c>
      <c r="D15894">
        <v>4502</v>
      </c>
      <c r="E15894">
        <v>2021</v>
      </c>
      <c r="F15894">
        <v>1</v>
      </c>
      <c r="G15894">
        <v>14966</v>
      </c>
      <c r="H15894" s="1">
        <v>0</v>
      </c>
      <c r="I15894">
        <v>207</v>
      </c>
      <c r="J15894">
        <f>IF($H15894=0,1,IF($I15894&lt;=1,2,0))</f>
        <v>1</v>
      </c>
      <c r="K15894">
        <v>0</v>
      </c>
      <c r="L15894">
        <f>IF(AND($J15894=0,$K15894=0),0,1)</f>
        <v>1</v>
      </c>
    </row>
    <row r="15895" spans="1:13" x14ac:dyDescent="0.2">
      <c r="A15895" t="s">
        <v>483</v>
      </c>
      <c r="B15895" t="s">
        <v>71</v>
      </c>
      <c r="C15895" t="s">
        <v>72</v>
      </c>
      <c r="D15895">
        <v>4520</v>
      </c>
      <c r="E15895">
        <v>2021</v>
      </c>
      <c r="F15895" t="s">
        <v>87</v>
      </c>
      <c r="G15895">
        <v>16135</v>
      </c>
      <c r="H15895" s="1">
        <v>3</v>
      </c>
      <c r="I15895">
        <v>9</v>
      </c>
      <c r="J15895">
        <f>IF($H15895=0,1,IF($I15895&lt;=1,2,0))</f>
        <v>0</v>
      </c>
      <c r="K15895">
        <v>1</v>
      </c>
      <c r="L15895">
        <f>IF(AND($J15895=0,$K15895=0),0,1)</f>
        <v>1</v>
      </c>
      <c r="M15895" t="s">
        <v>85</v>
      </c>
    </row>
    <row r="15896" spans="1:13" x14ac:dyDescent="0.2">
      <c r="A15896" t="s">
        <v>483</v>
      </c>
      <c r="B15896" t="s">
        <v>71</v>
      </c>
      <c r="C15896" t="s">
        <v>72</v>
      </c>
      <c r="D15896">
        <v>4523</v>
      </c>
      <c r="E15896">
        <v>2021</v>
      </c>
      <c r="F15896">
        <v>1</v>
      </c>
      <c r="G15896">
        <v>11842</v>
      </c>
      <c r="H15896" s="1">
        <v>3</v>
      </c>
      <c r="I15896">
        <v>93</v>
      </c>
      <c r="J15896">
        <f>IF($H15896=0,1,IF($I15896&lt;=1,2,0))</f>
        <v>0</v>
      </c>
      <c r="K15896">
        <v>1</v>
      </c>
      <c r="L15896">
        <f>IF(AND($J15896=0,$K15896=0),0,1)</f>
        <v>1</v>
      </c>
    </row>
    <row r="15897" spans="1:13" x14ac:dyDescent="0.2">
      <c r="A15897" t="s">
        <v>483</v>
      </c>
      <c r="B15897" t="s">
        <v>71</v>
      </c>
      <c r="C15897" t="s">
        <v>72</v>
      </c>
      <c r="D15897">
        <v>4523</v>
      </c>
      <c r="E15897">
        <v>2021</v>
      </c>
      <c r="F15897">
        <v>3</v>
      </c>
      <c r="G15897">
        <v>18369</v>
      </c>
      <c r="H15897" s="1">
        <v>3</v>
      </c>
      <c r="I15897">
        <v>84</v>
      </c>
      <c r="J15897">
        <f>IF($H15897=0,1,IF($I15897&lt;=1,2,0))</f>
        <v>0</v>
      </c>
      <c r="K15897">
        <v>1</v>
      </c>
      <c r="L15897">
        <f>IF(AND($J15897=0,$K15897=0),0,1)</f>
        <v>1</v>
      </c>
    </row>
    <row r="15898" spans="1:13" x14ac:dyDescent="0.2">
      <c r="A15898" t="s">
        <v>483</v>
      </c>
      <c r="B15898" t="s">
        <v>71</v>
      </c>
      <c r="C15898" t="s">
        <v>72</v>
      </c>
      <c r="D15898">
        <v>4523</v>
      </c>
      <c r="E15898">
        <v>2021</v>
      </c>
      <c r="F15898">
        <v>2</v>
      </c>
      <c r="G15898">
        <v>11843</v>
      </c>
      <c r="H15898" s="1">
        <v>3</v>
      </c>
      <c r="I15898">
        <v>74</v>
      </c>
      <c r="J15898">
        <f>IF($H15898=0,1,IF($I15898&lt;=1,2,0))</f>
        <v>0</v>
      </c>
      <c r="K15898">
        <v>1</v>
      </c>
      <c r="L15898">
        <f>IF(AND($J15898=0,$K15898=0),0,1)</f>
        <v>1</v>
      </c>
    </row>
    <row r="15899" spans="1:13" x14ac:dyDescent="0.2">
      <c r="A15899" t="s">
        <v>483</v>
      </c>
      <c r="B15899" t="s">
        <v>71</v>
      </c>
      <c r="C15899" t="s">
        <v>72</v>
      </c>
      <c r="D15899">
        <v>4523</v>
      </c>
      <c r="E15899">
        <v>2021</v>
      </c>
      <c r="F15899" t="s">
        <v>251</v>
      </c>
      <c r="G15899">
        <v>20646</v>
      </c>
      <c r="H15899" s="1">
        <v>3</v>
      </c>
      <c r="I15899">
        <v>16</v>
      </c>
      <c r="J15899">
        <f>IF($H15899=0,1,IF($I15899&lt;=1,2,0))</f>
        <v>0</v>
      </c>
      <c r="K15899">
        <v>1</v>
      </c>
      <c r="L15899">
        <f>IF(AND($J15899=0,$K15899=0),0,1)</f>
        <v>1</v>
      </c>
    </row>
    <row r="15900" spans="1:13" x14ac:dyDescent="0.2">
      <c r="A15900" t="s">
        <v>483</v>
      </c>
      <c r="B15900" t="s">
        <v>71</v>
      </c>
      <c r="C15900" t="s">
        <v>72</v>
      </c>
      <c r="D15900">
        <v>4523</v>
      </c>
      <c r="E15900">
        <v>2021</v>
      </c>
      <c r="F15900" t="s">
        <v>250</v>
      </c>
      <c r="G15900">
        <v>16137</v>
      </c>
      <c r="H15900" s="1">
        <v>3</v>
      </c>
      <c r="I15900">
        <v>6</v>
      </c>
      <c r="J15900">
        <f>IF($H15900=0,1,IF($I15900&lt;=1,2,0))</f>
        <v>0</v>
      </c>
      <c r="K15900">
        <v>1</v>
      </c>
      <c r="L15900">
        <f>IF(AND($J15900=0,$K15900=0),0,1)</f>
        <v>1</v>
      </c>
      <c r="M15900" t="s">
        <v>85</v>
      </c>
    </row>
    <row r="15901" spans="1:13" x14ac:dyDescent="0.2">
      <c r="A15901" t="s">
        <v>483</v>
      </c>
      <c r="B15901" t="s">
        <v>71</v>
      </c>
      <c r="C15901" t="s">
        <v>72</v>
      </c>
      <c r="D15901">
        <v>4524</v>
      </c>
      <c r="E15901">
        <v>2021</v>
      </c>
      <c r="F15901">
        <v>1</v>
      </c>
      <c r="G15901">
        <v>11905</v>
      </c>
      <c r="H15901" s="1">
        <v>3</v>
      </c>
      <c r="I15901">
        <v>64</v>
      </c>
      <c r="J15901">
        <f>IF($H15901=0,1,IF($I15901&lt;=1,2,0))</f>
        <v>0</v>
      </c>
      <c r="K15901">
        <v>1</v>
      </c>
      <c r="L15901">
        <f>IF(AND($J15901=0,$K15901=0),0,1)</f>
        <v>1</v>
      </c>
    </row>
    <row r="15902" spans="1:13" x14ac:dyDescent="0.2">
      <c r="A15902" t="s">
        <v>483</v>
      </c>
      <c r="B15902" t="s">
        <v>71</v>
      </c>
      <c r="C15902" t="s">
        <v>72</v>
      </c>
      <c r="D15902">
        <v>4599</v>
      </c>
      <c r="E15902">
        <v>2021</v>
      </c>
      <c r="F15902">
        <v>1</v>
      </c>
      <c r="G15902">
        <v>14964</v>
      </c>
      <c r="H15902" s="1">
        <v>0</v>
      </c>
      <c r="I15902">
        <v>207</v>
      </c>
      <c r="J15902">
        <f>IF($H15902=0,1,IF($I15902&lt;=1,2,0))</f>
        <v>1</v>
      </c>
      <c r="K15902">
        <v>0</v>
      </c>
      <c r="L15902">
        <f>IF(AND($J15902=0,$K15902=0),0,1)</f>
        <v>1</v>
      </c>
    </row>
    <row r="15903" spans="1:13" x14ac:dyDescent="0.2">
      <c r="A15903" t="s">
        <v>483</v>
      </c>
      <c r="B15903" t="s">
        <v>71</v>
      </c>
      <c r="C15903" t="s">
        <v>72</v>
      </c>
      <c r="D15903">
        <v>4701</v>
      </c>
      <c r="E15903">
        <v>2021</v>
      </c>
      <c r="F15903">
        <v>1</v>
      </c>
      <c r="G15903">
        <v>11861</v>
      </c>
      <c r="H15903" s="1">
        <v>3</v>
      </c>
      <c r="I15903">
        <v>66</v>
      </c>
      <c r="J15903">
        <f>IF($H15903=0,1,IF($I15903&lt;=1,2,0))</f>
        <v>0</v>
      </c>
      <c r="K15903">
        <v>1</v>
      </c>
      <c r="L15903">
        <f>IF(AND($J15903=0,$K15903=0),0,1)</f>
        <v>1</v>
      </c>
    </row>
    <row r="15904" spans="1:13" x14ac:dyDescent="0.2">
      <c r="A15904" t="s">
        <v>483</v>
      </c>
      <c r="B15904" t="s">
        <v>71</v>
      </c>
      <c r="C15904" t="s">
        <v>72</v>
      </c>
      <c r="D15904">
        <v>4701</v>
      </c>
      <c r="E15904">
        <v>2021</v>
      </c>
      <c r="F15904">
        <v>2</v>
      </c>
      <c r="G15904">
        <v>18868</v>
      </c>
      <c r="H15904" s="1">
        <v>3</v>
      </c>
      <c r="I15904">
        <v>63</v>
      </c>
      <c r="J15904">
        <f>IF($H15904=0,1,IF($I15904&lt;=1,2,0))</f>
        <v>0</v>
      </c>
      <c r="K15904">
        <v>1</v>
      </c>
      <c r="L15904">
        <f>IF(AND($J15904=0,$K15904=0),0,1)</f>
        <v>1</v>
      </c>
    </row>
    <row r="15905" spans="1:13" x14ac:dyDescent="0.2">
      <c r="A15905" t="s">
        <v>483</v>
      </c>
      <c r="B15905" t="s">
        <v>71</v>
      </c>
      <c r="C15905" t="s">
        <v>72</v>
      </c>
      <c r="D15905">
        <v>4707</v>
      </c>
      <c r="E15905">
        <v>2021</v>
      </c>
      <c r="F15905">
        <v>1</v>
      </c>
      <c r="G15905">
        <v>11864</v>
      </c>
      <c r="H15905" s="1">
        <v>3</v>
      </c>
      <c r="I15905">
        <v>41</v>
      </c>
      <c r="J15905">
        <f>IF($H15905=0,1,IF($I15905&lt;=1,2,0))</f>
        <v>0</v>
      </c>
      <c r="K15905">
        <v>1</v>
      </c>
      <c r="L15905">
        <f>IF(AND($J15905=0,$K15905=0),0,1)</f>
        <v>1</v>
      </c>
    </row>
    <row r="15906" spans="1:13" x14ac:dyDescent="0.2">
      <c r="A15906" t="s">
        <v>483</v>
      </c>
      <c r="B15906" t="s">
        <v>71</v>
      </c>
      <c r="C15906" t="s">
        <v>72</v>
      </c>
      <c r="D15906">
        <v>4707</v>
      </c>
      <c r="E15906">
        <v>2021</v>
      </c>
      <c r="F15906" t="s">
        <v>84</v>
      </c>
      <c r="G15906">
        <v>20232</v>
      </c>
      <c r="H15906" s="1">
        <v>3</v>
      </c>
      <c r="I15906">
        <v>2</v>
      </c>
      <c r="J15906">
        <f>IF($H15906=0,1,IF($I15906&lt;=1,2,0))</f>
        <v>0</v>
      </c>
      <c r="K15906">
        <v>1</v>
      </c>
      <c r="L15906">
        <f>IF(AND($J15906=0,$K15906=0),0,1)</f>
        <v>1</v>
      </c>
      <c r="M15906" t="s">
        <v>85</v>
      </c>
    </row>
    <row r="15907" spans="1:13" x14ac:dyDescent="0.2">
      <c r="A15907" t="s">
        <v>483</v>
      </c>
      <c r="B15907" t="s">
        <v>71</v>
      </c>
      <c r="C15907" t="s">
        <v>72</v>
      </c>
      <c r="D15907">
        <v>4709</v>
      </c>
      <c r="E15907">
        <v>2021</v>
      </c>
      <c r="F15907">
        <v>1</v>
      </c>
      <c r="G15907">
        <v>11867</v>
      </c>
      <c r="H15907" s="1">
        <v>3</v>
      </c>
      <c r="I15907">
        <v>52</v>
      </c>
      <c r="J15907">
        <f>IF($H15907=0,1,IF($I15907&lt;=1,2,0))</f>
        <v>0</v>
      </c>
      <c r="K15907">
        <v>1</v>
      </c>
      <c r="L15907">
        <f>IF(AND($J15907=0,$K15907=0),0,1)</f>
        <v>1</v>
      </c>
    </row>
    <row r="15908" spans="1:13" x14ac:dyDescent="0.2">
      <c r="A15908" t="s">
        <v>483</v>
      </c>
      <c r="B15908" t="s">
        <v>71</v>
      </c>
      <c r="C15908" t="s">
        <v>72</v>
      </c>
      <c r="D15908">
        <v>4709</v>
      </c>
      <c r="E15908">
        <v>2021</v>
      </c>
      <c r="F15908" t="s">
        <v>84</v>
      </c>
      <c r="G15908">
        <v>16139</v>
      </c>
      <c r="H15908" s="1">
        <v>3</v>
      </c>
      <c r="I15908">
        <v>4</v>
      </c>
      <c r="J15908">
        <f>IF($H15908=0,1,IF($I15908&lt;=1,2,0))</f>
        <v>0</v>
      </c>
      <c r="K15908">
        <v>1</v>
      </c>
      <c r="L15908">
        <f>IF(AND($J15908=0,$K15908=0),0,1)</f>
        <v>1</v>
      </c>
      <c r="M15908" t="s">
        <v>85</v>
      </c>
    </row>
    <row r="15909" spans="1:13" x14ac:dyDescent="0.2">
      <c r="A15909" t="s">
        <v>483</v>
      </c>
      <c r="B15909" t="s">
        <v>71</v>
      </c>
      <c r="C15909" t="s">
        <v>72</v>
      </c>
      <c r="D15909">
        <v>4798</v>
      </c>
      <c r="E15909">
        <v>2021</v>
      </c>
      <c r="F15909">
        <v>1</v>
      </c>
      <c r="G15909">
        <v>18483</v>
      </c>
      <c r="H15909" s="1">
        <v>0</v>
      </c>
      <c r="I15909">
        <v>129</v>
      </c>
      <c r="J15909">
        <f>IF($H15909=0,1,IF($I15909&lt;=1,2,0))</f>
        <v>1</v>
      </c>
      <c r="K15909">
        <v>0</v>
      </c>
      <c r="L15909">
        <f>IF(AND($J15909=0,$K15909=0),0,1)</f>
        <v>1</v>
      </c>
      <c r="M15909" t="s">
        <v>1646</v>
      </c>
    </row>
    <row r="15910" spans="1:13" x14ac:dyDescent="0.2">
      <c r="A15910" t="s">
        <v>483</v>
      </c>
      <c r="B15910" t="s">
        <v>71</v>
      </c>
      <c r="C15910" t="s">
        <v>72</v>
      </c>
      <c r="D15910">
        <v>4799</v>
      </c>
      <c r="E15910">
        <v>2021</v>
      </c>
      <c r="F15910">
        <v>1</v>
      </c>
      <c r="G15910">
        <v>14965</v>
      </c>
      <c r="H15910" s="1">
        <v>0</v>
      </c>
      <c r="I15910">
        <v>129</v>
      </c>
      <c r="J15910">
        <f>IF($H15910=0,1,IF($I15910&lt;=1,2,0))</f>
        <v>1</v>
      </c>
      <c r="K15910">
        <v>0</v>
      </c>
      <c r="L15910">
        <f>IF(AND($J15910=0,$K15910=0),0,1)</f>
        <v>1</v>
      </c>
    </row>
    <row r="15911" spans="1:13" x14ac:dyDescent="0.2">
      <c r="A15911" t="s">
        <v>483</v>
      </c>
      <c r="B15911" t="s">
        <v>71</v>
      </c>
      <c r="C15911" t="s">
        <v>72</v>
      </c>
      <c r="D15911">
        <v>4900</v>
      </c>
      <c r="E15911">
        <v>2021</v>
      </c>
      <c r="F15911">
        <v>13</v>
      </c>
      <c r="G15911">
        <v>16710</v>
      </c>
      <c r="H15911" s="1" t="s">
        <v>1827</v>
      </c>
      <c r="I15911">
        <v>5</v>
      </c>
      <c r="J15911">
        <f>IF($H15911=0,1,IF($I15911&lt;=1,2,0))</f>
        <v>0</v>
      </c>
      <c r="K15911">
        <v>9</v>
      </c>
      <c r="L15911">
        <f>IF(AND($J15911=0,$K15911=0),0,1)</f>
        <v>1</v>
      </c>
    </row>
    <row r="15912" spans="1:13" x14ac:dyDescent="0.2">
      <c r="A15912" t="s">
        <v>483</v>
      </c>
      <c r="B15912" t="s">
        <v>71</v>
      </c>
      <c r="C15912" t="s">
        <v>72</v>
      </c>
      <c r="D15912">
        <v>4900</v>
      </c>
      <c r="E15912">
        <v>2021</v>
      </c>
      <c r="F15912">
        <v>14</v>
      </c>
      <c r="G15912">
        <v>16711</v>
      </c>
      <c r="H15912" s="1" t="s">
        <v>1827</v>
      </c>
      <c r="I15912">
        <v>1</v>
      </c>
      <c r="J15912">
        <f>IF($H15912=0,1,IF($I15912&lt;=1,2,0))</f>
        <v>2</v>
      </c>
      <c r="K15912">
        <v>9</v>
      </c>
      <c r="L15912">
        <f>IF(AND($J15912=0,$K15912=0),0,1)</f>
        <v>1</v>
      </c>
    </row>
    <row r="15913" spans="1:13" x14ac:dyDescent="0.2">
      <c r="A15913" t="s">
        <v>483</v>
      </c>
      <c r="B15913" t="s">
        <v>71</v>
      </c>
      <c r="C15913" t="s">
        <v>72</v>
      </c>
      <c r="D15913">
        <v>4900</v>
      </c>
      <c r="E15913">
        <v>2021</v>
      </c>
      <c r="F15913">
        <v>15</v>
      </c>
      <c r="G15913">
        <v>16712</v>
      </c>
      <c r="H15913" s="1" t="s">
        <v>1827</v>
      </c>
      <c r="I15913">
        <v>1</v>
      </c>
      <c r="J15913">
        <f>IF($H15913=0,1,IF($I15913&lt;=1,2,0))</f>
        <v>2</v>
      </c>
      <c r="K15913">
        <v>9</v>
      </c>
      <c r="L15913">
        <f>IF(AND($J15913=0,$K15913=0),0,1)</f>
        <v>1</v>
      </c>
    </row>
    <row r="15914" spans="1:13" x14ac:dyDescent="0.2">
      <c r="A15914" t="s">
        <v>483</v>
      </c>
      <c r="B15914" t="s">
        <v>71</v>
      </c>
      <c r="C15914" t="s">
        <v>72</v>
      </c>
      <c r="D15914">
        <v>4900</v>
      </c>
      <c r="E15914">
        <v>2021</v>
      </c>
      <c r="F15914">
        <v>17</v>
      </c>
      <c r="G15914">
        <v>16714</v>
      </c>
      <c r="H15914" s="1" t="s">
        <v>1827</v>
      </c>
      <c r="I15914">
        <v>1</v>
      </c>
      <c r="J15914">
        <f>IF($H15914=0,1,IF($I15914&lt;=1,2,0))</f>
        <v>2</v>
      </c>
      <c r="K15914">
        <v>9</v>
      </c>
      <c r="L15914">
        <f>IF(AND($J15914=0,$K15914=0),0,1)</f>
        <v>1</v>
      </c>
    </row>
    <row r="15915" spans="1:13" x14ac:dyDescent="0.2">
      <c r="A15915" t="s">
        <v>483</v>
      </c>
      <c r="B15915" t="s">
        <v>71</v>
      </c>
      <c r="C15915" t="s">
        <v>72</v>
      </c>
      <c r="D15915">
        <v>4900</v>
      </c>
      <c r="E15915">
        <v>2021</v>
      </c>
      <c r="F15915">
        <v>28</v>
      </c>
      <c r="G15915">
        <v>16725</v>
      </c>
      <c r="H15915" s="1" t="s">
        <v>1827</v>
      </c>
      <c r="I15915">
        <v>1</v>
      </c>
      <c r="J15915">
        <f>IF($H15915=0,1,IF($I15915&lt;=1,2,0))</f>
        <v>2</v>
      </c>
      <c r="K15915">
        <v>9</v>
      </c>
      <c r="L15915">
        <f>IF(AND($J15915=0,$K15915=0),0,1)</f>
        <v>1</v>
      </c>
    </row>
    <row r="15916" spans="1:13" x14ac:dyDescent="0.2">
      <c r="A15916" t="s">
        <v>483</v>
      </c>
      <c r="B15916" t="s">
        <v>71</v>
      </c>
      <c r="C15916" t="s">
        <v>72</v>
      </c>
      <c r="D15916">
        <v>4900</v>
      </c>
      <c r="E15916">
        <v>2021</v>
      </c>
      <c r="F15916">
        <v>1</v>
      </c>
      <c r="G15916">
        <v>16698</v>
      </c>
      <c r="H15916" s="1" t="s">
        <v>1827</v>
      </c>
      <c r="I15916">
        <v>0</v>
      </c>
      <c r="J15916">
        <f>IF($H15916=0,1,IF($I15916&lt;=1,2,0))</f>
        <v>2</v>
      </c>
      <c r="K15916">
        <v>9</v>
      </c>
      <c r="L15916">
        <f>IF(AND($J15916=0,$K15916=0),0,1)</f>
        <v>1</v>
      </c>
    </row>
    <row r="15917" spans="1:13" x14ac:dyDescent="0.2">
      <c r="A15917" t="s">
        <v>483</v>
      </c>
      <c r="B15917" t="s">
        <v>71</v>
      </c>
      <c r="C15917" t="s">
        <v>72</v>
      </c>
      <c r="D15917">
        <v>4900</v>
      </c>
      <c r="E15917">
        <v>2021</v>
      </c>
      <c r="F15917">
        <v>2</v>
      </c>
      <c r="G15917">
        <v>16699</v>
      </c>
      <c r="H15917" s="1" t="s">
        <v>1827</v>
      </c>
      <c r="I15917">
        <v>0</v>
      </c>
      <c r="J15917">
        <f>IF($H15917=0,1,IF($I15917&lt;=1,2,0))</f>
        <v>2</v>
      </c>
      <c r="K15917">
        <v>9</v>
      </c>
      <c r="L15917">
        <f>IF(AND($J15917=0,$K15917=0),0,1)</f>
        <v>1</v>
      </c>
    </row>
    <row r="15918" spans="1:13" x14ac:dyDescent="0.2">
      <c r="A15918" t="s">
        <v>483</v>
      </c>
      <c r="B15918" t="s">
        <v>71</v>
      </c>
      <c r="C15918" t="s">
        <v>72</v>
      </c>
      <c r="D15918">
        <v>4900</v>
      </c>
      <c r="E15918">
        <v>2021</v>
      </c>
      <c r="F15918">
        <v>3</v>
      </c>
      <c r="G15918">
        <v>16700</v>
      </c>
      <c r="H15918" s="1" t="s">
        <v>1827</v>
      </c>
      <c r="I15918">
        <v>0</v>
      </c>
      <c r="J15918">
        <f>IF($H15918=0,1,IF($I15918&lt;=1,2,0))</f>
        <v>2</v>
      </c>
      <c r="K15918">
        <v>9</v>
      </c>
      <c r="L15918">
        <f>IF(AND($J15918=0,$K15918=0),0,1)</f>
        <v>1</v>
      </c>
    </row>
    <row r="15919" spans="1:13" x14ac:dyDescent="0.2">
      <c r="A15919" t="s">
        <v>483</v>
      </c>
      <c r="B15919" t="s">
        <v>71</v>
      </c>
      <c r="C15919" t="s">
        <v>72</v>
      </c>
      <c r="D15919">
        <v>4900</v>
      </c>
      <c r="E15919">
        <v>2021</v>
      </c>
      <c r="F15919">
        <v>4</v>
      </c>
      <c r="G15919">
        <v>16701</v>
      </c>
      <c r="H15919" s="1" t="s">
        <v>1827</v>
      </c>
      <c r="I15919">
        <v>0</v>
      </c>
      <c r="J15919">
        <f>IF($H15919=0,1,IF($I15919&lt;=1,2,0))</f>
        <v>2</v>
      </c>
      <c r="K15919">
        <v>9</v>
      </c>
      <c r="L15919">
        <f>IF(AND($J15919=0,$K15919=0),0,1)</f>
        <v>1</v>
      </c>
    </row>
    <row r="15920" spans="1:13" x14ac:dyDescent="0.2">
      <c r="A15920" t="s">
        <v>483</v>
      </c>
      <c r="B15920" t="s">
        <v>71</v>
      </c>
      <c r="C15920" t="s">
        <v>72</v>
      </c>
      <c r="D15920">
        <v>4900</v>
      </c>
      <c r="E15920">
        <v>2021</v>
      </c>
      <c r="F15920">
        <v>5</v>
      </c>
      <c r="G15920">
        <v>16702</v>
      </c>
      <c r="H15920" s="1" t="s">
        <v>1827</v>
      </c>
      <c r="I15920">
        <v>0</v>
      </c>
      <c r="J15920">
        <f>IF($H15920=0,1,IF($I15920&lt;=1,2,0))</f>
        <v>2</v>
      </c>
      <c r="K15920">
        <v>9</v>
      </c>
      <c r="L15920">
        <f>IF(AND($J15920=0,$K15920=0),0,1)</f>
        <v>1</v>
      </c>
    </row>
    <row r="15921" spans="1:12" x14ac:dyDescent="0.2">
      <c r="A15921" t="s">
        <v>483</v>
      </c>
      <c r="B15921" t="s">
        <v>71</v>
      </c>
      <c r="C15921" t="s">
        <v>72</v>
      </c>
      <c r="D15921">
        <v>4900</v>
      </c>
      <c r="E15921">
        <v>2021</v>
      </c>
      <c r="F15921">
        <v>6</v>
      </c>
      <c r="G15921">
        <v>16703</v>
      </c>
      <c r="H15921" s="1" t="s">
        <v>1827</v>
      </c>
      <c r="I15921">
        <v>0</v>
      </c>
      <c r="J15921">
        <f>IF($H15921=0,1,IF($I15921&lt;=1,2,0))</f>
        <v>2</v>
      </c>
      <c r="K15921">
        <v>9</v>
      </c>
      <c r="L15921">
        <f>IF(AND($J15921=0,$K15921=0),0,1)</f>
        <v>1</v>
      </c>
    </row>
    <row r="15922" spans="1:12" x14ac:dyDescent="0.2">
      <c r="A15922" t="s">
        <v>483</v>
      </c>
      <c r="B15922" t="s">
        <v>71</v>
      </c>
      <c r="C15922" t="s">
        <v>72</v>
      </c>
      <c r="D15922">
        <v>4900</v>
      </c>
      <c r="E15922">
        <v>2021</v>
      </c>
      <c r="F15922">
        <v>7</v>
      </c>
      <c r="G15922">
        <v>16704</v>
      </c>
      <c r="H15922" s="1" t="s">
        <v>1827</v>
      </c>
      <c r="I15922">
        <v>0</v>
      </c>
      <c r="J15922">
        <f>IF($H15922=0,1,IF($I15922&lt;=1,2,0))</f>
        <v>2</v>
      </c>
      <c r="K15922">
        <v>9</v>
      </c>
      <c r="L15922">
        <f>IF(AND($J15922=0,$K15922=0),0,1)</f>
        <v>1</v>
      </c>
    </row>
    <row r="15923" spans="1:12" x14ac:dyDescent="0.2">
      <c r="A15923" t="s">
        <v>483</v>
      </c>
      <c r="B15923" t="s">
        <v>71</v>
      </c>
      <c r="C15923" t="s">
        <v>72</v>
      </c>
      <c r="D15923">
        <v>4900</v>
      </c>
      <c r="E15923">
        <v>2021</v>
      </c>
      <c r="F15923">
        <v>8</v>
      </c>
      <c r="G15923">
        <v>16705</v>
      </c>
      <c r="H15923" s="1" t="s">
        <v>1827</v>
      </c>
      <c r="I15923">
        <v>0</v>
      </c>
      <c r="J15923">
        <f>IF($H15923=0,1,IF($I15923&lt;=1,2,0))</f>
        <v>2</v>
      </c>
      <c r="K15923">
        <v>9</v>
      </c>
      <c r="L15923">
        <f>IF(AND($J15923=0,$K15923=0),0,1)</f>
        <v>1</v>
      </c>
    </row>
    <row r="15924" spans="1:12" x14ac:dyDescent="0.2">
      <c r="A15924" t="s">
        <v>483</v>
      </c>
      <c r="B15924" t="s">
        <v>71</v>
      </c>
      <c r="C15924" t="s">
        <v>72</v>
      </c>
      <c r="D15924">
        <v>4900</v>
      </c>
      <c r="E15924">
        <v>2021</v>
      </c>
      <c r="F15924">
        <v>9</v>
      </c>
      <c r="G15924">
        <v>16706</v>
      </c>
      <c r="H15924" s="1" t="s">
        <v>1827</v>
      </c>
      <c r="I15924">
        <v>0</v>
      </c>
      <c r="J15924">
        <f>IF($H15924=0,1,IF($I15924&lt;=1,2,0))</f>
        <v>2</v>
      </c>
      <c r="K15924">
        <v>9</v>
      </c>
      <c r="L15924">
        <f>IF(AND($J15924=0,$K15924=0),0,1)</f>
        <v>1</v>
      </c>
    </row>
    <row r="15925" spans="1:12" x14ac:dyDescent="0.2">
      <c r="A15925" t="s">
        <v>483</v>
      </c>
      <c r="B15925" t="s">
        <v>71</v>
      </c>
      <c r="C15925" t="s">
        <v>72</v>
      </c>
      <c r="D15925">
        <v>4900</v>
      </c>
      <c r="E15925">
        <v>2021</v>
      </c>
      <c r="F15925">
        <v>10</v>
      </c>
      <c r="G15925">
        <v>16707</v>
      </c>
      <c r="H15925" s="1" t="s">
        <v>1827</v>
      </c>
      <c r="I15925">
        <v>0</v>
      </c>
      <c r="J15925">
        <f>IF($H15925=0,1,IF($I15925&lt;=1,2,0))</f>
        <v>2</v>
      </c>
      <c r="K15925">
        <v>9</v>
      </c>
      <c r="L15925">
        <f>IF(AND($J15925=0,$K15925=0),0,1)</f>
        <v>1</v>
      </c>
    </row>
    <row r="15926" spans="1:12" x14ac:dyDescent="0.2">
      <c r="A15926" t="s">
        <v>483</v>
      </c>
      <c r="B15926" t="s">
        <v>71</v>
      </c>
      <c r="C15926" t="s">
        <v>72</v>
      </c>
      <c r="D15926">
        <v>4900</v>
      </c>
      <c r="E15926">
        <v>2021</v>
      </c>
      <c r="F15926">
        <v>11</v>
      </c>
      <c r="G15926">
        <v>16708</v>
      </c>
      <c r="H15926" s="1" t="s">
        <v>1827</v>
      </c>
      <c r="I15926">
        <v>0</v>
      </c>
      <c r="J15926">
        <f>IF($H15926=0,1,IF($I15926&lt;=1,2,0))</f>
        <v>2</v>
      </c>
      <c r="K15926">
        <v>9</v>
      </c>
      <c r="L15926">
        <f>IF(AND($J15926=0,$K15926=0),0,1)</f>
        <v>1</v>
      </c>
    </row>
    <row r="15927" spans="1:12" x14ac:dyDescent="0.2">
      <c r="A15927" t="s">
        <v>483</v>
      </c>
      <c r="B15927" t="s">
        <v>71</v>
      </c>
      <c r="C15927" t="s">
        <v>72</v>
      </c>
      <c r="D15927">
        <v>4900</v>
      </c>
      <c r="E15927">
        <v>2021</v>
      </c>
      <c r="F15927">
        <v>12</v>
      </c>
      <c r="G15927">
        <v>16709</v>
      </c>
      <c r="H15927" s="1" t="s">
        <v>1827</v>
      </c>
      <c r="I15927">
        <v>0</v>
      </c>
      <c r="J15927">
        <f>IF($H15927=0,1,IF($I15927&lt;=1,2,0))</f>
        <v>2</v>
      </c>
      <c r="K15927">
        <v>9</v>
      </c>
      <c r="L15927">
        <f>IF(AND($J15927=0,$K15927=0),0,1)</f>
        <v>1</v>
      </c>
    </row>
    <row r="15928" spans="1:12" x14ac:dyDescent="0.2">
      <c r="A15928" t="s">
        <v>483</v>
      </c>
      <c r="B15928" t="s">
        <v>71</v>
      </c>
      <c r="C15928" t="s">
        <v>72</v>
      </c>
      <c r="D15928">
        <v>4900</v>
      </c>
      <c r="E15928">
        <v>2021</v>
      </c>
      <c r="F15928">
        <v>16</v>
      </c>
      <c r="G15928">
        <v>16713</v>
      </c>
      <c r="H15928" s="1" t="s">
        <v>1827</v>
      </c>
      <c r="I15928">
        <v>0</v>
      </c>
      <c r="J15928">
        <f>IF($H15928=0,1,IF($I15928&lt;=1,2,0))</f>
        <v>2</v>
      </c>
      <c r="K15928">
        <v>9</v>
      </c>
      <c r="L15928">
        <f>IF(AND($J15928=0,$K15928=0),0,1)</f>
        <v>1</v>
      </c>
    </row>
    <row r="15929" spans="1:12" x14ac:dyDescent="0.2">
      <c r="A15929" t="s">
        <v>483</v>
      </c>
      <c r="B15929" t="s">
        <v>71</v>
      </c>
      <c r="C15929" t="s">
        <v>72</v>
      </c>
      <c r="D15929">
        <v>4900</v>
      </c>
      <c r="E15929">
        <v>2021</v>
      </c>
      <c r="F15929">
        <v>18</v>
      </c>
      <c r="G15929">
        <v>16715</v>
      </c>
      <c r="H15929" s="1" t="s">
        <v>1827</v>
      </c>
      <c r="I15929">
        <v>0</v>
      </c>
      <c r="J15929">
        <f>IF($H15929=0,1,IF($I15929&lt;=1,2,0))</f>
        <v>2</v>
      </c>
      <c r="K15929">
        <v>9</v>
      </c>
      <c r="L15929">
        <f>IF(AND($J15929=0,$K15929=0),0,1)</f>
        <v>1</v>
      </c>
    </row>
    <row r="15930" spans="1:12" x14ac:dyDescent="0.2">
      <c r="A15930" t="s">
        <v>483</v>
      </c>
      <c r="B15930" t="s">
        <v>71</v>
      </c>
      <c r="C15930" t="s">
        <v>72</v>
      </c>
      <c r="D15930">
        <v>4900</v>
      </c>
      <c r="E15930">
        <v>2021</v>
      </c>
      <c r="F15930">
        <v>19</v>
      </c>
      <c r="G15930">
        <v>16716</v>
      </c>
      <c r="H15930" s="1" t="s">
        <v>1827</v>
      </c>
      <c r="I15930">
        <v>0</v>
      </c>
      <c r="J15930">
        <f>IF($H15930=0,1,IF($I15930&lt;=1,2,0))</f>
        <v>2</v>
      </c>
      <c r="K15930">
        <v>9</v>
      </c>
      <c r="L15930">
        <f>IF(AND($J15930=0,$K15930=0),0,1)</f>
        <v>1</v>
      </c>
    </row>
    <row r="15931" spans="1:12" x14ac:dyDescent="0.2">
      <c r="A15931" t="s">
        <v>483</v>
      </c>
      <c r="B15931" t="s">
        <v>71</v>
      </c>
      <c r="C15931" t="s">
        <v>72</v>
      </c>
      <c r="D15931">
        <v>4900</v>
      </c>
      <c r="E15931">
        <v>2021</v>
      </c>
      <c r="F15931">
        <v>20</v>
      </c>
      <c r="G15931">
        <v>16717</v>
      </c>
      <c r="H15931" s="1" t="s">
        <v>1827</v>
      </c>
      <c r="I15931">
        <v>0</v>
      </c>
      <c r="J15931">
        <f>IF($H15931=0,1,IF($I15931&lt;=1,2,0))</f>
        <v>2</v>
      </c>
      <c r="K15931">
        <v>9</v>
      </c>
      <c r="L15931">
        <f>IF(AND($J15931=0,$K15931=0),0,1)</f>
        <v>1</v>
      </c>
    </row>
    <row r="15932" spans="1:12" x14ac:dyDescent="0.2">
      <c r="A15932" t="s">
        <v>483</v>
      </c>
      <c r="B15932" t="s">
        <v>71</v>
      </c>
      <c r="C15932" t="s">
        <v>72</v>
      </c>
      <c r="D15932">
        <v>4900</v>
      </c>
      <c r="E15932">
        <v>2021</v>
      </c>
      <c r="F15932">
        <v>21</v>
      </c>
      <c r="G15932">
        <v>16719</v>
      </c>
      <c r="H15932" s="1" t="s">
        <v>1827</v>
      </c>
      <c r="I15932">
        <v>0</v>
      </c>
      <c r="J15932">
        <f>IF($H15932=0,1,IF($I15932&lt;=1,2,0))</f>
        <v>2</v>
      </c>
      <c r="K15932">
        <v>9</v>
      </c>
      <c r="L15932">
        <f>IF(AND($J15932=0,$K15932=0),0,1)</f>
        <v>1</v>
      </c>
    </row>
    <row r="15933" spans="1:12" x14ac:dyDescent="0.2">
      <c r="A15933" t="s">
        <v>483</v>
      </c>
      <c r="B15933" t="s">
        <v>71</v>
      </c>
      <c r="C15933" t="s">
        <v>72</v>
      </c>
      <c r="D15933">
        <v>4900</v>
      </c>
      <c r="E15933">
        <v>2021</v>
      </c>
      <c r="F15933">
        <v>22</v>
      </c>
      <c r="G15933">
        <v>16720</v>
      </c>
      <c r="H15933" s="1" t="s">
        <v>1827</v>
      </c>
      <c r="I15933">
        <v>0</v>
      </c>
      <c r="J15933">
        <f>IF($H15933=0,1,IF($I15933&lt;=1,2,0))</f>
        <v>2</v>
      </c>
      <c r="K15933">
        <v>9</v>
      </c>
      <c r="L15933">
        <f>IF(AND($J15933=0,$K15933=0),0,1)</f>
        <v>1</v>
      </c>
    </row>
    <row r="15934" spans="1:12" x14ac:dyDescent="0.2">
      <c r="A15934" t="s">
        <v>483</v>
      </c>
      <c r="B15934" t="s">
        <v>71</v>
      </c>
      <c r="C15934" t="s">
        <v>72</v>
      </c>
      <c r="D15934">
        <v>4900</v>
      </c>
      <c r="E15934">
        <v>2021</v>
      </c>
      <c r="F15934">
        <v>23</v>
      </c>
      <c r="G15934">
        <v>16721</v>
      </c>
      <c r="H15934" s="1" t="s">
        <v>1827</v>
      </c>
      <c r="I15934">
        <v>0</v>
      </c>
      <c r="J15934">
        <f>IF($H15934=0,1,IF($I15934&lt;=1,2,0))</f>
        <v>2</v>
      </c>
      <c r="K15934">
        <v>9</v>
      </c>
      <c r="L15934">
        <f>IF(AND($J15934=0,$K15934=0),0,1)</f>
        <v>1</v>
      </c>
    </row>
    <row r="15935" spans="1:12" x14ac:dyDescent="0.2">
      <c r="A15935" t="s">
        <v>483</v>
      </c>
      <c r="B15935" t="s">
        <v>71</v>
      </c>
      <c r="C15935" t="s">
        <v>72</v>
      </c>
      <c r="D15935">
        <v>4900</v>
      </c>
      <c r="E15935">
        <v>2021</v>
      </c>
      <c r="F15935">
        <v>24</v>
      </c>
      <c r="G15935">
        <v>16718</v>
      </c>
      <c r="H15935" s="1" t="s">
        <v>1827</v>
      </c>
      <c r="I15935">
        <v>0</v>
      </c>
      <c r="J15935">
        <f>IF($H15935=0,1,IF($I15935&lt;=1,2,0))</f>
        <v>2</v>
      </c>
      <c r="K15935">
        <v>9</v>
      </c>
      <c r="L15935">
        <f>IF(AND($J15935=0,$K15935=0),0,1)</f>
        <v>1</v>
      </c>
    </row>
    <row r="15936" spans="1:12" x14ac:dyDescent="0.2">
      <c r="A15936" t="s">
        <v>483</v>
      </c>
      <c r="B15936" t="s">
        <v>71</v>
      </c>
      <c r="C15936" t="s">
        <v>72</v>
      </c>
      <c r="D15936">
        <v>4900</v>
      </c>
      <c r="E15936">
        <v>2021</v>
      </c>
      <c r="F15936">
        <v>25</v>
      </c>
      <c r="G15936">
        <v>16722</v>
      </c>
      <c r="H15936" s="1" t="s">
        <v>1827</v>
      </c>
      <c r="I15936">
        <v>0</v>
      </c>
      <c r="J15936">
        <f>IF($H15936=0,1,IF($I15936&lt;=1,2,0))</f>
        <v>2</v>
      </c>
      <c r="K15936">
        <v>9</v>
      </c>
      <c r="L15936">
        <f>IF(AND($J15936=0,$K15936=0),0,1)</f>
        <v>1</v>
      </c>
    </row>
    <row r="15937" spans="1:13" x14ac:dyDescent="0.2">
      <c r="A15937" t="s">
        <v>483</v>
      </c>
      <c r="B15937" t="s">
        <v>71</v>
      </c>
      <c r="C15937" t="s">
        <v>72</v>
      </c>
      <c r="D15937">
        <v>4900</v>
      </c>
      <c r="E15937">
        <v>2021</v>
      </c>
      <c r="F15937">
        <v>26</v>
      </c>
      <c r="G15937">
        <v>16723</v>
      </c>
      <c r="H15937" s="1" t="s">
        <v>1827</v>
      </c>
      <c r="I15937">
        <v>0</v>
      </c>
      <c r="J15937">
        <f>IF($H15937=0,1,IF($I15937&lt;=1,2,0))</f>
        <v>2</v>
      </c>
      <c r="K15937">
        <v>9</v>
      </c>
      <c r="L15937">
        <f>IF(AND($J15937=0,$K15937=0),0,1)</f>
        <v>1</v>
      </c>
    </row>
    <row r="15938" spans="1:13" x14ac:dyDescent="0.2">
      <c r="A15938" t="s">
        <v>483</v>
      </c>
      <c r="B15938" t="s">
        <v>71</v>
      </c>
      <c r="C15938" t="s">
        <v>72</v>
      </c>
      <c r="D15938">
        <v>4900</v>
      </c>
      <c r="E15938">
        <v>2021</v>
      </c>
      <c r="F15938">
        <v>27</v>
      </c>
      <c r="G15938">
        <v>16724</v>
      </c>
      <c r="H15938" s="1" t="s">
        <v>1827</v>
      </c>
      <c r="I15938">
        <v>0</v>
      </c>
      <c r="J15938">
        <f>IF($H15938=0,1,IF($I15938&lt;=1,2,0))</f>
        <v>2</v>
      </c>
      <c r="K15938">
        <v>9</v>
      </c>
      <c r="L15938">
        <f>IF(AND($J15938=0,$K15938=0),0,1)</f>
        <v>1</v>
      </c>
    </row>
    <row r="15939" spans="1:13" x14ac:dyDescent="0.2">
      <c r="A15939" t="s">
        <v>483</v>
      </c>
      <c r="B15939" t="s">
        <v>71</v>
      </c>
      <c r="C15939" t="s">
        <v>72</v>
      </c>
      <c r="D15939">
        <v>4900</v>
      </c>
      <c r="E15939">
        <v>2021</v>
      </c>
      <c r="F15939">
        <v>29</v>
      </c>
      <c r="G15939">
        <v>16726</v>
      </c>
      <c r="H15939" s="1" t="s">
        <v>1827</v>
      </c>
      <c r="I15939">
        <v>0</v>
      </c>
      <c r="J15939">
        <f>IF($H15939=0,1,IF($I15939&lt;=1,2,0))</f>
        <v>2</v>
      </c>
      <c r="K15939">
        <v>9</v>
      </c>
      <c r="L15939">
        <f>IF(AND($J15939=0,$K15939=0),0,1)</f>
        <v>1</v>
      </c>
    </row>
    <row r="15940" spans="1:13" x14ac:dyDescent="0.2">
      <c r="A15940" t="s">
        <v>483</v>
      </c>
      <c r="B15940" t="s">
        <v>71</v>
      </c>
      <c r="C15940" t="s">
        <v>72</v>
      </c>
      <c r="D15940">
        <v>4900</v>
      </c>
      <c r="E15940">
        <v>2021</v>
      </c>
      <c r="F15940">
        <v>30</v>
      </c>
      <c r="G15940">
        <v>16727</v>
      </c>
      <c r="H15940" s="1" t="s">
        <v>1827</v>
      </c>
      <c r="I15940">
        <v>0</v>
      </c>
      <c r="J15940">
        <f>IF($H15940=0,1,IF($I15940&lt;=1,2,0))</f>
        <v>2</v>
      </c>
      <c r="K15940">
        <v>9</v>
      </c>
      <c r="L15940">
        <f>IF(AND($J15940=0,$K15940=0),0,1)</f>
        <v>1</v>
      </c>
    </row>
    <row r="15941" spans="1:13" x14ac:dyDescent="0.2">
      <c r="A15941" t="s">
        <v>483</v>
      </c>
      <c r="B15941" t="s">
        <v>71</v>
      </c>
      <c r="C15941" t="s">
        <v>72</v>
      </c>
      <c r="D15941">
        <v>4900</v>
      </c>
      <c r="E15941">
        <v>2021</v>
      </c>
      <c r="F15941">
        <v>31</v>
      </c>
      <c r="G15941">
        <v>16728</v>
      </c>
      <c r="H15941" s="1" t="s">
        <v>1827</v>
      </c>
      <c r="I15941">
        <v>0</v>
      </c>
      <c r="J15941">
        <f>IF($H15941=0,1,IF($I15941&lt;=1,2,0))</f>
        <v>2</v>
      </c>
      <c r="K15941">
        <v>9</v>
      </c>
      <c r="L15941">
        <f>IF(AND($J15941=0,$K15941=0),0,1)</f>
        <v>1</v>
      </c>
    </row>
    <row r="15942" spans="1:13" x14ac:dyDescent="0.2">
      <c r="A15942" t="s">
        <v>483</v>
      </c>
      <c r="B15942" t="s">
        <v>71</v>
      </c>
      <c r="C15942" t="s">
        <v>72</v>
      </c>
      <c r="D15942">
        <v>4999</v>
      </c>
      <c r="E15942">
        <v>2021</v>
      </c>
      <c r="F15942">
        <v>1</v>
      </c>
      <c r="G15942">
        <v>18449</v>
      </c>
      <c r="H15942" s="1" t="s">
        <v>221</v>
      </c>
      <c r="I15942">
        <v>60</v>
      </c>
      <c r="J15942">
        <f>IF($H15942=0,1,IF($I15942&lt;=1,2,0))</f>
        <v>0</v>
      </c>
      <c r="K15942">
        <v>9</v>
      </c>
      <c r="L15942">
        <f>IF(AND($J15942=0,$K15942=0),0,1)</f>
        <v>1</v>
      </c>
      <c r="M15942" t="s">
        <v>1647</v>
      </c>
    </row>
    <row r="15943" spans="1:13" x14ac:dyDescent="0.2">
      <c r="A15943" t="s">
        <v>483</v>
      </c>
      <c r="B15943" t="s">
        <v>71</v>
      </c>
      <c r="C15943" t="s">
        <v>72</v>
      </c>
      <c r="D15943">
        <v>9101</v>
      </c>
      <c r="E15943">
        <v>2021</v>
      </c>
      <c r="F15943">
        <v>12</v>
      </c>
      <c r="G15943">
        <v>16747</v>
      </c>
      <c r="H15943" s="1" t="s">
        <v>1828</v>
      </c>
      <c r="I15943">
        <v>3</v>
      </c>
      <c r="J15943">
        <f>IF($H15943=0,1,IF($I15943&lt;=1,2,0))</f>
        <v>0</v>
      </c>
      <c r="K15943">
        <v>5</v>
      </c>
      <c r="L15943">
        <f>IF(AND($J15943=0,$K15943=0),0,1)</f>
        <v>1</v>
      </c>
    </row>
    <row r="15944" spans="1:13" x14ac:dyDescent="0.2">
      <c r="A15944" t="s">
        <v>483</v>
      </c>
      <c r="B15944" t="s">
        <v>71</v>
      </c>
      <c r="C15944" t="s">
        <v>72</v>
      </c>
      <c r="D15944">
        <v>9101</v>
      </c>
      <c r="E15944">
        <v>2021</v>
      </c>
      <c r="F15944">
        <v>20</v>
      </c>
      <c r="G15944">
        <v>16739</v>
      </c>
      <c r="H15944" s="1" t="s">
        <v>1828</v>
      </c>
      <c r="I15944">
        <v>3</v>
      </c>
      <c r="J15944">
        <f>IF($H15944=0,1,IF($I15944&lt;=1,2,0))</f>
        <v>0</v>
      </c>
      <c r="K15944">
        <v>5</v>
      </c>
      <c r="L15944">
        <f>IF(AND($J15944=0,$K15944=0),0,1)</f>
        <v>1</v>
      </c>
    </row>
    <row r="15945" spans="1:13" x14ac:dyDescent="0.2">
      <c r="A15945" t="s">
        <v>483</v>
      </c>
      <c r="B15945" t="s">
        <v>71</v>
      </c>
      <c r="C15945" t="s">
        <v>72</v>
      </c>
      <c r="D15945">
        <v>9101</v>
      </c>
      <c r="E15945">
        <v>2021</v>
      </c>
      <c r="F15945">
        <v>11</v>
      </c>
      <c r="G15945">
        <v>16748</v>
      </c>
      <c r="H15945" s="1" t="s">
        <v>1828</v>
      </c>
      <c r="I15945">
        <v>2</v>
      </c>
      <c r="J15945">
        <f>IF($H15945=0,1,IF($I15945&lt;=1,2,0))</f>
        <v>0</v>
      </c>
      <c r="K15945">
        <v>5</v>
      </c>
      <c r="L15945">
        <f>IF(AND($J15945=0,$K15945=0),0,1)</f>
        <v>1</v>
      </c>
    </row>
    <row r="15946" spans="1:13" x14ac:dyDescent="0.2">
      <c r="A15946" t="s">
        <v>483</v>
      </c>
      <c r="B15946" t="s">
        <v>71</v>
      </c>
      <c r="C15946" t="s">
        <v>72</v>
      </c>
      <c r="D15946">
        <v>9101</v>
      </c>
      <c r="E15946">
        <v>2021</v>
      </c>
      <c r="F15946">
        <v>14</v>
      </c>
      <c r="G15946">
        <v>16745</v>
      </c>
      <c r="H15946" s="1" t="s">
        <v>1828</v>
      </c>
      <c r="I15946">
        <v>2</v>
      </c>
      <c r="J15946">
        <f>IF($H15946=0,1,IF($I15946&lt;=1,2,0))</f>
        <v>0</v>
      </c>
      <c r="K15946">
        <v>5</v>
      </c>
      <c r="L15946">
        <f>IF(AND($J15946=0,$K15946=0),0,1)</f>
        <v>1</v>
      </c>
    </row>
    <row r="15947" spans="1:13" x14ac:dyDescent="0.2">
      <c r="A15947" t="s">
        <v>483</v>
      </c>
      <c r="B15947" t="s">
        <v>71</v>
      </c>
      <c r="C15947" t="s">
        <v>72</v>
      </c>
      <c r="D15947">
        <v>9101</v>
      </c>
      <c r="E15947">
        <v>2021</v>
      </c>
      <c r="F15947">
        <v>18</v>
      </c>
      <c r="G15947">
        <v>16741</v>
      </c>
      <c r="H15947" s="1" t="s">
        <v>1828</v>
      </c>
      <c r="I15947">
        <v>2</v>
      </c>
      <c r="J15947">
        <f>IF($H15947=0,1,IF($I15947&lt;=1,2,0))</f>
        <v>0</v>
      </c>
      <c r="K15947">
        <v>5</v>
      </c>
      <c r="L15947">
        <f>IF(AND($J15947=0,$K15947=0),0,1)</f>
        <v>1</v>
      </c>
    </row>
    <row r="15948" spans="1:13" x14ac:dyDescent="0.2">
      <c r="A15948" t="s">
        <v>483</v>
      </c>
      <c r="B15948" t="s">
        <v>71</v>
      </c>
      <c r="C15948" t="s">
        <v>72</v>
      </c>
      <c r="D15948">
        <v>9101</v>
      </c>
      <c r="E15948">
        <v>2021</v>
      </c>
      <c r="F15948">
        <v>5</v>
      </c>
      <c r="G15948">
        <v>16733</v>
      </c>
      <c r="H15948" s="1" t="s">
        <v>1828</v>
      </c>
      <c r="I15948">
        <v>1</v>
      </c>
      <c r="J15948">
        <f>IF($H15948=0,1,IF($I15948&lt;=1,2,0))</f>
        <v>2</v>
      </c>
      <c r="K15948">
        <v>5</v>
      </c>
      <c r="L15948">
        <f>IF(AND($J15948=0,$K15948=0),0,1)</f>
        <v>1</v>
      </c>
    </row>
    <row r="15949" spans="1:13" x14ac:dyDescent="0.2">
      <c r="A15949" t="s">
        <v>483</v>
      </c>
      <c r="B15949" t="s">
        <v>71</v>
      </c>
      <c r="C15949" t="s">
        <v>72</v>
      </c>
      <c r="D15949">
        <v>9101</v>
      </c>
      <c r="E15949">
        <v>2021</v>
      </c>
      <c r="F15949">
        <v>9</v>
      </c>
      <c r="G15949">
        <v>16737</v>
      </c>
      <c r="H15949" s="1" t="s">
        <v>1828</v>
      </c>
      <c r="I15949">
        <v>1</v>
      </c>
      <c r="J15949">
        <f>IF($H15949=0,1,IF($I15949&lt;=1,2,0))</f>
        <v>2</v>
      </c>
      <c r="K15949">
        <v>5</v>
      </c>
      <c r="L15949">
        <f>IF(AND($J15949=0,$K15949=0),0,1)</f>
        <v>1</v>
      </c>
    </row>
    <row r="15950" spans="1:13" x14ac:dyDescent="0.2">
      <c r="A15950" t="s">
        <v>483</v>
      </c>
      <c r="B15950" t="s">
        <v>71</v>
      </c>
      <c r="C15950" t="s">
        <v>72</v>
      </c>
      <c r="D15950">
        <v>9101</v>
      </c>
      <c r="E15950">
        <v>2021</v>
      </c>
      <c r="F15950">
        <v>16</v>
      </c>
      <c r="G15950">
        <v>16743</v>
      </c>
      <c r="H15950" s="1" t="s">
        <v>1828</v>
      </c>
      <c r="I15950">
        <v>1</v>
      </c>
      <c r="J15950">
        <f>IF($H15950=0,1,IF($I15950&lt;=1,2,0))</f>
        <v>2</v>
      </c>
      <c r="K15950">
        <v>5</v>
      </c>
      <c r="L15950">
        <f>IF(AND($J15950=0,$K15950=0),0,1)</f>
        <v>1</v>
      </c>
    </row>
    <row r="15951" spans="1:13" x14ac:dyDescent="0.2">
      <c r="A15951" t="s">
        <v>483</v>
      </c>
      <c r="B15951" t="s">
        <v>71</v>
      </c>
      <c r="C15951" t="s">
        <v>72</v>
      </c>
      <c r="D15951">
        <v>9101</v>
      </c>
      <c r="E15951">
        <v>2021</v>
      </c>
      <c r="F15951">
        <v>26</v>
      </c>
      <c r="G15951">
        <v>16754</v>
      </c>
      <c r="H15951" s="1" t="s">
        <v>1828</v>
      </c>
      <c r="I15951">
        <v>1</v>
      </c>
      <c r="J15951">
        <f>IF($H15951=0,1,IF($I15951&lt;=1,2,0))</f>
        <v>2</v>
      </c>
      <c r="K15951">
        <v>5</v>
      </c>
      <c r="L15951">
        <f>IF(AND($J15951=0,$K15951=0),0,1)</f>
        <v>1</v>
      </c>
    </row>
    <row r="15952" spans="1:13" x14ac:dyDescent="0.2">
      <c r="A15952" t="s">
        <v>483</v>
      </c>
      <c r="B15952" t="s">
        <v>71</v>
      </c>
      <c r="C15952" t="s">
        <v>72</v>
      </c>
      <c r="D15952">
        <v>9101</v>
      </c>
      <c r="E15952">
        <v>2021</v>
      </c>
      <c r="F15952">
        <v>30</v>
      </c>
      <c r="G15952">
        <v>16750</v>
      </c>
      <c r="H15952" s="1" t="s">
        <v>1828</v>
      </c>
      <c r="I15952">
        <v>1</v>
      </c>
      <c r="J15952">
        <f>IF($H15952=0,1,IF($I15952&lt;=1,2,0))</f>
        <v>2</v>
      </c>
      <c r="K15952">
        <v>5</v>
      </c>
      <c r="L15952">
        <f>IF(AND($J15952=0,$K15952=0),0,1)</f>
        <v>1</v>
      </c>
    </row>
    <row r="15953" spans="1:12" x14ac:dyDescent="0.2">
      <c r="A15953" t="s">
        <v>483</v>
      </c>
      <c r="B15953" t="s">
        <v>71</v>
      </c>
      <c r="C15953" t="s">
        <v>72</v>
      </c>
      <c r="D15953">
        <v>9101</v>
      </c>
      <c r="E15953">
        <v>2021</v>
      </c>
      <c r="F15953">
        <v>1</v>
      </c>
      <c r="G15953">
        <v>16729</v>
      </c>
      <c r="H15953" s="1" t="s">
        <v>1828</v>
      </c>
      <c r="I15953">
        <v>0</v>
      </c>
      <c r="J15953">
        <f>IF($H15953=0,1,IF($I15953&lt;=1,2,0))</f>
        <v>2</v>
      </c>
      <c r="K15953">
        <v>5</v>
      </c>
      <c r="L15953">
        <f>IF(AND($J15953=0,$K15953=0),0,1)</f>
        <v>1</v>
      </c>
    </row>
    <row r="15954" spans="1:12" x14ac:dyDescent="0.2">
      <c r="A15954" t="s">
        <v>483</v>
      </c>
      <c r="B15954" t="s">
        <v>71</v>
      </c>
      <c r="C15954" t="s">
        <v>72</v>
      </c>
      <c r="D15954">
        <v>9101</v>
      </c>
      <c r="E15954">
        <v>2021</v>
      </c>
      <c r="F15954">
        <v>2</v>
      </c>
      <c r="G15954">
        <v>16730</v>
      </c>
      <c r="H15954" s="1" t="s">
        <v>1828</v>
      </c>
      <c r="I15954">
        <v>0</v>
      </c>
      <c r="J15954">
        <f>IF($H15954=0,1,IF($I15954&lt;=1,2,0))</f>
        <v>2</v>
      </c>
      <c r="K15954">
        <v>5</v>
      </c>
      <c r="L15954">
        <f>IF(AND($J15954=0,$K15954=0),0,1)</f>
        <v>1</v>
      </c>
    </row>
    <row r="15955" spans="1:12" x14ac:dyDescent="0.2">
      <c r="A15955" t="s">
        <v>483</v>
      </c>
      <c r="B15955" t="s">
        <v>71</v>
      </c>
      <c r="C15955" t="s">
        <v>72</v>
      </c>
      <c r="D15955">
        <v>9101</v>
      </c>
      <c r="E15955">
        <v>2021</v>
      </c>
      <c r="F15955">
        <v>3</v>
      </c>
      <c r="G15955">
        <v>16731</v>
      </c>
      <c r="H15955" s="1" t="s">
        <v>1828</v>
      </c>
      <c r="I15955">
        <v>0</v>
      </c>
      <c r="J15955">
        <f>IF($H15955=0,1,IF($I15955&lt;=1,2,0))</f>
        <v>2</v>
      </c>
      <c r="K15955">
        <v>5</v>
      </c>
      <c r="L15955">
        <f>IF(AND($J15955=0,$K15955=0),0,1)</f>
        <v>1</v>
      </c>
    </row>
    <row r="15956" spans="1:12" x14ac:dyDescent="0.2">
      <c r="A15956" t="s">
        <v>483</v>
      </c>
      <c r="B15956" t="s">
        <v>71</v>
      </c>
      <c r="C15956" t="s">
        <v>72</v>
      </c>
      <c r="D15956">
        <v>9101</v>
      </c>
      <c r="E15956">
        <v>2021</v>
      </c>
      <c r="F15956">
        <v>4</v>
      </c>
      <c r="G15956">
        <v>16732</v>
      </c>
      <c r="H15956" s="1" t="s">
        <v>1828</v>
      </c>
      <c r="I15956">
        <v>0</v>
      </c>
      <c r="J15956">
        <f>IF($H15956=0,1,IF($I15956&lt;=1,2,0))</f>
        <v>2</v>
      </c>
      <c r="K15956">
        <v>5</v>
      </c>
      <c r="L15956">
        <f>IF(AND($J15956=0,$K15956=0),0,1)</f>
        <v>1</v>
      </c>
    </row>
    <row r="15957" spans="1:12" x14ac:dyDescent="0.2">
      <c r="A15957" t="s">
        <v>483</v>
      </c>
      <c r="B15957" t="s">
        <v>71</v>
      </c>
      <c r="C15957" t="s">
        <v>72</v>
      </c>
      <c r="D15957">
        <v>9101</v>
      </c>
      <c r="E15957">
        <v>2021</v>
      </c>
      <c r="F15957">
        <v>6</v>
      </c>
      <c r="G15957">
        <v>16734</v>
      </c>
      <c r="H15957" s="1" t="s">
        <v>1828</v>
      </c>
      <c r="I15957">
        <v>0</v>
      </c>
      <c r="J15957">
        <f>IF($H15957=0,1,IF($I15957&lt;=1,2,0))</f>
        <v>2</v>
      </c>
      <c r="K15957">
        <v>5</v>
      </c>
      <c r="L15957">
        <f>IF(AND($J15957=0,$K15957=0),0,1)</f>
        <v>1</v>
      </c>
    </row>
    <row r="15958" spans="1:12" x14ac:dyDescent="0.2">
      <c r="A15958" t="s">
        <v>483</v>
      </c>
      <c r="B15958" t="s">
        <v>71</v>
      </c>
      <c r="C15958" t="s">
        <v>72</v>
      </c>
      <c r="D15958">
        <v>9101</v>
      </c>
      <c r="E15958">
        <v>2021</v>
      </c>
      <c r="F15958">
        <v>7</v>
      </c>
      <c r="G15958">
        <v>16735</v>
      </c>
      <c r="H15958" s="1" t="s">
        <v>1828</v>
      </c>
      <c r="I15958">
        <v>0</v>
      </c>
      <c r="J15958">
        <f>IF($H15958=0,1,IF($I15958&lt;=1,2,0))</f>
        <v>2</v>
      </c>
      <c r="K15958">
        <v>5</v>
      </c>
      <c r="L15958">
        <f>IF(AND($J15958=0,$K15958=0),0,1)</f>
        <v>1</v>
      </c>
    </row>
    <row r="15959" spans="1:12" x14ac:dyDescent="0.2">
      <c r="A15959" t="s">
        <v>483</v>
      </c>
      <c r="B15959" t="s">
        <v>71</v>
      </c>
      <c r="C15959" t="s">
        <v>72</v>
      </c>
      <c r="D15959">
        <v>9101</v>
      </c>
      <c r="E15959">
        <v>2021</v>
      </c>
      <c r="F15959">
        <v>8</v>
      </c>
      <c r="G15959">
        <v>16736</v>
      </c>
      <c r="H15959" s="1" t="s">
        <v>1828</v>
      </c>
      <c r="I15959">
        <v>0</v>
      </c>
      <c r="J15959">
        <f>IF($H15959=0,1,IF($I15959&lt;=1,2,0))</f>
        <v>2</v>
      </c>
      <c r="K15959">
        <v>5</v>
      </c>
      <c r="L15959">
        <f>IF(AND($J15959=0,$K15959=0),0,1)</f>
        <v>1</v>
      </c>
    </row>
    <row r="15960" spans="1:12" x14ac:dyDescent="0.2">
      <c r="A15960" t="s">
        <v>483</v>
      </c>
      <c r="B15960" t="s">
        <v>71</v>
      </c>
      <c r="C15960" t="s">
        <v>72</v>
      </c>
      <c r="D15960">
        <v>9101</v>
      </c>
      <c r="E15960">
        <v>2021</v>
      </c>
      <c r="F15960">
        <v>10</v>
      </c>
      <c r="G15960">
        <v>16738</v>
      </c>
      <c r="H15960" s="1" t="s">
        <v>1828</v>
      </c>
      <c r="I15960">
        <v>0</v>
      </c>
      <c r="J15960">
        <f>IF($H15960=0,1,IF($I15960&lt;=1,2,0))</f>
        <v>2</v>
      </c>
      <c r="K15960">
        <v>5</v>
      </c>
      <c r="L15960">
        <f>IF(AND($J15960=0,$K15960=0),0,1)</f>
        <v>1</v>
      </c>
    </row>
    <row r="15961" spans="1:12" x14ac:dyDescent="0.2">
      <c r="A15961" t="s">
        <v>483</v>
      </c>
      <c r="B15961" t="s">
        <v>71</v>
      </c>
      <c r="C15961" t="s">
        <v>72</v>
      </c>
      <c r="D15961">
        <v>9101</v>
      </c>
      <c r="E15961">
        <v>2021</v>
      </c>
      <c r="F15961">
        <v>13</v>
      </c>
      <c r="G15961">
        <v>16746</v>
      </c>
      <c r="H15961" s="1" t="s">
        <v>1828</v>
      </c>
      <c r="I15961">
        <v>0</v>
      </c>
      <c r="J15961">
        <f>IF($H15961=0,1,IF($I15961&lt;=1,2,0))</f>
        <v>2</v>
      </c>
      <c r="K15961">
        <v>5</v>
      </c>
      <c r="L15961">
        <f>IF(AND($J15961=0,$K15961=0),0,1)</f>
        <v>1</v>
      </c>
    </row>
    <row r="15962" spans="1:12" x14ac:dyDescent="0.2">
      <c r="A15962" t="s">
        <v>483</v>
      </c>
      <c r="B15962" t="s">
        <v>71</v>
      </c>
      <c r="C15962" t="s">
        <v>72</v>
      </c>
      <c r="D15962">
        <v>9101</v>
      </c>
      <c r="E15962">
        <v>2021</v>
      </c>
      <c r="F15962">
        <v>15</v>
      </c>
      <c r="G15962">
        <v>16744</v>
      </c>
      <c r="H15962" s="1" t="s">
        <v>1828</v>
      </c>
      <c r="I15962">
        <v>0</v>
      </c>
      <c r="J15962">
        <f>IF($H15962=0,1,IF($I15962&lt;=1,2,0))</f>
        <v>2</v>
      </c>
      <c r="K15962">
        <v>5</v>
      </c>
      <c r="L15962">
        <f>IF(AND($J15962=0,$K15962=0),0,1)</f>
        <v>1</v>
      </c>
    </row>
    <row r="15963" spans="1:12" x14ac:dyDescent="0.2">
      <c r="A15963" t="s">
        <v>483</v>
      </c>
      <c r="B15963" t="s">
        <v>71</v>
      </c>
      <c r="C15963" t="s">
        <v>72</v>
      </c>
      <c r="D15963">
        <v>9101</v>
      </c>
      <c r="E15963">
        <v>2021</v>
      </c>
      <c r="F15963">
        <v>17</v>
      </c>
      <c r="G15963">
        <v>16742</v>
      </c>
      <c r="H15963" s="1" t="s">
        <v>1828</v>
      </c>
      <c r="I15963">
        <v>0</v>
      </c>
      <c r="J15963">
        <f>IF($H15963=0,1,IF($I15963&lt;=1,2,0))</f>
        <v>2</v>
      </c>
      <c r="K15963">
        <v>5</v>
      </c>
      <c r="L15963">
        <f>IF(AND($J15963=0,$K15963=0),0,1)</f>
        <v>1</v>
      </c>
    </row>
    <row r="15964" spans="1:12" x14ac:dyDescent="0.2">
      <c r="A15964" t="s">
        <v>483</v>
      </c>
      <c r="B15964" t="s">
        <v>71</v>
      </c>
      <c r="C15964" t="s">
        <v>72</v>
      </c>
      <c r="D15964">
        <v>9101</v>
      </c>
      <c r="E15964">
        <v>2021</v>
      </c>
      <c r="F15964">
        <v>19</v>
      </c>
      <c r="G15964">
        <v>16740</v>
      </c>
      <c r="H15964" s="1" t="s">
        <v>1828</v>
      </c>
      <c r="I15964">
        <v>0</v>
      </c>
      <c r="J15964">
        <f>IF($H15964=0,1,IF($I15964&lt;=1,2,0))</f>
        <v>2</v>
      </c>
      <c r="K15964">
        <v>5</v>
      </c>
      <c r="L15964">
        <f>IF(AND($J15964=0,$K15964=0),0,1)</f>
        <v>1</v>
      </c>
    </row>
    <row r="15965" spans="1:12" x14ac:dyDescent="0.2">
      <c r="A15965" t="s">
        <v>483</v>
      </c>
      <c r="B15965" t="s">
        <v>71</v>
      </c>
      <c r="C15965" t="s">
        <v>72</v>
      </c>
      <c r="D15965">
        <v>9101</v>
      </c>
      <c r="E15965">
        <v>2021</v>
      </c>
      <c r="F15965">
        <v>21</v>
      </c>
      <c r="G15965">
        <v>16759</v>
      </c>
      <c r="H15965" s="1" t="s">
        <v>1828</v>
      </c>
      <c r="I15965">
        <v>0</v>
      </c>
      <c r="J15965">
        <f>IF($H15965=0,1,IF($I15965&lt;=1,2,0))</f>
        <v>2</v>
      </c>
      <c r="K15965">
        <v>5</v>
      </c>
      <c r="L15965">
        <f>IF(AND($J15965=0,$K15965=0),0,1)</f>
        <v>1</v>
      </c>
    </row>
    <row r="15966" spans="1:12" x14ac:dyDescent="0.2">
      <c r="A15966" t="s">
        <v>483</v>
      </c>
      <c r="B15966" t="s">
        <v>71</v>
      </c>
      <c r="C15966" t="s">
        <v>72</v>
      </c>
      <c r="D15966">
        <v>9101</v>
      </c>
      <c r="E15966">
        <v>2021</v>
      </c>
      <c r="F15966">
        <v>22</v>
      </c>
      <c r="G15966">
        <v>16758</v>
      </c>
      <c r="H15966" s="1" t="s">
        <v>1828</v>
      </c>
      <c r="I15966">
        <v>0</v>
      </c>
      <c r="J15966">
        <f>IF($H15966=0,1,IF($I15966&lt;=1,2,0))</f>
        <v>2</v>
      </c>
      <c r="K15966">
        <v>5</v>
      </c>
      <c r="L15966">
        <f>IF(AND($J15966=0,$K15966=0),0,1)</f>
        <v>1</v>
      </c>
    </row>
    <row r="15967" spans="1:12" x14ac:dyDescent="0.2">
      <c r="A15967" t="s">
        <v>483</v>
      </c>
      <c r="B15967" t="s">
        <v>71</v>
      </c>
      <c r="C15967" t="s">
        <v>72</v>
      </c>
      <c r="D15967">
        <v>9101</v>
      </c>
      <c r="E15967">
        <v>2021</v>
      </c>
      <c r="F15967">
        <v>23</v>
      </c>
      <c r="G15967">
        <v>16757</v>
      </c>
      <c r="H15967" s="1" t="s">
        <v>1828</v>
      </c>
      <c r="I15967">
        <v>0</v>
      </c>
      <c r="J15967">
        <f>IF($H15967=0,1,IF($I15967&lt;=1,2,0))</f>
        <v>2</v>
      </c>
      <c r="K15967">
        <v>5</v>
      </c>
      <c r="L15967">
        <f>IF(AND($J15967=0,$K15967=0),0,1)</f>
        <v>1</v>
      </c>
    </row>
    <row r="15968" spans="1:12" x14ac:dyDescent="0.2">
      <c r="A15968" t="s">
        <v>483</v>
      </c>
      <c r="B15968" t="s">
        <v>71</v>
      </c>
      <c r="C15968" t="s">
        <v>72</v>
      </c>
      <c r="D15968">
        <v>9101</v>
      </c>
      <c r="E15968">
        <v>2021</v>
      </c>
      <c r="F15968">
        <v>24</v>
      </c>
      <c r="G15968">
        <v>16756</v>
      </c>
      <c r="H15968" s="1" t="s">
        <v>1828</v>
      </c>
      <c r="I15968">
        <v>0</v>
      </c>
      <c r="J15968">
        <f>IF($H15968=0,1,IF($I15968&lt;=1,2,0))</f>
        <v>2</v>
      </c>
      <c r="K15968">
        <v>5</v>
      </c>
      <c r="L15968">
        <f>IF(AND($J15968=0,$K15968=0),0,1)</f>
        <v>1</v>
      </c>
    </row>
    <row r="15969" spans="1:13" x14ac:dyDescent="0.2">
      <c r="A15969" t="s">
        <v>483</v>
      </c>
      <c r="B15969" t="s">
        <v>71</v>
      </c>
      <c r="C15969" t="s">
        <v>72</v>
      </c>
      <c r="D15969">
        <v>9101</v>
      </c>
      <c r="E15969">
        <v>2021</v>
      </c>
      <c r="F15969">
        <v>25</v>
      </c>
      <c r="G15969">
        <v>16755</v>
      </c>
      <c r="H15969" s="1" t="s">
        <v>1828</v>
      </c>
      <c r="I15969">
        <v>0</v>
      </c>
      <c r="J15969">
        <f>IF($H15969=0,1,IF($I15969&lt;=1,2,0))</f>
        <v>2</v>
      </c>
      <c r="K15969">
        <v>5</v>
      </c>
      <c r="L15969">
        <f>IF(AND($J15969=0,$K15969=0),0,1)</f>
        <v>1</v>
      </c>
    </row>
    <row r="15970" spans="1:13" x14ac:dyDescent="0.2">
      <c r="A15970" t="s">
        <v>483</v>
      </c>
      <c r="B15970" t="s">
        <v>71</v>
      </c>
      <c r="C15970" t="s">
        <v>72</v>
      </c>
      <c r="D15970">
        <v>9101</v>
      </c>
      <c r="E15970">
        <v>2021</v>
      </c>
      <c r="F15970">
        <v>27</v>
      </c>
      <c r="G15970">
        <v>16753</v>
      </c>
      <c r="H15970" s="1" t="s">
        <v>1828</v>
      </c>
      <c r="I15970">
        <v>0</v>
      </c>
      <c r="J15970">
        <f>IF($H15970=0,1,IF($I15970&lt;=1,2,0))</f>
        <v>2</v>
      </c>
      <c r="K15970">
        <v>5</v>
      </c>
      <c r="L15970">
        <f>IF(AND($J15970=0,$K15970=0),0,1)</f>
        <v>1</v>
      </c>
    </row>
    <row r="15971" spans="1:13" x14ac:dyDescent="0.2">
      <c r="A15971" t="s">
        <v>483</v>
      </c>
      <c r="B15971" t="s">
        <v>71</v>
      </c>
      <c r="C15971" t="s">
        <v>72</v>
      </c>
      <c r="D15971">
        <v>9101</v>
      </c>
      <c r="E15971">
        <v>2021</v>
      </c>
      <c r="F15971">
        <v>28</v>
      </c>
      <c r="G15971">
        <v>16752</v>
      </c>
      <c r="H15971" s="1" t="s">
        <v>1828</v>
      </c>
      <c r="I15971">
        <v>0</v>
      </c>
      <c r="J15971">
        <f>IF($H15971=0,1,IF($I15971&lt;=1,2,0))</f>
        <v>2</v>
      </c>
      <c r="K15971">
        <v>5</v>
      </c>
      <c r="L15971">
        <f>IF(AND($J15971=0,$K15971=0),0,1)</f>
        <v>1</v>
      </c>
    </row>
    <row r="15972" spans="1:13" x14ac:dyDescent="0.2">
      <c r="A15972" t="s">
        <v>483</v>
      </c>
      <c r="B15972" t="s">
        <v>71</v>
      </c>
      <c r="C15972" t="s">
        <v>72</v>
      </c>
      <c r="D15972">
        <v>9101</v>
      </c>
      <c r="E15972">
        <v>2021</v>
      </c>
      <c r="F15972">
        <v>29</v>
      </c>
      <c r="G15972">
        <v>16751</v>
      </c>
      <c r="H15972" s="1" t="s">
        <v>1828</v>
      </c>
      <c r="I15972">
        <v>0</v>
      </c>
      <c r="J15972">
        <f>IF($H15972=0,1,IF($I15972&lt;=1,2,0))</f>
        <v>2</v>
      </c>
      <c r="K15972">
        <v>5</v>
      </c>
      <c r="L15972">
        <f>IF(AND($J15972=0,$K15972=0),0,1)</f>
        <v>1</v>
      </c>
    </row>
    <row r="15973" spans="1:13" x14ac:dyDescent="0.2">
      <c r="A15973" t="s">
        <v>483</v>
      </c>
      <c r="B15973" t="s">
        <v>71</v>
      </c>
      <c r="C15973" t="s">
        <v>72</v>
      </c>
      <c r="D15973">
        <v>9101</v>
      </c>
      <c r="E15973">
        <v>2021</v>
      </c>
      <c r="F15973">
        <v>31</v>
      </c>
      <c r="G15973">
        <v>16749</v>
      </c>
      <c r="H15973" s="1" t="s">
        <v>1828</v>
      </c>
      <c r="I15973">
        <v>0</v>
      </c>
      <c r="J15973">
        <f>IF($H15973=0,1,IF($I15973&lt;=1,2,0))</f>
        <v>2</v>
      </c>
      <c r="K15973">
        <v>5</v>
      </c>
      <c r="L15973">
        <f>IF(AND($J15973=0,$K15973=0),0,1)</f>
        <v>1</v>
      </c>
    </row>
    <row r="15974" spans="1:13" x14ac:dyDescent="0.2">
      <c r="A15974" t="s">
        <v>498</v>
      </c>
      <c r="B15974" t="s">
        <v>381</v>
      </c>
      <c r="C15974" t="s">
        <v>382</v>
      </c>
      <c r="D15974">
        <v>6004</v>
      </c>
      <c r="E15974">
        <v>2021</v>
      </c>
      <c r="F15974">
        <v>1</v>
      </c>
      <c r="G15974">
        <v>16229</v>
      </c>
      <c r="H15974" s="1">
        <v>1.5</v>
      </c>
      <c r="I15974">
        <v>34</v>
      </c>
      <c r="J15974">
        <f>IF($H15974=0,1,IF($I15974&lt;=1,2,0))</f>
        <v>0</v>
      </c>
      <c r="K15974">
        <v>6</v>
      </c>
      <c r="L15974">
        <f>IF(AND($J15974=0,$K15974=0),0,1)</f>
        <v>1</v>
      </c>
      <c r="M15974" t="s">
        <v>1648</v>
      </c>
    </row>
    <row r="15975" spans="1:13" x14ac:dyDescent="0.2">
      <c r="A15975" t="s">
        <v>498</v>
      </c>
      <c r="B15975" t="s">
        <v>381</v>
      </c>
      <c r="C15975" t="s">
        <v>382</v>
      </c>
      <c r="D15975">
        <v>6005</v>
      </c>
      <c r="E15975">
        <v>2021</v>
      </c>
      <c r="F15975">
        <v>1</v>
      </c>
      <c r="G15975">
        <v>18039</v>
      </c>
      <c r="H15975" s="1">
        <v>1.5</v>
      </c>
      <c r="I15975">
        <v>17</v>
      </c>
      <c r="J15975">
        <f>IF($H15975=0,1,IF($I15975&lt;=1,2,0))</f>
        <v>0</v>
      </c>
      <c r="K15975">
        <v>6</v>
      </c>
      <c r="L15975">
        <f>IF(AND($J15975=0,$K15975=0),0,1)</f>
        <v>1</v>
      </c>
      <c r="M15975" t="s">
        <v>2072</v>
      </c>
    </row>
    <row r="15976" spans="1:13" x14ac:dyDescent="0.2">
      <c r="A15976" t="s">
        <v>498</v>
      </c>
      <c r="B15976" t="s">
        <v>381</v>
      </c>
      <c r="C15976" t="s">
        <v>382</v>
      </c>
      <c r="D15976">
        <v>6006</v>
      </c>
      <c r="E15976">
        <v>2021</v>
      </c>
      <c r="F15976">
        <v>1</v>
      </c>
      <c r="G15976">
        <v>16230</v>
      </c>
      <c r="H15976" s="1">
        <v>3</v>
      </c>
      <c r="I15976">
        <v>34</v>
      </c>
      <c r="J15976">
        <f>IF($H15976=0,1,IF($I15976&lt;=1,2,0))</f>
        <v>0</v>
      </c>
      <c r="K15976">
        <v>6</v>
      </c>
      <c r="L15976">
        <f>IF(AND($J15976=0,$K15976=0),0,1)</f>
        <v>1</v>
      </c>
    </row>
    <row r="15977" spans="1:13" x14ac:dyDescent="0.2">
      <c r="A15977" t="s">
        <v>498</v>
      </c>
      <c r="B15977" t="s">
        <v>381</v>
      </c>
      <c r="C15977" t="s">
        <v>382</v>
      </c>
      <c r="D15977">
        <v>6016</v>
      </c>
      <c r="E15977">
        <v>2021</v>
      </c>
      <c r="F15977">
        <v>1</v>
      </c>
      <c r="G15977">
        <v>16233</v>
      </c>
      <c r="H15977" s="1">
        <v>3</v>
      </c>
      <c r="I15977">
        <v>27</v>
      </c>
      <c r="J15977">
        <f>IF($H15977=0,1,IF($I15977&lt;=1,2,0))</f>
        <v>0</v>
      </c>
      <c r="K15977">
        <v>6</v>
      </c>
      <c r="L15977">
        <f>IF(AND($J15977=0,$K15977=0),0,1)</f>
        <v>1</v>
      </c>
      <c r="M15977" t="s">
        <v>1117</v>
      </c>
    </row>
    <row r="15978" spans="1:13" x14ac:dyDescent="0.2">
      <c r="A15978" t="s">
        <v>498</v>
      </c>
      <c r="B15978" t="s">
        <v>381</v>
      </c>
      <c r="C15978" t="s">
        <v>382</v>
      </c>
      <c r="D15978">
        <v>6016</v>
      </c>
      <c r="E15978">
        <v>2021</v>
      </c>
      <c r="F15978" t="s">
        <v>59</v>
      </c>
      <c r="G15978">
        <v>16234</v>
      </c>
      <c r="H15978" s="1">
        <v>0</v>
      </c>
      <c r="I15978">
        <v>0</v>
      </c>
      <c r="J15978">
        <f>IF($H15978=0,1,IF($I15978&lt;=1,2,0))</f>
        <v>1</v>
      </c>
      <c r="K15978">
        <v>6</v>
      </c>
      <c r="L15978">
        <f>IF(AND($J15978=0,$K15978=0),0,1)</f>
        <v>1</v>
      </c>
      <c r="M15978" t="s">
        <v>384</v>
      </c>
    </row>
    <row r="15979" spans="1:13" x14ac:dyDescent="0.2">
      <c r="A15979" t="s">
        <v>498</v>
      </c>
      <c r="B15979" t="s">
        <v>381</v>
      </c>
      <c r="C15979" t="s">
        <v>382</v>
      </c>
      <c r="D15979">
        <v>6017</v>
      </c>
      <c r="E15979">
        <v>2021</v>
      </c>
      <c r="F15979">
        <v>1</v>
      </c>
      <c r="G15979">
        <v>16235</v>
      </c>
      <c r="H15979" s="1">
        <v>3</v>
      </c>
      <c r="I15979">
        <v>17</v>
      </c>
      <c r="J15979">
        <f>IF($H15979=0,1,IF($I15979&lt;=1,2,0))</f>
        <v>0</v>
      </c>
      <c r="K15979">
        <v>6</v>
      </c>
      <c r="L15979">
        <f>IF(AND($J15979=0,$K15979=0),0,1)</f>
        <v>1</v>
      </c>
      <c r="M15979" t="s">
        <v>500</v>
      </c>
    </row>
    <row r="15980" spans="1:13" x14ac:dyDescent="0.2">
      <c r="A15980" t="s">
        <v>498</v>
      </c>
      <c r="B15980" t="s">
        <v>381</v>
      </c>
      <c r="C15980" t="s">
        <v>382</v>
      </c>
      <c r="D15980">
        <v>6017</v>
      </c>
      <c r="E15980">
        <v>2021</v>
      </c>
      <c r="F15980" t="s">
        <v>59</v>
      </c>
      <c r="G15980">
        <v>16236</v>
      </c>
      <c r="H15980" s="1">
        <v>0</v>
      </c>
      <c r="I15980">
        <v>0</v>
      </c>
      <c r="J15980">
        <f>IF($H15980=0,1,IF($I15980&lt;=1,2,0))</f>
        <v>1</v>
      </c>
      <c r="K15980">
        <v>6</v>
      </c>
      <c r="L15980">
        <f>IF(AND($J15980=0,$K15980=0),0,1)</f>
        <v>1</v>
      </c>
      <c r="M15980" t="s">
        <v>384</v>
      </c>
    </row>
    <row r="15981" spans="1:13" x14ac:dyDescent="0.2">
      <c r="A15981" t="s">
        <v>498</v>
      </c>
      <c r="B15981" t="s">
        <v>381</v>
      </c>
      <c r="C15981" t="s">
        <v>382</v>
      </c>
      <c r="D15981">
        <v>6018</v>
      </c>
      <c r="E15981">
        <v>2021</v>
      </c>
      <c r="F15981">
        <v>1</v>
      </c>
      <c r="G15981">
        <v>16237</v>
      </c>
      <c r="H15981" s="1">
        <v>3</v>
      </c>
      <c r="I15981">
        <v>68</v>
      </c>
      <c r="J15981">
        <f>IF($H15981=0,1,IF($I15981&lt;=1,2,0))</f>
        <v>0</v>
      </c>
      <c r="K15981">
        <v>6</v>
      </c>
      <c r="L15981">
        <f>IF(AND($J15981=0,$K15981=0),0,1)</f>
        <v>1</v>
      </c>
      <c r="M15981" t="s">
        <v>1113</v>
      </c>
    </row>
    <row r="15982" spans="1:13" x14ac:dyDescent="0.2">
      <c r="A15982" t="s">
        <v>498</v>
      </c>
      <c r="B15982" t="s">
        <v>381</v>
      </c>
      <c r="C15982" t="s">
        <v>382</v>
      </c>
      <c r="D15982">
        <v>6018</v>
      </c>
      <c r="E15982">
        <v>2021</v>
      </c>
      <c r="F15982" t="s">
        <v>59</v>
      </c>
      <c r="G15982">
        <v>16238</v>
      </c>
      <c r="H15982" s="1">
        <v>0</v>
      </c>
      <c r="I15982">
        <v>0</v>
      </c>
      <c r="J15982">
        <f>IF($H15982=0,1,IF($I15982&lt;=1,2,0))</f>
        <v>1</v>
      </c>
      <c r="K15982">
        <v>6</v>
      </c>
      <c r="L15982">
        <f>IF(AND($J15982=0,$K15982=0),0,1)</f>
        <v>1</v>
      </c>
      <c r="M15982" t="s">
        <v>384</v>
      </c>
    </row>
    <row r="15983" spans="1:13" x14ac:dyDescent="0.2">
      <c r="A15983" t="s">
        <v>498</v>
      </c>
      <c r="B15983" t="s">
        <v>381</v>
      </c>
      <c r="C15983" t="s">
        <v>382</v>
      </c>
      <c r="D15983">
        <v>6022</v>
      </c>
      <c r="E15983">
        <v>2021</v>
      </c>
      <c r="F15983">
        <v>1</v>
      </c>
      <c r="G15983">
        <v>16240</v>
      </c>
      <c r="H15983" s="1">
        <v>3</v>
      </c>
      <c r="I15983">
        <v>48</v>
      </c>
      <c r="J15983">
        <f>IF($H15983=0,1,IF($I15983&lt;=1,2,0))</f>
        <v>0</v>
      </c>
      <c r="K15983">
        <v>6</v>
      </c>
      <c r="L15983">
        <f>IF(AND($J15983=0,$K15983=0),0,1)</f>
        <v>1</v>
      </c>
    </row>
    <row r="15984" spans="1:13" x14ac:dyDescent="0.2">
      <c r="A15984" t="s">
        <v>498</v>
      </c>
      <c r="B15984" t="s">
        <v>381</v>
      </c>
      <c r="C15984" t="s">
        <v>382</v>
      </c>
      <c r="D15984">
        <v>6022</v>
      </c>
      <c r="E15984">
        <v>2021</v>
      </c>
      <c r="F15984" t="s">
        <v>59</v>
      </c>
      <c r="G15984">
        <v>16242</v>
      </c>
      <c r="H15984" s="1">
        <v>0</v>
      </c>
      <c r="I15984">
        <v>0</v>
      </c>
      <c r="J15984">
        <f>IF($H15984=0,1,IF($I15984&lt;=1,2,0))</f>
        <v>1</v>
      </c>
      <c r="K15984">
        <v>6</v>
      </c>
      <c r="L15984">
        <f>IF(AND($J15984=0,$K15984=0),0,1)</f>
        <v>1</v>
      </c>
      <c r="M15984" t="s">
        <v>384</v>
      </c>
    </row>
    <row r="15985" spans="1:13" x14ac:dyDescent="0.2">
      <c r="A15985" t="s">
        <v>498</v>
      </c>
      <c r="B15985" t="s">
        <v>381</v>
      </c>
      <c r="C15985" t="s">
        <v>382</v>
      </c>
      <c r="D15985">
        <v>6039</v>
      </c>
      <c r="E15985">
        <v>2021</v>
      </c>
      <c r="F15985">
        <v>1</v>
      </c>
      <c r="G15985">
        <v>16241</v>
      </c>
      <c r="H15985" s="1">
        <v>3</v>
      </c>
      <c r="I15985">
        <v>15</v>
      </c>
      <c r="J15985">
        <f>IF($H15985=0,1,IF($I15985&lt;=1,2,0))</f>
        <v>0</v>
      </c>
      <c r="K15985">
        <v>6</v>
      </c>
      <c r="L15985">
        <f>IF(AND($J15985=0,$K15985=0),0,1)</f>
        <v>1</v>
      </c>
    </row>
    <row r="15986" spans="1:13" x14ac:dyDescent="0.2">
      <c r="A15986" t="s">
        <v>498</v>
      </c>
      <c r="B15986" t="s">
        <v>381</v>
      </c>
      <c r="C15986" t="s">
        <v>382</v>
      </c>
      <c r="D15986">
        <v>6040</v>
      </c>
      <c r="E15986">
        <v>2021</v>
      </c>
      <c r="F15986">
        <v>1</v>
      </c>
      <c r="G15986">
        <v>16243</v>
      </c>
      <c r="H15986" s="1">
        <v>3</v>
      </c>
      <c r="I15986">
        <v>31</v>
      </c>
      <c r="J15986">
        <f>IF($H15986=0,1,IF($I15986&lt;=1,2,0))</f>
        <v>0</v>
      </c>
      <c r="K15986">
        <v>6</v>
      </c>
      <c r="L15986">
        <f>IF(AND($J15986=0,$K15986=0),0,1)</f>
        <v>1</v>
      </c>
    </row>
    <row r="15987" spans="1:13" x14ac:dyDescent="0.2">
      <c r="A15987" t="s">
        <v>498</v>
      </c>
      <c r="B15987" t="s">
        <v>381</v>
      </c>
      <c r="C15987" t="s">
        <v>382</v>
      </c>
      <c r="D15987">
        <v>6041</v>
      </c>
      <c r="E15987">
        <v>2021</v>
      </c>
      <c r="F15987">
        <v>1</v>
      </c>
      <c r="G15987">
        <v>16244</v>
      </c>
      <c r="H15987" s="1">
        <v>3</v>
      </c>
      <c r="I15987">
        <v>24</v>
      </c>
      <c r="J15987">
        <f>IF($H15987=0,1,IF($I15987&lt;=1,2,0))</f>
        <v>0</v>
      </c>
      <c r="K15987">
        <v>6</v>
      </c>
      <c r="L15987">
        <f>IF(AND($J15987=0,$K15987=0),0,1)</f>
        <v>1</v>
      </c>
      <c r="M15987" t="s">
        <v>502</v>
      </c>
    </row>
    <row r="15988" spans="1:13" x14ac:dyDescent="0.2">
      <c r="A15988" t="s">
        <v>498</v>
      </c>
      <c r="B15988" t="s">
        <v>381</v>
      </c>
      <c r="C15988" t="s">
        <v>382</v>
      </c>
      <c r="D15988">
        <v>6042</v>
      </c>
      <c r="E15988">
        <v>2021</v>
      </c>
      <c r="F15988">
        <v>1</v>
      </c>
      <c r="G15988">
        <v>16245</v>
      </c>
      <c r="H15988" s="1">
        <v>3</v>
      </c>
      <c r="I15988">
        <v>24</v>
      </c>
      <c r="J15988">
        <f>IF($H15988=0,1,IF($I15988&lt;=1,2,0))</f>
        <v>0</v>
      </c>
      <c r="K15988">
        <v>6</v>
      </c>
      <c r="L15988">
        <f>IF(AND($J15988=0,$K15988=0),0,1)</f>
        <v>1</v>
      </c>
    </row>
    <row r="15989" spans="1:13" x14ac:dyDescent="0.2">
      <c r="A15989" t="s">
        <v>498</v>
      </c>
      <c r="B15989" t="s">
        <v>381</v>
      </c>
      <c r="C15989" t="s">
        <v>382</v>
      </c>
      <c r="D15989">
        <v>6043</v>
      </c>
      <c r="E15989">
        <v>2021</v>
      </c>
      <c r="F15989">
        <v>1</v>
      </c>
      <c r="G15989">
        <v>16246</v>
      </c>
      <c r="H15989" s="1">
        <v>3</v>
      </c>
      <c r="I15989">
        <v>59</v>
      </c>
      <c r="J15989">
        <f>IF($H15989=0,1,IF($I15989&lt;=1,2,0))</f>
        <v>0</v>
      </c>
      <c r="K15989">
        <v>6</v>
      </c>
      <c r="L15989">
        <f>IF(AND($J15989=0,$K15989=0),0,1)</f>
        <v>1</v>
      </c>
      <c r="M15989" t="s">
        <v>503</v>
      </c>
    </row>
    <row r="15990" spans="1:13" x14ac:dyDescent="0.2">
      <c r="A15990" t="s">
        <v>498</v>
      </c>
      <c r="B15990" t="s">
        <v>381</v>
      </c>
      <c r="C15990" t="s">
        <v>382</v>
      </c>
      <c r="D15990">
        <v>6043</v>
      </c>
      <c r="E15990">
        <v>2021</v>
      </c>
      <c r="F15990" t="s">
        <v>59</v>
      </c>
      <c r="G15990">
        <v>16247</v>
      </c>
      <c r="H15990" s="1">
        <v>0</v>
      </c>
      <c r="I15990">
        <v>0</v>
      </c>
      <c r="J15990">
        <f>IF($H15990=0,1,IF($I15990&lt;=1,2,0))</f>
        <v>1</v>
      </c>
      <c r="K15990">
        <v>6</v>
      </c>
      <c r="L15990">
        <f>IF(AND($J15990=0,$K15990=0),0,1)</f>
        <v>1</v>
      </c>
      <c r="M15990" t="s">
        <v>384</v>
      </c>
    </row>
    <row r="15991" spans="1:13" x14ac:dyDescent="0.2">
      <c r="A15991" t="s">
        <v>498</v>
      </c>
      <c r="B15991" t="s">
        <v>381</v>
      </c>
      <c r="C15991" t="s">
        <v>382</v>
      </c>
      <c r="D15991">
        <v>6045</v>
      </c>
      <c r="E15991">
        <v>2021</v>
      </c>
      <c r="F15991">
        <v>2</v>
      </c>
      <c r="G15991">
        <v>16249</v>
      </c>
      <c r="H15991" s="1">
        <v>3</v>
      </c>
      <c r="I15991">
        <v>66</v>
      </c>
      <c r="J15991">
        <f>IF($H15991=0,1,IF($I15991&lt;=1,2,0))</f>
        <v>0</v>
      </c>
      <c r="K15991">
        <v>6</v>
      </c>
      <c r="L15991">
        <f>IF(AND($J15991=0,$K15991=0),0,1)</f>
        <v>1</v>
      </c>
      <c r="M15991" t="s">
        <v>519</v>
      </c>
    </row>
    <row r="15992" spans="1:13" x14ac:dyDescent="0.2">
      <c r="A15992" t="s">
        <v>498</v>
      </c>
      <c r="B15992" t="s">
        <v>381</v>
      </c>
      <c r="C15992" t="s">
        <v>382</v>
      </c>
      <c r="D15992">
        <v>6045</v>
      </c>
      <c r="E15992">
        <v>2021</v>
      </c>
      <c r="F15992">
        <v>1</v>
      </c>
      <c r="G15992">
        <v>16248</v>
      </c>
      <c r="H15992" s="1">
        <v>3</v>
      </c>
      <c r="I15992">
        <v>58</v>
      </c>
      <c r="J15992">
        <f>IF($H15992=0,1,IF($I15992&lt;=1,2,0))</f>
        <v>0</v>
      </c>
      <c r="K15992">
        <v>6</v>
      </c>
      <c r="L15992">
        <f>IF(AND($J15992=0,$K15992=0),0,1)</f>
        <v>1</v>
      </c>
      <c r="M15992" t="s">
        <v>519</v>
      </c>
    </row>
    <row r="15993" spans="1:13" x14ac:dyDescent="0.2">
      <c r="A15993" t="s">
        <v>498</v>
      </c>
      <c r="B15993" t="s">
        <v>381</v>
      </c>
      <c r="C15993" t="s">
        <v>382</v>
      </c>
      <c r="D15993">
        <v>6045</v>
      </c>
      <c r="E15993">
        <v>2021</v>
      </c>
      <c r="F15993" t="s">
        <v>59</v>
      </c>
      <c r="G15993">
        <v>16250</v>
      </c>
      <c r="H15993" s="1">
        <v>0</v>
      </c>
      <c r="I15993">
        <v>0</v>
      </c>
      <c r="J15993">
        <f>IF($H15993=0,1,IF($I15993&lt;=1,2,0))</f>
        <v>1</v>
      </c>
      <c r="K15993">
        <v>6</v>
      </c>
      <c r="L15993">
        <f>IF(AND($J15993=0,$K15993=0),0,1)</f>
        <v>1</v>
      </c>
      <c r="M15993" t="s">
        <v>384</v>
      </c>
    </row>
    <row r="15994" spans="1:13" x14ac:dyDescent="0.2">
      <c r="A15994" t="s">
        <v>498</v>
      </c>
      <c r="B15994" t="s">
        <v>381</v>
      </c>
      <c r="C15994" t="s">
        <v>382</v>
      </c>
      <c r="D15994">
        <v>6045</v>
      </c>
      <c r="E15994">
        <v>2021</v>
      </c>
      <c r="F15994" t="s">
        <v>60</v>
      </c>
      <c r="G15994">
        <v>16251</v>
      </c>
      <c r="H15994" s="1">
        <v>0</v>
      </c>
      <c r="I15994">
        <v>0</v>
      </c>
      <c r="J15994">
        <f>IF($H15994=0,1,IF($I15994&lt;=1,2,0))</f>
        <v>1</v>
      </c>
      <c r="K15994">
        <v>6</v>
      </c>
      <c r="L15994">
        <f>IF(AND($J15994=0,$K15994=0),0,1)</f>
        <v>1</v>
      </c>
      <c r="M15994" t="s">
        <v>384</v>
      </c>
    </row>
    <row r="15995" spans="1:13" x14ac:dyDescent="0.2">
      <c r="A15995" t="s">
        <v>498</v>
      </c>
      <c r="B15995" t="s">
        <v>381</v>
      </c>
      <c r="C15995" t="s">
        <v>382</v>
      </c>
      <c r="D15995">
        <v>6046</v>
      </c>
      <c r="E15995">
        <v>2021</v>
      </c>
      <c r="F15995">
        <v>1</v>
      </c>
      <c r="G15995">
        <v>16252</v>
      </c>
      <c r="H15995" s="1">
        <v>1.5</v>
      </c>
      <c r="I15995">
        <v>20</v>
      </c>
      <c r="J15995">
        <f>IF($H15995=0,1,IF($I15995&lt;=1,2,0))</f>
        <v>0</v>
      </c>
      <c r="K15995">
        <v>6</v>
      </c>
      <c r="L15995">
        <f>IF(AND($J15995=0,$K15995=0),0,1)</f>
        <v>1</v>
      </c>
      <c r="M15995" t="s">
        <v>1649</v>
      </c>
    </row>
    <row r="15996" spans="1:13" x14ac:dyDescent="0.2">
      <c r="A15996" t="s">
        <v>498</v>
      </c>
      <c r="B15996" t="s">
        <v>381</v>
      </c>
      <c r="C15996" t="s">
        <v>382</v>
      </c>
      <c r="D15996">
        <v>6051</v>
      </c>
      <c r="E15996">
        <v>2021</v>
      </c>
      <c r="F15996">
        <v>1</v>
      </c>
      <c r="G15996">
        <v>16253</v>
      </c>
      <c r="H15996" s="1">
        <v>1.5</v>
      </c>
      <c r="I15996">
        <v>49</v>
      </c>
      <c r="J15996">
        <f>IF($H15996=0,1,IF($I15996&lt;=1,2,0))</f>
        <v>0</v>
      </c>
      <c r="K15996">
        <v>6</v>
      </c>
      <c r="L15996">
        <f>IF(AND($J15996=0,$K15996=0),0,1)</f>
        <v>1</v>
      </c>
      <c r="M15996" t="s">
        <v>1650</v>
      </c>
    </row>
    <row r="15997" spans="1:13" x14ac:dyDescent="0.2">
      <c r="A15997" t="s">
        <v>498</v>
      </c>
      <c r="B15997" t="s">
        <v>381</v>
      </c>
      <c r="C15997" t="s">
        <v>382</v>
      </c>
      <c r="D15997">
        <v>6053</v>
      </c>
      <c r="E15997">
        <v>2021</v>
      </c>
      <c r="F15997">
        <v>1</v>
      </c>
      <c r="G15997">
        <v>16254</v>
      </c>
      <c r="H15997" s="1">
        <v>3</v>
      </c>
      <c r="I15997">
        <v>35</v>
      </c>
      <c r="J15997">
        <f>IF($H15997=0,1,IF($I15997&lt;=1,2,0))</f>
        <v>0</v>
      </c>
      <c r="K15997">
        <v>6</v>
      </c>
      <c r="L15997">
        <f>IF(AND($J15997=0,$K15997=0),0,1)</f>
        <v>1</v>
      </c>
    </row>
    <row r="15998" spans="1:13" x14ac:dyDescent="0.2">
      <c r="A15998" t="s">
        <v>498</v>
      </c>
      <c r="B15998" t="s">
        <v>381</v>
      </c>
      <c r="C15998" t="s">
        <v>382</v>
      </c>
      <c r="D15998">
        <v>6061</v>
      </c>
      <c r="E15998">
        <v>2021</v>
      </c>
      <c r="F15998">
        <v>1</v>
      </c>
      <c r="G15998">
        <v>16255</v>
      </c>
      <c r="H15998" s="1">
        <v>3</v>
      </c>
      <c r="I15998">
        <v>34</v>
      </c>
      <c r="J15998">
        <f>IF($H15998=0,1,IF($I15998&lt;=1,2,0))</f>
        <v>0</v>
      </c>
      <c r="K15998">
        <v>6</v>
      </c>
      <c r="L15998">
        <f>IF(AND($J15998=0,$K15998=0),0,1)</f>
        <v>1</v>
      </c>
    </row>
    <row r="15999" spans="1:13" x14ac:dyDescent="0.2">
      <c r="A15999" t="s">
        <v>498</v>
      </c>
      <c r="B15999" t="s">
        <v>381</v>
      </c>
      <c r="C15999" t="s">
        <v>382</v>
      </c>
      <c r="D15999">
        <v>6068</v>
      </c>
      <c r="E15999">
        <v>2021</v>
      </c>
      <c r="F15999">
        <v>1</v>
      </c>
      <c r="G15999">
        <v>16256</v>
      </c>
      <c r="H15999" s="1">
        <v>3</v>
      </c>
      <c r="I15999">
        <v>25</v>
      </c>
      <c r="J15999">
        <f>IF($H15999=0,1,IF($I15999&lt;=1,2,0))</f>
        <v>0</v>
      </c>
      <c r="K15999">
        <v>6</v>
      </c>
      <c r="L15999">
        <f>IF(AND($J15999=0,$K15999=0),0,1)</f>
        <v>1</v>
      </c>
    </row>
    <row r="16000" spans="1:13" x14ac:dyDescent="0.2">
      <c r="A16000" t="s">
        <v>498</v>
      </c>
      <c r="B16000" t="s">
        <v>381</v>
      </c>
      <c r="C16000" t="s">
        <v>382</v>
      </c>
      <c r="D16000">
        <v>6068</v>
      </c>
      <c r="E16000">
        <v>2021</v>
      </c>
      <c r="F16000" t="s">
        <v>59</v>
      </c>
      <c r="G16000">
        <v>16257</v>
      </c>
      <c r="H16000" s="1">
        <v>0</v>
      </c>
      <c r="I16000">
        <v>0</v>
      </c>
      <c r="J16000">
        <f>IF($H16000=0,1,IF($I16000&lt;=1,2,0))</f>
        <v>1</v>
      </c>
      <c r="K16000">
        <v>6</v>
      </c>
      <c r="L16000">
        <f>IF(AND($J16000=0,$K16000=0),0,1)</f>
        <v>1</v>
      </c>
      <c r="M16000" t="s">
        <v>384</v>
      </c>
    </row>
    <row r="16001" spans="1:13" x14ac:dyDescent="0.2">
      <c r="A16001" t="s">
        <v>498</v>
      </c>
      <c r="B16001" t="s">
        <v>381</v>
      </c>
      <c r="C16001" t="s">
        <v>382</v>
      </c>
      <c r="D16001">
        <v>6071</v>
      </c>
      <c r="E16001">
        <v>2021</v>
      </c>
      <c r="F16001">
        <v>1</v>
      </c>
      <c r="G16001">
        <v>16258</v>
      </c>
      <c r="H16001" s="1">
        <v>3</v>
      </c>
      <c r="I16001">
        <v>27</v>
      </c>
      <c r="J16001">
        <f>IF($H16001=0,1,IF($I16001&lt;=1,2,0))</f>
        <v>0</v>
      </c>
      <c r="K16001">
        <v>6</v>
      </c>
      <c r="L16001">
        <f>IF(AND($J16001=0,$K16001=0),0,1)</f>
        <v>1</v>
      </c>
    </row>
    <row r="16002" spans="1:13" x14ac:dyDescent="0.2">
      <c r="A16002" t="s">
        <v>498</v>
      </c>
      <c r="B16002" t="s">
        <v>381</v>
      </c>
      <c r="C16002" t="s">
        <v>382</v>
      </c>
      <c r="D16002">
        <v>6071</v>
      </c>
      <c r="E16002">
        <v>2021</v>
      </c>
      <c r="F16002" t="s">
        <v>59</v>
      </c>
      <c r="G16002">
        <v>16259</v>
      </c>
      <c r="H16002" s="1">
        <v>0</v>
      </c>
      <c r="I16002">
        <v>0</v>
      </c>
      <c r="J16002">
        <f>IF($H16002=0,1,IF($I16002&lt;=1,2,0))</f>
        <v>1</v>
      </c>
      <c r="K16002">
        <v>6</v>
      </c>
      <c r="L16002">
        <f>IF(AND($J16002=0,$K16002=0),0,1)</f>
        <v>1</v>
      </c>
      <c r="M16002" t="s">
        <v>384</v>
      </c>
    </row>
    <row r="16003" spans="1:13" x14ac:dyDescent="0.2">
      <c r="A16003" t="s">
        <v>498</v>
      </c>
      <c r="B16003" t="s">
        <v>381</v>
      </c>
      <c r="C16003" t="s">
        <v>382</v>
      </c>
      <c r="D16003">
        <v>6072</v>
      </c>
      <c r="E16003">
        <v>2021</v>
      </c>
      <c r="F16003">
        <v>1</v>
      </c>
      <c r="G16003">
        <v>16260</v>
      </c>
      <c r="H16003" s="1">
        <v>3</v>
      </c>
      <c r="I16003">
        <v>65</v>
      </c>
      <c r="J16003">
        <f>IF($H16003=0,1,IF($I16003&lt;=1,2,0))</f>
        <v>0</v>
      </c>
      <c r="K16003">
        <v>6</v>
      </c>
      <c r="L16003">
        <f>IF(AND($J16003=0,$K16003=0),0,1)</f>
        <v>1</v>
      </c>
    </row>
    <row r="16004" spans="1:13" x14ac:dyDescent="0.2">
      <c r="A16004" t="s">
        <v>498</v>
      </c>
      <c r="B16004" t="s">
        <v>381</v>
      </c>
      <c r="C16004" t="s">
        <v>382</v>
      </c>
      <c r="D16004">
        <v>6072</v>
      </c>
      <c r="E16004">
        <v>2021</v>
      </c>
      <c r="F16004" t="s">
        <v>59</v>
      </c>
      <c r="G16004">
        <v>16261</v>
      </c>
      <c r="H16004" s="1">
        <v>0</v>
      </c>
      <c r="I16004">
        <v>0</v>
      </c>
      <c r="J16004">
        <f>IF($H16004=0,1,IF($I16004&lt;=1,2,0))</f>
        <v>1</v>
      </c>
      <c r="K16004">
        <v>6</v>
      </c>
      <c r="L16004">
        <f>IF(AND($J16004=0,$K16004=0),0,1)</f>
        <v>1</v>
      </c>
      <c r="M16004" t="s">
        <v>384</v>
      </c>
    </row>
    <row r="16005" spans="1:13" x14ac:dyDescent="0.2">
      <c r="A16005" t="s">
        <v>498</v>
      </c>
      <c r="B16005" t="s">
        <v>381</v>
      </c>
      <c r="C16005" t="s">
        <v>382</v>
      </c>
      <c r="D16005">
        <v>6086</v>
      </c>
      <c r="E16005">
        <v>2021</v>
      </c>
      <c r="F16005">
        <v>1</v>
      </c>
      <c r="G16005">
        <v>16262</v>
      </c>
      <c r="H16005" s="1">
        <v>3</v>
      </c>
      <c r="I16005">
        <v>14</v>
      </c>
      <c r="J16005">
        <f>IF($H16005=0,1,IF($I16005&lt;=1,2,0))</f>
        <v>0</v>
      </c>
      <c r="K16005">
        <v>6</v>
      </c>
      <c r="L16005">
        <f>IF(AND($J16005=0,$K16005=0),0,1)</f>
        <v>1</v>
      </c>
    </row>
    <row r="16006" spans="1:13" x14ac:dyDescent="0.2">
      <c r="A16006" t="s">
        <v>498</v>
      </c>
      <c r="B16006" t="s">
        <v>381</v>
      </c>
      <c r="C16006" t="s">
        <v>382</v>
      </c>
      <c r="D16006">
        <v>6087</v>
      </c>
      <c r="E16006">
        <v>2021</v>
      </c>
      <c r="F16006">
        <v>1</v>
      </c>
      <c r="G16006">
        <v>16263</v>
      </c>
      <c r="H16006" s="1">
        <v>3</v>
      </c>
      <c r="I16006">
        <v>18</v>
      </c>
      <c r="J16006">
        <f>IF($H16006=0,1,IF($I16006&lt;=1,2,0))</f>
        <v>0</v>
      </c>
      <c r="K16006">
        <v>6</v>
      </c>
      <c r="L16006">
        <f>IF(AND($J16006=0,$K16006=0),0,1)</f>
        <v>1</v>
      </c>
    </row>
    <row r="16007" spans="1:13" x14ac:dyDescent="0.2">
      <c r="A16007" t="s">
        <v>498</v>
      </c>
      <c r="B16007" t="s">
        <v>381</v>
      </c>
      <c r="C16007" t="s">
        <v>382</v>
      </c>
      <c r="D16007">
        <v>6095</v>
      </c>
      <c r="E16007">
        <v>2021</v>
      </c>
      <c r="F16007">
        <v>1</v>
      </c>
      <c r="G16007">
        <v>16264</v>
      </c>
      <c r="H16007" s="1">
        <v>3</v>
      </c>
      <c r="I16007">
        <v>8</v>
      </c>
      <c r="J16007">
        <f>IF($H16007=0,1,IF($I16007&lt;=1,2,0))</f>
        <v>0</v>
      </c>
      <c r="K16007">
        <v>6</v>
      </c>
      <c r="L16007">
        <f>IF(AND($J16007=0,$K16007=0),0,1)</f>
        <v>1</v>
      </c>
    </row>
    <row r="16008" spans="1:13" x14ac:dyDescent="0.2">
      <c r="A16008" t="s">
        <v>498</v>
      </c>
      <c r="B16008" t="s">
        <v>381</v>
      </c>
      <c r="C16008" t="s">
        <v>382</v>
      </c>
      <c r="D16008">
        <v>6098</v>
      </c>
      <c r="E16008">
        <v>2021</v>
      </c>
      <c r="F16008">
        <v>1</v>
      </c>
      <c r="G16008">
        <v>16325</v>
      </c>
      <c r="H16008" s="1">
        <v>3</v>
      </c>
      <c r="I16008">
        <v>26</v>
      </c>
      <c r="J16008">
        <f>IF($H16008=0,1,IF($I16008&lt;=1,2,0))</f>
        <v>0</v>
      </c>
      <c r="K16008">
        <v>6</v>
      </c>
      <c r="L16008">
        <f>IF(AND($J16008=0,$K16008=0),0,1)</f>
        <v>1</v>
      </c>
      <c r="M16008" t="s">
        <v>1116</v>
      </c>
    </row>
    <row r="16009" spans="1:13" x14ac:dyDescent="0.2">
      <c r="A16009" t="s">
        <v>498</v>
      </c>
      <c r="B16009" t="s">
        <v>381</v>
      </c>
      <c r="C16009" t="s">
        <v>382</v>
      </c>
      <c r="D16009">
        <v>6114</v>
      </c>
      <c r="E16009">
        <v>2021</v>
      </c>
      <c r="F16009">
        <v>1</v>
      </c>
      <c r="G16009">
        <v>16326</v>
      </c>
      <c r="H16009" s="1">
        <v>3</v>
      </c>
      <c r="I16009">
        <v>13</v>
      </c>
      <c r="J16009">
        <f>IF($H16009=0,1,IF($I16009&lt;=1,2,0))</f>
        <v>0</v>
      </c>
      <c r="K16009">
        <v>6</v>
      </c>
      <c r="L16009">
        <f>IF(AND($J16009=0,$K16009=0),0,1)</f>
        <v>1</v>
      </c>
      <c r="M16009" t="s">
        <v>1651</v>
      </c>
    </row>
    <row r="16010" spans="1:13" x14ac:dyDescent="0.2">
      <c r="A16010" t="s">
        <v>498</v>
      </c>
      <c r="B16010" t="s">
        <v>381</v>
      </c>
      <c r="C16010" t="s">
        <v>382</v>
      </c>
      <c r="D16010">
        <v>6116</v>
      </c>
      <c r="E16010">
        <v>2021</v>
      </c>
      <c r="F16010">
        <v>1</v>
      </c>
      <c r="G16010">
        <v>16328</v>
      </c>
      <c r="H16010" s="1">
        <v>3</v>
      </c>
      <c r="I16010">
        <v>14</v>
      </c>
      <c r="J16010">
        <f>IF($H16010=0,1,IF($I16010&lt;=1,2,0))</f>
        <v>0</v>
      </c>
      <c r="K16010">
        <v>6</v>
      </c>
      <c r="L16010">
        <f>IF(AND($J16010=0,$K16010=0),0,1)</f>
        <v>1</v>
      </c>
      <c r="M16010" t="s">
        <v>1117</v>
      </c>
    </row>
    <row r="16011" spans="1:13" x14ac:dyDescent="0.2">
      <c r="A16011" t="s">
        <v>498</v>
      </c>
      <c r="B16011" t="s">
        <v>381</v>
      </c>
      <c r="C16011" t="s">
        <v>382</v>
      </c>
      <c r="D16011">
        <v>6116</v>
      </c>
      <c r="E16011">
        <v>2021</v>
      </c>
      <c r="F16011" t="s">
        <v>59</v>
      </c>
      <c r="G16011">
        <v>16329</v>
      </c>
      <c r="H16011" s="1">
        <v>0</v>
      </c>
      <c r="I16011">
        <v>0</v>
      </c>
      <c r="J16011">
        <f>IF($H16011=0,1,IF($I16011&lt;=1,2,0))</f>
        <v>1</v>
      </c>
      <c r="K16011">
        <v>6</v>
      </c>
      <c r="L16011">
        <f>IF(AND($J16011=0,$K16011=0),0,1)</f>
        <v>1</v>
      </c>
      <c r="M16011" t="s">
        <v>384</v>
      </c>
    </row>
    <row r="16012" spans="1:13" x14ac:dyDescent="0.2">
      <c r="A16012" t="s">
        <v>498</v>
      </c>
      <c r="B16012" t="s">
        <v>381</v>
      </c>
      <c r="C16012" t="s">
        <v>382</v>
      </c>
      <c r="D16012">
        <v>6122</v>
      </c>
      <c r="E16012">
        <v>2021</v>
      </c>
      <c r="F16012">
        <v>1</v>
      </c>
      <c r="G16012">
        <v>16331</v>
      </c>
      <c r="H16012" s="1">
        <v>3</v>
      </c>
      <c r="I16012">
        <v>14</v>
      </c>
      <c r="J16012">
        <f>IF($H16012=0,1,IF($I16012&lt;=1,2,0))</f>
        <v>0</v>
      </c>
      <c r="K16012">
        <v>6</v>
      </c>
      <c r="L16012">
        <f>IF(AND($J16012=0,$K16012=0),0,1)</f>
        <v>1</v>
      </c>
    </row>
    <row r="16013" spans="1:13" x14ac:dyDescent="0.2">
      <c r="A16013" t="s">
        <v>498</v>
      </c>
      <c r="B16013" t="s">
        <v>381</v>
      </c>
      <c r="C16013" t="s">
        <v>382</v>
      </c>
      <c r="D16013">
        <v>6126</v>
      </c>
      <c r="E16013">
        <v>2021</v>
      </c>
      <c r="F16013">
        <v>1</v>
      </c>
      <c r="G16013">
        <v>17754</v>
      </c>
      <c r="H16013" s="1">
        <v>3</v>
      </c>
      <c r="I16013">
        <v>18</v>
      </c>
      <c r="J16013">
        <f>IF($H16013=0,1,IF($I16013&lt;=1,2,0))</f>
        <v>0</v>
      </c>
      <c r="K16013">
        <v>6</v>
      </c>
      <c r="L16013">
        <f>IF(AND($J16013=0,$K16013=0),0,1)</f>
        <v>1</v>
      </c>
      <c r="M16013" t="s">
        <v>1652</v>
      </c>
    </row>
    <row r="16014" spans="1:13" x14ac:dyDescent="0.2">
      <c r="A16014" t="s">
        <v>498</v>
      </c>
      <c r="B16014" t="s">
        <v>381</v>
      </c>
      <c r="C16014" t="s">
        <v>382</v>
      </c>
      <c r="D16014">
        <v>6128</v>
      </c>
      <c r="E16014">
        <v>2021</v>
      </c>
      <c r="F16014">
        <v>1</v>
      </c>
      <c r="G16014">
        <v>16332</v>
      </c>
      <c r="H16014" s="1">
        <v>1.5</v>
      </c>
      <c r="I16014">
        <v>24</v>
      </c>
      <c r="J16014">
        <f>IF($H16014=0,1,IF($I16014&lt;=1,2,0))</f>
        <v>0</v>
      </c>
      <c r="K16014">
        <v>6</v>
      </c>
      <c r="L16014">
        <f>IF(AND($J16014=0,$K16014=0),0,1)</f>
        <v>1</v>
      </c>
      <c r="M16014" t="s">
        <v>1653</v>
      </c>
    </row>
    <row r="16015" spans="1:13" x14ac:dyDescent="0.2">
      <c r="A16015" t="s">
        <v>498</v>
      </c>
      <c r="B16015" t="s">
        <v>381</v>
      </c>
      <c r="C16015" t="s">
        <v>382</v>
      </c>
      <c r="D16015">
        <v>6129</v>
      </c>
      <c r="E16015">
        <v>2021</v>
      </c>
      <c r="F16015">
        <v>1</v>
      </c>
      <c r="G16015">
        <v>16333</v>
      </c>
      <c r="H16015" s="1">
        <v>3</v>
      </c>
      <c r="I16015">
        <v>18</v>
      </c>
      <c r="J16015">
        <f>IF($H16015=0,1,IF($I16015&lt;=1,2,0))</f>
        <v>0</v>
      </c>
      <c r="K16015">
        <v>6</v>
      </c>
      <c r="L16015">
        <f>IF(AND($J16015=0,$K16015=0),0,1)</f>
        <v>1</v>
      </c>
    </row>
    <row r="16016" spans="1:13" x14ac:dyDescent="0.2">
      <c r="A16016" t="s">
        <v>498</v>
      </c>
      <c r="B16016" t="s">
        <v>381</v>
      </c>
      <c r="C16016" t="s">
        <v>382</v>
      </c>
      <c r="D16016">
        <v>6131</v>
      </c>
      <c r="E16016">
        <v>2021</v>
      </c>
      <c r="F16016">
        <v>1</v>
      </c>
      <c r="G16016">
        <v>16334</v>
      </c>
      <c r="H16016" s="1">
        <v>1.5</v>
      </c>
      <c r="I16016">
        <v>20</v>
      </c>
      <c r="J16016">
        <f>IF($H16016=0,1,IF($I16016&lt;=1,2,0))</f>
        <v>0</v>
      </c>
      <c r="K16016">
        <v>6</v>
      </c>
      <c r="L16016">
        <f>IF(AND($J16016=0,$K16016=0),0,1)</f>
        <v>1</v>
      </c>
      <c r="M16016" t="s">
        <v>1654</v>
      </c>
    </row>
    <row r="16017" spans="1:13" x14ac:dyDescent="0.2">
      <c r="A16017" t="s">
        <v>498</v>
      </c>
      <c r="B16017" t="s">
        <v>381</v>
      </c>
      <c r="C16017" t="s">
        <v>382</v>
      </c>
      <c r="D16017">
        <v>6137</v>
      </c>
      <c r="E16017">
        <v>2021</v>
      </c>
      <c r="F16017">
        <v>1</v>
      </c>
      <c r="G16017">
        <v>16335</v>
      </c>
      <c r="H16017" s="1">
        <v>3</v>
      </c>
      <c r="I16017">
        <v>35</v>
      </c>
      <c r="J16017">
        <f>IF($H16017=0,1,IF($I16017&lt;=1,2,0))</f>
        <v>0</v>
      </c>
      <c r="K16017">
        <v>6</v>
      </c>
      <c r="L16017">
        <f>IF(AND($J16017=0,$K16017=0),0,1)</f>
        <v>1</v>
      </c>
    </row>
    <row r="16018" spans="1:13" x14ac:dyDescent="0.2">
      <c r="A16018" t="s">
        <v>498</v>
      </c>
      <c r="B16018" t="s">
        <v>381</v>
      </c>
      <c r="C16018" t="s">
        <v>382</v>
      </c>
      <c r="D16018">
        <v>6143</v>
      </c>
      <c r="E16018">
        <v>2021</v>
      </c>
      <c r="F16018">
        <v>1</v>
      </c>
      <c r="G16018">
        <v>16336</v>
      </c>
      <c r="H16018" s="1">
        <v>3</v>
      </c>
      <c r="I16018">
        <v>17</v>
      </c>
      <c r="J16018">
        <f>IF($H16018=0,1,IF($I16018&lt;=1,2,0))</f>
        <v>0</v>
      </c>
      <c r="K16018">
        <v>6</v>
      </c>
      <c r="L16018">
        <f>IF(AND($J16018=0,$K16018=0),0,1)</f>
        <v>1</v>
      </c>
    </row>
    <row r="16019" spans="1:13" x14ac:dyDescent="0.2">
      <c r="A16019" t="s">
        <v>498</v>
      </c>
      <c r="B16019" t="s">
        <v>381</v>
      </c>
      <c r="C16019" t="s">
        <v>382</v>
      </c>
      <c r="D16019">
        <v>6173</v>
      </c>
      <c r="E16019">
        <v>2021</v>
      </c>
      <c r="F16019">
        <v>1</v>
      </c>
      <c r="G16019">
        <v>16337</v>
      </c>
      <c r="H16019" s="1">
        <v>3</v>
      </c>
      <c r="I16019">
        <v>30</v>
      </c>
      <c r="J16019">
        <f>IF($H16019=0,1,IF($I16019&lt;=1,2,0))</f>
        <v>0</v>
      </c>
      <c r="K16019">
        <v>6</v>
      </c>
      <c r="L16019">
        <f>IF(AND($J16019=0,$K16019=0),0,1)</f>
        <v>1</v>
      </c>
    </row>
    <row r="16020" spans="1:13" x14ac:dyDescent="0.2">
      <c r="A16020" t="s">
        <v>498</v>
      </c>
      <c r="B16020" t="s">
        <v>381</v>
      </c>
      <c r="C16020" t="s">
        <v>382</v>
      </c>
      <c r="D16020">
        <v>6178</v>
      </c>
      <c r="E16020">
        <v>2021</v>
      </c>
      <c r="F16020">
        <v>2</v>
      </c>
      <c r="G16020">
        <v>16340</v>
      </c>
      <c r="H16020" s="1">
        <v>3</v>
      </c>
      <c r="I16020">
        <v>29</v>
      </c>
      <c r="J16020">
        <f>IF($H16020=0,1,IF($I16020&lt;=1,2,0))</f>
        <v>0</v>
      </c>
      <c r="K16020">
        <v>6</v>
      </c>
      <c r="L16020">
        <f>IF(AND($J16020=0,$K16020=0),0,1)</f>
        <v>1</v>
      </c>
      <c r="M16020" t="s">
        <v>1655</v>
      </c>
    </row>
    <row r="16021" spans="1:13" x14ac:dyDescent="0.2">
      <c r="A16021" t="s">
        <v>498</v>
      </c>
      <c r="B16021" t="s">
        <v>381</v>
      </c>
      <c r="C16021" t="s">
        <v>382</v>
      </c>
      <c r="D16021">
        <v>6178</v>
      </c>
      <c r="E16021">
        <v>2021</v>
      </c>
      <c r="F16021">
        <v>1</v>
      </c>
      <c r="G16021">
        <v>16338</v>
      </c>
      <c r="H16021" s="1">
        <v>3</v>
      </c>
      <c r="I16021">
        <v>24</v>
      </c>
      <c r="J16021">
        <f>IF($H16021=0,1,IF($I16021&lt;=1,2,0))</f>
        <v>0</v>
      </c>
      <c r="K16021">
        <v>6</v>
      </c>
      <c r="L16021">
        <f>IF(AND($J16021=0,$K16021=0),0,1)</f>
        <v>1</v>
      </c>
      <c r="M16021" t="s">
        <v>1655</v>
      </c>
    </row>
    <row r="16022" spans="1:13" x14ac:dyDescent="0.2">
      <c r="A16022" t="s">
        <v>498</v>
      </c>
      <c r="B16022" t="s">
        <v>381</v>
      </c>
      <c r="C16022" t="s">
        <v>382</v>
      </c>
      <c r="D16022">
        <v>6192</v>
      </c>
      <c r="E16022">
        <v>2021</v>
      </c>
      <c r="F16022">
        <v>1</v>
      </c>
      <c r="G16022">
        <v>16343</v>
      </c>
      <c r="H16022" s="1">
        <v>1.5</v>
      </c>
      <c r="I16022">
        <v>12</v>
      </c>
      <c r="J16022">
        <f>IF($H16022=0,1,IF($I16022&lt;=1,2,0))</f>
        <v>0</v>
      </c>
      <c r="K16022">
        <v>6</v>
      </c>
      <c r="L16022">
        <f>IF(AND($J16022=0,$K16022=0),0,1)</f>
        <v>1</v>
      </c>
      <c r="M16022" t="s">
        <v>1656</v>
      </c>
    </row>
    <row r="16023" spans="1:13" x14ac:dyDescent="0.2">
      <c r="A16023" t="s">
        <v>498</v>
      </c>
      <c r="B16023" t="s">
        <v>381</v>
      </c>
      <c r="C16023" t="s">
        <v>382</v>
      </c>
      <c r="D16023">
        <v>6205</v>
      </c>
      <c r="E16023">
        <v>2021</v>
      </c>
      <c r="F16023">
        <v>1</v>
      </c>
      <c r="G16023">
        <v>16918</v>
      </c>
      <c r="H16023" s="1">
        <v>3</v>
      </c>
      <c r="I16023">
        <v>12</v>
      </c>
      <c r="J16023">
        <f>IF($H16023=0,1,IF($I16023&lt;=1,2,0))</f>
        <v>0</v>
      </c>
      <c r="K16023">
        <v>6</v>
      </c>
      <c r="L16023">
        <f>IF(AND($J16023=0,$K16023=0),0,1)</f>
        <v>1</v>
      </c>
    </row>
    <row r="16024" spans="1:13" x14ac:dyDescent="0.2">
      <c r="A16024" t="s">
        <v>498</v>
      </c>
      <c r="B16024" t="s">
        <v>381</v>
      </c>
      <c r="C16024" t="s">
        <v>382</v>
      </c>
      <c r="D16024">
        <v>6209</v>
      </c>
      <c r="E16024">
        <v>2021</v>
      </c>
      <c r="F16024">
        <v>1</v>
      </c>
      <c r="G16024">
        <v>16344</v>
      </c>
      <c r="H16024" s="1">
        <v>3</v>
      </c>
      <c r="I16024">
        <v>28</v>
      </c>
      <c r="J16024">
        <f>IF($H16024=0,1,IF($I16024&lt;=1,2,0))</f>
        <v>0</v>
      </c>
      <c r="K16024">
        <v>6</v>
      </c>
      <c r="L16024">
        <f>IF(AND($J16024=0,$K16024=0),0,1)</f>
        <v>1</v>
      </c>
    </row>
    <row r="16025" spans="1:13" x14ac:dyDescent="0.2">
      <c r="A16025" t="s">
        <v>498</v>
      </c>
      <c r="B16025" t="s">
        <v>381</v>
      </c>
      <c r="C16025" t="s">
        <v>382</v>
      </c>
      <c r="D16025">
        <v>6259</v>
      </c>
      <c r="E16025">
        <v>2021</v>
      </c>
      <c r="F16025">
        <v>1</v>
      </c>
      <c r="G16025">
        <v>16346</v>
      </c>
      <c r="H16025" s="1">
        <v>3</v>
      </c>
      <c r="I16025">
        <v>11</v>
      </c>
      <c r="J16025">
        <f>IF($H16025=0,1,IF($I16025&lt;=1,2,0))</f>
        <v>0</v>
      </c>
      <c r="K16025">
        <v>6</v>
      </c>
      <c r="L16025">
        <f>IF(AND($J16025=0,$K16025=0),0,1)</f>
        <v>1</v>
      </c>
    </row>
    <row r="16026" spans="1:13" x14ac:dyDescent="0.2">
      <c r="A16026" t="s">
        <v>498</v>
      </c>
      <c r="B16026" t="s">
        <v>381</v>
      </c>
      <c r="C16026" t="s">
        <v>382</v>
      </c>
      <c r="D16026">
        <v>6266</v>
      </c>
      <c r="E16026">
        <v>2021</v>
      </c>
      <c r="F16026">
        <v>1</v>
      </c>
      <c r="G16026">
        <v>17657</v>
      </c>
      <c r="H16026" s="1">
        <v>1.5</v>
      </c>
      <c r="I16026">
        <v>21</v>
      </c>
      <c r="J16026">
        <f>IF($H16026=0,1,IF($I16026&lt;=1,2,0))</f>
        <v>0</v>
      </c>
      <c r="K16026">
        <v>6</v>
      </c>
      <c r="L16026">
        <f>IF(AND($J16026=0,$K16026=0),0,1)</f>
        <v>1</v>
      </c>
      <c r="M16026" t="s">
        <v>1656</v>
      </c>
    </row>
    <row r="16027" spans="1:13" x14ac:dyDescent="0.2">
      <c r="A16027" t="s">
        <v>498</v>
      </c>
      <c r="B16027" t="s">
        <v>381</v>
      </c>
      <c r="C16027" t="s">
        <v>382</v>
      </c>
      <c r="D16027">
        <v>6301</v>
      </c>
      <c r="E16027">
        <v>2021</v>
      </c>
      <c r="F16027">
        <v>1</v>
      </c>
      <c r="G16027">
        <v>16349</v>
      </c>
      <c r="H16027" s="1">
        <v>3</v>
      </c>
      <c r="I16027">
        <v>24</v>
      </c>
      <c r="J16027">
        <f>IF($H16027=0,1,IF($I16027&lt;=1,2,0))</f>
        <v>0</v>
      </c>
      <c r="K16027">
        <v>6</v>
      </c>
      <c r="L16027">
        <f>IF(AND($J16027=0,$K16027=0),0,1)</f>
        <v>1</v>
      </c>
    </row>
    <row r="16028" spans="1:13" x14ac:dyDescent="0.2">
      <c r="A16028" t="s">
        <v>498</v>
      </c>
      <c r="B16028" t="s">
        <v>381</v>
      </c>
      <c r="C16028" t="s">
        <v>382</v>
      </c>
      <c r="D16028">
        <v>6301</v>
      </c>
      <c r="E16028">
        <v>2021</v>
      </c>
      <c r="F16028" t="s">
        <v>59</v>
      </c>
      <c r="G16028">
        <v>16350</v>
      </c>
      <c r="H16028" s="1">
        <v>0</v>
      </c>
      <c r="I16028">
        <v>1</v>
      </c>
      <c r="J16028">
        <f>IF($H16028=0,1,IF($I16028&lt;=1,2,0))</f>
        <v>1</v>
      </c>
      <c r="K16028">
        <v>6</v>
      </c>
      <c r="L16028">
        <f>IF(AND($J16028=0,$K16028=0),0,1)</f>
        <v>1</v>
      </c>
      <c r="M16028" t="s">
        <v>384</v>
      </c>
    </row>
    <row r="16029" spans="1:13" x14ac:dyDescent="0.2">
      <c r="A16029" t="s">
        <v>498</v>
      </c>
      <c r="B16029" t="s">
        <v>381</v>
      </c>
      <c r="C16029" t="s">
        <v>382</v>
      </c>
      <c r="D16029">
        <v>6327</v>
      </c>
      <c r="E16029">
        <v>2021</v>
      </c>
      <c r="F16029">
        <v>1</v>
      </c>
      <c r="G16029">
        <v>16351</v>
      </c>
      <c r="H16029" s="1">
        <v>3</v>
      </c>
      <c r="I16029">
        <v>22</v>
      </c>
      <c r="J16029">
        <f>IF($H16029=0,1,IF($I16029&lt;=1,2,0))</f>
        <v>0</v>
      </c>
      <c r="K16029">
        <v>6</v>
      </c>
      <c r="L16029">
        <f>IF(AND($J16029=0,$K16029=0),0,1)</f>
        <v>1</v>
      </c>
    </row>
    <row r="16030" spans="1:13" x14ac:dyDescent="0.2">
      <c r="A16030" t="s">
        <v>498</v>
      </c>
      <c r="B16030" t="s">
        <v>381</v>
      </c>
      <c r="C16030" t="s">
        <v>382</v>
      </c>
      <c r="D16030">
        <v>6344</v>
      </c>
      <c r="E16030">
        <v>2021</v>
      </c>
      <c r="F16030">
        <v>1</v>
      </c>
      <c r="G16030">
        <v>16353</v>
      </c>
      <c r="H16030" s="1">
        <v>3</v>
      </c>
      <c r="I16030">
        <v>17</v>
      </c>
      <c r="J16030">
        <f>IF($H16030=0,1,IF($I16030&lt;=1,2,0))</f>
        <v>0</v>
      </c>
      <c r="K16030">
        <v>6</v>
      </c>
      <c r="L16030">
        <f>IF(AND($J16030=0,$K16030=0),0,1)</f>
        <v>1</v>
      </c>
    </row>
    <row r="16031" spans="1:13" x14ac:dyDescent="0.2">
      <c r="A16031" t="s">
        <v>498</v>
      </c>
      <c r="B16031" t="s">
        <v>381</v>
      </c>
      <c r="C16031" t="s">
        <v>382</v>
      </c>
      <c r="D16031">
        <v>6346</v>
      </c>
      <c r="E16031">
        <v>2021</v>
      </c>
      <c r="F16031">
        <v>1</v>
      </c>
      <c r="G16031">
        <v>16354</v>
      </c>
      <c r="H16031" s="1">
        <v>3</v>
      </c>
      <c r="I16031">
        <v>30</v>
      </c>
      <c r="J16031">
        <f>IF($H16031=0,1,IF($I16031&lt;=1,2,0))</f>
        <v>0</v>
      </c>
      <c r="K16031">
        <v>6</v>
      </c>
      <c r="L16031">
        <f>IF(AND($J16031=0,$K16031=0),0,1)</f>
        <v>1</v>
      </c>
      <c r="M16031" t="s">
        <v>510</v>
      </c>
    </row>
    <row r="16032" spans="1:13" x14ac:dyDescent="0.2">
      <c r="A16032" t="s">
        <v>498</v>
      </c>
      <c r="B16032" t="s">
        <v>381</v>
      </c>
      <c r="C16032" t="s">
        <v>382</v>
      </c>
      <c r="D16032">
        <v>6348</v>
      </c>
      <c r="E16032">
        <v>2021</v>
      </c>
      <c r="F16032">
        <v>1</v>
      </c>
      <c r="G16032">
        <v>16694</v>
      </c>
      <c r="H16032" s="1">
        <v>1.5</v>
      </c>
      <c r="I16032">
        <v>21</v>
      </c>
      <c r="J16032">
        <f>IF($H16032=0,1,IF($I16032&lt;=1,2,0))</f>
        <v>0</v>
      </c>
      <c r="K16032">
        <v>6</v>
      </c>
      <c r="L16032">
        <f>IF(AND($J16032=0,$K16032=0),0,1)</f>
        <v>1</v>
      </c>
      <c r="M16032" t="s">
        <v>1657</v>
      </c>
    </row>
    <row r="16033" spans="1:13" x14ac:dyDescent="0.2">
      <c r="A16033" t="s">
        <v>498</v>
      </c>
      <c r="B16033" t="s">
        <v>381</v>
      </c>
      <c r="C16033" t="s">
        <v>382</v>
      </c>
      <c r="D16033">
        <v>6359</v>
      </c>
      <c r="E16033">
        <v>2021</v>
      </c>
      <c r="F16033">
        <v>1</v>
      </c>
      <c r="G16033">
        <v>16368</v>
      </c>
      <c r="H16033" s="1">
        <v>3</v>
      </c>
      <c r="I16033">
        <v>22</v>
      </c>
      <c r="J16033">
        <f>IF($H16033=0,1,IF($I16033&lt;=1,2,0))</f>
        <v>0</v>
      </c>
      <c r="K16033">
        <v>6</v>
      </c>
      <c r="L16033">
        <f>IF(AND($J16033=0,$K16033=0),0,1)</f>
        <v>1</v>
      </c>
    </row>
    <row r="16034" spans="1:13" x14ac:dyDescent="0.2">
      <c r="A16034" t="s">
        <v>498</v>
      </c>
      <c r="B16034" t="s">
        <v>381</v>
      </c>
      <c r="C16034" t="s">
        <v>382</v>
      </c>
      <c r="D16034">
        <v>6374</v>
      </c>
      <c r="E16034">
        <v>2021</v>
      </c>
      <c r="F16034">
        <v>1</v>
      </c>
      <c r="G16034">
        <v>16373</v>
      </c>
      <c r="H16034" s="1">
        <v>3</v>
      </c>
      <c r="I16034">
        <v>25</v>
      </c>
      <c r="J16034">
        <f>IF($H16034=0,1,IF($I16034&lt;=1,2,0))</f>
        <v>0</v>
      </c>
      <c r="K16034">
        <v>6</v>
      </c>
      <c r="L16034">
        <f>IF(AND($J16034=0,$K16034=0),0,1)</f>
        <v>1</v>
      </c>
    </row>
    <row r="16035" spans="1:13" x14ac:dyDescent="0.2">
      <c r="A16035" t="s">
        <v>498</v>
      </c>
      <c r="B16035" t="s">
        <v>381</v>
      </c>
      <c r="C16035" t="s">
        <v>382</v>
      </c>
      <c r="D16035">
        <v>6375</v>
      </c>
      <c r="E16035">
        <v>2021</v>
      </c>
      <c r="F16035">
        <v>1</v>
      </c>
      <c r="G16035">
        <v>16374</v>
      </c>
      <c r="H16035" s="1">
        <v>1.5</v>
      </c>
      <c r="I16035">
        <v>24</v>
      </c>
      <c r="J16035">
        <f>IF($H16035=0,1,IF($I16035&lt;=1,2,0))</f>
        <v>0</v>
      </c>
      <c r="K16035">
        <v>6</v>
      </c>
      <c r="L16035">
        <f>IF(AND($J16035=0,$K16035=0),0,1)</f>
        <v>1</v>
      </c>
      <c r="M16035" t="s">
        <v>1657</v>
      </c>
    </row>
    <row r="16036" spans="1:13" x14ac:dyDescent="0.2">
      <c r="A16036" t="s">
        <v>498</v>
      </c>
      <c r="B16036" t="s">
        <v>381</v>
      </c>
      <c r="C16036" t="s">
        <v>382</v>
      </c>
      <c r="D16036">
        <v>6388</v>
      </c>
      <c r="E16036">
        <v>2021</v>
      </c>
      <c r="F16036">
        <v>1</v>
      </c>
      <c r="G16036">
        <v>16391</v>
      </c>
      <c r="H16036" s="1">
        <v>3</v>
      </c>
      <c r="I16036">
        <v>18</v>
      </c>
      <c r="J16036">
        <f>IF($H16036=0,1,IF($I16036&lt;=1,2,0))</f>
        <v>0</v>
      </c>
      <c r="K16036">
        <v>6</v>
      </c>
      <c r="L16036">
        <f>IF(AND($J16036=0,$K16036=0),0,1)</f>
        <v>1</v>
      </c>
    </row>
    <row r="16037" spans="1:13" x14ac:dyDescent="0.2">
      <c r="A16037" t="s">
        <v>498</v>
      </c>
      <c r="B16037" t="s">
        <v>381</v>
      </c>
      <c r="C16037" t="s">
        <v>382</v>
      </c>
      <c r="D16037">
        <v>6391</v>
      </c>
      <c r="E16037">
        <v>2021</v>
      </c>
      <c r="F16037">
        <v>1</v>
      </c>
      <c r="G16037">
        <v>16392</v>
      </c>
      <c r="H16037" s="1">
        <v>3</v>
      </c>
      <c r="I16037">
        <v>29</v>
      </c>
      <c r="J16037">
        <f>IF($H16037=0,1,IF($I16037&lt;=1,2,0))</f>
        <v>0</v>
      </c>
      <c r="K16037">
        <v>6</v>
      </c>
      <c r="L16037">
        <f>IF(AND($J16037=0,$K16037=0),0,1)</f>
        <v>1</v>
      </c>
      <c r="M16037" t="s">
        <v>1658</v>
      </c>
    </row>
    <row r="16038" spans="1:13" x14ac:dyDescent="0.2">
      <c r="A16038" t="s">
        <v>498</v>
      </c>
      <c r="B16038" t="s">
        <v>381</v>
      </c>
      <c r="C16038" t="s">
        <v>382</v>
      </c>
      <c r="D16038">
        <v>6394</v>
      </c>
      <c r="E16038">
        <v>2021</v>
      </c>
      <c r="F16038">
        <v>1</v>
      </c>
      <c r="G16038">
        <v>16393</v>
      </c>
      <c r="H16038" s="1">
        <v>3</v>
      </c>
      <c r="I16038">
        <v>21</v>
      </c>
      <c r="J16038">
        <f>IF($H16038=0,1,IF($I16038&lt;=1,2,0))</f>
        <v>0</v>
      </c>
      <c r="K16038">
        <v>6</v>
      </c>
      <c r="L16038">
        <f>IF(AND($J16038=0,$K16038=0),0,1)</f>
        <v>1</v>
      </c>
    </row>
    <row r="16039" spans="1:13" x14ac:dyDescent="0.2">
      <c r="A16039" t="s">
        <v>498</v>
      </c>
      <c r="B16039" t="s">
        <v>381</v>
      </c>
      <c r="C16039" t="s">
        <v>382</v>
      </c>
      <c r="D16039">
        <v>6450</v>
      </c>
      <c r="E16039">
        <v>2021</v>
      </c>
      <c r="F16039">
        <v>1</v>
      </c>
      <c r="G16039">
        <v>17354</v>
      </c>
      <c r="H16039" s="1">
        <v>3</v>
      </c>
      <c r="I16039">
        <v>15</v>
      </c>
      <c r="J16039">
        <f>IF($H16039=0,1,IF($I16039&lt;=1,2,0))</f>
        <v>0</v>
      </c>
      <c r="K16039">
        <v>6</v>
      </c>
      <c r="L16039">
        <f>IF(AND($J16039=0,$K16039=0),0,1)</f>
        <v>1</v>
      </c>
    </row>
    <row r="16040" spans="1:13" x14ac:dyDescent="0.2">
      <c r="A16040" t="s">
        <v>498</v>
      </c>
      <c r="B16040" t="s">
        <v>381</v>
      </c>
      <c r="C16040" t="s">
        <v>382</v>
      </c>
      <c r="D16040">
        <v>6489</v>
      </c>
      <c r="E16040">
        <v>2021</v>
      </c>
      <c r="F16040">
        <v>1</v>
      </c>
      <c r="G16040">
        <v>16394</v>
      </c>
      <c r="H16040" s="1">
        <v>3</v>
      </c>
      <c r="I16040">
        <v>19</v>
      </c>
      <c r="J16040">
        <f>IF($H16040=0,1,IF($I16040&lt;=1,2,0))</f>
        <v>0</v>
      </c>
      <c r="K16040">
        <v>6</v>
      </c>
      <c r="L16040">
        <f>IF(AND($J16040=0,$K16040=0),0,1)</f>
        <v>1</v>
      </c>
    </row>
    <row r="16041" spans="1:13" x14ac:dyDescent="0.2">
      <c r="A16041" t="s">
        <v>498</v>
      </c>
      <c r="B16041" t="s">
        <v>381</v>
      </c>
      <c r="C16041" t="s">
        <v>382</v>
      </c>
      <c r="D16041">
        <v>6490</v>
      </c>
      <c r="E16041">
        <v>2021</v>
      </c>
      <c r="F16041">
        <v>1</v>
      </c>
      <c r="G16041">
        <v>17405</v>
      </c>
      <c r="H16041" s="1">
        <v>3</v>
      </c>
      <c r="I16041">
        <v>17</v>
      </c>
      <c r="J16041">
        <f>IF($H16041=0,1,IF($I16041&lt;=1,2,0))</f>
        <v>0</v>
      </c>
      <c r="K16041">
        <v>6</v>
      </c>
      <c r="L16041">
        <f>IF(AND($J16041=0,$K16041=0),0,1)</f>
        <v>1</v>
      </c>
    </row>
    <row r="16042" spans="1:13" x14ac:dyDescent="0.2">
      <c r="A16042" t="s">
        <v>498</v>
      </c>
      <c r="B16042" t="s">
        <v>381</v>
      </c>
      <c r="C16042" t="s">
        <v>382</v>
      </c>
      <c r="D16042">
        <v>6509</v>
      </c>
      <c r="E16042">
        <v>2021</v>
      </c>
      <c r="F16042">
        <v>1</v>
      </c>
      <c r="G16042">
        <v>16515</v>
      </c>
      <c r="H16042" s="1">
        <v>1.5</v>
      </c>
      <c r="I16042">
        <v>25</v>
      </c>
      <c r="J16042">
        <f>IF($H16042=0,1,IF($I16042&lt;=1,2,0))</f>
        <v>0</v>
      </c>
      <c r="K16042">
        <v>6</v>
      </c>
      <c r="L16042">
        <f>IF(AND($J16042=0,$K16042=0),0,1)</f>
        <v>1</v>
      </c>
      <c r="M16042" t="s">
        <v>1657</v>
      </c>
    </row>
    <row r="16043" spans="1:13" x14ac:dyDescent="0.2">
      <c r="A16043" t="s">
        <v>498</v>
      </c>
      <c r="B16043" t="s">
        <v>381</v>
      </c>
      <c r="C16043" t="s">
        <v>382</v>
      </c>
      <c r="D16043">
        <v>6511</v>
      </c>
      <c r="E16043">
        <v>2021</v>
      </c>
      <c r="F16043">
        <v>1</v>
      </c>
      <c r="G16043">
        <v>16516</v>
      </c>
      <c r="H16043" s="1">
        <v>1.5</v>
      </c>
      <c r="I16043">
        <v>24</v>
      </c>
      <c r="J16043">
        <f>IF($H16043=0,1,IF($I16043&lt;=1,2,0))</f>
        <v>0</v>
      </c>
      <c r="K16043">
        <v>6</v>
      </c>
      <c r="L16043">
        <f>IF(AND($J16043=0,$K16043=0),0,1)</f>
        <v>1</v>
      </c>
      <c r="M16043" t="s">
        <v>1656</v>
      </c>
    </row>
    <row r="16044" spans="1:13" x14ac:dyDescent="0.2">
      <c r="A16044" t="s">
        <v>498</v>
      </c>
      <c r="B16044" t="s">
        <v>381</v>
      </c>
      <c r="C16044" t="s">
        <v>382</v>
      </c>
      <c r="D16044">
        <v>6518</v>
      </c>
      <c r="E16044">
        <v>2021</v>
      </c>
      <c r="F16044">
        <v>1</v>
      </c>
      <c r="G16044">
        <v>16517</v>
      </c>
      <c r="H16044" s="1">
        <v>3</v>
      </c>
      <c r="I16044">
        <v>16</v>
      </c>
      <c r="J16044">
        <f>IF($H16044=0,1,IF($I16044&lt;=1,2,0))</f>
        <v>0</v>
      </c>
      <c r="K16044">
        <v>6</v>
      </c>
      <c r="L16044">
        <f>IF(AND($J16044=0,$K16044=0),0,1)</f>
        <v>1</v>
      </c>
      <c r="M16044" t="s">
        <v>514</v>
      </c>
    </row>
    <row r="16045" spans="1:13" x14ac:dyDescent="0.2">
      <c r="A16045" t="s">
        <v>498</v>
      </c>
      <c r="B16045" t="s">
        <v>381</v>
      </c>
      <c r="C16045" t="s">
        <v>382</v>
      </c>
      <c r="D16045">
        <v>6523</v>
      </c>
      <c r="E16045">
        <v>2021</v>
      </c>
      <c r="F16045">
        <v>1</v>
      </c>
      <c r="G16045">
        <v>16518</v>
      </c>
      <c r="H16045" s="1">
        <v>1.5</v>
      </c>
      <c r="I16045">
        <v>16</v>
      </c>
      <c r="J16045">
        <f>IF($H16045=0,1,IF($I16045&lt;=1,2,0))</f>
        <v>0</v>
      </c>
      <c r="K16045">
        <v>6</v>
      </c>
      <c r="L16045">
        <f>IF(AND($J16045=0,$K16045=0),0,1)</f>
        <v>1</v>
      </c>
      <c r="M16045" t="s">
        <v>1659</v>
      </c>
    </row>
    <row r="16046" spans="1:13" x14ac:dyDescent="0.2">
      <c r="A16046" t="s">
        <v>498</v>
      </c>
      <c r="B16046" t="s">
        <v>381</v>
      </c>
      <c r="C16046" t="s">
        <v>382</v>
      </c>
      <c r="D16046">
        <v>6531</v>
      </c>
      <c r="E16046">
        <v>2021</v>
      </c>
      <c r="F16046">
        <v>1</v>
      </c>
      <c r="G16046">
        <v>16519</v>
      </c>
      <c r="H16046" s="1">
        <v>3</v>
      </c>
      <c r="I16046">
        <v>22</v>
      </c>
      <c r="J16046">
        <f>IF($H16046=0,1,IF($I16046&lt;=1,2,0))</f>
        <v>0</v>
      </c>
      <c r="K16046">
        <v>6</v>
      </c>
      <c r="L16046">
        <f>IF(AND($J16046=0,$K16046=0),0,1)</f>
        <v>1</v>
      </c>
    </row>
    <row r="16047" spans="1:13" x14ac:dyDescent="0.2">
      <c r="A16047" t="s">
        <v>498</v>
      </c>
      <c r="B16047" t="s">
        <v>381</v>
      </c>
      <c r="C16047" t="s">
        <v>382</v>
      </c>
      <c r="D16047">
        <v>6571</v>
      </c>
      <c r="E16047">
        <v>2021</v>
      </c>
      <c r="F16047">
        <v>1</v>
      </c>
      <c r="G16047">
        <v>16521</v>
      </c>
      <c r="H16047" s="1">
        <v>3</v>
      </c>
      <c r="I16047">
        <v>13</v>
      </c>
      <c r="J16047">
        <f>IF($H16047=0,1,IF($I16047&lt;=1,2,0))</f>
        <v>0</v>
      </c>
      <c r="K16047">
        <v>6</v>
      </c>
      <c r="L16047">
        <f>IF(AND($J16047=0,$K16047=0),0,1)</f>
        <v>1</v>
      </c>
    </row>
    <row r="16048" spans="1:13" x14ac:dyDescent="0.2">
      <c r="A16048" t="s">
        <v>498</v>
      </c>
      <c r="B16048" t="s">
        <v>381</v>
      </c>
      <c r="C16048" t="s">
        <v>382</v>
      </c>
      <c r="D16048">
        <v>6600</v>
      </c>
      <c r="E16048">
        <v>2021</v>
      </c>
      <c r="F16048">
        <v>1</v>
      </c>
      <c r="G16048">
        <v>16522</v>
      </c>
      <c r="H16048" s="1">
        <v>3</v>
      </c>
      <c r="I16048">
        <v>4</v>
      </c>
      <c r="J16048">
        <f>IF($H16048=0,1,IF($I16048&lt;=1,2,0))</f>
        <v>0</v>
      </c>
      <c r="K16048">
        <v>6</v>
      </c>
      <c r="L16048">
        <f>IF(AND($J16048=0,$K16048=0),0,1)</f>
        <v>1</v>
      </c>
      <c r="M16048" t="s">
        <v>1660</v>
      </c>
    </row>
    <row r="16049" spans="1:13" x14ac:dyDescent="0.2">
      <c r="A16049" t="s">
        <v>498</v>
      </c>
      <c r="B16049" t="s">
        <v>381</v>
      </c>
      <c r="C16049" t="s">
        <v>382</v>
      </c>
      <c r="D16049">
        <v>6604</v>
      </c>
      <c r="E16049">
        <v>2021</v>
      </c>
      <c r="F16049">
        <v>2</v>
      </c>
      <c r="G16049">
        <v>18114</v>
      </c>
      <c r="H16049" s="1">
        <v>3</v>
      </c>
      <c r="I16049">
        <v>8</v>
      </c>
      <c r="J16049">
        <f>IF($H16049=0,1,IF($I16049&lt;=1,2,0))</f>
        <v>0</v>
      </c>
      <c r="K16049">
        <v>6</v>
      </c>
      <c r="L16049">
        <f>IF(AND($J16049=0,$K16049=0),0,1)</f>
        <v>1</v>
      </c>
    </row>
    <row r="16050" spans="1:13" x14ac:dyDescent="0.2">
      <c r="A16050" t="s">
        <v>498</v>
      </c>
      <c r="B16050" t="s">
        <v>381</v>
      </c>
      <c r="C16050" t="s">
        <v>382</v>
      </c>
      <c r="D16050">
        <v>6604</v>
      </c>
      <c r="E16050">
        <v>2021</v>
      </c>
      <c r="F16050">
        <v>1</v>
      </c>
      <c r="G16050">
        <v>16523</v>
      </c>
      <c r="H16050" s="1">
        <v>3</v>
      </c>
      <c r="I16050">
        <v>7</v>
      </c>
      <c r="J16050">
        <f>IF($H16050=0,1,IF($I16050&lt;=1,2,0))</f>
        <v>0</v>
      </c>
      <c r="K16050">
        <v>6</v>
      </c>
      <c r="L16050">
        <f>IF(AND($J16050=0,$K16050=0),0,1)</f>
        <v>1</v>
      </c>
      <c r="M16050" t="s">
        <v>1125</v>
      </c>
    </row>
    <row r="16051" spans="1:13" x14ac:dyDescent="0.2">
      <c r="A16051" t="s">
        <v>498</v>
      </c>
      <c r="B16051" t="s">
        <v>381</v>
      </c>
      <c r="C16051" t="s">
        <v>382</v>
      </c>
      <c r="D16051">
        <v>6614</v>
      </c>
      <c r="E16051">
        <v>2021</v>
      </c>
      <c r="F16051">
        <v>1</v>
      </c>
      <c r="G16051">
        <v>16524</v>
      </c>
      <c r="H16051" s="1">
        <v>3</v>
      </c>
      <c r="I16051">
        <v>24</v>
      </c>
      <c r="J16051">
        <f>IF($H16051=0,1,IF($I16051&lt;=1,2,0))</f>
        <v>0</v>
      </c>
      <c r="K16051">
        <v>6</v>
      </c>
      <c r="L16051">
        <f>IF(AND($J16051=0,$K16051=0),0,1)</f>
        <v>1</v>
      </c>
      <c r="M16051" t="s">
        <v>1125</v>
      </c>
    </row>
    <row r="16052" spans="1:13" x14ac:dyDescent="0.2">
      <c r="A16052" t="s">
        <v>498</v>
      </c>
      <c r="B16052" t="s">
        <v>381</v>
      </c>
      <c r="C16052" t="s">
        <v>382</v>
      </c>
      <c r="D16052">
        <v>6614</v>
      </c>
      <c r="E16052">
        <v>2021</v>
      </c>
      <c r="F16052" t="s">
        <v>59</v>
      </c>
      <c r="G16052">
        <v>16525</v>
      </c>
      <c r="H16052" s="1">
        <v>0</v>
      </c>
      <c r="I16052">
        <v>0</v>
      </c>
      <c r="J16052">
        <f>IF($H16052=0,1,IF($I16052&lt;=1,2,0))</f>
        <v>1</v>
      </c>
      <c r="K16052">
        <v>6</v>
      </c>
      <c r="L16052">
        <f>IF(AND($J16052=0,$K16052=0),0,1)</f>
        <v>1</v>
      </c>
      <c r="M16052" t="s">
        <v>384</v>
      </c>
    </row>
    <row r="16053" spans="1:13" x14ac:dyDescent="0.2">
      <c r="A16053" t="s">
        <v>498</v>
      </c>
      <c r="B16053" t="s">
        <v>381</v>
      </c>
      <c r="C16053" t="s">
        <v>382</v>
      </c>
      <c r="D16053">
        <v>6680</v>
      </c>
      <c r="E16053">
        <v>2021</v>
      </c>
      <c r="F16053">
        <v>1</v>
      </c>
      <c r="G16053">
        <v>16526</v>
      </c>
      <c r="H16053" s="1">
        <v>3</v>
      </c>
      <c r="I16053">
        <v>19</v>
      </c>
      <c r="J16053">
        <f>IF($H16053=0,1,IF($I16053&lt;=1,2,0))</f>
        <v>0</v>
      </c>
      <c r="K16053">
        <v>6</v>
      </c>
      <c r="L16053">
        <f>IF(AND($J16053=0,$K16053=0),0,1)</f>
        <v>1</v>
      </c>
    </row>
    <row r="16054" spans="1:13" x14ac:dyDescent="0.2">
      <c r="A16054" t="s">
        <v>498</v>
      </c>
      <c r="B16054" t="s">
        <v>381</v>
      </c>
      <c r="C16054" t="s">
        <v>382</v>
      </c>
      <c r="D16054">
        <v>6751</v>
      </c>
      <c r="E16054">
        <v>2021</v>
      </c>
      <c r="F16054">
        <v>1</v>
      </c>
      <c r="G16054">
        <v>16527</v>
      </c>
      <c r="H16054" s="1">
        <v>3</v>
      </c>
      <c r="I16054">
        <v>31</v>
      </c>
      <c r="J16054">
        <f>IF($H16054=0,1,IF($I16054&lt;=1,2,0))</f>
        <v>0</v>
      </c>
      <c r="K16054">
        <v>6</v>
      </c>
      <c r="L16054">
        <f>IF(AND($J16054=0,$K16054=0),0,1)</f>
        <v>1</v>
      </c>
    </row>
    <row r="16055" spans="1:13" x14ac:dyDescent="0.2">
      <c r="A16055" t="s">
        <v>498</v>
      </c>
      <c r="B16055" t="s">
        <v>381</v>
      </c>
      <c r="C16055" t="s">
        <v>382</v>
      </c>
      <c r="D16055">
        <v>6751</v>
      </c>
      <c r="E16055">
        <v>2021</v>
      </c>
      <c r="F16055" t="s">
        <v>59</v>
      </c>
      <c r="G16055">
        <v>16528</v>
      </c>
      <c r="H16055" s="1">
        <v>0</v>
      </c>
      <c r="I16055">
        <v>0</v>
      </c>
      <c r="J16055">
        <f>IF($H16055=0,1,IF($I16055&lt;=1,2,0))</f>
        <v>1</v>
      </c>
      <c r="K16055">
        <v>6</v>
      </c>
      <c r="L16055">
        <f>IF(AND($J16055=0,$K16055=0),0,1)</f>
        <v>1</v>
      </c>
      <c r="M16055" t="s">
        <v>384</v>
      </c>
    </row>
    <row r="16056" spans="1:13" x14ac:dyDescent="0.2">
      <c r="A16056" t="s">
        <v>498</v>
      </c>
      <c r="B16056" t="s">
        <v>381</v>
      </c>
      <c r="C16056" t="s">
        <v>382</v>
      </c>
      <c r="D16056">
        <v>6771</v>
      </c>
      <c r="E16056">
        <v>2021</v>
      </c>
      <c r="F16056">
        <v>1</v>
      </c>
      <c r="G16056">
        <v>16530</v>
      </c>
      <c r="H16056" s="1">
        <v>3</v>
      </c>
      <c r="I16056">
        <v>15</v>
      </c>
      <c r="J16056">
        <f>IF($H16056=0,1,IF($I16056&lt;=1,2,0))</f>
        <v>0</v>
      </c>
      <c r="K16056">
        <v>6</v>
      </c>
      <c r="L16056">
        <f>IF(AND($J16056=0,$K16056=0),0,1)</f>
        <v>1</v>
      </c>
    </row>
    <row r="16057" spans="1:13" x14ac:dyDescent="0.2">
      <c r="A16057" t="s">
        <v>498</v>
      </c>
      <c r="B16057" t="s">
        <v>381</v>
      </c>
      <c r="C16057" t="s">
        <v>382</v>
      </c>
      <c r="D16057">
        <v>6775</v>
      </c>
      <c r="E16057">
        <v>2021</v>
      </c>
      <c r="F16057">
        <v>1</v>
      </c>
      <c r="G16057">
        <v>16532</v>
      </c>
      <c r="H16057" s="1">
        <v>3</v>
      </c>
      <c r="I16057">
        <v>9</v>
      </c>
      <c r="J16057">
        <f>IF($H16057=0,1,IF($I16057&lt;=1,2,0))</f>
        <v>0</v>
      </c>
      <c r="K16057">
        <v>6</v>
      </c>
      <c r="L16057">
        <f>IF(AND($J16057=0,$K16057=0),0,1)</f>
        <v>1</v>
      </c>
    </row>
    <row r="16058" spans="1:13" x14ac:dyDescent="0.2">
      <c r="A16058" t="s">
        <v>498</v>
      </c>
      <c r="B16058" t="s">
        <v>381</v>
      </c>
      <c r="C16058" t="s">
        <v>382</v>
      </c>
      <c r="D16058">
        <v>6792</v>
      </c>
      <c r="E16058">
        <v>2021</v>
      </c>
      <c r="F16058">
        <v>1</v>
      </c>
      <c r="G16058">
        <v>16533</v>
      </c>
      <c r="H16058" s="1">
        <v>3</v>
      </c>
      <c r="I16058">
        <v>18</v>
      </c>
      <c r="J16058">
        <f>IF($H16058=0,1,IF($I16058&lt;=1,2,0))</f>
        <v>0</v>
      </c>
      <c r="K16058">
        <v>6</v>
      </c>
      <c r="L16058">
        <f>IF(AND($J16058=0,$K16058=0),0,1)</f>
        <v>1</v>
      </c>
    </row>
    <row r="16059" spans="1:13" x14ac:dyDescent="0.2">
      <c r="A16059" t="s">
        <v>498</v>
      </c>
      <c r="B16059" t="s">
        <v>381</v>
      </c>
      <c r="C16059" t="s">
        <v>382</v>
      </c>
      <c r="D16059">
        <v>6796</v>
      </c>
      <c r="E16059">
        <v>2021</v>
      </c>
      <c r="F16059">
        <v>1</v>
      </c>
      <c r="G16059">
        <v>16534</v>
      </c>
      <c r="H16059" s="1">
        <v>3</v>
      </c>
      <c r="I16059">
        <v>8</v>
      </c>
      <c r="J16059">
        <f>IF($H16059=0,1,IF($I16059&lt;=1,2,0))</f>
        <v>0</v>
      </c>
      <c r="K16059">
        <v>6</v>
      </c>
      <c r="L16059">
        <f>IF(AND($J16059=0,$K16059=0),0,1)</f>
        <v>1</v>
      </c>
    </row>
    <row r="16060" spans="1:13" x14ac:dyDescent="0.2">
      <c r="A16060" t="s">
        <v>498</v>
      </c>
      <c r="B16060" t="s">
        <v>381</v>
      </c>
      <c r="C16060" t="s">
        <v>382</v>
      </c>
      <c r="D16060">
        <v>6798</v>
      </c>
      <c r="E16060">
        <v>2021</v>
      </c>
      <c r="F16060">
        <v>1</v>
      </c>
      <c r="G16060">
        <v>16535</v>
      </c>
      <c r="H16060" s="1">
        <v>3</v>
      </c>
      <c r="I16060">
        <v>24</v>
      </c>
      <c r="J16060">
        <f>IF($H16060=0,1,IF($I16060&lt;=1,2,0))</f>
        <v>0</v>
      </c>
      <c r="K16060">
        <v>6</v>
      </c>
      <c r="L16060">
        <f>IF(AND($J16060=0,$K16060=0),0,1)</f>
        <v>1</v>
      </c>
    </row>
    <row r="16061" spans="1:13" x14ac:dyDescent="0.2">
      <c r="A16061" t="s">
        <v>498</v>
      </c>
      <c r="B16061" t="s">
        <v>381</v>
      </c>
      <c r="C16061" t="s">
        <v>382</v>
      </c>
      <c r="D16061">
        <v>6802</v>
      </c>
      <c r="E16061">
        <v>2021</v>
      </c>
      <c r="F16061">
        <v>1</v>
      </c>
      <c r="G16061">
        <v>17406</v>
      </c>
      <c r="H16061" s="1">
        <v>3</v>
      </c>
      <c r="I16061">
        <v>23</v>
      </c>
      <c r="J16061">
        <f>IF($H16061=0,1,IF($I16061&lt;=1,2,0))</f>
        <v>0</v>
      </c>
      <c r="K16061">
        <v>6</v>
      </c>
      <c r="L16061">
        <f>IF(AND($J16061=0,$K16061=0),0,1)</f>
        <v>1</v>
      </c>
    </row>
    <row r="16062" spans="1:13" x14ac:dyDescent="0.2">
      <c r="A16062" t="s">
        <v>498</v>
      </c>
      <c r="B16062" t="s">
        <v>381</v>
      </c>
      <c r="C16062" t="s">
        <v>382</v>
      </c>
      <c r="D16062">
        <v>6802</v>
      </c>
      <c r="E16062">
        <v>2021</v>
      </c>
      <c r="F16062" t="s">
        <v>59</v>
      </c>
      <c r="G16062">
        <v>17407</v>
      </c>
      <c r="H16062" s="1">
        <v>0</v>
      </c>
      <c r="I16062">
        <v>0</v>
      </c>
      <c r="J16062">
        <f>IF($H16062=0,1,IF($I16062&lt;=1,2,0))</f>
        <v>1</v>
      </c>
      <c r="K16062">
        <v>6</v>
      </c>
      <c r="L16062">
        <f>IF(AND($J16062=0,$K16062=0),0,1)</f>
        <v>1</v>
      </c>
      <c r="M16062" t="s">
        <v>384</v>
      </c>
    </row>
    <row r="16063" spans="1:13" x14ac:dyDescent="0.2">
      <c r="A16063" t="s">
        <v>498</v>
      </c>
      <c r="B16063" t="s">
        <v>381</v>
      </c>
      <c r="C16063" t="s">
        <v>382</v>
      </c>
      <c r="D16063">
        <v>6820</v>
      </c>
      <c r="E16063">
        <v>2021</v>
      </c>
      <c r="F16063">
        <v>1</v>
      </c>
      <c r="G16063">
        <v>16536</v>
      </c>
      <c r="H16063" s="1">
        <v>3</v>
      </c>
      <c r="I16063">
        <v>56</v>
      </c>
      <c r="J16063">
        <f>IF($H16063=0,1,IF($I16063&lt;=1,2,0))</f>
        <v>0</v>
      </c>
      <c r="K16063">
        <v>6</v>
      </c>
      <c r="L16063">
        <f>IF(AND($J16063=0,$K16063=0),0,1)</f>
        <v>1</v>
      </c>
    </row>
    <row r="16064" spans="1:13" x14ac:dyDescent="0.2">
      <c r="A16064" t="s">
        <v>498</v>
      </c>
      <c r="B16064" t="s">
        <v>381</v>
      </c>
      <c r="C16064" t="s">
        <v>382</v>
      </c>
      <c r="D16064">
        <v>6827</v>
      </c>
      <c r="E16064">
        <v>2021</v>
      </c>
      <c r="F16064">
        <v>2</v>
      </c>
      <c r="G16064">
        <v>16538</v>
      </c>
      <c r="H16064" s="1">
        <v>3</v>
      </c>
      <c r="I16064">
        <v>26</v>
      </c>
      <c r="J16064">
        <f>IF($H16064=0,1,IF($I16064&lt;=1,2,0))</f>
        <v>0</v>
      </c>
      <c r="K16064">
        <v>6</v>
      </c>
      <c r="L16064">
        <f>IF(AND($J16064=0,$K16064=0),0,1)</f>
        <v>1</v>
      </c>
      <c r="M16064" t="s">
        <v>508</v>
      </c>
    </row>
    <row r="16065" spans="1:13" x14ac:dyDescent="0.2">
      <c r="A16065" t="s">
        <v>498</v>
      </c>
      <c r="B16065" t="s">
        <v>381</v>
      </c>
      <c r="C16065" t="s">
        <v>382</v>
      </c>
      <c r="D16065">
        <v>6827</v>
      </c>
      <c r="E16065">
        <v>2021</v>
      </c>
      <c r="F16065">
        <v>1</v>
      </c>
      <c r="G16065">
        <v>16537</v>
      </c>
      <c r="H16065" s="1">
        <v>3</v>
      </c>
      <c r="I16065">
        <v>24</v>
      </c>
      <c r="J16065">
        <f>IF($H16065=0,1,IF($I16065&lt;=1,2,0))</f>
        <v>0</v>
      </c>
      <c r="K16065">
        <v>6</v>
      </c>
      <c r="L16065">
        <f>IF(AND($J16065=0,$K16065=0),0,1)</f>
        <v>1</v>
      </c>
      <c r="M16065" t="s">
        <v>508</v>
      </c>
    </row>
    <row r="16066" spans="1:13" x14ac:dyDescent="0.2">
      <c r="A16066" t="s">
        <v>498</v>
      </c>
      <c r="B16066" t="s">
        <v>381</v>
      </c>
      <c r="C16066" t="s">
        <v>382</v>
      </c>
      <c r="D16066">
        <v>6827</v>
      </c>
      <c r="E16066">
        <v>2021</v>
      </c>
      <c r="F16066">
        <v>3</v>
      </c>
      <c r="G16066">
        <v>16539</v>
      </c>
      <c r="H16066" s="1">
        <v>3</v>
      </c>
      <c r="I16066">
        <v>14</v>
      </c>
      <c r="J16066">
        <f>IF($H16066=0,1,IF($I16066&lt;=1,2,0))</f>
        <v>0</v>
      </c>
      <c r="K16066">
        <v>6</v>
      </c>
      <c r="L16066">
        <f>IF(AND($J16066=0,$K16066=0),0,1)</f>
        <v>1</v>
      </c>
      <c r="M16066" t="s">
        <v>508</v>
      </c>
    </row>
    <row r="16067" spans="1:13" x14ac:dyDescent="0.2">
      <c r="A16067" t="s">
        <v>498</v>
      </c>
      <c r="B16067" t="s">
        <v>381</v>
      </c>
      <c r="C16067" t="s">
        <v>382</v>
      </c>
      <c r="D16067">
        <v>6827</v>
      </c>
      <c r="E16067">
        <v>2021</v>
      </c>
      <c r="F16067" t="s">
        <v>59</v>
      </c>
      <c r="G16067">
        <v>16540</v>
      </c>
      <c r="H16067" s="1">
        <v>0</v>
      </c>
      <c r="I16067">
        <v>0</v>
      </c>
      <c r="J16067">
        <f>IF($H16067=0,1,IF($I16067&lt;=1,2,0))</f>
        <v>1</v>
      </c>
      <c r="K16067">
        <v>6</v>
      </c>
      <c r="L16067">
        <f>IF(AND($J16067=0,$K16067=0),0,1)</f>
        <v>1</v>
      </c>
      <c r="M16067" t="s">
        <v>384</v>
      </c>
    </row>
    <row r="16068" spans="1:13" x14ac:dyDescent="0.2">
      <c r="A16068" t="s">
        <v>498</v>
      </c>
      <c r="B16068" t="s">
        <v>381</v>
      </c>
      <c r="C16068" t="s">
        <v>382</v>
      </c>
      <c r="D16068">
        <v>6827</v>
      </c>
      <c r="E16068">
        <v>2021</v>
      </c>
      <c r="F16068" t="s">
        <v>60</v>
      </c>
      <c r="G16068">
        <v>16541</v>
      </c>
      <c r="H16068" s="1">
        <v>0</v>
      </c>
      <c r="I16068">
        <v>0</v>
      </c>
      <c r="J16068">
        <f>IF($H16068=0,1,IF($I16068&lt;=1,2,0))</f>
        <v>1</v>
      </c>
      <c r="K16068">
        <v>6</v>
      </c>
      <c r="L16068">
        <f>IF(AND($J16068=0,$K16068=0),0,1)</f>
        <v>1</v>
      </c>
      <c r="M16068" t="s">
        <v>384</v>
      </c>
    </row>
    <row r="16069" spans="1:13" x14ac:dyDescent="0.2">
      <c r="A16069" t="s">
        <v>498</v>
      </c>
      <c r="B16069" t="s">
        <v>381</v>
      </c>
      <c r="C16069" t="s">
        <v>382</v>
      </c>
      <c r="D16069">
        <v>6827</v>
      </c>
      <c r="E16069">
        <v>2021</v>
      </c>
      <c r="F16069" t="s">
        <v>77</v>
      </c>
      <c r="G16069">
        <v>16542</v>
      </c>
      <c r="H16069" s="1">
        <v>0</v>
      </c>
      <c r="I16069">
        <v>0</v>
      </c>
      <c r="J16069">
        <f>IF($H16069=0,1,IF($I16069&lt;=1,2,0))</f>
        <v>1</v>
      </c>
      <c r="K16069">
        <v>6</v>
      </c>
      <c r="L16069">
        <f>IF(AND($J16069=0,$K16069=0),0,1)</f>
        <v>1</v>
      </c>
      <c r="M16069" t="s">
        <v>384</v>
      </c>
    </row>
    <row r="16070" spans="1:13" x14ac:dyDescent="0.2">
      <c r="A16070" t="s">
        <v>498</v>
      </c>
      <c r="B16070" t="s">
        <v>381</v>
      </c>
      <c r="C16070" t="s">
        <v>382</v>
      </c>
      <c r="D16070">
        <v>6848</v>
      </c>
      <c r="E16070">
        <v>2021</v>
      </c>
      <c r="F16070">
        <v>1</v>
      </c>
      <c r="G16070">
        <v>16543</v>
      </c>
      <c r="H16070" s="1">
        <v>1.5</v>
      </c>
      <c r="I16070">
        <v>17</v>
      </c>
      <c r="J16070">
        <f>IF($H16070=0,1,IF($I16070&lt;=1,2,0))</f>
        <v>0</v>
      </c>
      <c r="K16070">
        <v>6</v>
      </c>
      <c r="L16070">
        <f>IF(AND($J16070=0,$K16070=0),0,1)</f>
        <v>1</v>
      </c>
      <c r="M16070" t="s">
        <v>1661</v>
      </c>
    </row>
    <row r="16071" spans="1:13" x14ac:dyDescent="0.2">
      <c r="A16071" t="s">
        <v>498</v>
      </c>
      <c r="B16071" t="s">
        <v>381</v>
      </c>
      <c r="C16071" t="s">
        <v>382</v>
      </c>
      <c r="D16071">
        <v>6858</v>
      </c>
      <c r="E16071">
        <v>2021</v>
      </c>
      <c r="F16071">
        <v>1</v>
      </c>
      <c r="G16071">
        <v>16544</v>
      </c>
      <c r="H16071" s="1">
        <v>1.5</v>
      </c>
      <c r="I16071">
        <v>13</v>
      </c>
      <c r="J16071">
        <f>IF($H16071=0,1,IF($I16071&lt;=1,2,0))</f>
        <v>0</v>
      </c>
      <c r="K16071">
        <v>6</v>
      </c>
      <c r="L16071">
        <f>IF(AND($J16071=0,$K16071=0),0,1)</f>
        <v>1</v>
      </c>
      <c r="M16071" t="s">
        <v>1650</v>
      </c>
    </row>
    <row r="16072" spans="1:13" x14ac:dyDescent="0.2">
      <c r="A16072" t="s">
        <v>498</v>
      </c>
      <c r="B16072" t="s">
        <v>381</v>
      </c>
      <c r="C16072" t="s">
        <v>382</v>
      </c>
      <c r="D16072">
        <v>6874</v>
      </c>
      <c r="E16072">
        <v>2021</v>
      </c>
      <c r="F16072">
        <v>4</v>
      </c>
      <c r="G16072">
        <v>17650</v>
      </c>
      <c r="H16072" s="1">
        <v>3</v>
      </c>
      <c r="I16072">
        <v>22</v>
      </c>
      <c r="J16072">
        <f>IF($H16072=0,1,IF($I16072&lt;=1,2,0))</f>
        <v>0</v>
      </c>
      <c r="K16072">
        <v>6</v>
      </c>
      <c r="L16072">
        <f>IF(AND($J16072=0,$K16072=0),0,1)</f>
        <v>1</v>
      </c>
    </row>
    <row r="16073" spans="1:13" x14ac:dyDescent="0.2">
      <c r="A16073" t="s">
        <v>498</v>
      </c>
      <c r="B16073" t="s">
        <v>381</v>
      </c>
      <c r="C16073" t="s">
        <v>382</v>
      </c>
      <c r="D16073">
        <v>6874</v>
      </c>
      <c r="E16073">
        <v>2021</v>
      </c>
      <c r="F16073">
        <v>2</v>
      </c>
      <c r="G16073">
        <v>17648</v>
      </c>
      <c r="H16073" s="1">
        <v>3</v>
      </c>
      <c r="I16073">
        <v>21</v>
      </c>
      <c r="J16073">
        <f>IF($H16073=0,1,IF($I16073&lt;=1,2,0))</f>
        <v>0</v>
      </c>
      <c r="K16073">
        <v>6</v>
      </c>
      <c r="L16073">
        <f>IF(AND($J16073=0,$K16073=0),0,1)</f>
        <v>1</v>
      </c>
    </row>
    <row r="16074" spans="1:13" x14ac:dyDescent="0.2">
      <c r="A16074" t="s">
        <v>498</v>
      </c>
      <c r="B16074" t="s">
        <v>381</v>
      </c>
      <c r="C16074" t="s">
        <v>382</v>
      </c>
      <c r="D16074">
        <v>6874</v>
      </c>
      <c r="E16074">
        <v>2021</v>
      </c>
      <c r="F16074">
        <v>3</v>
      </c>
      <c r="G16074">
        <v>17649</v>
      </c>
      <c r="H16074" s="1">
        <v>3</v>
      </c>
      <c r="I16074">
        <v>21</v>
      </c>
      <c r="J16074">
        <f>IF($H16074=0,1,IF($I16074&lt;=1,2,0))</f>
        <v>0</v>
      </c>
      <c r="K16074">
        <v>6</v>
      </c>
      <c r="L16074">
        <f>IF(AND($J16074=0,$K16074=0),0,1)</f>
        <v>1</v>
      </c>
    </row>
    <row r="16075" spans="1:13" x14ac:dyDescent="0.2">
      <c r="A16075" t="s">
        <v>498</v>
      </c>
      <c r="B16075" t="s">
        <v>381</v>
      </c>
      <c r="C16075" t="s">
        <v>382</v>
      </c>
      <c r="D16075">
        <v>6874</v>
      </c>
      <c r="E16075">
        <v>2021</v>
      </c>
      <c r="F16075">
        <v>1</v>
      </c>
      <c r="G16075">
        <v>16549</v>
      </c>
      <c r="H16075" s="1">
        <v>3</v>
      </c>
      <c r="I16075">
        <v>19</v>
      </c>
      <c r="J16075">
        <f>IF($H16075=0,1,IF($I16075&lt;=1,2,0))</f>
        <v>0</v>
      </c>
      <c r="K16075">
        <v>6</v>
      </c>
      <c r="L16075">
        <f>IF(AND($J16075=0,$K16075=0),0,1)</f>
        <v>1</v>
      </c>
    </row>
    <row r="16076" spans="1:13" x14ac:dyDescent="0.2">
      <c r="A16076" t="s">
        <v>498</v>
      </c>
      <c r="B16076" t="s">
        <v>381</v>
      </c>
      <c r="C16076" t="s">
        <v>382</v>
      </c>
      <c r="D16076">
        <v>6876</v>
      </c>
      <c r="E16076">
        <v>2021</v>
      </c>
      <c r="F16076">
        <v>1</v>
      </c>
      <c r="G16076">
        <v>17408</v>
      </c>
      <c r="H16076" s="1">
        <v>1.5</v>
      </c>
      <c r="I16076">
        <v>10</v>
      </c>
      <c r="J16076">
        <f>IF($H16076=0,1,IF($I16076&lt;=1,2,0))</f>
        <v>0</v>
      </c>
      <c r="K16076">
        <v>6</v>
      </c>
      <c r="L16076">
        <f>IF(AND($J16076=0,$K16076=0),0,1)</f>
        <v>1</v>
      </c>
      <c r="M16076" t="s">
        <v>1650</v>
      </c>
    </row>
    <row r="16077" spans="1:13" x14ac:dyDescent="0.2">
      <c r="A16077" t="s">
        <v>498</v>
      </c>
      <c r="B16077" t="s">
        <v>381</v>
      </c>
      <c r="C16077" t="s">
        <v>382</v>
      </c>
      <c r="D16077">
        <v>6889</v>
      </c>
      <c r="E16077">
        <v>2021</v>
      </c>
      <c r="F16077">
        <v>1</v>
      </c>
      <c r="G16077">
        <v>17412</v>
      </c>
      <c r="H16077" s="1">
        <v>3</v>
      </c>
      <c r="I16077">
        <v>25</v>
      </c>
      <c r="J16077">
        <f>IF($H16077=0,1,IF($I16077&lt;=1,2,0))</f>
        <v>0</v>
      </c>
      <c r="K16077">
        <v>6</v>
      </c>
      <c r="L16077">
        <f>IF(AND($J16077=0,$K16077=0),0,1)</f>
        <v>1</v>
      </c>
    </row>
    <row r="16078" spans="1:13" x14ac:dyDescent="0.2">
      <c r="A16078" t="s">
        <v>498</v>
      </c>
      <c r="B16078" t="s">
        <v>381</v>
      </c>
      <c r="C16078" t="s">
        <v>382</v>
      </c>
      <c r="D16078">
        <v>6905</v>
      </c>
      <c r="E16078">
        <v>2021</v>
      </c>
      <c r="F16078">
        <v>1</v>
      </c>
      <c r="G16078">
        <v>16563</v>
      </c>
      <c r="H16078" s="1">
        <v>1.5</v>
      </c>
      <c r="I16078">
        <v>14</v>
      </c>
      <c r="J16078">
        <f>IF($H16078=0,1,IF($I16078&lt;=1,2,0))</f>
        <v>0</v>
      </c>
      <c r="K16078">
        <v>6</v>
      </c>
      <c r="L16078">
        <f>IF(AND($J16078=0,$K16078=0),0,1)</f>
        <v>1</v>
      </c>
      <c r="M16078" t="s">
        <v>1661</v>
      </c>
    </row>
    <row r="16079" spans="1:13" x14ac:dyDescent="0.2">
      <c r="A16079" t="s">
        <v>498</v>
      </c>
      <c r="B16079" t="s">
        <v>381</v>
      </c>
      <c r="C16079" t="s">
        <v>382</v>
      </c>
      <c r="D16079">
        <v>6906</v>
      </c>
      <c r="E16079">
        <v>2021</v>
      </c>
      <c r="F16079">
        <v>1</v>
      </c>
      <c r="G16079">
        <v>16565</v>
      </c>
      <c r="H16079" s="1">
        <v>3</v>
      </c>
      <c r="I16079">
        <v>20</v>
      </c>
      <c r="J16079">
        <f>IF($H16079=0,1,IF($I16079&lt;=1,2,0))</f>
        <v>0</v>
      </c>
      <c r="K16079">
        <v>6</v>
      </c>
      <c r="L16079">
        <f>IF(AND($J16079=0,$K16079=0),0,1)</f>
        <v>1</v>
      </c>
    </row>
    <row r="16080" spans="1:13" x14ac:dyDescent="0.2">
      <c r="A16080" t="s">
        <v>498</v>
      </c>
      <c r="B16080" t="s">
        <v>381</v>
      </c>
      <c r="C16080" t="s">
        <v>382</v>
      </c>
      <c r="D16080">
        <v>6908</v>
      </c>
      <c r="E16080">
        <v>2021</v>
      </c>
      <c r="F16080">
        <v>1</v>
      </c>
      <c r="G16080">
        <v>17403</v>
      </c>
      <c r="H16080" s="1">
        <v>1.5</v>
      </c>
      <c r="I16080">
        <v>22</v>
      </c>
      <c r="J16080">
        <f>IF($H16080=0,1,IF($I16080&lt;=1,2,0))</f>
        <v>0</v>
      </c>
      <c r="K16080">
        <v>6</v>
      </c>
      <c r="L16080">
        <f>IF(AND($J16080=0,$K16080=0),0,1)</f>
        <v>1</v>
      </c>
      <c r="M16080" t="s">
        <v>1661</v>
      </c>
    </row>
    <row r="16081" spans="1:13" x14ac:dyDescent="0.2">
      <c r="A16081" t="s">
        <v>498</v>
      </c>
      <c r="B16081" t="s">
        <v>381</v>
      </c>
      <c r="C16081" t="s">
        <v>382</v>
      </c>
      <c r="D16081">
        <v>6946</v>
      </c>
      <c r="E16081">
        <v>2021</v>
      </c>
      <c r="F16081">
        <v>1</v>
      </c>
      <c r="G16081">
        <v>16578</v>
      </c>
      <c r="H16081" s="1">
        <v>1.5</v>
      </c>
      <c r="I16081">
        <v>19</v>
      </c>
      <c r="J16081">
        <f>IF($H16081=0,1,IF($I16081&lt;=1,2,0))</f>
        <v>0</v>
      </c>
      <c r="K16081">
        <v>6</v>
      </c>
      <c r="L16081">
        <f>IF(AND($J16081=0,$K16081=0),0,1)</f>
        <v>1</v>
      </c>
      <c r="M16081" t="s">
        <v>1662</v>
      </c>
    </row>
    <row r="16082" spans="1:13" x14ac:dyDescent="0.2">
      <c r="A16082" t="s">
        <v>498</v>
      </c>
      <c r="B16082" t="s">
        <v>381</v>
      </c>
      <c r="C16082" t="s">
        <v>382</v>
      </c>
      <c r="D16082">
        <v>6950</v>
      </c>
      <c r="E16082">
        <v>2021</v>
      </c>
      <c r="F16082">
        <v>1</v>
      </c>
      <c r="G16082">
        <v>16584</v>
      </c>
      <c r="H16082" s="1">
        <v>3</v>
      </c>
      <c r="I16082">
        <v>13</v>
      </c>
      <c r="J16082">
        <f>IF($H16082=0,1,IF($I16082&lt;=1,2,0))</f>
        <v>0</v>
      </c>
      <c r="K16082">
        <v>6</v>
      </c>
      <c r="L16082">
        <f>IF(AND($J16082=0,$K16082=0),0,1)</f>
        <v>1</v>
      </c>
    </row>
    <row r="16083" spans="1:13" x14ac:dyDescent="0.2">
      <c r="A16083" t="s">
        <v>498</v>
      </c>
      <c r="B16083" t="s">
        <v>381</v>
      </c>
      <c r="C16083" t="s">
        <v>382</v>
      </c>
      <c r="D16083">
        <v>6950</v>
      </c>
      <c r="E16083">
        <v>2021</v>
      </c>
      <c r="F16083">
        <v>2</v>
      </c>
      <c r="G16083">
        <v>16586</v>
      </c>
      <c r="H16083" s="1">
        <v>3</v>
      </c>
      <c r="I16083">
        <v>12</v>
      </c>
      <c r="J16083">
        <f>IF($H16083=0,1,IF($I16083&lt;=1,2,0))</f>
        <v>0</v>
      </c>
      <c r="K16083">
        <v>6</v>
      </c>
      <c r="L16083">
        <f>IF(AND($J16083=0,$K16083=0),0,1)</f>
        <v>1</v>
      </c>
    </row>
    <row r="16084" spans="1:13" x14ac:dyDescent="0.2">
      <c r="A16084" t="s">
        <v>498</v>
      </c>
      <c r="B16084" t="s">
        <v>381</v>
      </c>
      <c r="C16084" t="s">
        <v>382</v>
      </c>
      <c r="D16084">
        <v>8085</v>
      </c>
      <c r="E16084">
        <v>2021</v>
      </c>
      <c r="F16084">
        <v>1</v>
      </c>
      <c r="G16084">
        <v>16598</v>
      </c>
      <c r="H16084" s="1">
        <v>1.5</v>
      </c>
      <c r="I16084">
        <v>9</v>
      </c>
      <c r="J16084">
        <f>IF($H16084=0,1,IF($I16084&lt;=1,2,0))</f>
        <v>0</v>
      </c>
      <c r="K16084">
        <v>6</v>
      </c>
      <c r="L16084">
        <f>IF(AND($J16084=0,$K16084=0),0,1)</f>
        <v>1</v>
      </c>
      <c r="M16084" t="s">
        <v>1663</v>
      </c>
    </row>
    <row r="16085" spans="1:13" x14ac:dyDescent="0.2">
      <c r="A16085" t="s">
        <v>498</v>
      </c>
      <c r="B16085" t="s">
        <v>381</v>
      </c>
      <c r="C16085" t="s">
        <v>382</v>
      </c>
      <c r="D16085">
        <v>8095</v>
      </c>
      <c r="E16085">
        <v>2021</v>
      </c>
      <c r="F16085">
        <v>1</v>
      </c>
      <c r="G16085">
        <v>16601</v>
      </c>
      <c r="H16085" s="1">
        <v>3</v>
      </c>
      <c r="I16085">
        <v>9</v>
      </c>
      <c r="J16085">
        <f>IF($H16085=0,1,IF($I16085&lt;=1,2,0))</f>
        <v>0</v>
      </c>
      <c r="K16085">
        <v>6</v>
      </c>
      <c r="L16085">
        <f>IF(AND($J16085=0,$K16085=0),0,1)</f>
        <v>1</v>
      </c>
    </row>
    <row r="16086" spans="1:13" x14ac:dyDescent="0.2">
      <c r="A16086" t="s">
        <v>498</v>
      </c>
      <c r="B16086" t="s">
        <v>381</v>
      </c>
      <c r="C16086" t="s">
        <v>382</v>
      </c>
      <c r="D16086">
        <v>8104</v>
      </c>
      <c r="E16086">
        <v>2021</v>
      </c>
      <c r="F16086">
        <v>1</v>
      </c>
      <c r="G16086">
        <v>16602</v>
      </c>
      <c r="H16086" s="1">
        <v>3</v>
      </c>
      <c r="I16086">
        <v>12</v>
      </c>
      <c r="J16086">
        <f>IF($H16086=0,1,IF($I16086&lt;=1,2,0))</f>
        <v>0</v>
      </c>
      <c r="K16086">
        <v>6</v>
      </c>
      <c r="L16086">
        <f>IF(AND($J16086=0,$K16086=0),0,1)</f>
        <v>1</v>
      </c>
    </row>
    <row r="16087" spans="1:13" x14ac:dyDescent="0.2">
      <c r="A16087" t="s">
        <v>498</v>
      </c>
      <c r="B16087" t="s">
        <v>381</v>
      </c>
      <c r="C16087" t="s">
        <v>382</v>
      </c>
      <c r="D16087">
        <v>8147</v>
      </c>
      <c r="E16087">
        <v>2021</v>
      </c>
      <c r="F16087">
        <v>1</v>
      </c>
      <c r="G16087">
        <v>16605</v>
      </c>
      <c r="H16087" s="1">
        <v>3</v>
      </c>
      <c r="I16087">
        <v>22</v>
      </c>
      <c r="J16087">
        <f>IF($H16087=0,1,IF($I16087&lt;=1,2,0))</f>
        <v>0</v>
      </c>
      <c r="K16087">
        <v>6</v>
      </c>
      <c r="L16087">
        <f>IF(AND($J16087=0,$K16087=0),0,1)</f>
        <v>1</v>
      </c>
      <c r="M16087" t="s">
        <v>519</v>
      </c>
    </row>
    <row r="16088" spans="1:13" x14ac:dyDescent="0.2">
      <c r="A16088" t="s">
        <v>498</v>
      </c>
      <c r="B16088" t="s">
        <v>381</v>
      </c>
      <c r="C16088" t="s">
        <v>382</v>
      </c>
      <c r="D16088">
        <v>8166</v>
      </c>
      <c r="E16088">
        <v>2021</v>
      </c>
      <c r="F16088">
        <v>1</v>
      </c>
      <c r="G16088">
        <v>16618</v>
      </c>
      <c r="H16088" s="1">
        <v>3</v>
      </c>
      <c r="I16088">
        <v>15</v>
      </c>
      <c r="J16088">
        <f>IF($H16088=0,1,IF($I16088&lt;=1,2,0))</f>
        <v>0</v>
      </c>
      <c r="K16088">
        <v>6</v>
      </c>
      <c r="L16088">
        <f>IF(AND($J16088=0,$K16088=0),0,1)</f>
        <v>1</v>
      </c>
    </row>
    <row r="16089" spans="1:13" x14ac:dyDescent="0.2">
      <c r="A16089" t="s">
        <v>498</v>
      </c>
      <c r="B16089" t="s">
        <v>381</v>
      </c>
      <c r="C16089" t="s">
        <v>382</v>
      </c>
      <c r="D16089">
        <v>8183</v>
      </c>
      <c r="E16089">
        <v>2021</v>
      </c>
      <c r="F16089">
        <v>1</v>
      </c>
      <c r="G16089">
        <v>16620</v>
      </c>
      <c r="H16089" s="1">
        <v>3</v>
      </c>
      <c r="I16089">
        <v>13</v>
      </c>
      <c r="J16089">
        <f>IF($H16089=0,1,IF($I16089&lt;=1,2,0))</f>
        <v>0</v>
      </c>
      <c r="K16089">
        <v>6</v>
      </c>
      <c r="L16089">
        <f>IF(AND($J16089=0,$K16089=0),0,1)</f>
        <v>1</v>
      </c>
    </row>
    <row r="16090" spans="1:13" x14ac:dyDescent="0.2">
      <c r="A16090" t="s">
        <v>498</v>
      </c>
      <c r="B16090" t="s">
        <v>381</v>
      </c>
      <c r="C16090" t="s">
        <v>382</v>
      </c>
      <c r="D16090">
        <v>8189</v>
      </c>
      <c r="E16090">
        <v>2021</v>
      </c>
      <c r="F16090">
        <v>1</v>
      </c>
      <c r="G16090">
        <v>16621</v>
      </c>
      <c r="H16090" s="1">
        <v>3</v>
      </c>
      <c r="I16090">
        <v>16</v>
      </c>
      <c r="J16090">
        <f>IF($H16090=0,1,IF($I16090&lt;=1,2,0))</f>
        <v>0</v>
      </c>
      <c r="K16090">
        <v>6</v>
      </c>
      <c r="L16090">
        <f>IF(AND($J16090=0,$K16090=0),0,1)</f>
        <v>1</v>
      </c>
    </row>
    <row r="16091" spans="1:13" x14ac:dyDescent="0.2">
      <c r="A16091" t="s">
        <v>498</v>
      </c>
      <c r="B16091" t="s">
        <v>381</v>
      </c>
      <c r="C16091" t="s">
        <v>382</v>
      </c>
      <c r="D16091">
        <v>8246</v>
      </c>
      <c r="E16091">
        <v>2021</v>
      </c>
      <c r="F16091">
        <v>1</v>
      </c>
      <c r="G16091">
        <v>16622</v>
      </c>
      <c r="H16091" s="1">
        <v>3</v>
      </c>
      <c r="I16091">
        <v>11</v>
      </c>
      <c r="J16091">
        <f>IF($H16091=0,1,IF($I16091&lt;=1,2,0))</f>
        <v>0</v>
      </c>
      <c r="K16091">
        <v>6</v>
      </c>
      <c r="L16091">
        <f>IF(AND($J16091=0,$K16091=0),0,1)</f>
        <v>1</v>
      </c>
    </row>
    <row r="16092" spans="1:13" x14ac:dyDescent="0.2">
      <c r="A16092" t="s">
        <v>498</v>
      </c>
      <c r="B16092" t="s">
        <v>381</v>
      </c>
      <c r="C16092" t="s">
        <v>382</v>
      </c>
      <c r="D16092">
        <v>8350</v>
      </c>
      <c r="E16092">
        <v>2021</v>
      </c>
      <c r="F16092">
        <v>1</v>
      </c>
      <c r="G16092">
        <v>16623</v>
      </c>
      <c r="H16092" s="1">
        <v>3</v>
      </c>
      <c r="I16092">
        <v>25</v>
      </c>
      <c r="J16092">
        <f>IF($H16092=0,1,IF($I16092&lt;=1,2,0))</f>
        <v>0</v>
      </c>
      <c r="K16092">
        <v>6</v>
      </c>
      <c r="L16092">
        <f>IF(AND($J16092=0,$K16092=0),0,1)</f>
        <v>1</v>
      </c>
    </row>
    <row r="16093" spans="1:13" x14ac:dyDescent="0.2">
      <c r="A16093" t="s">
        <v>498</v>
      </c>
      <c r="B16093" t="s">
        <v>381</v>
      </c>
      <c r="C16093" t="s">
        <v>382</v>
      </c>
      <c r="D16093">
        <v>8415</v>
      </c>
      <c r="E16093">
        <v>2021</v>
      </c>
      <c r="F16093">
        <v>1</v>
      </c>
      <c r="G16093">
        <v>16624</v>
      </c>
      <c r="H16093" s="1">
        <v>3</v>
      </c>
      <c r="I16093">
        <v>9</v>
      </c>
      <c r="J16093">
        <f>IF($H16093=0,1,IF($I16093&lt;=1,2,0))</f>
        <v>0</v>
      </c>
      <c r="K16093">
        <v>6</v>
      </c>
      <c r="L16093">
        <f>IF(AND($J16093=0,$K16093=0),0,1)</f>
        <v>1</v>
      </c>
    </row>
    <row r="16094" spans="1:13" x14ac:dyDescent="0.2">
      <c r="A16094" t="s">
        <v>498</v>
      </c>
      <c r="B16094" t="s">
        <v>381</v>
      </c>
      <c r="C16094" t="s">
        <v>382</v>
      </c>
      <c r="D16094">
        <v>8488</v>
      </c>
      <c r="E16094">
        <v>2021</v>
      </c>
      <c r="F16094">
        <v>1</v>
      </c>
      <c r="G16094">
        <v>16625</v>
      </c>
      <c r="H16094" s="1">
        <v>3</v>
      </c>
      <c r="I16094">
        <v>24</v>
      </c>
      <c r="J16094">
        <f>IF($H16094=0,1,IF($I16094&lt;=1,2,0))</f>
        <v>0</v>
      </c>
      <c r="K16094">
        <v>6</v>
      </c>
      <c r="L16094">
        <f>IF(AND($J16094=0,$K16094=0),0,1)</f>
        <v>1</v>
      </c>
      <c r="M16094" t="s">
        <v>514</v>
      </c>
    </row>
    <row r="16095" spans="1:13" x14ac:dyDescent="0.2">
      <c r="A16095" t="s">
        <v>498</v>
      </c>
      <c r="B16095" t="s">
        <v>381</v>
      </c>
      <c r="C16095" t="s">
        <v>382</v>
      </c>
      <c r="D16095">
        <v>8507</v>
      </c>
      <c r="E16095">
        <v>2021</v>
      </c>
      <c r="F16095">
        <v>1</v>
      </c>
      <c r="G16095">
        <v>16626</v>
      </c>
      <c r="H16095" s="1">
        <v>3</v>
      </c>
      <c r="I16095">
        <v>24</v>
      </c>
      <c r="J16095">
        <f>IF($H16095=0,1,IF($I16095&lt;=1,2,0))</f>
        <v>0</v>
      </c>
      <c r="K16095">
        <v>6</v>
      </c>
      <c r="L16095">
        <f>IF(AND($J16095=0,$K16095=0),0,1)</f>
        <v>1</v>
      </c>
    </row>
    <row r="16096" spans="1:13" x14ac:dyDescent="0.2">
      <c r="A16096" t="s">
        <v>498</v>
      </c>
      <c r="B16096" t="s">
        <v>381</v>
      </c>
      <c r="C16096" t="s">
        <v>382</v>
      </c>
      <c r="D16096">
        <v>8560</v>
      </c>
      <c r="E16096">
        <v>2021</v>
      </c>
      <c r="F16096">
        <v>1</v>
      </c>
      <c r="G16096">
        <v>17658</v>
      </c>
      <c r="H16096" s="1">
        <v>3</v>
      </c>
      <c r="I16096">
        <v>18</v>
      </c>
      <c r="J16096">
        <f>IF($H16096=0,1,IF($I16096&lt;=1,2,0))</f>
        <v>0</v>
      </c>
      <c r="K16096">
        <v>6</v>
      </c>
      <c r="L16096">
        <f>IF(AND($J16096=0,$K16096=0),0,1)</f>
        <v>1</v>
      </c>
    </row>
    <row r="16097" spans="1:13" x14ac:dyDescent="0.2">
      <c r="A16097" t="s">
        <v>498</v>
      </c>
      <c r="B16097" t="s">
        <v>381</v>
      </c>
      <c r="C16097" t="s">
        <v>382</v>
      </c>
      <c r="D16097">
        <v>8675</v>
      </c>
      <c r="E16097">
        <v>2021</v>
      </c>
      <c r="F16097">
        <v>1</v>
      </c>
      <c r="G16097">
        <v>16627</v>
      </c>
      <c r="H16097" s="1">
        <v>3</v>
      </c>
      <c r="I16097">
        <v>26</v>
      </c>
      <c r="J16097">
        <f>IF($H16097=0,1,IF($I16097&lt;=1,2,0))</f>
        <v>0</v>
      </c>
      <c r="K16097">
        <v>6</v>
      </c>
      <c r="L16097">
        <f>IF(AND($J16097=0,$K16097=0),0,1)</f>
        <v>1</v>
      </c>
      <c r="M16097" t="s">
        <v>1113</v>
      </c>
    </row>
    <row r="16098" spans="1:13" x14ac:dyDescent="0.2">
      <c r="A16098" t="s">
        <v>498</v>
      </c>
      <c r="B16098" t="s">
        <v>381</v>
      </c>
      <c r="C16098" t="s">
        <v>382</v>
      </c>
      <c r="D16098">
        <v>8682</v>
      </c>
      <c r="E16098">
        <v>2021</v>
      </c>
      <c r="F16098">
        <v>1</v>
      </c>
      <c r="G16098">
        <v>16628</v>
      </c>
      <c r="H16098" s="1">
        <v>3</v>
      </c>
      <c r="I16098">
        <v>16</v>
      </c>
      <c r="J16098">
        <f>IF($H16098=0,1,IF($I16098&lt;=1,2,0))</f>
        <v>0</v>
      </c>
      <c r="K16098">
        <v>6</v>
      </c>
      <c r="L16098">
        <f>IF(AND($J16098=0,$K16098=0),0,1)</f>
        <v>1</v>
      </c>
      <c r="M16098" t="s">
        <v>1664</v>
      </c>
    </row>
    <row r="16099" spans="1:13" x14ac:dyDescent="0.2">
      <c r="A16099" t="s">
        <v>498</v>
      </c>
      <c r="B16099" t="s">
        <v>381</v>
      </c>
      <c r="C16099" t="s">
        <v>382</v>
      </c>
      <c r="D16099">
        <v>8689</v>
      </c>
      <c r="E16099">
        <v>2021</v>
      </c>
      <c r="F16099">
        <v>1</v>
      </c>
      <c r="G16099">
        <v>16632</v>
      </c>
      <c r="H16099" s="1">
        <v>3</v>
      </c>
      <c r="I16099">
        <v>23</v>
      </c>
      <c r="J16099">
        <f>IF($H16099=0,1,IF($I16099&lt;=1,2,0))</f>
        <v>0</v>
      </c>
      <c r="K16099">
        <v>6</v>
      </c>
      <c r="L16099">
        <f>IF(AND($J16099=0,$K16099=0),0,1)</f>
        <v>1</v>
      </c>
    </row>
    <row r="16100" spans="1:13" x14ac:dyDescent="0.2">
      <c r="A16100" t="s">
        <v>498</v>
      </c>
      <c r="B16100" t="s">
        <v>381</v>
      </c>
      <c r="C16100" t="s">
        <v>382</v>
      </c>
      <c r="D16100">
        <v>8812</v>
      </c>
      <c r="E16100">
        <v>2021</v>
      </c>
      <c r="F16100">
        <v>1</v>
      </c>
      <c r="G16100">
        <v>16633</v>
      </c>
      <c r="H16100" s="1">
        <v>3</v>
      </c>
      <c r="I16100">
        <v>21</v>
      </c>
      <c r="J16100">
        <f>IF($H16100=0,1,IF($I16100&lt;=1,2,0))</f>
        <v>0</v>
      </c>
      <c r="K16100">
        <v>6</v>
      </c>
      <c r="L16100">
        <f>IF(AND($J16100=0,$K16100=0),0,1)</f>
        <v>1</v>
      </c>
    </row>
    <row r="16101" spans="1:13" x14ac:dyDescent="0.2">
      <c r="A16101" t="s">
        <v>498</v>
      </c>
      <c r="B16101" t="s">
        <v>381</v>
      </c>
      <c r="C16101" t="s">
        <v>382</v>
      </c>
      <c r="D16101">
        <v>8842</v>
      </c>
      <c r="E16101">
        <v>2021</v>
      </c>
      <c r="F16101">
        <v>1</v>
      </c>
      <c r="G16101">
        <v>16637</v>
      </c>
      <c r="H16101" s="1">
        <v>3</v>
      </c>
      <c r="I16101">
        <v>11</v>
      </c>
      <c r="J16101">
        <f>IF($H16101=0,1,IF($I16101&lt;=1,2,0))</f>
        <v>0</v>
      </c>
      <c r="K16101">
        <v>6</v>
      </c>
      <c r="L16101">
        <f>IF(AND($J16101=0,$K16101=0),0,1)</f>
        <v>1</v>
      </c>
    </row>
    <row r="16102" spans="1:13" x14ac:dyDescent="0.2">
      <c r="A16102" t="s">
        <v>522</v>
      </c>
      <c r="B16102" t="s">
        <v>17</v>
      </c>
      <c r="C16102" t="s">
        <v>9</v>
      </c>
      <c r="D16102">
        <v>3101</v>
      </c>
      <c r="E16102">
        <v>2021</v>
      </c>
      <c r="F16102">
        <v>1</v>
      </c>
      <c r="G16102">
        <v>11729</v>
      </c>
      <c r="H16102" s="1">
        <v>3</v>
      </c>
      <c r="I16102">
        <v>0</v>
      </c>
      <c r="J16102">
        <f>IF($H16102=0,1,IF($I16102&lt;=1,2,0))</f>
        <v>2</v>
      </c>
      <c r="K16102">
        <v>0</v>
      </c>
      <c r="L16102">
        <f>IF(AND($J16102=0,$K16102=0),0,1)</f>
        <v>1</v>
      </c>
      <c r="M16102" t="s">
        <v>181</v>
      </c>
    </row>
    <row r="16103" spans="1:13" x14ac:dyDescent="0.2">
      <c r="A16103" t="s">
        <v>524</v>
      </c>
      <c r="B16103" t="s">
        <v>6</v>
      </c>
      <c r="C16103" t="s">
        <v>11</v>
      </c>
      <c r="D16103">
        <v>4999</v>
      </c>
      <c r="E16103">
        <v>2021</v>
      </c>
      <c r="F16103">
        <v>1</v>
      </c>
      <c r="G16103">
        <v>20810</v>
      </c>
      <c r="H16103" s="1">
        <v>4</v>
      </c>
      <c r="I16103">
        <v>1</v>
      </c>
      <c r="J16103">
        <f>IF($H16103=0,1,IF($I16103&lt;=1,2,0))</f>
        <v>2</v>
      </c>
      <c r="K16103">
        <v>9</v>
      </c>
      <c r="L16103">
        <f>IF(AND($J16103=0,$K16103=0),0,1)</f>
        <v>1</v>
      </c>
    </row>
    <row r="16104" spans="1:13" x14ac:dyDescent="0.2">
      <c r="A16104" t="s">
        <v>525</v>
      </c>
      <c r="B16104" t="s">
        <v>17</v>
      </c>
      <c r="C16104" t="s">
        <v>21</v>
      </c>
      <c r="D16104">
        <v>3993</v>
      </c>
      <c r="E16104">
        <v>2021</v>
      </c>
      <c r="F16104">
        <v>1</v>
      </c>
      <c r="G16104">
        <v>11601</v>
      </c>
      <c r="H16104" s="1">
        <v>3</v>
      </c>
      <c r="I16104">
        <v>0</v>
      </c>
      <c r="J16104">
        <f>IF($H16104=0,1,IF($I16104&lt;=1,2,0))</f>
        <v>2</v>
      </c>
      <c r="K16104">
        <v>0</v>
      </c>
      <c r="L16104">
        <f>IF(AND($J16104=0,$K16104=0),0,1)</f>
        <v>1</v>
      </c>
      <c r="M16104" t="s">
        <v>1130</v>
      </c>
    </row>
    <row r="16105" spans="1:13" x14ac:dyDescent="0.2">
      <c r="A16105" t="s">
        <v>525</v>
      </c>
      <c r="B16105" t="s">
        <v>17</v>
      </c>
      <c r="C16105" t="s">
        <v>21</v>
      </c>
      <c r="D16105">
        <v>3993</v>
      </c>
      <c r="E16105">
        <v>2021</v>
      </c>
      <c r="F16105">
        <v>3</v>
      </c>
      <c r="G16105">
        <v>11605</v>
      </c>
      <c r="H16105" s="1">
        <v>3</v>
      </c>
      <c r="I16105">
        <v>0</v>
      </c>
      <c r="J16105">
        <f>IF($H16105=0,1,IF($I16105&lt;=1,2,0))</f>
        <v>2</v>
      </c>
      <c r="K16105">
        <v>0</v>
      </c>
      <c r="L16105">
        <f>IF(AND($J16105=0,$K16105=0),0,1)</f>
        <v>1</v>
      </c>
      <c r="M16105" t="s">
        <v>1130</v>
      </c>
    </row>
    <row r="16106" spans="1:13" x14ac:dyDescent="0.2">
      <c r="A16106" t="s">
        <v>525</v>
      </c>
      <c r="B16106" t="s">
        <v>17</v>
      </c>
      <c r="C16106" t="s">
        <v>21</v>
      </c>
      <c r="D16106">
        <v>3993</v>
      </c>
      <c r="E16106">
        <v>2021</v>
      </c>
      <c r="F16106">
        <v>5</v>
      </c>
      <c r="G16106">
        <v>11608</v>
      </c>
      <c r="H16106" s="1">
        <v>3</v>
      </c>
      <c r="I16106">
        <v>0</v>
      </c>
      <c r="J16106">
        <f>IF($H16106=0,1,IF($I16106&lt;=1,2,0))</f>
        <v>2</v>
      </c>
      <c r="K16106">
        <v>0</v>
      </c>
      <c r="L16106">
        <f>IF(AND($J16106=0,$K16106=0),0,1)</f>
        <v>1</v>
      </c>
      <c r="M16106" t="s">
        <v>1130</v>
      </c>
    </row>
    <row r="16107" spans="1:13" x14ac:dyDescent="0.2">
      <c r="A16107" t="s">
        <v>525</v>
      </c>
      <c r="B16107" t="s">
        <v>17</v>
      </c>
      <c r="C16107" t="s">
        <v>21</v>
      </c>
      <c r="D16107">
        <v>3993</v>
      </c>
      <c r="E16107">
        <v>2021</v>
      </c>
      <c r="F16107">
        <v>6</v>
      </c>
      <c r="G16107">
        <v>11606</v>
      </c>
      <c r="H16107" s="1">
        <v>3</v>
      </c>
      <c r="I16107">
        <v>0</v>
      </c>
      <c r="J16107">
        <f>IF($H16107=0,1,IF($I16107&lt;=1,2,0))</f>
        <v>2</v>
      </c>
      <c r="K16107">
        <v>0</v>
      </c>
      <c r="L16107">
        <f>IF(AND($J16107=0,$K16107=0),0,1)</f>
        <v>1</v>
      </c>
      <c r="M16107" t="s">
        <v>1130</v>
      </c>
    </row>
    <row r="16108" spans="1:13" x14ac:dyDescent="0.2">
      <c r="A16108" t="s">
        <v>525</v>
      </c>
      <c r="B16108" t="s">
        <v>17</v>
      </c>
      <c r="C16108" t="s">
        <v>11</v>
      </c>
      <c r="D16108">
        <v>9101</v>
      </c>
      <c r="E16108">
        <v>2021</v>
      </c>
      <c r="F16108">
        <v>1</v>
      </c>
      <c r="G16108">
        <v>11597</v>
      </c>
      <c r="H16108" s="1">
        <v>3</v>
      </c>
      <c r="I16108">
        <v>2</v>
      </c>
      <c r="J16108">
        <f>IF($H16108=0,1,IF($I16108&lt;=1,2,0))</f>
        <v>0</v>
      </c>
      <c r="K16108">
        <v>5</v>
      </c>
      <c r="L16108">
        <f>IF(AND($J16108=0,$K16108=0),0,1)</f>
        <v>1</v>
      </c>
      <c r="M16108" t="s">
        <v>530</v>
      </c>
    </row>
    <row r="16109" spans="1:13" x14ac:dyDescent="0.2">
      <c r="A16109" t="s">
        <v>525</v>
      </c>
      <c r="B16109" t="s">
        <v>17</v>
      </c>
      <c r="C16109" t="s">
        <v>11</v>
      </c>
      <c r="D16109">
        <v>9101</v>
      </c>
      <c r="E16109">
        <v>2021</v>
      </c>
      <c r="F16109">
        <v>2</v>
      </c>
      <c r="G16109">
        <v>11598</v>
      </c>
      <c r="H16109" s="1">
        <v>3</v>
      </c>
      <c r="I16109">
        <v>0</v>
      </c>
      <c r="J16109">
        <f>IF($H16109=0,1,IF($I16109&lt;=1,2,0))</f>
        <v>2</v>
      </c>
      <c r="K16109">
        <v>5</v>
      </c>
      <c r="L16109">
        <f>IF(AND($J16109=0,$K16109=0),0,1)</f>
        <v>1</v>
      </c>
      <c r="M16109" t="s">
        <v>530</v>
      </c>
    </row>
    <row r="16110" spans="1:13" x14ac:dyDescent="0.2">
      <c r="A16110" t="s">
        <v>525</v>
      </c>
      <c r="B16110" t="s">
        <v>17</v>
      </c>
      <c r="C16110" t="s">
        <v>11</v>
      </c>
      <c r="D16110">
        <v>9103</v>
      </c>
      <c r="E16110">
        <v>2021</v>
      </c>
      <c r="F16110">
        <v>1</v>
      </c>
      <c r="G16110">
        <v>11600</v>
      </c>
      <c r="H16110" s="1">
        <v>3</v>
      </c>
      <c r="I16110">
        <v>1</v>
      </c>
      <c r="J16110">
        <f>IF($H16110=0,1,IF($I16110&lt;=1,2,0))</f>
        <v>2</v>
      </c>
      <c r="K16110">
        <v>5</v>
      </c>
      <c r="L16110">
        <f>IF(AND($J16110=0,$K16110=0),0,1)</f>
        <v>1</v>
      </c>
    </row>
    <row r="16111" spans="1:13" x14ac:dyDescent="0.2">
      <c r="A16111" t="s">
        <v>533</v>
      </c>
      <c r="B16111" t="s">
        <v>6</v>
      </c>
      <c r="C16111" t="s">
        <v>11</v>
      </c>
      <c r="D16111">
        <v>4999</v>
      </c>
      <c r="E16111">
        <v>2021</v>
      </c>
      <c r="F16111">
        <v>1</v>
      </c>
      <c r="G16111">
        <v>17409</v>
      </c>
      <c r="H16111" s="1">
        <v>3</v>
      </c>
      <c r="I16111">
        <v>1</v>
      </c>
      <c r="J16111">
        <f>IF($H16111=0,1,IF($I16111&lt;=1,2,0))</f>
        <v>2</v>
      </c>
      <c r="K16111">
        <v>9</v>
      </c>
      <c r="L16111">
        <f>IF(AND($J16111=0,$K16111=0),0,1)</f>
        <v>1</v>
      </c>
    </row>
    <row r="16112" spans="1:13" x14ac:dyDescent="0.2">
      <c r="A16112" t="s">
        <v>538</v>
      </c>
      <c r="B16112" t="s">
        <v>17</v>
      </c>
      <c r="C16112" t="s">
        <v>21</v>
      </c>
      <c r="D16112">
        <v>2101</v>
      </c>
      <c r="E16112">
        <v>2021</v>
      </c>
      <c r="F16112" t="s">
        <v>1436</v>
      </c>
      <c r="G16112">
        <v>18934</v>
      </c>
      <c r="H16112" s="1">
        <v>0</v>
      </c>
      <c r="I16112">
        <v>0</v>
      </c>
      <c r="J16112">
        <f>IF($H16112=0,1,IF($I16112&lt;=1,2,0))</f>
        <v>1</v>
      </c>
      <c r="K16112">
        <v>0</v>
      </c>
      <c r="L16112">
        <f>IF(AND($J16112=0,$K16112=0),0,1)</f>
        <v>1</v>
      </c>
    </row>
    <row r="16113" spans="1:12" x14ac:dyDescent="0.2">
      <c r="A16113" t="s">
        <v>538</v>
      </c>
      <c r="B16113" t="s">
        <v>17</v>
      </c>
      <c r="C16113" t="s">
        <v>21</v>
      </c>
      <c r="D16113">
        <v>2102</v>
      </c>
      <c r="E16113">
        <v>2021</v>
      </c>
      <c r="F16113" t="s">
        <v>1439</v>
      </c>
      <c r="G16113">
        <v>18935</v>
      </c>
      <c r="H16113" s="1">
        <v>0</v>
      </c>
      <c r="I16113">
        <v>0</v>
      </c>
      <c r="J16113">
        <f>IF($H16113=0,1,IF($I16113&lt;=1,2,0))</f>
        <v>1</v>
      </c>
      <c r="K16113">
        <v>0</v>
      </c>
      <c r="L16113">
        <f>IF(AND($J16113=0,$K16113=0),0,1)</f>
        <v>1</v>
      </c>
    </row>
    <row r="16114" spans="1:12" x14ac:dyDescent="0.2">
      <c r="A16114" t="s">
        <v>538</v>
      </c>
      <c r="B16114" t="s">
        <v>17</v>
      </c>
      <c r="C16114" t="s">
        <v>21</v>
      </c>
      <c r="D16114">
        <v>3996</v>
      </c>
      <c r="E16114">
        <v>2021</v>
      </c>
      <c r="F16114" t="s">
        <v>1349</v>
      </c>
      <c r="G16114">
        <v>18936</v>
      </c>
      <c r="H16114" s="1">
        <v>0</v>
      </c>
      <c r="I16114">
        <v>0</v>
      </c>
      <c r="J16114">
        <f>IF($H16114=0,1,IF($I16114&lt;=1,2,0))</f>
        <v>1</v>
      </c>
      <c r="K16114">
        <v>0</v>
      </c>
      <c r="L16114">
        <f>IF(AND($J16114=0,$K16114=0),0,1)</f>
        <v>1</v>
      </c>
    </row>
    <row r="16115" spans="1:12" x14ac:dyDescent="0.2">
      <c r="A16115" t="s">
        <v>538</v>
      </c>
      <c r="B16115" t="s">
        <v>17</v>
      </c>
      <c r="C16115" t="s">
        <v>21</v>
      </c>
      <c r="D16115">
        <v>3997</v>
      </c>
      <c r="E16115">
        <v>2021</v>
      </c>
      <c r="F16115">
        <v>1</v>
      </c>
      <c r="G16115">
        <v>10752</v>
      </c>
      <c r="H16115" s="1">
        <v>3</v>
      </c>
      <c r="I16115">
        <v>0</v>
      </c>
      <c r="J16115">
        <f>IF($H16115=0,1,IF($I16115&lt;=1,2,0))</f>
        <v>2</v>
      </c>
      <c r="K16115">
        <v>9</v>
      </c>
      <c r="L16115">
        <f>IF(AND($J16115=0,$K16115=0),0,1)</f>
        <v>1</v>
      </c>
    </row>
    <row r="16116" spans="1:12" x14ac:dyDescent="0.2">
      <c r="A16116" t="s">
        <v>538</v>
      </c>
      <c r="B16116" t="s">
        <v>17</v>
      </c>
      <c r="C16116" t="s">
        <v>21</v>
      </c>
      <c r="D16116">
        <v>3997</v>
      </c>
      <c r="E16116">
        <v>2021</v>
      </c>
      <c r="F16116">
        <v>2</v>
      </c>
      <c r="G16116">
        <v>10753</v>
      </c>
      <c r="H16116" s="1">
        <v>3</v>
      </c>
      <c r="I16116">
        <v>0</v>
      </c>
      <c r="J16116">
        <f>IF($H16116=0,1,IF($I16116&lt;=1,2,0))</f>
        <v>2</v>
      </c>
      <c r="K16116">
        <v>9</v>
      </c>
      <c r="L16116">
        <f>IF(AND($J16116=0,$K16116=0),0,1)</f>
        <v>1</v>
      </c>
    </row>
    <row r="16117" spans="1:12" x14ac:dyDescent="0.2">
      <c r="A16117" t="s">
        <v>538</v>
      </c>
      <c r="B16117" t="s">
        <v>17</v>
      </c>
      <c r="C16117" t="s">
        <v>21</v>
      </c>
      <c r="D16117">
        <v>3997</v>
      </c>
      <c r="E16117">
        <v>2021</v>
      </c>
      <c r="F16117">
        <v>3</v>
      </c>
      <c r="G16117">
        <v>10754</v>
      </c>
      <c r="H16117" s="1">
        <v>3</v>
      </c>
      <c r="I16117">
        <v>0</v>
      </c>
      <c r="J16117">
        <f>IF($H16117=0,1,IF($I16117&lt;=1,2,0))</f>
        <v>2</v>
      </c>
      <c r="K16117">
        <v>9</v>
      </c>
      <c r="L16117">
        <f>IF(AND($J16117=0,$K16117=0),0,1)</f>
        <v>1</v>
      </c>
    </row>
    <row r="16118" spans="1:12" x14ac:dyDescent="0.2">
      <c r="A16118" t="s">
        <v>538</v>
      </c>
      <c r="B16118" t="s">
        <v>17</v>
      </c>
      <c r="C16118" t="s">
        <v>21</v>
      </c>
      <c r="D16118">
        <v>3997</v>
      </c>
      <c r="E16118">
        <v>2021</v>
      </c>
      <c r="F16118">
        <v>4</v>
      </c>
      <c r="G16118">
        <v>10755</v>
      </c>
      <c r="H16118" s="1">
        <v>3</v>
      </c>
      <c r="I16118">
        <v>0</v>
      </c>
      <c r="J16118">
        <f>IF($H16118=0,1,IF($I16118&lt;=1,2,0))</f>
        <v>2</v>
      </c>
      <c r="K16118">
        <v>9</v>
      </c>
      <c r="L16118">
        <f>IF(AND($J16118=0,$K16118=0),0,1)</f>
        <v>1</v>
      </c>
    </row>
    <row r="16119" spans="1:12" x14ac:dyDescent="0.2">
      <c r="A16119" t="s">
        <v>538</v>
      </c>
      <c r="B16119" t="s">
        <v>17</v>
      </c>
      <c r="C16119" t="s">
        <v>21</v>
      </c>
      <c r="D16119">
        <v>3997</v>
      </c>
      <c r="E16119">
        <v>2021</v>
      </c>
      <c r="F16119">
        <v>5</v>
      </c>
      <c r="G16119">
        <v>10756</v>
      </c>
      <c r="H16119" s="1">
        <v>3</v>
      </c>
      <c r="I16119">
        <v>0</v>
      </c>
      <c r="J16119">
        <f>IF($H16119=0,1,IF($I16119&lt;=1,2,0))</f>
        <v>2</v>
      </c>
      <c r="K16119">
        <v>9</v>
      </c>
      <c r="L16119">
        <f>IF(AND($J16119=0,$K16119=0),0,1)</f>
        <v>1</v>
      </c>
    </row>
    <row r="16120" spans="1:12" x14ac:dyDescent="0.2">
      <c r="A16120" t="s">
        <v>538</v>
      </c>
      <c r="B16120" t="s">
        <v>17</v>
      </c>
      <c r="C16120" t="s">
        <v>21</v>
      </c>
      <c r="D16120">
        <v>3998</v>
      </c>
      <c r="E16120">
        <v>2021</v>
      </c>
      <c r="F16120">
        <v>1</v>
      </c>
      <c r="G16120">
        <v>10757</v>
      </c>
      <c r="H16120" s="1">
        <v>3</v>
      </c>
      <c r="I16120">
        <v>0</v>
      </c>
      <c r="J16120">
        <f>IF($H16120=0,1,IF($I16120&lt;=1,2,0))</f>
        <v>2</v>
      </c>
      <c r="K16120">
        <v>9</v>
      </c>
      <c r="L16120">
        <f>IF(AND($J16120=0,$K16120=0),0,1)</f>
        <v>1</v>
      </c>
    </row>
    <row r="16121" spans="1:12" x14ac:dyDescent="0.2">
      <c r="A16121" t="s">
        <v>538</v>
      </c>
      <c r="B16121" t="s">
        <v>17</v>
      </c>
      <c r="C16121" t="s">
        <v>21</v>
      </c>
      <c r="D16121">
        <v>3998</v>
      </c>
      <c r="E16121">
        <v>2021</v>
      </c>
      <c r="F16121">
        <v>2</v>
      </c>
      <c r="G16121">
        <v>10758</v>
      </c>
      <c r="H16121" s="1">
        <v>3</v>
      </c>
      <c r="I16121">
        <v>0</v>
      </c>
      <c r="J16121">
        <f>IF($H16121=0,1,IF($I16121&lt;=1,2,0))</f>
        <v>2</v>
      </c>
      <c r="K16121">
        <v>9</v>
      </c>
      <c r="L16121">
        <f>IF(AND($J16121=0,$K16121=0),0,1)</f>
        <v>1</v>
      </c>
    </row>
    <row r="16122" spans="1:12" x14ac:dyDescent="0.2">
      <c r="A16122" t="s">
        <v>538</v>
      </c>
      <c r="B16122" t="s">
        <v>17</v>
      </c>
      <c r="C16122" t="s">
        <v>21</v>
      </c>
      <c r="D16122">
        <v>3998</v>
      </c>
      <c r="E16122">
        <v>2021</v>
      </c>
      <c r="F16122">
        <v>3</v>
      </c>
      <c r="G16122">
        <v>10759</v>
      </c>
      <c r="H16122" s="1">
        <v>3</v>
      </c>
      <c r="I16122">
        <v>0</v>
      </c>
      <c r="J16122">
        <f>IF($H16122=0,1,IF($I16122&lt;=1,2,0))</f>
        <v>2</v>
      </c>
      <c r="K16122">
        <v>9</v>
      </c>
      <c r="L16122">
        <f>IF(AND($J16122=0,$K16122=0),0,1)</f>
        <v>1</v>
      </c>
    </row>
    <row r="16123" spans="1:12" x14ac:dyDescent="0.2">
      <c r="A16123" t="s">
        <v>538</v>
      </c>
      <c r="B16123" t="s">
        <v>17</v>
      </c>
      <c r="C16123" t="s">
        <v>21</v>
      </c>
      <c r="D16123">
        <v>3998</v>
      </c>
      <c r="E16123">
        <v>2021</v>
      </c>
      <c r="F16123">
        <v>4</v>
      </c>
      <c r="G16123">
        <v>10760</v>
      </c>
      <c r="H16123" s="1">
        <v>3</v>
      </c>
      <c r="I16123">
        <v>0</v>
      </c>
      <c r="J16123">
        <f>IF($H16123=0,1,IF($I16123&lt;=1,2,0))</f>
        <v>2</v>
      </c>
      <c r="K16123">
        <v>9</v>
      </c>
      <c r="L16123">
        <f>IF(AND($J16123=0,$K16123=0),0,1)</f>
        <v>1</v>
      </c>
    </row>
    <row r="16124" spans="1:12" x14ac:dyDescent="0.2">
      <c r="A16124" t="s">
        <v>538</v>
      </c>
      <c r="B16124" t="s">
        <v>17</v>
      </c>
      <c r="C16124" t="s">
        <v>21</v>
      </c>
      <c r="D16124">
        <v>3998</v>
      </c>
      <c r="E16124">
        <v>2021</v>
      </c>
      <c r="F16124">
        <v>5</v>
      </c>
      <c r="G16124">
        <v>10761</v>
      </c>
      <c r="H16124" s="1">
        <v>3</v>
      </c>
      <c r="I16124">
        <v>0</v>
      </c>
      <c r="J16124">
        <f>IF($H16124=0,1,IF($I16124&lt;=1,2,0))</f>
        <v>2</v>
      </c>
      <c r="K16124">
        <v>9</v>
      </c>
      <c r="L16124">
        <f>IF(AND($J16124=0,$K16124=0),0,1)</f>
        <v>1</v>
      </c>
    </row>
    <row r="16125" spans="1:12" x14ac:dyDescent="0.2">
      <c r="A16125" t="s">
        <v>545</v>
      </c>
      <c r="B16125" t="s">
        <v>133</v>
      </c>
      <c r="C16125" t="s">
        <v>21</v>
      </c>
      <c r="D16125">
        <v>1101</v>
      </c>
      <c r="E16125">
        <v>2021</v>
      </c>
      <c r="F16125">
        <v>11</v>
      </c>
      <c r="G16125">
        <v>171</v>
      </c>
      <c r="H16125" s="1">
        <v>3</v>
      </c>
      <c r="I16125">
        <v>0</v>
      </c>
      <c r="J16125">
        <f>IF($H16125=0,1,IF($I16125&lt;=1,2,0))</f>
        <v>2</v>
      </c>
      <c r="K16125">
        <v>0</v>
      </c>
      <c r="L16125">
        <f>IF(AND($J16125=0,$K16125=0),0,1)</f>
        <v>1</v>
      </c>
    </row>
    <row r="16126" spans="1:12" x14ac:dyDescent="0.2">
      <c r="A16126" t="s">
        <v>545</v>
      </c>
      <c r="B16126" t="s">
        <v>133</v>
      </c>
      <c r="C16126" t="s">
        <v>21</v>
      </c>
      <c r="D16126">
        <v>3902</v>
      </c>
      <c r="E16126">
        <v>2021</v>
      </c>
      <c r="F16126">
        <v>2</v>
      </c>
      <c r="G16126">
        <v>18860</v>
      </c>
      <c r="H16126" s="1">
        <v>3</v>
      </c>
      <c r="I16126">
        <v>2</v>
      </c>
      <c r="J16126">
        <f>IF($H16126=0,1,IF($I16126&lt;=1,2,0))</f>
        <v>0</v>
      </c>
      <c r="K16126">
        <v>9</v>
      </c>
      <c r="L16126">
        <f>IF(AND($J16126=0,$K16126=0),0,1)</f>
        <v>1</v>
      </c>
    </row>
    <row r="16127" spans="1:12" x14ac:dyDescent="0.2">
      <c r="A16127" t="s">
        <v>545</v>
      </c>
      <c r="B16127" t="s">
        <v>133</v>
      </c>
      <c r="C16127" t="s">
        <v>21</v>
      </c>
      <c r="D16127">
        <v>3902</v>
      </c>
      <c r="E16127">
        <v>2021</v>
      </c>
      <c r="F16127">
        <v>7</v>
      </c>
      <c r="G16127">
        <v>20649</v>
      </c>
      <c r="H16127" s="1">
        <v>3</v>
      </c>
      <c r="I16127">
        <v>2</v>
      </c>
      <c r="J16127">
        <f>IF($H16127=0,1,IF($I16127&lt;=1,2,0))</f>
        <v>0</v>
      </c>
      <c r="K16127">
        <v>9</v>
      </c>
      <c r="L16127">
        <f>IF(AND($J16127=0,$K16127=0),0,1)</f>
        <v>1</v>
      </c>
    </row>
    <row r="16128" spans="1:12" x14ac:dyDescent="0.2">
      <c r="A16128" t="s">
        <v>545</v>
      </c>
      <c r="B16128" t="s">
        <v>133</v>
      </c>
      <c r="C16128" t="s">
        <v>21</v>
      </c>
      <c r="D16128">
        <v>3902</v>
      </c>
      <c r="E16128">
        <v>2021</v>
      </c>
      <c r="F16128">
        <v>1</v>
      </c>
      <c r="G16128">
        <v>13725</v>
      </c>
      <c r="H16128" s="1">
        <v>3</v>
      </c>
      <c r="I16128">
        <v>1</v>
      </c>
      <c r="J16128">
        <f>IF($H16128=0,1,IF($I16128&lt;=1,2,0))</f>
        <v>2</v>
      </c>
      <c r="K16128">
        <v>9</v>
      </c>
      <c r="L16128">
        <f>IF(AND($J16128=0,$K16128=0),0,1)</f>
        <v>1</v>
      </c>
    </row>
    <row r="16129" spans="1:13" x14ac:dyDescent="0.2">
      <c r="A16129" t="s">
        <v>545</v>
      </c>
      <c r="B16129" t="s">
        <v>133</v>
      </c>
      <c r="C16129" t="s">
        <v>21</v>
      </c>
      <c r="D16129">
        <v>3902</v>
      </c>
      <c r="E16129">
        <v>2021</v>
      </c>
      <c r="F16129">
        <v>3</v>
      </c>
      <c r="G16129">
        <v>20170</v>
      </c>
      <c r="H16129" s="1">
        <v>3</v>
      </c>
      <c r="I16129">
        <v>1</v>
      </c>
      <c r="J16129">
        <f>IF($H16129=0,1,IF($I16129&lt;=1,2,0))</f>
        <v>2</v>
      </c>
      <c r="K16129">
        <v>9</v>
      </c>
      <c r="L16129">
        <f>IF(AND($J16129=0,$K16129=0),0,1)</f>
        <v>1</v>
      </c>
    </row>
    <row r="16130" spans="1:13" x14ac:dyDescent="0.2">
      <c r="A16130" t="s">
        <v>545</v>
      </c>
      <c r="B16130" t="s">
        <v>133</v>
      </c>
      <c r="C16130" t="s">
        <v>21</v>
      </c>
      <c r="D16130">
        <v>3902</v>
      </c>
      <c r="E16130">
        <v>2021</v>
      </c>
      <c r="F16130">
        <v>4</v>
      </c>
      <c r="G16130">
        <v>20293</v>
      </c>
      <c r="H16130" s="1">
        <v>3</v>
      </c>
      <c r="I16130">
        <v>1</v>
      </c>
      <c r="J16130">
        <f>IF($H16130=0,1,IF($I16130&lt;=1,2,0))</f>
        <v>2</v>
      </c>
      <c r="K16130">
        <v>9</v>
      </c>
      <c r="L16130">
        <f>IF(AND($J16130=0,$K16130=0),0,1)</f>
        <v>1</v>
      </c>
    </row>
    <row r="16131" spans="1:13" x14ac:dyDescent="0.2">
      <c r="A16131" t="s">
        <v>545</v>
      </c>
      <c r="B16131" t="s">
        <v>133</v>
      </c>
      <c r="C16131" t="s">
        <v>21</v>
      </c>
      <c r="D16131">
        <v>3902</v>
      </c>
      <c r="E16131">
        <v>2021</v>
      </c>
      <c r="F16131">
        <v>5</v>
      </c>
      <c r="G16131">
        <v>20556</v>
      </c>
      <c r="H16131" s="1">
        <v>3</v>
      </c>
      <c r="I16131">
        <v>1</v>
      </c>
      <c r="J16131">
        <f>IF($H16131=0,1,IF($I16131&lt;=1,2,0))</f>
        <v>2</v>
      </c>
      <c r="K16131">
        <v>9</v>
      </c>
      <c r="L16131">
        <f>IF(AND($J16131=0,$K16131=0),0,1)</f>
        <v>1</v>
      </c>
    </row>
    <row r="16132" spans="1:13" x14ac:dyDescent="0.2">
      <c r="A16132" t="s">
        <v>545</v>
      </c>
      <c r="B16132" t="s">
        <v>133</v>
      </c>
      <c r="C16132" t="s">
        <v>21</v>
      </c>
      <c r="D16132">
        <v>3902</v>
      </c>
      <c r="E16132">
        <v>2021</v>
      </c>
      <c r="F16132">
        <v>6</v>
      </c>
      <c r="G16132">
        <v>20296</v>
      </c>
      <c r="H16132" s="1">
        <v>3</v>
      </c>
      <c r="I16132">
        <v>1</v>
      </c>
      <c r="J16132">
        <f>IF($H16132=0,1,IF($I16132&lt;=1,2,0))</f>
        <v>2</v>
      </c>
      <c r="K16132">
        <v>9</v>
      </c>
      <c r="L16132">
        <f>IF(AND($J16132=0,$K16132=0),0,1)</f>
        <v>1</v>
      </c>
    </row>
    <row r="16133" spans="1:13" x14ac:dyDescent="0.2">
      <c r="A16133" t="s">
        <v>545</v>
      </c>
      <c r="B16133" t="s">
        <v>133</v>
      </c>
      <c r="C16133" t="s">
        <v>21</v>
      </c>
      <c r="D16133">
        <v>3999</v>
      </c>
      <c r="E16133">
        <v>2021</v>
      </c>
      <c r="F16133">
        <v>1</v>
      </c>
      <c r="G16133">
        <v>15052</v>
      </c>
      <c r="H16133" s="1">
        <v>4</v>
      </c>
      <c r="I16133">
        <v>2</v>
      </c>
      <c r="J16133">
        <f>IF($H16133=0,1,IF($I16133&lt;=1,2,0))</f>
        <v>0</v>
      </c>
      <c r="K16133">
        <v>9</v>
      </c>
      <c r="L16133">
        <f>IF(AND($J16133=0,$K16133=0),0,1)</f>
        <v>1</v>
      </c>
    </row>
    <row r="16134" spans="1:13" x14ac:dyDescent="0.2">
      <c r="A16134" t="s">
        <v>545</v>
      </c>
      <c r="B16134" t="s">
        <v>133</v>
      </c>
      <c r="C16134" t="s">
        <v>21</v>
      </c>
      <c r="D16134">
        <v>3999</v>
      </c>
      <c r="E16134">
        <v>2021</v>
      </c>
      <c r="F16134">
        <v>4</v>
      </c>
      <c r="G16134">
        <v>19004</v>
      </c>
      <c r="H16134" s="1">
        <v>4</v>
      </c>
      <c r="I16134">
        <v>2</v>
      </c>
      <c r="J16134">
        <f>IF($H16134=0,1,IF($I16134&lt;=1,2,0))</f>
        <v>0</v>
      </c>
      <c r="K16134">
        <v>9</v>
      </c>
      <c r="L16134">
        <f>IF(AND($J16134=0,$K16134=0),0,1)</f>
        <v>1</v>
      </c>
    </row>
    <row r="16135" spans="1:13" x14ac:dyDescent="0.2">
      <c r="A16135" t="s">
        <v>545</v>
      </c>
      <c r="B16135" t="s">
        <v>133</v>
      </c>
      <c r="C16135" t="s">
        <v>21</v>
      </c>
      <c r="D16135">
        <v>3999</v>
      </c>
      <c r="E16135">
        <v>2021</v>
      </c>
      <c r="F16135">
        <v>2</v>
      </c>
      <c r="G16135">
        <v>15061</v>
      </c>
      <c r="H16135" s="1">
        <v>4</v>
      </c>
      <c r="I16135">
        <v>1</v>
      </c>
      <c r="J16135">
        <f>IF($H16135=0,1,IF($I16135&lt;=1,2,0))</f>
        <v>2</v>
      </c>
      <c r="K16135">
        <v>9</v>
      </c>
      <c r="L16135">
        <f>IF(AND($J16135=0,$K16135=0),0,1)</f>
        <v>1</v>
      </c>
    </row>
    <row r="16136" spans="1:13" x14ac:dyDescent="0.2">
      <c r="A16136" t="s">
        <v>545</v>
      </c>
      <c r="B16136" t="s">
        <v>133</v>
      </c>
      <c r="C16136" t="s">
        <v>21</v>
      </c>
      <c r="D16136">
        <v>3999</v>
      </c>
      <c r="E16136">
        <v>2021</v>
      </c>
      <c r="F16136">
        <v>3</v>
      </c>
      <c r="G16136">
        <v>18786</v>
      </c>
      <c r="H16136" s="1">
        <v>4</v>
      </c>
      <c r="I16136">
        <v>1</v>
      </c>
      <c r="J16136">
        <f>IF($H16136=0,1,IF($I16136&lt;=1,2,0))</f>
        <v>2</v>
      </c>
      <c r="K16136">
        <v>9</v>
      </c>
      <c r="L16136">
        <f>IF(AND($J16136=0,$K16136=0),0,1)</f>
        <v>1</v>
      </c>
      <c r="M16136" t="s">
        <v>1671</v>
      </c>
    </row>
    <row r="16137" spans="1:13" x14ac:dyDescent="0.2">
      <c r="A16137" t="s">
        <v>545</v>
      </c>
      <c r="B16137" t="s">
        <v>133</v>
      </c>
      <c r="C16137" t="s">
        <v>21</v>
      </c>
      <c r="D16137">
        <v>3999</v>
      </c>
      <c r="E16137">
        <v>2021</v>
      </c>
      <c r="F16137">
        <v>5</v>
      </c>
      <c r="G16137">
        <v>20165</v>
      </c>
      <c r="H16137" s="1">
        <v>4</v>
      </c>
      <c r="I16137">
        <v>1</v>
      </c>
      <c r="J16137">
        <f>IF($H16137=0,1,IF($I16137&lt;=1,2,0))</f>
        <v>2</v>
      </c>
      <c r="K16137">
        <v>9</v>
      </c>
      <c r="L16137">
        <f>IF(AND($J16137=0,$K16137=0),0,1)</f>
        <v>1</v>
      </c>
    </row>
    <row r="16138" spans="1:13" x14ac:dyDescent="0.2">
      <c r="A16138" t="s">
        <v>545</v>
      </c>
      <c r="B16138" t="s">
        <v>133</v>
      </c>
      <c r="C16138" t="s">
        <v>21</v>
      </c>
      <c r="D16138">
        <v>3999</v>
      </c>
      <c r="E16138">
        <v>2021</v>
      </c>
      <c r="F16138">
        <v>6</v>
      </c>
      <c r="G16138">
        <v>20282</v>
      </c>
      <c r="H16138" s="1">
        <v>4</v>
      </c>
      <c r="I16138">
        <v>1</v>
      </c>
      <c r="J16138">
        <f>IF($H16138=0,1,IF($I16138&lt;=1,2,0))</f>
        <v>2</v>
      </c>
      <c r="K16138">
        <v>9</v>
      </c>
      <c r="L16138">
        <f>IF(AND($J16138=0,$K16138=0),0,1)</f>
        <v>1</v>
      </c>
    </row>
    <row r="16139" spans="1:13" x14ac:dyDescent="0.2">
      <c r="A16139" t="s">
        <v>545</v>
      </c>
      <c r="B16139" t="s">
        <v>133</v>
      </c>
      <c r="C16139" t="s">
        <v>21</v>
      </c>
      <c r="D16139">
        <v>3999</v>
      </c>
      <c r="E16139">
        <v>2021</v>
      </c>
      <c r="F16139">
        <v>7</v>
      </c>
      <c r="G16139">
        <v>20326</v>
      </c>
      <c r="H16139" s="1">
        <v>4</v>
      </c>
      <c r="I16139">
        <v>1</v>
      </c>
      <c r="J16139">
        <f>IF($H16139=0,1,IF($I16139&lt;=1,2,0))</f>
        <v>2</v>
      </c>
      <c r="K16139">
        <v>9</v>
      </c>
      <c r="L16139">
        <f>IF(AND($J16139=0,$K16139=0),0,1)</f>
        <v>1</v>
      </c>
    </row>
    <row r="16140" spans="1:13" x14ac:dyDescent="0.2">
      <c r="A16140" t="s">
        <v>545</v>
      </c>
      <c r="B16140" t="s">
        <v>133</v>
      </c>
      <c r="C16140" t="s">
        <v>21</v>
      </c>
      <c r="D16140">
        <v>3999</v>
      </c>
      <c r="E16140">
        <v>2021</v>
      </c>
      <c r="F16140">
        <v>8</v>
      </c>
      <c r="G16140">
        <v>20557</v>
      </c>
      <c r="H16140" s="1">
        <v>4</v>
      </c>
      <c r="I16140">
        <v>1</v>
      </c>
      <c r="J16140">
        <f>IF($H16140=0,1,IF($I16140&lt;=1,2,0))</f>
        <v>2</v>
      </c>
      <c r="K16140">
        <v>9</v>
      </c>
      <c r="L16140">
        <f>IF(AND($J16140=0,$K16140=0),0,1)</f>
        <v>1</v>
      </c>
    </row>
    <row r="16141" spans="1:13" x14ac:dyDescent="0.2">
      <c r="A16141" t="s">
        <v>545</v>
      </c>
      <c r="B16141" t="s">
        <v>133</v>
      </c>
      <c r="C16141" t="s">
        <v>21</v>
      </c>
      <c r="D16141">
        <v>3999</v>
      </c>
      <c r="E16141">
        <v>2021</v>
      </c>
      <c r="F16141">
        <v>9</v>
      </c>
      <c r="G16141">
        <v>20494</v>
      </c>
      <c r="H16141" s="1">
        <v>4</v>
      </c>
      <c r="I16141">
        <v>1</v>
      </c>
      <c r="J16141">
        <f>IF($H16141=0,1,IF($I16141&lt;=1,2,0))</f>
        <v>2</v>
      </c>
      <c r="K16141">
        <v>9</v>
      </c>
      <c r="L16141">
        <f>IF(AND($J16141=0,$K16141=0),0,1)</f>
        <v>1</v>
      </c>
    </row>
    <row r="16142" spans="1:13" x14ac:dyDescent="0.2">
      <c r="A16142" t="s">
        <v>545</v>
      </c>
      <c r="B16142" t="s">
        <v>133</v>
      </c>
      <c r="C16142" t="s">
        <v>21</v>
      </c>
      <c r="D16142">
        <v>3999</v>
      </c>
      <c r="E16142">
        <v>2021</v>
      </c>
      <c r="F16142">
        <v>10</v>
      </c>
      <c r="G16142">
        <v>20559</v>
      </c>
      <c r="H16142" s="1">
        <v>4</v>
      </c>
      <c r="I16142">
        <v>1</v>
      </c>
      <c r="J16142">
        <f>IF($H16142=0,1,IF($I16142&lt;=1,2,0))</f>
        <v>2</v>
      </c>
      <c r="K16142">
        <v>9</v>
      </c>
      <c r="L16142">
        <f>IF(AND($J16142=0,$K16142=0),0,1)</f>
        <v>1</v>
      </c>
    </row>
    <row r="16143" spans="1:13" x14ac:dyDescent="0.2">
      <c r="A16143" t="s">
        <v>545</v>
      </c>
      <c r="B16143" t="s">
        <v>133</v>
      </c>
      <c r="C16143" t="s">
        <v>21</v>
      </c>
      <c r="D16143">
        <v>3999</v>
      </c>
      <c r="E16143">
        <v>2021</v>
      </c>
      <c r="F16143">
        <v>11</v>
      </c>
      <c r="G16143">
        <v>20897</v>
      </c>
      <c r="H16143" s="1">
        <v>4</v>
      </c>
      <c r="I16143">
        <v>1</v>
      </c>
      <c r="J16143">
        <f>IF($H16143=0,1,IF($I16143&lt;=1,2,0))</f>
        <v>2</v>
      </c>
      <c r="K16143">
        <v>9</v>
      </c>
      <c r="L16143">
        <f>IF(AND($J16143=0,$K16143=0),0,1)</f>
        <v>1</v>
      </c>
    </row>
    <row r="16144" spans="1:13" x14ac:dyDescent="0.2">
      <c r="A16144" t="s">
        <v>545</v>
      </c>
      <c r="B16144" t="s">
        <v>133</v>
      </c>
      <c r="C16144" t="s">
        <v>11</v>
      </c>
      <c r="D16144">
        <v>5300</v>
      </c>
      <c r="E16144">
        <v>2021</v>
      </c>
      <c r="F16144">
        <v>1</v>
      </c>
      <c r="G16144">
        <v>10776</v>
      </c>
      <c r="H16144" s="1">
        <v>3</v>
      </c>
      <c r="I16144">
        <v>38</v>
      </c>
      <c r="J16144">
        <f>IF($H16144=0,1,IF($I16144&lt;=1,2,0))</f>
        <v>0</v>
      </c>
      <c r="K16144">
        <v>4</v>
      </c>
      <c r="L16144">
        <f>IF(AND($J16144=0,$K16144=0),0,1)</f>
        <v>1</v>
      </c>
      <c r="M16144" t="s">
        <v>2074</v>
      </c>
    </row>
    <row r="16145" spans="1:13" x14ac:dyDescent="0.2">
      <c r="A16145" t="s">
        <v>545</v>
      </c>
      <c r="B16145" t="s">
        <v>133</v>
      </c>
      <c r="C16145" t="s">
        <v>11</v>
      </c>
      <c r="D16145">
        <v>5510</v>
      </c>
      <c r="E16145">
        <v>2021</v>
      </c>
      <c r="F16145">
        <v>1</v>
      </c>
      <c r="G16145">
        <v>10787</v>
      </c>
      <c r="H16145" s="1" t="s">
        <v>1827</v>
      </c>
      <c r="I16145">
        <v>7</v>
      </c>
      <c r="J16145">
        <f>IF($H16145=0,1,IF($I16145&lt;=1,2,0))</f>
        <v>0</v>
      </c>
      <c r="K16145">
        <v>4</v>
      </c>
      <c r="L16145">
        <f>IF(AND($J16145=0,$K16145=0),0,1)</f>
        <v>1</v>
      </c>
      <c r="M16145" t="s">
        <v>550</v>
      </c>
    </row>
    <row r="16146" spans="1:13" x14ac:dyDescent="0.2">
      <c r="A16146" t="s">
        <v>545</v>
      </c>
      <c r="B16146" t="s">
        <v>133</v>
      </c>
      <c r="C16146" t="s">
        <v>11</v>
      </c>
      <c r="D16146">
        <v>9903</v>
      </c>
      <c r="E16146">
        <v>2021</v>
      </c>
      <c r="F16146">
        <v>1</v>
      </c>
      <c r="G16146">
        <v>10794</v>
      </c>
      <c r="H16146" s="1">
        <v>3</v>
      </c>
      <c r="I16146">
        <v>5</v>
      </c>
      <c r="J16146">
        <f>IF($H16146=0,1,IF($I16146&lt;=1,2,0))</f>
        <v>0</v>
      </c>
      <c r="K16146">
        <v>5</v>
      </c>
      <c r="L16146">
        <f>IF(AND($J16146=0,$K16146=0),0,1)</f>
        <v>1</v>
      </c>
      <c r="M16146" t="s">
        <v>1140</v>
      </c>
    </row>
    <row r="16147" spans="1:13" x14ac:dyDescent="0.2">
      <c r="A16147" t="s">
        <v>552</v>
      </c>
      <c r="B16147" t="s">
        <v>17</v>
      </c>
      <c r="C16147" t="s">
        <v>7</v>
      </c>
      <c r="D16147">
        <v>1031</v>
      </c>
      <c r="E16147">
        <v>2021</v>
      </c>
      <c r="F16147">
        <v>3</v>
      </c>
      <c r="G16147">
        <v>13935</v>
      </c>
      <c r="H16147" s="1">
        <v>0</v>
      </c>
      <c r="I16147">
        <v>16</v>
      </c>
      <c r="J16147">
        <f>IF($H16147=0,1,IF($I16147&lt;=1,2,0))</f>
        <v>1</v>
      </c>
      <c r="K16147">
        <v>0</v>
      </c>
      <c r="L16147">
        <f>IF(AND($J16147=0,$K16147=0),0,1)</f>
        <v>1</v>
      </c>
      <c r="M16147" t="s">
        <v>1674</v>
      </c>
    </row>
    <row r="16148" spans="1:13" x14ac:dyDescent="0.2">
      <c r="A16148" t="s">
        <v>552</v>
      </c>
      <c r="B16148" t="s">
        <v>17</v>
      </c>
      <c r="C16148" t="s">
        <v>7</v>
      </c>
      <c r="D16148">
        <v>1031</v>
      </c>
      <c r="E16148">
        <v>2021</v>
      </c>
      <c r="F16148">
        <v>6</v>
      </c>
      <c r="G16148">
        <v>13940</v>
      </c>
      <c r="H16148" s="1">
        <v>0</v>
      </c>
      <c r="I16148">
        <v>16</v>
      </c>
      <c r="J16148">
        <f>IF($H16148=0,1,IF($I16148&lt;=1,2,0))</f>
        <v>1</v>
      </c>
      <c r="K16148">
        <v>0</v>
      </c>
      <c r="L16148">
        <f>IF(AND($J16148=0,$K16148=0),0,1)</f>
        <v>1</v>
      </c>
      <c r="M16148" t="s">
        <v>1674</v>
      </c>
    </row>
    <row r="16149" spans="1:13" x14ac:dyDescent="0.2">
      <c r="A16149" t="s">
        <v>552</v>
      </c>
      <c r="B16149" t="s">
        <v>17</v>
      </c>
      <c r="C16149" t="s">
        <v>7</v>
      </c>
      <c r="D16149">
        <v>1031</v>
      </c>
      <c r="E16149">
        <v>2021</v>
      </c>
      <c r="F16149">
        <v>9</v>
      </c>
      <c r="G16149">
        <v>17462</v>
      </c>
      <c r="H16149" s="1">
        <v>0</v>
      </c>
      <c r="I16149">
        <v>16</v>
      </c>
      <c r="J16149">
        <f>IF($H16149=0,1,IF($I16149&lt;=1,2,0))</f>
        <v>1</v>
      </c>
      <c r="K16149">
        <v>0</v>
      </c>
      <c r="L16149">
        <f>IF(AND($J16149=0,$K16149=0),0,1)</f>
        <v>1</v>
      </c>
      <c r="M16149" t="s">
        <v>1673</v>
      </c>
    </row>
    <row r="16150" spans="1:13" x14ac:dyDescent="0.2">
      <c r="A16150" t="s">
        <v>552</v>
      </c>
      <c r="B16150" t="s">
        <v>17</v>
      </c>
      <c r="C16150" t="s">
        <v>7</v>
      </c>
      <c r="D16150">
        <v>1031</v>
      </c>
      <c r="E16150">
        <v>2021</v>
      </c>
      <c r="F16150">
        <v>1</v>
      </c>
      <c r="G16150">
        <v>13932</v>
      </c>
      <c r="H16150" s="1">
        <v>0</v>
      </c>
      <c r="I16150">
        <v>15</v>
      </c>
      <c r="J16150">
        <f>IF($H16150=0,1,IF($I16150&lt;=1,2,0))</f>
        <v>1</v>
      </c>
      <c r="K16150">
        <v>0</v>
      </c>
      <c r="L16150">
        <f>IF(AND($J16150=0,$K16150=0),0,1)</f>
        <v>1</v>
      </c>
      <c r="M16150" t="s">
        <v>1673</v>
      </c>
    </row>
    <row r="16151" spans="1:13" x14ac:dyDescent="0.2">
      <c r="A16151" t="s">
        <v>552</v>
      </c>
      <c r="B16151" t="s">
        <v>17</v>
      </c>
      <c r="C16151" t="s">
        <v>7</v>
      </c>
      <c r="D16151">
        <v>1031</v>
      </c>
      <c r="E16151">
        <v>2021</v>
      </c>
      <c r="F16151">
        <v>12</v>
      </c>
      <c r="G16151">
        <v>17740</v>
      </c>
      <c r="H16151" s="1">
        <v>0</v>
      </c>
      <c r="I16151">
        <v>15</v>
      </c>
      <c r="J16151">
        <f>IF($H16151=0,1,IF($I16151&lt;=1,2,0))</f>
        <v>1</v>
      </c>
      <c r="K16151">
        <v>0</v>
      </c>
      <c r="L16151">
        <f>IF(AND($J16151=0,$K16151=0),0,1)</f>
        <v>1</v>
      </c>
      <c r="M16151" t="s">
        <v>1675</v>
      </c>
    </row>
    <row r="16152" spans="1:13" x14ac:dyDescent="0.2">
      <c r="A16152" t="s">
        <v>552</v>
      </c>
      <c r="B16152" t="s">
        <v>17</v>
      </c>
      <c r="C16152" t="s">
        <v>7</v>
      </c>
      <c r="D16152">
        <v>1031</v>
      </c>
      <c r="E16152">
        <v>2021</v>
      </c>
      <c r="F16152">
        <v>5</v>
      </c>
      <c r="G16152">
        <v>13939</v>
      </c>
      <c r="H16152" s="1">
        <v>0</v>
      </c>
      <c r="I16152">
        <v>14</v>
      </c>
      <c r="J16152">
        <f>IF($H16152=0,1,IF($I16152&lt;=1,2,0))</f>
        <v>1</v>
      </c>
      <c r="K16152">
        <v>0</v>
      </c>
      <c r="L16152">
        <f>IF(AND($J16152=0,$K16152=0),0,1)</f>
        <v>1</v>
      </c>
      <c r="M16152" t="s">
        <v>1674</v>
      </c>
    </row>
    <row r="16153" spans="1:13" x14ac:dyDescent="0.2">
      <c r="A16153" t="s">
        <v>552</v>
      </c>
      <c r="B16153" t="s">
        <v>17</v>
      </c>
      <c r="C16153" t="s">
        <v>7</v>
      </c>
      <c r="D16153">
        <v>1031</v>
      </c>
      <c r="E16153">
        <v>2021</v>
      </c>
      <c r="F16153">
        <v>10</v>
      </c>
      <c r="G16153">
        <v>17463</v>
      </c>
      <c r="H16153" s="1">
        <v>0</v>
      </c>
      <c r="I16153">
        <v>14</v>
      </c>
      <c r="J16153">
        <f>IF($H16153=0,1,IF($I16153&lt;=1,2,0))</f>
        <v>1</v>
      </c>
      <c r="K16153">
        <v>0</v>
      </c>
      <c r="L16153">
        <f>IF(AND($J16153=0,$K16153=0),0,1)</f>
        <v>1</v>
      </c>
      <c r="M16153" t="s">
        <v>1673</v>
      </c>
    </row>
    <row r="16154" spans="1:13" x14ac:dyDescent="0.2">
      <c r="A16154" t="s">
        <v>552</v>
      </c>
      <c r="B16154" t="s">
        <v>17</v>
      </c>
      <c r="C16154" t="s">
        <v>7</v>
      </c>
      <c r="D16154">
        <v>1031</v>
      </c>
      <c r="E16154">
        <v>2021</v>
      </c>
      <c r="F16154">
        <v>13</v>
      </c>
      <c r="G16154">
        <v>20542</v>
      </c>
      <c r="H16154" s="1">
        <v>0</v>
      </c>
      <c r="I16154">
        <v>14</v>
      </c>
      <c r="J16154">
        <f>IF($H16154=0,1,IF($I16154&lt;=1,2,0))</f>
        <v>1</v>
      </c>
      <c r="K16154">
        <v>0</v>
      </c>
      <c r="L16154">
        <f>IF(AND($J16154=0,$K16154=0),0,1)</f>
        <v>1</v>
      </c>
    </row>
    <row r="16155" spans="1:13" x14ac:dyDescent="0.2">
      <c r="A16155" t="s">
        <v>552</v>
      </c>
      <c r="B16155" t="s">
        <v>17</v>
      </c>
      <c r="C16155" t="s">
        <v>7</v>
      </c>
      <c r="D16155">
        <v>1031</v>
      </c>
      <c r="E16155">
        <v>2021</v>
      </c>
      <c r="F16155">
        <v>2</v>
      </c>
      <c r="G16155">
        <v>13934</v>
      </c>
      <c r="H16155" s="1">
        <v>0</v>
      </c>
      <c r="I16155">
        <v>13</v>
      </c>
      <c r="J16155">
        <f>IF($H16155=0,1,IF($I16155&lt;=1,2,0))</f>
        <v>1</v>
      </c>
      <c r="K16155">
        <v>0</v>
      </c>
      <c r="L16155">
        <f>IF(AND($J16155=0,$K16155=0),0,1)</f>
        <v>1</v>
      </c>
      <c r="M16155" t="s">
        <v>1674</v>
      </c>
    </row>
    <row r="16156" spans="1:13" x14ac:dyDescent="0.2">
      <c r="A16156" t="s">
        <v>552</v>
      </c>
      <c r="B16156" t="s">
        <v>17</v>
      </c>
      <c r="C16156" t="s">
        <v>7</v>
      </c>
      <c r="D16156">
        <v>1031</v>
      </c>
      <c r="E16156">
        <v>2021</v>
      </c>
      <c r="F16156">
        <v>4</v>
      </c>
      <c r="G16156">
        <v>13937</v>
      </c>
      <c r="H16156" s="1">
        <v>0</v>
      </c>
      <c r="I16156">
        <v>13</v>
      </c>
      <c r="J16156">
        <f>IF($H16156=0,1,IF($I16156&lt;=1,2,0))</f>
        <v>1</v>
      </c>
      <c r="K16156">
        <v>0</v>
      </c>
      <c r="L16156">
        <f>IF(AND($J16156=0,$K16156=0),0,1)</f>
        <v>1</v>
      </c>
      <c r="M16156" t="s">
        <v>1674</v>
      </c>
    </row>
    <row r="16157" spans="1:13" x14ac:dyDescent="0.2">
      <c r="A16157" t="s">
        <v>552</v>
      </c>
      <c r="B16157" t="s">
        <v>17</v>
      </c>
      <c r="C16157" t="s">
        <v>7</v>
      </c>
      <c r="D16157">
        <v>1031</v>
      </c>
      <c r="E16157">
        <v>2021</v>
      </c>
      <c r="F16157">
        <v>8</v>
      </c>
      <c r="G16157">
        <v>16018</v>
      </c>
      <c r="H16157" s="1">
        <v>0</v>
      </c>
      <c r="I16157">
        <v>13</v>
      </c>
      <c r="J16157">
        <f>IF($H16157=0,1,IF($I16157&lt;=1,2,0))</f>
        <v>1</v>
      </c>
      <c r="K16157">
        <v>0</v>
      </c>
      <c r="L16157">
        <f>IF(AND($J16157=0,$K16157=0),0,1)</f>
        <v>1</v>
      </c>
      <c r="M16157" t="s">
        <v>1673</v>
      </c>
    </row>
    <row r="16158" spans="1:13" x14ac:dyDescent="0.2">
      <c r="A16158" t="s">
        <v>552</v>
      </c>
      <c r="B16158" t="s">
        <v>17</v>
      </c>
      <c r="C16158" t="s">
        <v>7</v>
      </c>
      <c r="D16158">
        <v>1031</v>
      </c>
      <c r="E16158">
        <v>2021</v>
      </c>
      <c r="F16158">
        <v>7</v>
      </c>
      <c r="G16158">
        <v>16017</v>
      </c>
      <c r="H16158" s="1">
        <v>0</v>
      </c>
      <c r="I16158">
        <v>12</v>
      </c>
      <c r="J16158">
        <f>IF($H16158=0,1,IF($I16158&lt;=1,2,0))</f>
        <v>1</v>
      </c>
      <c r="K16158">
        <v>0</v>
      </c>
      <c r="L16158">
        <f>IF(AND($J16158=0,$K16158=0),0,1)</f>
        <v>1</v>
      </c>
      <c r="M16158" t="s">
        <v>1673</v>
      </c>
    </row>
    <row r="16159" spans="1:13" x14ac:dyDescent="0.2">
      <c r="A16159" t="s">
        <v>552</v>
      </c>
      <c r="B16159" t="s">
        <v>17</v>
      </c>
      <c r="C16159" t="s">
        <v>7</v>
      </c>
      <c r="D16159">
        <v>1031</v>
      </c>
      <c r="E16159">
        <v>2021</v>
      </c>
      <c r="F16159">
        <v>11</v>
      </c>
      <c r="G16159">
        <v>17739</v>
      </c>
      <c r="H16159" s="1">
        <v>0</v>
      </c>
      <c r="I16159">
        <v>9</v>
      </c>
      <c r="J16159">
        <f>IF($H16159=0,1,IF($I16159&lt;=1,2,0))</f>
        <v>1</v>
      </c>
      <c r="K16159">
        <v>0</v>
      </c>
      <c r="L16159">
        <f>IF(AND($J16159=0,$K16159=0),0,1)</f>
        <v>1</v>
      </c>
      <c r="M16159" t="s">
        <v>1675</v>
      </c>
    </row>
    <row r="16160" spans="1:13" x14ac:dyDescent="0.2">
      <c r="A16160" t="s">
        <v>552</v>
      </c>
      <c r="B16160" t="s">
        <v>17</v>
      </c>
      <c r="C16160" t="s">
        <v>7</v>
      </c>
      <c r="D16160">
        <v>1031</v>
      </c>
      <c r="E16160">
        <v>2021</v>
      </c>
      <c r="F16160">
        <v>14</v>
      </c>
      <c r="G16160">
        <v>20541</v>
      </c>
      <c r="H16160" s="1">
        <v>0</v>
      </c>
      <c r="I16160">
        <v>9</v>
      </c>
      <c r="J16160">
        <f>IF($H16160=0,1,IF($I16160&lt;=1,2,0))</f>
        <v>1</v>
      </c>
      <c r="K16160">
        <v>0</v>
      </c>
      <c r="L16160">
        <f>IF(AND($J16160=0,$K16160=0),0,1)</f>
        <v>1</v>
      </c>
    </row>
    <row r="16161" spans="1:13" x14ac:dyDescent="0.2">
      <c r="A16161" t="s">
        <v>552</v>
      </c>
      <c r="B16161" t="s">
        <v>17</v>
      </c>
      <c r="C16161" t="s">
        <v>9</v>
      </c>
      <c r="D16161">
        <v>1301</v>
      </c>
      <c r="E16161">
        <v>2021</v>
      </c>
      <c r="F16161">
        <v>1</v>
      </c>
      <c r="G16161">
        <v>10877</v>
      </c>
      <c r="H16161" s="1">
        <v>4</v>
      </c>
      <c r="I16161">
        <v>1</v>
      </c>
      <c r="J16161">
        <f>IF($H16161=0,1,IF($I16161&lt;=1,2,0))</f>
        <v>2</v>
      </c>
      <c r="K16161">
        <v>0</v>
      </c>
      <c r="L16161">
        <f>IF(AND($J16161=0,$K16161=0),0,1)</f>
        <v>1</v>
      </c>
    </row>
    <row r="16162" spans="1:13" x14ac:dyDescent="0.2">
      <c r="A16162" t="s">
        <v>552</v>
      </c>
      <c r="B16162" t="s">
        <v>17</v>
      </c>
      <c r="C16162" t="s">
        <v>7</v>
      </c>
      <c r="D16162">
        <v>2005</v>
      </c>
      <c r="E16162">
        <v>2021</v>
      </c>
      <c r="F16162">
        <v>1</v>
      </c>
      <c r="G16162">
        <v>10806</v>
      </c>
      <c r="H16162" s="1">
        <v>0</v>
      </c>
      <c r="I16162">
        <v>15</v>
      </c>
      <c r="J16162">
        <f>IF($H16162=0,1,IF($I16162&lt;=1,2,0))</f>
        <v>1</v>
      </c>
      <c r="K16162">
        <v>0</v>
      </c>
      <c r="L16162">
        <f>IF(AND($J16162=0,$K16162=0),0,1)</f>
        <v>1</v>
      </c>
      <c r="M16162" t="s">
        <v>1676</v>
      </c>
    </row>
    <row r="16163" spans="1:13" x14ac:dyDescent="0.2">
      <c r="A16163" t="s">
        <v>552</v>
      </c>
      <c r="B16163" t="s">
        <v>17</v>
      </c>
      <c r="C16163" t="s">
        <v>7</v>
      </c>
      <c r="D16163">
        <v>2005</v>
      </c>
      <c r="E16163">
        <v>2021</v>
      </c>
      <c r="F16163">
        <v>2</v>
      </c>
      <c r="G16163">
        <v>10810</v>
      </c>
      <c r="H16163" s="1">
        <v>0</v>
      </c>
      <c r="I16163">
        <v>9</v>
      </c>
      <c r="J16163">
        <f>IF($H16163=0,1,IF($I16163&lt;=1,2,0))</f>
        <v>1</v>
      </c>
      <c r="K16163">
        <v>0</v>
      </c>
      <c r="L16163">
        <f>IF(AND($J16163=0,$K16163=0),0,1)</f>
        <v>1</v>
      </c>
      <c r="M16163" t="s">
        <v>1677</v>
      </c>
    </row>
    <row r="16164" spans="1:13" x14ac:dyDescent="0.2">
      <c r="A16164" t="s">
        <v>552</v>
      </c>
      <c r="B16164" t="s">
        <v>17</v>
      </c>
      <c r="C16164" t="s">
        <v>9</v>
      </c>
      <c r="D16164">
        <v>3005</v>
      </c>
      <c r="E16164">
        <v>2021</v>
      </c>
      <c r="F16164">
        <v>3</v>
      </c>
      <c r="G16164">
        <v>10847</v>
      </c>
      <c r="H16164" s="1">
        <v>0</v>
      </c>
      <c r="I16164">
        <v>14</v>
      </c>
      <c r="J16164">
        <f>IF($H16164=0,1,IF($I16164&lt;=1,2,0))</f>
        <v>1</v>
      </c>
      <c r="K16164">
        <v>0</v>
      </c>
      <c r="L16164">
        <f>IF(AND($J16164=0,$K16164=0),0,1)</f>
        <v>1</v>
      </c>
    </row>
    <row r="16165" spans="1:13" x14ac:dyDescent="0.2">
      <c r="A16165" t="s">
        <v>552</v>
      </c>
      <c r="B16165" t="s">
        <v>17</v>
      </c>
      <c r="C16165" t="s">
        <v>9</v>
      </c>
      <c r="D16165">
        <v>3005</v>
      </c>
      <c r="E16165">
        <v>2021</v>
      </c>
      <c r="F16165">
        <v>4</v>
      </c>
      <c r="G16165">
        <v>10848</v>
      </c>
      <c r="H16165" s="1">
        <v>0</v>
      </c>
      <c r="I16165">
        <v>14</v>
      </c>
      <c r="J16165">
        <f>IF($H16165=0,1,IF($I16165&lt;=1,2,0))</f>
        <v>1</v>
      </c>
      <c r="K16165">
        <v>0</v>
      </c>
      <c r="L16165">
        <f>IF(AND($J16165=0,$K16165=0),0,1)</f>
        <v>1</v>
      </c>
    </row>
    <row r="16166" spans="1:13" x14ac:dyDescent="0.2">
      <c r="A16166" t="s">
        <v>552</v>
      </c>
      <c r="B16166" t="s">
        <v>17</v>
      </c>
      <c r="C16166" t="s">
        <v>9</v>
      </c>
      <c r="D16166">
        <v>3005</v>
      </c>
      <c r="E16166">
        <v>2021</v>
      </c>
      <c r="F16166">
        <v>1</v>
      </c>
      <c r="G16166">
        <v>10814</v>
      </c>
      <c r="H16166" s="1">
        <v>0</v>
      </c>
      <c r="I16166">
        <v>13</v>
      </c>
      <c r="J16166">
        <f>IF($H16166=0,1,IF($I16166&lt;=1,2,0))</f>
        <v>1</v>
      </c>
      <c r="K16166">
        <v>0</v>
      </c>
      <c r="L16166">
        <f>IF(AND($J16166=0,$K16166=0),0,1)</f>
        <v>1</v>
      </c>
      <c r="M16166" t="s">
        <v>1679</v>
      </c>
    </row>
    <row r="16167" spans="1:13" x14ac:dyDescent="0.2">
      <c r="A16167" t="s">
        <v>552</v>
      </c>
      <c r="B16167" t="s">
        <v>17</v>
      </c>
      <c r="C16167" t="s">
        <v>9</v>
      </c>
      <c r="D16167">
        <v>3005</v>
      </c>
      <c r="E16167">
        <v>2021</v>
      </c>
      <c r="F16167">
        <v>5</v>
      </c>
      <c r="G16167">
        <v>12571</v>
      </c>
      <c r="H16167" s="1">
        <v>0</v>
      </c>
      <c r="I16167">
        <v>13</v>
      </c>
      <c r="J16167">
        <f>IF($H16167=0,1,IF($I16167&lt;=1,2,0))</f>
        <v>1</v>
      </c>
      <c r="K16167">
        <v>0</v>
      </c>
      <c r="L16167">
        <f>IF(AND($J16167=0,$K16167=0),0,1)</f>
        <v>1</v>
      </c>
    </row>
    <row r="16168" spans="1:13" x14ac:dyDescent="0.2">
      <c r="A16168" t="s">
        <v>552</v>
      </c>
      <c r="B16168" t="s">
        <v>17</v>
      </c>
      <c r="C16168" t="s">
        <v>9</v>
      </c>
      <c r="D16168">
        <v>3005</v>
      </c>
      <c r="E16168">
        <v>2021</v>
      </c>
      <c r="F16168">
        <v>2</v>
      </c>
      <c r="G16168">
        <v>10846</v>
      </c>
      <c r="H16168" s="1">
        <v>0</v>
      </c>
      <c r="I16168">
        <v>11</v>
      </c>
      <c r="J16168">
        <f>IF($H16168=0,1,IF($I16168&lt;=1,2,0))</f>
        <v>1</v>
      </c>
      <c r="K16168">
        <v>0</v>
      </c>
      <c r="L16168">
        <f>IF(AND($J16168=0,$K16168=0),0,1)</f>
        <v>1</v>
      </c>
    </row>
    <row r="16169" spans="1:13" x14ac:dyDescent="0.2">
      <c r="A16169" t="s">
        <v>552</v>
      </c>
      <c r="B16169" t="s">
        <v>17</v>
      </c>
      <c r="C16169" t="s">
        <v>9</v>
      </c>
      <c r="D16169">
        <v>3005</v>
      </c>
      <c r="E16169">
        <v>2021</v>
      </c>
      <c r="F16169">
        <v>6</v>
      </c>
      <c r="G16169">
        <v>12572</v>
      </c>
      <c r="H16169" s="1">
        <v>0</v>
      </c>
      <c r="I16169">
        <v>9</v>
      </c>
      <c r="J16169">
        <f>IF($H16169=0,1,IF($I16169&lt;=1,2,0))</f>
        <v>1</v>
      </c>
      <c r="K16169">
        <v>0</v>
      </c>
      <c r="L16169">
        <f>IF(AND($J16169=0,$K16169=0),0,1)</f>
        <v>1</v>
      </c>
    </row>
    <row r="16170" spans="1:13" x14ac:dyDescent="0.2">
      <c r="A16170" t="s">
        <v>552</v>
      </c>
      <c r="B16170" t="s">
        <v>17</v>
      </c>
      <c r="C16170" t="s">
        <v>9</v>
      </c>
      <c r="D16170">
        <v>4357</v>
      </c>
      <c r="E16170">
        <v>2021</v>
      </c>
      <c r="F16170" t="s">
        <v>1349</v>
      </c>
      <c r="G16170">
        <v>18967</v>
      </c>
      <c r="H16170" s="1">
        <v>0</v>
      </c>
      <c r="I16170">
        <v>5</v>
      </c>
      <c r="J16170">
        <f>IF($H16170=0,1,IF($I16170&lt;=1,2,0))</f>
        <v>1</v>
      </c>
      <c r="K16170">
        <v>0</v>
      </c>
      <c r="L16170">
        <f>IF(AND($J16170=0,$K16170=0),0,1)</f>
        <v>1</v>
      </c>
    </row>
    <row r="16171" spans="1:13" x14ac:dyDescent="0.2">
      <c r="A16171" t="s">
        <v>552</v>
      </c>
      <c r="B16171" t="s">
        <v>17</v>
      </c>
      <c r="C16171" t="s">
        <v>11</v>
      </c>
      <c r="D16171">
        <v>8008</v>
      </c>
      <c r="E16171">
        <v>2021</v>
      </c>
      <c r="F16171">
        <v>1</v>
      </c>
      <c r="G16171">
        <v>10614</v>
      </c>
      <c r="H16171" s="1">
        <v>0</v>
      </c>
      <c r="I16171">
        <v>12</v>
      </c>
      <c r="J16171">
        <f>IF($H16171=0,1,IF($I16171&lt;=1,2,0))</f>
        <v>1</v>
      </c>
      <c r="K16171">
        <v>0</v>
      </c>
      <c r="L16171">
        <f>IF(AND($J16171=0,$K16171=0),0,1)</f>
        <v>1</v>
      </c>
      <c r="M16171" t="s">
        <v>1680</v>
      </c>
    </row>
    <row r="16172" spans="1:13" x14ac:dyDescent="0.2">
      <c r="A16172" t="s">
        <v>555</v>
      </c>
      <c r="B16172" t="s">
        <v>71</v>
      </c>
      <c r="C16172" t="s">
        <v>72</v>
      </c>
      <c r="D16172">
        <v>4439</v>
      </c>
      <c r="E16172">
        <v>2021</v>
      </c>
      <c r="F16172" t="s">
        <v>84</v>
      </c>
      <c r="G16172">
        <v>20378</v>
      </c>
      <c r="H16172" s="1">
        <v>3</v>
      </c>
      <c r="I16172">
        <v>1</v>
      </c>
      <c r="J16172">
        <f>IF($H16172=0,1,IF($I16172&lt;=1,2,0))</f>
        <v>2</v>
      </c>
      <c r="K16172">
        <v>0</v>
      </c>
      <c r="L16172">
        <f>IF(AND($J16172=0,$K16172=0),0,1)</f>
        <v>1</v>
      </c>
      <c r="M16172" t="s">
        <v>85</v>
      </c>
    </row>
    <row r="16173" spans="1:13" x14ac:dyDescent="0.2">
      <c r="A16173" t="s">
        <v>556</v>
      </c>
      <c r="B16173" t="s">
        <v>71</v>
      </c>
      <c r="C16173" t="s">
        <v>72</v>
      </c>
      <c r="D16173">
        <v>3100</v>
      </c>
      <c r="E16173">
        <v>2021</v>
      </c>
      <c r="F16173" t="s">
        <v>59</v>
      </c>
      <c r="G16173">
        <v>12172</v>
      </c>
      <c r="H16173" s="1">
        <v>0</v>
      </c>
      <c r="I16173">
        <v>64</v>
      </c>
      <c r="J16173">
        <f>IF($H16173=0,1,IF($I16173&lt;=1,2,0))</f>
        <v>1</v>
      </c>
      <c r="K16173">
        <v>0</v>
      </c>
      <c r="L16173">
        <f>IF(AND($J16173=0,$K16173=0),0,1)</f>
        <v>1</v>
      </c>
    </row>
    <row r="16174" spans="1:13" x14ac:dyDescent="0.2">
      <c r="A16174" t="s">
        <v>556</v>
      </c>
      <c r="B16174" t="s">
        <v>71</v>
      </c>
      <c r="C16174" t="s">
        <v>72</v>
      </c>
      <c r="D16174">
        <v>3301</v>
      </c>
      <c r="E16174">
        <v>2021</v>
      </c>
      <c r="F16174" t="s">
        <v>59</v>
      </c>
      <c r="G16174">
        <v>12171</v>
      </c>
      <c r="H16174" s="1">
        <v>0</v>
      </c>
      <c r="I16174">
        <v>70</v>
      </c>
      <c r="J16174">
        <f>IF($H16174=0,1,IF($I16174&lt;=1,2,0))</f>
        <v>1</v>
      </c>
      <c r="K16174">
        <v>0</v>
      </c>
      <c r="L16174">
        <f>IF(AND($J16174=0,$K16174=0),0,1)</f>
        <v>1</v>
      </c>
    </row>
    <row r="16175" spans="1:13" x14ac:dyDescent="0.2">
      <c r="A16175" t="s">
        <v>556</v>
      </c>
      <c r="B16175" t="s">
        <v>71</v>
      </c>
      <c r="C16175" t="s">
        <v>72</v>
      </c>
      <c r="D16175">
        <v>3900</v>
      </c>
      <c r="E16175">
        <v>2021</v>
      </c>
      <c r="F16175">
        <v>19</v>
      </c>
      <c r="G16175">
        <v>13627</v>
      </c>
      <c r="H16175" s="1" t="s">
        <v>1827</v>
      </c>
      <c r="I16175">
        <v>2</v>
      </c>
      <c r="J16175">
        <f>IF($H16175=0,1,IF($I16175&lt;=1,2,0))</f>
        <v>0</v>
      </c>
      <c r="K16175">
        <v>9</v>
      </c>
      <c r="L16175">
        <f>IF(AND($J16175=0,$K16175=0),0,1)</f>
        <v>1</v>
      </c>
    </row>
    <row r="16176" spans="1:13" x14ac:dyDescent="0.2">
      <c r="A16176" t="s">
        <v>556</v>
      </c>
      <c r="B16176" t="s">
        <v>71</v>
      </c>
      <c r="C16176" t="s">
        <v>72</v>
      </c>
      <c r="D16176">
        <v>3900</v>
      </c>
      <c r="E16176">
        <v>2021</v>
      </c>
      <c r="F16176">
        <v>16</v>
      </c>
      <c r="G16176">
        <v>13624</v>
      </c>
      <c r="H16176" s="1" t="s">
        <v>1827</v>
      </c>
      <c r="I16176">
        <v>1</v>
      </c>
      <c r="J16176">
        <f>IF($H16176=0,1,IF($I16176&lt;=1,2,0))</f>
        <v>2</v>
      </c>
      <c r="K16176">
        <v>9</v>
      </c>
      <c r="L16176">
        <f>IF(AND($J16176=0,$K16176=0),0,1)</f>
        <v>1</v>
      </c>
    </row>
    <row r="16177" spans="1:12" x14ac:dyDescent="0.2">
      <c r="A16177" t="s">
        <v>556</v>
      </c>
      <c r="B16177" t="s">
        <v>71</v>
      </c>
      <c r="C16177" t="s">
        <v>72</v>
      </c>
      <c r="D16177">
        <v>3900</v>
      </c>
      <c r="E16177">
        <v>2021</v>
      </c>
      <c r="F16177">
        <v>1</v>
      </c>
      <c r="G16177">
        <v>13610</v>
      </c>
      <c r="H16177" s="1" t="s">
        <v>1827</v>
      </c>
      <c r="I16177">
        <v>0</v>
      </c>
      <c r="J16177">
        <f>IF($H16177=0,1,IF($I16177&lt;=1,2,0))</f>
        <v>2</v>
      </c>
      <c r="K16177">
        <v>9</v>
      </c>
      <c r="L16177">
        <f>IF(AND($J16177=0,$K16177=0),0,1)</f>
        <v>1</v>
      </c>
    </row>
    <row r="16178" spans="1:12" x14ac:dyDescent="0.2">
      <c r="A16178" t="s">
        <v>556</v>
      </c>
      <c r="B16178" t="s">
        <v>71</v>
      </c>
      <c r="C16178" t="s">
        <v>72</v>
      </c>
      <c r="D16178">
        <v>3900</v>
      </c>
      <c r="E16178">
        <v>2021</v>
      </c>
      <c r="F16178">
        <v>2</v>
      </c>
      <c r="G16178">
        <v>13611</v>
      </c>
      <c r="H16178" s="1" t="s">
        <v>1827</v>
      </c>
      <c r="I16178">
        <v>0</v>
      </c>
      <c r="J16178">
        <f>IF($H16178=0,1,IF($I16178&lt;=1,2,0))</f>
        <v>2</v>
      </c>
      <c r="K16178">
        <v>9</v>
      </c>
      <c r="L16178">
        <f>IF(AND($J16178=0,$K16178=0),0,1)</f>
        <v>1</v>
      </c>
    </row>
    <row r="16179" spans="1:12" x14ac:dyDescent="0.2">
      <c r="A16179" t="s">
        <v>556</v>
      </c>
      <c r="B16179" t="s">
        <v>71</v>
      </c>
      <c r="C16179" t="s">
        <v>72</v>
      </c>
      <c r="D16179">
        <v>3900</v>
      </c>
      <c r="E16179">
        <v>2021</v>
      </c>
      <c r="F16179">
        <v>3</v>
      </c>
      <c r="G16179">
        <v>13612</v>
      </c>
      <c r="H16179" s="1" t="s">
        <v>1827</v>
      </c>
      <c r="I16179">
        <v>0</v>
      </c>
      <c r="J16179">
        <f>IF($H16179=0,1,IF($I16179&lt;=1,2,0))</f>
        <v>2</v>
      </c>
      <c r="K16179">
        <v>9</v>
      </c>
      <c r="L16179">
        <f>IF(AND($J16179=0,$K16179=0),0,1)</f>
        <v>1</v>
      </c>
    </row>
    <row r="16180" spans="1:12" x14ac:dyDescent="0.2">
      <c r="A16180" t="s">
        <v>556</v>
      </c>
      <c r="B16180" t="s">
        <v>71</v>
      </c>
      <c r="C16180" t="s">
        <v>72</v>
      </c>
      <c r="D16180">
        <v>3900</v>
      </c>
      <c r="E16180">
        <v>2021</v>
      </c>
      <c r="F16180">
        <v>4</v>
      </c>
      <c r="G16180">
        <v>13613</v>
      </c>
      <c r="H16180" s="1" t="s">
        <v>1827</v>
      </c>
      <c r="I16180">
        <v>0</v>
      </c>
      <c r="J16180">
        <f>IF($H16180=0,1,IF($I16180&lt;=1,2,0))</f>
        <v>2</v>
      </c>
      <c r="K16180">
        <v>9</v>
      </c>
      <c r="L16180">
        <f>IF(AND($J16180=0,$K16180=0),0,1)</f>
        <v>1</v>
      </c>
    </row>
    <row r="16181" spans="1:12" x14ac:dyDescent="0.2">
      <c r="A16181" t="s">
        <v>556</v>
      </c>
      <c r="B16181" t="s">
        <v>71</v>
      </c>
      <c r="C16181" t="s">
        <v>72</v>
      </c>
      <c r="D16181">
        <v>3900</v>
      </c>
      <c r="E16181">
        <v>2021</v>
      </c>
      <c r="F16181">
        <v>6</v>
      </c>
      <c r="G16181">
        <v>13614</v>
      </c>
      <c r="H16181" s="1" t="s">
        <v>1827</v>
      </c>
      <c r="I16181">
        <v>0</v>
      </c>
      <c r="J16181">
        <f>IF($H16181=0,1,IF($I16181&lt;=1,2,0))</f>
        <v>2</v>
      </c>
      <c r="K16181">
        <v>9</v>
      </c>
      <c r="L16181">
        <f>IF(AND($J16181=0,$K16181=0),0,1)</f>
        <v>1</v>
      </c>
    </row>
    <row r="16182" spans="1:12" x14ac:dyDescent="0.2">
      <c r="A16182" t="s">
        <v>556</v>
      </c>
      <c r="B16182" t="s">
        <v>71</v>
      </c>
      <c r="C16182" t="s">
        <v>72</v>
      </c>
      <c r="D16182">
        <v>3900</v>
      </c>
      <c r="E16182">
        <v>2021</v>
      </c>
      <c r="F16182">
        <v>7</v>
      </c>
      <c r="G16182">
        <v>13615</v>
      </c>
      <c r="H16182" s="1" t="s">
        <v>1827</v>
      </c>
      <c r="I16182">
        <v>0</v>
      </c>
      <c r="J16182">
        <f>IF($H16182=0,1,IF($I16182&lt;=1,2,0))</f>
        <v>2</v>
      </c>
      <c r="K16182">
        <v>9</v>
      </c>
      <c r="L16182">
        <f>IF(AND($J16182=0,$K16182=0),0,1)</f>
        <v>1</v>
      </c>
    </row>
    <row r="16183" spans="1:12" x14ac:dyDescent="0.2">
      <c r="A16183" t="s">
        <v>556</v>
      </c>
      <c r="B16183" t="s">
        <v>71</v>
      </c>
      <c r="C16183" t="s">
        <v>72</v>
      </c>
      <c r="D16183">
        <v>3900</v>
      </c>
      <c r="E16183">
        <v>2021</v>
      </c>
      <c r="F16183">
        <v>8</v>
      </c>
      <c r="G16183">
        <v>13616</v>
      </c>
      <c r="H16183" s="1" t="s">
        <v>1827</v>
      </c>
      <c r="I16183">
        <v>0</v>
      </c>
      <c r="J16183">
        <f>IF($H16183=0,1,IF($I16183&lt;=1,2,0))</f>
        <v>2</v>
      </c>
      <c r="K16183">
        <v>9</v>
      </c>
      <c r="L16183">
        <f>IF(AND($J16183=0,$K16183=0),0,1)</f>
        <v>1</v>
      </c>
    </row>
    <row r="16184" spans="1:12" x14ac:dyDescent="0.2">
      <c r="A16184" t="s">
        <v>556</v>
      </c>
      <c r="B16184" t="s">
        <v>71</v>
      </c>
      <c r="C16184" t="s">
        <v>72</v>
      </c>
      <c r="D16184">
        <v>3900</v>
      </c>
      <c r="E16184">
        <v>2021</v>
      </c>
      <c r="F16184">
        <v>9</v>
      </c>
      <c r="G16184">
        <v>13617</v>
      </c>
      <c r="H16184" s="1" t="s">
        <v>1827</v>
      </c>
      <c r="I16184">
        <v>0</v>
      </c>
      <c r="J16184">
        <f>IF($H16184=0,1,IF($I16184&lt;=1,2,0))</f>
        <v>2</v>
      </c>
      <c r="K16184">
        <v>9</v>
      </c>
      <c r="L16184">
        <f>IF(AND($J16184=0,$K16184=0),0,1)</f>
        <v>1</v>
      </c>
    </row>
    <row r="16185" spans="1:12" x14ac:dyDescent="0.2">
      <c r="A16185" t="s">
        <v>556</v>
      </c>
      <c r="B16185" t="s">
        <v>71</v>
      </c>
      <c r="C16185" t="s">
        <v>72</v>
      </c>
      <c r="D16185">
        <v>3900</v>
      </c>
      <c r="E16185">
        <v>2021</v>
      </c>
      <c r="F16185">
        <v>10</v>
      </c>
      <c r="G16185">
        <v>13618</v>
      </c>
      <c r="H16185" s="1" t="s">
        <v>1827</v>
      </c>
      <c r="I16185">
        <v>0</v>
      </c>
      <c r="J16185">
        <f>IF($H16185=0,1,IF($I16185&lt;=1,2,0))</f>
        <v>2</v>
      </c>
      <c r="K16185">
        <v>9</v>
      </c>
      <c r="L16185">
        <f>IF(AND($J16185=0,$K16185=0),0,1)</f>
        <v>1</v>
      </c>
    </row>
    <row r="16186" spans="1:12" x14ac:dyDescent="0.2">
      <c r="A16186" t="s">
        <v>556</v>
      </c>
      <c r="B16186" t="s">
        <v>71</v>
      </c>
      <c r="C16186" t="s">
        <v>72</v>
      </c>
      <c r="D16186">
        <v>3900</v>
      </c>
      <c r="E16186">
        <v>2021</v>
      </c>
      <c r="F16186">
        <v>11</v>
      </c>
      <c r="G16186">
        <v>13619</v>
      </c>
      <c r="H16186" s="1" t="s">
        <v>1827</v>
      </c>
      <c r="I16186">
        <v>0</v>
      </c>
      <c r="J16186">
        <f>IF($H16186=0,1,IF($I16186&lt;=1,2,0))</f>
        <v>2</v>
      </c>
      <c r="K16186">
        <v>9</v>
      </c>
      <c r="L16186">
        <f>IF(AND($J16186=0,$K16186=0),0,1)</f>
        <v>1</v>
      </c>
    </row>
    <row r="16187" spans="1:12" x14ac:dyDescent="0.2">
      <c r="A16187" t="s">
        <v>556</v>
      </c>
      <c r="B16187" t="s">
        <v>71</v>
      </c>
      <c r="C16187" t="s">
        <v>72</v>
      </c>
      <c r="D16187">
        <v>3900</v>
      </c>
      <c r="E16187">
        <v>2021</v>
      </c>
      <c r="F16187">
        <v>12</v>
      </c>
      <c r="G16187">
        <v>13620</v>
      </c>
      <c r="H16187" s="1" t="s">
        <v>1827</v>
      </c>
      <c r="I16187">
        <v>0</v>
      </c>
      <c r="J16187">
        <f>IF($H16187=0,1,IF($I16187&lt;=1,2,0))</f>
        <v>2</v>
      </c>
      <c r="K16187">
        <v>9</v>
      </c>
      <c r="L16187">
        <f>IF(AND($J16187=0,$K16187=0),0,1)</f>
        <v>1</v>
      </c>
    </row>
    <row r="16188" spans="1:12" x14ac:dyDescent="0.2">
      <c r="A16188" t="s">
        <v>556</v>
      </c>
      <c r="B16188" t="s">
        <v>71</v>
      </c>
      <c r="C16188" t="s">
        <v>72</v>
      </c>
      <c r="D16188">
        <v>3900</v>
      </c>
      <c r="E16188">
        <v>2021</v>
      </c>
      <c r="F16188">
        <v>13</v>
      </c>
      <c r="G16188">
        <v>13621</v>
      </c>
      <c r="H16188" s="1" t="s">
        <v>1827</v>
      </c>
      <c r="I16188">
        <v>0</v>
      </c>
      <c r="J16188">
        <f>IF($H16188=0,1,IF($I16188&lt;=1,2,0))</f>
        <v>2</v>
      </c>
      <c r="K16188">
        <v>9</v>
      </c>
      <c r="L16188">
        <f>IF(AND($J16188=0,$K16188=0),0,1)</f>
        <v>1</v>
      </c>
    </row>
    <row r="16189" spans="1:12" x14ac:dyDescent="0.2">
      <c r="A16189" t="s">
        <v>556</v>
      </c>
      <c r="B16189" t="s">
        <v>71</v>
      </c>
      <c r="C16189" t="s">
        <v>72</v>
      </c>
      <c r="D16189">
        <v>3900</v>
      </c>
      <c r="E16189">
        <v>2021</v>
      </c>
      <c r="F16189">
        <v>14</v>
      </c>
      <c r="G16189">
        <v>13622</v>
      </c>
      <c r="H16189" s="1" t="s">
        <v>1827</v>
      </c>
      <c r="I16189">
        <v>0</v>
      </c>
      <c r="J16189">
        <f>IF($H16189=0,1,IF($I16189&lt;=1,2,0))</f>
        <v>2</v>
      </c>
      <c r="K16189">
        <v>9</v>
      </c>
      <c r="L16189">
        <f>IF(AND($J16189=0,$K16189=0),0,1)</f>
        <v>1</v>
      </c>
    </row>
    <row r="16190" spans="1:12" x14ac:dyDescent="0.2">
      <c r="A16190" t="s">
        <v>556</v>
      </c>
      <c r="B16190" t="s">
        <v>71</v>
      </c>
      <c r="C16190" t="s">
        <v>72</v>
      </c>
      <c r="D16190">
        <v>3900</v>
      </c>
      <c r="E16190">
        <v>2021</v>
      </c>
      <c r="F16190">
        <v>15</v>
      </c>
      <c r="G16190">
        <v>13623</v>
      </c>
      <c r="H16190" s="1" t="s">
        <v>1827</v>
      </c>
      <c r="I16190">
        <v>0</v>
      </c>
      <c r="J16190">
        <f>IF($H16190=0,1,IF($I16190&lt;=1,2,0))</f>
        <v>2</v>
      </c>
      <c r="K16190">
        <v>9</v>
      </c>
      <c r="L16190">
        <f>IF(AND($J16190=0,$K16190=0),0,1)</f>
        <v>1</v>
      </c>
    </row>
    <row r="16191" spans="1:12" x14ac:dyDescent="0.2">
      <c r="A16191" t="s">
        <v>556</v>
      </c>
      <c r="B16191" t="s">
        <v>71</v>
      </c>
      <c r="C16191" t="s">
        <v>72</v>
      </c>
      <c r="D16191">
        <v>3900</v>
      </c>
      <c r="E16191">
        <v>2021</v>
      </c>
      <c r="F16191">
        <v>17</v>
      </c>
      <c r="G16191">
        <v>13625</v>
      </c>
      <c r="H16191" s="1" t="s">
        <v>1827</v>
      </c>
      <c r="I16191">
        <v>0</v>
      </c>
      <c r="J16191">
        <f>IF($H16191=0,1,IF($I16191&lt;=1,2,0))</f>
        <v>2</v>
      </c>
      <c r="K16191">
        <v>9</v>
      </c>
      <c r="L16191">
        <f>IF(AND($J16191=0,$K16191=0),0,1)</f>
        <v>1</v>
      </c>
    </row>
    <row r="16192" spans="1:12" x14ac:dyDescent="0.2">
      <c r="A16192" t="s">
        <v>556</v>
      </c>
      <c r="B16192" t="s">
        <v>71</v>
      </c>
      <c r="C16192" t="s">
        <v>72</v>
      </c>
      <c r="D16192">
        <v>3900</v>
      </c>
      <c r="E16192">
        <v>2021</v>
      </c>
      <c r="F16192">
        <v>18</v>
      </c>
      <c r="G16192">
        <v>13626</v>
      </c>
      <c r="H16192" s="1" t="s">
        <v>1827</v>
      </c>
      <c r="I16192">
        <v>0</v>
      </c>
      <c r="J16192">
        <f>IF($H16192=0,1,IF($I16192&lt;=1,2,0))</f>
        <v>2</v>
      </c>
      <c r="K16192">
        <v>9</v>
      </c>
      <c r="L16192">
        <f>IF(AND($J16192=0,$K16192=0),0,1)</f>
        <v>1</v>
      </c>
    </row>
    <row r="16193" spans="1:12" x14ac:dyDescent="0.2">
      <c r="A16193" t="s">
        <v>556</v>
      </c>
      <c r="B16193" t="s">
        <v>71</v>
      </c>
      <c r="C16193" t="s">
        <v>72</v>
      </c>
      <c r="D16193">
        <v>3900</v>
      </c>
      <c r="E16193">
        <v>2021</v>
      </c>
      <c r="F16193">
        <v>20</v>
      </c>
      <c r="G16193">
        <v>13628</v>
      </c>
      <c r="H16193" s="1" t="s">
        <v>1827</v>
      </c>
      <c r="I16193">
        <v>0</v>
      </c>
      <c r="J16193">
        <f>IF($H16193=0,1,IF($I16193&lt;=1,2,0))</f>
        <v>2</v>
      </c>
      <c r="K16193">
        <v>9</v>
      </c>
      <c r="L16193">
        <f>IF(AND($J16193=0,$K16193=0),0,1)</f>
        <v>1</v>
      </c>
    </row>
    <row r="16194" spans="1:12" x14ac:dyDescent="0.2">
      <c r="A16194" t="s">
        <v>556</v>
      </c>
      <c r="B16194" t="s">
        <v>71</v>
      </c>
      <c r="C16194" t="s">
        <v>72</v>
      </c>
      <c r="D16194">
        <v>3998</v>
      </c>
      <c r="E16194">
        <v>2021</v>
      </c>
      <c r="F16194">
        <v>18</v>
      </c>
      <c r="G16194">
        <v>13645</v>
      </c>
      <c r="H16194" s="1" t="s">
        <v>1827</v>
      </c>
      <c r="I16194">
        <v>7</v>
      </c>
      <c r="J16194">
        <f>IF($H16194=0,1,IF($I16194&lt;=1,2,0))</f>
        <v>0</v>
      </c>
      <c r="K16194">
        <v>9</v>
      </c>
      <c r="L16194">
        <f>IF(AND($J16194=0,$K16194=0),0,1)</f>
        <v>1</v>
      </c>
    </row>
    <row r="16195" spans="1:12" x14ac:dyDescent="0.2">
      <c r="A16195" t="s">
        <v>556</v>
      </c>
      <c r="B16195" t="s">
        <v>71</v>
      </c>
      <c r="C16195" t="s">
        <v>72</v>
      </c>
      <c r="D16195">
        <v>3998</v>
      </c>
      <c r="E16195">
        <v>2021</v>
      </c>
      <c r="F16195">
        <v>6</v>
      </c>
      <c r="G16195">
        <v>13633</v>
      </c>
      <c r="H16195" s="1" t="s">
        <v>1827</v>
      </c>
      <c r="I16195">
        <v>2</v>
      </c>
      <c r="J16195">
        <f>IF($H16195=0,1,IF($I16195&lt;=1,2,0))</f>
        <v>0</v>
      </c>
      <c r="K16195">
        <v>9</v>
      </c>
      <c r="L16195">
        <f>IF(AND($J16195=0,$K16195=0),0,1)</f>
        <v>1</v>
      </c>
    </row>
    <row r="16196" spans="1:12" x14ac:dyDescent="0.2">
      <c r="A16196" t="s">
        <v>556</v>
      </c>
      <c r="B16196" t="s">
        <v>71</v>
      </c>
      <c r="C16196" t="s">
        <v>72</v>
      </c>
      <c r="D16196">
        <v>3998</v>
      </c>
      <c r="E16196">
        <v>2021</v>
      </c>
      <c r="F16196">
        <v>16</v>
      </c>
      <c r="G16196">
        <v>13643</v>
      </c>
      <c r="H16196" s="1" t="s">
        <v>1827</v>
      </c>
      <c r="I16196">
        <v>2</v>
      </c>
      <c r="J16196">
        <f>IF($H16196=0,1,IF($I16196&lt;=1,2,0))</f>
        <v>0</v>
      </c>
      <c r="K16196">
        <v>9</v>
      </c>
      <c r="L16196">
        <f>IF(AND($J16196=0,$K16196=0),0,1)</f>
        <v>1</v>
      </c>
    </row>
    <row r="16197" spans="1:12" x14ac:dyDescent="0.2">
      <c r="A16197" t="s">
        <v>556</v>
      </c>
      <c r="B16197" t="s">
        <v>71</v>
      </c>
      <c r="C16197" t="s">
        <v>72</v>
      </c>
      <c r="D16197">
        <v>3998</v>
      </c>
      <c r="E16197">
        <v>2021</v>
      </c>
      <c r="F16197">
        <v>21</v>
      </c>
      <c r="G16197">
        <v>18533</v>
      </c>
      <c r="H16197" s="1" t="s">
        <v>1827</v>
      </c>
      <c r="I16197">
        <v>2</v>
      </c>
      <c r="J16197">
        <f>IF($H16197=0,1,IF($I16197&lt;=1,2,0))</f>
        <v>0</v>
      </c>
      <c r="K16197">
        <v>9</v>
      </c>
      <c r="L16197">
        <f>IF(AND($J16197=0,$K16197=0),0,1)</f>
        <v>1</v>
      </c>
    </row>
    <row r="16198" spans="1:12" x14ac:dyDescent="0.2">
      <c r="A16198" t="s">
        <v>556</v>
      </c>
      <c r="B16198" t="s">
        <v>71</v>
      </c>
      <c r="C16198" t="s">
        <v>72</v>
      </c>
      <c r="D16198">
        <v>3998</v>
      </c>
      <c r="E16198">
        <v>2021</v>
      </c>
      <c r="F16198">
        <v>1</v>
      </c>
      <c r="G16198">
        <v>13629</v>
      </c>
      <c r="H16198" s="1" t="s">
        <v>1827</v>
      </c>
      <c r="I16198">
        <v>1</v>
      </c>
      <c r="J16198">
        <f>IF($H16198=0,1,IF($I16198&lt;=1,2,0))</f>
        <v>2</v>
      </c>
      <c r="K16198">
        <v>9</v>
      </c>
      <c r="L16198">
        <f>IF(AND($J16198=0,$K16198=0),0,1)</f>
        <v>1</v>
      </c>
    </row>
    <row r="16199" spans="1:12" x14ac:dyDescent="0.2">
      <c r="A16199" t="s">
        <v>556</v>
      </c>
      <c r="B16199" t="s">
        <v>71</v>
      </c>
      <c r="C16199" t="s">
        <v>72</v>
      </c>
      <c r="D16199">
        <v>3998</v>
      </c>
      <c r="E16199">
        <v>2021</v>
      </c>
      <c r="F16199">
        <v>3</v>
      </c>
      <c r="G16199">
        <v>13631</v>
      </c>
      <c r="H16199" s="1" t="s">
        <v>1827</v>
      </c>
      <c r="I16199">
        <v>1</v>
      </c>
      <c r="J16199">
        <f>IF($H16199=0,1,IF($I16199&lt;=1,2,0))</f>
        <v>2</v>
      </c>
      <c r="K16199">
        <v>9</v>
      </c>
      <c r="L16199">
        <f>IF(AND($J16199=0,$K16199=0),0,1)</f>
        <v>1</v>
      </c>
    </row>
    <row r="16200" spans="1:12" x14ac:dyDescent="0.2">
      <c r="A16200" t="s">
        <v>556</v>
      </c>
      <c r="B16200" t="s">
        <v>71</v>
      </c>
      <c r="C16200" t="s">
        <v>72</v>
      </c>
      <c r="D16200">
        <v>3998</v>
      </c>
      <c r="E16200">
        <v>2021</v>
      </c>
      <c r="F16200">
        <v>4</v>
      </c>
      <c r="G16200">
        <v>13632</v>
      </c>
      <c r="H16200" s="1" t="s">
        <v>1827</v>
      </c>
      <c r="I16200">
        <v>1</v>
      </c>
      <c r="J16200">
        <f>IF($H16200=0,1,IF($I16200&lt;=1,2,0))</f>
        <v>2</v>
      </c>
      <c r="K16200">
        <v>9</v>
      </c>
      <c r="L16200">
        <f>IF(AND($J16200=0,$K16200=0),0,1)</f>
        <v>1</v>
      </c>
    </row>
    <row r="16201" spans="1:12" x14ac:dyDescent="0.2">
      <c r="A16201" t="s">
        <v>556</v>
      </c>
      <c r="B16201" t="s">
        <v>71</v>
      </c>
      <c r="C16201" t="s">
        <v>72</v>
      </c>
      <c r="D16201">
        <v>3998</v>
      </c>
      <c r="E16201">
        <v>2021</v>
      </c>
      <c r="F16201">
        <v>19</v>
      </c>
      <c r="G16201">
        <v>13646</v>
      </c>
      <c r="H16201" s="1" t="s">
        <v>1827</v>
      </c>
      <c r="I16201">
        <v>1</v>
      </c>
      <c r="J16201">
        <f>IF($H16201=0,1,IF($I16201&lt;=1,2,0))</f>
        <v>2</v>
      </c>
      <c r="K16201">
        <v>9</v>
      </c>
      <c r="L16201">
        <f>IF(AND($J16201=0,$K16201=0),0,1)</f>
        <v>1</v>
      </c>
    </row>
    <row r="16202" spans="1:12" x14ac:dyDescent="0.2">
      <c r="A16202" t="s">
        <v>556</v>
      </c>
      <c r="B16202" t="s">
        <v>71</v>
      </c>
      <c r="C16202" t="s">
        <v>72</v>
      </c>
      <c r="D16202">
        <v>3998</v>
      </c>
      <c r="E16202">
        <v>2021</v>
      </c>
      <c r="F16202">
        <v>2</v>
      </c>
      <c r="G16202">
        <v>13630</v>
      </c>
      <c r="H16202" s="1" t="s">
        <v>1827</v>
      </c>
      <c r="I16202">
        <v>0</v>
      </c>
      <c r="J16202">
        <f>IF($H16202=0,1,IF($I16202&lt;=1,2,0))</f>
        <v>2</v>
      </c>
      <c r="K16202">
        <v>9</v>
      </c>
      <c r="L16202">
        <f>IF(AND($J16202=0,$K16202=0),0,1)</f>
        <v>1</v>
      </c>
    </row>
    <row r="16203" spans="1:12" x14ac:dyDescent="0.2">
      <c r="A16203" t="s">
        <v>556</v>
      </c>
      <c r="B16203" t="s">
        <v>71</v>
      </c>
      <c r="C16203" t="s">
        <v>72</v>
      </c>
      <c r="D16203">
        <v>3998</v>
      </c>
      <c r="E16203">
        <v>2021</v>
      </c>
      <c r="F16203">
        <v>7</v>
      </c>
      <c r="G16203">
        <v>13634</v>
      </c>
      <c r="H16203" s="1" t="s">
        <v>1827</v>
      </c>
      <c r="I16203">
        <v>0</v>
      </c>
      <c r="J16203">
        <f>IF($H16203=0,1,IF($I16203&lt;=1,2,0))</f>
        <v>2</v>
      </c>
      <c r="K16203">
        <v>9</v>
      </c>
      <c r="L16203">
        <f>IF(AND($J16203=0,$K16203=0),0,1)</f>
        <v>1</v>
      </c>
    </row>
    <row r="16204" spans="1:12" x14ac:dyDescent="0.2">
      <c r="A16204" t="s">
        <v>556</v>
      </c>
      <c r="B16204" t="s">
        <v>71</v>
      </c>
      <c r="C16204" t="s">
        <v>72</v>
      </c>
      <c r="D16204">
        <v>3998</v>
      </c>
      <c r="E16204">
        <v>2021</v>
      </c>
      <c r="F16204">
        <v>8</v>
      </c>
      <c r="G16204">
        <v>13635</v>
      </c>
      <c r="H16204" s="1" t="s">
        <v>1827</v>
      </c>
      <c r="I16204">
        <v>0</v>
      </c>
      <c r="J16204">
        <f>IF($H16204=0,1,IF($I16204&lt;=1,2,0))</f>
        <v>2</v>
      </c>
      <c r="K16204">
        <v>9</v>
      </c>
      <c r="L16204">
        <f>IF(AND($J16204=0,$K16204=0),0,1)</f>
        <v>1</v>
      </c>
    </row>
    <row r="16205" spans="1:12" x14ac:dyDescent="0.2">
      <c r="A16205" t="s">
        <v>556</v>
      </c>
      <c r="B16205" t="s">
        <v>71</v>
      </c>
      <c r="C16205" t="s">
        <v>72</v>
      </c>
      <c r="D16205">
        <v>3998</v>
      </c>
      <c r="E16205">
        <v>2021</v>
      </c>
      <c r="F16205">
        <v>9</v>
      </c>
      <c r="G16205">
        <v>13636</v>
      </c>
      <c r="H16205" s="1" t="s">
        <v>1827</v>
      </c>
      <c r="I16205">
        <v>0</v>
      </c>
      <c r="J16205">
        <f>IF($H16205=0,1,IF($I16205&lt;=1,2,0))</f>
        <v>2</v>
      </c>
      <c r="K16205">
        <v>9</v>
      </c>
      <c r="L16205">
        <f>IF(AND($J16205=0,$K16205=0),0,1)</f>
        <v>1</v>
      </c>
    </row>
    <row r="16206" spans="1:12" x14ac:dyDescent="0.2">
      <c r="A16206" t="s">
        <v>556</v>
      </c>
      <c r="B16206" t="s">
        <v>71</v>
      </c>
      <c r="C16206" t="s">
        <v>72</v>
      </c>
      <c r="D16206">
        <v>3998</v>
      </c>
      <c r="E16206">
        <v>2021</v>
      </c>
      <c r="F16206">
        <v>10</v>
      </c>
      <c r="G16206">
        <v>13637</v>
      </c>
      <c r="H16206" s="1" t="s">
        <v>1827</v>
      </c>
      <c r="I16206">
        <v>0</v>
      </c>
      <c r="J16206">
        <f>IF($H16206=0,1,IF($I16206&lt;=1,2,0))</f>
        <v>2</v>
      </c>
      <c r="K16206">
        <v>9</v>
      </c>
      <c r="L16206">
        <f>IF(AND($J16206=0,$K16206=0),0,1)</f>
        <v>1</v>
      </c>
    </row>
    <row r="16207" spans="1:12" x14ac:dyDescent="0.2">
      <c r="A16207" t="s">
        <v>556</v>
      </c>
      <c r="B16207" t="s">
        <v>71</v>
      </c>
      <c r="C16207" t="s">
        <v>72</v>
      </c>
      <c r="D16207">
        <v>3998</v>
      </c>
      <c r="E16207">
        <v>2021</v>
      </c>
      <c r="F16207">
        <v>11</v>
      </c>
      <c r="G16207">
        <v>13638</v>
      </c>
      <c r="H16207" s="1" t="s">
        <v>1827</v>
      </c>
      <c r="I16207">
        <v>0</v>
      </c>
      <c r="J16207">
        <f>IF($H16207=0,1,IF($I16207&lt;=1,2,0))</f>
        <v>2</v>
      </c>
      <c r="K16207">
        <v>9</v>
      </c>
      <c r="L16207">
        <f>IF(AND($J16207=0,$K16207=0),0,1)</f>
        <v>1</v>
      </c>
    </row>
    <row r="16208" spans="1:12" x14ac:dyDescent="0.2">
      <c r="A16208" t="s">
        <v>556</v>
      </c>
      <c r="B16208" t="s">
        <v>71</v>
      </c>
      <c r="C16208" t="s">
        <v>72</v>
      </c>
      <c r="D16208">
        <v>3998</v>
      </c>
      <c r="E16208">
        <v>2021</v>
      </c>
      <c r="F16208">
        <v>12</v>
      </c>
      <c r="G16208">
        <v>13639</v>
      </c>
      <c r="H16208" s="1" t="s">
        <v>1827</v>
      </c>
      <c r="I16208">
        <v>0</v>
      </c>
      <c r="J16208">
        <f>IF($H16208=0,1,IF($I16208&lt;=1,2,0))</f>
        <v>2</v>
      </c>
      <c r="K16208">
        <v>9</v>
      </c>
      <c r="L16208">
        <f>IF(AND($J16208=0,$K16208=0),0,1)</f>
        <v>1</v>
      </c>
    </row>
    <row r="16209" spans="1:13" x14ac:dyDescent="0.2">
      <c r="A16209" t="s">
        <v>556</v>
      </c>
      <c r="B16209" t="s">
        <v>71</v>
      </c>
      <c r="C16209" t="s">
        <v>72</v>
      </c>
      <c r="D16209">
        <v>3998</v>
      </c>
      <c r="E16209">
        <v>2021</v>
      </c>
      <c r="F16209">
        <v>13</v>
      </c>
      <c r="G16209">
        <v>13640</v>
      </c>
      <c r="H16209" s="1" t="s">
        <v>1827</v>
      </c>
      <c r="I16209">
        <v>0</v>
      </c>
      <c r="J16209">
        <f>IF($H16209=0,1,IF($I16209&lt;=1,2,0))</f>
        <v>2</v>
      </c>
      <c r="K16209">
        <v>9</v>
      </c>
      <c r="L16209">
        <f>IF(AND($J16209=0,$K16209=0),0,1)</f>
        <v>1</v>
      </c>
    </row>
    <row r="16210" spans="1:13" x14ac:dyDescent="0.2">
      <c r="A16210" t="s">
        <v>556</v>
      </c>
      <c r="B16210" t="s">
        <v>71</v>
      </c>
      <c r="C16210" t="s">
        <v>72</v>
      </c>
      <c r="D16210">
        <v>3998</v>
      </c>
      <c r="E16210">
        <v>2021</v>
      </c>
      <c r="F16210">
        <v>14</v>
      </c>
      <c r="G16210">
        <v>13641</v>
      </c>
      <c r="H16210" s="1" t="s">
        <v>1827</v>
      </c>
      <c r="I16210">
        <v>0</v>
      </c>
      <c r="J16210">
        <f>IF($H16210=0,1,IF($I16210&lt;=1,2,0))</f>
        <v>2</v>
      </c>
      <c r="K16210">
        <v>9</v>
      </c>
      <c r="L16210">
        <f>IF(AND($J16210=0,$K16210=0),0,1)</f>
        <v>1</v>
      </c>
    </row>
    <row r="16211" spans="1:13" x14ac:dyDescent="0.2">
      <c r="A16211" t="s">
        <v>556</v>
      </c>
      <c r="B16211" t="s">
        <v>71</v>
      </c>
      <c r="C16211" t="s">
        <v>72</v>
      </c>
      <c r="D16211">
        <v>3998</v>
      </c>
      <c r="E16211">
        <v>2021</v>
      </c>
      <c r="F16211">
        <v>15</v>
      </c>
      <c r="G16211">
        <v>13642</v>
      </c>
      <c r="H16211" s="1" t="s">
        <v>1827</v>
      </c>
      <c r="I16211">
        <v>0</v>
      </c>
      <c r="J16211">
        <f>IF($H16211=0,1,IF($I16211&lt;=1,2,0))</f>
        <v>2</v>
      </c>
      <c r="K16211">
        <v>9</v>
      </c>
      <c r="L16211">
        <f>IF(AND($J16211=0,$K16211=0),0,1)</f>
        <v>1</v>
      </c>
    </row>
    <row r="16212" spans="1:13" x14ac:dyDescent="0.2">
      <c r="A16212" t="s">
        <v>556</v>
      </c>
      <c r="B16212" t="s">
        <v>71</v>
      </c>
      <c r="C16212" t="s">
        <v>72</v>
      </c>
      <c r="D16212">
        <v>3998</v>
      </c>
      <c r="E16212">
        <v>2021</v>
      </c>
      <c r="F16212">
        <v>17</v>
      </c>
      <c r="G16212">
        <v>13644</v>
      </c>
      <c r="H16212" s="1" t="s">
        <v>1827</v>
      </c>
      <c r="I16212">
        <v>0</v>
      </c>
      <c r="J16212">
        <f>IF($H16212=0,1,IF($I16212&lt;=1,2,0))</f>
        <v>2</v>
      </c>
      <c r="K16212">
        <v>9</v>
      </c>
      <c r="L16212">
        <f>IF(AND($J16212=0,$K16212=0),0,1)</f>
        <v>1</v>
      </c>
    </row>
    <row r="16213" spans="1:13" x14ac:dyDescent="0.2">
      <c r="A16213" t="s">
        <v>556</v>
      </c>
      <c r="B16213" t="s">
        <v>71</v>
      </c>
      <c r="C16213" t="s">
        <v>72</v>
      </c>
      <c r="D16213">
        <v>3998</v>
      </c>
      <c r="E16213">
        <v>2021</v>
      </c>
      <c r="F16213">
        <v>20</v>
      </c>
      <c r="G16213">
        <v>13647</v>
      </c>
      <c r="H16213" s="1" t="s">
        <v>1827</v>
      </c>
      <c r="I16213">
        <v>0</v>
      </c>
      <c r="J16213">
        <f>IF($H16213=0,1,IF($I16213&lt;=1,2,0))</f>
        <v>2</v>
      </c>
      <c r="K16213">
        <v>9</v>
      </c>
      <c r="L16213">
        <f>IF(AND($J16213=0,$K16213=0),0,1)</f>
        <v>1</v>
      </c>
    </row>
    <row r="16214" spans="1:13" x14ac:dyDescent="0.2">
      <c r="A16214" t="s">
        <v>556</v>
      </c>
      <c r="B16214" t="s">
        <v>71</v>
      </c>
      <c r="C16214" t="s">
        <v>72</v>
      </c>
      <c r="D16214">
        <v>3999</v>
      </c>
      <c r="E16214">
        <v>2021</v>
      </c>
      <c r="F16214">
        <v>1</v>
      </c>
      <c r="G16214">
        <v>12178</v>
      </c>
      <c r="H16214" s="1" t="s">
        <v>1837</v>
      </c>
      <c r="I16214">
        <v>1</v>
      </c>
      <c r="J16214">
        <f>IF($H16214=0,1,IF($I16214&lt;=1,2,0))</f>
        <v>2</v>
      </c>
      <c r="K16214">
        <v>9</v>
      </c>
      <c r="L16214">
        <f>IF(AND($J16214=0,$K16214=0),0,1)</f>
        <v>1</v>
      </c>
    </row>
    <row r="16215" spans="1:13" x14ac:dyDescent="0.2">
      <c r="A16215" t="s">
        <v>556</v>
      </c>
      <c r="B16215" t="s">
        <v>71</v>
      </c>
      <c r="C16215" t="s">
        <v>72</v>
      </c>
      <c r="D16215">
        <v>4302</v>
      </c>
      <c r="E16215">
        <v>2021</v>
      </c>
      <c r="F16215" t="s">
        <v>87</v>
      </c>
      <c r="G16215">
        <v>18354</v>
      </c>
      <c r="H16215" s="1">
        <v>3</v>
      </c>
      <c r="I16215">
        <v>0</v>
      </c>
      <c r="J16215">
        <f>IF($H16215=0,1,IF($I16215&lt;=1,2,0))</f>
        <v>2</v>
      </c>
      <c r="K16215">
        <v>0</v>
      </c>
      <c r="L16215">
        <f>IF(AND($J16215=0,$K16215=0),0,1)</f>
        <v>1</v>
      </c>
      <c r="M16215" t="s">
        <v>85</v>
      </c>
    </row>
    <row r="16216" spans="1:13" x14ac:dyDescent="0.2">
      <c r="A16216" t="s">
        <v>556</v>
      </c>
      <c r="B16216" t="s">
        <v>71</v>
      </c>
      <c r="C16216" t="s">
        <v>72</v>
      </c>
      <c r="D16216">
        <v>4330</v>
      </c>
      <c r="E16216">
        <v>2021</v>
      </c>
      <c r="F16216" t="s">
        <v>87</v>
      </c>
      <c r="G16216">
        <v>18355</v>
      </c>
      <c r="H16216" s="1">
        <v>3</v>
      </c>
      <c r="I16216">
        <v>0</v>
      </c>
      <c r="J16216">
        <f>IF($H16216=0,1,IF($I16216&lt;=1,2,0))</f>
        <v>2</v>
      </c>
      <c r="K16216">
        <v>0</v>
      </c>
      <c r="L16216">
        <f>IF(AND($J16216=0,$K16216=0),0,1)</f>
        <v>1</v>
      </c>
      <c r="M16216" t="s">
        <v>85</v>
      </c>
    </row>
    <row r="16217" spans="1:13" x14ac:dyDescent="0.2">
      <c r="A16217" t="s">
        <v>556</v>
      </c>
      <c r="B16217" t="s">
        <v>71</v>
      </c>
      <c r="C16217" t="s">
        <v>72</v>
      </c>
      <c r="D16217">
        <v>4998</v>
      </c>
      <c r="E16217">
        <v>2021</v>
      </c>
      <c r="F16217">
        <v>18</v>
      </c>
      <c r="G16217">
        <v>13664</v>
      </c>
      <c r="H16217" s="1" t="s">
        <v>1827</v>
      </c>
      <c r="I16217">
        <v>20</v>
      </c>
      <c r="J16217">
        <f>IF($H16217=0,1,IF($I16217&lt;=1,2,0))</f>
        <v>0</v>
      </c>
      <c r="K16217">
        <v>9</v>
      </c>
      <c r="L16217">
        <f>IF(AND($J16217=0,$K16217=0),0,1)</f>
        <v>1</v>
      </c>
    </row>
    <row r="16218" spans="1:13" x14ac:dyDescent="0.2">
      <c r="A16218" t="s">
        <v>556</v>
      </c>
      <c r="B16218" t="s">
        <v>71</v>
      </c>
      <c r="C16218" t="s">
        <v>72</v>
      </c>
      <c r="D16218">
        <v>4998</v>
      </c>
      <c r="E16218">
        <v>2021</v>
      </c>
      <c r="F16218">
        <v>6</v>
      </c>
      <c r="G16218">
        <v>13652</v>
      </c>
      <c r="H16218" s="1" t="s">
        <v>1827</v>
      </c>
      <c r="I16218">
        <v>4</v>
      </c>
      <c r="J16218">
        <f>IF($H16218=0,1,IF($I16218&lt;=1,2,0))</f>
        <v>0</v>
      </c>
      <c r="K16218">
        <v>9</v>
      </c>
      <c r="L16218">
        <f>IF(AND($J16218=0,$K16218=0),0,1)</f>
        <v>1</v>
      </c>
    </row>
    <row r="16219" spans="1:13" x14ac:dyDescent="0.2">
      <c r="A16219" t="s">
        <v>556</v>
      </c>
      <c r="B16219" t="s">
        <v>71</v>
      </c>
      <c r="C16219" t="s">
        <v>72</v>
      </c>
      <c r="D16219">
        <v>4998</v>
      </c>
      <c r="E16219">
        <v>2021</v>
      </c>
      <c r="F16219">
        <v>1</v>
      </c>
      <c r="G16219">
        <v>13648</v>
      </c>
      <c r="H16219" s="1" t="s">
        <v>1827</v>
      </c>
      <c r="I16219">
        <v>3</v>
      </c>
      <c r="J16219">
        <f>IF($H16219=0,1,IF($I16219&lt;=1,2,0))</f>
        <v>0</v>
      </c>
      <c r="K16219">
        <v>9</v>
      </c>
      <c r="L16219">
        <f>IF(AND($J16219=0,$K16219=0),0,1)</f>
        <v>1</v>
      </c>
    </row>
    <row r="16220" spans="1:13" x14ac:dyDescent="0.2">
      <c r="A16220" t="s">
        <v>556</v>
      </c>
      <c r="B16220" t="s">
        <v>71</v>
      </c>
      <c r="C16220" t="s">
        <v>72</v>
      </c>
      <c r="D16220">
        <v>4998</v>
      </c>
      <c r="E16220">
        <v>2021</v>
      </c>
      <c r="F16220">
        <v>9</v>
      </c>
      <c r="G16220">
        <v>13655</v>
      </c>
      <c r="H16220" s="1" t="s">
        <v>1827</v>
      </c>
      <c r="I16220">
        <v>2</v>
      </c>
      <c r="J16220">
        <f>IF($H16220=0,1,IF($I16220&lt;=1,2,0))</f>
        <v>0</v>
      </c>
      <c r="K16220">
        <v>9</v>
      </c>
      <c r="L16220">
        <f>IF(AND($J16220=0,$K16220=0),0,1)</f>
        <v>1</v>
      </c>
    </row>
    <row r="16221" spans="1:13" x14ac:dyDescent="0.2">
      <c r="A16221" t="s">
        <v>556</v>
      </c>
      <c r="B16221" t="s">
        <v>71</v>
      </c>
      <c r="C16221" t="s">
        <v>72</v>
      </c>
      <c r="D16221">
        <v>4998</v>
      </c>
      <c r="E16221">
        <v>2021</v>
      </c>
      <c r="F16221">
        <v>4</v>
      </c>
      <c r="G16221">
        <v>13651</v>
      </c>
      <c r="H16221" s="1" t="s">
        <v>1827</v>
      </c>
      <c r="I16221">
        <v>1</v>
      </c>
      <c r="J16221">
        <f>IF($H16221=0,1,IF($I16221&lt;=1,2,0))</f>
        <v>2</v>
      </c>
      <c r="K16221">
        <v>9</v>
      </c>
      <c r="L16221">
        <f>IF(AND($J16221=0,$K16221=0),0,1)</f>
        <v>1</v>
      </c>
    </row>
    <row r="16222" spans="1:13" x14ac:dyDescent="0.2">
      <c r="A16222" t="s">
        <v>556</v>
      </c>
      <c r="B16222" t="s">
        <v>71</v>
      </c>
      <c r="C16222" t="s">
        <v>72</v>
      </c>
      <c r="D16222">
        <v>4998</v>
      </c>
      <c r="E16222">
        <v>2021</v>
      </c>
      <c r="F16222">
        <v>7</v>
      </c>
      <c r="G16222">
        <v>13653</v>
      </c>
      <c r="H16222" s="1" t="s">
        <v>1827</v>
      </c>
      <c r="I16222">
        <v>1</v>
      </c>
      <c r="J16222">
        <f>IF($H16222=0,1,IF($I16222&lt;=1,2,0))</f>
        <v>2</v>
      </c>
      <c r="K16222">
        <v>9</v>
      </c>
      <c r="L16222">
        <f>IF(AND($J16222=0,$K16222=0),0,1)</f>
        <v>1</v>
      </c>
    </row>
    <row r="16223" spans="1:13" x14ac:dyDescent="0.2">
      <c r="A16223" t="s">
        <v>556</v>
      </c>
      <c r="B16223" t="s">
        <v>71</v>
      </c>
      <c r="C16223" t="s">
        <v>72</v>
      </c>
      <c r="D16223">
        <v>4998</v>
      </c>
      <c r="E16223">
        <v>2021</v>
      </c>
      <c r="F16223">
        <v>12</v>
      </c>
      <c r="G16223">
        <v>13658</v>
      </c>
      <c r="H16223" s="1" t="s">
        <v>1827</v>
      </c>
      <c r="I16223">
        <v>1</v>
      </c>
      <c r="J16223">
        <f>IF($H16223=0,1,IF($I16223&lt;=1,2,0))</f>
        <v>2</v>
      </c>
      <c r="K16223">
        <v>9</v>
      </c>
      <c r="L16223">
        <f>IF(AND($J16223=0,$K16223=0),0,1)</f>
        <v>1</v>
      </c>
    </row>
    <row r="16224" spans="1:13" x14ac:dyDescent="0.2">
      <c r="A16224" t="s">
        <v>556</v>
      </c>
      <c r="B16224" t="s">
        <v>71</v>
      </c>
      <c r="C16224" t="s">
        <v>72</v>
      </c>
      <c r="D16224">
        <v>4998</v>
      </c>
      <c r="E16224">
        <v>2021</v>
      </c>
      <c r="F16224">
        <v>2</v>
      </c>
      <c r="G16224">
        <v>13649</v>
      </c>
      <c r="H16224" s="1" t="s">
        <v>1827</v>
      </c>
      <c r="I16224">
        <v>0</v>
      </c>
      <c r="J16224">
        <f>IF($H16224=0,1,IF($I16224&lt;=1,2,0))</f>
        <v>2</v>
      </c>
      <c r="K16224">
        <v>9</v>
      </c>
      <c r="L16224">
        <f>IF(AND($J16224=0,$K16224=0),0,1)</f>
        <v>1</v>
      </c>
    </row>
    <row r="16225" spans="1:12" x14ac:dyDescent="0.2">
      <c r="A16225" t="s">
        <v>556</v>
      </c>
      <c r="B16225" t="s">
        <v>71</v>
      </c>
      <c r="C16225" t="s">
        <v>72</v>
      </c>
      <c r="D16225">
        <v>4998</v>
      </c>
      <c r="E16225">
        <v>2021</v>
      </c>
      <c r="F16225">
        <v>3</v>
      </c>
      <c r="G16225">
        <v>13650</v>
      </c>
      <c r="H16225" s="1" t="s">
        <v>1827</v>
      </c>
      <c r="I16225">
        <v>0</v>
      </c>
      <c r="J16225">
        <f>IF($H16225=0,1,IF($I16225&lt;=1,2,0))</f>
        <v>2</v>
      </c>
      <c r="K16225">
        <v>9</v>
      </c>
      <c r="L16225">
        <f>IF(AND($J16225=0,$K16225=0),0,1)</f>
        <v>1</v>
      </c>
    </row>
    <row r="16226" spans="1:12" x14ac:dyDescent="0.2">
      <c r="A16226" t="s">
        <v>556</v>
      </c>
      <c r="B16226" t="s">
        <v>71</v>
      </c>
      <c r="C16226" t="s">
        <v>72</v>
      </c>
      <c r="D16226">
        <v>4998</v>
      </c>
      <c r="E16226">
        <v>2021</v>
      </c>
      <c r="F16226">
        <v>8</v>
      </c>
      <c r="G16226">
        <v>13654</v>
      </c>
      <c r="H16226" s="1" t="s">
        <v>1827</v>
      </c>
      <c r="I16226">
        <v>0</v>
      </c>
      <c r="J16226">
        <f>IF($H16226=0,1,IF($I16226&lt;=1,2,0))</f>
        <v>2</v>
      </c>
      <c r="K16226">
        <v>9</v>
      </c>
      <c r="L16226">
        <f>IF(AND($J16226=0,$K16226=0),0,1)</f>
        <v>1</v>
      </c>
    </row>
    <row r="16227" spans="1:12" x14ac:dyDescent="0.2">
      <c r="A16227" t="s">
        <v>556</v>
      </c>
      <c r="B16227" t="s">
        <v>71</v>
      </c>
      <c r="C16227" t="s">
        <v>72</v>
      </c>
      <c r="D16227">
        <v>4998</v>
      </c>
      <c r="E16227">
        <v>2021</v>
      </c>
      <c r="F16227">
        <v>10</v>
      </c>
      <c r="G16227">
        <v>13656</v>
      </c>
      <c r="H16227" s="1" t="s">
        <v>1827</v>
      </c>
      <c r="I16227">
        <v>0</v>
      </c>
      <c r="J16227">
        <f>IF($H16227=0,1,IF($I16227&lt;=1,2,0))</f>
        <v>2</v>
      </c>
      <c r="K16227">
        <v>9</v>
      </c>
      <c r="L16227">
        <f>IF(AND($J16227=0,$K16227=0),0,1)</f>
        <v>1</v>
      </c>
    </row>
    <row r="16228" spans="1:12" x14ac:dyDescent="0.2">
      <c r="A16228" t="s">
        <v>556</v>
      </c>
      <c r="B16228" t="s">
        <v>71</v>
      </c>
      <c r="C16228" t="s">
        <v>72</v>
      </c>
      <c r="D16228">
        <v>4998</v>
      </c>
      <c r="E16228">
        <v>2021</v>
      </c>
      <c r="F16228">
        <v>11</v>
      </c>
      <c r="G16228">
        <v>13657</v>
      </c>
      <c r="H16228" s="1" t="s">
        <v>1827</v>
      </c>
      <c r="I16228">
        <v>0</v>
      </c>
      <c r="J16228">
        <f>IF($H16228=0,1,IF($I16228&lt;=1,2,0))</f>
        <v>2</v>
      </c>
      <c r="K16228">
        <v>9</v>
      </c>
      <c r="L16228">
        <f>IF(AND($J16228=0,$K16228=0),0,1)</f>
        <v>1</v>
      </c>
    </row>
    <row r="16229" spans="1:12" x14ac:dyDescent="0.2">
      <c r="A16229" t="s">
        <v>556</v>
      </c>
      <c r="B16229" t="s">
        <v>71</v>
      </c>
      <c r="C16229" t="s">
        <v>72</v>
      </c>
      <c r="D16229">
        <v>4998</v>
      </c>
      <c r="E16229">
        <v>2021</v>
      </c>
      <c r="F16229">
        <v>13</v>
      </c>
      <c r="G16229">
        <v>13659</v>
      </c>
      <c r="H16229" s="1" t="s">
        <v>1827</v>
      </c>
      <c r="I16229">
        <v>0</v>
      </c>
      <c r="J16229">
        <f>IF($H16229=0,1,IF($I16229&lt;=1,2,0))</f>
        <v>2</v>
      </c>
      <c r="K16229">
        <v>9</v>
      </c>
      <c r="L16229">
        <f>IF(AND($J16229=0,$K16229=0),0,1)</f>
        <v>1</v>
      </c>
    </row>
    <row r="16230" spans="1:12" x14ac:dyDescent="0.2">
      <c r="A16230" t="s">
        <v>556</v>
      </c>
      <c r="B16230" t="s">
        <v>71</v>
      </c>
      <c r="C16230" t="s">
        <v>72</v>
      </c>
      <c r="D16230">
        <v>4998</v>
      </c>
      <c r="E16230">
        <v>2021</v>
      </c>
      <c r="F16230">
        <v>14</v>
      </c>
      <c r="G16230">
        <v>13660</v>
      </c>
      <c r="H16230" s="1" t="s">
        <v>1827</v>
      </c>
      <c r="I16230">
        <v>0</v>
      </c>
      <c r="J16230">
        <f>IF($H16230=0,1,IF($I16230&lt;=1,2,0))</f>
        <v>2</v>
      </c>
      <c r="K16230">
        <v>9</v>
      </c>
      <c r="L16230">
        <f>IF(AND($J16230=0,$K16230=0),0,1)</f>
        <v>1</v>
      </c>
    </row>
    <row r="16231" spans="1:12" x14ac:dyDescent="0.2">
      <c r="A16231" t="s">
        <v>556</v>
      </c>
      <c r="B16231" t="s">
        <v>71</v>
      </c>
      <c r="C16231" t="s">
        <v>72</v>
      </c>
      <c r="D16231">
        <v>4998</v>
      </c>
      <c r="E16231">
        <v>2021</v>
      </c>
      <c r="F16231">
        <v>15</v>
      </c>
      <c r="G16231">
        <v>13661</v>
      </c>
      <c r="H16231" s="1" t="s">
        <v>1827</v>
      </c>
      <c r="I16231">
        <v>0</v>
      </c>
      <c r="J16231">
        <f>IF($H16231=0,1,IF($I16231&lt;=1,2,0))</f>
        <v>2</v>
      </c>
      <c r="K16231">
        <v>9</v>
      </c>
      <c r="L16231">
        <f>IF(AND($J16231=0,$K16231=0),0,1)</f>
        <v>1</v>
      </c>
    </row>
    <row r="16232" spans="1:12" x14ac:dyDescent="0.2">
      <c r="A16232" t="s">
        <v>556</v>
      </c>
      <c r="B16232" t="s">
        <v>71</v>
      </c>
      <c r="C16232" t="s">
        <v>72</v>
      </c>
      <c r="D16232">
        <v>4998</v>
      </c>
      <c r="E16232">
        <v>2021</v>
      </c>
      <c r="F16232">
        <v>16</v>
      </c>
      <c r="G16232">
        <v>13662</v>
      </c>
      <c r="H16232" s="1" t="s">
        <v>1827</v>
      </c>
      <c r="I16232">
        <v>0</v>
      </c>
      <c r="J16232">
        <f>IF($H16232=0,1,IF($I16232&lt;=1,2,0))</f>
        <v>2</v>
      </c>
      <c r="K16232">
        <v>9</v>
      </c>
      <c r="L16232">
        <f>IF(AND($J16232=0,$K16232=0),0,1)</f>
        <v>1</v>
      </c>
    </row>
    <row r="16233" spans="1:12" x14ac:dyDescent="0.2">
      <c r="A16233" t="s">
        <v>556</v>
      </c>
      <c r="B16233" t="s">
        <v>71</v>
      </c>
      <c r="C16233" t="s">
        <v>72</v>
      </c>
      <c r="D16233">
        <v>4998</v>
      </c>
      <c r="E16233">
        <v>2021</v>
      </c>
      <c r="F16233">
        <v>17</v>
      </c>
      <c r="G16233">
        <v>13663</v>
      </c>
      <c r="H16233" s="1" t="s">
        <v>1827</v>
      </c>
      <c r="I16233">
        <v>0</v>
      </c>
      <c r="J16233">
        <f>IF($H16233=0,1,IF($I16233&lt;=1,2,0))</f>
        <v>2</v>
      </c>
      <c r="K16233">
        <v>9</v>
      </c>
      <c r="L16233">
        <f>IF(AND($J16233=0,$K16233=0),0,1)</f>
        <v>1</v>
      </c>
    </row>
    <row r="16234" spans="1:12" x14ac:dyDescent="0.2">
      <c r="A16234" t="s">
        <v>556</v>
      </c>
      <c r="B16234" t="s">
        <v>71</v>
      </c>
      <c r="C16234" t="s">
        <v>72</v>
      </c>
      <c r="D16234">
        <v>4998</v>
      </c>
      <c r="E16234">
        <v>2021</v>
      </c>
      <c r="F16234">
        <v>19</v>
      </c>
      <c r="G16234">
        <v>13665</v>
      </c>
      <c r="H16234" s="1" t="s">
        <v>1827</v>
      </c>
      <c r="I16234">
        <v>0</v>
      </c>
      <c r="J16234">
        <f>IF($H16234=0,1,IF($I16234&lt;=1,2,0))</f>
        <v>2</v>
      </c>
      <c r="K16234">
        <v>9</v>
      </c>
      <c r="L16234">
        <f>IF(AND($J16234=0,$K16234=0),0,1)</f>
        <v>1</v>
      </c>
    </row>
    <row r="16235" spans="1:12" x14ac:dyDescent="0.2">
      <c r="A16235" t="s">
        <v>556</v>
      </c>
      <c r="B16235" t="s">
        <v>71</v>
      </c>
      <c r="C16235" t="s">
        <v>72</v>
      </c>
      <c r="D16235">
        <v>4998</v>
      </c>
      <c r="E16235">
        <v>2021</v>
      </c>
      <c r="F16235">
        <v>20</v>
      </c>
      <c r="G16235">
        <v>13666</v>
      </c>
      <c r="H16235" s="1" t="s">
        <v>1827</v>
      </c>
      <c r="I16235">
        <v>0</v>
      </c>
      <c r="J16235">
        <f>IF($H16235=0,1,IF($I16235&lt;=1,2,0))</f>
        <v>2</v>
      </c>
      <c r="K16235">
        <v>9</v>
      </c>
      <c r="L16235">
        <f>IF(AND($J16235=0,$K16235=0),0,1)</f>
        <v>1</v>
      </c>
    </row>
    <row r="16236" spans="1:12" x14ac:dyDescent="0.2">
      <c r="A16236" t="s">
        <v>556</v>
      </c>
      <c r="B16236" t="s">
        <v>71</v>
      </c>
      <c r="C16236" t="s">
        <v>72</v>
      </c>
      <c r="D16236">
        <v>4998</v>
      </c>
      <c r="E16236">
        <v>2021</v>
      </c>
      <c r="F16236">
        <v>21</v>
      </c>
      <c r="G16236">
        <v>18534</v>
      </c>
      <c r="H16236" s="1" t="s">
        <v>1827</v>
      </c>
      <c r="I16236">
        <v>0</v>
      </c>
      <c r="J16236">
        <f>IF($H16236=0,1,IF($I16236&lt;=1,2,0))</f>
        <v>2</v>
      </c>
      <c r="K16236">
        <v>9</v>
      </c>
      <c r="L16236">
        <f>IF(AND($J16236=0,$K16236=0),0,1)</f>
        <v>1</v>
      </c>
    </row>
    <row r="16237" spans="1:12" x14ac:dyDescent="0.2">
      <c r="A16237" t="s">
        <v>556</v>
      </c>
      <c r="B16237" t="s">
        <v>71</v>
      </c>
      <c r="C16237" t="s">
        <v>72</v>
      </c>
      <c r="D16237">
        <v>4999</v>
      </c>
      <c r="E16237">
        <v>2021</v>
      </c>
      <c r="F16237">
        <v>1</v>
      </c>
      <c r="G16237">
        <v>18917</v>
      </c>
      <c r="H16237" s="1">
        <v>1</v>
      </c>
      <c r="I16237">
        <v>11</v>
      </c>
      <c r="J16237">
        <f>IF($H16237=0,1,IF($I16237&lt;=1,2,0))</f>
        <v>0</v>
      </c>
      <c r="K16237">
        <v>9</v>
      </c>
      <c r="L16237">
        <f>IF(AND($J16237=0,$K16237=0),0,1)</f>
        <v>1</v>
      </c>
    </row>
    <row r="16238" spans="1:12" x14ac:dyDescent="0.2">
      <c r="A16238" t="s">
        <v>556</v>
      </c>
      <c r="B16238" t="s">
        <v>71</v>
      </c>
      <c r="C16238" t="s">
        <v>72</v>
      </c>
      <c r="D16238">
        <v>6423</v>
      </c>
      <c r="E16238">
        <v>2021</v>
      </c>
      <c r="F16238" t="s">
        <v>87</v>
      </c>
      <c r="G16238">
        <v>18359</v>
      </c>
      <c r="H16238" s="1">
        <v>3</v>
      </c>
      <c r="I16238">
        <v>0</v>
      </c>
      <c r="J16238">
        <f>IF($H16238=0,1,IF($I16238&lt;=1,2,0))</f>
        <v>2</v>
      </c>
      <c r="K16238">
        <v>0</v>
      </c>
      <c r="L16238">
        <f>IF(AND($J16238=0,$K16238=0),0,1)</f>
        <v>1</v>
      </c>
    </row>
    <row r="16239" spans="1:12" x14ac:dyDescent="0.2">
      <c r="A16239" t="s">
        <v>556</v>
      </c>
      <c r="B16239" t="s">
        <v>71</v>
      </c>
      <c r="C16239" t="s">
        <v>72</v>
      </c>
      <c r="D16239">
        <v>8020</v>
      </c>
      <c r="E16239">
        <v>2021</v>
      </c>
      <c r="F16239">
        <v>1</v>
      </c>
      <c r="G16239">
        <v>13667</v>
      </c>
      <c r="H16239" s="1" t="s">
        <v>1827</v>
      </c>
      <c r="I16239">
        <v>0</v>
      </c>
      <c r="J16239">
        <f>IF($H16239=0,1,IF($I16239&lt;=1,2,0))</f>
        <v>2</v>
      </c>
      <c r="K16239">
        <v>0</v>
      </c>
      <c r="L16239">
        <f>IF(AND($J16239=0,$K16239=0),0,1)</f>
        <v>1</v>
      </c>
    </row>
    <row r="16240" spans="1:12" x14ac:dyDescent="0.2">
      <c r="A16240" t="s">
        <v>556</v>
      </c>
      <c r="B16240" t="s">
        <v>71</v>
      </c>
      <c r="C16240" t="s">
        <v>72</v>
      </c>
      <c r="D16240">
        <v>8020</v>
      </c>
      <c r="E16240">
        <v>2021</v>
      </c>
      <c r="F16240">
        <v>2</v>
      </c>
      <c r="G16240">
        <v>13668</v>
      </c>
      <c r="H16240" s="1" t="s">
        <v>1827</v>
      </c>
      <c r="I16240">
        <v>0</v>
      </c>
      <c r="J16240">
        <f>IF($H16240=0,1,IF($I16240&lt;=1,2,0))</f>
        <v>2</v>
      </c>
      <c r="K16240">
        <v>0</v>
      </c>
      <c r="L16240">
        <f>IF(AND($J16240=0,$K16240=0),0,1)</f>
        <v>1</v>
      </c>
    </row>
    <row r="16241" spans="1:12" x14ac:dyDescent="0.2">
      <c r="A16241" t="s">
        <v>556</v>
      </c>
      <c r="B16241" t="s">
        <v>71</v>
      </c>
      <c r="C16241" t="s">
        <v>72</v>
      </c>
      <c r="D16241">
        <v>8020</v>
      </c>
      <c r="E16241">
        <v>2021</v>
      </c>
      <c r="F16241">
        <v>3</v>
      </c>
      <c r="G16241">
        <v>13669</v>
      </c>
      <c r="H16241" s="1" t="s">
        <v>1827</v>
      </c>
      <c r="I16241">
        <v>0</v>
      </c>
      <c r="J16241">
        <f>IF($H16241=0,1,IF($I16241&lt;=1,2,0))</f>
        <v>2</v>
      </c>
      <c r="K16241">
        <v>0</v>
      </c>
      <c r="L16241">
        <f>IF(AND($J16241=0,$K16241=0),0,1)</f>
        <v>1</v>
      </c>
    </row>
    <row r="16242" spans="1:12" x14ac:dyDescent="0.2">
      <c r="A16242" t="s">
        <v>556</v>
      </c>
      <c r="B16242" t="s">
        <v>71</v>
      </c>
      <c r="C16242" t="s">
        <v>72</v>
      </c>
      <c r="D16242">
        <v>8020</v>
      </c>
      <c r="E16242">
        <v>2021</v>
      </c>
      <c r="F16242">
        <v>4</v>
      </c>
      <c r="G16242">
        <v>13670</v>
      </c>
      <c r="H16242" s="1" t="s">
        <v>1827</v>
      </c>
      <c r="I16242">
        <v>0</v>
      </c>
      <c r="J16242">
        <f>IF($H16242=0,1,IF($I16242&lt;=1,2,0))</f>
        <v>2</v>
      </c>
      <c r="K16242">
        <v>0</v>
      </c>
      <c r="L16242">
        <f>IF(AND($J16242=0,$K16242=0),0,1)</f>
        <v>1</v>
      </c>
    </row>
    <row r="16243" spans="1:12" x14ac:dyDescent="0.2">
      <c r="A16243" t="s">
        <v>556</v>
      </c>
      <c r="B16243" t="s">
        <v>71</v>
      </c>
      <c r="C16243" t="s">
        <v>72</v>
      </c>
      <c r="D16243">
        <v>8020</v>
      </c>
      <c r="E16243">
        <v>2021</v>
      </c>
      <c r="F16243">
        <v>6</v>
      </c>
      <c r="G16243">
        <v>13672</v>
      </c>
      <c r="H16243" s="1" t="s">
        <v>1827</v>
      </c>
      <c r="I16243">
        <v>0</v>
      </c>
      <c r="J16243">
        <f>IF($H16243=0,1,IF($I16243&lt;=1,2,0))</f>
        <v>2</v>
      </c>
      <c r="K16243">
        <v>0</v>
      </c>
      <c r="L16243">
        <f>IF(AND($J16243=0,$K16243=0),0,1)</f>
        <v>1</v>
      </c>
    </row>
    <row r="16244" spans="1:12" x14ac:dyDescent="0.2">
      <c r="A16244" t="s">
        <v>556</v>
      </c>
      <c r="B16244" t="s">
        <v>71</v>
      </c>
      <c r="C16244" t="s">
        <v>72</v>
      </c>
      <c r="D16244">
        <v>8020</v>
      </c>
      <c r="E16244">
        <v>2021</v>
      </c>
      <c r="F16244">
        <v>7</v>
      </c>
      <c r="G16244">
        <v>13673</v>
      </c>
      <c r="H16244" s="1" t="s">
        <v>1827</v>
      </c>
      <c r="I16244">
        <v>0</v>
      </c>
      <c r="J16244">
        <f>IF($H16244=0,1,IF($I16244&lt;=1,2,0))</f>
        <v>2</v>
      </c>
      <c r="K16244">
        <v>0</v>
      </c>
      <c r="L16244">
        <f>IF(AND($J16244=0,$K16244=0),0,1)</f>
        <v>1</v>
      </c>
    </row>
    <row r="16245" spans="1:12" x14ac:dyDescent="0.2">
      <c r="A16245" t="s">
        <v>556</v>
      </c>
      <c r="B16245" t="s">
        <v>71</v>
      </c>
      <c r="C16245" t="s">
        <v>72</v>
      </c>
      <c r="D16245">
        <v>8020</v>
      </c>
      <c r="E16245">
        <v>2021</v>
      </c>
      <c r="F16245">
        <v>8</v>
      </c>
      <c r="G16245">
        <v>13674</v>
      </c>
      <c r="H16245" s="1" t="s">
        <v>1827</v>
      </c>
      <c r="I16245">
        <v>0</v>
      </c>
      <c r="J16245">
        <f>IF($H16245=0,1,IF($I16245&lt;=1,2,0))</f>
        <v>2</v>
      </c>
      <c r="K16245">
        <v>0</v>
      </c>
      <c r="L16245">
        <f>IF(AND($J16245=0,$K16245=0),0,1)</f>
        <v>1</v>
      </c>
    </row>
    <row r="16246" spans="1:12" x14ac:dyDescent="0.2">
      <c r="A16246" t="s">
        <v>556</v>
      </c>
      <c r="B16246" t="s">
        <v>71</v>
      </c>
      <c r="C16246" t="s">
        <v>72</v>
      </c>
      <c r="D16246">
        <v>8020</v>
      </c>
      <c r="E16246">
        <v>2021</v>
      </c>
      <c r="F16246">
        <v>9</v>
      </c>
      <c r="G16246">
        <v>13675</v>
      </c>
      <c r="H16246" s="1" t="s">
        <v>1827</v>
      </c>
      <c r="I16246">
        <v>0</v>
      </c>
      <c r="J16246">
        <f>IF($H16246=0,1,IF($I16246&lt;=1,2,0))</f>
        <v>2</v>
      </c>
      <c r="K16246">
        <v>0</v>
      </c>
      <c r="L16246">
        <f>IF(AND($J16246=0,$K16246=0),0,1)</f>
        <v>1</v>
      </c>
    </row>
    <row r="16247" spans="1:12" x14ac:dyDescent="0.2">
      <c r="A16247" t="s">
        <v>556</v>
      </c>
      <c r="B16247" t="s">
        <v>71</v>
      </c>
      <c r="C16247" t="s">
        <v>72</v>
      </c>
      <c r="D16247">
        <v>8020</v>
      </c>
      <c r="E16247">
        <v>2021</v>
      </c>
      <c r="F16247">
        <v>10</v>
      </c>
      <c r="G16247">
        <v>13676</v>
      </c>
      <c r="H16247" s="1" t="s">
        <v>1827</v>
      </c>
      <c r="I16247">
        <v>0</v>
      </c>
      <c r="J16247">
        <f>IF($H16247=0,1,IF($I16247&lt;=1,2,0))</f>
        <v>2</v>
      </c>
      <c r="K16247">
        <v>0</v>
      </c>
      <c r="L16247">
        <f>IF(AND($J16247=0,$K16247=0),0,1)</f>
        <v>1</v>
      </c>
    </row>
    <row r="16248" spans="1:12" x14ac:dyDescent="0.2">
      <c r="A16248" t="s">
        <v>556</v>
      </c>
      <c r="B16248" t="s">
        <v>71</v>
      </c>
      <c r="C16248" t="s">
        <v>72</v>
      </c>
      <c r="D16248">
        <v>8020</v>
      </c>
      <c r="E16248">
        <v>2021</v>
      </c>
      <c r="F16248">
        <v>11</v>
      </c>
      <c r="G16248">
        <v>13677</v>
      </c>
      <c r="H16248" s="1" t="s">
        <v>1827</v>
      </c>
      <c r="I16248">
        <v>0</v>
      </c>
      <c r="J16248">
        <f>IF($H16248=0,1,IF($I16248&lt;=1,2,0))</f>
        <v>2</v>
      </c>
      <c r="K16248">
        <v>0</v>
      </c>
      <c r="L16248">
        <f>IF(AND($J16248=0,$K16248=0),0,1)</f>
        <v>1</v>
      </c>
    </row>
    <row r="16249" spans="1:12" x14ac:dyDescent="0.2">
      <c r="A16249" t="s">
        <v>556</v>
      </c>
      <c r="B16249" t="s">
        <v>71</v>
      </c>
      <c r="C16249" t="s">
        <v>72</v>
      </c>
      <c r="D16249">
        <v>8020</v>
      </c>
      <c r="E16249">
        <v>2021</v>
      </c>
      <c r="F16249">
        <v>12</v>
      </c>
      <c r="G16249">
        <v>13678</v>
      </c>
      <c r="H16249" s="1" t="s">
        <v>1827</v>
      </c>
      <c r="I16249">
        <v>0</v>
      </c>
      <c r="J16249">
        <f>IF($H16249=0,1,IF($I16249&lt;=1,2,0))</f>
        <v>2</v>
      </c>
      <c r="K16249">
        <v>0</v>
      </c>
      <c r="L16249">
        <f>IF(AND($J16249=0,$K16249=0),0,1)</f>
        <v>1</v>
      </c>
    </row>
    <row r="16250" spans="1:12" x14ac:dyDescent="0.2">
      <c r="A16250" t="s">
        <v>556</v>
      </c>
      <c r="B16250" t="s">
        <v>71</v>
      </c>
      <c r="C16250" t="s">
        <v>72</v>
      </c>
      <c r="D16250">
        <v>8020</v>
      </c>
      <c r="E16250">
        <v>2021</v>
      </c>
      <c r="F16250">
        <v>13</v>
      </c>
      <c r="G16250">
        <v>13679</v>
      </c>
      <c r="H16250" s="1" t="s">
        <v>1827</v>
      </c>
      <c r="I16250">
        <v>0</v>
      </c>
      <c r="J16250">
        <f>IF($H16250=0,1,IF($I16250&lt;=1,2,0))</f>
        <v>2</v>
      </c>
      <c r="K16250">
        <v>0</v>
      </c>
      <c r="L16250">
        <f>IF(AND($J16250=0,$K16250=0),0,1)</f>
        <v>1</v>
      </c>
    </row>
    <row r="16251" spans="1:12" x14ac:dyDescent="0.2">
      <c r="A16251" t="s">
        <v>556</v>
      </c>
      <c r="B16251" t="s">
        <v>71</v>
      </c>
      <c r="C16251" t="s">
        <v>72</v>
      </c>
      <c r="D16251">
        <v>8020</v>
      </c>
      <c r="E16251">
        <v>2021</v>
      </c>
      <c r="F16251">
        <v>14</v>
      </c>
      <c r="G16251">
        <v>13680</v>
      </c>
      <c r="H16251" s="1" t="s">
        <v>1827</v>
      </c>
      <c r="I16251">
        <v>0</v>
      </c>
      <c r="J16251">
        <f>IF($H16251=0,1,IF($I16251&lt;=1,2,0))</f>
        <v>2</v>
      </c>
      <c r="K16251">
        <v>0</v>
      </c>
      <c r="L16251">
        <f>IF(AND($J16251=0,$K16251=0),0,1)</f>
        <v>1</v>
      </c>
    </row>
    <row r="16252" spans="1:12" x14ac:dyDescent="0.2">
      <c r="A16252" t="s">
        <v>556</v>
      </c>
      <c r="B16252" t="s">
        <v>71</v>
      </c>
      <c r="C16252" t="s">
        <v>72</v>
      </c>
      <c r="D16252">
        <v>8020</v>
      </c>
      <c r="E16252">
        <v>2021</v>
      </c>
      <c r="F16252">
        <v>15</v>
      </c>
      <c r="G16252">
        <v>13681</v>
      </c>
      <c r="H16252" s="1" t="s">
        <v>1827</v>
      </c>
      <c r="I16252">
        <v>0</v>
      </c>
      <c r="J16252">
        <f>IF($H16252=0,1,IF($I16252&lt;=1,2,0))</f>
        <v>2</v>
      </c>
      <c r="K16252">
        <v>0</v>
      </c>
      <c r="L16252">
        <f>IF(AND($J16252=0,$K16252=0),0,1)</f>
        <v>1</v>
      </c>
    </row>
    <row r="16253" spans="1:12" x14ac:dyDescent="0.2">
      <c r="A16253" t="s">
        <v>556</v>
      </c>
      <c r="B16253" t="s">
        <v>71</v>
      </c>
      <c r="C16253" t="s">
        <v>72</v>
      </c>
      <c r="D16253">
        <v>8020</v>
      </c>
      <c r="E16253">
        <v>2021</v>
      </c>
      <c r="F16253">
        <v>16</v>
      </c>
      <c r="G16253">
        <v>13682</v>
      </c>
      <c r="H16253" s="1" t="s">
        <v>1827</v>
      </c>
      <c r="I16253">
        <v>0</v>
      </c>
      <c r="J16253">
        <f>IF($H16253=0,1,IF($I16253&lt;=1,2,0))</f>
        <v>2</v>
      </c>
      <c r="K16253">
        <v>0</v>
      </c>
      <c r="L16253">
        <f>IF(AND($J16253=0,$K16253=0),0,1)</f>
        <v>1</v>
      </c>
    </row>
    <row r="16254" spans="1:12" x14ac:dyDescent="0.2">
      <c r="A16254" t="s">
        <v>556</v>
      </c>
      <c r="B16254" t="s">
        <v>71</v>
      </c>
      <c r="C16254" t="s">
        <v>72</v>
      </c>
      <c r="D16254">
        <v>8020</v>
      </c>
      <c r="E16254">
        <v>2021</v>
      </c>
      <c r="F16254">
        <v>17</v>
      </c>
      <c r="G16254">
        <v>13683</v>
      </c>
      <c r="H16254" s="1" t="s">
        <v>1827</v>
      </c>
      <c r="I16254">
        <v>0</v>
      </c>
      <c r="J16254">
        <f>IF($H16254=0,1,IF($I16254&lt;=1,2,0))</f>
        <v>2</v>
      </c>
      <c r="K16254">
        <v>0</v>
      </c>
      <c r="L16254">
        <f>IF(AND($J16254=0,$K16254=0),0,1)</f>
        <v>1</v>
      </c>
    </row>
    <row r="16255" spans="1:12" x14ac:dyDescent="0.2">
      <c r="A16255" t="s">
        <v>556</v>
      </c>
      <c r="B16255" t="s">
        <v>71</v>
      </c>
      <c r="C16255" t="s">
        <v>72</v>
      </c>
      <c r="D16255">
        <v>8020</v>
      </c>
      <c r="E16255">
        <v>2021</v>
      </c>
      <c r="F16255">
        <v>18</v>
      </c>
      <c r="G16255">
        <v>13684</v>
      </c>
      <c r="H16255" s="1" t="s">
        <v>1827</v>
      </c>
      <c r="I16255">
        <v>0</v>
      </c>
      <c r="J16255">
        <f>IF($H16255=0,1,IF($I16255&lt;=1,2,0))</f>
        <v>2</v>
      </c>
      <c r="K16255">
        <v>0</v>
      </c>
      <c r="L16255">
        <f>IF(AND($J16255=0,$K16255=0),0,1)</f>
        <v>1</v>
      </c>
    </row>
    <row r="16256" spans="1:12" x14ac:dyDescent="0.2">
      <c r="A16256" t="s">
        <v>556</v>
      </c>
      <c r="B16256" t="s">
        <v>71</v>
      </c>
      <c r="C16256" t="s">
        <v>72</v>
      </c>
      <c r="D16256">
        <v>8020</v>
      </c>
      <c r="E16256">
        <v>2021</v>
      </c>
      <c r="F16256">
        <v>19</v>
      </c>
      <c r="G16256">
        <v>13685</v>
      </c>
      <c r="H16256" s="1" t="s">
        <v>1827</v>
      </c>
      <c r="I16256">
        <v>0</v>
      </c>
      <c r="J16256">
        <f>IF($H16256=0,1,IF($I16256&lt;=1,2,0))</f>
        <v>2</v>
      </c>
      <c r="K16256">
        <v>0</v>
      </c>
      <c r="L16256">
        <f>IF(AND($J16256=0,$K16256=0),0,1)</f>
        <v>1</v>
      </c>
    </row>
    <row r="16257" spans="1:12" x14ac:dyDescent="0.2">
      <c r="A16257" t="s">
        <v>556</v>
      </c>
      <c r="B16257" t="s">
        <v>71</v>
      </c>
      <c r="C16257" t="s">
        <v>72</v>
      </c>
      <c r="D16257">
        <v>8020</v>
      </c>
      <c r="E16257">
        <v>2021</v>
      </c>
      <c r="F16257">
        <v>20</v>
      </c>
      <c r="G16257">
        <v>13686</v>
      </c>
      <c r="H16257" s="1" t="s">
        <v>1827</v>
      </c>
      <c r="I16257">
        <v>0</v>
      </c>
      <c r="J16257">
        <f>IF($H16257=0,1,IF($I16257&lt;=1,2,0))</f>
        <v>2</v>
      </c>
      <c r="K16257">
        <v>0</v>
      </c>
      <c r="L16257">
        <f>IF(AND($J16257=0,$K16257=0),0,1)</f>
        <v>1</v>
      </c>
    </row>
    <row r="16258" spans="1:12" x14ac:dyDescent="0.2">
      <c r="A16258" t="s">
        <v>556</v>
      </c>
      <c r="B16258" t="s">
        <v>71</v>
      </c>
      <c r="C16258" t="s">
        <v>72</v>
      </c>
      <c r="D16258">
        <v>9000</v>
      </c>
      <c r="E16258">
        <v>2021</v>
      </c>
      <c r="F16258">
        <v>7</v>
      </c>
      <c r="G16258">
        <v>13692</v>
      </c>
      <c r="H16258" s="1" t="s">
        <v>1828</v>
      </c>
      <c r="I16258">
        <v>7</v>
      </c>
      <c r="J16258">
        <f>IF($H16258=0,1,IF($I16258&lt;=1,2,0))</f>
        <v>0</v>
      </c>
      <c r="K16258">
        <v>5</v>
      </c>
      <c r="L16258">
        <f>IF(AND($J16258=0,$K16258=0),0,1)</f>
        <v>1</v>
      </c>
    </row>
    <row r="16259" spans="1:12" x14ac:dyDescent="0.2">
      <c r="A16259" t="s">
        <v>556</v>
      </c>
      <c r="B16259" t="s">
        <v>71</v>
      </c>
      <c r="C16259" t="s">
        <v>72</v>
      </c>
      <c r="D16259">
        <v>9000</v>
      </c>
      <c r="E16259">
        <v>2021</v>
      </c>
      <c r="F16259">
        <v>12</v>
      </c>
      <c r="G16259">
        <v>13696</v>
      </c>
      <c r="H16259" s="1" t="s">
        <v>1828</v>
      </c>
      <c r="I16259">
        <v>5</v>
      </c>
      <c r="J16259">
        <f>IF($H16259=0,1,IF($I16259&lt;=1,2,0))</f>
        <v>0</v>
      </c>
      <c r="K16259">
        <v>5</v>
      </c>
      <c r="L16259">
        <f>IF(AND($J16259=0,$K16259=0),0,1)</f>
        <v>1</v>
      </c>
    </row>
    <row r="16260" spans="1:12" x14ac:dyDescent="0.2">
      <c r="A16260" t="s">
        <v>556</v>
      </c>
      <c r="B16260" t="s">
        <v>71</v>
      </c>
      <c r="C16260" t="s">
        <v>72</v>
      </c>
      <c r="D16260">
        <v>9000</v>
      </c>
      <c r="E16260">
        <v>2021</v>
      </c>
      <c r="F16260">
        <v>6</v>
      </c>
      <c r="G16260">
        <v>13691</v>
      </c>
      <c r="H16260" s="1" t="s">
        <v>1828</v>
      </c>
      <c r="I16260">
        <v>4</v>
      </c>
      <c r="J16260">
        <f>IF($H16260=0,1,IF($I16260&lt;=1,2,0))</f>
        <v>0</v>
      </c>
      <c r="K16260">
        <v>5</v>
      </c>
      <c r="L16260">
        <f>IF(AND($J16260=0,$K16260=0),0,1)</f>
        <v>1</v>
      </c>
    </row>
    <row r="16261" spans="1:12" x14ac:dyDescent="0.2">
      <c r="A16261" t="s">
        <v>556</v>
      </c>
      <c r="B16261" t="s">
        <v>71</v>
      </c>
      <c r="C16261" t="s">
        <v>72</v>
      </c>
      <c r="D16261">
        <v>9000</v>
      </c>
      <c r="E16261">
        <v>2021</v>
      </c>
      <c r="F16261">
        <v>18</v>
      </c>
      <c r="G16261">
        <v>13702</v>
      </c>
      <c r="H16261" s="1" t="s">
        <v>1828</v>
      </c>
      <c r="I16261">
        <v>4</v>
      </c>
      <c r="J16261">
        <f>IF($H16261=0,1,IF($I16261&lt;=1,2,0))</f>
        <v>0</v>
      </c>
      <c r="K16261">
        <v>5</v>
      </c>
      <c r="L16261">
        <f>IF(AND($J16261=0,$K16261=0),0,1)</f>
        <v>1</v>
      </c>
    </row>
    <row r="16262" spans="1:12" x14ac:dyDescent="0.2">
      <c r="A16262" t="s">
        <v>556</v>
      </c>
      <c r="B16262" t="s">
        <v>71</v>
      </c>
      <c r="C16262" t="s">
        <v>72</v>
      </c>
      <c r="D16262">
        <v>9000</v>
      </c>
      <c r="E16262">
        <v>2021</v>
      </c>
      <c r="F16262">
        <v>1</v>
      </c>
      <c r="G16262">
        <v>13687</v>
      </c>
      <c r="H16262" s="1" t="s">
        <v>1828</v>
      </c>
      <c r="I16262">
        <v>3</v>
      </c>
      <c r="J16262">
        <f>IF($H16262=0,1,IF($I16262&lt;=1,2,0))</f>
        <v>0</v>
      </c>
      <c r="K16262">
        <v>5</v>
      </c>
      <c r="L16262">
        <f>IF(AND($J16262=0,$K16262=0),0,1)</f>
        <v>1</v>
      </c>
    </row>
    <row r="16263" spans="1:12" x14ac:dyDescent="0.2">
      <c r="A16263" t="s">
        <v>556</v>
      </c>
      <c r="B16263" t="s">
        <v>71</v>
      </c>
      <c r="C16263" t="s">
        <v>72</v>
      </c>
      <c r="D16263">
        <v>9000</v>
      </c>
      <c r="E16263">
        <v>2021</v>
      </c>
      <c r="F16263">
        <v>2</v>
      </c>
      <c r="G16263">
        <v>13688</v>
      </c>
      <c r="H16263" s="1" t="s">
        <v>1828</v>
      </c>
      <c r="I16263">
        <v>3</v>
      </c>
      <c r="J16263">
        <f>IF($H16263=0,1,IF($I16263&lt;=1,2,0))</f>
        <v>0</v>
      </c>
      <c r="K16263">
        <v>5</v>
      </c>
      <c r="L16263">
        <f>IF(AND($J16263=0,$K16263=0),0,1)</f>
        <v>1</v>
      </c>
    </row>
    <row r="16264" spans="1:12" x14ac:dyDescent="0.2">
      <c r="A16264" t="s">
        <v>556</v>
      </c>
      <c r="B16264" t="s">
        <v>71</v>
      </c>
      <c r="C16264" t="s">
        <v>72</v>
      </c>
      <c r="D16264">
        <v>9000</v>
      </c>
      <c r="E16264">
        <v>2021</v>
      </c>
      <c r="F16264">
        <v>9</v>
      </c>
      <c r="G16264">
        <v>13694</v>
      </c>
      <c r="H16264" s="1" t="s">
        <v>1828</v>
      </c>
      <c r="I16264">
        <v>3</v>
      </c>
      <c r="J16264">
        <f>IF($H16264=0,1,IF($I16264&lt;=1,2,0))</f>
        <v>0</v>
      </c>
      <c r="K16264">
        <v>5</v>
      </c>
      <c r="L16264">
        <f>IF(AND($J16264=0,$K16264=0),0,1)</f>
        <v>1</v>
      </c>
    </row>
    <row r="16265" spans="1:12" x14ac:dyDescent="0.2">
      <c r="A16265" t="s">
        <v>556</v>
      </c>
      <c r="B16265" t="s">
        <v>71</v>
      </c>
      <c r="C16265" t="s">
        <v>72</v>
      </c>
      <c r="D16265">
        <v>9000</v>
      </c>
      <c r="E16265">
        <v>2021</v>
      </c>
      <c r="F16265">
        <v>13</v>
      </c>
      <c r="G16265">
        <v>13697</v>
      </c>
      <c r="H16265" s="1" t="s">
        <v>1828</v>
      </c>
      <c r="I16265">
        <v>3</v>
      </c>
      <c r="J16265">
        <f>IF($H16265=0,1,IF($I16265&lt;=1,2,0))</f>
        <v>0</v>
      </c>
      <c r="K16265">
        <v>5</v>
      </c>
      <c r="L16265">
        <f>IF(AND($J16265=0,$K16265=0),0,1)</f>
        <v>1</v>
      </c>
    </row>
    <row r="16266" spans="1:12" x14ac:dyDescent="0.2">
      <c r="A16266" t="s">
        <v>556</v>
      </c>
      <c r="B16266" t="s">
        <v>71</v>
      </c>
      <c r="C16266" t="s">
        <v>72</v>
      </c>
      <c r="D16266">
        <v>9000</v>
      </c>
      <c r="E16266">
        <v>2021</v>
      </c>
      <c r="F16266">
        <v>17</v>
      </c>
      <c r="G16266">
        <v>13701</v>
      </c>
      <c r="H16266" s="1" t="s">
        <v>1828</v>
      </c>
      <c r="I16266">
        <v>3</v>
      </c>
      <c r="J16266">
        <f>IF($H16266=0,1,IF($I16266&lt;=1,2,0))</f>
        <v>0</v>
      </c>
      <c r="K16266">
        <v>5</v>
      </c>
      <c r="L16266">
        <f>IF(AND($J16266=0,$K16266=0),0,1)</f>
        <v>1</v>
      </c>
    </row>
    <row r="16267" spans="1:12" x14ac:dyDescent="0.2">
      <c r="A16267" t="s">
        <v>556</v>
      </c>
      <c r="B16267" t="s">
        <v>71</v>
      </c>
      <c r="C16267" t="s">
        <v>72</v>
      </c>
      <c r="D16267">
        <v>9000</v>
      </c>
      <c r="E16267">
        <v>2021</v>
      </c>
      <c r="F16267">
        <v>4</v>
      </c>
      <c r="G16267">
        <v>13690</v>
      </c>
      <c r="H16267" s="1" t="s">
        <v>1828</v>
      </c>
      <c r="I16267">
        <v>2</v>
      </c>
      <c r="J16267">
        <f>IF($H16267=0,1,IF($I16267&lt;=1,2,0))</f>
        <v>0</v>
      </c>
      <c r="K16267">
        <v>5</v>
      </c>
      <c r="L16267">
        <f>IF(AND($J16267=0,$K16267=0),0,1)</f>
        <v>1</v>
      </c>
    </row>
    <row r="16268" spans="1:12" x14ac:dyDescent="0.2">
      <c r="A16268" t="s">
        <v>556</v>
      </c>
      <c r="B16268" t="s">
        <v>71</v>
      </c>
      <c r="C16268" t="s">
        <v>72</v>
      </c>
      <c r="D16268">
        <v>9000</v>
      </c>
      <c r="E16268">
        <v>2021</v>
      </c>
      <c r="F16268">
        <v>8</v>
      </c>
      <c r="G16268">
        <v>13693</v>
      </c>
      <c r="H16268" s="1" t="s">
        <v>1828</v>
      </c>
      <c r="I16268">
        <v>2</v>
      </c>
      <c r="J16268">
        <f>IF($H16268=0,1,IF($I16268&lt;=1,2,0))</f>
        <v>0</v>
      </c>
      <c r="K16268">
        <v>5</v>
      </c>
      <c r="L16268">
        <f>IF(AND($J16268=0,$K16268=0),0,1)</f>
        <v>1</v>
      </c>
    </row>
    <row r="16269" spans="1:12" x14ac:dyDescent="0.2">
      <c r="A16269" t="s">
        <v>556</v>
      </c>
      <c r="B16269" t="s">
        <v>71</v>
      </c>
      <c r="C16269" t="s">
        <v>72</v>
      </c>
      <c r="D16269">
        <v>9000</v>
      </c>
      <c r="E16269">
        <v>2021</v>
      </c>
      <c r="F16269">
        <v>10</v>
      </c>
      <c r="G16269">
        <v>13695</v>
      </c>
      <c r="H16269" s="1" t="s">
        <v>1828</v>
      </c>
      <c r="I16269">
        <v>1</v>
      </c>
      <c r="J16269">
        <f>IF($H16269=0,1,IF($I16269&lt;=1,2,0))</f>
        <v>2</v>
      </c>
      <c r="K16269">
        <v>5</v>
      </c>
      <c r="L16269">
        <f>IF(AND($J16269=0,$K16269=0),0,1)</f>
        <v>1</v>
      </c>
    </row>
    <row r="16270" spans="1:12" x14ac:dyDescent="0.2">
      <c r="A16270" t="s">
        <v>556</v>
      </c>
      <c r="B16270" t="s">
        <v>71</v>
      </c>
      <c r="C16270" t="s">
        <v>72</v>
      </c>
      <c r="D16270">
        <v>9000</v>
      </c>
      <c r="E16270">
        <v>2021</v>
      </c>
      <c r="F16270">
        <v>14</v>
      </c>
      <c r="G16270">
        <v>13698</v>
      </c>
      <c r="H16270" s="1" t="s">
        <v>1828</v>
      </c>
      <c r="I16270">
        <v>1</v>
      </c>
      <c r="J16270">
        <f>IF($H16270=0,1,IF($I16270&lt;=1,2,0))</f>
        <v>2</v>
      </c>
      <c r="K16270">
        <v>5</v>
      </c>
      <c r="L16270">
        <f>IF(AND($J16270=0,$K16270=0),0,1)</f>
        <v>1</v>
      </c>
    </row>
    <row r="16271" spans="1:12" x14ac:dyDescent="0.2">
      <c r="A16271" t="s">
        <v>556</v>
      </c>
      <c r="B16271" t="s">
        <v>71</v>
      </c>
      <c r="C16271" t="s">
        <v>72</v>
      </c>
      <c r="D16271">
        <v>9000</v>
      </c>
      <c r="E16271">
        <v>2021</v>
      </c>
      <c r="F16271">
        <v>15</v>
      </c>
      <c r="G16271">
        <v>13699</v>
      </c>
      <c r="H16271" s="1" t="s">
        <v>1828</v>
      </c>
      <c r="I16271">
        <v>1</v>
      </c>
      <c r="J16271">
        <f>IF($H16271=0,1,IF($I16271&lt;=1,2,0))</f>
        <v>2</v>
      </c>
      <c r="K16271">
        <v>5</v>
      </c>
      <c r="L16271">
        <f>IF(AND($J16271=0,$K16271=0),0,1)</f>
        <v>1</v>
      </c>
    </row>
    <row r="16272" spans="1:12" x14ac:dyDescent="0.2">
      <c r="A16272" t="s">
        <v>556</v>
      </c>
      <c r="B16272" t="s">
        <v>71</v>
      </c>
      <c r="C16272" t="s">
        <v>72</v>
      </c>
      <c r="D16272">
        <v>9000</v>
      </c>
      <c r="E16272">
        <v>2021</v>
      </c>
      <c r="F16272">
        <v>16</v>
      </c>
      <c r="G16272">
        <v>13700</v>
      </c>
      <c r="H16272" s="1" t="s">
        <v>1828</v>
      </c>
      <c r="I16272">
        <v>1</v>
      </c>
      <c r="J16272">
        <f>IF($H16272=0,1,IF($I16272&lt;=1,2,0))</f>
        <v>2</v>
      </c>
      <c r="K16272">
        <v>5</v>
      </c>
      <c r="L16272">
        <f>IF(AND($J16272=0,$K16272=0),0,1)</f>
        <v>1</v>
      </c>
    </row>
    <row r="16273" spans="1:13" x14ac:dyDescent="0.2">
      <c r="A16273" t="s">
        <v>556</v>
      </c>
      <c r="B16273" t="s">
        <v>71</v>
      </c>
      <c r="C16273" t="s">
        <v>72</v>
      </c>
      <c r="D16273">
        <v>9000</v>
      </c>
      <c r="E16273">
        <v>2021</v>
      </c>
      <c r="F16273">
        <v>3</v>
      </c>
      <c r="G16273">
        <v>13689</v>
      </c>
      <c r="H16273" s="1" t="s">
        <v>1828</v>
      </c>
      <c r="I16273">
        <v>0</v>
      </c>
      <c r="J16273">
        <f>IF($H16273=0,1,IF($I16273&lt;=1,2,0))</f>
        <v>2</v>
      </c>
      <c r="K16273">
        <v>5</v>
      </c>
      <c r="L16273">
        <f>IF(AND($J16273=0,$K16273=0),0,1)</f>
        <v>1</v>
      </c>
    </row>
    <row r="16274" spans="1:13" x14ac:dyDescent="0.2">
      <c r="A16274" t="s">
        <v>556</v>
      </c>
      <c r="B16274" t="s">
        <v>71</v>
      </c>
      <c r="C16274" t="s">
        <v>72</v>
      </c>
      <c r="D16274">
        <v>9000</v>
      </c>
      <c r="E16274">
        <v>2021</v>
      </c>
      <c r="F16274">
        <v>19</v>
      </c>
      <c r="G16274">
        <v>13703</v>
      </c>
      <c r="H16274" s="1" t="s">
        <v>1828</v>
      </c>
      <c r="I16274">
        <v>0</v>
      </c>
      <c r="J16274">
        <f>IF($H16274=0,1,IF($I16274&lt;=1,2,0))</f>
        <v>2</v>
      </c>
      <c r="K16274">
        <v>5</v>
      </c>
      <c r="L16274">
        <f>IF(AND($J16274=0,$K16274=0),0,1)</f>
        <v>1</v>
      </c>
    </row>
    <row r="16275" spans="1:13" x14ac:dyDescent="0.2">
      <c r="A16275" t="s">
        <v>556</v>
      </c>
      <c r="B16275" t="s">
        <v>71</v>
      </c>
      <c r="C16275" t="s">
        <v>72</v>
      </c>
      <c r="D16275">
        <v>9500</v>
      </c>
      <c r="E16275">
        <v>2021</v>
      </c>
      <c r="F16275">
        <v>1</v>
      </c>
      <c r="G16275">
        <v>12203</v>
      </c>
      <c r="H16275" s="1">
        <v>0</v>
      </c>
      <c r="I16275">
        <v>30</v>
      </c>
      <c r="J16275">
        <f>IF($H16275=0,1,IF($I16275&lt;=1,2,0))</f>
        <v>1</v>
      </c>
      <c r="K16275">
        <v>5</v>
      </c>
      <c r="L16275">
        <f>IF(AND($J16275=0,$K16275=0),0,1)</f>
        <v>1</v>
      </c>
    </row>
    <row r="16276" spans="1:13" x14ac:dyDescent="0.2">
      <c r="A16276" t="s">
        <v>1146</v>
      </c>
      <c r="B16276" t="s">
        <v>1</v>
      </c>
      <c r="C16276" t="s">
        <v>2</v>
      </c>
      <c r="D16276">
        <v>1111</v>
      </c>
      <c r="E16276">
        <v>2021</v>
      </c>
      <c r="F16276">
        <v>1</v>
      </c>
      <c r="G16276">
        <v>815</v>
      </c>
      <c r="H16276" s="1">
        <v>1.5</v>
      </c>
      <c r="I16276">
        <v>3</v>
      </c>
      <c r="J16276">
        <f>IF($H16276=0,1,IF($I16276&lt;=1,2,0))</f>
        <v>0</v>
      </c>
      <c r="K16276">
        <v>7</v>
      </c>
      <c r="L16276">
        <f>IF(AND($J16276=0,$K16276=0),0,1)</f>
        <v>1</v>
      </c>
      <c r="M16276" t="s">
        <v>1147</v>
      </c>
    </row>
    <row r="16277" spans="1:13" x14ac:dyDescent="0.2">
      <c r="A16277" t="s">
        <v>1146</v>
      </c>
      <c r="B16277" t="s">
        <v>1</v>
      </c>
      <c r="C16277" t="s">
        <v>2</v>
      </c>
      <c r="D16277">
        <v>2222</v>
      </c>
      <c r="E16277">
        <v>2021</v>
      </c>
      <c r="F16277">
        <v>1</v>
      </c>
      <c r="G16277">
        <v>816</v>
      </c>
      <c r="H16277" s="1">
        <v>1.5</v>
      </c>
      <c r="I16277">
        <v>5</v>
      </c>
      <c r="J16277">
        <f>IF($H16277=0,1,IF($I16277&lt;=1,2,0))</f>
        <v>0</v>
      </c>
      <c r="K16277">
        <v>7</v>
      </c>
      <c r="L16277">
        <f>IF(AND($J16277=0,$K16277=0),0,1)</f>
        <v>1</v>
      </c>
      <c r="M16277" t="s">
        <v>1147</v>
      </c>
    </row>
    <row r="16278" spans="1:13" x14ac:dyDescent="0.2">
      <c r="A16278" t="s">
        <v>562</v>
      </c>
      <c r="B16278" t="s">
        <v>17</v>
      </c>
      <c r="C16278" t="s">
        <v>9</v>
      </c>
      <c r="D16278">
        <v>1401</v>
      </c>
      <c r="E16278">
        <v>2021</v>
      </c>
      <c r="F16278">
        <v>1</v>
      </c>
      <c r="G16278">
        <v>10150</v>
      </c>
      <c r="H16278" s="1">
        <v>1</v>
      </c>
      <c r="I16278">
        <v>1</v>
      </c>
      <c r="J16278">
        <f>IF($H16278=0,1,IF($I16278&lt;=1,2,0))</f>
        <v>2</v>
      </c>
      <c r="K16278">
        <v>8</v>
      </c>
      <c r="L16278">
        <f>IF(AND($J16278=0,$K16278=0),0,1)</f>
        <v>1</v>
      </c>
      <c r="M16278" t="s">
        <v>1683</v>
      </c>
    </row>
    <row r="16279" spans="1:13" x14ac:dyDescent="0.2">
      <c r="A16279" t="s">
        <v>562</v>
      </c>
      <c r="B16279" t="s">
        <v>17</v>
      </c>
      <c r="C16279" t="s">
        <v>9</v>
      </c>
      <c r="D16279">
        <v>1403</v>
      </c>
      <c r="E16279">
        <v>2021</v>
      </c>
      <c r="F16279">
        <v>1</v>
      </c>
      <c r="G16279">
        <v>10151</v>
      </c>
      <c r="H16279" s="1">
        <v>1</v>
      </c>
      <c r="I16279">
        <v>5</v>
      </c>
      <c r="J16279">
        <f>IF($H16279=0,1,IF($I16279&lt;=1,2,0))</f>
        <v>0</v>
      </c>
      <c r="K16279">
        <v>8</v>
      </c>
      <c r="L16279">
        <f>IF(AND($J16279=0,$K16279=0),0,1)</f>
        <v>1</v>
      </c>
    </row>
    <row r="16280" spans="1:13" x14ac:dyDescent="0.2">
      <c r="A16280" t="s">
        <v>562</v>
      </c>
      <c r="B16280" t="s">
        <v>17</v>
      </c>
      <c r="C16280" t="s">
        <v>9</v>
      </c>
      <c r="D16280">
        <v>1403</v>
      </c>
      <c r="E16280">
        <v>2021</v>
      </c>
      <c r="F16280">
        <v>3</v>
      </c>
      <c r="G16280">
        <v>10152</v>
      </c>
      <c r="H16280" s="1">
        <v>1</v>
      </c>
      <c r="I16280">
        <v>0</v>
      </c>
      <c r="J16280">
        <f>IF($H16280=0,1,IF($I16280&lt;=1,2,0))</f>
        <v>2</v>
      </c>
      <c r="K16280">
        <v>8</v>
      </c>
      <c r="L16280">
        <f>IF(AND($J16280=0,$K16280=0),0,1)</f>
        <v>1</v>
      </c>
    </row>
    <row r="16281" spans="1:13" x14ac:dyDescent="0.2">
      <c r="A16281" t="s">
        <v>562</v>
      </c>
      <c r="B16281" t="s">
        <v>17</v>
      </c>
      <c r="C16281" t="s">
        <v>9</v>
      </c>
      <c r="D16281">
        <v>1405</v>
      </c>
      <c r="E16281">
        <v>2021</v>
      </c>
      <c r="F16281">
        <v>1</v>
      </c>
      <c r="G16281">
        <v>10153</v>
      </c>
      <c r="H16281" s="1">
        <v>1</v>
      </c>
      <c r="I16281">
        <v>0</v>
      </c>
      <c r="J16281">
        <f>IF($H16281=0,1,IF($I16281&lt;=1,2,0))</f>
        <v>2</v>
      </c>
      <c r="K16281">
        <v>8</v>
      </c>
      <c r="L16281">
        <f>IF(AND($J16281=0,$K16281=0),0,1)</f>
        <v>1</v>
      </c>
    </row>
    <row r="16282" spans="1:13" x14ac:dyDescent="0.2">
      <c r="A16282" t="s">
        <v>562</v>
      </c>
      <c r="B16282" t="s">
        <v>17</v>
      </c>
      <c r="C16282" t="s">
        <v>9</v>
      </c>
      <c r="D16282">
        <v>1409</v>
      </c>
      <c r="E16282">
        <v>2021</v>
      </c>
      <c r="F16282">
        <v>2</v>
      </c>
      <c r="G16282">
        <v>10155</v>
      </c>
      <c r="H16282" s="1">
        <v>1</v>
      </c>
      <c r="I16282">
        <v>2</v>
      </c>
      <c r="J16282">
        <f>IF($H16282=0,1,IF($I16282&lt;=1,2,0))</f>
        <v>0</v>
      </c>
      <c r="K16282">
        <v>8</v>
      </c>
      <c r="L16282">
        <f>IF(AND($J16282=0,$K16282=0),0,1)</f>
        <v>1</v>
      </c>
    </row>
    <row r="16283" spans="1:13" x14ac:dyDescent="0.2">
      <c r="A16283" t="s">
        <v>562</v>
      </c>
      <c r="B16283" t="s">
        <v>17</v>
      </c>
      <c r="C16283" t="s">
        <v>9</v>
      </c>
      <c r="D16283">
        <v>1409</v>
      </c>
      <c r="E16283">
        <v>2021</v>
      </c>
      <c r="F16283">
        <v>3</v>
      </c>
      <c r="G16283">
        <v>10156</v>
      </c>
      <c r="H16283" s="1">
        <v>1</v>
      </c>
      <c r="I16283">
        <v>1</v>
      </c>
      <c r="J16283">
        <f>IF($H16283=0,1,IF($I16283&lt;=1,2,0))</f>
        <v>2</v>
      </c>
      <c r="K16283">
        <v>8</v>
      </c>
      <c r="L16283">
        <f>IF(AND($J16283=0,$K16283=0),0,1)</f>
        <v>1</v>
      </c>
    </row>
    <row r="16284" spans="1:13" x14ac:dyDescent="0.2">
      <c r="A16284" t="s">
        <v>562</v>
      </c>
      <c r="B16284" t="s">
        <v>17</v>
      </c>
      <c r="C16284" t="s">
        <v>9</v>
      </c>
      <c r="D16284">
        <v>1409</v>
      </c>
      <c r="E16284">
        <v>2021</v>
      </c>
      <c r="F16284">
        <v>1</v>
      </c>
      <c r="G16284">
        <v>10154</v>
      </c>
      <c r="H16284" s="1">
        <v>1</v>
      </c>
      <c r="I16284">
        <v>0</v>
      </c>
      <c r="J16284">
        <f>IF($H16284=0,1,IF($I16284&lt;=1,2,0))</f>
        <v>2</v>
      </c>
      <c r="K16284">
        <v>8</v>
      </c>
      <c r="L16284">
        <f>IF(AND($J16284=0,$K16284=0),0,1)</f>
        <v>1</v>
      </c>
    </row>
    <row r="16285" spans="1:13" x14ac:dyDescent="0.2">
      <c r="A16285" t="s">
        <v>562</v>
      </c>
      <c r="B16285" t="s">
        <v>17</v>
      </c>
      <c r="C16285" t="s">
        <v>9</v>
      </c>
      <c r="D16285">
        <v>1411</v>
      </c>
      <c r="E16285">
        <v>2021</v>
      </c>
      <c r="F16285">
        <v>1</v>
      </c>
      <c r="G16285">
        <v>10243</v>
      </c>
      <c r="H16285" s="1">
        <v>1</v>
      </c>
      <c r="I16285">
        <v>1</v>
      </c>
      <c r="J16285">
        <f>IF($H16285=0,1,IF($I16285&lt;=1,2,0))</f>
        <v>2</v>
      </c>
      <c r="K16285">
        <v>8</v>
      </c>
      <c r="L16285">
        <f>IF(AND($J16285=0,$K16285=0),0,1)</f>
        <v>1</v>
      </c>
    </row>
    <row r="16286" spans="1:13" x14ac:dyDescent="0.2">
      <c r="A16286" t="s">
        <v>562</v>
      </c>
      <c r="B16286" t="s">
        <v>17</v>
      </c>
      <c r="C16286" t="s">
        <v>9</v>
      </c>
      <c r="D16286">
        <v>1413</v>
      </c>
      <c r="E16286">
        <v>2021</v>
      </c>
      <c r="F16286">
        <v>1</v>
      </c>
      <c r="G16286">
        <v>10158</v>
      </c>
      <c r="H16286" s="1">
        <v>1</v>
      </c>
      <c r="I16286">
        <v>2</v>
      </c>
      <c r="J16286">
        <f>IF($H16286=0,1,IF($I16286&lt;=1,2,0))</f>
        <v>0</v>
      </c>
      <c r="K16286">
        <v>8</v>
      </c>
      <c r="L16286">
        <f>IF(AND($J16286=0,$K16286=0),0,1)</f>
        <v>1</v>
      </c>
    </row>
    <row r="16287" spans="1:13" x14ac:dyDescent="0.2">
      <c r="A16287" t="s">
        <v>562</v>
      </c>
      <c r="B16287" t="s">
        <v>17</v>
      </c>
      <c r="C16287" t="s">
        <v>9</v>
      </c>
      <c r="D16287">
        <v>1417</v>
      </c>
      <c r="E16287">
        <v>2021</v>
      </c>
      <c r="F16287">
        <v>1</v>
      </c>
      <c r="G16287">
        <v>10159</v>
      </c>
      <c r="H16287" s="1">
        <v>1</v>
      </c>
      <c r="I16287">
        <v>1</v>
      </c>
      <c r="J16287">
        <f>IF($H16287=0,1,IF($I16287&lt;=1,2,0))</f>
        <v>2</v>
      </c>
      <c r="K16287">
        <v>8</v>
      </c>
      <c r="L16287">
        <f>IF(AND($J16287=0,$K16287=0),0,1)</f>
        <v>1</v>
      </c>
    </row>
    <row r="16288" spans="1:13" x14ac:dyDescent="0.2">
      <c r="A16288" t="s">
        <v>562</v>
      </c>
      <c r="B16288" t="s">
        <v>17</v>
      </c>
      <c r="C16288" t="s">
        <v>9</v>
      </c>
      <c r="D16288">
        <v>1419</v>
      </c>
      <c r="E16288">
        <v>2021</v>
      </c>
      <c r="F16288">
        <v>1</v>
      </c>
      <c r="G16288">
        <v>10160</v>
      </c>
      <c r="H16288" s="1">
        <v>1</v>
      </c>
      <c r="I16288">
        <v>0</v>
      </c>
      <c r="J16288">
        <f>IF($H16288=0,1,IF($I16288&lt;=1,2,0))</f>
        <v>2</v>
      </c>
      <c r="K16288">
        <v>8</v>
      </c>
      <c r="L16288">
        <f>IF(AND($J16288=0,$K16288=0),0,1)</f>
        <v>1</v>
      </c>
    </row>
    <row r="16289" spans="1:13" x14ac:dyDescent="0.2">
      <c r="A16289" t="s">
        <v>562</v>
      </c>
      <c r="B16289" t="s">
        <v>17</v>
      </c>
      <c r="C16289" t="s">
        <v>9</v>
      </c>
      <c r="D16289">
        <v>1421</v>
      </c>
      <c r="E16289">
        <v>2021</v>
      </c>
      <c r="F16289">
        <v>1</v>
      </c>
      <c r="G16289">
        <v>10242</v>
      </c>
      <c r="H16289" s="1">
        <v>1</v>
      </c>
      <c r="I16289">
        <v>4</v>
      </c>
      <c r="J16289">
        <f>IF($H16289=0,1,IF($I16289&lt;=1,2,0))</f>
        <v>0</v>
      </c>
      <c r="K16289">
        <v>8</v>
      </c>
      <c r="L16289">
        <f>IF(AND($J16289=0,$K16289=0),0,1)</f>
        <v>1</v>
      </c>
    </row>
    <row r="16290" spans="1:13" x14ac:dyDescent="0.2">
      <c r="A16290" t="s">
        <v>562</v>
      </c>
      <c r="B16290" t="s">
        <v>17</v>
      </c>
      <c r="C16290" t="s">
        <v>9</v>
      </c>
      <c r="D16290">
        <v>1423</v>
      </c>
      <c r="E16290">
        <v>2021</v>
      </c>
      <c r="F16290">
        <v>1</v>
      </c>
      <c r="G16290">
        <v>10161</v>
      </c>
      <c r="H16290" s="1">
        <v>1</v>
      </c>
      <c r="I16290">
        <v>1</v>
      </c>
      <c r="J16290">
        <f>IF($H16290=0,1,IF($I16290&lt;=1,2,0))</f>
        <v>2</v>
      </c>
      <c r="K16290">
        <v>8</v>
      </c>
      <c r="L16290">
        <f>IF(AND($J16290=0,$K16290=0),0,1)</f>
        <v>1</v>
      </c>
    </row>
    <row r="16291" spans="1:13" x14ac:dyDescent="0.2">
      <c r="A16291" t="s">
        <v>562</v>
      </c>
      <c r="B16291" t="s">
        <v>17</v>
      </c>
      <c r="C16291" t="s">
        <v>9</v>
      </c>
      <c r="D16291">
        <v>1425</v>
      </c>
      <c r="E16291">
        <v>2021</v>
      </c>
      <c r="F16291">
        <v>1</v>
      </c>
      <c r="G16291">
        <v>10162</v>
      </c>
      <c r="H16291" s="1">
        <v>1</v>
      </c>
      <c r="I16291">
        <v>36</v>
      </c>
      <c r="J16291">
        <f>IF($H16291=0,1,IF($I16291&lt;=1,2,0))</f>
        <v>0</v>
      </c>
      <c r="K16291">
        <v>8</v>
      </c>
      <c r="L16291">
        <f>IF(AND($J16291=0,$K16291=0),0,1)</f>
        <v>1</v>
      </c>
      <c r="M16291" t="s">
        <v>2075</v>
      </c>
    </row>
    <row r="16292" spans="1:13" x14ac:dyDescent="0.2">
      <c r="A16292" t="s">
        <v>562</v>
      </c>
      <c r="B16292" t="s">
        <v>17</v>
      </c>
      <c r="C16292" t="s">
        <v>9</v>
      </c>
      <c r="D16292">
        <v>1425</v>
      </c>
      <c r="E16292">
        <v>2021</v>
      </c>
      <c r="F16292">
        <v>2</v>
      </c>
      <c r="G16292">
        <v>10163</v>
      </c>
      <c r="H16292" s="1">
        <v>1</v>
      </c>
      <c r="I16292">
        <v>29</v>
      </c>
      <c r="J16292">
        <f>IF($H16292=0,1,IF($I16292&lt;=1,2,0))</f>
        <v>0</v>
      </c>
      <c r="K16292">
        <v>8</v>
      </c>
      <c r="L16292">
        <f>IF(AND($J16292=0,$K16292=0),0,1)</f>
        <v>1</v>
      </c>
      <c r="M16292" t="s">
        <v>2075</v>
      </c>
    </row>
    <row r="16293" spans="1:13" x14ac:dyDescent="0.2">
      <c r="A16293" t="s">
        <v>562</v>
      </c>
      <c r="B16293" t="s">
        <v>17</v>
      </c>
      <c r="C16293" t="s">
        <v>9</v>
      </c>
      <c r="D16293">
        <v>1425</v>
      </c>
      <c r="E16293">
        <v>2021</v>
      </c>
      <c r="F16293">
        <v>3</v>
      </c>
      <c r="G16293">
        <v>10164</v>
      </c>
      <c r="H16293" s="1">
        <v>1</v>
      </c>
      <c r="I16293">
        <v>12</v>
      </c>
      <c r="J16293">
        <f>IF($H16293=0,1,IF($I16293&lt;=1,2,0))</f>
        <v>0</v>
      </c>
      <c r="K16293">
        <v>8</v>
      </c>
      <c r="L16293">
        <f>IF(AND($J16293=0,$K16293=0),0,1)</f>
        <v>1</v>
      </c>
      <c r="M16293" t="s">
        <v>2075</v>
      </c>
    </row>
    <row r="16294" spans="1:13" x14ac:dyDescent="0.2">
      <c r="A16294" t="s">
        <v>562</v>
      </c>
      <c r="B16294" t="s">
        <v>17</v>
      </c>
      <c r="C16294" t="s">
        <v>9</v>
      </c>
      <c r="D16294">
        <v>1427</v>
      </c>
      <c r="E16294">
        <v>2021</v>
      </c>
      <c r="F16294">
        <v>1</v>
      </c>
      <c r="G16294">
        <v>10165</v>
      </c>
      <c r="H16294" s="1">
        <v>1</v>
      </c>
      <c r="I16294">
        <v>2</v>
      </c>
      <c r="J16294">
        <f>IF($H16294=0,1,IF($I16294&lt;=1,2,0))</f>
        <v>0</v>
      </c>
      <c r="K16294">
        <v>8</v>
      </c>
      <c r="L16294">
        <f>IF(AND($J16294=0,$K16294=0),0,1)</f>
        <v>1</v>
      </c>
    </row>
    <row r="16295" spans="1:13" x14ac:dyDescent="0.2">
      <c r="A16295" t="s">
        <v>562</v>
      </c>
      <c r="B16295" t="s">
        <v>17</v>
      </c>
      <c r="C16295" t="s">
        <v>9</v>
      </c>
      <c r="D16295">
        <v>1429</v>
      </c>
      <c r="E16295">
        <v>2021</v>
      </c>
      <c r="F16295">
        <v>1</v>
      </c>
      <c r="G16295">
        <v>10431</v>
      </c>
      <c r="H16295" s="1">
        <v>1</v>
      </c>
      <c r="I16295">
        <v>2</v>
      </c>
      <c r="J16295">
        <f>IF($H16295=0,1,IF($I16295&lt;=1,2,0))</f>
        <v>0</v>
      </c>
      <c r="K16295">
        <v>8</v>
      </c>
      <c r="L16295">
        <f>IF(AND($J16295=0,$K16295=0),0,1)</f>
        <v>1</v>
      </c>
    </row>
    <row r="16296" spans="1:13" x14ac:dyDescent="0.2">
      <c r="A16296" t="s">
        <v>562</v>
      </c>
      <c r="B16296" t="s">
        <v>17</v>
      </c>
      <c r="C16296" t="s">
        <v>9</v>
      </c>
      <c r="D16296">
        <v>1431</v>
      </c>
      <c r="E16296">
        <v>2021</v>
      </c>
      <c r="F16296">
        <v>1</v>
      </c>
      <c r="G16296">
        <v>20548</v>
      </c>
      <c r="H16296" s="1">
        <v>1</v>
      </c>
      <c r="I16296">
        <v>2</v>
      </c>
      <c r="J16296">
        <f>IF($H16296=0,1,IF($I16296&lt;=1,2,0))</f>
        <v>0</v>
      </c>
      <c r="K16296">
        <v>8</v>
      </c>
      <c r="L16296">
        <f>IF(AND($J16296=0,$K16296=0),0,1)</f>
        <v>1</v>
      </c>
    </row>
    <row r="16297" spans="1:13" x14ac:dyDescent="0.2">
      <c r="A16297" t="s">
        <v>562</v>
      </c>
      <c r="B16297" t="s">
        <v>17</v>
      </c>
      <c r="C16297" t="s">
        <v>9</v>
      </c>
      <c r="D16297">
        <v>1435</v>
      </c>
      <c r="E16297">
        <v>2021</v>
      </c>
      <c r="F16297">
        <v>1</v>
      </c>
      <c r="G16297">
        <v>10167</v>
      </c>
      <c r="H16297" s="1">
        <v>1</v>
      </c>
      <c r="I16297">
        <v>2</v>
      </c>
      <c r="J16297">
        <f>IF($H16297=0,1,IF($I16297&lt;=1,2,0))</f>
        <v>0</v>
      </c>
      <c r="K16297">
        <v>8</v>
      </c>
      <c r="L16297">
        <f>IF(AND($J16297=0,$K16297=0),0,1)</f>
        <v>1</v>
      </c>
    </row>
    <row r="16298" spans="1:13" x14ac:dyDescent="0.2">
      <c r="A16298" t="s">
        <v>562</v>
      </c>
      <c r="B16298" t="s">
        <v>17</v>
      </c>
      <c r="C16298" t="s">
        <v>9</v>
      </c>
      <c r="D16298">
        <v>1435</v>
      </c>
      <c r="E16298">
        <v>2021</v>
      </c>
      <c r="F16298">
        <v>3</v>
      </c>
      <c r="G16298">
        <v>10169</v>
      </c>
      <c r="H16298" s="1">
        <v>1</v>
      </c>
      <c r="I16298">
        <v>2</v>
      </c>
      <c r="J16298">
        <f>IF($H16298=0,1,IF($I16298&lt;=1,2,0))</f>
        <v>0</v>
      </c>
      <c r="K16298">
        <v>8</v>
      </c>
      <c r="L16298">
        <f>IF(AND($J16298=0,$K16298=0),0,1)</f>
        <v>1</v>
      </c>
    </row>
    <row r="16299" spans="1:13" x14ac:dyDescent="0.2">
      <c r="A16299" t="s">
        <v>562</v>
      </c>
      <c r="B16299" t="s">
        <v>17</v>
      </c>
      <c r="C16299" t="s">
        <v>9</v>
      </c>
      <c r="D16299">
        <v>1435</v>
      </c>
      <c r="E16299">
        <v>2021</v>
      </c>
      <c r="F16299">
        <v>2</v>
      </c>
      <c r="G16299">
        <v>10168</v>
      </c>
      <c r="H16299" s="1">
        <v>1</v>
      </c>
      <c r="I16299">
        <v>1</v>
      </c>
      <c r="J16299">
        <f>IF($H16299=0,1,IF($I16299&lt;=1,2,0))</f>
        <v>2</v>
      </c>
      <c r="K16299">
        <v>8</v>
      </c>
      <c r="L16299">
        <f>IF(AND($J16299=0,$K16299=0),0,1)</f>
        <v>1</v>
      </c>
    </row>
    <row r="16300" spans="1:13" x14ac:dyDescent="0.2">
      <c r="A16300" t="s">
        <v>562</v>
      </c>
      <c r="B16300" t="s">
        <v>17</v>
      </c>
      <c r="C16300" t="s">
        <v>9</v>
      </c>
      <c r="D16300">
        <v>1437</v>
      </c>
      <c r="E16300">
        <v>2021</v>
      </c>
      <c r="F16300">
        <v>6</v>
      </c>
      <c r="G16300">
        <v>10174</v>
      </c>
      <c r="H16300" s="1">
        <v>1</v>
      </c>
      <c r="I16300">
        <v>3</v>
      </c>
      <c r="J16300">
        <f>IF($H16300=0,1,IF($I16300&lt;=1,2,0))</f>
        <v>0</v>
      </c>
      <c r="K16300">
        <v>8</v>
      </c>
      <c r="L16300">
        <f>IF(AND($J16300=0,$K16300=0),0,1)</f>
        <v>1</v>
      </c>
    </row>
    <row r="16301" spans="1:13" x14ac:dyDescent="0.2">
      <c r="A16301" t="s">
        <v>562</v>
      </c>
      <c r="B16301" t="s">
        <v>17</v>
      </c>
      <c r="C16301" t="s">
        <v>9</v>
      </c>
      <c r="D16301">
        <v>1437</v>
      </c>
      <c r="E16301">
        <v>2021</v>
      </c>
      <c r="F16301">
        <v>1</v>
      </c>
      <c r="G16301">
        <v>10170</v>
      </c>
      <c r="H16301" s="1">
        <v>1</v>
      </c>
      <c r="I16301">
        <v>2</v>
      </c>
      <c r="J16301">
        <f>IF($H16301=0,1,IF($I16301&lt;=1,2,0))</f>
        <v>0</v>
      </c>
      <c r="K16301">
        <v>8</v>
      </c>
      <c r="L16301">
        <f>IF(AND($J16301=0,$K16301=0),0,1)</f>
        <v>1</v>
      </c>
    </row>
    <row r="16302" spans="1:13" x14ac:dyDescent="0.2">
      <c r="A16302" t="s">
        <v>562</v>
      </c>
      <c r="B16302" t="s">
        <v>17</v>
      </c>
      <c r="C16302" t="s">
        <v>9</v>
      </c>
      <c r="D16302">
        <v>1437</v>
      </c>
      <c r="E16302">
        <v>2021</v>
      </c>
      <c r="F16302">
        <v>2</v>
      </c>
      <c r="G16302">
        <v>10171</v>
      </c>
      <c r="H16302" s="1">
        <v>1</v>
      </c>
      <c r="I16302">
        <v>1</v>
      </c>
      <c r="J16302">
        <f>IF($H16302=0,1,IF($I16302&lt;=1,2,0))</f>
        <v>2</v>
      </c>
      <c r="K16302">
        <v>8</v>
      </c>
      <c r="L16302">
        <f>IF(AND($J16302=0,$K16302=0),0,1)</f>
        <v>1</v>
      </c>
    </row>
    <row r="16303" spans="1:13" x14ac:dyDescent="0.2">
      <c r="A16303" t="s">
        <v>562</v>
      </c>
      <c r="B16303" t="s">
        <v>17</v>
      </c>
      <c r="C16303" t="s">
        <v>9</v>
      </c>
      <c r="D16303">
        <v>1437</v>
      </c>
      <c r="E16303">
        <v>2021</v>
      </c>
      <c r="F16303">
        <v>5</v>
      </c>
      <c r="G16303">
        <v>10173</v>
      </c>
      <c r="H16303" s="1">
        <v>1</v>
      </c>
      <c r="I16303">
        <v>1</v>
      </c>
      <c r="J16303">
        <f>IF($H16303=0,1,IF($I16303&lt;=1,2,0))</f>
        <v>2</v>
      </c>
      <c r="K16303">
        <v>8</v>
      </c>
      <c r="L16303">
        <f>IF(AND($J16303=0,$K16303=0),0,1)</f>
        <v>1</v>
      </c>
    </row>
    <row r="16304" spans="1:13" x14ac:dyDescent="0.2">
      <c r="A16304" t="s">
        <v>562</v>
      </c>
      <c r="B16304" t="s">
        <v>17</v>
      </c>
      <c r="C16304" t="s">
        <v>9</v>
      </c>
      <c r="D16304">
        <v>1437</v>
      </c>
      <c r="E16304">
        <v>2021</v>
      </c>
      <c r="F16304">
        <v>4</v>
      </c>
      <c r="G16304">
        <v>10172</v>
      </c>
      <c r="H16304" s="1">
        <v>1</v>
      </c>
      <c r="I16304">
        <v>0</v>
      </c>
      <c r="J16304">
        <f>IF($H16304=0,1,IF($I16304&lt;=1,2,0))</f>
        <v>2</v>
      </c>
      <c r="K16304">
        <v>8</v>
      </c>
      <c r="L16304">
        <f>IF(AND($J16304=0,$K16304=0),0,1)</f>
        <v>1</v>
      </c>
    </row>
    <row r="16305" spans="1:13" x14ac:dyDescent="0.2">
      <c r="A16305" t="s">
        <v>562</v>
      </c>
      <c r="B16305" t="s">
        <v>17</v>
      </c>
      <c r="C16305" t="s">
        <v>9</v>
      </c>
      <c r="D16305">
        <v>1443</v>
      </c>
      <c r="E16305">
        <v>2021</v>
      </c>
      <c r="F16305">
        <v>2</v>
      </c>
      <c r="G16305">
        <v>10176</v>
      </c>
      <c r="H16305" s="1">
        <v>1</v>
      </c>
      <c r="I16305">
        <v>2</v>
      </c>
      <c r="J16305">
        <f>IF($H16305=0,1,IF($I16305&lt;=1,2,0))</f>
        <v>0</v>
      </c>
      <c r="K16305">
        <v>8</v>
      </c>
      <c r="L16305">
        <f>IF(AND($J16305=0,$K16305=0),0,1)</f>
        <v>1</v>
      </c>
    </row>
    <row r="16306" spans="1:13" x14ac:dyDescent="0.2">
      <c r="A16306" t="s">
        <v>562</v>
      </c>
      <c r="B16306" t="s">
        <v>17</v>
      </c>
      <c r="C16306" t="s">
        <v>9</v>
      </c>
      <c r="D16306">
        <v>1445</v>
      </c>
      <c r="E16306">
        <v>2021</v>
      </c>
      <c r="F16306">
        <v>1</v>
      </c>
      <c r="G16306">
        <v>10177</v>
      </c>
      <c r="H16306" s="1">
        <v>1</v>
      </c>
      <c r="I16306">
        <v>2</v>
      </c>
      <c r="J16306">
        <f>IF($H16306=0,1,IF($I16306&lt;=1,2,0))</f>
        <v>0</v>
      </c>
      <c r="K16306">
        <v>8</v>
      </c>
      <c r="L16306">
        <f>IF(AND($J16306=0,$K16306=0),0,1)</f>
        <v>1</v>
      </c>
    </row>
    <row r="16307" spans="1:13" x14ac:dyDescent="0.2">
      <c r="A16307" t="s">
        <v>562</v>
      </c>
      <c r="B16307" t="s">
        <v>17</v>
      </c>
      <c r="C16307" t="s">
        <v>9</v>
      </c>
      <c r="D16307">
        <v>1447</v>
      </c>
      <c r="E16307">
        <v>2021</v>
      </c>
      <c r="F16307">
        <v>1</v>
      </c>
      <c r="G16307">
        <v>10178</v>
      </c>
      <c r="H16307" s="1">
        <v>1</v>
      </c>
      <c r="I16307">
        <v>8</v>
      </c>
      <c r="J16307">
        <f>IF($H16307=0,1,IF($I16307&lt;=1,2,0))</f>
        <v>0</v>
      </c>
      <c r="K16307">
        <v>8</v>
      </c>
      <c r="L16307">
        <f>IF(AND($J16307=0,$K16307=0),0,1)</f>
        <v>1</v>
      </c>
    </row>
    <row r="16308" spans="1:13" x14ac:dyDescent="0.2">
      <c r="A16308" t="s">
        <v>562</v>
      </c>
      <c r="B16308" t="s">
        <v>17</v>
      </c>
      <c r="C16308" t="s">
        <v>9</v>
      </c>
      <c r="D16308">
        <v>1447</v>
      </c>
      <c r="E16308">
        <v>2021</v>
      </c>
      <c r="F16308">
        <v>2</v>
      </c>
      <c r="G16308">
        <v>10179</v>
      </c>
      <c r="H16308" s="1">
        <v>1</v>
      </c>
      <c r="I16308">
        <v>0</v>
      </c>
      <c r="J16308">
        <f>IF($H16308=0,1,IF($I16308&lt;=1,2,0))</f>
        <v>2</v>
      </c>
      <c r="K16308">
        <v>8</v>
      </c>
      <c r="L16308">
        <f>IF(AND($J16308=0,$K16308=0),0,1)</f>
        <v>1</v>
      </c>
    </row>
    <row r="16309" spans="1:13" x14ac:dyDescent="0.2">
      <c r="A16309" t="s">
        <v>562</v>
      </c>
      <c r="B16309" t="s">
        <v>17</v>
      </c>
      <c r="C16309" t="s">
        <v>9</v>
      </c>
      <c r="D16309">
        <v>1449</v>
      </c>
      <c r="E16309">
        <v>2021</v>
      </c>
      <c r="F16309">
        <v>1</v>
      </c>
      <c r="G16309">
        <v>10200</v>
      </c>
      <c r="H16309" s="1">
        <v>1</v>
      </c>
      <c r="I16309">
        <v>2</v>
      </c>
      <c r="J16309">
        <f>IF($H16309=0,1,IF($I16309&lt;=1,2,0))</f>
        <v>0</v>
      </c>
      <c r="K16309">
        <v>8</v>
      </c>
      <c r="L16309">
        <f>IF(AND($J16309=0,$K16309=0),0,1)</f>
        <v>1</v>
      </c>
    </row>
    <row r="16310" spans="1:13" x14ac:dyDescent="0.2">
      <c r="A16310" t="s">
        <v>562</v>
      </c>
      <c r="B16310" t="s">
        <v>17</v>
      </c>
      <c r="C16310" t="s">
        <v>9</v>
      </c>
      <c r="D16310">
        <v>1449</v>
      </c>
      <c r="E16310">
        <v>2021</v>
      </c>
      <c r="F16310">
        <v>2</v>
      </c>
      <c r="G16310">
        <v>10201</v>
      </c>
      <c r="H16310" s="1">
        <v>1</v>
      </c>
      <c r="I16310">
        <v>0</v>
      </c>
      <c r="J16310">
        <f>IF($H16310=0,1,IF($I16310&lt;=1,2,0))</f>
        <v>2</v>
      </c>
      <c r="K16310">
        <v>8</v>
      </c>
      <c r="L16310">
        <f>IF(AND($J16310=0,$K16310=0),0,1)</f>
        <v>1</v>
      </c>
    </row>
    <row r="16311" spans="1:13" x14ac:dyDescent="0.2">
      <c r="A16311" t="s">
        <v>562</v>
      </c>
      <c r="B16311" t="s">
        <v>17</v>
      </c>
      <c r="C16311" t="s">
        <v>9</v>
      </c>
      <c r="D16311">
        <v>1451</v>
      </c>
      <c r="E16311">
        <v>2021</v>
      </c>
      <c r="F16311">
        <v>2</v>
      </c>
      <c r="G16311">
        <v>10202</v>
      </c>
      <c r="H16311" s="1">
        <v>1</v>
      </c>
      <c r="I16311">
        <v>5</v>
      </c>
      <c r="J16311">
        <f>IF($H16311=0,1,IF($I16311&lt;=1,2,0))</f>
        <v>0</v>
      </c>
      <c r="K16311">
        <v>8</v>
      </c>
      <c r="L16311">
        <f>IF(AND($J16311=0,$K16311=0),0,1)</f>
        <v>1</v>
      </c>
    </row>
    <row r="16312" spans="1:13" x14ac:dyDescent="0.2">
      <c r="A16312" t="s">
        <v>562</v>
      </c>
      <c r="B16312" t="s">
        <v>17</v>
      </c>
      <c r="C16312" t="s">
        <v>9</v>
      </c>
      <c r="D16312">
        <v>1451</v>
      </c>
      <c r="E16312">
        <v>2021</v>
      </c>
      <c r="F16312">
        <v>3</v>
      </c>
      <c r="G16312">
        <v>10203</v>
      </c>
      <c r="H16312" s="1">
        <v>1</v>
      </c>
      <c r="I16312">
        <v>0</v>
      </c>
      <c r="J16312">
        <f>IF($H16312=0,1,IF($I16312&lt;=1,2,0))</f>
        <v>2</v>
      </c>
      <c r="K16312">
        <v>8</v>
      </c>
      <c r="L16312">
        <f>IF(AND($J16312=0,$K16312=0),0,1)</f>
        <v>1</v>
      </c>
    </row>
    <row r="16313" spans="1:13" x14ac:dyDescent="0.2">
      <c r="A16313" t="s">
        <v>562</v>
      </c>
      <c r="B16313" t="s">
        <v>17</v>
      </c>
      <c r="C16313" t="s">
        <v>9</v>
      </c>
      <c r="D16313">
        <v>1453</v>
      </c>
      <c r="E16313">
        <v>2021</v>
      </c>
      <c r="F16313">
        <v>1</v>
      </c>
      <c r="G16313">
        <v>10204</v>
      </c>
      <c r="H16313" s="1">
        <v>1</v>
      </c>
      <c r="I16313">
        <v>6</v>
      </c>
      <c r="J16313">
        <f>IF($H16313=0,1,IF($I16313&lt;=1,2,0))</f>
        <v>0</v>
      </c>
      <c r="K16313">
        <v>8</v>
      </c>
      <c r="L16313">
        <f>IF(AND($J16313=0,$K16313=0),0,1)</f>
        <v>1</v>
      </c>
    </row>
    <row r="16314" spans="1:13" x14ac:dyDescent="0.2">
      <c r="A16314" t="s">
        <v>562</v>
      </c>
      <c r="B16314" t="s">
        <v>17</v>
      </c>
      <c r="C16314" t="s">
        <v>9</v>
      </c>
      <c r="D16314">
        <v>1453</v>
      </c>
      <c r="E16314">
        <v>2021</v>
      </c>
      <c r="F16314">
        <v>4</v>
      </c>
      <c r="G16314">
        <v>10206</v>
      </c>
      <c r="H16314" s="1">
        <v>1</v>
      </c>
      <c r="I16314">
        <v>6</v>
      </c>
      <c r="J16314">
        <f>IF($H16314=0,1,IF($I16314&lt;=1,2,0))</f>
        <v>0</v>
      </c>
      <c r="K16314">
        <v>8</v>
      </c>
      <c r="L16314">
        <f>IF(AND($J16314=0,$K16314=0),0,1)</f>
        <v>1</v>
      </c>
    </row>
    <row r="16315" spans="1:13" x14ac:dyDescent="0.2">
      <c r="A16315" t="s">
        <v>562</v>
      </c>
      <c r="B16315" t="s">
        <v>17</v>
      </c>
      <c r="C16315" t="s">
        <v>9</v>
      </c>
      <c r="D16315">
        <v>1453</v>
      </c>
      <c r="E16315">
        <v>2021</v>
      </c>
      <c r="F16315">
        <v>2</v>
      </c>
      <c r="G16315">
        <v>10205</v>
      </c>
      <c r="H16315" s="1">
        <v>1</v>
      </c>
      <c r="I16315">
        <v>5</v>
      </c>
      <c r="J16315">
        <f>IF($H16315=0,1,IF($I16315&lt;=1,2,0))</f>
        <v>0</v>
      </c>
      <c r="K16315">
        <v>8</v>
      </c>
      <c r="L16315">
        <f>IF(AND($J16315=0,$K16315=0),0,1)</f>
        <v>1</v>
      </c>
    </row>
    <row r="16316" spans="1:13" x14ac:dyDescent="0.2">
      <c r="A16316" t="s">
        <v>562</v>
      </c>
      <c r="B16316" t="s">
        <v>17</v>
      </c>
      <c r="C16316" t="s">
        <v>9</v>
      </c>
      <c r="D16316">
        <v>1455</v>
      </c>
      <c r="E16316">
        <v>2021</v>
      </c>
      <c r="F16316">
        <v>1</v>
      </c>
      <c r="G16316">
        <v>10181</v>
      </c>
      <c r="H16316" s="1">
        <v>1</v>
      </c>
      <c r="I16316">
        <v>4</v>
      </c>
      <c r="J16316">
        <f>IF($H16316=0,1,IF($I16316&lt;=1,2,0))</f>
        <v>0</v>
      </c>
      <c r="K16316">
        <v>8</v>
      </c>
      <c r="L16316">
        <f>IF(AND($J16316=0,$K16316=0),0,1)</f>
        <v>1</v>
      </c>
    </row>
    <row r="16317" spans="1:13" x14ac:dyDescent="0.2">
      <c r="A16317" t="s">
        <v>562</v>
      </c>
      <c r="B16317" t="s">
        <v>17</v>
      </c>
      <c r="C16317" t="s">
        <v>9</v>
      </c>
      <c r="D16317">
        <v>1457</v>
      </c>
      <c r="E16317">
        <v>2021</v>
      </c>
      <c r="F16317">
        <v>1</v>
      </c>
      <c r="G16317">
        <v>10182</v>
      </c>
      <c r="H16317" s="1">
        <v>1</v>
      </c>
      <c r="I16317">
        <v>0</v>
      </c>
      <c r="J16317">
        <f>IF($H16317=0,1,IF($I16317&lt;=1,2,0))</f>
        <v>2</v>
      </c>
      <c r="K16317">
        <v>8</v>
      </c>
      <c r="L16317">
        <f>IF(AND($J16317=0,$K16317=0),0,1)</f>
        <v>1</v>
      </c>
    </row>
    <row r="16318" spans="1:13" x14ac:dyDescent="0.2">
      <c r="A16318" t="s">
        <v>562</v>
      </c>
      <c r="B16318" t="s">
        <v>17</v>
      </c>
      <c r="C16318" t="s">
        <v>9</v>
      </c>
      <c r="D16318">
        <v>1459</v>
      </c>
      <c r="E16318">
        <v>2021</v>
      </c>
      <c r="F16318">
        <v>1</v>
      </c>
      <c r="G16318">
        <v>10183</v>
      </c>
      <c r="H16318" s="1">
        <v>1</v>
      </c>
      <c r="I16318">
        <v>3</v>
      </c>
      <c r="J16318">
        <f>IF($H16318=0,1,IF($I16318&lt;=1,2,0))</f>
        <v>0</v>
      </c>
      <c r="K16318">
        <v>8</v>
      </c>
      <c r="L16318">
        <f>IF(AND($J16318=0,$K16318=0),0,1)</f>
        <v>1</v>
      </c>
    </row>
    <row r="16319" spans="1:13" x14ac:dyDescent="0.2">
      <c r="A16319" t="s">
        <v>562</v>
      </c>
      <c r="B16319" t="s">
        <v>17</v>
      </c>
      <c r="C16319" t="s">
        <v>9</v>
      </c>
      <c r="D16319">
        <v>1461</v>
      </c>
      <c r="E16319">
        <v>2021</v>
      </c>
      <c r="F16319">
        <v>1</v>
      </c>
      <c r="G16319">
        <v>10184</v>
      </c>
      <c r="H16319" s="1">
        <v>1</v>
      </c>
      <c r="I16319">
        <v>14</v>
      </c>
      <c r="J16319">
        <f>IF($H16319=0,1,IF($I16319&lt;=1,2,0))</f>
        <v>0</v>
      </c>
      <c r="K16319">
        <v>8</v>
      </c>
      <c r="L16319">
        <f>IF(AND($J16319=0,$K16319=0),0,1)</f>
        <v>1</v>
      </c>
    </row>
    <row r="16320" spans="1:13" x14ac:dyDescent="0.2">
      <c r="A16320" t="s">
        <v>562</v>
      </c>
      <c r="B16320" t="s">
        <v>17</v>
      </c>
      <c r="C16320" t="s">
        <v>21</v>
      </c>
      <c r="D16320">
        <v>1531</v>
      </c>
      <c r="E16320">
        <v>2021</v>
      </c>
      <c r="F16320">
        <v>3</v>
      </c>
      <c r="G16320">
        <v>10187</v>
      </c>
      <c r="H16320" s="1">
        <v>1</v>
      </c>
      <c r="I16320">
        <v>0</v>
      </c>
      <c r="J16320">
        <f>IF($H16320=0,1,IF($I16320&lt;=1,2,0))</f>
        <v>2</v>
      </c>
      <c r="K16320">
        <v>0</v>
      </c>
      <c r="L16320">
        <f>IF(AND($J16320=0,$K16320=0),0,1)</f>
        <v>1</v>
      </c>
      <c r="M16320" t="s">
        <v>1684</v>
      </c>
    </row>
    <row r="16321" spans="1:13" x14ac:dyDescent="0.2">
      <c r="A16321" t="s">
        <v>562</v>
      </c>
      <c r="B16321" t="s">
        <v>17</v>
      </c>
      <c r="C16321" t="s">
        <v>21</v>
      </c>
      <c r="D16321">
        <v>1531</v>
      </c>
      <c r="E16321">
        <v>2021</v>
      </c>
      <c r="F16321">
        <v>9</v>
      </c>
      <c r="G16321">
        <v>10192</v>
      </c>
      <c r="H16321" s="1">
        <v>1</v>
      </c>
      <c r="I16321">
        <v>0</v>
      </c>
      <c r="J16321">
        <f>IF($H16321=0,1,IF($I16321&lt;=1,2,0))</f>
        <v>2</v>
      </c>
      <c r="K16321">
        <v>0</v>
      </c>
      <c r="L16321">
        <f>IF(AND($J16321=0,$K16321=0),0,1)</f>
        <v>1</v>
      </c>
      <c r="M16321" t="s">
        <v>1684</v>
      </c>
    </row>
    <row r="16322" spans="1:13" x14ac:dyDescent="0.2">
      <c r="A16322" t="s">
        <v>562</v>
      </c>
      <c r="B16322" t="s">
        <v>17</v>
      </c>
      <c r="C16322" t="s">
        <v>21</v>
      </c>
      <c r="D16322">
        <v>1531</v>
      </c>
      <c r="E16322">
        <v>2021</v>
      </c>
      <c r="F16322">
        <v>13</v>
      </c>
      <c r="G16322">
        <v>10193</v>
      </c>
      <c r="H16322" s="1">
        <v>1</v>
      </c>
      <c r="I16322">
        <v>0</v>
      </c>
      <c r="J16322">
        <f>IF($H16322=0,1,IF($I16322&lt;=1,2,0))</f>
        <v>2</v>
      </c>
      <c r="K16322">
        <v>0</v>
      </c>
      <c r="L16322">
        <f>IF(AND($J16322=0,$K16322=0),0,1)</f>
        <v>1</v>
      </c>
      <c r="M16322" t="s">
        <v>1684</v>
      </c>
    </row>
    <row r="16323" spans="1:13" x14ac:dyDescent="0.2">
      <c r="A16323" t="s">
        <v>562</v>
      </c>
      <c r="B16323" t="s">
        <v>17</v>
      </c>
      <c r="C16323" t="s">
        <v>21</v>
      </c>
      <c r="D16323">
        <v>1531</v>
      </c>
      <c r="E16323">
        <v>2021</v>
      </c>
      <c r="F16323">
        <v>17</v>
      </c>
      <c r="G16323">
        <v>10196</v>
      </c>
      <c r="H16323" s="1">
        <v>1</v>
      </c>
      <c r="I16323">
        <v>0</v>
      </c>
      <c r="J16323">
        <f>IF($H16323=0,1,IF($I16323&lt;=1,2,0))</f>
        <v>2</v>
      </c>
      <c r="K16323">
        <v>0</v>
      </c>
      <c r="L16323">
        <f>IF(AND($J16323=0,$K16323=0),0,1)</f>
        <v>1</v>
      </c>
      <c r="M16323" t="s">
        <v>1684</v>
      </c>
    </row>
    <row r="16324" spans="1:13" x14ac:dyDescent="0.2">
      <c r="A16324" t="s">
        <v>562</v>
      </c>
      <c r="B16324" t="s">
        <v>17</v>
      </c>
      <c r="C16324" t="s">
        <v>21</v>
      </c>
      <c r="D16324">
        <v>1541</v>
      </c>
      <c r="E16324">
        <v>2021</v>
      </c>
      <c r="F16324">
        <v>7</v>
      </c>
      <c r="G16324">
        <v>10213</v>
      </c>
      <c r="H16324" s="1">
        <v>1</v>
      </c>
      <c r="I16324">
        <v>0</v>
      </c>
      <c r="J16324">
        <f>IF($H16324=0,1,IF($I16324&lt;=1,2,0))</f>
        <v>2</v>
      </c>
      <c r="K16324">
        <v>0</v>
      </c>
      <c r="L16324">
        <f>IF(AND($J16324=0,$K16324=0),0,1)</f>
        <v>1</v>
      </c>
      <c r="M16324" t="s">
        <v>1684</v>
      </c>
    </row>
    <row r="16325" spans="1:13" x14ac:dyDescent="0.2">
      <c r="A16325" t="s">
        <v>562</v>
      </c>
      <c r="B16325" t="s">
        <v>17</v>
      </c>
      <c r="C16325" t="s">
        <v>21</v>
      </c>
      <c r="D16325">
        <v>1541</v>
      </c>
      <c r="E16325">
        <v>2021</v>
      </c>
      <c r="F16325">
        <v>10</v>
      </c>
      <c r="G16325">
        <v>10216</v>
      </c>
      <c r="H16325" s="1">
        <v>1</v>
      </c>
      <c r="I16325">
        <v>0</v>
      </c>
      <c r="J16325">
        <f>IF($H16325=0,1,IF($I16325&lt;=1,2,0))</f>
        <v>2</v>
      </c>
      <c r="K16325">
        <v>0</v>
      </c>
      <c r="L16325">
        <f>IF(AND($J16325=0,$K16325=0),0,1)</f>
        <v>1</v>
      </c>
      <c r="M16325" t="s">
        <v>1684</v>
      </c>
    </row>
    <row r="16326" spans="1:13" x14ac:dyDescent="0.2">
      <c r="A16326" t="s">
        <v>562</v>
      </c>
      <c r="B16326" t="s">
        <v>17</v>
      </c>
      <c r="C16326" t="s">
        <v>21</v>
      </c>
      <c r="D16326">
        <v>1551</v>
      </c>
      <c r="E16326">
        <v>2021</v>
      </c>
      <c r="F16326">
        <v>5</v>
      </c>
      <c r="G16326">
        <v>10220</v>
      </c>
      <c r="H16326" s="1">
        <v>1</v>
      </c>
      <c r="I16326">
        <v>0</v>
      </c>
      <c r="J16326">
        <f>IF($H16326=0,1,IF($I16326&lt;=1,2,0))</f>
        <v>2</v>
      </c>
      <c r="K16326">
        <v>0</v>
      </c>
      <c r="L16326">
        <f>IF(AND($J16326=0,$K16326=0),0,1)</f>
        <v>1</v>
      </c>
      <c r="M16326" t="s">
        <v>566</v>
      </c>
    </row>
    <row r="16327" spans="1:13" x14ac:dyDescent="0.2">
      <c r="A16327" t="s">
        <v>568</v>
      </c>
      <c r="B16327" t="s">
        <v>17</v>
      </c>
      <c r="C16327" t="s">
        <v>11</v>
      </c>
      <c r="D16327">
        <v>6990</v>
      </c>
      <c r="E16327">
        <v>2021</v>
      </c>
      <c r="F16327">
        <v>1</v>
      </c>
      <c r="G16327">
        <v>11565</v>
      </c>
      <c r="H16327" s="1">
        <v>4</v>
      </c>
      <c r="I16327">
        <v>0</v>
      </c>
      <c r="J16327">
        <f>IF($H16327=0,1,IF($I16327&lt;=1,2,0))</f>
        <v>2</v>
      </c>
      <c r="K16327">
        <v>0</v>
      </c>
      <c r="L16327">
        <f>IF(AND($J16327=0,$K16327=0),0,1)</f>
        <v>1</v>
      </c>
      <c r="M16327" t="s">
        <v>2008</v>
      </c>
    </row>
    <row r="16328" spans="1:13" x14ac:dyDescent="0.2">
      <c r="A16328" t="s">
        <v>568</v>
      </c>
      <c r="B16328" t="s">
        <v>17</v>
      </c>
      <c r="C16328" t="s">
        <v>11</v>
      </c>
      <c r="D16328">
        <v>6998</v>
      </c>
      <c r="E16328">
        <v>2021</v>
      </c>
      <c r="F16328">
        <v>1</v>
      </c>
      <c r="G16328">
        <v>11566</v>
      </c>
      <c r="H16328" s="1">
        <v>4</v>
      </c>
      <c r="I16328">
        <v>1</v>
      </c>
      <c r="J16328">
        <f>IF($H16328=0,1,IF($I16328&lt;=1,2,0))</f>
        <v>2</v>
      </c>
      <c r="K16328">
        <v>0</v>
      </c>
      <c r="L16328">
        <f>IF(AND($J16328=0,$K16328=0),0,1)</f>
        <v>1</v>
      </c>
      <c r="M16328" t="s">
        <v>1151</v>
      </c>
    </row>
    <row r="16329" spans="1:13" x14ac:dyDescent="0.2">
      <c r="A16329" t="s">
        <v>568</v>
      </c>
      <c r="B16329" t="s">
        <v>17</v>
      </c>
      <c r="C16329" t="s">
        <v>11</v>
      </c>
      <c r="D16329">
        <v>6999</v>
      </c>
      <c r="E16329">
        <v>2021</v>
      </c>
      <c r="F16329">
        <v>1</v>
      </c>
      <c r="G16329">
        <v>11567</v>
      </c>
      <c r="H16329" s="1">
        <v>4</v>
      </c>
      <c r="I16329">
        <v>0</v>
      </c>
      <c r="J16329">
        <f>IF($H16329=0,1,IF($I16329&lt;=1,2,0))</f>
        <v>2</v>
      </c>
      <c r="K16329">
        <v>9</v>
      </c>
      <c r="L16329">
        <f>IF(AND($J16329=0,$K16329=0),0,1)</f>
        <v>1</v>
      </c>
    </row>
    <row r="16330" spans="1:13" x14ac:dyDescent="0.2">
      <c r="A16330" t="s">
        <v>569</v>
      </c>
      <c r="B16330" t="s">
        <v>71</v>
      </c>
      <c r="C16330" t="s">
        <v>72</v>
      </c>
      <c r="D16330">
        <v>3900</v>
      </c>
      <c r="E16330">
        <v>2021</v>
      </c>
      <c r="F16330">
        <v>2</v>
      </c>
      <c r="G16330">
        <v>18514</v>
      </c>
      <c r="H16330" s="1" t="s">
        <v>1830</v>
      </c>
      <c r="I16330">
        <v>2</v>
      </c>
      <c r="J16330">
        <f>IF($H16330=0,1,IF($I16330&lt;=1,2,0))</f>
        <v>0</v>
      </c>
      <c r="K16330">
        <v>9</v>
      </c>
      <c r="L16330">
        <f>IF(AND($J16330=0,$K16330=0),0,1)</f>
        <v>1</v>
      </c>
    </row>
    <row r="16331" spans="1:13" x14ac:dyDescent="0.2">
      <c r="A16331" t="s">
        <v>569</v>
      </c>
      <c r="B16331" t="s">
        <v>71</v>
      </c>
      <c r="C16331" t="s">
        <v>72</v>
      </c>
      <c r="D16331">
        <v>3900</v>
      </c>
      <c r="E16331">
        <v>2021</v>
      </c>
      <c r="F16331">
        <v>4</v>
      </c>
      <c r="G16331">
        <v>15771</v>
      </c>
      <c r="H16331" s="1" t="s">
        <v>1830</v>
      </c>
      <c r="I16331">
        <v>0</v>
      </c>
      <c r="J16331">
        <f>IF($H16331=0,1,IF($I16331&lt;=1,2,0))</f>
        <v>2</v>
      </c>
      <c r="K16331">
        <v>9</v>
      </c>
      <c r="L16331">
        <f>IF(AND($J16331=0,$K16331=0),0,1)</f>
        <v>1</v>
      </c>
    </row>
    <row r="16332" spans="1:13" x14ac:dyDescent="0.2">
      <c r="A16332" t="s">
        <v>569</v>
      </c>
      <c r="B16332" t="s">
        <v>71</v>
      </c>
      <c r="C16332" t="s">
        <v>72</v>
      </c>
      <c r="D16332">
        <v>6273</v>
      </c>
      <c r="E16332">
        <v>2021</v>
      </c>
      <c r="F16332">
        <v>2</v>
      </c>
      <c r="G16332">
        <v>20444</v>
      </c>
      <c r="H16332" s="1" t="s">
        <v>1836</v>
      </c>
      <c r="I16332">
        <v>1</v>
      </c>
      <c r="J16332">
        <f>IF($H16332=0,1,IF($I16332&lt;=1,2,0))</f>
        <v>2</v>
      </c>
      <c r="K16332">
        <v>0</v>
      </c>
      <c r="L16332">
        <f>IF(AND($J16332=0,$K16332=0),0,1)</f>
        <v>1</v>
      </c>
    </row>
    <row r="16333" spans="1:13" x14ac:dyDescent="0.2">
      <c r="A16333" t="s">
        <v>569</v>
      </c>
      <c r="B16333" t="s">
        <v>71</v>
      </c>
      <c r="C16333" t="s">
        <v>72</v>
      </c>
      <c r="D16333">
        <v>6273</v>
      </c>
      <c r="E16333">
        <v>2021</v>
      </c>
      <c r="F16333">
        <v>3</v>
      </c>
      <c r="G16333">
        <v>12673</v>
      </c>
      <c r="H16333" s="1" t="s">
        <v>1836</v>
      </c>
      <c r="I16333">
        <v>1</v>
      </c>
      <c r="J16333">
        <f>IF($H16333=0,1,IF($I16333&lt;=1,2,0))</f>
        <v>2</v>
      </c>
      <c r="K16333">
        <v>0</v>
      </c>
      <c r="L16333">
        <f>IF(AND($J16333=0,$K16333=0),0,1)</f>
        <v>1</v>
      </c>
    </row>
    <row r="16334" spans="1:13" x14ac:dyDescent="0.2">
      <c r="A16334" t="s">
        <v>569</v>
      </c>
      <c r="B16334" t="s">
        <v>71</v>
      </c>
      <c r="C16334" t="s">
        <v>72</v>
      </c>
      <c r="D16334">
        <v>6273</v>
      </c>
      <c r="E16334">
        <v>2021</v>
      </c>
      <c r="F16334">
        <v>4</v>
      </c>
      <c r="G16334">
        <v>12674</v>
      </c>
      <c r="H16334" s="1" t="s">
        <v>1836</v>
      </c>
      <c r="I16334">
        <v>1</v>
      </c>
      <c r="J16334">
        <f>IF($H16334=0,1,IF($I16334&lt;=1,2,0))</f>
        <v>2</v>
      </c>
      <c r="K16334">
        <v>0</v>
      </c>
      <c r="L16334">
        <f>IF(AND($J16334=0,$K16334=0),0,1)</f>
        <v>1</v>
      </c>
    </row>
    <row r="16335" spans="1:13" x14ac:dyDescent="0.2">
      <c r="A16335" t="s">
        <v>569</v>
      </c>
      <c r="B16335" t="s">
        <v>71</v>
      </c>
      <c r="C16335" t="s">
        <v>72</v>
      </c>
      <c r="D16335">
        <v>6273</v>
      </c>
      <c r="E16335">
        <v>2021</v>
      </c>
      <c r="F16335">
        <v>8</v>
      </c>
      <c r="G16335">
        <v>12675</v>
      </c>
      <c r="H16335" s="1" t="s">
        <v>1836</v>
      </c>
      <c r="I16335">
        <v>0</v>
      </c>
      <c r="J16335">
        <f>IF($H16335=0,1,IF($I16335&lt;=1,2,0))</f>
        <v>2</v>
      </c>
      <c r="K16335">
        <v>0</v>
      </c>
      <c r="L16335">
        <f>IF(AND($J16335=0,$K16335=0),0,1)</f>
        <v>1</v>
      </c>
    </row>
    <row r="16336" spans="1:13" x14ac:dyDescent="0.2">
      <c r="A16336" t="s">
        <v>569</v>
      </c>
      <c r="B16336" t="s">
        <v>71</v>
      </c>
      <c r="C16336" t="s">
        <v>72</v>
      </c>
      <c r="D16336">
        <v>9000</v>
      </c>
      <c r="E16336">
        <v>2021</v>
      </c>
      <c r="F16336">
        <v>1</v>
      </c>
      <c r="G16336">
        <v>18167</v>
      </c>
      <c r="H16336" s="1">
        <v>0</v>
      </c>
      <c r="I16336">
        <v>0</v>
      </c>
      <c r="J16336">
        <f>IF($H16336=0,1,IF($I16336&lt;=1,2,0))</f>
        <v>1</v>
      </c>
      <c r="K16336">
        <v>5</v>
      </c>
      <c r="L16336">
        <f>IF(AND($J16336=0,$K16336=0),0,1)</f>
        <v>1</v>
      </c>
    </row>
    <row r="16337" spans="1:13" x14ac:dyDescent="0.2">
      <c r="A16337" t="s">
        <v>569</v>
      </c>
      <c r="B16337" t="s">
        <v>71</v>
      </c>
      <c r="C16337" t="s">
        <v>72</v>
      </c>
      <c r="D16337">
        <v>9301</v>
      </c>
      <c r="E16337">
        <v>2021</v>
      </c>
      <c r="F16337">
        <v>12</v>
      </c>
      <c r="G16337">
        <v>12671</v>
      </c>
      <c r="H16337" s="1" t="s">
        <v>1829</v>
      </c>
      <c r="I16337">
        <v>5</v>
      </c>
      <c r="J16337">
        <f>IF($H16337=0,1,IF($I16337&lt;=1,2,0))</f>
        <v>0</v>
      </c>
      <c r="K16337">
        <v>5</v>
      </c>
      <c r="L16337">
        <f>IF(AND($J16337=0,$K16337=0),0,1)</f>
        <v>1</v>
      </c>
    </row>
    <row r="16338" spans="1:13" x14ac:dyDescent="0.2">
      <c r="A16338" t="s">
        <v>569</v>
      </c>
      <c r="B16338" t="s">
        <v>71</v>
      </c>
      <c r="C16338" t="s">
        <v>72</v>
      </c>
      <c r="D16338">
        <v>9301</v>
      </c>
      <c r="E16338">
        <v>2021</v>
      </c>
      <c r="F16338">
        <v>13</v>
      </c>
      <c r="G16338">
        <v>12672</v>
      </c>
      <c r="H16338" s="1" t="s">
        <v>1829</v>
      </c>
      <c r="I16338">
        <v>4</v>
      </c>
      <c r="J16338">
        <f>IF($H16338=0,1,IF($I16338&lt;=1,2,0))</f>
        <v>0</v>
      </c>
      <c r="K16338">
        <v>5</v>
      </c>
      <c r="L16338">
        <f>IF(AND($J16338=0,$K16338=0),0,1)</f>
        <v>1</v>
      </c>
    </row>
    <row r="16339" spans="1:13" x14ac:dyDescent="0.2">
      <c r="A16339" t="s">
        <v>569</v>
      </c>
      <c r="B16339" t="s">
        <v>71</v>
      </c>
      <c r="C16339" t="s">
        <v>72</v>
      </c>
      <c r="D16339">
        <v>9301</v>
      </c>
      <c r="E16339">
        <v>2021</v>
      </c>
      <c r="F16339">
        <v>3</v>
      </c>
      <c r="G16339">
        <v>12664</v>
      </c>
      <c r="H16339" s="1" t="s">
        <v>1829</v>
      </c>
      <c r="I16339">
        <v>3</v>
      </c>
      <c r="J16339">
        <f>IF($H16339=0,1,IF($I16339&lt;=1,2,0))</f>
        <v>0</v>
      </c>
      <c r="K16339">
        <v>5</v>
      </c>
      <c r="L16339">
        <f>IF(AND($J16339=0,$K16339=0),0,1)</f>
        <v>1</v>
      </c>
    </row>
    <row r="16340" spans="1:13" x14ac:dyDescent="0.2">
      <c r="A16340" t="s">
        <v>569</v>
      </c>
      <c r="B16340" t="s">
        <v>71</v>
      </c>
      <c r="C16340" t="s">
        <v>72</v>
      </c>
      <c r="D16340">
        <v>9301</v>
      </c>
      <c r="E16340">
        <v>2021</v>
      </c>
      <c r="F16340">
        <v>2</v>
      </c>
      <c r="G16340">
        <v>12663</v>
      </c>
      <c r="H16340" s="1" t="s">
        <v>1829</v>
      </c>
      <c r="I16340">
        <v>2</v>
      </c>
      <c r="J16340">
        <f>IF($H16340=0,1,IF($I16340&lt;=1,2,0))</f>
        <v>0</v>
      </c>
      <c r="K16340">
        <v>5</v>
      </c>
      <c r="L16340">
        <f>IF(AND($J16340=0,$K16340=0),0,1)</f>
        <v>1</v>
      </c>
    </row>
    <row r="16341" spans="1:13" x14ac:dyDescent="0.2">
      <c r="A16341" t="s">
        <v>569</v>
      </c>
      <c r="B16341" t="s">
        <v>71</v>
      </c>
      <c r="C16341" t="s">
        <v>72</v>
      </c>
      <c r="D16341">
        <v>9301</v>
      </c>
      <c r="E16341">
        <v>2021</v>
      </c>
      <c r="F16341">
        <v>5</v>
      </c>
      <c r="G16341">
        <v>12665</v>
      </c>
      <c r="H16341" s="1" t="s">
        <v>1829</v>
      </c>
      <c r="I16341">
        <v>2</v>
      </c>
      <c r="J16341">
        <f>IF($H16341=0,1,IF($I16341&lt;=1,2,0))</f>
        <v>0</v>
      </c>
      <c r="K16341">
        <v>5</v>
      </c>
      <c r="L16341">
        <f>IF(AND($J16341=0,$K16341=0),0,1)</f>
        <v>1</v>
      </c>
    </row>
    <row r="16342" spans="1:13" x14ac:dyDescent="0.2">
      <c r="A16342" t="s">
        <v>569</v>
      </c>
      <c r="B16342" t="s">
        <v>71</v>
      </c>
      <c r="C16342" t="s">
        <v>72</v>
      </c>
      <c r="D16342">
        <v>9301</v>
      </c>
      <c r="E16342">
        <v>2021</v>
      </c>
      <c r="F16342">
        <v>7</v>
      </c>
      <c r="G16342">
        <v>12667</v>
      </c>
      <c r="H16342" s="1" t="s">
        <v>1829</v>
      </c>
      <c r="I16342">
        <v>2</v>
      </c>
      <c r="J16342">
        <f>IF($H16342=0,1,IF($I16342&lt;=1,2,0))</f>
        <v>0</v>
      </c>
      <c r="K16342">
        <v>5</v>
      </c>
      <c r="L16342">
        <f>IF(AND($J16342=0,$K16342=0),0,1)</f>
        <v>1</v>
      </c>
    </row>
    <row r="16343" spans="1:13" x14ac:dyDescent="0.2">
      <c r="A16343" t="s">
        <v>569</v>
      </c>
      <c r="B16343" t="s">
        <v>71</v>
      </c>
      <c r="C16343" t="s">
        <v>72</v>
      </c>
      <c r="D16343">
        <v>9301</v>
      </c>
      <c r="E16343">
        <v>2021</v>
      </c>
      <c r="F16343">
        <v>8</v>
      </c>
      <c r="G16343">
        <v>12668</v>
      </c>
      <c r="H16343" s="1" t="s">
        <v>1829</v>
      </c>
      <c r="I16343">
        <v>2</v>
      </c>
      <c r="J16343">
        <f>IF($H16343=0,1,IF($I16343&lt;=1,2,0))</f>
        <v>0</v>
      </c>
      <c r="K16343">
        <v>5</v>
      </c>
      <c r="L16343">
        <f>IF(AND($J16343=0,$K16343=0),0,1)</f>
        <v>1</v>
      </c>
    </row>
    <row r="16344" spans="1:13" x14ac:dyDescent="0.2">
      <c r="A16344" t="s">
        <v>569</v>
      </c>
      <c r="B16344" t="s">
        <v>71</v>
      </c>
      <c r="C16344" t="s">
        <v>72</v>
      </c>
      <c r="D16344">
        <v>9301</v>
      </c>
      <c r="E16344">
        <v>2021</v>
      </c>
      <c r="F16344">
        <v>1</v>
      </c>
      <c r="G16344">
        <v>12662</v>
      </c>
      <c r="H16344" s="1" t="s">
        <v>1829</v>
      </c>
      <c r="I16344">
        <v>1</v>
      </c>
      <c r="J16344">
        <f>IF($H16344=0,1,IF($I16344&lt;=1,2,0))</f>
        <v>2</v>
      </c>
      <c r="K16344">
        <v>5</v>
      </c>
      <c r="L16344">
        <f>IF(AND($J16344=0,$K16344=0),0,1)</f>
        <v>1</v>
      </c>
    </row>
    <row r="16345" spans="1:13" x14ac:dyDescent="0.2">
      <c r="A16345" t="s">
        <v>569</v>
      </c>
      <c r="B16345" t="s">
        <v>71</v>
      </c>
      <c r="C16345" t="s">
        <v>72</v>
      </c>
      <c r="D16345">
        <v>9301</v>
      </c>
      <c r="E16345">
        <v>2021</v>
      </c>
      <c r="F16345">
        <v>6</v>
      </c>
      <c r="G16345">
        <v>12666</v>
      </c>
      <c r="H16345" s="1" t="s">
        <v>1829</v>
      </c>
      <c r="I16345">
        <v>0</v>
      </c>
      <c r="J16345">
        <f>IF($H16345=0,1,IF($I16345&lt;=1,2,0))</f>
        <v>2</v>
      </c>
      <c r="K16345">
        <v>5</v>
      </c>
      <c r="L16345">
        <f>IF(AND($J16345=0,$K16345=0),0,1)</f>
        <v>1</v>
      </c>
    </row>
    <row r="16346" spans="1:13" x14ac:dyDescent="0.2">
      <c r="A16346" t="s">
        <v>569</v>
      </c>
      <c r="B16346" t="s">
        <v>71</v>
      </c>
      <c r="C16346" t="s">
        <v>72</v>
      </c>
      <c r="D16346">
        <v>9301</v>
      </c>
      <c r="E16346">
        <v>2021</v>
      </c>
      <c r="F16346">
        <v>9</v>
      </c>
      <c r="G16346">
        <v>12669</v>
      </c>
      <c r="H16346" s="1" t="s">
        <v>1829</v>
      </c>
      <c r="I16346">
        <v>0</v>
      </c>
      <c r="J16346">
        <f>IF($H16346=0,1,IF($I16346&lt;=1,2,0))</f>
        <v>2</v>
      </c>
      <c r="K16346">
        <v>5</v>
      </c>
      <c r="L16346">
        <f>IF(AND($J16346=0,$K16346=0),0,1)</f>
        <v>1</v>
      </c>
    </row>
    <row r="16347" spans="1:13" x14ac:dyDescent="0.2">
      <c r="A16347" t="s">
        <v>569</v>
      </c>
      <c r="B16347" t="s">
        <v>71</v>
      </c>
      <c r="C16347" t="s">
        <v>72</v>
      </c>
      <c r="D16347">
        <v>9301</v>
      </c>
      <c r="E16347">
        <v>2021</v>
      </c>
      <c r="F16347">
        <v>10</v>
      </c>
      <c r="G16347">
        <v>12670</v>
      </c>
      <c r="H16347" s="1" t="s">
        <v>1829</v>
      </c>
      <c r="I16347">
        <v>0</v>
      </c>
      <c r="J16347">
        <f>IF($H16347=0,1,IF($I16347&lt;=1,2,0))</f>
        <v>2</v>
      </c>
      <c r="K16347">
        <v>5</v>
      </c>
      <c r="L16347">
        <f>IF(AND($J16347=0,$K16347=0),0,1)</f>
        <v>1</v>
      </c>
    </row>
    <row r="16348" spans="1:13" x14ac:dyDescent="0.2">
      <c r="A16348" t="s">
        <v>570</v>
      </c>
      <c r="B16348" t="s">
        <v>17</v>
      </c>
      <c r="C16348" t="s">
        <v>2</v>
      </c>
      <c r="D16348">
        <v>1001</v>
      </c>
      <c r="E16348">
        <v>2021</v>
      </c>
      <c r="F16348">
        <v>2</v>
      </c>
      <c r="G16348">
        <v>367</v>
      </c>
      <c r="H16348" s="1">
        <v>3</v>
      </c>
      <c r="I16348">
        <v>24</v>
      </c>
      <c r="J16348">
        <f>IF($H16348=0,1,IF($I16348&lt;=1,2,0))</f>
        <v>0</v>
      </c>
      <c r="K16348">
        <v>7</v>
      </c>
      <c r="L16348">
        <f>IF(AND($J16348=0,$K16348=0),0,1)</f>
        <v>1</v>
      </c>
    </row>
    <row r="16349" spans="1:13" x14ac:dyDescent="0.2">
      <c r="A16349" t="s">
        <v>570</v>
      </c>
      <c r="B16349" t="s">
        <v>17</v>
      </c>
      <c r="C16349" t="s">
        <v>2</v>
      </c>
      <c r="D16349">
        <v>1001</v>
      </c>
      <c r="E16349">
        <v>2021</v>
      </c>
      <c r="F16349">
        <v>1</v>
      </c>
      <c r="G16349">
        <v>366</v>
      </c>
      <c r="H16349" s="1">
        <v>3</v>
      </c>
      <c r="I16349">
        <v>22</v>
      </c>
      <c r="J16349">
        <f>IF($H16349=0,1,IF($I16349&lt;=1,2,0))</f>
        <v>0</v>
      </c>
      <c r="K16349">
        <v>7</v>
      </c>
      <c r="L16349">
        <f>IF(AND($J16349=0,$K16349=0),0,1)</f>
        <v>1</v>
      </c>
    </row>
    <row r="16350" spans="1:13" x14ac:dyDescent="0.2">
      <c r="A16350" t="s">
        <v>570</v>
      </c>
      <c r="B16350" t="s">
        <v>17</v>
      </c>
      <c r="C16350" t="s">
        <v>2</v>
      </c>
      <c r="D16350">
        <v>1501</v>
      </c>
      <c r="E16350">
        <v>2021</v>
      </c>
      <c r="F16350">
        <v>2</v>
      </c>
      <c r="G16350">
        <v>369</v>
      </c>
      <c r="H16350" s="1">
        <v>2</v>
      </c>
      <c r="I16350">
        <v>29</v>
      </c>
      <c r="J16350">
        <f>IF($H16350=0,1,IF($I16350&lt;=1,2,0))</f>
        <v>0</v>
      </c>
      <c r="K16350">
        <v>7</v>
      </c>
      <c r="L16350">
        <f>IF(AND($J16350=0,$K16350=0),0,1)</f>
        <v>1</v>
      </c>
      <c r="M16350" t="s">
        <v>1685</v>
      </c>
    </row>
    <row r="16351" spans="1:13" x14ac:dyDescent="0.2">
      <c r="A16351" t="s">
        <v>570</v>
      </c>
      <c r="B16351" t="s">
        <v>17</v>
      </c>
      <c r="C16351" t="s">
        <v>2</v>
      </c>
      <c r="D16351">
        <v>1501</v>
      </c>
      <c r="E16351">
        <v>2021</v>
      </c>
      <c r="F16351">
        <v>1</v>
      </c>
      <c r="G16351">
        <v>368</v>
      </c>
      <c r="H16351" s="1">
        <v>2</v>
      </c>
      <c r="I16351">
        <v>18</v>
      </c>
      <c r="J16351">
        <f>IF($H16351=0,1,IF($I16351&lt;=1,2,0))</f>
        <v>0</v>
      </c>
      <c r="K16351">
        <v>7</v>
      </c>
      <c r="L16351">
        <f>IF(AND($J16351=0,$K16351=0),0,1)</f>
        <v>1</v>
      </c>
      <c r="M16351" t="s">
        <v>1685</v>
      </c>
    </row>
    <row r="16352" spans="1:13" x14ac:dyDescent="0.2">
      <c r="A16352" t="s">
        <v>570</v>
      </c>
      <c r="B16352" t="s">
        <v>17</v>
      </c>
      <c r="C16352" t="s">
        <v>2</v>
      </c>
      <c r="D16352">
        <v>3139</v>
      </c>
      <c r="E16352">
        <v>2021</v>
      </c>
      <c r="F16352">
        <v>1</v>
      </c>
      <c r="G16352">
        <v>372</v>
      </c>
      <c r="H16352" s="1">
        <v>3</v>
      </c>
      <c r="I16352">
        <v>9</v>
      </c>
      <c r="J16352">
        <f>IF($H16352=0,1,IF($I16352&lt;=1,2,0))</f>
        <v>0</v>
      </c>
      <c r="K16352">
        <v>7</v>
      </c>
      <c r="L16352">
        <f>IF(AND($J16352=0,$K16352=0),0,1)</f>
        <v>1</v>
      </c>
    </row>
    <row r="16353" spans="1:12" x14ac:dyDescent="0.2">
      <c r="A16353" t="s">
        <v>570</v>
      </c>
      <c r="B16353" t="s">
        <v>17</v>
      </c>
      <c r="C16353" t="s">
        <v>2</v>
      </c>
      <c r="D16353">
        <v>3140</v>
      </c>
      <c r="E16353">
        <v>2021</v>
      </c>
      <c r="F16353">
        <v>1</v>
      </c>
      <c r="G16353">
        <v>373</v>
      </c>
      <c r="H16353" s="1">
        <v>3</v>
      </c>
      <c r="I16353">
        <v>10</v>
      </c>
      <c r="J16353">
        <f>IF($H16353=0,1,IF($I16353&lt;=1,2,0))</f>
        <v>0</v>
      </c>
      <c r="K16353">
        <v>7</v>
      </c>
      <c r="L16353">
        <f>IF(AND($J16353=0,$K16353=0),0,1)</f>
        <v>1</v>
      </c>
    </row>
    <row r="16354" spans="1:12" x14ac:dyDescent="0.2">
      <c r="A16354" t="s">
        <v>570</v>
      </c>
      <c r="B16354" t="s">
        <v>17</v>
      </c>
      <c r="C16354" t="s">
        <v>2</v>
      </c>
      <c r="D16354">
        <v>3990</v>
      </c>
      <c r="E16354">
        <v>2021</v>
      </c>
      <c r="F16354">
        <v>1</v>
      </c>
      <c r="G16354">
        <v>374</v>
      </c>
      <c r="H16354" s="1">
        <v>3</v>
      </c>
      <c r="I16354">
        <v>0</v>
      </c>
      <c r="J16354">
        <f>IF($H16354=0,1,IF($I16354&lt;=1,2,0))</f>
        <v>2</v>
      </c>
      <c r="K16354">
        <v>7</v>
      </c>
      <c r="L16354">
        <f>IF(AND($J16354=0,$K16354=0),0,1)</f>
        <v>1</v>
      </c>
    </row>
    <row r="16355" spans="1:12" x14ac:dyDescent="0.2">
      <c r="A16355" t="s">
        <v>570</v>
      </c>
      <c r="B16355" t="s">
        <v>17</v>
      </c>
      <c r="C16355" t="s">
        <v>2</v>
      </c>
      <c r="D16355">
        <v>3991</v>
      </c>
      <c r="E16355">
        <v>2021</v>
      </c>
      <c r="F16355">
        <v>1</v>
      </c>
      <c r="G16355">
        <v>375</v>
      </c>
      <c r="H16355" s="1">
        <v>3</v>
      </c>
      <c r="I16355">
        <v>0</v>
      </c>
      <c r="J16355">
        <f>IF($H16355=0,1,IF($I16355&lt;=1,2,0))</f>
        <v>2</v>
      </c>
      <c r="K16355">
        <v>7</v>
      </c>
      <c r="L16355">
        <f>IF(AND($J16355=0,$K16355=0),0,1)</f>
        <v>1</v>
      </c>
    </row>
    <row r="16356" spans="1:12" x14ac:dyDescent="0.2">
      <c r="A16356" t="s">
        <v>570</v>
      </c>
      <c r="B16356" t="s">
        <v>17</v>
      </c>
      <c r="C16356" t="s">
        <v>2</v>
      </c>
      <c r="D16356">
        <v>3992</v>
      </c>
      <c r="E16356">
        <v>2021</v>
      </c>
      <c r="F16356">
        <v>1</v>
      </c>
      <c r="G16356">
        <v>376</v>
      </c>
      <c r="H16356" s="1">
        <v>4</v>
      </c>
      <c r="I16356">
        <v>6</v>
      </c>
      <c r="J16356">
        <f>IF($H16356=0,1,IF($I16356&lt;=1,2,0))</f>
        <v>0</v>
      </c>
      <c r="K16356">
        <v>7</v>
      </c>
      <c r="L16356">
        <f>IF(AND($J16356=0,$K16356=0),0,1)</f>
        <v>1</v>
      </c>
    </row>
    <row r="16357" spans="1:12" x14ac:dyDescent="0.2">
      <c r="A16357" t="s">
        <v>570</v>
      </c>
      <c r="B16357" t="s">
        <v>17</v>
      </c>
      <c r="C16357" t="s">
        <v>9</v>
      </c>
      <c r="D16357">
        <v>3995</v>
      </c>
      <c r="E16357">
        <v>2021</v>
      </c>
      <c r="F16357">
        <v>10</v>
      </c>
      <c r="G16357">
        <v>10277</v>
      </c>
      <c r="H16357" s="1" t="s">
        <v>1833</v>
      </c>
      <c r="I16357">
        <v>1</v>
      </c>
      <c r="J16357">
        <f>IF($H16357=0,1,IF($I16357&lt;=1,2,0))</f>
        <v>2</v>
      </c>
      <c r="K16357">
        <v>0</v>
      </c>
      <c r="L16357">
        <f>IF(AND($J16357=0,$K16357=0),0,1)</f>
        <v>1</v>
      </c>
    </row>
    <row r="16358" spans="1:12" x14ac:dyDescent="0.2">
      <c r="A16358" t="s">
        <v>570</v>
      </c>
      <c r="B16358" t="s">
        <v>17</v>
      </c>
      <c r="C16358" t="s">
        <v>9</v>
      </c>
      <c r="D16358">
        <v>3995</v>
      </c>
      <c r="E16358">
        <v>2021</v>
      </c>
      <c r="F16358">
        <v>1</v>
      </c>
      <c r="G16358">
        <v>10269</v>
      </c>
      <c r="H16358" s="1" t="s">
        <v>1833</v>
      </c>
      <c r="I16358">
        <v>0</v>
      </c>
      <c r="J16358">
        <f>IF($H16358=0,1,IF($I16358&lt;=1,2,0))</f>
        <v>2</v>
      </c>
      <c r="K16358">
        <v>0</v>
      </c>
      <c r="L16358">
        <f>IF(AND($J16358=0,$K16358=0),0,1)</f>
        <v>1</v>
      </c>
    </row>
    <row r="16359" spans="1:12" x14ac:dyDescent="0.2">
      <c r="A16359" t="s">
        <v>570</v>
      </c>
      <c r="B16359" t="s">
        <v>17</v>
      </c>
      <c r="C16359" t="s">
        <v>9</v>
      </c>
      <c r="D16359">
        <v>3995</v>
      </c>
      <c r="E16359">
        <v>2021</v>
      </c>
      <c r="F16359">
        <v>2</v>
      </c>
      <c r="G16359">
        <v>10270</v>
      </c>
      <c r="H16359" s="1" t="s">
        <v>1833</v>
      </c>
      <c r="I16359">
        <v>0</v>
      </c>
      <c r="J16359">
        <f>IF($H16359=0,1,IF($I16359&lt;=1,2,0))</f>
        <v>2</v>
      </c>
      <c r="K16359">
        <v>0</v>
      </c>
      <c r="L16359">
        <f>IF(AND($J16359=0,$K16359=0),0,1)</f>
        <v>1</v>
      </c>
    </row>
    <row r="16360" spans="1:12" x14ac:dyDescent="0.2">
      <c r="A16360" t="s">
        <v>570</v>
      </c>
      <c r="B16360" t="s">
        <v>17</v>
      </c>
      <c r="C16360" t="s">
        <v>9</v>
      </c>
      <c r="D16360">
        <v>3995</v>
      </c>
      <c r="E16360">
        <v>2021</v>
      </c>
      <c r="F16360">
        <v>3</v>
      </c>
      <c r="G16360">
        <v>10271</v>
      </c>
      <c r="H16360" s="1" t="s">
        <v>1833</v>
      </c>
      <c r="I16360">
        <v>0</v>
      </c>
      <c r="J16360">
        <f>IF($H16360=0,1,IF($I16360&lt;=1,2,0))</f>
        <v>2</v>
      </c>
      <c r="K16360">
        <v>0</v>
      </c>
      <c r="L16360">
        <f>IF(AND($J16360=0,$K16360=0),0,1)</f>
        <v>1</v>
      </c>
    </row>
    <row r="16361" spans="1:12" x14ac:dyDescent="0.2">
      <c r="A16361" t="s">
        <v>570</v>
      </c>
      <c r="B16361" t="s">
        <v>17</v>
      </c>
      <c r="C16361" t="s">
        <v>9</v>
      </c>
      <c r="D16361">
        <v>3995</v>
      </c>
      <c r="E16361">
        <v>2021</v>
      </c>
      <c r="F16361">
        <v>6</v>
      </c>
      <c r="G16361">
        <v>10273</v>
      </c>
      <c r="H16361" s="1" t="s">
        <v>1833</v>
      </c>
      <c r="I16361">
        <v>0</v>
      </c>
      <c r="J16361">
        <f>IF($H16361=0,1,IF($I16361&lt;=1,2,0))</f>
        <v>2</v>
      </c>
      <c r="K16361">
        <v>0</v>
      </c>
      <c r="L16361">
        <f>IF(AND($J16361=0,$K16361=0),0,1)</f>
        <v>1</v>
      </c>
    </row>
    <row r="16362" spans="1:12" x14ac:dyDescent="0.2">
      <c r="A16362" t="s">
        <v>570</v>
      </c>
      <c r="B16362" t="s">
        <v>17</v>
      </c>
      <c r="C16362" t="s">
        <v>9</v>
      </c>
      <c r="D16362">
        <v>3995</v>
      </c>
      <c r="E16362">
        <v>2021</v>
      </c>
      <c r="F16362">
        <v>7</v>
      </c>
      <c r="G16362">
        <v>10274</v>
      </c>
      <c r="H16362" s="1" t="s">
        <v>1833</v>
      </c>
      <c r="I16362">
        <v>0</v>
      </c>
      <c r="J16362">
        <f>IF($H16362=0,1,IF($I16362&lt;=1,2,0))</f>
        <v>2</v>
      </c>
      <c r="K16362">
        <v>0</v>
      </c>
      <c r="L16362">
        <f>IF(AND($J16362=0,$K16362=0),0,1)</f>
        <v>1</v>
      </c>
    </row>
    <row r="16363" spans="1:12" x14ac:dyDescent="0.2">
      <c r="A16363" t="s">
        <v>570</v>
      </c>
      <c r="B16363" t="s">
        <v>17</v>
      </c>
      <c r="C16363" t="s">
        <v>9</v>
      </c>
      <c r="D16363">
        <v>3995</v>
      </c>
      <c r="E16363">
        <v>2021</v>
      </c>
      <c r="F16363">
        <v>8</v>
      </c>
      <c r="G16363">
        <v>10275</v>
      </c>
      <c r="H16363" s="1" t="s">
        <v>1833</v>
      </c>
      <c r="I16363">
        <v>0</v>
      </c>
      <c r="J16363">
        <f>IF($H16363=0,1,IF($I16363&lt;=1,2,0))</f>
        <v>2</v>
      </c>
      <c r="K16363">
        <v>0</v>
      </c>
      <c r="L16363">
        <f>IF(AND($J16363=0,$K16363=0),0,1)</f>
        <v>1</v>
      </c>
    </row>
    <row r="16364" spans="1:12" x14ac:dyDescent="0.2">
      <c r="A16364" t="s">
        <v>570</v>
      </c>
      <c r="B16364" t="s">
        <v>17</v>
      </c>
      <c r="C16364" t="s">
        <v>9</v>
      </c>
      <c r="D16364">
        <v>3995</v>
      </c>
      <c r="E16364">
        <v>2021</v>
      </c>
      <c r="F16364">
        <v>9</v>
      </c>
      <c r="G16364">
        <v>10276</v>
      </c>
      <c r="H16364" s="1" t="s">
        <v>1833</v>
      </c>
      <c r="I16364">
        <v>0</v>
      </c>
      <c r="J16364">
        <f>IF($H16364=0,1,IF($I16364&lt;=1,2,0))</f>
        <v>2</v>
      </c>
      <c r="K16364">
        <v>0</v>
      </c>
      <c r="L16364">
        <f>IF(AND($J16364=0,$K16364=0),0,1)</f>
        <v>1</v>
      </c>
    </row>
    <row r="16365" spans="1:12" x14ac:dyDescent="0.2">
      <c r="A16365" t="s">
        <v>570</v>
      </c>
      <c r="B16365" t="s">
        <v>17</v>
      </c>
      <c r="C16365" t="s">
        <v>9</v>
      </c>
      <c r="D16365">
        <v>3995</v>
      </c>
      <c r="E16365">
        <v>2021</v>
      </c>
      <c r="F16365">
        <v>11</v>
      </c>
      <c r="G16365">
        <v>10278</v>
      </c>
      <c r="H16365" s="1" t="s">
        <v>1833</v>
      </c>
      <c r="I16365">
        <v>0</v>
      </c>
      <c r="J16365">
        <f>IF($H16365=0,1,IF($I16365&lt;=1,2,0))</f>
        <v>2</v>
      </c>
      <c r="K16365">
        <v>0</v>
      </c>
      <c r="L16365">
        <f>IF(AND($J16365=0,$K16365=0),0,1)</f>
        <v>1</v>
      </c>
    </row>
    <row r="16366" spans="1:12" x14ac:dyDescent="0.2">
      <c r="A16366" t="s">
        <v>570</v>
      </c>
      <c r="B16366" t="s">
        <v>17</v>
      </c>
      <c r="C16366" t="s">
        <v>9</v>
      </c>
      <c r="D16366">
        <v>3995</v>
      </c>
      <c r="E16366">
        <v>2021</v>
      </c>
      <c r="F16366">
        <v>13</v>
      </c>
      <c r="G16366">
        <v>10279</v>
      </c>
      <c r="H16366" s="1" t="s">
        <v>1833</v>
      </c>
      <c r="I16366">
        <v>0</v>
      </c>
      <c r="J16366">
        <f>IF($H16366=0,1,IF($I16366&lt;=1,2,0))</f>
        <v>2</v>
      </c>
      <c r="K16366">
        <v>0</v>
      </c>
      <c r="L16366">
        <f>IF(AND($J16366=0,$K16366=0),0,1)</f>
        <v>1</v>
      </c>
    </row>
    <row r="16367" spans="1:12" x14ac:dyDescent="0.2">
      <c r="A16367" t="s">
        <v>570</v>
      </c>
      <c r="B16367" t="s">
        <v>17</v>
      </c>
      <c r="C16367" t="s">
        <v>9</v>
      </c>
      <c r="D16367">
        <v>3995</v>
      </c>
      <c r="E16367">
        <v>2021</v>
      </c>
      <c r="F16367">
        <v>14</v>
      </c>
      <c r="G16367">
        <v>10280</v>
      </c>
      <c r="H16367" s="1" t="s">
        <v>1833</v>
      </c>
      <c r="I16367">
        <v>0</v>
      </c>
      <c r="J16367">
        <f>IF($H16367=0,1,IF($I16367&lt;=1,2,0))</f>
        <v>2</v>
      </c>
      <c r="K16367">
        <v>0</v>
      </c>
      <c r="L16367">
        <f>IF(AND($J16367=0,$K16367=0),0,1)</f>
        <v>1</v>
      </c>
    </row>
    <row r="16368" spans="1:12" x14ac:dyDescent="0.2">
      <c r="A16368" t="s">
        <v>570</v>
      </c>
      <c r="B16368" t="s">
        <v>17</v>
      </c>
      <c r="C16368" t="s">
        <v>9</v>
      </c>
      <c r="D16368">
        <v>3995</v>
      </c>
      <c r="E16368">
        <v>2021</v>
      </c>
      <c r="F16368">
        <v>15</v>
      </c>
      <c r="G16368">
        <v>10281</v>
      </c>
      <c r="H16368" s="1" t="s">
        <v>1833</v>
      </c>
      <c r="I16368">
        <v>0</v>
      </c>
      <c r="J16368">
        <f>IF($H16368=0,1,IF($I16368&lt;=1,2,0))</f>
        <v>2</v>
      </c>
      <c r="K16368">
        <v>0</v>
      </c>
      <c r="L16368">
        <f>IF(AND($J16368=0,$K16368=0),0,1)</f>
        <v>1</v>
      </c>
    </row>
    <row r="16369" spans="1:12" x14ac:dyDescent="0.2">
      <c r="A16369" t="s">
        <v>570</v>
      </c>
      <c r="B16369" t="s">
        <v>17</v>
      </c>
      <c r="C16369" t="s">
        <v>9</v>
      </c>
      <c r="D16369">
        <v>3995</v>
      </c>
      <c r="E16369">
        <v>2021</v>
      </c>
      <c r="F16369">
        <v>17</v>
      </c>
      <c r="G16369">
        <v>10282</v>
      </c>
      <c r="H16369" s="1" t="s">
        <v>1833</v>
      </c>
      <c r="I16369">
        <v>0</v>
      </c>
      <c r="J16369">
        <f>IF($H16369=0,1,IF($I16369&lt;=1,2,0))</f>
        <v>2</v>
      </c>
      <c r="K16369">
        <v>0</v>
      </c>
      <c r="L16369">
        <f>IF(AND($J16369=0,$K16369=0),0,1)</f>
        <v>1</v>
      </c>
    </row>
    <row r="16370" spans="1:12" x14ac:dyDescent="0.2">
      <c r="A16370" t="s">
        <v>570</v>
      </c>
      <c r="B16370" t="s">
        <v>17</v>
      </c>
      <c r="C16370" t="s">
        <v>9</v>
      </c>
      <c r="D16370">
        <v>3995</v>
      </c>
      <c r="E16370">
        <v>2021</v>
      </c>
      <c r="F16370">
        <v>18</v>
      </c>
      <c r="G16370">
        <v>10283</v>
      </c>
      <c r="H16370" s="1" t="s">
        <v>1833</v>
      </c>
      <c r="I16370">
        <v>0</v>
      </c>
      <c r="J16370">
        <f>IF($H16370=0,1,IF($I16370&lt;=1,2,0))</f>
        <v>2</v>
      </c>
      <c r="K16370">
        <v>0</v>
      </c>
      <c r="L16370">
        <f>IF(AND($J16370=0,$K16370=0),0,1)</f>
        <v>1</v>
      </c>
    </row>
    <row r="16371" spans="1:12" x14ac:dyDescent="0.2">
      <c r="A16371" t="s">
        <v>570</v>
      </c>
      <c r="B16371" t="s">
        <v>17</v>
      </c>
      <c r="C16371" t="s">
        <v>9</v>
      </c>
      <c r="D16371">
        <v>3995</v>
      </c>
      <c r="E16371">
        <v>2021</v>
      </c>
      <c r="F16371">
        <v>19</v>
      </c>
      <c r="G16371">
        <v>10284</v>
      </c>
      <c r="H16371" s="1" t="s">
        <v>1833</v>
      </c>
      <c r="I16371">
        <v>0</v>
      </c>
      <c r="J16371">
        <f>IF($H16371=0,1,IF($I16371&lt;=1,2,0))</f>
        <v>2</v>
      </c>
      <c r="K16371">
        <v>0</v>
      </c>
      <c r="L16371">
        <f>IF(AND($J16371=0,$K16371=0),0,1)</f>
        <v>1</v>
      </c>
    </row>
    <row r="16372" spans="1:12" x14ac:dyDescent="0.2">
      <c r="A16372" t="s">
        <v>570</v>
      </c>
      <c r="B16372" t="s">
        <v>17</v>
      </c>
      <c r="C16372" t="s">
        <v>9</v>
      </c>
      <c r="D16372">
        <v>3995</v>
      </c>
      <c r="E16372">
        <v>2021</v>
      </c>
      <c r="F16372">
        <v>20</v>
      </c>
      <c r="G16372">
        <v>10285</v>
      </c>
      <c r="H16372" s="1" t="s">
        <v>1833</v>
      </c>
      <c r="I16372">
        <v>0</v>
      </c>
      <c r="J16372">
        <f>IF($H16372=0,1,IF($I16372&lt;=1,2,0))</f>
        <v>2</v>
      </c>
      <c r="K16372">
        <v>0</v>
      </c>
      <c r="L16372">
        <f>IF(AND($J16372=0,$K16372=0),0,1)</f>
        <v>1</v>
      </c>
    </row>
    <row r="16373" spans="1:12" x14ac:dyDescent="0.2">
      <c r="A16373" t="s">
        <v>570</v>
      </c>
      <c r="B16373" t="s">
        <v>17</v>
      </c>
      <c r="C16373" t="s">
        <v>21</v>
      </c>
      <c r="D16373">
        <v>3998</v>
      </c>
      <c r="E16373">
        <v>2021</v>
      </c>
      <c r="F16373">
        <v>15</v>
      </c>
      <c r="G16373">
        <v>10298</v>
      </c>
      <c r="H16373" s="1" t="s">
        <v>1833</v>
      </c>
      <c r="I16373">
        <v>1</v>
      </c>
      <c r="J16373">
        <f>IF($H16373=0,1,IF($I16373&lt;=1,2,0))</f>
        <v>2</v>
      </c>
      <c r="K16373">
        <v>9</v>
      </c>
      <c r="L16373">
        <f>IF(AND($J16373=0,$K16373=0),0,1)</f>
        <v>1</v>
      </c>
    </row>
    <row r="16374" spans="1:12" x14ac:dyDescent="0.2">
      <c r="A16374" t="s">
        <v>570</v>
      </c>
      <c r="B16374" t="s">
        <v>17</v>
      </c>
      <c r="C16374" t="s">
        <v>21</v>
      </c>
      <c r="D16374">
        <v>3998</v>
      </c>
      <c r="E16374">
        <v>2021</v>
      </c>
      <c r="F16374">
        <v>20</v>
      </c>
      <c r="G16374">
        <v>10302</v>
      </c>
      <c r="H16374" s="1" t="s">
        <v>1833</v>
      </c>
      <c r="I16374">
        <v>1</v>
      </c>
      <c r="J16374">
        <f>IF($H16374=0,1,IF($I16374&lt;=1,2,0))</f>
        <v>2</v>
      </c>
      <c r="K16374">
        <v>9</v>
      </c>
      <c r="L16374">
        <f>IF(AND($J16374=0,$K16374=0),0,1)</f>
        <v>1</v>
      </c>
    </row>
    <row r="16375" spans="1:12" x14ac:dyDescent="0.2">
      <c r="A16375" t="s">
        <v>570</v>
      </c>
      <c r="B16375" t="s">
        <v>17</v>
      </c>
      <c r="C16375" t="s">
        <v>21</v>
      </c>
      <c r="D16375">
        <v>3998</v>
      </c>
      <c r="E16375">
        <v>2021</v>
      </c>
      <c r="F16375">
        <v>1</v>
      </c>
      <c r="G16375">
        <v>10286</v>
      </c>
      <c r="H16375" s="1" t="s">
        <v>1833</v>
      </c>
      <c r="I16375">
        <v>0</v>
      </c>
      <c r="J16375">
        <f>IF($H16375=0,1,IF($I16375&lt;=1,2,0))</f>
        <v>2</v>
      </c>
      <c r="K16375">
        <v>9</v>
      </c>
      <c r="L16375">
        <f>IF(AND($J16375=0,$K16375=0),0,1)</f>
        <v>1</v>
      </c>
    </row>
    <row r="16376" spans="1:12" x14ac:dyDescent="0.2">
      <c r="A16376" t="s">
        <v>570</v>
      </c>
      <c r="B16376" t="s">
        <v>17</v>
      </c>
      <c r="C16376" t="s">
        <v>21</v>
      </c>
      <c r="D16376">
        <v>3998</v>
      </c>
      <c r="E16376">
        <v>2021</v>
      </c>
      <c r="F16376">
        <v>2</v>
      </c>
      <c r="G16376">
        <v>10287</v>
      </c>
      <c r="H16376" s="1" t="s">
        <v>1833</v>
      </c>
      <c r="I16376">
        <v>0</v>
      </c>
      <c r="J16376">
        <f>IF($H16376=0,1,IF($I16376&lt;=1,2,0))</f>
        <v>2</v>
      </c>
      <c r="K16376">
        <v>9</v>
      </c>
      <c r="L16376">
        <f>IF(AND($J16376=0,$K16376=0),0,1)</f>
        <v>1</v>
      </c>
    </row>
    <row r="16377" spans="1:12" x14ac:dyDescent="0.2">
      <c r="A16377" t="s">
        <v>570</v>
      </c>
      <c r="B16377" t="s">
        <v>17</v>
      </c>
      <c r="C16377" t="s">
        <v>21</v>
      </c>
      <c r="D16377">
        <v>3998</v>
      </c>
      <c r="E16377">
        <v>2021</v>
      </c>
      <c r="F16377">
        <v>3</v>
      </c>
      <c r="G16377">
        <v>10288</v>
      </c>
      <c r="H16377" s="1" t="s">
        <v>1833</v>
      </c>
      <c r="I16377">
        <v>0</v>
      </c>
      <c r="J16377">
        <f>IF($H16377=0,1,IF($I16377&lt;=1,2,0))</f>
        <v>2</v>
      </c>
      <c r="K16377">
        <v>9</v>
      </c>
      <c r="L16377">
        <f>IF(AND($J16377=0,$K16377=0),0,1)</f>
        <v>1</v>
      </c>
    </row>
    <row r="16378" spans="1:12" x14ac:dyDescent="0.2">
      <c r="A16378" t="s">
        <v>570</v>
      </c>
      <c r="B16378" t="s">
        <v>17</v>
      </c>
      <c r="C16378" t="s">
        <v>21</v>
      </c>
      <c r="D16378">
        <v>3998</v>
      </c>
      <c r="E16378">
        <v>2021</v>
      </c>
      <c r="F16378">
        <v>5</v>
      </c>
      <c r="G16378">
        <v>10289</v>
      </c>
      <c r="H16378" s="1" t="s">
        <v>1833</v>
      </c>
      <c r="I16378">
        <v>0</v>
      </c>
      <c r="J16378">
        <f>IF($H16378=0,1,IF($I16378&lt;=1,2,0))</f>
        <v>2</v>
      </c>
      <c r="K16378">
        <v>9</v>
      </c>
      <c r="L16378">
        <f>IF(AND($J16378=0,$K16378=0),0,1)</f>
        <v>1</v>
      </c>
    </row>
    <row r="16379" spans="1:12" x14ac:dyDescent="0.2">
      <c r="A16379" t="s">
        <v>570</v>
      </c>
      <c r="B16379" t="s">
        <v>17</v>
      </c>
      <c r="C16379" t="s">
        <v>21</v>
      </c>
      <c r="D16379">
        <v>3998</v>
      </c>
      <c r="E16379">
        <v>2021</v>
      </c>
      <c r="F16379">
        <v>6</v>
      </c>
      <c r="G16379">
        <v>10290</v>
      </c>
      <c r="H16379" s="1" t="s">
        <v>1833</v>
      </c>
      <c r="I16379">
        <v>0</v>
      </c>
      <c r="J16379">
        <f>IF($H16379=0,1,IF($I16379&lt;=1,2,0))</f>
        <v>2</v>
      </c>
      <c r="K16379">
        <v>9</v>
      </c>
      <c r="L16379">
        <f>IF(AND($J16379=0,$K16379=0),0,1)</f>
        <v>1</v>
      </c>
    </row>
    <row r="16380" spans="1:12" x14ac:dyDescent="0.2">
      <c r="A16380" t="s">
        <v>570</v>
      </c>
      <c r="B16380" t="s">
        <v>17</v>
      </c>
      <c r="C16380" t="s">
        <v>21</v>
      </c>
      <c r="D16380">
        <v>3998</v>
      </c>
      <c r="E16380">
        <v>2021</v>
      </c>
      <c r="F16380">
        <v>7</v>
      </c>
      <c r="G16380">
        <v>10291</v>
      </c>
      <c r="H16380" s="1" t="s">
        <v>1833</v>
      </c>
      <c r="I16380">
        <v>0</v>
      </c>
      <c r="J16380">
        <f>IF($H16380=0,1,IF($I16380&lt;=1,2,0))</f>
        <v>2</v>
      </c>
      <c r="K16380">
        <v>9</v>
      </c>
      <c r="L16380">
        <f>IF(AND($J16380=0,$K16380=0),0,1)</f>
        <v>1</v>
      </c>
    </row>
    <row r="16381" spans="1:12" x14ac:dyDescent="0.2">
      <c r="A16381" t="s">
        <v>570</v>
      </c>
      <c r="B16381" t="s">
        <v>17</v>
      </c>
      <c r="C16381" t="s">
        <v>21</v>
      </c>
      <c r="D16381">
        <v>3998</v>
      </c>
      <c r="E16381">
        <v>2021</v>
      </c>
      <c r="F16381">
        <v>8</v>
      </c>
      <c r="G16381">
        <v>10292</v>
      </c>
      <c r="H16381" s="1" t="s">
        <v>1833</v>
      </c>
      <c r="I16381">
        <v>0</v>
      </c>
      <c r="J16381">
        <f>IF($H16381=0,1,IF($I16381&lt;=1,2,0))</f>
        <v>2</v>
      </c>
      <c r="K16381">
        <v>9</v>
      </c>
      <c r="L16381">
        <f>IF(AND($J16381=0,$K16381=0),0,1)</f>
        <v>1</v>
      </c>
    </row>
    <row r="16382" spans="1:12" x14ac:dyDescent="0.2">
      <c r="A16382" t="s">
        <v>570</v>
      </c>
      <c r="B16382" t="s">
        <v>17</v>
      </c>
      <c r="C16382" t="s">
        <v>21</v>
      </c>
      <c r="D16382">
        <v>3998</v>
      </c>
      <c r="E16382">
        <v>2021</v>
      </c>
      <c r="F16382">
        <v>9</v>
      </c>
      <c r="G16382">
        <v>10293</v>
      </c>
      <c r="H16382" s="1" t="s">
        <v>1833</v>
      </c>
      <c r="I16382">
        <v>0</v>
      </c>
      <c r="J16382">
        <f>IF($H16382=0,1,IF($I16382&lt;=1,2,0))</f>
        <v>2</v>
      </c>
      <c r="K16382">
        <v>9</v>
      </c>
      <c r="L16382">
        <f>IF(AND($J16382=0,$K16382=0),0,1)</f>
        <v>1</v>
      </c>
    </row>
    <row r="16383" spans="1:12" x14ac:dyDescent="0.2">
      <c r="A16383" t="s">
        <v>570</v>
      </c>
      <c r="B16383" t="s">
        <v>17</v>
      </c>
      <c r="C16383" t="s">
        <v>21</v>
      </c>
      <c r="D16383">
        <v>3998</v>
      </c>
      <c r="E16383">
        <v>2021</v>
      </c>
      <c r="F16383">
        <v>10</v>
      </c>
      <c r="G16383">
        <v>10294</v>
      </c>
      <c r="H16383" s="1" t="s">
        <v>1833</v>
      </c>
      <c r="I16383">
        <v>0</v>
      </c>
      <c r="J16383">
        <f>IF($H16383=0,1,IF($I16383&lt;=1,2,0))</f>
        <v>2</v>
      </c>
      <c r="K16383">
        <v>9</v>
      </c>
      <c r="L16383">
        <f>IF(AND($J16383=0,$K16383=0),0,1)</f>
        <v>1</v>
      </c>
    </row>
    <row r="16384" spans="1:12" x14ac:dyDescent="0.2">
      <c r="A16384" t="s">
        <v>570</v>
      </c>
      <c r="B16384" t="s">
        <v>17</v>
      </c>
      <c r="C16384" t="s">
        <v>21</v>
      </c>
      <c r="D16384">
        <v>3998</v>
      </c>
      <c r="E16384">
        <v>2021</v>
      </c>
      <c r="F16384">
        <v>11</v>
      </c>
      <c r="G16384">
        <v>10295</v>
      </c>
      <c r="H16384" s="1" t="s">
        <v>1833</v>
      </c>
      <c r="I16384">
        <v>0</v>
      </c>
      <c r="J16384">
        <f>IF($H16384=0,1,IF($I16384&lt;=1,2,0))</f>
        <v>2</v>
      </c>
      <c r="K16384">
        <v>9</v>
      </c>
      <c r="L16384">
        <f>IF(AND($J16384=0,$K16384=0),0,1)</f>
        <v>1</v>
      </c>
    </row>
    <row r="16385" spans="1:12" x14ac:dyDescent="0.2">
      <c r="A16385" t="s">
        <v>570</v>
      </c>
      <c r="B16385" t="s">
        <v>17</v>
      </c>
      <c r="C16385" t="s">
        <v>21</v>
      </c>
      <c r="D16385">
        <v>3998</v>
      </c>
      <c r="E16385">
        <v>2021</v>
      </c>
      <c r="F16385">
        <v>13</v>
      </c>
      <c r="G16385">
        <v>10296</v>
      </c>
      <c r="H16385" s="1" t="s">
        <v>1833</v>
      </c>
      <c r="I16385">
        <v>0</v>
      </c>
      <c r="J16385">
        <f>IF($H16385=0,1,IF($I16385&lt;=1,2,0))</f>
        <v>2</v>
      </c>
      <c r="K16385">
        <v>9</v>
      </c>
      <c r="L16385">
        <f>IF(AND($J16385=0,$K16385=0),0,1)</f>
        <v>1</v>
      </c>
    </row>
    <row r="16386" spans="1:12" x14ac:dyDescent="0.2">
      <c r="A16386" t="s">
        <v>570</v>
      </c>
      <c r="B16386" t="s">
        <v>17</v>
      </c>
      <c r="C16386" t="s">
        <v>21</v>
      </c>
      <c r="D16386">
        <v>3998</v>
      </c>
      <c r="E16386">
        <v>2021</v>
      </c>
      <c r="F16386">
        <v>14</v>
      </c>
      <c r="G16386">
        <v>10297</v>
      </c>
      <c r="H16386" s="1" t="s">
        <v>1833</v>
      </c>
      <c r="I16386">
        <v>0</v>
      </c>
      <c r="J16386">
        <f>IF($H16386=0,1,IF($I16386&lt;=1,2,0))</f>
        <v>2</v>
      </c>
      <c r="K16386">
        <v>9</v>
      </c>
      <c r="L16386">
        <f>IF(AND($J16386=0,$K16386=0),0,1)</f>
        <v>1</v>
      </c>
    </row>
    <row r="16387" spans="1:12" x14ac:dyDescent="0.2">
      <c r="A16387" t="s">
        <v>570</v>
      </c>
      <c r="B16387" t="s">
        <v>17</v>
      </c>
      <c r="C16387" t="s">
        <v>21</v>
      </c>
      <c r="D16387">
        <v>3998</v>
      </c>
      <c r="E16387">
        <v>2021</v>
      </c>
      <c r="F16387">
        <v>17</v>
      </c>
      <c r="G16387">
        <v>10299</v>
      </c>
      <c r="H16387" s="1" t="s">
        <v>1833</v>
      </c>
      <c r="I16387">
        <v>0</v>
      </c>
      <c r="J16387">
        <f>IF($H16387=0,1,IF($I16387&lt;=1,2,0))</f>
        <v>2</v>
      </c>
      <c r="K16387">
        <v>9</v>
      </c>
      <c r="L16387">
        <f>IF(AND($J16387=0,$K16387=0),0,1)</f>
        <v>1</v>
      </c>
    </row>
    <row r="16388" spans="1:12" x14ac:dyDescent="0.2">
      <c r="A16388" t="s">
        <v>570</v>
      </c>
      <c r="B16388" t="s">
        <v>17</v>
      </c>
      <c r="C16388" t="s">
        <v>21</v>
      </c>
      <c r="D16388">
        <v>3998</v>
      </c>
      <c r="E16388">
        <v>2021</v>
      </c>
      <c r="F16388">
        <v>18</v>
      </c>
      <c r="G16388">
        <v>10300</v>
      </c>
      <c r="H16388" s="1" t="s">
        <v>1833</v>
      </c>
      <c r="I16388">
        <v>0</v>
      </c>
      <c r="J16388">
        <f>IF($H16388=0,1,IF($I16388&lt;=1,2,0))</f>
        <v>2</v>
      </c>
      <c r="K16388">
        <v>9</v>
      </c>
      <c r="L16388">
        <f>IF(AND($J16388=0,$K16388=0),0,1)</f>
        <v>1</v>
      </c>
    </row>
    <row r="16389" spans="1:12" x14ac:dyDescent="0.2">
      <c r="A16389" t="s">
        <v>570</v>
      </c>
      <c r="B16389" t="s">
        <v>17</v>
      </c>
      <c r="C16389" t="s">
        <v>21</v>
      </c>
      <c r="D16389">
        <v>3998</v>
      </c>
      <c r="E16389">
        <v>2021</v>
      </c>
      <c r="F16389">
        <v>19</v>
      </c>
      <c r="G16389">
        <v>10301</v>
      </c>
      <c r="H16389" s="1" t="s">
        <v>1833</v>
      </c>
      <c r="I16389">
        <v>0</v>
      </c>
      <c r="J16389">
        <f>IF($H16389=0,1,IF($I16389&lt;=1,2,0))</f>
        <v>2</v>
      </c>
      <c r="K16389">
        <v>9</v>
      </c>
      <c r="L16389">
        <f>IF(AND($J16389=0,$K16389=0),0,1)</f>
        <v>1</v>
      </c>
    </row>
    <row r="16390" spans="1:12" x14ac:dyDescent="0.2">
      <c r="A16390" t="s">
        <v>570</v>
      </c>
      <c r="B16390" t="s">
        <v>17</v>
      </c>
      <c r="C16390" t="s">
        <v>2</v>
      </c>
      <c r="D16390">
        <v>3999</v>
      </c>
      <c r="E16390">
        <v>2021</v>
      </c>
      <c r="F16390">
        <v>1</v>
      </c>
      <c r="G16390">
        <v>377</v>
      </c>
      <c r="H16390" s="1" t="s">
        <v>1832</v>
      </c>
      <c r="I16390">
        <v>0</v>
      </c>
      <c r="J16390">
        <f>IF($H16390=0,1,IF($I16390&lt;=1,2,0))</f>
        <v>2</v>
      </c>
      <c r="K16390">
        <v>7</v>
      </c>
      <c r="L16390">
        <f>IF(AND($J16390=0,$K16390=0),0,1)</f>
        <v>1</v>
      </c>
    </row>
    <row r="16391" spans="1:12" x14ac:dyDescent="0.2">
      <c r="A16391" t="s">
        <v>570</v>
      </c>
      <c r="B16391" t="s">
        <v>17</v>
      </c>
      <c r="C16391" t="s">
        <v>11</v>
      </c>
      <c r="D16391">
        <v>4360</v>
      </c>
      <c r="E16391">
        <v>2021</v>
      </c>
      <c r="F16391">
        <v>1</v>
      </c>
      <c r="G16391">
        <v>10400</v>
      </c>
      <c r="H16391" s="1">
        <v>3</v>
      </c>
      <c r="I16391">
        <v>1</v>
      </c>
      <c r="J16391">
        <f>IF($H16391=0,1,IF($I16391&lt;=1,2,0))</f>
        <v>2</v>
      </c>
      <c r="K16391">
        <v>0</v>
      </c>
      <c r="L16391">
        <f>IF(AND($J16391=0,$K16391=0),0,1)</f>
        <v>1</v>
      </c>
    </row>
    <row r="16392" spans="1:12" x14ac:dyDescent="0.2">
      <c r="A16392" t="s">
        <v>570</v>
      </c>
      <c r="B16392" t="s">
        <v>17</v>
      </c>
      <c r="C16392" t="s">
        <v>9</v>
      </c>
      <c r="D16392">
        <v>4998</v>
      </c>
      <c r="E16392">
        <v>2021</v>
      </c>
      <c r="F16392">
        <v>1</v>
      </c>
      <c r="G16392">
        <v>10330</v>
      </c>
      <c r="H16392" s="1" t="s">
        <v>1827</v>
      </c>
      <c r="I16392">
        <v>2</v>
      </c>
      <c r="J16392">
        <f>IF($H16392=0,1,IF($I16392&lt;=1,2,0))</f>
        <v>0</v>
      </c>
      <c r="K16392">
        <v>9</v>
      </c>
      <c r="L16392">
        <f>IF(AND($J16392=0,$K16392=0),0,1)</f>
        <v>1</v>
      </c>
    </row>
    <row r="16393" spans="1:12" x14ac:dyDescent="0.2">
      <c r="A16393" t="s">
        <v>570</v>
      </c>
      <c r="B16393" t="s">
        <v>17</v>
      </c>
      <c r="C16393" t="s">
        <v>11</v>
      </c>
      <c r="D16393">
        <v>6290</v>
      </c>
      <c r="E16393">
        <v>2021</v>
      </c>
      <c r="F16393">
        <v>1</v>
      </c>
      <c r="G16393">
        <v>10404</v>
      </c>
      <c r="H16393" s="1">
        <v>1</v>
      </c>
      <c r="I16393">
        <v>1</v>
      </c>
      <c r="J16393">
        <f>IF($H16393=0,1,IF($I16393&lt;=1,2,0))</f>
        <v>2</v>
      </c>
      <c r="K16393">
        <v>0</v>
      </c>
      <c r="L16393">
        <f>IF(AND($J16393=0,$K16393=0),0,1)</f>
        <v>1</v>
      </c>
    </row>
    <row r="16394" spans="1:12" x14ac:dyDescent="0.2">
      <c r="A16394" t="s">
        <v>570</v>
      </c>
      <c r="B16394" t="s">
        <v>17</v>
      </c>
      <c r="C16394" t="s">
        <v>11</v>
      </c>
      <c r="D16394">
        <v>8097</v>
      </c>
      <c r="E16394">
        <v>2021</v>
      </c>
      <c r="F16394">
        <v>11</v>
      </c>
      <c r="G16394">
        <v>10339</v>
      </c>
      <c r="H16394" s="1">
        <v>3</v>
      </c>
      <c r="I16394">
        <v>1</v>
      </c>
      <c r="J16394">
        <f>IF($H16394=0,1,IF($I16394&lt;=1,2,0))</f>
        <v>2</v>
      </c>
      <c r="K16394">
        <v>0</v>
      </c>
      <c r="L16394">
        <f>IF(AND($J16394=0,$K16394=0),0,1)</f>
        <v>1</v>
      </c>
    </row>
    <row r="16395" spans="1:12" x14ac:dyDescent="0.2">
      <c r="A16395" t="s">
        <v>570</v>
      </c>
      <c r="B16395" t="s">
        <v>17</v>
      </c>
      <c r="C16395" t="s">
        <v>11</v>
      </c>
      <c r="D16395">
        <v>8097</v>
      </c>
      <c r="E16395">
        <v>2021</v>
      </c>
      <c r="F16395">
        <v>15</v>
      </c>
      <c r="G16395">
        <v>20636</v>
      </c>
      <c r="H16395" s="1">
        <v>3</v>
      </c>
      <c r="I16395">
        <v>1</v>
      </c>
      <c r="J16395">
        <f>IF($H16395=0,1,IF($I16395&lt;=1,2,0))</f>
        <v>2</v>
      </c>
      <c r="K16395">
        <v>0</v>
      </c>
      <c r="L16395">
        <f>IF(AND($J16395=0,$K16395=0),0,1)</f>
        <v>1</v>
      </c>
    </row>
    <row r="16396" spans="1:12" x14ac:dyDescent="0.2">
      <c r="A16396" t="s">
        <v>570</v>
      </c>
      <c r="B16396" t="s">
        <v>17</v>
      </c>
      <c r="C16396" t="s">
        <v>11</v>
      </c>
      <c r="D16396">
        <v>8097</v>
      </c>
      <c r="E16396">
        <v>2021</v>
      </c>
      <c r="F16396">
        <v>1</v>
      </c>
      <c r="G16396">
        <v>10331</v>
      </c>
      <c r="H16396" s="1">
        <v>3</v>
      </c>
      <c r="I16396">
        <v>0</v>
      </c>
      <c r="J16396">
        <f>IF($H16396=0,1,IF($I16396&lt;=1,2,0))</f>
        <v>2</v>
      </c>
      <c r="K16396">
        <v>0</v>
      </c>
      <c r="L16396">
        <f>IF(AND($J16396=0,$K16396=0),0,1)</f>
        <v>1</v>
      </c>
    </row>
    <row r="16397" spans="1:12" x14ac:dyDescent="0.2">
      <c r="A16397" t="s">
        <v>570</v>
      </c>
      <c r="B16397" t="s">
        <v>17</v>
      </c>
      <c r="C16397" t="s">
        <v>11</v>
      </c>
      <c r="D16397">
        <v>8097</v>
      </c>
      <c r="E16397">
        <v>2021</v>
      </c>
      <c r="F16397">
        <v>2</v>
      </c>
      <c r="G16397">
        <v>10332</v>
      </c>
      <c r="H16397" s="1">
        <v>3</v>
      </c>
      <c r="I16397">
        <v>0</v>
      </c>
      <c r="J16397">
        <f>IF($H16397=0,1,IF($I16397&lt;=1,2,0))</f>
        <v>2</v>
      </c>
      <c r="K16397">
        <v>0</v>
      </c>
      <c r="L16397">
        <f>IF(AND($J16397=0,$K16397=0),0,1)</f>
        <v>1</v>
      </c>
    </row>
    <row r="16398" spans="1:12" x14ac:dyDescent="0.2">
      <c r="A16398" t="s">
        <v>570</v>
      </c>
      <c r="B16398" t="s">
        <v>17</v>
      </c>
      <c r="C16398" t="s">
        <v>11</v>
      </c>
      <c r="D16398">
        <v>8097</v>
      </c>
      <c r="E16398">
        <v>2021</v>
      </c>
      <c r="F16398">
        <v>4</v>
      </c>
      <c r="G16398">
        <v>10333</v>
      </c>
      <c r="H16398" s="1">
        <v>3</v>
      </c>
      <c r="I16398">
        <v>0</v>
      </c>
      <c r="J16398">
        <f>IF($H16398=0,1,IF($I16398&lt;=1,2,0))</f>
        <v>2</v>
      </c>
      <c r="K16398">
        <v>0</v>
      </c>
      <c r="L16398">
        <f>IF(AND($J16398=0,$K16398=0),0,1)</f>
        <v>1</v>
      </c>
    </row>
    <row r="16399" spans="1:12" x14ac:dyDescent="0.2">
      <c r="A16399" t="s">
        <v>570</v>
      </c>
      <c r="B16399" t="s">
        <v>17</v>
      </c>
      <c r="C16399" t="s">
        <v>11</v>
      </c>
      <c r="D16399">
        <v>8097</v>
      </c>
      <c r="E16399">
        <v>2021</v>
      </c>
      <c r="F16399">
        <v>5</v>
      </c>
      <c r="G16399">
        <v>10334</v>
      </c>
      <c r="H16399" s="1">
        <v>3</v>
      </c>
      <c r="I16399">
        <v>0</v>
      </c>
      <c r="J16399">
        <f>IF($H16399=0,1,IF($I16399&lt;=1,2,0))</f>
        <v>2</v>
      </c>
      <c r="K16399">
        <v>0</v>
      </c>
      <c r="L16399">
        <f>IF(AND($J16399=0,$K16399=0),0,1)</f>
        <v>1</v>
      </c>
    </row>
    <row r="16400" spans="1:12" x14ac:dyDescent="0.2">
      <c r="A16400" t="s">
        <v>570</v>
      </c>
      <c r="B16400" t="s">
        <v>17</v>
      </c>
      <c r="C16400" t="s">
        <v>11</v>
      </c>
      <c r="D16400">
        <v>8097</v>
      </c>
      <c r="E16400">
        <v>2021</v>
      </c>
      <c r="F16400">
        <v>7</v>
      </c>
      <c r="G16400">
        <v>10336</v>
      </c>
      <c r="H16400" s="1">
        <v>3</v>
      </c>
      <c r="I16400">
        <v>0</v>
      </c>
      <c r="J16400">
        <f>IF($H16400=0,1,IF($I16400&lt;=1,2,0))</f>
        <v>2</v>
      </c>
      <c r="K16400">
        <v>0</v>
      </c>
      <c r="L16400">
        <f>IF(AND($J16400=0,$K16400=0),0,1)</f>
        <v>1</v>
      </c>
    </row>
    <row r="16401" spans="1:12" x14ac:dyDescent="0.2">
      <c r="A16401" t="s">
        <v>570</v>
      </c>
      <c r="B16401" t="s">
        <v>17</v>
      </c>
      <c r="C16401" t="s">
        <v>11</v>
      </c>
      <c r="D16401">
        <v>8097</v>
      </c>
      <c r="E16401">
        <v>2021</v>
      </c>
      <c r="F16401">
        <v>8</v>
      </c>
      <c r="G16401">
        <v>10337</v>
      </c>
      <c r="H16401" s="1">
        <v>3</v>
      </c>
      <c r="I16401">
        <v>0</v>
      </c>
      <c r="J16401">
        <f>IF($H16401=0,1,IF($I16401&lt;=1,2,0))</f>
        <v>2</v>
      </c>
      <c r="K16401">
        <v>0</v>
      </c>
      <c r="L16401">
        <f>IF(AND($J16401=0,$K16401=0),0,1)</f>
        <v>1</v>
      </c>
    </row>
    <row r="16402" spans="1:12" x14ac:dyDescent="0.2">
      <c r="A16402" t="s">
        <v>570</v>
      </c>
      <c r="B16402" t="s">
        <v>17</v>
      </c>
      <c r="C16402" t="s">
        <v>11</v>
      </c>
      <c r="D16402">
        <v>8097</v>
      </c>
      <c r="E16402">
        <v>2021</v>
      </c>
      <c r="F16402">
        <v>10</v>
      </c>
      <c r="G16402">
        <v>10338</v>
      </c>
      <c r="H16402" s="1">
        <v>3</v>
      </c>
      <c r="I16402">
        <v>0</v>
      </c>
      <c r="J16402">
        <f>IF($H16402=0,1,IF($I16402&lt;=1,2,0))</f>
        <v>2</v>
      </c>
      <c r="K16402">
        <v>0</v>
      </c>
      <c r="L16402">
        <f>IF(AND($J16402=0,$K16402=0),0,1)</f>
        <v>1</v>
      </c>
    </row>
    <row r="16403" spans="1:12" x14ac:dyDescent="0.2">
      <c r="A16403" t="s">
        <v>570</v>
      </c>
      <c r="B16403" t="s">
        <v>17</v>
      </c>
      <c r="C16403" t="s">
        <v>11</v>
      </c>
      <c r="D16403">
        <v>8097</v>
      </c>
      <c r="E16403">
        <v>2021</v>
      </c>
      <c r="F16403">
        <v>13</v>
      </c>
      <c r="G16403">
        <v>10340</v>
      </c>
      <c r="H16403" s="1">
        <v>3</v>
      </c>
      <c r="I16403">
        <v>0</v>
      </c>
      <c r="J16403">
        <f>IF($H16403=0,1,IF($I16403&lt;=1,2,0))</f>
        <v>2</v>
      </c>
      <c r="K16403">
        <v>0</v>
      </c>
      <c r="L16403">
        <f>IF(AND($J16403=0,$K16403=0),0,1)</f>
        <v>1</v>
      </c>
    </row>
    <row r="16404" spans="1:12" x14ac:dyDescent="0.2">
      <c r="A16404" t="s">
        <v>570</v>
      </c>
      <c r="B16404" t="s">
        <v>17</v>
      </c>
      <c r="C16404" t="s">
        <v>11</v>
      </c>
      <c r="D16404">
        <v>8097</v>
      </c>
      <c r="E16404">
        <v>2021</v>
      </c>
      <c r="F16404">
        <v>14</v>
      </c>
      <c r="G16404">
        <v>10341</v>
      </c>
      <c r="H16404" s="1">
        <v>3</v>
      </c>
      <c r="I16404">
        <v>0</v>
      </c>
      <c r="J16404">
        <f>IF($H16404=0,1,IF($I16404&lt;=1,2,0))</f>
        <v>2</v>
      </c>
      <c r="K16404">
        <v>0</v>
      </c>
      <c r="L16404">
        <f>IF(AND($J16404=0,$K16404=0),0,1)</f>
        <v>1</v>
      </c>
    </row>
    <row r="16405" spans="1:12" x14ac:dyDescent="0.2">
      <c r="A16405" t="s">
        <v>570</v>
      </c>
      <c r="B16405" t="s">
        <v>17</v>
      </c>
      <c r="C16405" t="s">
        <v>11</v>
      </c>
      <c r="D16405">
        <v>8500</v>
      </c>
      <c r="E16405">
        <v>2021</v>
      </c>
      <c r="F16405">
        <v>4</v>
      </c>
      <c r="G16405">
        <v>10344</v>
      </c>
      <c r="H16405" s="1">
        <v>3</v>
      </c>
      <c r="I16405">
        <v>1</v>
      </c>
      <c r="J16405">
        <f>IF($H16405=0,1,IF($I16405&lt;=1,2,0))</f>
        <v>2</v>
      </c>
      <c r="K16405">
        <v>0</v>
      </c>
      <c r="L16405">
        <f>IF(AND($J16405=0,$K16405=0),0,1)</f>
        <v>1</v>
      </c>
    </row>
    <row r="16406" spans="1:12" x14ac:dyDescent="0.2">
      <c r="A16406" t="s">
        <v>570</v>
      </c>
      <c r="B16406" t="s">
        <v>17</v>
      </c>
      <c r="C16406" t="s">
        <v>11</v>
      </c>
      <c r="D16406">
        <v>8500</v>
      </c>
      <c r="E16406">
        <v>2021</v>
      </c>
      <c r="F16406">
        <v>1</v>
      </c>
      <c r="G16406">
        <v>10342</v>
      </c>
      <c r="H16406" s="1">
        <v>3</v>
      </c>
      <c r="I16406">
        <v>0</v>
      </c>
      <c r="J16406">
        <f>IF($H16406=0,1,IF($I16406&lt;=1,2,0))</f>
        <v>2</v>
      </c>
      <c r="K16406">
        <v>0</v>
      </c>
      <c r="L16406">
        <f>IF(AND($J16406=0,$K16406=0),0,1)</f>
        <v>1</v>
      </c>
    </row>
    <row r="16407" spans="1:12" x14ac:dyDescent="0.2">
      <c r="A16407" t="s">
        <v>570</v>
      </c>
      <c r="B16407" t="s">
        <v>17</v>
      </c>
      <c r="C16407" t="s">
        <v>11</v>
      </c>
      <c r="D16407">
        <v>8500</v>
      </c>
      <c r="E16407">
        <v>2021</v>
      </c>
      <c r="F16407">
        <v>2</v>
      </c>
      <c r="G16407">
        <v>10343</v>
      </c>
      <c r="H16407" s="1">
        <v>3</v>
      </c>
      <c r="I16407">
        <v>0</v>
      </c>
      <c r="J16407">
        <f>IF($H16407=0,1,IF($I16407&lt;=1,2,0))</f>
        <v>2</v>
      </c>
      <c r="K16407">
        <v>0</v>
      </c>
      <c r="L16407">
        <f>IF(AND($J16407=0,$K16407=0),0,1)</f>
        <v>1</v>
      </c>
    </row>
    <row r="16408" spans="1:12" x14ac:dyDescent="0.2">
      <c r="A16408" t="s">
        <v>570</v>
      </c>
      <c r="B16408" t="s">
        <v>17</v>
      </c>
      <c r="C16408" t="s">
        <v>11</v>
      </c>
      <c r="D16408">
        <v>8500</v>
      </c>
      <c r="E16408">
        <v>2021</v>
      </c>
      <c r="F16408">
        <v>5</v>
      </c>
      <c r="G16408">
        <v>10345</v>
      </c>
      <c r="H16408" s="1">
        <v>3</v>
      </c>
      <c r="I16408">
        <v>0</v>
      </c>
      <c r="J16408">
        <f>IF($H16408=0,1,IF($I16408&lt;=1,2,0))</f>
        <v>2</v>
      </c>
      <c r="K16408">
        <v>0</v>
      </c>
      <c r="L16408">
        <f>IF(AND($J16408=0,$K16408=0),0,1)</f>
        <v>1</v>
      </c>
    </row>
    <row r="16409" spans="1:12" x14ac:dyDescent="0.2">
      <c r="A16409" t="s">
        <v>570</v>
      </c>
      <c r="B16409" t="s">
        <v>17</v>
      </c>
      <c r="C16409" t="s">
        <v>11</v>
      </c>
      <c r="D16409">
        <v>8500</v>
      </c>
      <c r="E16409">
        <v>2021</v>
      </c>
      <c r="F16409">
        <v>6</v>
      </c>
      <c r="G16409">
        <v>10346</v>
      </c>
      <c r="H16409" s="1">
        <v>3</v>
      </c>
      <c r="I16409">
        <v>0</v>
      </c>
      <c r="J16409">
        <f>IF($H16409=0,1,IF($I16409&lt;=1,2,0))</f>
        <v>2</v>
      </c>
      <c r="K16409">
        <v>0</v>
      </c>
      <c r="L16409">
        <f>IF(AND($J16409=0,$K16409=0),0,1)</f>
        <v>1</v>
      </c>
    </row>
    <row r="16410" spans="1:12" x14ac:dyDescent="0.2">
      <c r="A16410" t="s">
        <v>570</v>
      </c>
      <c r="B16410" t="s">
        <v>17</v>
      </c>
      <c r="C16410" t="s">
        <v>11</v>
      </c>
      <c r="D16410">
        <v>8500</v>
      </c>
      <c r="E16410">
        <v>2021</v>
      </c>
      <c r="F16410">
        <v>7</v>
      </c>
      <c r="G16410">
        <v>10347</v>
      </c>
      <c r="H16410" s="1">
        <v>3</v>
      </c>
      <c r="I16410">
        <v>0</v>
      </c>
      <c r="J16410">
        <f>IF($H16410=0,1,IF($I16410&lt;=1,2,0))</f>
        <v>2</v>
      </c>
      <c r="K16410">
        <v>0</v>
      </c>
      <c r="L16410">
        <f>IF(AND($J16410=0,$K16410=0),0,1)</f>
        <v>1</v>
      </c>
    </row>
    <row r="16411" spans="1:12" x14ac:dyDescent="0.2">
      <c r="A16411" t="s">
        <v>570</v>
      </c>
      <c r="B16411" t="s">
        <v>17</v>
      </c>
      <c r="C16411" t="s">
        <v>11</v>
      </c>
      <c r="D16411">
        <v>8500</v>
      </c>
      <c r="E16411">
        <v>2021</v>
      </c>
      <c r="F16411">
        <v>8</v>
      </c>
      <c r="G16411">
        <v>10348</v>
      </c>
      <c r="H16411" s="1">
        <v>3</v>
      </c>
      <c r="I16411">
        <v>0</v>
      </c>
      <c r="J16411">
        <f>IF($H16411=0,1,IF($I16411&lt;=1,2,0))</f>
        <v>2</v>
      </c>
      <c r="K16411">
        <v>0</v>
      </c>
      <c r="L16411">
        <f>IF(AND($J16411=0,$K16411=0),0,1)</f>
        <v>1</v>
      </c>
    </row>
    <row r="16412" spans="1:12" x14ac:dyDescent="0.2">
      <c r="A16412" t="s">
        <v>570</v>
      </c>
      <c r="B16412" t="s">
        <v>17</v>
      </c>
      <c r="C16412" t="s">
        <v>11</v>
      </c>
      <c r="D16412">
        <v>8500</v>
      </c>
      <c r="E16412">
        <v>2021</v>
      </c>
      <c r="F16412">
        <v>10</v>
      </c>
      <c r="G16412">
        <v>10349</v>
      </c>
      <c r="H16412" s="1">
        <v>3</v>
      </c>
      <c r="I16412">
        <v>0</v>
      </c>
      <c r="J16412">
        <f>IF($H16412=0,1,IF($I16412&lt;=1,2,0))</f>
        <v>2</v>
      </c>
      <c r="K16412">
        <v>0</v>
      </c>
      <c r="L16412">
        <f>IF(AND($J16412=0,$K16412=0),0,1)</f>
        <v>1</v>
      </c>
    </row>
    <row r="16413" spans="1:12" x14ac:dyDescent="0.2">
      <c r="A16413" t="s">
        <v>570</v>
      </c>
      <c r="B16413" t="s">
        <v>17</v>
      </c>
      <c r="C16413" t="s">
        <v>11</v>
      </c>
      <c r="D16413">
        <v>8500</v>
      </c>
      <c r="E16413">
        <v>2021</v>
      </c>
      <c r="F16413">
        <v>11</v>
      </c>
      <c r="G16413">
        <v>10350</v>
      </c>
      <c r="H16413" s="1">
        <v>3</v>
      </c>
      <c r="I16413">
        <v>0</v>
      </c>
      <c r="J16413">
        <f>IF($H16413=0,1,IF($I16413&lt;=1,2,0))</f>
        <v>2</v>
      </c>
      <c r="K16413">
        <v>0</v>
      </c>
      <c r="L16413">
        <f>IF(AND($J16413=0,$K16413=0),0,1)</f>
        <v>1</v>
      </c>
    </row>
    <row r="16414" spans="1:12" x14ac:dyDescent="0.2">
      <c r="A16414" t="s">
        <v>570</v>
      </c>
      <c r="B16414" t="s">
        <v>17</v>
      </c>
      <c r="C16414" t="s">
        <v>11</v>
      </c>
      <c r="D16414">
        <v>8500</v>
      </c>
      <c r="E16414">
        <v>2021</v>
      </c>
      <c r="F16414">
        <v>13</v>
      </c>
      <c r="G16414">
        <v>10351</v>
      </c>
      <c r="H16414" s="1">
        <v>3</v>
      </c>
      <c r="I16414">
        <v>0</v>
      </c>
      <c r="J16414">
        <f>IF($H16414=0,1,IF($I16414&lt;=1,2,0))</f>
        <v>2</v>
      </c>
      <c r="K16414">
        <v>0</v>
      </c>
      <c r="L16414">
        <f>IF(AND($J16414=0,$K16414=0),0,1)</f>
        <v>1</v>
      </c>
    </row>
    <row r="16415" spans="1:12" x14ac:dyDescent="0.2">
      <c r="A16415" t="s">
        <v>570</v>
      </c>
      <c r="B16415" t="s">
        <v>17</v>
      </c>
      <c r="C16415" t="s">
        <v>11</v>
      </c>
      <c r="D16415">
        <v>8500</v>
      </c>
      <c r="E16415">
        <v>2021</v>
      </c>
      <c r="F16415">
        <v>14</v>
      </c>
      <c r="G16415">
        <v>10352</v>
      </c>
      <c r="H16415" s="1">
        <v>3</v>
      </c>
      <c r="I16415">
        <v>0</v>
      </c>
      <c r="J16415">
        <f>IF($H16415=0,1,IF($I16415&lt;=1,2,0))</f>
        <v>2</v>
      </c>
      <c r="K16415">
        <v>0</v>
      </c>
      <c r="L16415">
        <f>IF(AND($J16415=0,$K16415=0),0,1)</f>
        <v>1</v>
      </c>
    </row>
    <row r="16416" spans="1:12" x14ac:dyDescent="0.2">
      <c r="A16416" t="s">
        <v>576</v>
      </c>
      <c r="B16416" t="s">
        <v>1</v>
      </c>
      <c r="C16416" t="s">
        <v>2</v>
      </c>
      <c r="D16416">
        <v>1001</v>
      </c>
      <c r="E16416">
        <v>2021</v>
      </c>
      <c r="F16416">
        <v>1</v>
      </c>
      <c r="G16416">
        <v>262</v>
      </c>
      <c r="H16416" s="1">
        <v>3</v>
      </c>
      <c r="I16416">
        <v>88</v>
      </c>
      <c r="J16416">
        <f>IF($H16416=0,1,IF($I16416&lt;=1,2,0))</f>
        <v>0</v>
      </c>
      <c r="K16416">
        <v>7</v>
      </c>
      <c r="L16416">
        <f>IF(AND($J16416=0,$K16416=0),0,1)</f>
        <v>1</v>
      </c>
    </row>
    <row r="16417" spans="1:13" x14ac:dyDescent="0.2">
      <c r="A16417" t="s">
        <v>576</v>
      </c>
      <c r="B16417" t="s">
        <v>1</v>
      </c>
      <c r="C16417" t="s">
        <v>2</v>
      </c>
      <c r="D16417">
        <v>2001</v>
      </c>
      <c r="E16417">
        <v>2021</v>
      </c>
      <c r="F16417">
        <v>1</v>
      </c>
      <c r="G16417">
        <v>263</v>
      </c>
      <c r="H16417" s="1">
        <v>3</v>
      </c>
      <c r="I16417">
        <v>18</v>
      </c>
      <c r="J16417">
        <f>IF($H16417=0,1,IF($I16417&lt;=1,2,0))</f>
        <v>0</v>
      </c>
      <c r="K16417">
        <v>7</v>
      </c>
      <c r="L16417">
        <f>IF(AND($J16417=0,$K16417=0),0,1)</f>
        <v>1</v>
      </c>
      <c r="M16417" t="s">
        <v>1687</v>
      </c>
    </row>
    <row r="16418" spans="1:13" x14ac:dyDescent="0.2">
      <c r="A16418" t="s">
        <v>576</v>
      </c>
      <c r="B16418" t="s">
        <v>1</v>
      </c>
      <c r="C16418" t="s">
        <v>2</v>
      </c>
      <c r="D16418">
        <v>2001</v>
      </c>
      <c r="E16418">
        <v>2021</v>
      </c>
      <c r="F16418">
        <v>2</v>
      </c>
      <c r="G16418">
        <v>264</v>
      </c>
      <c r="H16418" s="1">
        <v>3</v>
      </c>
      <c r="I16418">
        <v>18</v>
      </c>
      <c r="J16418">
        <f>IF($H16418=0,1,IF($I16418&lt;=1,2,0))</f>
        <v>0</v>
      </c>
      <c r="K16418">
        <v>7</v>
      </c>
      <c r="L16418">
        <f>IF(AND($J16418=0,$K16418=0),0,1)</f>
        <v>1</v>
      </c>
      <c r="M16418" t="s">
        <v>1687</v>
      </c>
    </row>
    <row r="16419" spans="1:13" x14ac:dyDescent="0.2">
      <c r="A16419" t="s">
        <v>576</v>
      </c>
      <c r="B16419" t="s">
        <v>1</v>
      </c>
      <c r="C16419" t="s">
        <v>2</v>
      </c>
      <c r="D16419">
        <v>3099</v>
      </c>
      <c r="E16419">
        <v>2021</v>
      </c>
      <c r="F16419">
        <v>3</v>
      </c>
      <c r="G16419">
        <v>267</v>
      </c>
      <c r="H16419" s="1" t="s">
        <v>1823</v>
      </c>
      <c r="I16419">
        <v>5</v>
      </c>
      <c r="J16419">
        <f>IF($H16419=0,1,IF($I16419&lt;=1,2,0))</f>
        <v>0</v>
      </c>
      <c r="K16419">
        <v>7</v>
      </c>
      <c r="L16419">
        <f>IF(AND($J16419=0,$K16419=0),0,1)</f>
        <v>1</v>
      </c>
    </row>
    <row r="16420" spans="1:13" x14ac:dyDescent="0.2">
      <c r="A16420" t="s">
        <v>576</v>
      </c>
      <c r="B16420" t="s">
        <v>1</v>
      </c>
      <c r="C16420" t="s">
        <v>2</v>
      </c>
      <c r="D16420">
        <v>3099</v>
      </c>
      <c r="E16420">
        <v>2021</v>
      </c>
      <c r="F16420">
        <v>7</v>
      </c>
      <c r="G16420">
        <v>271</v>
      </c>
      <c r="H16420" s="1" t="s">
        <v>1823</v>
      </c>
      <c r="I16420">
        <v>5</v>
      </c>
      <c r="J16420">
        <f>IF($H16420=0,1,IF($I16420&lt;=1,2,0))</f>
        <v>0</v>
      </c>
      <c r="K16420">
        <v>7</v>
      </c>
      <c r="L16420">
        <f>IF(AND($J16420=0,$K16420=0),0,1)</f>
        <v>1</v>
      </c>
    </row>
    <row r="16421" spans="1:13" x14ac:dyDescent="0.2">
      <c r="A16421" t="s">
        <v>576</v>
      </c>
      <c r="B16421" t="s">
        <v>1</v>
      </c>
      <c r="C16421" t="s">
        <v>2</v>
      </c>
      <c r="D16421">
        <v>3099</v>
      </c>
      <c r="E16421">
        <v>2021</v>
      </c>
      <c r="F16421">
        <v>1</v>
      </c>
      <c r="G16421">
        <v>265</v>
      </c>
      <c r="H16421" s="1" t="s">
        <v>1823</v>
      </c>
      <c r="I16421">
        <v>1</v>
      </c>
      <c r="J16421">
        <f>IF($H16421=0,1,IF($I16421&lt;=1,2,0))</f>
        <v>2</v>
      </c>
      <c r="K16421">
        <v>7</v>
      </c>
      <c r="L16421">
        <f>IF(AND($J16421=0,$K16421=0),0,1)</f>
        <v>1</v>
      </c>
    </row>
    <row r="16422" spans="1:13" x14ac:dyDescent="0.2">
      <c r="A16422" t="s">
        <v>576</v>
      </c>
      <c r="B16422" t="s">
        <v>1</v>
      </c>
      <c r="C16422" t="s">
        <v>2</v>
      </c>
      <c r="D16422">
        <v>3099</v>
      </c>
      <c r="E16422">
        <v>2021</v>
      </c>
      <c r="F16422">
        <v>2</v>
      </c>
      <c r="G16422">
        <v>266</v>
      </c>
      <c r="H16422" s="1" t="s">
        <v>1823</v>
      </c>
      <c r="I16422">
        <v>1</v>
      </c>
      <c r="J16422">
        <f>IF($H16422=0,1,IF($I16422&lt;=1,2,0))</f>
        <v>2</v>
      </c>
      <c r="K16422">
        <v>7</v>
      </c>
      <c r="L16422">
        <f>IF(AND($J16422=0,$K16422=0),0,1)</f>
        <v>1</v>
      </c>
    </row>
    <row r="16423" spans="1:13" x14ac:dyDescent="0.2">
      <c r="A16423" t="s">
        <v>576</v>
      </c>
      <c r="B16423" t="s">
        <v>1</v>
      </c>
      <c r="C16423" t="s">
        <v>2</v>
      </c>
      <c r="D16423">
        <v>3099</v>
      </c>
      <c r="E16423">
        <v>2021</v>
      </c>
      <c r="F16423">
        <v>5</v>
      </c>
      <c r="G16423">
        <v>269</v>
      </c>
      <c r="H16423" s="1" t="s">
        <v>1823</v>
      </c>
      <c r="I16423">
        <v>1</v>
      </c>
      <c r="J16423">
        <f>IF($H16423=0,1,IF($I16423&lt;=1,2,0))</f>
        <v>2</v>
      </c>
      <c r="K16423">
        <v>7</v>
      </c>
      <c r="L16423">
        <f>IF(AND($J16423=0,$K16423=0),0,1)</f>
        <v>1</v>
      </c>
    </row>
    <row r="16424" spans="1:13" x14ac:dyDescent="0.2">
      <c r="A16424" t="s">
        <v>576</v>
      </c>
      <c r="B16424" t="s">
        <v>1</v>
      </c>
      <c r="C16424" t="s">
        <v>2</v>
      </c>
      <c r="D16424">
        <v>3099</v>
      </c>
      <c r="E16424">
        <v>2021</v>
      </c>
      <c r="F16424">
        <v>4</v>
      </c>
      <c r="G16424">
        <v>268</v>
      </c>
      <c r="H16424" s="1" t="s">
        <v>1823</v>
      </c>
      <c r="I16424">
        <v>0</v>
      </c>
      <c r="J16424">
        <f>IF($H16424=0,1,IF($I16424&lt;=1,2,0))</f>
        <v>2</v>
      </c>
      <c r="K16424">
        <v>7</v>
      </c>
      <c r="L16424">
        <f>IF(AND($J16424=0,$K16424=0),0,1)</f>
        <v>1</v>
      </c>
    </row>
    <row r="16425" spans="1:13" x14ac:dyDescent="0.2">
      <c r="A16425" t="s">
        <v>576</v>
      </c>
      <c r="B16425" t="s">
        <v>1</v>
      </c>
      <c r="C16425" t="s">
        <v>2</v>
      </c>
      <c r="D16425">
        <v>3099</v>
      </c>
      <c r="E16425">
        <v>2021</v>
      </c>
      <c r="F16425">
        <v>6</v>
      </c>
      <c r="G16425">
        <v>270</v>
      </c>
      <c r="H16425" s="1" t="s">
        <v>1823</v>
      </c>
      <c r="I16425">
        <v>0</v>
      </c>
      <c r="J16425">
        <f>IF($H16425=0,1,IF($I16425&lt;=1,2,0))</f>
        <v>2</v>
      </c>
      <c r="K16425">
        <v>7</v>
      </c>
      <c r="L16425">
        <f>IF(AND($J16425=0,$K16425=0),0,1)</f>
        <v>1</v>
      </c>
    </row>
    <row r="16426" spans="1:13" x14ac:dyDescent="0.2">
      <c r="A16426" t="s">
        <v>576</v>
      </c>
      <c r="B16426" t="s">
        <v>1</v>
      </c>
      <c r="C16426" t="s">
        <v>2</v>
      </c>
      <c r="D16426">
        <v>3099</v>
      </c>
      <c r="E16426">
        <v>2021</v>
      </c>
      <c r="F16426">
        <v>8</v>
      </c>
      <c r="G16426">
        <v>272</v>
      </c>
      <c r="H16426" s="1" t="s">
        <v>1823</v>
      </c>
      <c r="I16426">
        <v>0</v>
      </c>
      <c r="J16426">
        <f>IF($H16426=0,1,IF($I16426&lt;=1,2,0))</f>
        <v>2</v>
      </c>
      <c r="K16426">
        <v>7</v>
      </c>
      <c r="L16426">
        <f>IF(AND($J16426=0,$K16426=0),0,1)</f>
        <v>1</v>
      </c>
    </row>
    <row r="16427" spans="1:13" x14ac:dyDescent="0.2">
      <c r="A16427" t="s">
        <v>576</v>
      </c>
      <c r="B16427" t="s">
        <v>1</v>
      </c>
      <c r="C16427" t="s">
        <v>2</v>
      </c>
      <c r="D16427">
        <v>3376</v>
      </c>
      <c r="E16427">
        <v>2021</v>
      </c>
      <c r="F16427">
        <v>1</v>
      </c>
      <c r="G16427">
        <v>273</v>
      </c>
      <c r="H16427" s="1">
        <v>4</v>
      </c>
      <c r="I16427">
        <v>14</v>
      </c>
      <c r="J16427">
        <f>IF($H16427=0,1,IF($I16427&lt;=1,2,0))</f>
        <v>0</v>
      </c>
      <c r="K16427">
        <v>7</v>
      </c>
      <c r="L16427">
        <f>IF(AND($J16427=0,$K16427=0),0,1)</f>
        <v>1</v>
      </c>
    </row>
    <row r="16428" spans="1:13" x14ac:dyDescent="0.2">
      <c r="A16428" t="s">
        <v>576</v>
      </c>
      <c r="B16428" t="s">
        <v>1</v>
      </c>
      <c r="C16428" t="s">
        <v>2</v>
      </c>
      <c r="D16428">
        <v>3381</v>
      </c>
      <c r="E16428">
        <v>2021</v>
      </c>
      <c r="F16428">
        <v>1</v>
      </c>
      <c r="G16428">
        <v>274</v>
      </c>
      <c r="H16428" s="1">
        <v>4</v>
      </c>
      <c r="I16428">
        <v>12</v>
      </c>
      <c r="J16428">
        <f>IF($H16428=0,1,IF($I16428&lt;=1,2,0))</f>
        <v>0</v>
      </c>
      <c r="K16428">
        <v>7</v>
      </c>
      <c r="L16428">
        <f>IF(AND($J16428=0,$K16428=0),0,1)</f>
        <v>1</v>
      </c>
    </row>
    <row r="16429" spans="1:13" x14ac:dyDescent="0.2">
      <c r="A16429" t="s">
        <v>576</v>
      </c>
      <c r="B16429" t="s">
        <v>1</v>
      </c>
      <c r="C16429" t="s">
        <v>2</v>
      </c>
      <c r="D16429">
        <v>3382</v>
      </c>
      <c r="E16429">
        <v>2021</v>
      </c>
      <c r="F16429">
        <v>1</v>
      </c>
      <c r="G16429">
        <v>280</v>
      </c>
      <c r="H16429" s="1">
        <v>1</v>
      </c>
      <c r="I16429">
        <v>13</v>
      </c>
      <c r="J16429">
        <f>IF($H16429=0,1,IF($I16429&lt;=1,2,0))</f>
        <v>0</v>
      </c>
      <c r="K16429">
        <v>7</v>
      </c>
      <c r="L16429">
        <f>IF(AND($J16429=0,$K16429=0),0,1)</f>
        <v>1</v>
      </c>
      <c r="M16429" t="s">
        <v>2076</v>
      </c>
    </row>
    <row r="16430" spans="1:13" x14ac:dyDescent="0.2">
      <c r="A16430" t="s">
        <v>576</v>
      </c>
      <c r="B16430" t="s">
        <v>1</v>
      </c>
      <c r="C16430" t="s">
        <v>2</v>
      </c>
      <c r="D16430">
        <v>3387</v>
      </c>
      <c r="E16430">
        <v>2021</v>
      </c>
      <c r="F16430">
        <v>1</v>
      </c>
      <c r="G16430">
        <v>275</v>
      </c>
      <c r="H16430" s="1">
        <v>4</v>
      </c>
      <c r="I16430">
        <v>17</v>
      </c>
      <c r="J16430">
        <f>IF($H16430=0,1,IF($I16430&lt;=1,2,0))</f>
        <v>0</v>
      </c>
      <c r="K16430">
        <v>7</v>
      </c>
      <c r="L16430">
        <f>IF(AND($J16430=0,$K16430=0),0,1)</f>
        <v>1</v>
      </c>
    </row>
    <row r="16431" spans="1:13" x14ac:dyDescent="0.2">
      <c r="A16431" t="s">
        <v>576</v>
      </c>
      <c r="B16431" t="s">
        <v>1</v>
      </c>
      <c r="C16431" t="s">
        <v>2</v>
      </c>
      <c r="D16431">
        <v>3593</v>
      </c>
      <c r="E16431">
        <v>2021</v>
      </c>
      <c r="F16431">
        <v>1</v>
      </c>
      <c r="G16431">
        <v>276</v>
      </c>
      <c r="H16431" s="1">
        <v>4</v>
      </c>
      <c r="I16431">
        <v>15</v>
      </c>
      <c r="J16431">
        <f>IF($H16431=0,1,IF($I16431&lt;=1,2,0))</f>
        <v>0</v>
      </c>
      <c r="K16431">
        <v>7</v>
      </c>
      <c r="L16431">
        <f>IF(AND($J16431=0,$K16431=0),0,1)</f>
        <v>1</v>
      </c>
    </row>
    <row r="16432" spans="1:13" x14ac:dyDescent="0.2">
      <c r="A16432" t="s">
        <v>576</v>
      </c>
      <c r="B16432" t="s">
        <v>1</v>
      </c>
      <c r="C16432" t="s">
        <v>2</v>
      </c>
      <c r="D16432">
        <v>3593</v>
      </c>
      <c r="E16432">
        <v>2021</v>
      </c>
      <c r="F16432">
        <v>3</v>
      </c>
      <c r="G16432">
        <v>278</v>
      </c>
      <c r="H16432" s="1">
        <v>4</v>
      </c>
      <c r="I16432">
        <v>15</v>
      </c>
      <c r="J16432">
        <f>IF($H16432=0,1,IF($I16432&lt;=1,2,0))</f>
        <v>0</v>
      </c>
      <c r="K16432">
        <v>7</v>
      </c>
      <c r="L16432">
        <f>IF(AND($J16432=0,$K16432=0),0,1)</f>
        <v>1</v>
      </c>
    </row>
    <row r="16433" spans="1:13" x14ac:dyDescent="0.2">
      <c r="A16433" t="s">
        <v>576</v>
      </c>
      <c r="B16433" t="s">
        <v>1</v>
      </c>
      <c r="C16433" t="s">
        <v>2</v>
      </c>
      <c r="D16433">
        <v>3593</v>
      </c>
      <c r="E16433">
        <v>2021</v>
      </c>
      <c r="F16433">
        <v>2</v>
      </c>
      <c r="G16433">
        <v>277</v>
      </c>
      <c r="H16433" s="1">
        <v>4</v>
      </c>
      <c r="I16433">
        <v>14</v>
      </c>
      <c r="J16433">
        <f>IF($H16433=0,1,IF($I16433&lt;=1,2,0))</f>
        <v>0</v>
      </c>
      <c r="K16433">
        <v>7</v>
      </c>
      <c r="L16433">
        <f>IF(AND($J16433=0,$K16433=0),0,1)</f>
        <v>1</v>
      </c>
    </row>
    <row r="16434" spans="1:13" x14ac:dyDescent="0.2">
      <c r="A16434" t="s">
        <v>1156</v>
      </c>
      <c r="B16434" t="s">
        <v>381</v>
      </c>
      <c r="C16434" t="s">
        <v>382</v>
      </c>
      <c r="D16434">
        <v>6102</v>
      </c>
      <c r="E16434">
        <v>2021</v>
      </c>
      <c r="F16434">
        <v>1</v>
      </c>
      <c r="G16434">
        <v>17414</v>
      </c>
      <c r="H16434" s="1">
        <v>4</v>
      </c>
      <c r="I16434">
        <v>36</v>
      </c>
      <c r="J16434">
        <f>IF($H16434=0,1,IF($I16434&lt;=1,2,0))</f>
        <v>0</v>
      </c>
      <c r="K16434">
        <v>6</v>
      </c>
      <c r="L16434">
        <f>IF(AND($J16434=0,$K16434=0),0,1)</f>
        <v>1</v>
      </c>
    </row>
    <row r="16435" spans="1:13" x14ac:dyDescent="0.2">
      <c r="A16435" t="s">
        <v>1156</v>
      </c>
      <c r="B16435" t="s">
        <v>381</v>
      </c>
      <c r="C16435" t="s">
        <v>382</v>
      </c>
      <c r="D16435">
        <v>6102</v>
      </c>
      <c r="E16435">
        <v>2021</v>
      </c>
      <c r="F16435" t="s">
        <v>59</v>
      </c>
      <c r="G16435">
        <v>17415</v>
      </c>
      <c r="H16435" s="1">
        <v>0</v>
      </c>
      <c r="I16435">
        <v>0</v>
      </c>
      <c r="J16435">
        <f>IF($H16435=0,1,IF($I16435&lt;=1,2,0))</f>
        <v>1</v>
      </c>
      <c r="K16435">
        <v>6</v>
      </c>
      <c r="L16435">
        <f>IF(AND($J16435=0,$K16435=0),0,1)</f>
        <v>1</v>
      </c>
      <c r="M16435" t="s">
        <v>384</v>
      </c>
    </row>
    <row r="16436" spans="1:13" x14ac:dyDescent="0.2">
      <c r="A16436" t="s">
        <v>1156</v>
      </c>
      <c r="B16436" t="s">
        <v>381</v>
      </c>
      <c r="C16436" t="s">
        <v>382</v>
      </c>
      <c r="D16436">
        <v>6105</v>
      </c>
      <c r="E16436">
        <v>2021</v>
      </c>
      <c r="F16436">
        <v>1</v>
      </c>
      <c r="G16436">
        <v>17416</v>
      </c>
      <c r="H16436" s="1">
        <v>4</v>
      </c>
      <c r="I16436">
        <v>37</v>
      </c>
      <c r="J16436">
        <f>IF($H16436=0,1,IF($I16436&lt;=1,2,0))</f>
        <v>0</v>
      </c>
      <c r="K16436">
        <v>6</v>
      </c>
      <c r="L16436">
        <f>IF(AND($J16436=0,$K16436=0),0,1)</f>
        <v>1</v>
      </c>
    </row>
    <row r="16437" spans="1:13" x14ac:dyDescent="0.2">
      <c r="A16437" t="s">
        <v>1156</v>
      </c>
      <c r="B16437" t="s">
        <v>381</v>
      </c>
      <c r="C16437" t="s">
        <v>382</v>
      </c>
      <c r="D16437">
        <v>6105</v>
      </c>
      <c r="E16437">
        <v>2021</v>
      </c>
      <c r="F16437" t="s">
        <v>59</v>
      </c>
      <c r="G16437">
        <v>17417</v>
      </c>
      <c r="H16437" s="1">
        <v>0</v>
      </c>
      <c r="I16437">
        <v>0</v>
      </c>
      <c r="J16437">
        <f>IF($H16437=0,1,IF($I16437&lt;=1,2,0))</f>
        <v>1</v>
      </c>
      <c r="K16437">
        <v>6</v>
      </c>
      <c r="L16437">
        <f>IF(AND($J16437=0,$K16437=0),0,1)</f>
        <v>1</v>
      </c>
      <c r="M16437" t="s">
        <v>384</v>
      </c>
    </row>
    <row r="16438" spans="1:13" x14ac:dyDescent="0.2">
      <c r="A16438" t="s">
        <v>1156</v>
      </c>
      <c r="B16438" t="s">
        <v>381</v>
      </c>
      <c r="C16438" t="s">
        <v>382</v>
      </c>
      <c r="D16438">
        <v>6204</v>
      </c>
      <c r="E16438">
        <v>2021</v>
      </c>
      <c r="F16438">
        <v>1</v>
      </c>
      <c r="G16438">
        <v>17418</v>
      </c>
      <c r="H16438" s="1">
        <v>3</v>
      </c>
      <c r="I16438">
        <v>22</v>
      </c>
      <c r="J16438">
        <f>IF($H16438=0,1,IF($I16438&lt;=1,2,0))</f>
        <v>0</v>
      </c>
      <c r="K16438">
        <v>6</v>
      </c>
      <c r="L16438">
        <f>IF(AND($J16438=0,$K16438=0),0,1)</f>
        <v>1</v>
      </c>
    </row>
    <row r="16439" spans="1:13" x14ac:dyDescent="0.2">
      <c r="A16439" t="s">
        <v>1156</v>
      </c>
      <c r="B16439" t="s">
        <v>381</v>
      </c>
      <c r="C16439" t="s">
        <v>382</v>
      </c>
      <c r="D16439">
        <v>6630</v>
      </c>
      <c r="E16439">
        <v>2021</v>
      </c>
      <c r="F16439">
        <v>1</v>
      </c>
      <c r="G16439">
        <v>17419</v>
      </c>
      <c r="H16439" s="1">
        <v>4</v>
      </c>
      <c r="I16439">
        <v>35</v>
      </c>
      <c r="J16439">
        <f>IF($H16439=0,1,IF($I16439&lt;=1,2,0))</f>
        <v>0</v>
      </c>
      <c r="K16439">
        <v>6</v>
      </c>
      <c r="L16439">
        <f>IF(AND($J16439=0,$K16439=0),0,1)</f>
        <v>1</v>
      </c>
    </row>
    <row r="16440" spans="1:13" x14ac:dyDescent="0.2">
      <c r="A16440" t="s">
        <v>1156</v>
      </c>
      <c r="B16440" t="s">
        <v>381</v>
      </c>
      <c r="C16440" t="s">
        <v>382</v>
      </c>
      <c r="D16440">
        <v>6630</v>
      </c>
      <c r="E16440">
        <v>2021</v>
      </c>
      <c r="F16440" t="s">
        <v>59</v>
      </c>
      <c r="G16440">
        <v>18061</v>
      </c>
      <c r="H16440" s="1">
        <v>0</v>
      </c>
      <c r="I16440">
        <v>0</v>
      </c>
      <c r="J16440">
        <f>IF($H16440=0,1,IF($I16440&lt;=1,2,0))</f>
        <v>1</v>
      </c>
      <c r="K16440">
        <v>6</v>
      </c>
      <c r="L16440">
        <f>IF(AND($J16440=0,$K16440=0),0,1)</f>
        <v>1</v>
      </c>
      <c r="M16440" t="s">
        <v>384</v>
      </c>
    </row>
    <row r="16441" spans="1:13" x14ac:dyDescent="0.2">
      <c r="A16441" t="s">
        <v>1156</v>
      </c>
      <c r="B16441" t="s">
        <v>381</v>
      </c>
      <c r="C16441" t="s">
        <v>382</v>
      </c>
      <c r="D16441">
        <v>8250</v>
      </c>
      <c r="E16441">
        <v>2021</v>
      </c>
      <c r="F16441">
        <v>1</v>
      </c>
      <c r="G16441">
        <v>17420</v>
      </c>
      <c r="H16441" s="1">
        <v>3</v>
      </c>
      <c r="I16441">
        <v>24</v>
      </c>
      <c r="J16441">
        <f>IF($H16441=0,1,IF($I16441&lt;=1,2,0))</f>
        <v>0</v>
      </c>
      <c r="K16441">
        <v>6</v>
      </c>
      <c r="L16441">
        <f>IF(AND($J16441=0,$K16441=0),0,1)</f>
        <v>1</v>
      </c>
    </row>
    <row r="16442" spans="1:13" x14ac:dyDescent="0.2">
      <c r="A16442" t="s">
        <v>1156</v>
      </c>
      <c r="B16442" t="s">
        <v>381</v>
      </c>
      <c r="C16442" t="s">
        <v>382</v>
      </c>
      <c r="D16442">
        <v>8250</v>
      </c>
      <c r="E16442">
        <v>2021</v>
      </c>
      <c r="F16442" t="s">
        <v>59</v>
      </c>
      <c r="G16442">
        <v>18062</v>
      </c>
      <c r="H16442" s="1">
        <v>0</v>
      </c>
      <c r="I16442">
        <v>0</v>
      </c>
      <c r="J16442">
        <f>IF($H16442=0,1,IF($I16442&lt;=1,2,0))</f>
        <v>1</v>
      </c>
      <c r="K16442">
        <v>6</v>
      </c>
      <c r="L16442">
        <f>IF(AND($J16442=0,$K16442=0),0,1)</f>
        <v>1</v>
      </c>
      <c r="M16442" t="s">
        <v>384</v>
      </c>
    </row>
    <row r="16443" spans="1:13" x14ac:dyDescent="0.2">
      <c r="A16443" t="s">
        <v>580</v>
      </c>
      <c r="B16443" t="s">
        <v>581</v>
      </c>
      <c r="C16443" t="s">
        <v>7</v>
      </c>
      <c r="D16443">
        <v>1005</v>
      </c>
      <c r="E16443">
        <v>2021</v>
      </c>
      <c r="F16443">
        <v>7</v>
      </c>
      <c r="G16443">
        <v>10072</v>
      </c>
      <c r="H16443" s="1" t="s">
        <v>1831</v>
      </c>
      <c r="I16443">
        <v>1</v>
      </c>
      <c r="J16443">
        <f>IF($H16443=0,1,IF($I16443&lt;=1,2,0))</f>
        <v>2</v>
      </c>
      <c r="K16443">
        <v>0</v>
      </c>
      <c r="L16443">
        <f>IF(AND($J16443=0,$K16443=0),0,1)</f>
        <v>1</v>
      </c>
      <c r="M16443" t="s">
        <v>1165</v>
      </c>
    </row>
    <row r="16444" spans="1:13" x14ac:dyDescent="0.2">
      <c r="A16444" t="s">
        <v>580</v>
      </c>
      <c r="B16444" t="s">
        <v>581</v>
      </c>
      <c r="C16444" t="s">
        <v>2</v>
      </c>
      <c r="D16444">
        <v>1105</v>
      </c>
      <c r="E16444">
        <v>2021</v>
      </c>
      <c r="F16444">
        <v>1</v>
      </c>
      <c r="G16444">
        <v>478</v>
      </c>
      <c r="H16444" s="1">
        <v>1</v>
      </c>
      <c r="I16444">
        <v>8</v>
      </c>
      <c r="J16444">
        <f>IF($H16444=0,1,IF($I16444&lt;=1,2,0))</f>
        <v>0</v>
      </c>
      <c r="K16444">
        <v>7</v>
      </c>
      <c r="L16444">
        <f>IF(AND($J16444=0,$K16444=0),0,1)</f>
        <v>1</v>
      </c>
      <c r="M16444" t="s">
        <v>1698</v>
      </c>
    </row>
    <row r="16445" spans="1:13" x14ac:dyDescent="0.2">
      <c r="A16445" t="s">
        <v>580</v>
      </c>
      <c r="B16445" t="s">
        <v>581</v>
      </c>
      <c r="C16445" t="s">
        <v>2</v>
      </c>
      <c r="D16445">
        <v>1105</v>
      </c>
      <c r="E16445">
        <v>2021</v>
      </c>
      <c r="F16445">
        <v>2</v>
      </c>
      <c r="G16445">
        <v>479</v>
      </c>
      <c r="H16445" s="1">
        <v>1</v>
      </c>
      <c r="I16445">
        <v>8</v>
      </c>
      <c r="J16445">
        <f>IF($H16445=0,1,IF($I16445&lt;=1,2,0))</f>
        <v>0</v>
      </c>
      <c r="K16445">
        <v>7</v>
      </c>
      <c r="L16445">
        <f>IF(AND($J16445=0,$K16445=0),0,1)</f>
        <v>1</v>
      </c>
      <c r="M16445" t="s">
        <v>1699</v>
      </c>
    </row>
    <row r="16446" spans="1:13" x14ac:dyDescent="0.2">
      <c r="A16446" t="s">
        <v>580</v>
      </c>
      <c r="B16446" t="s">
        <v>581</v>
      </c>
      <c r="C16446" t="s">
        <v>2</v>
      </c>
      <c r="D16446">
        <v>1532</v>
      </c>
      <c r="E16446">
        <v>2021</v>
      </c>
      <c r="F16446">
        <v>4</v>
      </c>
      <c r="G16446">
        <v>471</v>
      </c>
      <c r="H16446" s="1">
        <v>1</v>
      </c>
      <c r="I16446">
        <v>21</v>
      </c>
      <c r="J16446">
        <f>IF($H16446=0,1,IF($I16446&lt;=1,2,0))</f>
        <v>0</v>
      </c>
      <c r="K16446">
        <v>7</v>
      </c>
      <c r="L16446">
        <f>IF(AND($J16446=0,$K16446=0),0,1)</f>
        <v>1</v>
      </c>
      <c r="M16446" t="s">
        <v>1700</v>
      </c>
    </row>
    <row r="16447" spans="1:13" x14ac:dyDescent="0.2">
      <c r="A16447" t="s">
        <v>580</v>
      </c>
      <c r="B16447" t="s">
        <v>581</v>
      </c>
      <c r="C16447" t="s">
        <v>2</v>
      </c>
      <c r="D16447">
        <v>1532</v>
      </c>
      <c r="E16447">
        <v>2021</v>
      </c>
      <c r="F16447">
        <v>3</v>
      </c>
      <c r="G16447">
        <v>470</v>
      </c>
      <c r="H16447" s="1">
        <v>1</v>
      </c>
      <c r="I16447">
        <v>20</v>
      </c>
      <c r="J16447">
        <f>IF($H16447=0,1,IF($I16447&lt;=1,2,0))</f>
        <v>0</v>
      </c>
      <c r="K16447">
        <v>7</v>
      </c>
      <c r="L16447">
        <f>IF(AND($J16447=0,$K16447=0),0,1)</f>
        <v>1</v>
      </c>
      <c r="M16447" t="s">
        <v>1700</v>
      </c>
    </row>
    <row r="16448" spans="1:13" x14ac:dyDescent="0.2">
      <c r="A16448" t="s">
        <v>580</v>
      </c>
      <c r="B16448" t="s">
        <v>581</v>
      </c>
      <c r="C16448" t="s">
        <v>2</v>
      </c>
      <c r="D16448">
        <v>1532</v>
      </c>
      <c r="E16448">
        <v>2021</v>
      </c>
      <c r="F16448">
        <v>1</v>
      </c>
      <c r="G16448">
        <v>468</v>
      </c>
      <c r="H16448" s="1">
        <v>1</v>
      </c>
      <c r="I16448">
        <v>19</v>
      </c>
      <c r="J16448">
        <f>IF($H16448=0,1,IF($I16448&lt;=1,2,0))</f>
        <v>0</v>
      </c>
      <c r="K16448">
        <v>7</v>
      </c>
      <c r="L16448">
        <f>IF(AND($J16448=0,$K16448=0),0,1)</f>
        <v>1</v>
      </c>
      <c r="M16448" t="s">
        <v>1698</v>
      </c>
    </row>
    <row r="16449" spans="1:13" x14ac:dyDescent="0.2">
      <c r="A16449" t="s">
        <v>580</v>
      </c>
      <c r="B16449" t="s">
        <v>581</v>
      </c>
      <c r="C16449" t="s">
        <v>2</v>
      </c>
      <c r="D16449">
        <v>1532</v>
      </c>
      <c r="E16449">
        <v>2021</v>
      </c>
      <c r="F16449">
        <v>2</v>
      </c>
      <c r="G16449">
        <v>469</v>
      </c>
      <c r="H16449" s="1">
        <v>1</v>
      </c>
      <c r="I16449">
        <v>19</v>
      </c>
      <c r="J16449">
        <f>IF($H16449=0,1,IF($I16449&lt;=1,2,0))</f>
        <v>0</v>
      </c>
      <c r="K16449">
        <v>7</v>
      </c>
      <c r="L16449">
        <f>IF(AND($J16449=0,$K16449=0),0,1)</f>
        <v>1</v>
      </c>
      <c r="M16449" t="s">
        <v>1698</v>
      </c>
    </row>
    <row r="16450" spans="1:13" x14ac:dyDescent="0.2">
      <c r="A16450" t="s">
        <v>580</v>
      </c>
      <c r="B16450" t="s">
        <v>581</v>
      </c>
      <c r="C16450" t="s">
        <v>2</v>
      </c>
      <c r="D16450">
        <v>1550</v>
      </c>
      <c r="E16450">
        <v>2021</v>
      </c>
      <c r="F16450">
        <v>1</v>
      </c>
      <c r="G16450">
        <v>480</v>
      </c>
      <c r="H16450" s="1">
        <v>1</v>
      </c>
      <c r="I16450">
        <v>16</v>
      </c>
      <c r="J16450">
        <f>IF($H16450=0,1,IF($I16450&lt;=1,2,0))</f>
        <v>0</v>
      </c>
      <c r="K16450">
        <v>7</v>
      </c>
      <c r="L16450">
        <f>IF(AND($J16450=0,$K16450=0),0,1)</f>
        <v>1</v>
      </c>
      <c r="M16450" t="s">
        <v>1698</v>
      </c>
    </row>
    <row r="16451" spans="1:13" x14ac:dyDescent="0.2">
      <c r="A16451" t="s">
        <v>580</v>
      </c>
      <c r="B16451" t="s">
        <v>581</v>
      </c>
      <c r="C16451" t="s">
        <v>2</v>
      </c>
      <c r="D16451">
        <v>1550</v>
      </c>
      <c r="E16451">
        <v>2021</v>
      </c>
      <c r="F16451">
        <v>2</v>
      </c>
      <c r="G16451">
        <v>747</v>
      </c>
      <c r="H16451" s="1">
        <v>1</v>
      </c>
      <c r="I16451">
        <v>16</v>
      </c>
      <c r="J16451">
        <f>IF($H16451=0,1,IF($I16451&lt;=1,2,0))</f>
        <v>0</v>
      </c>
      <c r="K16451">
        <v>7</v>
      </c>
      <c r="L16451">
        <f>IF(AND($J16451=0,$K16451=0),0,1)</f>
        <v>1</v>
      </c>
      <c r="M16451" t="s">
        <v>1700</v>
      </c>
    </row>
    <row r="16452" spans="1:13" x14ac:dyDescent="0.2">
      <c r="A16452" t="s">
        <v>580</v>
      </c>
      <c r="B16452" t="s">
        <v>581</v>
      </c>
      <c r="C16452" t="s">
        <v>2</v>
      </c>
      <c r="D16452">
        <v>1581</v>
      </c>
      <c r="E16452">
        <v>2021</v>
      </c>
      <c r="F16452">
        <v>5</v>
      </c>
      <c r="G16452">
        <v>476</v>
      </c>
      <c r="H16452" s="1">
        <v>1</v>
      </c>
      <c r="I16452">
        <v>21</v>
      </c>
      <c r="J16452">
        <f>IF($H16452=0,1,IF($I16452&lt;=1,2,0))</f>
        <v>0</v>
      </c>
      <c r="K16452">
        <v>7</v>
      </c>
      <c r="L16452">
        <f>IF(AND($J16452=0,$K16452=0),0,1)</f>
        <v>1</v>
      </c>
      <c r="M16452" t="s">
        <v>1700</v>
      </c>
    </row>
    <row r="16453" spans="1:13" x14ac:dyDescent="0.2">
      <c r="A16453" t="s">
        <v>580</v>
      </c>
      <c r="B16453" t="s">
        <v>581</v>
      </c>
      <c r="C16453" t="s">
        <v>2</v>
      </c>
      <c r="D16453">
        <v>1581</v>
      </c>
      <c r="E16453">
        <v>2021</v>
      </c>
      <c r="F16453">
        <v>3</v>
      </c>
      <c r="G16453">
        <v>474</v>
      </c>
      <c r="H16453" s="1">
        <v>1</v>
      </c>
      <c r="I16453">
        <v>20</v>
      </c>
      <c r="J16453">
        <f>IF($H16453=0,1,IF($I16453&lt;=1,2,0))</f>
        <v>0</v>
      </c>
      <c r="K16453">
        <v>7</v>
      </c>
      <c r="L16453">
        <f>IF(AND($J16453=0,$K16453=0),0,1)</f>
        <v>1</v>
      </c>
      <c r="M16453" t="s">
        <v>1698</v>
      </c>
    </row>
    <row r="16454" spans="1:13" x14ac:dyDescent="0.2">
      <c r="A16454" t="s">
        <v>580</v>
      </c>
      <c r="B16454" t="s">
        <v>581</v>
      </c>
      <c r="C16454" t="s">
        <v>2</v>
      </c>
      <c r="D16454">
        <v>1581</v>
      </c>
      <c r="E16454">
        <v>2021</v>
      </c>
      <c r="F16454">
        <v>4</v>
      </c>
      <c r="G16454">
        <v>475</v>
      </c>
      <c r="H16454" s="1">
        <v>1</v>
      </c>
      <c r="I16454">
        <v>20</v>
      </c>
      <c r="J16454">
        <f>IF($H16454=0,1,IF($I16454&lt;=1,2,0))</f>
        <v>0</v>
      </c>
      <c r="K16454">
        <v>7</v>
      </c>
      <c r="L16454">
        <f>IF(AND($J16454=0,$K16454=0),0,1)</f>
        <v>1</v>
      </c>
      <c r="M16454" t="s">
        <v>1698</v>
      </c>
    </row>
    <row r="16455" spans="1:13" x14ac:dyDescent="0.2">
      <c r="A16455" t="s">
        <v>580</v>
      </c>
      <c r="B16455" t="s">
        <v>581</v>
      </c>
      <c r="C16455" t="s">
        <v>2</v>
      </c>
      <c r="D16455">
        <v>1581</v>
      </c>
      <c r="E16455">
        <v>2021</v>
      </c>
      <c r="F16455">
        <v>6</v>
      </c>
      <c r="G16455">
        <v>477</v>
      </c>
      <c r="H16455" s="1">
        <v>1</v>
      </c>
      <c r="I16455">
        <v>20</v>
      </c>
      <c r="J16455">
        <f>IF($H16455=0,1,IF($I16455&lt;=1,2,0))</f>
        <v>0</v>
      </c>
      <c r="K16455">
        <v>7</v>
      </c>
      <c r="L16455">
        <f>IF(AND($J16455=0,$K16455=0),0,1)</f>
        <v>1</v>
      </c>
      <c r="M16455" t="s">
        <v>1700</v>
      </c>
    </row>
    <row r="16456" spans="1:13" x14ac:dyDescent="0.2">
      <c r="A16456" t="s">
        <v>580</v>
      </c>
      <c r="B16456" t="s">
        <v>581</v>
      </c>
      <c r="C16456" t="s">
        <v>2</v>
      </c>
      <c r="D16456">
        <v>1581</v>
      </c>
      <c r="E16456">
        <v>2021</v>
      </c>
      <c r="F16456">
        <v>1</v>
      </c>
      <c r="G16456">
        <v>472</v>
      </c>
      <c r="H16456" s="1">
        <v>1</v>
      </c>
      <c r="I16456">
        <v>19</v>
      </c>
      <c r="J16456">
        <f>IF($H16456=0,1,IF($I16456&lt;=1,2,0))</f>
        <v>0</v>
      </c>
      <c r="K16456">
        <v>7</v>
      </c>
      <c r="L16456">
        <f>IF(AND($J16456=0,$K16456=0),0,1)</f>
        <v>1</v>
      </c>
      <c r="M16456" t="s">
        <v>1698</v>
      </c>
    </row>
    <row r="16457" spans="1:13" x14ac:dyDescent="0.2">
      <c r="A16457" t="s">
        <v>580</v>
      </c>
      <c r="B16457" t="s">
        <v>581</v>
      </c>
      <c r="C16457" t="s">
        <v>2</v>
      </c>
      <c r="D16457">
        <v>1581</v>
      </c>
      <c r="E16457">
        <v>2021</v>
      </c>
      <c r="F16457">
        <v>2</v>
      </c>
      <c r="G16457">
        <v>473</v>
      </c>
      <c r="H16457" s="1">
        <v>1</v>
      </c>
      <c r="I16457">
        <v>17</v>
      </c>
      <c r="J16457">
        <f>IF($H16457=0,1,IF($I16457&lt;=1,2,0))</f>
        <v>0</v>
      </c>
      <c r="K16457">
        <v>7</v>
      </c>
      <c r="L16457">
        <f>IF(AND($J16457=0,$K16457=0),0,1)</f>
        <v>1</v>
      </c>
      <c r="M16457" t="s">
        <v>1698</v>
      </c>
    </row>
    <row r="16458" spans="1:13" x14ac:dyDescent="0.2">
      <c r="A16458" t="s">
        <v>580</v>
      </c>
      <c r="B16458" t="s">
        <v>581</v>
      </c>
      <c r="C16458" t="s">
        <v>2</v>
      </c>
      <c r="D16458">
        <v>1691</v>
      </c>
      <c r="E16458">
        <v>2021</v>
      </c>
      <c r="F16458">
        <v>1</v>
      </c>
      <c r="G16458">
        <v>481</v>
      </c>
      <c r="H16458" s="1">
        <v>1</v>
      </c>
      <c r="I16458">
        <v>20</v>
      </c>
      <c r="J16458">
        <f>IF($H16458=0,1,IF($I16458&lt;=1,2,0))</f>
        <v>0</v>
      </c>
      <c r="K16458">
        <v>7</v>
      </c>
      <c r="L16458">
        <f>IF(AND($J16458=0,$K16458=0),0,1)</f>
        <v>1</v>
      </c>
      <c r="M16458" t="s">
        <v>1700</v>
      </c>
    </row>
    <row r="16459" spans="1:13" x14ac:dyDescent="0.2">
      <c r="A16459" t="s">
        <v>580</v>
      </c>
      <c r="B16459" t="s">
        <v>581</v>
      </c>
      <c r="C16459" t="s">
        <v>2</v>
      </c>
      <c r="D16459">
        <v>1691</v>
      </c>
      <c r="E16459">
        <v>2021</v>
      </c>
      <c r="F16459">
        <v>2</v>
      </c>
      <c r="G16459">
        <v>482</v>
      </c>
      <c r="H16459" s="1">
        <v>1</v>
      </c>
      <c r="I16459">
        <v>19</v>
      </c>
      <c r="J16459">
        <f>IF($H16459=0,1,IF($I16459&lt;=1,2,0))</f>
        <v>0</v>
      </c>
      <c r="K16459">
        <v>7</v>
      </c>
      <c r="L16459">
        <f>IF(AND($J16459=0,$K16459=0),0,1)</f>
        <v>1</v>
      </c>
      <c r="M16459" t="s">
        <v>1700</v>
      </c>
    </row>
    <row r="16460" spans="1:13" x14ac:dyDescent="0.2">
      <c r="A16460" t="s">
        <v>580</v>
      </c>
      <c r="B16460" t="s">
        <v>581</v>
      </c>
      <c r="C16460" t="s">
        <v>2</v>
      </c>
      <c r="D16460">
        <v>1693</v>
      </c>
      <c r="E16460">
        <v>2021</v>
      </c>
      <c r="F16460">
        <v>2</v>
      </c>
      <c r="G16460">
        <v>463</v>
      </c>
      <c r="H16460" s="1">
        <v>1</v>
      </c>
      <c r="I16460">
        <v>20</v>
      </c>
      <c r="J16460">
        <f>IF($H16460=0,1,IF($I16460&lt;=1,2,0))</f>
        <v>0</v>
      </c>
      <c r="K16460">
        <v>7</v>
      </c>
      <c r="L16460">
        <f>IF(AND($J16460=0,$K16460=0),0,1)</f>
        <v>1</v>
      </c>
      <c r="M16460" t="s">
        <v>1698</v>
      </c>
    </row>
    <row r="16461" spans="1:13" x14ac:dyDescent="0.2">
      <c r="A16461" t="s">
        <v>580</v>
      </c>
      <c r="B16461" t="s">
        <v>581</v>
      </c>
      <c r="C16461" t="s">
        <v>2</v>
      </c>
      <c r="D16461">
        <v>1693</v>
      </c>
      <c r="E16461">
        <v>2021</v>
      </c>
      <c r="F16461">
        <v>3</v>
      </c>
      <c r="G16461">
        <v>464</v>
      </c>
      <c r="H16461" s="1">
        <v>1</v>
      </c>
      <c r="I16461">
        <v>20</v>
      </c>
      <c r="J16461">
        <f>IF($H16461=0,1,IF($I16461&lt;=1,2,0))</f>
        <v>0</v>
      </c>
      <c r="K16461">
        <v>7</v>
      </c>
      <c r="L16461">
        <f>IF(AND($J16461=0,$K16461=0),0,1)</f>
        <v>1</v>
      </c>
      <c r="M16461" t="s">
        <v>1698</v>
      </c>
    </row>
    <row r="16462" spans="1:13" x14ac:dyDescent="0.2">
      <c r="A16462" t="s">
        <v>580</v>
      </c>
      <c r="B16462" t="s">
        <v>581</v>
      </c>
      <c r="C16462" t="s">
        <v>2</v>
      </c>
      <c r="D16462">
        <v>1693</v>
      </c>
      <c r="E16462">
        <v>2021</v>
      </c>
      <c r="F16462">
        <v>4</v>
      </c>
      <c r="G16462">
        <v>465</v>
      </c>
      <c r="H16462" s="1">
        <v>1</v>
      </c>
      <c r="I16462">
        <v>20</v>
      </c>
      <c r="J16462">
        <f>IF($H16462=0,1,IF($I16462&lt;=1,2,0))</f>
        <v>0</v>
      </c>
      <c r="K16462">
        <v>7</v>
      </c>
      <c r="L16462">
        <f>IF(AND($J16462=0,$K16462=0),0,1)</f>
        <v>1</v>
      </c>
      <c r="M16462" t="s">
        <v>1700</v>
      </c>
    </row>
    <row r="16463" spans="1:13" x14ac:dyDescent="0.2">
      <c r="A16463" t="s">
        <v>580</v>
      </c>
      <c r="B16463" t="s">
        <v>581</v>
      </c>
      <c r="C16463" t="s">
        <v>2</v>
      </c>
      <c r="D16463">
        <v>1693</v>
      </c>
      <c r="E16463">
        <v>2021</v>
      </c>
      <c r="F16463">
        <v>6</v>
      </c>
      <c r="G16463">
        <v>467</v>
      </c>
      <c r="H16463" s="1">
        <v>1</v>
      </c>
      <c r="I16463">
        <v>20</v>
      </c>
      <c r="J16463">
        <f>IF($H16463=0,1,IF($I16463&lt;=1,2,0))</f>
        <v>0</v>
      </c>
      <c r="K16463">
        <v>7</v>
      </c>
      <c r="L16463">
        <f>IF(AND($J16463=0,$K16463=0),0,1)</f>
        <v>1</v>
      </c>
      <c r="M16463" t="s">
        <v>1700</v>
      </c>
    </row>
    <row r="16464" spans="1:13" x14ac:dyDescent="0.2">
      <c r="A16464" t="s">
        <v>580</v>
      </c>
      <c r="B16464" t="s">
        <v>581</v>
      </c>
      <c r="C16464" t="s">
        <v>2</v>
      </c>
      <c r="D16464">
        <v>1693</v>
      </c>
      <c r="E16464">
        <v>2021</v>
      </c>
      <c r="F16464">
        <v>5</v>
      </c>
      <c r="G16464">
        <v>466</v>
      </c>
      <c r="H16464" s="1">
        <v>1</v>
      </c>
      <c r="I16464">
        <v>19</v>
      </c>
      <c r="J16464">
        <f>IF($H16464=0,1,IF($I16464&lt;=1,2,0))</f>
        <v>0</v>
      </c>
      <c r="K16464">
        <v>7</v>
      </c>
      <c r="L16464">
        <f>IF(AND($J16464=0,$K16464=0),0,1)</f>
        <v>1</v>
      </c>
      <c r="M16464" t="s">
        <v>1700</v>
      </c>
    </row>
    <row r="16465" spans="1:13" x14ac:dyDescent="0.2">
      <c r="A16465" t="s">
        <v>580</v>
      </c>
      <c r="B16465" t="s">
        <v>581</v>
      </c>
      <c r="C16465" t="s">
        <v>2</v>
      </c>
      <c r="D16465">
        <v>1693</v>
      </c>
      <c r="E16465">
        <v>2021</v>
      </c>
      <c r="F16465">
        <v>1</v>
      </c>
      <c r="G16465">
        <v>462</v>
      </c>
      <c r="H16465" s="1">
        <v>1</v>
      </c>
      <c r="I16465">
        <v>18</v>
      </c>
      <c r="J16465">
        <f>IF($H16465=0,1,IF($I16465&lt;=1,2,0))</f>
        <v>0</v>
      </c>
      <c r="K16465">
        <v>7</v>
      </c>
      <c r="L16465">
        <f>IF(AND($J16465=0,$K16465=0),0,1)</f>
        <v>1</v>
      </c>
      <c r="M16465" t="s">
        <v>1698</v>
      </c>
    </row>
    <row r="16466" spans="1:13" x14ac:dyDescent="0.2">
      <c r="A16466" t="s">
        <v>580</v>
      </c>
      <c r="B16466" t="s">
        <v>581</v>
      </c>
      <c r="C16466" t="s">
        <v>2</v>
      </c>
      <c r="D16466">
        <v>2512</v>
      </c>
      <c r="E16466">
        <v>2021</v>
      </c>
      <c r="F16466">
        <v>1</v>
      </c>
      <c r="G16466">
        <v>542</v>
      </c>
      <c r="H16466" s="1">
        <v>1</v>
      </c>
      <c r="I16466">
        <v>19</v>
      </c>
      <c r="J16466">
        <f>IF($H16466=0,1,IF($I16466&lt;=1,2,0))</f>
        <v>0</v>
      </c>
      <c r="K16466">
        <v>7</v>
      </c>
      <c r="L16466">
        <f>IF(AND($J16466=0,$K16466=0),0,1)</f>
        <v>1</v>
      </c>
      <c r="M16466" t="s">
        <v>1701</v>
      </c>
    </row>
    <row r="16467" spans="1:13" x14ac:dyDescent="0.2">
      <c r="A16467" t="s">
        <v>580</v>
      </c>
      <c r="B16467" t="s">
        <v>581</v>
      </c>
      <c r="C16467" t="s">
        <v>2</v>
      </c>
      <c r="D16467">
        <v>2518</v>
      </c>
      <c r="E16467">
        <v>2021</v>
      </c>
      <c r="F16467">
        <v>1</v>
      </c>
      <c r="G16467">
        <v>483</v>
      </c>
      <c r="H16467" s="1">
        <v>1</v>
      </c>
      <c r="I16467">
        <v>11</v>
      </c>
      <c r="J16467">
        <f>IF($H16467=0,1,IF($I16467&lt;=1,2,0))</f>
        <v>0</v>
      </c>
      <c r="K16467">
        <v>7</v>
      </c>
      <c r="L16467">
        <f>IF(AND($J16467=0,$K16467=0),0,1)</f>
        <v>1</v>
      </c>
      <c r="M16467" t="s">
        <v>1702</v>
      </c>
    </row>
    <row r="16468" spans="1:13" x14ac:dyDescent="0.2">
      <c r="A16468" t="s">
        <v>587</v>
      </c>
      <c r="B16468" t="s">
        <v>17</v>
      </c>
      <c r="C16468" t="s">
        <v>7</v>
      </c>
      <c r="D16468">
        <v>1010</v>
      </c>
      <c r="E16468">
        <v>2021</v>
      </c>
      <c r="F16468" t="s">
        <v>1349</v>
      </c>
      <c r="G16468">
        <v>18972</v>
      </c>
      <c r="H16468" s="1">
        <v>0</v>
      </c>
      <c r="I16468">
        <v>4</v>
      </c>
      <c r="J16468">
        <f>IF($H16468=0,1,IF($I16468&lt;=1,2,0))</f>
        <v>1</v>
      </c>
      <c r="K16468">
        <v>0</v>
      </c>
      <c r="L16468">
        <f>IF(AND($J16468=0,$K16468=0),0,1)</f>
        <v>1</v>
      </c>
    </row>
    <row r="16469" spans="1:13" x14ac:dyDescent="0.2">
      <c r="A16469" t="s">
        <v>587</v>
      </c>
      <c r="B16469" t="s">
        <v>17</v>
      </c>
      <c r="C16469" t="s">
        <v>21</v>
      </c>
      <c r="D16469">
        <v>2003</v>
      </c>
      <c r="E16469">
        <v>2021</v>
      </c>
      <c r="F16469" t="s">
        <v>1349</v>
      </c>
      <c r="G16469">
        <v>18973</v>
      </c>
      <c r="H16469" s="1">
        <v>0</v>
      </c>
      <c r="I16469">
        <v>5</v>
      </c>
      <c r="J16469">
        <f>IF($H16469=0,1,IF($I16469&lt;=1,2,0))</f>
        <v>1</v>
      </c>
      <c r="K16469">
        <v>0</v>
      </c>
      <c r="L16469">
        <f>IF(AND($J16469=0,$K16469=0),0,1)</f>
        <v>1</v>
      </c>
    </row>
    <row r="16470" spans="1:13" x14ac:dyDescent="0.2">
      <c r="A16470" t="s">
        <v>587</v>
      </c>
      <c r="B16470" t="s">
        <v>17</v>
      </c>
      <c r="C16470" t="s">
        <v>21</v>
      </c>
      <c r="D16470">
        <v>2111</v>
      </c>
      <c r="E16470">
        <v>2021</v>
      </c>
      <c r="F16470">
        <v>2</v>
      </c>
      <c r="G16470">
        <v>10578</v>
      </c>
      <c r="H16470" s="1">
        <v>0</v>
      </c>
      <c r="I16470">
        <v>28</v>
      </c>
      <c r="J16470">
        <f>IF($H16470=0,1,IF($I16470&lt;=1,2,0))</f>
        <v>1</v>
      </c>
      <c r="K16470">
        <v>0</v>
      </c>
      <c r="L16470">
        <f>IF(AND($J16470=0,$K16470=0),0,1)</f>
        <v>1</v>
      </c>
    </row>
    <row r="16471" spans="1:13" x14ac:dyDescent="0.2">
      <c r="A16471" t="s">
        <v>587</v>
      </c>
      <c r="B16471" t="s">
        <v>17</v>
      </c>
      <c r="C16471" t="s">
        <v>21</v>
      </c>
      <c r="D16471">
        <v>2111</v>
      </c>
      <c r="E16471">
        <v>2021</v>
      </c>
      <c r="F16471">
        <v>1</v>
      </c>
      <c r="G16471">
        <v>10577</v>
      </c>
      <c r="H16471" s="1">
        <v>0</v>
      </c>
      <c r="I16471">
        <v>27</v>
      </c>
      <c r="J16471">
        <f>IF($H16471=0,1,IF($I16471&lt;=1,2,0))</f>
        <v>1</v>
      </c>
      <c r="K16471">
        <v>0</v>
      </c>
      <c r="L16471">
        <f>IF(AND($J16471=0,$K16471=0),0,1)</f>
        <v>1</v>
      </c>
    </row>
    <row r="16472" spans="1:13" x14ac:dyDescent="0.2">
      <c r="A16472" t="s">
        <v>587</v>
      </c>
      <c r="B16472" t="s">
        <v>17</v>
      </c>
      <c r="C16472" t="s">
        <v>21</v>
      </c>
      <c r="D16472">
        <v>2111</v>
      </c>
      <c r="E16472">
        <v>2021</v>
      </c>
      <c r="F16472">
        <v>3</v>
      </c>
      <c r="G16472">
        <v>10579</v>
      </c>
      <c r="H16472" s="1">
        <v>0</v>
      </c>
      <c r="I16472">
        <v>20</v>
      </c>
      <c r="J16472">
        <f>IF($H16472=0,1,IF($I16472&lt;=1,2,0))</f>
        <v>1</v>
      </c>
      <c r="K16472">
        <v>0</v>
      </c>
      <c r="L16472">
        <f>IF(AND($J16472=0,$K16472=0),0,1)</f>
        <v>1</v>
      </c>
    </row>
    <row r="16473" spans="1:13" x14ac:dyDescent="0.2">
      <c r="A16473" t="s">
        <v>587</v>
      </c>
      <c r="B16473" t="s">
        <v>17</v>
      </c>
      <c r="C16473" t="s">
        <v>21</v>
      </c>
      <c r="D16473">
        <v>2111</v>
      </c>
      <c r="E16473">
        <v>2021</v>
      </c>
      <c r="F16473">
        <v>4</v>
      </c>
      <c r="G16473">
        <v>16545</v>
      </c>
      <c r="H16473" s="1">
        <v>0</v>
      </c>
      <c r="I16473">
        <v>12</v>
      </c>
      <c r="J16473">
        <f>IF($H16473=0,1,IF($I16473&lt;=1,2,0))</f>
        <v>1</v>
      </c>
      <c r="K16473">
        <v>0</v>
      </c>
      <c r="L16473">
        <f>IF(AND($J16473=0,$K16473=0),0,1)</f>
        <v>1</v>
      </c>
    </row>
    <row r="16474" spans="1:13" x14ac:dyDescent="0.2">
      <c r="A16474" t="s">
        <v>587</v>
      </c>
      <c r="B16474" t="s">
        <v>17</v>
      </c>
      <c r="C16474" t="s">
        <v>21</v>
      </c>
      <c r="D16474">
        <v>3353</v>
      </c>
      <c r="E16474">
        <v>2021</v>
      </c>
      <c r="F16474" t="s">
        <v>1349</v>
      </c>
      <c r="G16474">
        <v>18974</v>
      </c>
      <c r="H16474" s="1">
        <v>0</v>
      </c>
      <c r="I16474">
        <v>5</v>
      </c>
      <c r="J16474">
        <f>IF($H16474=0,1,IF($I16474&lt;=1,2,0))</f>
        <v>1</v>
      </c>
      <c r="K16474">
        <v>0</v>
      </c>
      <c r="L16474">
        <f>IF(AND($J16474=0,$K16474=0),0,1)</f>
        <v>1</v>
      </c>
    </row>
    <row r="16475" spans="1:13" x14ac:dyDescent="0.2">
      <c r="A16475" t="s">
        <v>587</v>
      </c>
      <c r="B16475" t="s">
        <v>17</v>
      </c>
      <c r="C16475" t="s">
        <v>21</v>
      </c>
      <c r="D16475">
        <v>3413</v>
      </c>
      <c r="E16475">
        <v>2021</v>
      </c>
      <c r="F16475">
        <v>2</v>
      </c>
      <c r="G16475">
        <v>10581</v>
      </c>
      <c r="H16475" s="1">
        <v>0</v>
      </c>
      <c r="I16475">
        <v>35</v>
      </c>
      <c r="J16475">
        <f>IF($H16475=0,1,IF($I16475&lt;=1,2,0))</f>
        <v>1</v>
      </c>
      <c r="K16475">
        <v>0</v>
      </c>
      <c r="L16475">
        <f>IF(AND($J16475=0,$K16475=0),0,1)</f>
        <v>1</v>
      </c>
    </row>
    <row r="16476" spans="1:13" x14ac:dyDescent="0.2">
      <c r="A16476" t="s">
        <v>587</v>
      </c>
      <c r="B16476" t="s">
        <v>17</v>
      </c>
      <c r="C16476" t="s">
        <v>21</v>
      </c>
      <c r="D16476">
        <v>3413</v>
      </c>
      <c r="E16476">
        <v>2021</v>
      </c>
      <c r="F16476">
        <v>1</v>
      </c>
      <c r="G16476">
        <v>10580</v>
      </c>
      <c r="H16476" s="1">
        <v>0</v>
      </c>
      <c r="I16476">
        <v>34</v>
      </c>
      <c r="J16476">
        <f>IF($H16476=0,1,IF($I16476&lt;=1,2,0))</f>
        <v>1</v>
      </c>
      <c r="K16476">
        <v>0</v>
      </c>
      <c r="L16476">
        <f>IF(AND($J16476=0,$K16476=0),0,1)</f>
        <v>1</v>
      </c>
    </row>
    <row r="16477" spans="1:13" x14ac:dyDescent="0.2">
      <c r="A16477" t="s">
        <v>587</v>
      </c>
      <c r="B16477" t="s">
        <v>17</v>
      </c>
      <c r="C16477" t="s">
        <v>21</v>
      </c>
      <c r="D16477">
        <v>3413</v>
      </c>
      <c r="E16477">
        <v>2021</v>
      </c>
      <c r="F16477">
        <v>3</v>
      </c>
      <c r="G16477">
        <v>10582</v>
      </c>
      <c r="H16477" s="1">
        <v>0</v>
      </c>
      <c r="I16477">
        <v>24</v>
      </c>
      <c r="J16477">
        <f>IF($H16477=0,1,IF($I16477&lt;=1,2,0))</f>
        <v>1</v>
      </c>
      <c r="K16477">
        <v>0</v>
      </c>
      <c r="L16477">
        <f>IF(AND($J16477=0,$K16477=0),0,1)</f>
        <v>1</v>
      </c>
    </row>
    <row r="16478" spans="1:13" x14ac:dyDescent="0.2">
      <c r="A16478" t="s">
        <v>587</v>
      </c>
      <c r="B16478" t="s">
        <v>17</v>
      </c>
      <c r="C16478" t="s">
        <v>9</v>
      </c>
      <c r="D16478">
        <v>3551</v>
      </c>
      <c r="E16478">
        <v>2021</v>
      </c>
      <c r="F16478" t="s">
        <v>1349</v>
      </c>
      <c r="G16478">
        <v>18975</v>
      </c>
      <c r="H16478" s="1">
        <v>0</v>
      </c>
      <c r="I16478">
        <v>4</v>
      </c>
      <c r="J16478">
        <f>IF($H16478=0,1,IF($I16478&lt;=1,2,0))</f>
        <v>1</v>
      </c>
      <c r="K16478">
        <v>0</v>
      </c>
      <c r="L16478">
        <f>IF(AND($J16478=0,$K16478=0),0,1)</f>
        <v>1</v>
      </c>
    </row>
    <row r="16479" spans="1:13" x14ac:dyDescent="0.2">
      <c r="A16479" t="s">
        <v>587</v>
      </c>
      <c r="B16479" t="s">
        <v>17</v>
      </c>
      <c r="C16479" t="s">
        <v>21</v>
      </c>
      <c r="D16479">
        <v>3601</v>
      </c>
      <c r="E16479">
        <v>2021</v>
      </c>
      <c r="F16479" t="s">
        <v>1349</v>
      </c>
      <c r="G16479">
        <v>18976</v>
      </c>
      <c r="H16479" s="1">
        <v>0</v>
      </c>
      <c r="I16479">
        <v>6</v>
      </c>
      <c r="J16479">
        <f>IF($H16479=0,1,IF($I16479&lt;=1,2,0))</f>
        <v>1</v>
      </c>
      <c r="K16479">
        <v>0</v>
      </c>
      <c r="L16479">
        <f>IF(AND($J16479=0,$K16479=0),0,1)</f>
        <v>1</v>
      </c>
    </row>
    <row r="16480" spans="1:13" x14ac:dyDescent="0.2">
      <c r="A16480" t="s">
        <v>587</v>
      </c>
      <c r="B16480" t="s">
        <v>17</v>
      </c>
      <c r="C16480" t="s">
        <v>21</v>
      </c>
      <c r="D16480">
        <v>3611</v>
      </c>
      <c r="E16480">
        <v>2021</v>
      </c>
      <c r="F16480">
        <v>1</v>
      </c>
      <c r="G16480">
        <v>10574</v>
      </c>
      <c r="H16480" s="1">
        <v>0</v>
      </c>
      <c r="I16480">
        <v>33</v>
      </c>
      <c r="J16480">
        <f>IF($H16480=0,1,IF($I16480&lt;=1,2,0))</f>
        <v>1</v>
      </c>
      <c r="K16480">
        <v>0</v>
      </c>
      <c r="L16480">
        <f>IF(AND($J16480=0,$K16480=0),0,1)</f>
        <v>1</v>
      </c>
    </row>
    <row r="16481" spans="1:12" x14ac:dyDescent="0.2">
      <c r="A16481" t="s">
        <v>587</v>
      </c>
      <c r="B16481" t="s">
        <v>17</v>
      </c>
      <c r="C16481" t="s">
        <v>21</v>
      </c>
      <c r="D16481">
        <v>3611</v>
      </c>
      <c r="E16481">
        <v>2021</v>
      </c>
      <c r="F16481">
        <v>2</v>
      </c>
      <c r="G16481">
        <v>10575</v>
      </c>
      <c r="H16481" s="1">
        <v>0</v>
      </c>
      <c r="I16481">
        <v>26</v>
      </c>
      <c r="J16481">
        <f>IF($H16481=0,1,IF($I16481&lt;=1,2,0))</f>
        <v>1</v>
      </c>
      <c r="K16481">
        <v>0</v>
      </c>
      <c r="L16481">
        <f>IF(AND($J16481=0,$K16481=0),0,1)</f>
        <v>1</v>
      </c>
    </row>
    <row r="16482" spans="1:12" x14ac:dyDescent="0.2">
      <c r="A16482" t="s">
        <v>587</v>
      </c>
      <c r="B16482" t="s">
        <v>17</v>
      </c>
      <c r="C16482" t="s">
        <v>21</v>
      </c>
      <c r="D16482">
        <v>3611</v>
      </c>
      <c r="E16482">
        <v>2021</v>
      </c>
      <c r="F16482">
        <v>3</v>
      </c>
      <c r="G16482">
        <v>10576</v>
      </c>
      <c r="H16482" s="1">
        <v>0</v>
      </c>
      <c r="I16482">
        <v>25</v>
      </c>
      <c r="J16482">
        <f>IF($H16482=0,1,IF($I16482&lt;=1,2,0))</f>
        <v>1</v>
      </c>
      <c r="K16482">
        <v>0</v>
      </c>
      <c r="L16482">
        <f>IF(AND($J16482=0,$K16482=0),0,1)</f>
        <v>1</v>
      </c>
    </row>
    <row r="16483" spans="1:12" x14ac:dyDescent="0.2">
      <c r="A16483" t="s">
        <v>587</v>
      </c>
      <c r="B16483" t="s">
        <v>17</v>
      </c>
      <c r="C16483" t="s">
        <v>9</v>
      </c>
      <c r="D16483">
        <v>3997</v>
      </c>
      <c r="E16483">
        <v>2021</v>
      </c>
      <c r="F16483">
        <v>14</v>
      </c>
      <c r="G16483">
        <v>16561</v>
      </c>
      <c r="H16483" s="1" t="s">
        <v>1827</v>
      </c>
      <c r="I16483">
        <v>4</v>
      </c>
      <c r="J16483">
        <f>IF($H16483=0,1,IF($I16483&lt;=1,2,0))</f>
        <v>0</v>
      </c>
      <c r="K16483">
        <v>9</v>
      </c>
      <c r="L16483">
        <f>IF(AND($J16483=0,$K16483=0),0,1)</f>
        <v>1</v>
      </c>
    </row>
    <row r="16484" spans="1:12" x14ac:dyDescent="0.2">
      <c r="A16484" t="s">
        <v>587</v>
      </c>
      <c r="B16484" t="s">
        <v>17</v>
      </c>
      <c r="C16484" t="s">
        <v>9</v>
      </c>
      <c r="D16484">
        <v>3997</v>
      </c>
      <c r="E16484">
        <v>2021</v>
      </c>
      <c r="F16484">
        <v>18</v>
      </c>
      <c r="G16484">
        <v>16567</v>
      </c>
      <c r="H16484" s="1" t="s">
        <v>1827</v>
      </c>
      <c r="I16484">
        <v>1</v>
      </c>
      <c r="J16484">
        <f>IF($H16484=0,1,IF($I16484&lt;=1,2,0))</f>
        <v>2</v>
      </c>
      <c r="K16484">
        <v>9</v>
      </c>
      <c r="L16484">
        <f>IF(AND($J16484=0,$K16484=0),0,1)</f>
        <v>1</v>
      </c>
    </row>
    <row r="16485" spans="1:12" x14ac:dyDescent="0.2">
      <c r="A16485" t="s">
        <v>587</v>
      </c>
      <c r="B16485" t="s">
        <v>17</v>
      </c>
      <c r="C16485" t="s">
        <v>9</v>
      </c>
      <c r="D16485">
        <v>3997</v>
      </c>
      <c r="E16485">
        <v>2021</v>
      </c>
      <c r="F16485">
        <v>1</v>
      </c>
      <c r="G16485">
        <v>16547</v>
      </c>
      <c r="H16485" s="1" t="s">
        <v>1827</v>
      </c>
      <c r="I16485">
        <v>0</v>
      </c>
      <c r="J16485">
        <f>IF($H16485=0,1,IF($I16485&lt;=1,2,0))</f>
        <v>2</v>
      </c>
      <c r="K16485">
        <v>9</v>
      </c>
      <c r="L16485">
        <f>IF(AND($J16485=0,$K16485=0),0,1)</f>
        <v>1</v>
      </c>
    </row>
    <row r="16486" spans="1:12" x14ac:dyDescent="0.2">
      <c r="A16486" t="s">
        <v>587</v>
      </c>
      <c r="B16486" t="s">
        <v>17</v>
      </c>
      <c r="C16486" t="s">
        <v>9</v>
      </c>
      <c r="D16486">
        <v>3997</v>
      </c>
      <c r="E16486">
        <v>2021</v>
      </c>
      <c r="F16486">
        <v>2</v>
      </c>
      <c r="G16486">
        <v>16548</v>
      </c>
      <c r="H16486" s="1" t="s">
        <v>1827</v>
      </c>
      <c r="I16486">
        <v>0</v>
      </c>
      <c r="J16486">
        <f>IF($H16486=0,1,IF($I16486&lt;=1,2,0))</f>
        <v>2</v>
      </c>
      <c r="K16486">
        <v>9</v>
      </c>
      <c r="L16486">
        <f>IF(AND($J16486=0,$K16486=0),0,1)</f>
        <v>1</v>
      </c>
    </row>
    <row r="16487" spans="1:12" x14ac:dyDescent="0.2">
      <c r="A16487" t="s">
        <v>587</v>
      </c>
      <c r="B16487" t="s">
        <v>17</v>
      </c>
      <c r="C16487" t="s">
        <v>9</v>
      </c>
      <c r="D16487">
        <v>3997</v>
      </c>
      <c r="E16487">
        <v>2021</v>
      </c>
      <c r="F16487">
        <v>3</v>
      </c>
      <c r="G16487">
        <v>16550</v>
      </c>
      <c r="H16487" s="1" t="s">
        <v>1827</v>
      </c>
      <c r="I16487">
        <v>0</v>
      </c>
      <c r="J16487">
        <f>IF($H16487=0,1,IF($I16487&lt;=1,2,0))</f>
        <v>2</v>
      </c>
      <c r="K16487">
        <v>9</v>
      </c>
      <c r="L16487">
        <f>IF(AND($J16487=0,$K16487=0),0,1)</f>
        <v>1</v>
      </c>
    </row>
    <row r="16488" spans="1:12" x14ac:dyDescent="0.2">
      <c r="A16488" t="s">
        <v>587</v>
      </c>
      <c r="B16488" t="s">
        <v>17</v>
      </c>
      <c r="C16488" t="s">
        <v>9</v>
      </c>
      <c r="D16488">
        <v>3997</v>
      </c>
      <c r="E16488">
        <v>2021</v>
      </c>
      <c r="F16488">
        <v>4</v>
      </c>
      <c r="G16488">
        <v>16551</v>
      </c>
      <c r="H16488" s="1" t="s">
        <v>1827</v>
      </c>
      <c r="I16488">
        <v>0</v>
      </c>
      <c r="J16488">
        <f>IF($H16488=0,1,IF($I16488&lt;=1,2,0))</f>
        <v>2</v>
      </c>
      <c r="K16488">
        <v>9</v>
      </c>
      <c r="L16488">
        <f>IF(AND($J16488=0,$K16488=0),0,1)</f>
        <v>1</v>
      </c>
    </row>
    <row r="16489" spans="1:12" x14ac:dyDescent="0.2">
      <c r="A16489" t="s">
        <v>587</v>
      </c>
      <c r="B16489" t="s">
        <v>17</v>
      </c>
      <c r="C16489" t="s">
        <v>9</v>
      </c>
      <c r="D16489">
        <v>3997</v>
      </c>
      <c r="E16489">
        <v>2021</v>
      </c>
      <c r="F16489">
        <v>5</v>
      </c>
      <c r="G16489">
        <v>16552</v>
      </c>
      <c r="H16489" s="1" t="s">
        <v>1827</v>
      </c>
      <c r="I16489">
        <v>0</v>
      </c>
      <c r="J16489">
        <f>IF($H16489=0,1,IF($I16489&lt;=1,2,0))</f>
        <v>2</v>
      </c>
      <c r="K16489">
        <v>9</v>
      </c>
      <c r="L16489">
        <f>IF(AND($J16489=0,$K16489=0),0,1)</f>
        <v>1</v>
      </c>
    </row>
    <row r="16490" spans="1:12" x14ac:dyDescent="0.2">
      <c r="A16490" t="s">
        <v>587</v>
      </c>
      <c r="B16490" t="s">
        <v>17</v>
      </c>
      <c r="C16490" t="s">
        <v>9</v>
      </c>
      <c r="D16490">
        <v>3997</v>
      </c>
      <c r="E16490">
        <v>2021</v>
      </c>
      <c r="F16490">
        <v>6</v>
      </c>
      <c r="G16490">
        <v>16553</v>
      </c>
      <c r="H16490" s="1" t="s">
        <v>1827</v>
      </c>
      <c r="I16490">
        <v>0</v>
      </c>
      <c r="J16490">
        <f>IF($H16490=0,1,IF($I16490&lt;=1,2,0))</f>
        <v>2</v>
      </c>
      <c r="K16490">
        <v>9</v>
      </c>
      <c r="L16490">
        <f>IF(AND($J16490=0,$K16490=0),0,1)</f>
        <v>1</v>
      </c>
    </row>
    <row r="16491" spans="1:12" x14ac:dyDescent="0.2">
      <c r="A16491" t="s">
        <v>587</v>
      </c>
      <c r="B16491" t="s">
        <v>17</v>
      </c>
      <c r="C16491" t="s">
        <v>9</v>
      </c>
      <c r="D16491">
        <v>3997</v>
      </c>
      <c r="E16491">
        <v>2021</v>
      </c>
      <c r="F16491">
        <v>7</v>
      </c>
      <c r="G16491">
        <v>16554</v>
      </c>
      <c r="H16491" s="1" t="s">
        <v>1827</v>
      </c>
      <c r="I16491">
        <v>0</v>
      </c>
      <c r="J16491">
        <f>IF($H16491=0,1,IF($I16491&lt;=1,2,0))</f>
        <v>2</v>
      </c>
      <c r="K16491">
        <v>9</v>
      </c>
      <c r="L16491">
        <f>IF(AND($J16491=0,$K16491=0),0,1)</f>
        <v>1</v>
      </c>
    </row>
    <row r="16492" spans="1:12" x14ac:dyDescent="0.2">
      <c r="A16492" t="s">
        <v>587</v>
      </c>
      <c r="B16492" t="s">
        <v>17</v>
      </c>
      <c r="C16492" t="s">
        <v>9</v>
      </c>
      <c r="D16492">
        <v>3997</v>
      </c>
      <c r="E16492">
        <v>2021</v>
      </c>
      <c r="F16492">
        <v>8</v>
      </c>
      <c r="G16492">
        <v>16555</v>
      </c>
      <c r="H16492" s="1" t="s">
        <v>1827</v>
      </c>
      <c r="I16492">
        <v>0</v>
      </c>
      <c r="J16492">
        <f>IF($H16492=0,1,IF($I16492&lt;=1,2,0))</f>
        <v>2</v>
      </c>
      <c r="K16492">
        <v>9</v>
      </c>
      <c r="L16492">
        <f>IF(AND($J16492=0,$K16492=0),0,1)</f>
        <v>1</v>
      </c>
    </row>
    <row r="16493" spans="1:12" x14ac:dyDescent="0.2">
      <c r="A16493" t="s">
        <v>587</v>
      </c>
      <c r="B16493" t="s">
        <v>17</v>
      </c>
      <c r="C16493" t="s">
        <v>9</v>
      </c>
      <c r="D16493">
        <v>3997</v>
      </c>
      <c r="E16493">
        <v>2021</v>
      </c>
      <c r="F16493">
        <v>9</v>
      </c>
      <c r="G16493">
        <v>16556</v>
      </c>
      <c r="H16493" s="1" t="s">
        <v>1827</v>
      </c>
      <c r="I16493">
        <v>0</v>
      </c>
      <c r="J16493">
        <f>IF($H16493=0,1,IF($I16493&lt;=1,2,0))</f>
        <v>2</v>
      </c>
      <c r="K16493">
        <v>9</v>
      </c>
      <c r="L16493">
        <f>IF(AND($J16493=0,$K16493=0),0,1)</f>
        <v>1</v>
      </c>
    </row>
    <row r="16494" spans="1:12" x14ac:dyDescent="0.2">
      <c r="A16494" t="s">
        <v>587</v>
      </c>
      <c r="B16494" t="s">
        <v>17</v>
      </c>
      <c r="C16494" t="s">
        <v>9</v>
      </c>
      <c r="D16494">
        <v>3997</v>
      </c>
      <c r="E16494">
        <v>2021</v>
      </c>
      <c r="F16494">
        <v>10</v>
      </c>
      <c r="G16494">
        <v>16557</v>
      </c>
      <c r="H16494" s="1" t="s">
        <v>1827</v>
      </c>
      <c r="I16494">
        <v>0</v>
      </c>
      <c r="J16494">
        <f>IF($H16494=0,1,IF($I16494&lt;=1,2,0))</f>
        <v>2</v>
      </c>
      <c r="K16494">
        <v>9</v>
      </c>
      <c r="L16494">
        <f>IF(AND($J16494=0,$K16494=0),0,1)</f>
        <v>1</v>
      </c>
    </row>
    <row r="16495" spans="1:12" x14ac:dyDescent="0.2">
      <c r="A16495" t="s">
        <v>587</v>
      </c>
      <c r="B16495" t="s">
        <v>17</v>
      </c>
      <c r="C16495" t="s">
        <v>9</v>
      </c>
      <c r="D16495">
        <v>3997</v>
      </c>
      <c r="E16495">
        <v>2021</v>
      </c>
      <c r="F16495">
        <v>11</v>
      </c>
      <c r="G16495">
        <v>16558</v>
      </c>
      <c r="H16495" s="1" t="s">
        <v>1827</v>
      </c>
      <c r="I16495">
        <v>0</v>
      </c>
      <c r="J16495">
        <f>IF($H16495=0,1,IF($I16495&lt;=1,2,0))</f>
        <v>2</v>
      </c>
      <c r="K16495">
        <v>9</v>
      </c>
      <c r="L16495">
        <f>IF(AND($J16495=0,$K16495=0),0,1)</f>
        <v>1</v>
      </c>
    </row>
    <row r="16496" spans="1:12" x14ac:dyDescent="0.2">
      <c r="A16496" t="s">
        <v>587</v>
      </c>
      <c r="B16496" t="s">
        <v>17</v>
      </c>
      <c r="C16496" t="s">
        <v>9</v>
      </c>
      <c r="D16496">
        <v>3997</v>
      </c>
      <c r="E16496">
        <v>2021</v>
      </c>
      <c r="F16496">
        <v>12</v>
      </c>
      <c r="G16496">
        <v>16559</v>
      </c>
      <c r="H16496" s="1" t="s">
        <v>1827</v>
      </c>
      <c r="I16496">
        <v>0</v>
      </c>
      <c r="J16496">
        <f>IF($H16496=0,1,IF($I16496&lt;=1,2,0))</f>
        <v>2</v>
      </c>
      <c r="K16496">
        <v>9</v>
      </c>
      <c r="L16496">
        <f>IF(AND($J16496=0,$K16496=0),0,1)</f>
        <v>1</v>
      </c>
    </row>
    <row r="16497" spans="1:12" x14ac:dyDescent="0.2">
      <c r="A16497" t="s">
        <v>587</v>
      </c>
      <c r="B16497" t="s">
        <v>17</v>
      </c>
      <c r="C16497" t="s">
        <v>9</v>
      </c>
      <c r="D16497">
        <v>3997</v>
      </c>
      <c r="E16497">
        <v>2021</v>
      </c>
      <c r="F16497">
        <v>13</v>
      </c>
      <c r="G16497">
        <v>16560</v>
      </c>
      <c r="H16497" s="1" t="s">
        <v>1827</v>
      </c>
      <c r="I16497">
        <v>0</v>
      </c>
      <c r="J16497">
        <f>IF($H16497=0,1,IF($I16497&lt;=1,2,0))</f>
        <v>2</v>
      </c>
      <c r="K16497">
        <v>9</v>
      </c>
      <c r="L16497">
        <f>IF(AND($J16497=0,$K16497=0),0,1)</f>
        <v>1</v>
      </c>
    </row>
    <row r="16498" spans="1:12" x14ac:dyDescent="0.2">
      <c r="A16498" t="s">
        <v>587</v>
      </c>
      <c r="B16498" t="s">
        <v>17</v>
      </c>
      <c r="C16498" t="s">
        <v>9</v>
      </c>
      <c r="D16498">
        <v>3997</v>
      </c>
      <c r="E16498">
        <v>2021</v>
      </c>
      <c r="F16498">
        <v>15</v>
      </c>
      <c r="G16498">
        <v>16562</v>
      </c>
      <c r="H16498" s="1" t="s">
        <v>1827</v>
      </c>
      <c r="I16498">
        <v>0</v>
      </c>
      <c r="J16498">
        <f>IF($H16498=0,1,IF($I16498&lt;=1,2,0))</f>
        <v>2</v>
      </c>
      <c r="K16498">
        <v>9</v>
      </c>
      <c r="L16498">
        <f>IF(AND($J16498=0,$K16498=0),0,1)</f>
        <v>1</v>
      </c>
    </row>
    <row r="16499" spans="1:12" x14ac:dyDescent="0.2">
      <c r="A16499" t="s">
        <v>587</v>
      </c>
      <c r="B16499" t="s">
        <v>17</v>
      </c>
      <c r="C16499" t="s">
        <v>9</v>
      </c>
      <c r="D16499">
        <v>3997</v>
      </c>
      <c r="E16499">
        <v>2021</v>
      </c>
      <c r="F16499">
        <v>16</v>
      </c>
      <c r="G16499">
        <v>16564</v>
      </c>
      <c r="H16499" s="1" t="s">
        <v>1827</v>
      </c>
      <c r="I16499">
        <v>0</v>
      </c>
      <c r="J16499">
        <f>IF($H16499=0,1,IF($I16499&lt;=1,2,0))</f>
        <v>2</v>
      </c>
      <c r="K16499">
        <v>9</v>
      </c>
      <c r="L16499">
        <f>IF(AND($J16499=0,$K16499=0),0,1)</f>
        <v>1</v>
      </c>
    </row>
    <row r="16500" spans="1:12" x14ac:dyDescent="0.2">
      <c r="A16500" t="s">
        <v>587</v>
      </c>
      <c r="B16500" t="s">
        <v>17</v>
      </c>
      <c r="C16500" t="s">
        <v>9</v>
      </c>
      <c r="D16500">
        <v>3997</v>
      </c>
      <c r="E16500">
        <v>2021</v>
      </c>
      <c r="F16500">
        <v>17</v>
      </c>
      <c r="G16500">
        <v>16566</v>
      </c>
      <c r="H16500" s="1" t="s">
        <v>1827</v>
      </c>
      <c r="I16500">
        <v>0</v>
      </c>
      <c r="J16500">
        <f>IF($H16500=0,1,IF($I16500&lt;=1,2,0))</f>
        <v>2</v>
      </c>
      <c r="K16500">
        <v>9</v>
      </c>
      <c r="L16500">
        <f>IF(AND($J16500=0,$K16500=0),0,1)</f>
        <v>1</v>
      </c>
    </row>
    <row r="16501" spans="1:12" x14ac:dyDescent="0.2">
      <c r="A16501" t="s">
        <v>587</v>
      </c>
      <c r="B16501" t="s">
        <v>17</v>
      </c>
      <c r="C16501" t="s">
        <v>9</v>
      </c>
      <c r="D16501">
        <v>3997</v>
      </c>
      <c r="E16501">
        <v>2021</v>
      </c>
      <c r="F16501">
        <v>19</v>
      </c>
      <c r="G16501">
        <v>16568</v>
      </c>
      <c r="H16501" s="1" t="s">
        <v>1827</v>
      </c>
      <c r="I16501">
        <v>0</v>
      </c>
      <c r="J16501">
        <f>IF($H16501=0,1,IF($I16501&lt;=1,2,0))</f>
        <v>2</v>
      </c>
      <c r="K16501">
        <v>9</v>
      </c>
      <c r="L16501">
        <f>IF(AND($J16501=0,$K16501=0),0,1)</f>
        <v>1</v>
      </c>
    </row>
    <row r="16502" spans="1:12" x14ac:dyDescent="0.2">
      <c r="A16502" t="s">
        <v>587</v>
      </c>
      <c r="B16502" t="s">
        <v>17</v>
      </c>
      <c r="C16502" t="s">
        <v>9</v>
      </c>
      <c r="D16502">
        <v>3997</v>
      </c>
      <c r="E16502">
        <v>2021</v>
      </c>
      <c r="F16502">
        <v>20</v>
      </c>
      <c r="G16502">
        <v>18302</v>
      </c>
      <c r="H16502" s="1" t="s">
        <v>1827</v>
      </c>
      <c r="I16502">
        <v>0</v>
      </c>
      <c r="J16502">
        <f>IF($H16502=0,1,IF($I16502&lt;=1,2,0))</f>
        <v>2</v>
      </c>
      <c r="K16502">
        <v>9</v>
      </c>
      <c r="L16502">
        <f>IF(AND($J16502=0,$K16502=0),0,1)</f>
        <v>1</v>
      </c>
    </row>
    <row r="16503" spans="1:12" x14ac:dyDescent="0.2">
      <c r="A16503" t="s">
        <v>587</v>
      </c>
      <c r="B16503" t="s">
        <v>17</v>
      </c>
      <c r="C16503" t="s">
        <v>9</v>
      </c>
      <c r="D16503">
        <v>3997</v>
      </c>
      <c r="E16503">
        <v>2021</v>
      </c>
      <c r="F16503">
        <v>21</v>
      </c>
      <c r="G16503">
        <v>18479</v>
      </c>
      <c r="H16503" s="1" t="s">
        <v>1827</v>
      </c>
      <c r="I16503">
        <v>0</v>
      </c>
      <c r="J16503">
        <f>IF($H16503=0,1,IF($I16503&lt;=1,2,0))</f>
        <v>2</v>
      </c>
      <c r="K16503">
        <v>9</v>
      </c>
      <c r="L16503">
        <f>IF(AND($J16503=0,$K16503=0),0,1)</f>
        <v>1</v>
      </c>
    </row>
    <row r="16504" spans="1:12" x14ac:dyDescent="0.2">
      <c r="A16504" t="s">
        <v>587</v>
      </c>
      <c r="B16504" t="s">
        <v>17</v>
      </c>
      <c r="C16504" t="s">
        <v>9</v>
      </c>
      <c r="D16504">
        <v>3997</v>
      </c>
      <c r="E16504">
        <v>2021</v>
      </c>
      <c r="F16504">
        <v>22</v>
      </c>
      <c r="G16504">
        <v>861</v>
      </c>
      <c r="H16504" s="1" t="s">
        <v>1827</v>
      </c>
      <c r="I16504">
        <v>0</v>
      </c>
      <c r="J16504">
        <f>IF($H16504=0,1,IF($I16504&lt;=1,2,0))</f>
        <v>2</v>
      </c>
      <c r="K16504">
        <v>9</v>
      </c>
      <c r="L16504">
        <f>IF(AND($J16504=0,$K16504=0),0,1)</f>
        <v>1</v>
      </c>
    </row>
    <row r="16505" spans="1:12" x14ac:dyDescent="0.2">
      <c r="A16505" t="s">
        <v>587</v>
      </c>
      <c r="B16505" t="s">
        <v>17</v>
      </c>
      <c r="C16505" t="s">
        <v>9</v>
      </c>
      <c r="D16505">
        <v>3998</v>
      </c>
      <c r="E16505">
        <v>2021</v>
      </c>
      <c r="F16505">
        <v>14</v>
      </c>
      <c r="G16505">
        <v>16583</v>
      </c>
      <c r="H16505" s="1" t="s">
        <v>1827</v>
      </c>
      <c r="I16505">
        <v>2</v>
      </c>
      <c r="J16505">
        <f>IF($H16505=0,1,IF($I16505&lt;=1,2,0))</f>
        <v>0</v>
      </c>
      <c r="K16505">
        <v>9</v>
      </c>
      <c r="L16505">
        <f>IF(AND($J16505=0,$K16505=0),0,1)</f>
        <v>1</v>
      </c>
    </row>
    <row r="16506" spans="1:12" x14ac:dyDescent="0.2">
      <c r="A16506" t="s">
        <v>587</v>
      </c>
      <c r="B16506" t="s">
        <v>17</v>
      </c>
      <c r="C16506" t="s">
        <v>9</v>
      </c>
      <c r="D16506">
        <v>3998</v>
      </c>
      <c r="E16506">
        <v>2021</v>
      </c>
      <c r="F16506">
        <v>3</v>
      </c>
      <c r="G16506">
        <v>16571</v>
      </c>
      <c r="H16506" s="1" t="s">
        <v>1827</v>
      </c>
      <c r="I16506">
        <v>1</v>
      </c>
      <c r="J16506">
        <f>IF($H16506=0,1,IF($I16506&lt;=1,2,0))</f>
        <v>2</v>
      </c>
      <c r="K16506">
        <v>9</v>
      </c>
      <c r="L16506">
        <f>IF(AND($J16506=0,$K16506=0),0,1)</f>
        <v>1</v>
      </c>
    </row>
    <row r="16507" spans="1:12" x14ac:dyDescent="0.2">
      <c r="A16507" t="s">
        <v>587</v>
      </c>
      <c r="B16507" t="s">
        <v>17</v>
      </c>
      <c r="C16507" t="s">
        <v>9</v>
      </c>
      <c r="D16507">
        <v>3998</v>
      </c>
      <c r="E16507">
        <v>2021</v>
      </c>
      <c r="F16507">
        <v>10</v>
      </c>
      <c r="G16507">
        <v>16579</v>
      </c>
      <c r="H16507" s="1" t="s">
        <v>1827</v>
      </c>
      <c r="I16507">
        <v>1</v>
      </c>
      <c r="J16507">
        <f>IF($H16507=0,1,IF($I16507&lt;=1,2,0))</f>
        <v>2</v>
      </c>
      <c r="K16507">
        <v>9</v>
      </c>
      <c r="L16507">
        <f>IF(AND($J16507=0,$K16507=0),0,1)</f>
        <v>1</v>
      </c>
    </row>
    <row r="16508" spans="1:12" x14ac:dyDescent="0.2">
      <c r="A16508" t="s">
        <v>587</v>
      </c>
      <c r="B16508" t="s">
        <v>17</v>
      </c>
      <c r="C16508" t="s">
        <v>9</v>
      </c>
      <c r="D16508">
        <v>3998</v>
      </c>
      <c r="E16508">
        <v>2021</v>
      </c>
      <c r="F16508">
        <v>1</v>
      </c>
      <c r="G16508">
        <v>16569</v>
      </c>
      <c r="H16508" s="1" t="s">
        <v>1827</v>
      </c>
      <c r="I16508">
        <v>0</v>
      </c>
      <c r="J16508">
        <f>IF($H16508=0,1,IF($I16508&lt;=1,2,0))</f>
        <v>2</v>
      </c>
      <c r="K16508">
        <v>9</v>
      </c>
      <c r="L16508">
        <f>IF(AND($J16508=0,$K16508=0),0,1)</f>
        <v>1</v>
      </c>
    </row>
    <row r="16509" spans="1:12" x14ac:dyDescent="0.2">
      <c r="A16509" t="s">
        <v>587</v>
      </c>
      <c r="B16509" t="s">
        <v>17</v>
      </c>
      <c r="C16509" t="s">
        <v>9</v>
      </c>
      <c r="D16509">
        <v>3998</v>
      </c>
      <c r="E16509">
        <v>2021</v>
      </c>
      <c r="F16509">
        <v>2</v>
      </c>
      <c r="G16509">
        <v>16570</v>
      </c>
      <c r="H16509" s="1" t="s">
        <v>1827</v>
      </c>
      <c r="I16509">
        <v>0</v>
      </c>
      <c r="J16509">
        <f>IF($H16509=0,1,IF($I16509&lt;=1,2,0))</f>
        <v>2</v>
      </c>
      <c r="K16509">
        <v>9</v>
      </c>
      <c r="L16509">
        <f>IF(AND($J16509=0,$K16509=0),0,1)</f>
        <v>1</v>
      </c>
    </row>
    <row r="16510" spans="1:12" x14ac:dyDescent="0.2">
      <c r="A16510" t="s">
        <v>587</v>
      </c>
      <c r="B16510" t="s">
        <v>17</v>
      </c>
      <c r="C16510" t="s">
        <v>9</v>
      </c>
      <c r="D16510">
        <v>3998</v>
      </c>
      <c r="E16510">
        <v>2021</v>
      </c>
      <c r="F16510">
        <v>4</v>
      </c>
      <c r="G16510">
        <v>16572</v>
      </c>
      <c r="H16510" s="1" t="s">
        <v>1827</v>
      </c>
      <c r="I16510">
        <v>0</v>
      </c>
      <c r="J16510">
        <f>IF($H16510=0,1,IF($I16510&lt;=1,2,0))</f>
        <v>2</v>
      </c>
      <c r="K16510">
        <v>9</v>
      </c>
      <c r="L16510">
        <f>IF(AND($J16510=0,$K16510=0),0,1)</f>
        <v>1</v>
      </c>
    </row>
    <row r="16511" spans="1:12" x14ac:dyDescent="0.2">
      <c r="A16511" t="s">
        <v>587</v>
      </c>
      <c r="B16511" t="s">
        <v>17</v>
      </c>
      <c r="C16511" t="s">
        <v>9</v>
      </c>
      <c r="D16511">
        <v>3998</v>
      </c>
      <c r="E16511">
        <v>2021</v>
      </c>
      <c r="F16511">
        <v>5</v>
      </c>
      <c r="G16511">
        <v>16573</v>
      </c>
      <c r="H16511" s="1" t="s">
        <v>1827</v>
      </c>
      <c r="I16511">
        <v>0</v>
      </c>
      <c r="J16511">
        <f>IF($H16511=0,1,IF($I16511&lt;=1,2,0))</f>
        <v>2</v>
      </c>
      <c r="K16511">
        <v>9</v>
      </c>
      <c r="L16511">
        <f>IF(AND($J16511=0,$K16511=0),0,1)</f>
        <v>1</v>
      </c>
    </row>
    <row r="16512" spans="1:12" x14ac:dyDescent="0.2">
      <c r="A16512" t="s">
        <v>587</v>
      </c>
      <c r="B16512" t="s">
        <v>17</v>
      </c>
      <c r="C16512" t="s">
        <v>9</v>
      </c>
      <c r="D16512">
        <v>3998</v>
      </c>
      <c r="E16512">
        <v>2021</v>
      </c>
      <c r="F16512">
        <v>6</v>
      </c>
      <c r="G16512">
        <v>16574</v>
      </c>
      <c r="H16512" s="1" t="s">
        <v>1827</v>
      </c>
      <c r="I16512">
        <v>0</v>
      </c>
      <c r="J16512">
        <f>IF($H16512=0,1,IF($I16512&lt;=1,2,0))</f>
        <v>2</v>
      </c>
      <c r="K16512">
        <v>9</v>
      </c>
      <c r="L16512">
        <f>IF(AND($J16512=0,$K16512=0),0,1)</f>
        <v>1</v>
      </c>
    </row>
    <row r="16513" spans="1:12" x14ac:dyDescent="0.2">
      <c r="A16513" t="s">
        <v>587</v>
      </c>
      <c r="B16513" t="s">
        <v>17</v>
      </c>
      <c r="C16513" t="s">
        <v>9</v>
      </c>
      <c r="D16513">
        <v>3998</v>
      </c>
      <c r="E16513">
        <v>2021</v>
      </c>
      <c r="F16513">
        <v>7</v>
      </c>
      <c r="G16513">
        <v>16575</v>
      </c>
      <c r="H16513" s="1" t="s">
        <v>1827</v>
      </c>
      <c r="I16513">
        <v>0</v>
      </c>
      <c r="J16513">
        <f>IF($H16513=0,1,IF($I16513&lt;=1,2,0))</f>
        <v>2</v>
      </c>
      <c r="K16513">
        <v>9</v>
      </c>
      <c r="L16513">
        <f>IF(AND($J16513=0,$K16513=0),0,1)</f>
        <v>1</v>
      </c>
    </row>
    <row r="16514" spans="1:12" x14ac:dyDescent="0.2">
      <c r="A16514" t="s">
        <v>587</v>
      </c>
      <c r="B16514" t="s">
        <v>17</v>
      </c>
      <c r="C16514" t="s">
        <v>9</v>
      </c>
      <c r="D16514">
        <v>3998</v>
      </c>
      <c r="E16514">
        <v>2021</v>
      </c>
      <c r="F16514">
        <v>8</v>
      </c>
      <c r="G16514">
        <v>16576</v>
      </c>
      <c r="H16514" s="1" t="s">
        <v>1827</v>
      </c>
      <c r="I16514">
        <v>0</v>
      </c>
      <c r="J16514">
        <f>IF($H16514=0,1,IF($I16514&lt;=1,2,0))</f>
        <v>2</v>
      </c>
      <c r="K16514">
        <v>9</v>
      </c>
      <c r="L16514">
        <f>IF(AND($J16514=0,$K16514=0),0,1)</f>
        <v>1</v>
      </c>
    </row>
    <row r="16515" spans="1:12" x14ac:dyDescent="0.2">
      <c r="A16515" t="s">
        <v>587</v>
      </c>
      <c r="B16515" t="s">
        <v>17</v>
      </c>
      <c r="C16515" t="s">
        <v>9</v>
      </c>
      <c r="D16515">
        <v>3998</v>
      </c>
      <c r="E16515">
        <v>2021</v>
      </c>
      <c r="F16515">
        <v>9</v>
      </c>
      <c r="G16515">
        <v>16577</v>
      </c>
      <c r="H16515" s="1" t="s">
        <v>1827</v>
      </c>
      <c r="I16515">
        <v>0</v>
      </c>
      <c r="J16515">
        <f>IF($H16515=0,1,IF($I16515&lt;=1,2,0))</f>
        <v>2</v>
      </c>
      <c r="K16515">
        <v>9</v>
      </c>
      <c r="L16515">
        <f>IF(AND($J16515=0,$K16515=0),0,1)</f>
        <v>1</v>
      </c>
    </row>
    <row r="16516" spans="1:12" x14ac:dyDescent="0.2">
      <c r="A16516" t="s">
        <v>587</v>
      </c>
      <c r="B16516" t="s">
        <v>17</v>
      </c>
      <c r="C16516" t="s">
        <v>9</v>
      </c>
      <c r="D16516">
        <v>3998</v>
      </c>
      <c r="E16516">
        <v>2021</v>
      </c>
      <c r="F16516">
        <v>11</v>
      </c>
      <c r="G16516">
        <v>16580</v>
      </c>
      <c r="H16516" s="1" t="s">
        <v>1827</v>
      </c>
      <c r="I16516">
        <v>0</v>
      </c>
      <c r="J16516">
        <f>IF($H16516=0,1,IF($I16516&lt;=1,2,0))</f>
        <v>2</v>
      </c>
      <c r="K16516">
        <v>9</v>
      </c>
      <c r="L16516">
        <f>IF(AND($J16516=0,$K16516=0),0,1)</f>
        <v>1</v>
      </c>
    </row>
    <row r="16517" spans="1:12" x14ac:dyDescent="0.2">
      <c r="A16517" t="s">
        <v>587</v>
      </c>
      <c r="B16517" t="s">
        <v>17</v>
      </c>
      <c r="C16517" t="s">
        <v>9</v>
      </c>
      <c r="D16517">
        <v>3998</v>
      </c>
      <c r="E16517">
        <v>2021</v>
      </c>
      <c r="F16517">
        <v>12</v>
      </c>
      <c r="G16517">
        <v>16581</v>
      </c>
      <c r="H16517" s="1" t="s">
        <v>1827</v>
      </c>
      <c r="I16517">
        <v>0</v>
      </c>
      <c r="J16517">
        <f>IF($H16517=0,1,IF($I16517&lt;=1,2,0))</f>
        <v>2</v>
      </c>
      <c r="K16517">
        <v>9</v>
      </c>
      <c r="L16517">
        <f>IF(AND($J16517=0,$K16517=0),0,1)</f>
        <v>1</v>
      </c>
    </row>
    <row r="16518" spans="1:12" x14ac:dyDescent="0.2">
      <c r="A16518" t="s">
        <v>587</v>
      </c>
      <c r="B16518" t="s">
        <v>17</v>
      </c>
      <c r="C16518" t="s">
        <v>9</v>
      </c>
      <c r="D16518">
        <v>3998</v>
      </c>
      <c r="E16518">
        <v>2021</v>
      </c>
      <c r="F16518">
        <v>13</v>
      </c>
      <c r="G16518">
        <v>16582</v>
      </c>
      <c r="H16518" s="1" t="s">
        <v>1827</v>
      </c>
      <c r="I16518">
        <v>0</v>
      </c>
      <c r="J16518">
        <f>IF($H16518=0,1,IF($I16518&lt;=1,2,0))</f>
        <v>2</v>
      </c>
      <c r="K16518">
        <v>9</v>
      </c>
      <c r="L16518">
        <f>IF(AND($J16518=0,$K16518=0),0,1)</f>
        <v>1</v>
      </c>
    </row>
    <row r="16519" spans="1:12" x14ac:dyDescent="0.2">
      <c r="A16519" t="s">
        <v>587</v>
      </c>
      <c r="B16519" t="s">
        <v>17</v>
      </c>
      <c r="C16519" t="s">
        <v>9</v>
      </c>
      <c r="D16519">
        <v>3998</v>
      </c>
      <c r="E16519">
        <v>2021</v>
      </c>
      <c r="F16519">
        <v>15</v>
      </c>
      <c r="G16519">
        <v>16585</v>
      </c>
      <c r="H16519" s="1" t="s">
        <v>1827</v>
      </c>
      <c r="I16519">
        <v>0</v>
      </c>
      <c r="J16519">
        <f>IF($H16519=0,1,IF($I16519&lt;=1,2,0))</f>
        <v>2</v>
      </c>
      <c r="K16519">
        <v>9</v>
      </c>
      <c r="L16519">
        <f>IF(AND($J16519=0,$K16519=0),0,1)</f>
        <v>1</v>
      </c>
    </row>
    <row r="16520" spans="1:12" x14ac:dyDescent="0.2">
      <c r="A16520" t="s">
        <v>587</v>
      </c>
      <c r="B16520" t="s">
        <v>17</v>
      </c>
      <c r="C16520" t="s">
        <v>9</v>
      </c>
      <c r="D16520">
        <v>3998</v>
      </c>
      <c r="E16520">
        <v>2021</v>
      </c>
      <c r="F16520">
        <v>16</v>
      </c>
      <c r="G16520">
        <v>16587</v>
      </c>
      <c r="H16520" s="1" t="s">
        <v>1827</v>
      </c>
      <c r="I16520">
        <v>0</v>
      </c>
      <c r="J16520">
        <f>IF($H16520=0,1,IF($I16520&lt;=1,2,0))</f>
        <v>2</v>
      </c>
      <c r="K16520">
        <v>9</v>
      </c>
      <c r="L16520">
        <f>IF(AND($J16520=0,$K16520=0),0,1)</f>
        <v>1</v>
      </c>
    </row>
    <row r="16521" spans="1:12" x14ac:dyDescent="0.2">
      <c r="A16521" t="s">
        <v>587</v>
      </c>
      <c r="B16521" t="s">
        <v>17</v>
      </c>
      <c r="C16521" t="s">
        <v>9</v>
      </c>
      <c r="D16521">
        <v>3998</v>
      </c>
      <c r="E16521">
        <v>2021</v>
      </c>
      <c r="F16521">
        <v>17</v>
      </c>
      <c r="G16521">
        <v>16588</v>
      </c>
      <c r="H16521" s="1" t="s">
        <v>1827</v>
      </c>
      <c r="I16521">
        <v>0</v>
      </c>
      <c r="J16521">
        <f>IF($H16521=0,1,IF($I16521&lt;=1,2,0))</f>
        <v>2</v>
      </c>
      <c r="K16521">
        <v>9</v>
      </c>
      <c r="L16521">
        <f>IF(AND($J16521=0,$K16521=0),0,1)</f>
        <v>1</v>
      </c>
    </row>
    <row r="16522" spans="1:12" x14ac:dyDescent="0.2">
      <c r="A16522" t="s">
        <v>587</v>
      </c>
      <c r="B16522" t="s">
        <v>17</v>
      </c>
      <c r="C16522" t="s">
        <v>9</v>
      </c>
      <c r="D16522">
        <v>3998</v>
      </c>
      <c r="E16522">
        <v>2021</v>
      </c>
      <c r="F16522">
        <v>18</v>
      </c>
      <c r="G16522">
        <v>16589</v>
      </c>
      <c r="H16522" s="1" t="s">
        <v>1827</v>
      </c>
      <c r="I16522">
        <v>0</v>
      </c>
      <c r="J16522">
        <f>IF($H16522=0,1,IF($I16522&lt;=1,2,0))</f>
        <v>2</v>
      </c>
      <c r="K16522">
        <v>9</v>
      </c>
      <c r="L16522">
        <f>IF(AND($J16522=0,$K16522=0),0,1)</f>
        <v>1</v>
      </c>
    </row>
    <row r="16523" spans="1:12" x14ac:dyDescent="0.2">
      <c r="A16523" t="s">
        <v>587</v>
      </c>
      <c r="B16523" t="s">
        <v>17</v>
      </c>
      <c r="C16523" t="s">
        <v>9</v>
      </c>
      <c r="D16523">
        <v>3998</v>
      </c>
      <c r="E16523">
        <v>2021</v>
      </c>
      <c r="F16523">
        <v>19</v>
      </c>
      <c r="G16523">
        <v>16590</v>
      </c>
      <c r="H16523" s="1" t="s">
        <v>1827</v>
      </c>
      <c r="I16523">
        <v>0</v>
      </c>
      <c r="J16523">
        <f>IF($H16523=0,1,IF($I16523&lt;=1,2,0))</f>
        <v>2</v>
      </c>
      <c r="K16523">
        <v>9</v>
      </c>
      <c r="L16523">
        <f>IF(AND($J16523=0,$K16523=0),0,1)</f>
        <v>1</v>
      </c>
    </row>
    <row r="16524" spans="1:12" x14ac:dyDescent="0.2">
      <c r="A16524" t="s">
        <v>587</v>
      </c>
      <c r="B16524" t="s">
        <v>17</v>
      </c>
      <c r="C16524" t="s">
        <v>9</v>
      </c>
      <c r="D16524">
        <v>3998</v>
      </c>
      <c r="E16524">
        <v>2021</v>
      </c>
      <c r="F16524">
        <v>21</v>
      </c>
      <c r="G16524">
        <v>18480</v>
      </c>
      <c r="H16524" s="1" t="s">
        <v>1827</v>
      </c>
      <c r="I16524">
        <v>0</v>
      </c>
      <c r="J16524">
        <f>IF($H16524=0,1,IF($I16524&lt;=1,2,0))</f>
        <v>2</v>
      </c>
      <c r="K16524">
        <v>9</v>
      </c>
      <c r="L16524">
        <f>IF(AND($J16524=0,$K16524=0),0,1)</f>
        <v>1</v>
      </c>
    </row>
    <row r="16525" spans="1:12" x14ac:dyDescent="0.2">
      <c r="A16525" t="s">
        <v>587</v>
      </c>
      <c r="B16525" t="s">
        <v>17</v>
      </c>
      <c r="C16525" t="s">
        <v>2</v>
      </c>
      <c r="D16525">
        <v>4050</v>
      </c>
      <c r="E16525">
        <v>2021</v>
      </c>
      <c r="F16525">
        <v>1</v>
      </c>
      <c r="G16525">
        <v>200</v>
      </c>
      <c r="H16525" s="1">
        <v>3</v>
      </c>
      <c r="I16525">
        <v>6</v>
      </c>
      <c r="J16525">
        <f>IF($H16525=0,1,IF($I16525&lt;=1,2,0))</f>
        <v>0</v>
      </c>
      <c r="K16525">
        <v>7</v>
      </c>
      <c r="L16525">
        <f>IF(AND($J16525=0,$K16525=0),0,1)</f>
        <v>1</v>
      </c>
    </row>
    <row r="16526" spans="1:12" x14ac:dyDescent="0.2">
      <c r="A16526" t="s">
        <v>587</v>
      </c>
      <c r="B16526" t="s">
        <v>17</v>
      </c>
      <c r="C16526" t="s">
        <v>2</v>
      </c>
      <c r="D16526">
        <v>4051</v>
      </c>
      <c r="E16526">
        <v>2021</v>
      </c>
      <c r="F16526">
        <v>1</v>
      </c>
      <c r="G16526">
        <v>201</v>
      </c>
      <c r="H16526" s="1">
        <v>3</v>
      </c>
      <c r="I16526">
        <v>2</v>
      </c>
      <c r="J16526">
        <f>IF($H16526=0,1,IF($I16526&lt;=1,2,0))</f>
        <v>0</v>
      </c>
      <c r="K16526">
        <v>7</v>
      </c>
      <c r="L16526">
        <f>IF(AND($J16526=0,$K16526=0),0,1)</f>
        <v>1</v>
      </c>
    </row>
    <row r="16527" spans="1:12" x14ac:dyDescent="0.2">
      <c r="A16527" t="s">
        <v>587</v>
      </c>
      <c r="B16527" t="s">
        <v>17</v>
      </c>
      <c r="C16527" t="s">
        <v>11</v>
      </c>
      <c r="D16527">
        <v>9001</v>
      </c>
      <c r="E16527">
        <v>2021</v>
      </c>
      <c r="F16527">
        <v>7</v>
      </c>
      <c r="G16527">
        <v>16597</v>
      </c>
      <c r="H16527" s="1" t="s">
        <v>1835</v>
      </c>
      <c r="I16527">
        <v>3</v>
      </c>
      <c r="J16527">
        <f>IF($H16527=0,1,IF($I16527&lt;=1,2,0))</f>
        <v>0</v>
      </c>
      <c r="K16527">
        <v>5</v>
      </c>
      <c r="L16527">
        <f>IF(AND($J16527=0,$K16527=0),0,1)</f>
        <v>1</v>
      </c>
    </row>
    <row r="16528" spans="1:12" x14ac:dyDescent="0.2">
      <c r="A16528" t="s">
        <v>587</v>
      </c>
      <c r="B16528" t="s">
        <v>17</v>
      </c>
      <c r="C16528" t="s">
        <v>11</v>
      </c>
      <c r="D16528">
        <v>9001</v>
      </c>
      <c r="E16528">
        <v>2021</v>
      </c>
      <c r="F16528">
        <v>19</v>
      </c>
      <c r="G16528">
        <v>16613</v>
      </c>
      <c r="H16528" s="1" t="s">
        <v>1835</v>
      </c>
      <c r="I16528">
        <v>2</v>
      </c>
      <c r="J16528">
        <f>IF($H16528=0,1,IF($I16528&lt;=1,2,0))</f>
        <v>0</v>
      </c>
      <c r="K16528">
        <v>5</v>
      </c>
      <c r="L16528">
        <f>IF(AND($J16528=0,$K16528=0),0,1)</f>
        <v>1</v>
      </c>
    </row>
    <row r="16529" spans="1:12" x14ac:dyDescent="0.2">
      <c r="A16529" t="s">
        <v>587</v>
      </c>
      <c r="B16529" t="s">
        <v>17</v>
      </c>
      <c r="C16529" t="s">
        <v>11</v>
      </c>
      <c r="D16529">
        <v>9001</v>
      </c>
      <c r="E16529">
        <v>2021</v>
      </c>
      <c r="F16529">
        <v>1</v>
      </c>
      <c r="G16529">
        <v>16591</v>
      </c>
      <c r="H16529" s="1" t="s">
        <v>1835</v>
      </c>
      <c r="I16529">
        <v>1</v>
      </c>
      <c r="J16529">
        <f>IF($H16529=0,1,IF($I16529&lt;=1,2,0))</f>
        <v>2</v>
      </c>
      <c r="K16529">
        <v>5</v>
      </c>
      <c r="L16529">
        <f>IF(AND($J16529=0,$K16529=0),0,1)</f>
        <v>1</v>
      </c>
    </row>
    <row r="16530" spans="1:12" x14ac:dyDescent="0.2">
      <c r="A16530" t="s">
        <v>587</v>
      </c>
      <c r="B16530" t="s">
        <v>17</v>
      </c>
      <c r="C16530" t="s">
        <v>11</v>
      </c>
      <c r="D16530">
        <v>9001</v>
      </c>
      <c r="E16530">
        <v>2021</v>
      </c>
      <c r="F16530">
        <v>4</v>
      </c>
      <c r="G16530">
        <v>16594</v>
      </c>
      <c r="H16530" s="1" t="s">
        <v>1835</v>
      </c>
      <c r="I16530">
        <v>1</v>
      </c>
      <c r="J16530">
        <f>IF($H16530=0,1,IF($I16530&lt;=1,2,0))</f>
        <v>2</v>
      </c>
      <c r="K16530">
        <v>5</v>
      </c>
      <c r="L16530">
        <f>IF(AND($J16530=0,$K16530=0),0,1)</f>
        <v>1</v>
      </c>
    </row>
    <row r="16531" spans="1:12" x14ac:dyDescent="0.2">
      <c r="A16531" t="s">
        <v>587</v>
      </c>
      <c r="B16531" t="s">
        <v>17</v>
      </c>
      <c r="C16531" t="s">
        <v>11</v>
      </c>
      <c r="D16531">
        <v>9001</v>
      </c>
      <c r="E16531">
        <v>2021</v>
      </c>
      <c r="F16531">
        <v>10</v>
      </c>
      <c r="G16531">
        <v>16603</v>
      </c>
      <c r="H16531" s="1" t="s">
        <v>1835</v>
      </c>
      <c r="I16531">
        <v>1</v>
      </c>
      <c r="J16531">
        <f>IF($H16531=0,1,IF($I16531&lt;=1,2,0))</f>
        <v>2</v>
      </c>
      <c r="K16531">
        <v>5</v>
      </c>
      <c r="L16531">
        <f>IF(AND($J16531=0,$K16531=0),0,1)</f>
        <v>1</v>
      </c>
    </row>
    <row r="16532" spans="1:12" x14ac:dyDescent="0.2">
      <c r="A16532" t="s">
        <v>587</v>
      </c>
      <c r="B16532" t="s">
        <v>17</v>
      </c>
      <c r="C16532" t="s">
        <v>11</v>
      </c>
      <c r="D16532">
        <v>9001</v>
      </c>
      <c r="E16532">
        <v>2021</v>
      </c>
      <c r="F16532">
        <v>17</v>
      </c>
      <c r="G16532">
        <v>16611</v>
      </c>
      <c r="H16532" s="1" t="s">
        <v>1835</v>
      </c>
      <c r="I16532">
        <v>1</v>
      </c>
      <c r="J16532">
        <f>IF($H16532=0,1,IF($I16532&lt;=1,2,0))</f>
        <v>2</v>
      </c>
      <c r="K16532">
        <v>5</v>
      </c>
      <c r="L16532">
        <f>IF(AND($J16532=0,$K16532=0),0,1)</f>
        <v>1</v>
      </c>
    </row>
    <row r="16533" spans="1:12" x14ac:dyDescent="0.2">
      <c r="A16533" t="s">
        <v>587</v>
      </c>
      <c r="B16533" t="s">
        <v>17</v>
      </c>
      <c r="C16533" t="s">
        <v>11</v>
      </c>
      <c r="D16533">
        <v>9001</v>
      </c>
      <c r="E16533">
        <v>2021</v>
      </c>
      <c r="F16533">
        <v>23</v>
      </c>
      <c r="G16533">
        <v>16617</v>
      </c>
      <c r="H16533" s="1" t="s">
        <v>1835</v>
      </c>
      <c r="I16533">
        <v>1</v>
      </c>
      <c r="J16533">
        <f>IF($H16533=0,1,IF($I16533&lt;=1,2,0))</f>
        <v>2</v>
      </c>
      <c r="K16533">
        <v>5</v>
      </c>
      <c r="L16533">
        <f>IF(AND($J16533=0,$K16533=0),0,1)</f>
        <v>1</v>
      </c>
    </row>
    <row r="16534" spans="1:12" x14ac:dyDescent="0.2">
      <c r="A16534" t="s">
        <v>587</v>
      </c>
      <c r="B16534" t="s">
        <v>17</v>
      </c>
      <c r="C16534" t="s">
        <v>11</v>
      </c>
      <c r="D16534">
        <v>9001</v>
      </c>
      <c r="E16534">
        <v>2021</v>
      </c>
      <c r="F16534">
        <v>24</v>
      </c>
      <c r="G16534">
        <v>16619</v>
      </c>
      <c r="H16534" s="1" t="s">
        <v>1835</v>
      </c>
      <c r="I16534">
        <v>1</v>
      </c>
      <c r="J16534">
        <f>IF($H16534=0,1,IF($I16534&lt;=1,2,0))</f>
        <v>2</v>
      </c>
      <c r="K16534">
        <v>5</v>
      </c>
      <c r="L16534">
        <f>IF(AND($J16534=0,$K16534=0),0,1)</f>
        <v>1</v>
      </c>
    </row>
    <row r="16535" spans="1:12" x14ac:dyDescent="0.2">
      <c r="A16535" t="s">
        <v>587</v>
      </c>
      <c r="B16535" t="s">
        <v>17</v>
      </c>
      <c r="C16535" t="s">
        <v>11</v>
      </c>
      <c r="D16535">
        <v>9001</v>
      </c>
      <c r="E16535">
        <v>2021</v>
      </c>
      <c r="F16535">
        <v>2</v>
      </c>
      <c r="G16535">
        <v>16592</v>
      </c>
      <c r="H16535" s="1" t="s">
        <v>1835</v>
      </c>
      <c r="I16535">
        <v>0</v>
      </c>
      <c r="J16535">
        <f>IF($H16535=0,1,IF($I16535&lt;=1,2,0))</f>
        <v>2</v>
      </c>
      <c r="K16535">
        <v>5</v>
      </c>
      <c r="L16535">
        <f>IF(AND($J16535=0,$K16535=0),0,1)</f>
        <v>1</v>
      </c>
    </row>
    <row r="16536" spans="1:12" x14ac:dyDescent="0.2">
      <c r="A16536" t="s">
        <v>587</v>
      </c>
      <c r="B16536" t="s">
        <v>17</v>
      </c>
      <c r="C16536" t="s">
        <v>11</v>
      </c>
      <c r="D16536">
        <v>9001</v>
      </c>
      <c r="E16536">
        <v>2021</v>
      </c>
      <c r="F16536">
        <v>3</v>
      </c>
      <c r="G16536">
        <v>16593</v>
      </c>
      <c r="H16536" s="1" t="s">
        <v>1835</v>
      </c>
      <c r="I16536">
        <v>0</v>
      </c>
      <c r="J16536">
        <f>IF($H16536=0,1,IF($I16536&lt;=1,2,0))</f>
        <v>2</v>
      </c>
      <c r="K16536">
        <v>5</v>
      </c>
      <c r="L16536">
        <f>IF(AND($J16536=0,$K16536=0),0,1)</f>
        <v>1</v>
      </c>
    </row>
    <row r="16537" spans="1:12" x14ac:dyDescent="0.2">
      <c r="A16537" t="s">
        <v>587</v>
      </c>
      <c r="B16537" t="s">
        <v>17</v>
      </c>
      <c r="C16537" t="s">
        <v>11</v>
      </c>
      <c r="D16537">
        <v>9001</v>
      </c>
      <c r="E16537">
        <v>2021</v>
      </c>
      <c r="F16537">
        <v>5</v>
      </c>
      <c r="G16537">
        <v>16595</v>
      </c>
      <c r="H16537" s="1" t="s">
        <v>1835</v>
      </c>
      <c r="I16537">
        <v>0</v>
      </c>
      <c r="J16537">
        <f>IF($H16537=0,1,IF($I16537&lt;=1,2,0))</f>
        <v>2</v>
      </c>
      <c r="K16537">
        <v>5</v>
      </c>
      <c r="L16537">
        <f>IF(AND($J16537=0,$K16537=0),0,1)</f>
        <v>1</v>
      </c>
    </row>
    <row r="16538" spans="1:12" x14ac:dyDescent="0.2">
      <c r="A16538" t="s">
        <v>587</v>
      </c>
      <c r="B16538" t="s">
        <v>17</v>
      </c>
      <c r="C16538" t="s">
        <v>11</v>
      </c>
      <c r="D16538">
        <v>9001</v>
      </c>
      <c r="E16538">
        <v>2021</v>
      </c>
      <c r="F16538">
        <v>6</v>
      </c>
      <c r="G16538">
        <v>16596</v>
      </c>
      <c r="H16538" s="1" t="s">
        <v>1835</v>
      </c>
      <c r="I16538">
        <v>0</v>
      </c>
      <c r="J16538">
        <f>IF($H16538=0,1,IF($I16538&lt;=1,2,0))</f>
        <v>2</v>
      </c>
      <c r="K16538">
        <v>5</v>
      </c>
      <c r="L16538">
        <f>IF(AND($J16538=0,$K16538=0),0,1)</f>
        <v>1</v>
      </c>
    </row>
    <row r="16539" spans="1:12" x14ac:dyDescent="0.2">
      <c r="A16539" t="s">
        <v>587</v>
      </c>
      <c r="B16539" t="s">
        <v>17</v>
      </c>
      <c r="C16539" t="s">
        <v>11</v>
      </c>
      <c r="D16539">
        <v>9001</v>
      </c>
      <c r="E16539">
        <v>2021</v>
      </c>
      <c r="F16539">
        <v>8</v>
      </c>
      <c r="G16539">
        <v>16599</v>
      </c>
      <c r="H16539" s="1" t="s">
        <v>1835</v>
      </c>
      <c r="I16539">
        <v>0</v>
      </c>
      <c r="J16539">
        <f>IF($H16539=0,1,IF($I16539&lt;=1,2,0))</f>
        <v>2</v>
      </c>
      <c r="K16539">
        <v>5</v>
      </c>
      <c r="L16539">
        <f>IF(AND($J16539=0,$K16539=0),0,1)</f>
        <v>1</v>
      </c>
    </row>
    <row r="16540" spans="1:12" x14ac:dyDescent="0.2">
      <c r="A16540" t="s">
        <v>587</v>
      </c>
      <c r="B16540" t="s">
        <v>17</v>
      </c>
      <c r="C16540" t="s">
        <v>11</v>
      </c>
      <c r="D16540">
        <v>9001</v>
      </c>
      <c r="E16540">
        <v>2021</v>
      </c>
      <c r="F16540">
        <v>9</v>
      </c>
      <c r="G16540">
        <v>16600</v>
      </c>
      <c r="H16540" s="1" t="s">
        <v>1835</v>
      </c>
      <c r="I16540">
        <v>0</v>
      </c>
      <c r="J16540">
        <f>IF($H16540=0,1,IF($I16540&lt;=1,2,0))</f>
        <v>2</v>
      </c>
      <c r="K16540">
        <v>5</v>
      </c>
      <c r="L16540">
        <f>IF(AND($J16540=0,$K16540=0),0,1)</f>
        <v>1</v>
      </c>
    </row>
    <row r="16541" spans="1:12" x14ac:dyDescent="0.2">
      <c r="A16541" t="s">
        <v>587</v>
      </c>
      <c r="B16541" t="s">
        <v>17</v>
      </c>
      <c r="C16541" t="s">
        <v>11</v>
      </c>
      <c r="D16541">
        <v>9001</v>
      </c>
      <c r="E16541">
        <v>2021</v>
      </c>
      <c r="F16541">
        <v>11</v>
      </c>
      <c r="G16541">
        <v>16604</v>
      </c>
      <c r="H16541" s="1" t="s">
        <v>1835</v>
      </c>
      <c r="I16541">
        <v>0</v>
      </c>
      <c r="J16541">
        <f>IF($H16541=0,1,IF($I16541&lt;=1,2,0))</f>
        <v>2</v>
      </c>
      <c r="K16541">
        <v>5</v>
      </c>
      <c r="L16541">
        <f>IF(AND($J16541=0,$K16541=0),0,1)</f>
        <v>1</v>
      </c>
    </row>
    <row r="16542" spans="1:12" x14ac:dyDescent="0.2">
      <c r="A16542" t="s">
        <v>587</v>
      </c>
      <c r="B16542" t="s">
        <v>17</v>
      </c>
      <c r="C16542" t="s">
        <v>11</v>
      </c>
      <c r="D16542">
        <v>9001</v>
      </c>
      <c r="E16542">
        <v>2021</v>
      </c>
      <c r="F16542">
        <v>12</v>
      </c>
      <c r="G16542">
        <v>16606</v>
      </c>
      <c r="H16542" s="1" t="s">
        <v>1835</v>
      </c>
      <c r="I16542">
        <v>0</v>
      </c>
      <c r="J16542">
        <f>IF($H16542=0,1,IF($I16542&lt;=1,2,0))</f>
        <v>2</v>
      </c>
      <c r="K16542">
        <v>5</v>
      </c>
      <c r="L16542">
        <f>IF(AND($J16542=0,$K16542=0),0,1)</f>
        <v>1</v>
      </c>
    </row>
    <row r="16543" spans="1:12" x14ac:dyDescent="0.2">
      <c r="A16543" t="s">
        <v>587</v>
      </c>
      <c r="B16543" t="s">
        <v>17</v>
      </c>
      <c r="C16543" t="s">
        <v>11</v>
      </c>
      <c r="D16543">
        <v>9001</v>
      </c>
      <c r="E16543">
        <v>2021</v>
      </c>
      <c r="F16543">
        <v>13</v>
      </c>
      <c r="G16543">
        <v>16607</v>
      </c>
      <c r="H16543" s="1" t="s">
        <v>1835</v>
      </c>
      <c r="I16543">
        <v>0</v>
      </c>
      <c r="J16543">
        <f>IF($H16543=0,1,IF($I16543&lt;=1,2,0))</f>
        <v>2</v>
      </c>
      <c r="K16543">
        <v>5</v>
      </c>
      <c r="L16543">
        <f>IF(AND($J16543=0,$K16543=0),0,1)</f>
        <v>1</v>
      </c>
    </row>
    <row r="16544" spans="1:12" x14ac:dyDescent="0.2">
      <c r="A16544" t="s">
        <v>587</v>
      </c>
      <c r="B16544" t="s">
        <v>17</v>
      </c>
      <c r="C16544" t="s">
        <v>11</v>
      </c>
      <c r="D16544">
        <v>9001</v>
      </c>
      <c r="E16544">
        <v>2021</v>
      </c>
      <c r="F16544">
        <v>14</v>
      </c>
      <c r="G16544">
        <v>16608</v>
      </c>
      <c r="H16544" s="1" t="s">
        <v>1835</v>
      </c>
      <c r="I16544">
        <v>0</v>
      </c>
      <c r="J16544">
        <f>IF($H16544=0,1,IF($I16544&lt;=1,2,0))</f>
        <v>2</v>
      </c>
      <c r="K16544">
        <v>5</v>
      </c>
      <c r="L16544">
        <f>IF(AND($J16544=0,$K16544=0),0,1)</f>
        <v>1</v>
      </c>
    </row>
    <row r="16545" spans="1:13" x14ac:dyDescent="0.2">
      <c r="A16545" t="s">
        <v>587</v>
      </c>
      <c r="B16545" t="s">
        <v>17</v>
      </c>
      <c r="C16545" t="s">
        <v>11</v>
      </c>
      <c r="D16545">
        <v>9001</v>
      </c>
      <c r="E16545">
        <v>2021</v>
      </c>
      <c r="F16545">
        <v>15</v>
      </c>
      <c r="G16545">
        <v>16609</v>
      </c>
      <c r="H16545" s="1" t="s">
        <v>1835</v>
      </c>
      <c r="I16545">
        <v>0</v>
      </c>
      <c r="J16545">
        <f>IF($H16545=0,1,IF($I16545&lt;=1,2,0))</f>
        <v>2</v>
      </c>
      <c r="K16545">
        <v>5</v>
      </c>
      <c r="L16545">
        <f>IF(AND($J16545=0,$K16545=0),0,1)</f>
        <v>1</v>
      </c>
    </row>
    <row r="16546" spans="1:13" x14ac:dyDescent="0.2">
      <c r="A16546" t="s">
        <v>587</v>
      </c>
      <c r="B16546" t="s">
        <v>17</v>
      </c>
      <c r="C16546" t="s">
        <v>11</v>
      </c>
      <c r="D16546">
        <v>9001</v>
      </c>
      <c r="E16546">
        <v>2021</v>
      </c>
      <c r="F16546">
        <v>16</v>
      </c>
      <c r="G16546">
        <v>16610</v>
      </c>
      <c r="H16546" s="1" t="s">
        <v>1835</v>
      </c>
      <c r="I16546">
        <v>0</v>
      </c>
      <c r="J16546">
        <f>IF($H16546=0,1,IF($I16546&lt;=1,2,0))</f>
        <v>2</v>
      </c>
      <c r="K16546">
        <v>5</v>
      </c>
      <c r="L16546">
        <f>IF(AND($J16546=0,$K16546=0),0,1)</f>
        <v>1</v>
      </c>
    </row>
    <row r="16547" spans="1:13" x14ac:dyDescent="0.2">
      <c r="A16547" t="s">
        <v>587</v>
      </c>
      <c r="B16547" t="s">
        <v>17</v>
      </c>
      <c r="C16547" t="s">
        <v>11</v>
      </c>
      <c r="D16547">
        <v>9001</v>
      </c>
      <c r="E16547">
        <v>2021</v>
      </c>
      <c r="F16547">
        <v>18</v>
      </c>
      <c r="G16547">
        <v>16612</v>
      </c>
      <c r="H16547" s="1" t="s">
        <v>1835</v>
      </c>
      <c r="I16547">
        <v>0</v>
      </c>
      <c r="J16547">
        <f>IF($H16547=0,1,IF($I16547&lt;=1,2,0))</f>
        <v>2</v>
      </c>
      <c r="K16547">
        <v>5</v>
      </c>
      <c r="L16547">
        <f>IF(AND($J16547=0,$K16547=0),0,1)</f>
        <v>1</v>
      </c>
    </row>
    <row r="16548" spans="1:13" x14ac:dyDescent="0.2">
      <c r="A16548" t="s">
        <v>587</v>
      </c>
      <c r="B16548" t="s">
        <v>17</v>
      </c>
      <c r="C16548" t="s">
        <v>11</v>
      </c>
      <c r="D16548">
        <v>9001</v>
      </c>
      <c r="E16548">
        <v>2021</v>
      </c>
      <c r="F16548">
        <v>20</v>
      </c>
      <c r="G16548">
        <v>16614</v>
      </c>
      <c r="H16548" s="1" t="s">
        <v>1835</v>
      </c>
      <c r="I16548">
        <v>0</v>
      </c>
      <c r="J16548">
        <f>IF($H16548=0,1,IF($I16548&lt;=1,2,0))</f>
        <v>2</v>
      </c>
      <c r="K16548">
        <v>5</v>
      </c>
      <c r="L16548">
        <f>IF(AND($J16548=0,$K16548=0),0,1)</f>
        <v>1</v>
      </c>
    </row>
    <row r="16549" spans="1:13" x14ac:dyDescent="0.2">
      <c r="A16549" t="s">
        <v>587</v>
      </c>
      <c r="B16549" t="s">
        <v>17</v>
      </c>
      <c r="C16549" t="s">
        <v>11</v>
      </c>
      <c r="D16549">
        <v>9001</v>
      </c>
      <c r="E16549">
        <v>2021</v>
      </c>
      <c r="F16549">
        <v>21</v>
      </c>
      <c r="G16549">
        <v>16615</v>
      </c>
      <c r="H16549" s="1" t="s">
        <v>1835</v>
      </c>
      <c r="I16549">
        <v>0</v>
      </c>
      <c r="J16549">
        <f>IF($H16549=0,1,IF($I16549&lt;=1,2,0))</f>
        <v>2</v>
      </c>
      <c r="K16549">
        <v>5</v>
      </c>
      <c r="L16549">
        <f>IF(AND($J16549=0,$K16549=0),0,1)</f>
        <v>1</v>
      </c>
    </row>
    <row r="16550" spans="1:13" x14ac:dyDescent="0.2">
      <c r="A16550" t="s">
        <v>587</v>
      </c>
      <c r="B16550" t="s">
        <v>17</v>
      </c>
      <c r="C16550" t="s">
        <v>11</v>
      </c>
      <c r="D16550">
        <v>9001</v>
      </c>
      <c r="E16550">
        <v>2021</v>
      </c>
      <c r="F16550">
        <v>22</v>
      </c>
      <c r="G16550">
        <v>16616</v>
      </c>
      <c r="H16550" s="1" t="s">
        <v>1835</v>
      </c>
      <c r="I16550">
        <v>0</v>
      </c>
      <c r="J16550">
        <f>IF($H16550=0,1,IF($I16550&lt;=1,2,0))</f>
        <v>2</v>
      </c>
      <c r="K16550">
        <v>5</v>
      </c>
      <c r="L16550">
        <f>IF(AND($J16550=0,$K16550=0),0,1)</f>
        <v>1</v>
      </c>
    </row>
    <row r="16551" spans="1:13" x14ac:dyDescent="0.2">
      <c r="A16551" t="s">
        <v>587</v>
      </c>
      <c r="B16551" t="s">
        <v>17</v>
      </c>
      <c r="C16551" t="s">
        <v>11</v>
      </c>
      <c r="D16551">
        <v>9001</v>
      </c>
      <c r="E16551">
        <v>2021</v>
      </c>
      <c r="F16551">
        <v>25</v>
      </c>
      <c r="G16551">
        <v>18481</v>
      </c>
      <c r="H16551" s="1" t="s">
        <v>1835</v>
      </c>
      <c r="I16551">
        <v>0</v>
      </c>
      <c r="J16551">
        <f>IF($H16551=0,1,IF($I16551&lt;=1,2,0))</f>
        <v>2</v>
      </c>
      <c r="K16551">
        <v>5</v>
      </c>
      <c r="L16551">
        <f>IF(AND($J16551=0,$K16551=0),0,1)</f>
        <v>1</v>
      </c>
    </row>
    <row r="16552" spans="1:13" x14ac:dyDescent="0.2">
      <c r="A16552" t="s">
        <v>587</v>
      </c>
      <c r="B16552" t="s">
        <v>17</v>
      </c>
      <c r="C16552" t="s">
        <v>11</v>
      </c>
      <c r="D16552">
        <v>9110</v>
      </c>
      <c r="E16552">
        <v>2021</v>
      </c>
      <c r="F16552">
        <v>1</v>
      </c>
      <c r="G16552">
        <v>10374</v>
      </c>
      <c r="H16552" s="1">
        <v>3</v>
      </c>
      <c r="I16552">
        <v>23</v>
      </c>
      <c r="J16552">
        <f>IF($H16552=0,1,IF($I16552&lt;=1,2,0))</f>
        <v>0</v>
      </c>
      <c r="K16552">
        <v>5</v>
      </c>
      <c r="L16552">
        <f>IF(AND($J16552=0,$K16552=0),0,1)</f>
        <v>1</v>
      </c>
    </row>
    <row r="16553" spans="1:13" x14ac:dyDescent="0.2">
      <c r="A16553" t="s">
        <v>587</v>
      </c>
      <c r="B16553" t="s">
        <v>17</v>
      </c>
      <c r="C16553" t="s">
        <v>11</v>
      </c>
      <c r="D16553">
        <v>9180</v>
      </c>
      <c r="E16553">
        <v>2021</v>
      </c>
      <c r="F16553">
        <v>1</v>
      </c>
      <c r="G16553">
        <v>10375</v>
      </c>
      <c r="H16553" s="1">
        <v>3</v>
      </c>
      <c r="I16553">
        <v>26</v>
      </c>
      <c r="J16553">
        <f>IF($H16553=0,1,IF($I16553&lt;=1,2,0))</f>
        <v>0</v>
      </c>
      <c r="K16553">
        <v>5</v>
      </c>
      <c r="L16553">
        <f>IF(AND($J16553=0,$K16553=0),0,1)</f>
        <v>1</v>
      </c>
      <c r="M16553" t="s">
        <v>1705</v>
      </c>
    </row>
    <row r="16554" spans="1:13" x14ac:dyDescent="0.2">
      <c r="A16554" t="s">
        <v>587</v>
      </c>
      <c r="B16554" t="s">
        <v>17</v>
      </c>
      <c r="C16554" t="s">
        <v>11</v>
      </c>
      <c r="D16554">
        <v>9192</v>
      </c>
      <c r="E16554">
        <v>2021</v>
      </c>
      <c r="F16554">
        <v>1</v>
      </c>
      <c r="G16554">
        <v>10393</v>
      </c>
      <c r="H16554" s="1">
        <v>3</v>
      </c>
      <c r="I16554">
        <v>14</v>
      </c>
      <c r="J16554">
        <f>IF($H16554=0,1,IF($I16554&lt;=1,2,0))</f>
        <v>0</v>
      </c>
      <c r="K16554">
        <v>5</v>
      </c>
      <c r="L16554">
        <f>IF(AND($J16554=0,$K16554=0),0,1)</f>
        <v>1</v>
      </c>
    </row>
    <row r="16555" spans="1:13" x14ac:dyDescent="0.2">
      <c r="A16555" t="s">
        <v>587</v>
      </c>
      <c r="B16555" t="s">
        <v>17</v>
      </c>
      <c r="C16555" t="s">
        <v>11</v>
      </c>
      <c r="D16555">
        <v>9356</v>
      </c>
      <c r="E16555">
        <v>2021</v>
      </c>
      <c r="F16555">
        <v>1</v>
      </c>
      <c r="G16555">
        <v>10376</v>
      </c>
      <c r="H16555" s="1">
        <v>3</v>
      </c>
      <c r="I16555">
        <v>15</v>
      </c>
      <c r="J16555">
        <f>IF($H16555=0,1,IF($I16555&lt;=1,2,0))</f>
        <v>0</v>
      </c>
      <c r="K16555">
        <v>5</v>
      </c>
      <c r="L16555">
        <f>IF(AND($J16555=0,$K16555=0),0,1)</f>
        <v>1</v>
      </c>
    </row>
    <row r="16556" spans="1:13" x14ac:dyDescent="0.2">
      <c r="A16556" t="s">
        <v>587</v>
      </c>
      <c r="B16556" t="s">
        <v>17</v>
      </c>
      <c r="C16556" t="s">
        <v>11</v>
      </c>
      <c r="D16556">
        <v>9515</v>
      </c>
      <c r="E16556">
        <v>2021</v>
      </c>
      <c r="F16556">
        <v>1</v>
      </c>
      <c r="G16556">
        <v>10377</v>
      </c>
      <c r="H16556" s="1">
        <v>3</v>
      </c>
      <c r="I16556">
        <v>17</v>
      </c>
      <c r="J16556">
        <f>IF($H16556=0,1,IF($I16556&lt;=1,2,0))</f>
        <v>0</v>
      </c>
      <c r="K16556">
        <v>5</v>
      </c>
      <c r="L16556">
        <f>IF(AND($J16556=0,$K16556=0),0,1)</f>
        <v>1</v>
      </c>
    </row>
    <row r="16557" spans="1:13" x14ac:dyDescent="0.2">
      <c r="A16557" t="s">
        <v>587</v>
      </c>
      <c r="B16557" t="s">
        <v>17</v>
      </c>
      <c r="C16557" t="s">
        <v>11</v>
      </c>
      <c r="D16557">
        <v>9525</v>
      </c>
      <c r="E16557">
        <v>2021</v>
      </c>
      <c r="F16557">
        <v>1</v>
      </c>
      <c r="G16557">
        <v>10378</v>
      </c>
      <c r="H16557" s="1">
        <v>3</v>
      </c>
      <c r="I16557">
        <v>7</v>
      </c>
      <c r="J16557">
        <f>IF($H16557=0,1,IF($I16557&lt;=1,2,0))</f>
        <v>0</v>
      </c>
      <c r="K16557">
        <v>5</v>
      </c>
      <c r="L16557">
        <f>IF(AND($J16557=0,$K16557=0),0,1)</f>
        <v>1</v>
      </c>
    </row>
    <row r="16558" spans="1:13" x14ac:dyDescent="0.2">
      <c r="A16558" t="s">
        <v>587</v>
      </c>
      <c r="B16558" t="s">
        <v>17</v>
      </c>
      <c r="C16558" t="s">
        <v>11</v>
      </c>
      <c r="D16558">
        <v>9750</v>
      </c>
      <c r="E16558">
        <v>2021</v>
      </c>
      <c r="F16558">
        <v>1</v>
      </c>
      <c r="G16558">
        <v>10397</v>
      </c>
      <c r="H16558" s="1">
        <v>3</v>
      </c>
      <c r="I16558">
        <v>24</v>
      </c>
      <c r="J16558">
        <f>IF($H16558=0,1,IF($I16558&lt;=1,2,0))</f>
        <v>0</v>
      </c>
      <c r="K16558">
        <v>5</v>
      </c>
      <c r="L16558">
        <f>IF(AND($J16558=0,$K16558=0),0,1)</f>
        <v>1</v>
      </c>
    </row>
    <row r="16559" spans="1:13" x14ac:dyDescent="0.2">
      <c r="A16559" t="s">
        <v>587</v>
      </c>
      <c r="B16559" t="s">
        <v>17</v>
      </c>
      <c r="C16559" t="s">
        <v>11</v>
      </c>
      <c r="D16559">
        <v>9990</v>
      </c>
      <c r="E16559">
        <v>2021</v>
      </c>
      <c r="F16559">
        <v>1</v>
      </c>
      <c r="G16559">
        <v>10379</v>
      </c>
      <c r="H16559" s="1">
        <v>3</v>
      </c>
      <c r="I16559">
        <v>6</v>
      </c>
      <c r="J16559">
        <f>IF($H16559=0,1,IF($I16559&lt;=1,2,0))</f>
        <v>0</v>
      </c>
      <c r="K16559">
        <v>5</v>
      </c>
      <c r="L16559">
        <f>IF(AND($J16559=0,$K16559=0),0,1)</f>
        <v>1</v>
      </c>
    </row>
    <row r="16560" spans="1:13" x14ac:dyDescent="0.2">
      <c r="A16560" t="s">
        <v>587</v>
      </c>
      <c r="B16560" t="s">
        <v>17</v>
      </c>
      <c r="C16560" t="s">
        <v>11</v>
      </c>
      <c r="D16560">
        <v>9991</v>
      </c>
      <c r="E16560">
        <v>2021</v>
      </c>
      <c r="F16560">
        <v>1</v>
      </c>
      <c r="G16560">
        <v>10380</v>
      </c>
      <c r="H16560" s="1">
        <v>3</v>
      </c>
      <c r="I16560">
        <v>1</v>
      </c>
      <c r="J16560">
        <f>IF($H16560=0,1,IF($I16560&lt;=1,2,0))</f>
        <v>2</v>
      </c>
      <c r="K16560">
        <v>5</v>
      </c>
      <c r="L16560">
        <f>IF(AND($J16560=0,$K16560=0),0,1)</f>
        <v>1</v>
      </c>
    </row>
    <row r="16561" spans="1:12" x14ac:dyDescent="0.2">
      <c r="A16561" t="s">
        <v>589</v>
      </c>
      <c r="B16561" t="s">
        <v>133</v>
      </c>
      <c r="C16561" t="s">
        <v>9</v>
      </c>
      <c r="D16561">
        <v>1203</v>
      </c>
      <c r="E16561">
        <v>2021</v>
      </c>
      <c r="F16561">
        <v>1</v>
      </c>
      <c r="G16561">
        <v>13401</v>
      </c>
      <c r="H16561" s="1">
        <v>0</v>
      </c>
      <c r="I16561">
        <v>20</v>
      </c>
      <c r="J16561">
        <f>IF($H16561=0,1,IF($I16561&lt;=1,2,0))</f>
        <v>1</v>
      </c>
      <c r="K16561">
        <v>0</v>
      </c>
      <c r="L16561">
        <f>IF(AND($J16561=0,$K16561=0),0,1)</f>
        <v>1</v>
      </c>
    </row>
    <row r="16562" spans="1:12" x14ac:dyDescent="0.2">
      <c r="A16562" t="s">
        <v>589</v>
      </c>
      <c r="B16562" t="s">
        <v>133</v>
      </c>
      <c r="C16562" t="s">
        <v>9</v>
      </c>
      <c r="D16562">
        <v>1203</v>
      </c>
      <c r="E16562">
        <v>2021</v>
      </c>
      <c r="F16562">
        <v>3</v>
      </c>
      <c r="G16562">
        <v>13403</v>
      </c>
      <c r="H16562" s="1">
        <v>0</v>
      </c>
      <c r="I16562">
        <v>20</v>
      </c>
      <c r="J16562">
        <f>IF($H16562=0,1,IF($I16562&lt;=1,2,0))</f>
        <v>1</v>
      </c>
      <c r="K16562">
        <v>0</v>
      </c>
      <c r="L16562">
        <f>IF(AND($J16562=0,$K16562=0),0,1)</f>
        <v>1</v>
      </c>
    </row>
    <row r="16563" spans="1:12" x14ac:dyDescent="0.2">
      <c r="A16563" t="s">
        <v>589</v>
      </c>
      <c r="B16563" t="s">
        <v>133</v>
      </c>
      <c r="C16563" t="s">
        <v>9</v>
      </c>
      <c r="D16563">
        <v>1203</v>
      </c>
      <c r="E16563">
        <v>2021</v>
      </c>
      <c r="F16563">
        <v>5</v>
      </c>
      <c r="G16563">
        <v>13405</v>
      </c>
      <c r="H16563" s="1">
        <v>0</v>
      </c>
      <c r="I16563">
        <v>20</v>
      </c>
      <c r="J16563">
        <f>IF($H16563=0,1,IF($I16563&lt;=1,2,0))</f>
        <v>1</v>
      </c>
      <c r="K16563">
        <v>0</v>
      </c>
      <c r="L16563">
        <f>IF(AND($J16563=0,$K16563=0),0,1)</f>
        <v>1</v>
      </c>
    </row>
    <row r="16564" spans="1:12" x14ac:dyDescent="0.2">
      <c r="A16564" t="s">
        <v>589</v>
      </c>
      <c r="B16564" t="s">
        <v>133</v>
      </c>
      <c r="C16564" t="s">
        <v>9</v>
      </c>
      <c r="D16564">
        <v>1203</v>
      </c>
      <c r="E16564">
        <v>2021</v>
      </c>
      <c r="F16564">
        <v>2</v>
      </c>
      <c r="G16564">
        <v>13402</v>
      </c>
      <c r="H16564" s="1">
        <v>0</v>
      </c>
      <c r="I16564">
        <v>19</v>
      </c>
      <c r="J16564">
        <f>IF($H16564=0,1,IF($I16564&lt;=1,2,0))</f>
        <v>1</v>
      </c>
      <c r="K16564">
        <v>0</v>
      </c>
      <c r="L16564">
        <f>IF(AND($J16564=0,$K16564=0),0,1)</f>
        <v>1</v>
      </c>
    </row>
    <row r="16565" spans="1:12" x14ac:dyDescent="0.2">
      <c r="A16565" t="s">
        <v>589</v>
      </c>
      <c r="B16565" t="s">
        <v>133</v>
      </c>
      <c r="C16565" t="s">
        <v>9</v>
      </c>
      <c r="D16565">
        <v>1203</v>
      </c>
      <c r="E16565">
        <v>2021</v>
      </c>
      <c r="F16565">
        <v>16</v>
      </c>
      <c r="G16565">
        <v>14036</v>
      </c>
      <c r="H16565" s="1">
        <v>0</v>
      </c>
      <c r="I16565">
        <v>19</v>
      </c>
      <c r="J16565">
        <f>IF($H16565=0,1,IF($I16565&lt;=1,2,0))</f>
        <v>1</v>
      </c>
      <c r="K16565">
        <v>0</v>
      </c>
      <c r="L16565">
        <f>IF(AND($J16565=0,$K16565=0),0,1)</f>
        <v>1</v>
      </c>
    </row>
    <row r="16566" spans="1:12" x14ac:dyDescent="0.2">
      <c r="A16566" t="s">
        <v>589</v>
      </c>
      <c r="B16566" t="s">
        <v>133</v>
      </c>
      <c r="C16566" t="s">
        <v>9</v>
      </c>
      <c r="D16566">
        <v>1203</v>
      </c>
      <c r="E16566">
        <v>2021</v>
      </c>
      <c r="F16566">
        <v>6</v>
      </c>
      <c r="G16566">
        <v>13406</v>
      </c>
      <c r="H16566" s="1">
        <v>0</v>
      </c>
      <c r="I16566">
        <v>18</v>
      </c>
      <c r="J16566">
        <f>IF($H16566=0,1,IF($I16566&lt;=1,2,0))</f>
        <v>1</v>
      </c>
      <c r="K16566">
        <v>0</v>
      </c>
      <c r="L16566">
        <f>IF(AND($J16566=0,$K16566=0),0,1)</f>
        <v>1</v>
      </c>
    </row>
    <row r="16567" spans="1:12" x14ac:dyDescent="0.2">
      <c r="A16567" t="s">
        <v>589</v>
      </c>
      <c r="B16567" t="s">
        <v>133</v>
      </c>
      <c r="C16567" t="s">
        <v>9</v>
      </c>
      <c r="D16567">
        <v>1203</v>
      </c>
      <c r="E16567">
        <v>2021</v>
      </c>
      <c r="F16567">
        <v>9</v>
      </c>
      <c r="G16567">
        <v>20342</v>
      </c>
      <c r="H16567" s="1">
        <v>0</v>
      </c>
      <c r="I16567">
        <v>18</v>
      </c>
      <c r="J16567">
        <f>IF($H16567=0,1,IF($I16567&lt;=1,2,0))</f>
        <v>1</v>
      </c>
      <c r="K16567">
        <v>0</v>
      </c>
      <c r="L16567">
        <f>IF(AND($J16567=0,$K16567=0),0,1)</f>
        <v>1</v>
      </c>
    </row>
    <row r="16568" spans="1:12" x14ac:dyDescent="0.2">
      <c r="A16568" t="s">
        <v>589</v>
      </c>
      <c r="B16568" t="s">
        <v>133</v>
      </c>
      <c r="C16568" t="s">
        <v>9</v>
      </c>
      <c r="D16568">
        <v>1203</v>
      </c>
      <c r="E16568">
        <v>2021</v>
      </c>
      <c r="F16568">
        <v>17</v>
      </c>
      <c r="G16568">
        <v>14038</v>
      </c>
      <c r="H16568" s="1">
        <v>0</v>
      </c>
      <c r="I16568">
        <v>18</v>
      </c>
      <c r="J16568">
        <f>IF($H16568=0,1,IF($I16568&lt;=1,2,0))</f>
        <v>1</v>
      </c>
      <c r="K16568">
        <v>0</v>
      </c>
      <c r="L16568">
        <f>IF(AND($J16568=0,$K16568=0),0,1)</f>
        <v>1</v>
      </c>
    </row>
    <row r="16569" spans="1:12" x14ac:dyDescent="0.2">
      <c r="A16569" t="s">
        <v>589</v>
      </c>
      <c r="B16569" t="s">
        <v>133</v>
      </c>
      <c r="C16569" t="s">
        <v>9</v>
      </c>
      <c r="D16569">
        <v>1203</v>
      </c>
      <c r="E16569">
        <v>2021</v>
      </c>
      <c r="F16569">
        <v>4</v>
      </c>
      <c r="G16569">
        <v>13404</v>
      </c>
      <c r="H16569" s="1">
        <v>0</v>
      </c>
      <c r="I16569">
        <v>17</v>
      </c>
      <c r="J16569">
        <f>IF($H16569=0,1,IF($I16569&lt;=1,2,0))</f>
        <v>1</v>
      </c>
      <c r="K16569">
        <v>0</v>
      </c>
      <c r="L16569">
        <f>IF(AND($J16569=0,$K16569=0),0,1)</f>
        <v>1</v>
      </c>
    </row>
    <row r="16570" spans="1:12" x14ac:dyDescent="0.2">
      <c r="A16570" t="s">
        <v>589</v>
      </c>
      <c r="B16570" t="s">
        <v>133</v>
      </c>
      <c r="C16570" t="s">
        <v>9</v>
      </c>
      <c r="D16570">
        <v>1203</v>
      </c>
      <c r="E16570">
        <v>2021</v>
      </c>
      <c r="F16570">
        <v>11</v>
      </c>
      <c r="G16570">
        <v>14032</v>
      </c>
      <c r="H16570" s="1">
        <v>0</v>
      </c>
      <c r="I16570">
        <v>17</v>
      </c>
      <c r="J16570">
        <f>IF($H16570=0,1,IF($I16570&lt;=1,2,0))</f>
        <v>1</v>
      </c>
      <c r="K16570">
        <v>0</v>
      </c>
      <c r="L16570">
        <f>IF(AND($J16570=0,$K16570=0),0,1)</f>
        <v>1</v>
      </c>
    </row>
    <row r="16571" spans="1:12" x14ac:dyDescent="0.2">
      <c r="A16571" t="s">
        <v>589</v>
      </c>
      <c r="B16571" t="s">
        <v>133</v>
      </c>
      <c r="C16571" t="s">
        <v>9</v>
      </c>
      <c r="D16571">
        <v>1203</v>
      </c>
      <c r="E16571">
        <v>2021</v>
      </c>
      <c r="F16571">
        <v>12</v>
      </c>
      <c r="G16571">
        <v>14033</v>
      </c>
      <c r="H16571" s="1">
        <v>0</v>
      </c>
      <c r="I16571">
        <v>17</v>
      </c>
      <c r="J16571">
        <f>IF($H16571=0,1,IF($I16571&lt;=1,2,0))</f>
        <v>1</v>
      </c>
      <c r="K16571">
        <v>0</v>
      </c>
      <c r="L16571">
        <f>IF(AND($J16571=0,$K16571=0),0,1)</f>
        <v>1</v>
      </c>
    </row>
    <row r="16572" spans="1:12" x14ac:dyDescent="0.2">
      <c r="A16572" t="s">
        <v>589</v>
      </c>
      <c r="B16572" t="s">
        <v>133</v>
      </c>
      <c r="C16572" t="s">
        <v>9</v>
      </c>
      <c r="D16572">
        <v>1203</v>
      </c>
      <c r="E16572">
        <v>2021</v>
      </c>
      <c r="F16572">
        <v>8</v>
      </c>
      <c r="G16572">
        <v>13408</v>
      </c>
      <c r="H16572" s="1">
        <v>0</v>
      </c>
      <c r="I16572">
        <v>15</v>
      </c>
      <c r="J16572">
        <f>IF($H16572=0,1,IF($I16572&lt;=1,2,0))</f>
        <v>1</v>
      </c>
      <c r="K16572">
        <v>0</v>
      </c>
      <c r="L16572">
        <f>IF(AND($J16572=0,$K16572=0),0,1)</f>
        <v>1</v>
      </c>
    </row>
    <row r="16573" spans="1:12" x14ac:dyDescent="0.2">
      <c r="A16573" t="s">
        <v>589</v>
      </c>
      <c r="B16573" t="s">
        <v>133</v>
      </c>
      <c r="C16573" t="s">
        <v>9</v>
      </c>
      <c r="D16573">
        <v>1203</v>
      </c>
      <c r="E16573">
        <v>2021</v>
      </c>
      <c r="F16573">
        <v>7</v>
      </c>
      <c r="G16573">
        <v>13407</v>
      </c>
      <c r="H16573" s="1">
        <v>0</v>
      </c>
      <c r="I16573">
        <v>14</v>
      </c>
      <c r="J16573">
        <f>IF($H16573=0,1,IF($I16573&lt;=1,2,0))</f>
        <v>1</v>
      </c>
      <c r="K16573">
        <v>0</v>
      </c>
      <c r="L16573">
        <f>IF(AND($J16573=0,$K16573=0),0,1)</f>
        <v>1</v>
      </c>
    </row>
    <row r="16574" spans="1:12" x14ac:dyDescent="0.2">
      <c r="A16574" t="s">
        <v>589</v>
      </c>
      <c r="B16574" t="s">
        <v>133</v>
      </c>
      <c r="C16574" t="s">
        <v>9</v>
      </c>
      <c r="D16574">
        <v>1203</v>
      </c>
      <c r="E16574">
        <v>2021</v>
      </c>
      <c r="F16574">
        <v>13</v>
      </c>
      <c r="G16574">
        <v>14034</v>
      </c>
      <c r="H16574" s="1">
        <v>0</v>
      </c>
      <c r="I16574">
        <v>14</v>
      </c>
      <c r="J16574">
        <f>IF($H16574=0,1,IF($I16574&lt;=1,2,0))</f>
        <v>1</v>
      </c>
      <c r="K16574">
        <v>0</v>
      </c>
      <c r="L16574">
        <f>IF(AND($J16574=0,$K16574=0),0,1)</f>
        <v>1</v>
      </c>
    </row>
    <row r="16575" spans="1:12" x14ac:dyDescent="0.2">
      <c r="A16575" t="s">
        <v>589</v>
      </c>
      <c r="B16575" t="s">
        <v>133</v>
      </c>
      <c r="C16575" t="s">
        <v>9</v>
      </c>
      <c r="D16575">
        <v>1203</v>
      </c>
      <c r="E16575">
        <v>2021</v>
      </c>
      <c r="F16575">
        <v>15</v>
      </c>
      <c r="G16575">
        <v>14037</v>
      </c>
      <c r="H16575" s="1">
        <v>0</v>
      </c>
      <c r="I16575">
        <v>14</v>
      </c>
      <c r="J16575">
        <f>IF($H16575=0,1,IF($I16575&lt;=1,2,0))</f>
        <v>1</v>
      </c>
      <c r="K16575">
        <v>0</v>
      </c>
      <c r="L16575">
        <f>IF(AND($J16575=0,$K16575=0),0,1)</f>
        <v>1</v>
      </c>
    </row>
    <row r="16576" spans="1:12" x14ac:dyDescent="0.2">
      <c r="A16576" t="s">
        <v>589</v>
      </c>
      <c r="B16576" t="s">
        <v>133</v>
      </c>
      <c r="C16576" t="s">
        <v>9</v>
      </c>
      <c r="D16576">
        <v>1203</v>
      </c>
      <c r="E16576">
        <v>2021</v>
      </c>
      <c r="F16576">
        <v>19</v>
      </c>
      <c r="G16576">
        <v>20343</v>
      </c>
      <c r="H16576" s="1">
        <v>0</v>
      </c>
      <c r="I16576">
        <v>12</v>
      </c>
      <c r="J16576">
        <f>IF($H16576=0,1,IF($I16576&lt;=1,2,0))</f>
        <v>1</v>
      </c>
      <c r="K16576">
        <v>0</v>
      </c>
      <c r="L16576">
        <f>IF(AND($J16576=0,$K16576=0),0,1)</f>
        <v>1</v>
      </c>
    </row>
    <row r="16577" spans="1:13" x14ac:dyDescent="0.2">
      <c r="A16577" t="s">
        <v>589</v>
      </c>
      <c r="B16577" t="s">
        <v>133</v>
      </c>
      <c r="C16577" t="s">
        <v>9</v>
      </c>
      <c r="D16577">
        <v>1203</v>
      </c>
      <c r="E16577">
        <v>2021</v>
      </c>
      <c r="F16577">
        <v>18</v>
      </c>
      <c r="G16577">
        <v>18157</v>
      </c>
      <c r="H16577" s="1">
        <v>0</v>
      </c>
      <c r="I16577">
        <v>10</v>
      </c>
      <c r="J16577">
        <f>IF($H16577=0,1,IF($I16577&lt;=1,2,0))</f>
        <v>1</v>
      </c>
      <c r="K16577">
        <v>0</v>
      </c>
      <c r="L16577">
        <f>IF(AND($J16577=0,$K16577=0),0,1)</f>
        <v>1</v>
      </c>
    </row>
    <row r="16578" spans="1:13" x14ac:dyDescent="0.2">
      <c r="A16578" t="s">
        <v>589</v>
      </c>
      <c r="B16578" t="s">
        <v>133</v>
      </c>
      <c r="C16578" t="s">
        <v>9</v>
      </c>
      <c r="D16578">
        <v>1291</v>
      </c>
      <c r="E16578">
        <v>2021</v>
      </c>
      <c r="F16578">
        <v>4</v>
      </c>
      <c r="G16578">
        <v>11980</v>
      </c>
      <c r="H16578" s="1">
        <v>1</v>
      </c>
      <c r="I16578">
        <v>15</v>
      </c>
      <c r="J16578">
        <f>IF($H16578=0,1,IF($I16578&lt;=1,2,0))</f>
        <v>0</v>
      </c>
      <c r="K16578">
        <v>8</v>
      </c>
      <c r="L16578">
        <f>IF(AND($J16578=0,$K16578=0),0,1)</f>
        <v>1</v>
      </c>
      <c r="M16578" t="s">
        <v>1706</v>
      </c>
    </row>
    <row r="16579" spans="1:13" x14ac:dyDescent="0.2">
      <c r="A16579" t="s">
        <v>589</v>
      </c>
      <c r="B16579" t="s">
        <v>133</v>
      </c>
      <c r="C16579" t="s">
        <v>9</v>
      </c>
      <c r="D16579">
        <v>1291</v>
      </c>
      <c r="E16579">
        <v>2021</v>
      </c>
      <c r="F16579">
        <v>1</v>
      </c>
      <c r="G16579">
        <v>11977</v>
      </c>
      <c r="H16579" s="1">
        <v>1</v>
      </c>
      <c r="I16579">
        <v>14</v>
      </c>
      <c r="J16579">
        <f>IF($H16579=0,1,IF($I16579&lt;=1,2,0))</f>
        <v>0</v>
      </c>
      <c r="K16579">
        <v>8</v>
      </c>
      <c r="L16579">
        <f>IF(AND($J16579=0,$K16579=0),0,1)</f>
        <v>1</v>
      </c>
      <c r="M16579" t="s">
        <v>1706</v>
      </c>
    </row>
    <row r="16580" spans="1:13" x14ac:dyDescent="0.2">
      <c r="A16580" t="s">
        <v>589</v>
      </c>
      <c r="B16580" t="s">
        <v>133</v>
      </c>
      <c r="C16580" t="s">
        <v>9</v>
      </c>
      <c r="D16580">
        <v>1291</v>
      </c>
      <c r="E16580">
        <v>2021</v>
      </c>
      <c r="F16580">
        <v>9</v>
      </c>
      <c r="G16580">
        <v>11984</v>
      </c>
      <c r="H16580" s="1">
        <v>1</v>
      </c>
      <c r="I16580">
        <v>14</v>
      </c>
      <c r="J16580">
        <f>IF($H16580=0,1,IF($I16580&lt;=1,2,0))</f>
        <v>0</v>
      </c>
      <c r="K16580">
        <v>8</v>
      </c>
      <c r="L16580">
        <f>IF(AND($J16580=0,$K16580=0),0,1)</f>
        <v>1</v>
      </c>
      <c r="M16580" t="s">
        <v>1706</v>
      </c>
    </row>
    <row r="16581" spans="1:13" x14ac:dyDescent="0.2">
      <c r="A16581" t="s">
        <v>589</v>
      </c>
      <c r="B16581" t="s">
        <v>133</v>
      </c>
      <c r="C16581" t="s">
        <v>9</v>
      </c>
      <c r="D16581">
        <v>1291</v>
      </c>
      <c r="E16581">
        <v>2021</v>
      </c>
      <c r="F16581">
        <v>20</v>
      </c>
      <c r="G16581">
        <v>11994</v>
      </c>
      <c r="H16581" s="1">
        <v>1</v>
      </c>
      <c r="I16581">
        <v>14</v>
      </c>
      <c r="J16581">
        <f>IF($H16581=0,1,IF($I16581&lt;=1,2,0))</f>
        <v>0</v>
      </c>
      <c r="K16581">
        <v>8</v>
      </c>
      <c r="L16581">
        <f>IF(AND($J16581=0,$K16581=0),0,1)</f>
        <v>1</v>
      </c>
      <c r="M16581" t="s">
        <v>1706</v>
      </c>
    </row>
    <row r="16582" spans="1:13" x14ac:dyDescent="0.2">
      <c r="A16582" t="s">
        <v>589</v>
      </c>
      <c r="B16582" t="s">
        <v>133</v>
      </c>
      <c r="C16582" t="s">
        <v>9</v>
      </c>
      <c r="D16582">
        <v>1291</v>
      </c>
      <c r="E16582">
        <v>2021</v>
      </c>
      <c r="F16582">
        <v>7</v>
      </c>
      <c r="G16582">
        <v>11982</v>
      </c>
      <c r="H16582" s="1">
        <v>1</v>
      </c>
      <c r="I16582">
        <v>13</v>
      </c>
      <c r="J16582">
        <f>IF($H16582=0,1,IF($I16582&lt;=1,2,0))</f>
        <v>0</v>
      </c>
      <c r="K16582">
        <v>8</v>
      </c>
      <c r="L16582">
        <f>IF(AND($J16582=0,$K16582=0),0,1)</f>
        <v>1</v>
      </c>
      <c r="M16582" t="s">
        <v>1706</v>
      </c>
    </row>
    <row r="16583" spans="1:13" x14ac:dyDescent="0.2">
      <c r="A16583" t="s">
        <v>589</v>
      </c>
      <c r="B16583" t="s">
        <v>133</v>
      </c>
      <c r="C16583" t="s">
        <v>9</v>
      </c>
      <c r="D16583">
        <v>1291</v>
      </c>
      <c r="E16583">
        <v>2021</v>
      </c>
      <c r="F16583">
        <v>8</v>
      </c>
      <c r="G16583">
        <v>11983</v>
      </c>
      <c r="H16583" s="1">
        <v>1</v>
      </c>
      <c r="I16583">
        <v>13</v>
      </c>
      <c r="J16583">
        <f>IF($H16583=0,1,IF($I16583&lt;=1,2,0))</f>
        <v>0</v>
      </c>
      <c r="K16583">
        <v>8</v>
      </c>
      <c r="L16583">
        <f>IF(AND($J16583=0,$K16583=0),0,1)</f>
        <v>1</v>
      </c>
      <c r="M16583" t="s">
        <v>1706</v>
      </c>
    </row>
    <row r="16584" spans="1:13" x14ac:dyDescent="0.2">
      <c r="A16584" t="s">
        <v>589</v>
      </c>
      <c r="B16584" t="s">
        <v>133</v>
      </c>
      <c r="C16584" t="s">
        <v>9</v>
      </c>
      <c r="D16584">
        <v>1291</v>
      </c>
      <c r="E16584">
        <v>2021</v>
      </c>
      <c r="F16584">
        <v>14</v>
      </c>
      <c r="G16584">
        <v>11989</v>
      </c>
      <c r="H16584" s="1">
        <v>1</v>
      </c>
      <c r="I16584">
        <v>13</v>
      </c>
      <c r="J16584">
        <f>IF($H16584=0,1,IF($I16584&lt;=1,2,0))</f>
        <v>0</v>
      </c>
      <c r="K16584">
        <v>8</v>
      </c>
      <c r="L16584">
        <f>IF(AND($J16584=0,$K16584=0),0,1)</f>
        <v>1</v>
      </c>
      <c r="M16584" t="s">
        <v>1706</v>
      </c>
    </row>
    <row r="16585" spans="1:13" x14ac:dyDescent="0.2">
      <c r="A16585" t="s">
        <v>589</v>
      </c>
      <c r="B16585" t="s">
        <v>133</v>
      </c>
      <c r="C16585" t="s">
        <v>9</v>
      </c>
      <c r="D16585">
        <v>1291</v>
      </c>
      <c r="E16585">
        <v>2021</v>
      </c>
      <c r="F16585">
        <v>16</v>
      </c>
      <c r="G16585">
        <v>11991</v>
      </c>
      <c r="H16585" s="1">
        <v>1</v>
      </c>
      <c r="I16585">
        <v>13</v>
      </c>
      <c r="J16585">
        <f>IF($H16585=0,1,IF($I16585&lt;=1,2,0))</f>
        <v>0</v>
      </c>
      <c r="K16585">
        <v>8</v>
      </c>
      <c r="L16585">
        <f>IF(AND($J16585=0,$K16585=0),0,1)</f>
        <v>1</v>
      </c>
      <c r="M16585" t="s">
        <v>1706</v>
      </c>
    </row>
    <row r="16586" spans="1:13" x14ac:dyDescent="0.2">
      <c r="A16586" t="s">
        <v>589</v>
      </c>
      <c r="B16586" t="s">
        <v>133</v>
      </c>
      <c r="C16586" t="s">
        <v>9</v>
      </c>
      <c r="D16586">
        <v>1291</v>
      </c>
      <c r="E16586">
        <v>2021</v>
      </c>
      <c r="F16586">
        <v>26</v>
      </c>
      <c r="G16586">
        <v>12000</v>
      </c>
      <c r="H16586" s="1">
        <v>1</v>
      </c>
      <c r="I16586">
        <v>13</v>
      </c>
      <c r="J16586">
        <f>IF($H16586=0,1,IF($I16586&lt;=1,2,0))</f>
        <v>0</v>
      </c>
      <c r="K16586">
        <v>8</v>
      </c>
      <c r="L16586">
        <f>IF(AND($J16586=0,$K16586=0),0,1)</f>
        <v>1</v>
      </c>
      <c r="M16586" t="s">
        <v>1706</v>
      </c>
    </row>
    <row r="16587" spans="1:13" x14ac:dyDescent="0.2">
      <c r="A16587" t="s">
        <v>589</v>
      </c>
      <c r="B16587" t="s">
        <v>133</v>
      </c>
      <c r="C16587" t="s">
        <v>9</v>
      </c>
      <c r="D16587">
        <v>1291</v>
      </c>
      <c r="E16587">
        <v>2021</v>
      </c>
      <c r="F16587">
        <v>5</v>
      </c>
      <c r="G16587">
        <v>11981</v>
      </c>
      <c r="H16587" s="1">
        <v>1</v>
      </c>
      <c r="I16587">
        <v>12</v>
      </c>
      <c r="J16587">
        <f>IF($H16587=0,1,IF($I16587&lt;=1,2,0))</f>
        <v>0</v>
      </c>
      <c r="K16587">
        <v>8</v>
      </c>
      <c r="L16587">
        <f>IF(AND($J16587=0,$K16587=0),0,1)</f>
        <v>1</v>
      </c>
      <c r="M16587" t="s">
        <v>1706</v>
      </c>
    </row>
    <row r="16588" spans="1:13" x14ac:dyDescent="0.2">
      <c r="A16588" t="s">
        <v>589</v>
      </c>
      <c r="B16588" t="s">
        <v>133</v>
      </c>
      <c r="C16588" t="s">
        <v>9</v>
      </c>
      <c r="D16588">
        <v>1291</v>
      </c>
      <c r="E16588">
        <v>2021</v>
      </c>
      <c r="F16588">
        <v>15</v>
      </c>
      <c r="G16588">
        <v>11990</v>
      </c>
      <c r="H16588" s="1">
        <v>1</v>
      </c>
      <c r="I16588">
        <v>12</v>
      </c>
      <c r="J16588">
        <f>IF($H16588=0,1,IF($I16588&lt;=1,2,0))</f>
        <v>0</v>
      </c>
      <c r="K16588">
        <v>8</v>
      </c>
      <c r="L16588">
        <f>IF(AND($J16588=0,$K16588=0),0,1)</f>
        <v>1</v>
      </c>
      <c r="M16588" t="s">
        <v>1706</v>
      </c>
    </row>
    <row r="16589" spans="1:13" x14ac:dyDescent="0.2">
      <c r="A16589" t="s">
        <v>589</v>
      </c>
      <c r="B16589" t="s">
        <v>133</v>
      </c>
      <c r="C16589" t="s">
        <v>9</v>
      </c>
      <c r="D16589">
        <v>1291</v>
      </c>
      <c r="E16589">
        <v>2021</v>
      </c>
      <c r="F16589">
        <v>19</v>
      </c>
      <c r="G16589">
        <v>11993</v>
      </c>
      <c r="H16589" s="1">
        <v>1</v>
      </c>
      <c r="I16589">
        <v>12</v>
      </c>
      <c r="J16589">
        <f>IF($H16589=0,1,IF($I16589&lt;=1,2,0))</f>
        <v>0</v>
      </c>
      <c r="K16589">
        <v>8</v>
      </c>
      <c r="L16589">
        <f>IF(AND($J16589=0,$K16589=0),0,1)</f>
        <v>1</v>
      </c>
      <c r="M16589" t="s">
        <v>1706</v>
      </c>
    </row>
    <row r="16590" spans="1:13" x14ac:dyDescent="0.2">
      <c r="A16590" t="s">
        <v>589</v>
      </c>
      <c r="B16590" t="s">
        <v>133</v>
      </c>
      <c r="C16590" t="s">
        <v>9</v>
      </c>
      <c r="D16590">
        <v>1291</v>
      </c>
      <c r="E16590">
        <v>2021</v>
      </c>
      <c r="F16590">
        <v>21</v>
      </c>
      <c r="G16590">
        <v>11995</v>
      </c>
      <c r="H16590" s="1">
        <v>1</v>
      </c>
      <c r="I16590">
        <v>12</v>
      </c>
      <c r="J16590">
        <f>IF($H16590=0,1,IF($I16590&lt;=1,2,0))</f>
        <v>0</v>
      </c>
      <c r="K16590">
        <v>8</v>
      </c>
      <c r="L16590">
        <f>IF(AND($J16590=0,$K16590=0),0,1)</f>
        <v>1</v>
      </c>
      <c r="M16590" t="s">
        <v>1706</v>
      </c>
    </row>
    <row r="16591" spans="1:13" x14ac:dyDescent="0.2">
      <c r="A16591" t="s">
        <v>589</v>
      </c>
      <c r="B16591" t="s">
        <v>133</v>
      </c>
      <c r="C16591" t="s">
        <v>9</v>
      </c>
      <c r="D16591">
        <v>1291</v>
      </c>
      <c r="E16591">
        <v>2021</v>
      </c>
      <c r="F16591">
        <v>2</v>
      </c>
      <c r="G16591">
        <v>11978</v>
      </c>
      <c r="H16591" s="1">
        <v>1</v>
      </c>
      <c r="I16591">
        <v>11</v>
      </c>
      <c r="J16591">
        <f>IF($H16591=0,1,IF($I16591&lt;=1,2,0))</f>
        <v>0</v>
      </c>
      <c r="K16591">
        <v>8</v>
      </c>
      <c r="L16591">
        <f>IF(AND($J16591=0,$K16591=0),0,1)</f>
        <v>1</v>
      </c>
      <c r="M16591" t="s">
        <v>1706</v>
      </c>
    </row>
    <row r="16592" spans="1:13" x14ac:dyDescent="0.2">
      <c r="A16592" t="s">
        <v>589</v>
      </c>
      <c r="B16592" t="s">
        <v>133</v>
      </c>
      <c r="C16592" t="s">
        <v>9</v>
      </c>
      <c r="D16592">
        <v>1291</v>
      </c>
      <c r="E16592">
        <v>2021</v>
      </c>
      <c r="F16592">
        <v>3</v>
      </c>
      <c r="G16592">
        <v>11979</v>
      </c>
      <c r="H16592" s="1">
        <v>1</v>
      </c>
      <c r="I16592">
        <v>11</v>
      </c>
      <c r="J16592">
        <f>IF($H16592=0,1,IF($I16592&lt;=1,2,0))</f>
        <v>0</v>
      </c>
      <c r="K16592">
        <v>8</v>
      </c>
      <c r="L16592">
        <f>IF(AND($J16592=0,$K16592=0),0,1)</f>
        <v>1</v>
      </c>
      <c r="M16592" t="s">
        <v>1706</v>
      </c>
    </row>
    <row r="16593" spans="1:13" x14ac:dyDescent="0.2">
      <c r="A16593" t="s">
        <v>589</v>
      </c>
      <c r="B16593" t="s">
        <v>133</v>
      </c>
      <c r="C16593" t="s">
        <v>9</v>
      </c>
      <c r="D16593">
        <v>1291</v>
      </c>
      <c r="E16593">
        <v>2021</v>
      </c>
      <c r="F16593">
        <v>11</v>
      </c>
      <c r="G16593">
        <v>11986</v>
      </c>
      <c r="H16593" s="1">
        <v>1</v>
      </c>
      <c r="I16593">
        <v>11</v>
      </c>
      <c r="J16593">
        <f>IF($H16593=0,1,IF($I16593&lt;=1,2,0))</f>
        <v>0</v>
      </c>
      <c r="K16593">
        <v>8</v>
      </c>
      <c r="L16593">
        <f>IF(AND($J16593=0,$K16593=0),0,1)</f>
        <v>1</v>
      </c>
      <c r="M16593" t="s">
        <v>1706</v>
      </c>
    </row>
    <row r="16594" spans="1:13" x14ac:dyDescent="0.2">
      <c r="A16594" t="s">
        <v>589</v>
      </c>
      <c r="B16594" t="s">
        <v>133</v>
      </c>
      <c r="C16594" t="s">
        <v>9</v>
      </c>
      <c r="D16594">
        <v>1291</v>
      </c>
      <c r="E16594">
        <v>2021</v>
      </c>
      <c r="F16594">
        <v>13</v>
      </c>
      <c r="G16594">
        <v>11988</v>
      </c>
      <c r="H16594" s="1">
        <v>1</v>
      </c>
      <c r="I16594">
        <v>11</v>
      </c>
      <c r="J16594">
        <f>IF($H16594=0,1,IF($I16594&lt;=1,2,0))</f>
        <v>0</v>
      </c>
      <c r="K16594">
        <v>8</v>
      </c>
      <c r="L16594">
        <f>IF(AND($J16594=0,$K16594=0),0,1)</f>
        <v>1</v>
      </c>
      <c r="M16594" t="s">
        <v>1706</v>
      </c>
    </row>
    <row r="16595" spans="1:13" x14ac:dyDescent="0.2">
      <c r="A16595" t="s">
        <v>589</v>
      </c>
      <c r="B16595" t="s">
        <v>133</v>
      </c>
      <c r="C16595" t="s">
        <v>9</v>
      </c>
      <c r="D16595">
        <v>1291</v>
      </c>
      <c r="E16595">
        <v>2021</v>
      </c>
      <c r="F16595">
        <v>17</v>
      </c>
      <c r="G16595">
        <v>11992</v>
      </c>
      <c r="H16595" s="1">
        <v>1</v>
      </c>
      <c r="I16595">
        <v>10</v>
      </c>
      <c r="J16595">
        <f>IF($H16595=0,1,IF($I16595&lt;=1,2,0))</f>
        <v>0</v>
      </c>
      <c r="K16595">
        <v>8</v>
      </c>
      <c r="L16595">
        <f>IF(AND($J16595=0,$K16595=0),0,1)</f>
        <v>1</v>
      </c>
      <c r="M16595" t="s">
        <v>1706</v>
      </c>
    </row>
    <row r="16596" spans="1:13" x14ac:dyDescent="0.2">
      <c r="A16596" t="s">
        <v>589</v>
      </c>
      <c r="B16596" t="s">
        <v>133</v>
      </c>
      <c r="C16596" t="s">
        <v>9</v>
      </c>
      <c r="D16596">
        <v>1291</v>
      </c>
      <c r="E16596">
        <v>2021</v>
      </c>
      <c r="F16596">
        <v>25</v>
      </c>
      <c r="G16596">
        <v>11998</v>
      </c>
      <c r="H16596" s="1">
        <v>1</v>
      </c>
      <c r="I16596">
        <v>10</v>
      </c>
      <c r="J16596">
        <f>IF($H16596=0,1,IF($I16596&lt;=1,2,0))</f>
        <v>0</v>
      </c>
      <c r="K16596">
        <v>8</v>
      </c>
      <c r="L16596">
        <f>IF(AND($J16596=0,$K16596=0),0,1)</f>
        <v>1</v>
      </c>
      <c r="M16596" t="s">
        <v>1706</v>
      </c>
    </row>
    <row r="16597" spans="1:13" x14ac:dyDescent="0.2">
      <c r="A16597" t="s">
        <v>589</v>
      </c>
      <c r="B16597" t="s">
        <v>133</v>
      </c>
      <c r="C16597" t="s">
        <v>9</v>
      </c>
      <c r="D16597">
        <v>1291</v>
      </c>
      <c r="E16597">
        <v>2021</v>
      </c>
      <c r="F16597">
        <v>23</v>
      </c>
      <c r="G16597">
        <v>11997</v>
      </c>
      <c r="H16597" s="1">
        <v>1</v>
      </c>
      <c r="I16597">
        <v>7</v>
      </c>
      <c r="J16597">
        <f>IF($H16597=0,1,IF($I16597&lt;=1,2,0))</f>
        <v>0</v>
      </c>
      <c r="K16597">
        <v>8</v>
      </c>
      <c r="L16597">
        <f>IF(AND($J16597=0,$K16597=0),0,1)</f>
        <v>1</v>
      </c>
      <c r="M16597" t="s">
        <v>1706</v>
      </c>
    </row>
    <row r="16598" spans="1:13" x14ac:dyDescent="0.2">
      <c r="A16598" t="s">
        <v>589</v>
      </c>
      <c r="B16598" t="s">
        <v>133</v>
      </c>
      <c r="C16598" t="s">
        <v>9</v>
      </c>
      <c r="D16598">
        <v>1404</v>
      </c>
      <c r="E16598">
        <v>2021</v>
      </c>
      <c r="F16598">
        <v>7</v>
      </c>
      <c r="G16598">
        <v>13414</v>
      </c>
      <c r="H16598" s="1">
        <v>0</v>
      </c>
      <c r="I16598">
        <v>31</v>
      </c>
      <c r="J16598">
        <f>IF($H16598=0,1,IF($I16598&lt;=1,2,0))</f>
        <v>1</v>
      </c>
      <c r="K16598">
        <v>0</v>
      </c>
      <c r="L16598">
        <f>IF(AND($J16598=0,$K16598=0),0,1)</f>
        <v>1</v>
      </c>
    </row>
    <row r="16599" spans="1:13" x14ac:dyDescent="0.2">
      <c r="A16599" t="s">
        <v>589</v>
      </c>
      <c r="B16599" t="s">
        <v>133</v>
      </c>
      <c r="C16599" t="s">
        <v>9</v>
      </c>
      <c r="D16599">
        <v>1404</v>
      </c>
      <c r="E16599">
        <v>2021</v>
      </c>
      <c r="F16599">
        <v>3</v>
      </c>
      <c r="G16599">
        <v>13420</v>
      </c>
      <c r="H16599" s="1">
        <v>0</v>
      </c>
      <c r="I16599">
        <v>29</v>
      </c>
      <c r="J16599">
        <f>IF($H16599=0,1,IF($I16599&lt;=1,2,0))</f>
        <v>1</v>
      </c>
      <c r="K16599">
        <v>0</v>
      </c>
      <c r="L16599">
        <f>IF(AND($J16599=0,$K16599=0),0,1)</f>
        <v>1</v>
      </c>
    </row>
    <row r="16600" spans="1:13" x14ac:dyDescent="0.2">
      <c r="A16600" t="s">
        <v>589</v>
      </c>
      <c r="B16600" t="s">
        <v>133</v>
      </c>
      <c r="C16600" t="s">
        <v>9</v>
      </c>
      <c r="D16600">
        <v>1404</v>
      </c>
      <c r="E16600">
        <v>2021</v>
      </c>
      <c r="F16600">
        <v>8</v>
      </c>
      <c r="G16600">
        <v>13415</v>
      </c>
      <c r="H16600" s="1">
        <v>0</v>
      </c>
      <c r="I16600">
        <v>29</v>
      </c>
      <c r="J16600">
        <f>IF($H16600=0,1,IF($I16600&lt;=1,2,0))</f>
        <v>1</v>
      </c>
      <c r="K16600">
        <v>0</v>
      </c>
      <c r="L16600">
        <f>IF(AND($J16600=0,$K16600=0),0,1)</f>
        <v>1</v>
      </c>
    </row>
    <row r="16601" spans="1:13" x14ac:dyDescent="0.2">
      <c r="A16601" t="s">
        <v>589</v>
      </c>
      <c r="B16601" t="s">
        <v>133</v>
      </c>
      <c r="C16601" t="s">
        <v>9</v>
      </c>
      <c r="D16601">
        <v>1404</v>
      </c>
      <c r="E16601">
        <v>2021</v>
      </c>
      <c r="F16601">
        <v>10</v>
      </c>
      <c r="G16601">
        <v>13417</v>
      </c>
      <c r="H16601" s="1">
        <v>0</v>
      </c>
      <c r="I16601">
        <v>29</v>
      </c>
      <c r="J16601">
        <f>IF($H16601=0,1,IF($I16601&lt;=1,2,0))</f>
        <v>1</v>
      </c>
      <c r="K16601">
        <v>0</v>
      </c>
      <c r="L16601">
        <f>IF(AND($J16601=0,$K16601=0),0,1)</f>
        <v>1</v>
      </c>
    </row>
    <row r="16602" spans="1:13" x14ac:dyDescent="0.2">
      <c r="A16602" t="s">
        <v>589</v>
      </c>
      <c r="B16602" t="s">
        <v>133</v>
      </c>
      <c r="C16602" t="s">
        <v>9</v>
      </c>
      <c r="D16602">
        <v>1404</v>
      </c>
      <c r="E16602">
        <v>2021</v>
      </c>
      <c r="F16602">
        <v>1</v>
      </c>
      <c r="G16602">
        <v>13409</v>
      </c>
      <c r="H16602" s="1">
        <v>0</v>
      </c>
      <c r="I16602">
        <v>28</v>
      </c>
      <c r="J16602">
        <f>IF($H16602=0,1,IF($I16602&lt;=1,2,0))</f>
        <v>1</v>
      </c>
      <c r="K16602">
        <v>0</v>
      </c>
      <c r="L16602">
        <f>IF(AND($J16602=0,$K16602=0),0,1)</f>
        <v>1</v>
      </c>
    </row>
    <row r="16603" spans="1:13" x14ac:dyDescent="0.2">
      <c r="A16603" t="s">
        <v>589</v>
      </c>
      <c r="B16603" t="s">
        <v>133</v>
      </c>
      <c r="C16603" t="s">
        <v>9</v>
      </c>
      <c r="D16603">
        <v>1404</v>
      </c>
      <c r="E16603">
        <v>2021</v>
      </c>
      <c r="F16603">
        <v>6</v>
      </c>
      <c r="G16603">
        <v>13413</v>
      </c>
      <c r="H16603" s="1">
        <v>0</v>
      </c>
      <c r="I16603">
        <v>28</v>
      </c>
      <c r="J16603">
        <f>IF($H16603=0,1,IF($I16603&lt;=1,2,0))</f>
        <v>1</v>
      </c>
      <c r="K16603">
        <v>0</v>
      </c>
      <c r="L16603">
        <f>IF(AND($J16603=0,$K16603=0),0,1)</f>
        <v>1</v>
      </c>
    </row>
    <row r="16604" spans="1:13" x14ac:dyDescent="0.2">
      <c r="A16604" t="s">
        <v>589</v>
      </c>
      <c r="B16604" t="s">
        <v>133</v>
      </c>
      <c r="C16604" t="s">
        <v>9</v>
      </c>
      <c r="D16604">
        <v>1404</v>
      </c>
      <c r="E16604">
        <v>2021</v>
      </c>
      <c r="F16604">
        <v>11</v>
      </c>
      <c r="G16604">
        <v>13418</v>
      </c>
      <c r="H16604" s="1">
        <v>0</v>
      </c>
      <c r="I16604">
        <v>28</v>
      </c>
      <c r="J16604">
        <f>IF($H16604=0,1,IF($I16604&lt;=1,2,0))</f>
        <v>1</v>
      </c>
      <c r="K16604">
        <v>0</v>
      </c>
      <c r="L16604">
        <f>IF(AND($J16604=0,$K16604=0),0,1)</f>
        <v>1</v>
      </c>
    </row>
    <row r="16605" spans="1:13" x14ac:dyDescent="0.2">
      <c r="A16605" t="s">
        <v>589</v>
      </c>
      <c r="B16605" t="s">
        <v>133</v>
      </c>
      <c r="C16605" t="s">
        <v>9</v>
      </c>
      <c r="D16605">
        <v>1404</v>
      </c>
      <c r="E16605">
        <v>2021</v>
      </c>
      <c r="F16605">
        <v>2</v>
      </c>
      <c r="G16605">
        <v>13410</v>
      </c>
      <c r="H16605" s="1">
        <v>0</v>
      </c>
      <c r="I16605">
        <v>26</v>
      </c>
      <c r="J16605">
        <f>IF($H16605=0,1,IF($I16605&lt;=1,2,0))</f>
        <v>1</v>
      </c>
      <c r="K16605">
        <v>0</v>
      </c>
      <c r="L16605">
        <f>IF(AND($J16605=0,$K16605=0),0,1)</f>
        <v>1</v>
      </c>
    </row>
    <row r="16606" spans="1:13" x14ac:dyDescent="0.2">
      <c r="A16606" t="s">
        <v>589</v>
      </c>
      <c r="B16606" t="s">
        <v>133</v>
      </c>
      <c r="C16606" t="s">
        <v>9</v>
      </c>
      <c r="D16606">
        <v>1404</v>
      </c>
      <c r="E16606">
        <v>2021</v>
      </c>
      <c r="F16606">
        <v>4</v>
      </c>
      <c r="G16606">
        <v>13411</v>
      </c>
      <c r="H16606" s="1">
        <v>0</v>
      </c>
      <c r="I16606">
        <v>26</v>
      </c>
      <c r="J16606">
        <f>IF($H16606=0,1,IF($I16606&lt;=1,2,0))</f>
        <v>1</v>
      </c>
      <c r="K16606">
        <v>0</v>
      </c>
      <c r="L16606">
        <f>IF(AND($J16606=0,$K16606=0),0,1)</f>
        <v>1</v>
      </c>
    </row>
    <row r="16607" spans="1:13" x14ac:dyDescent="0.2">
      <c r="A16607" t="s">
        <v>589</v>
      </c>
      <c r="B16607" t="s">
        <v>133</v>
      </c>
      <c r="C16607" t="s">
        <v>9</v>
      </c>
      <c r="D16607">
        <v>1404</v>
      </c>
      <c r="E16607">
        <v>2021</v>
      </c>
      <c r="F16607">
        <v>5</v>
      </c>
      <c r="G16607">
        <v>13412</v>
      </c>
      <c r="H16607" s="1">
        <v>0</v>
      </c>
      <c r="I16607">
        <v>26</v>
      </c>
      <c r="J16607">
        <f>IF($H16607=0,1,IF($I16607&lt;=1,2,0))</f>
        <v>1</v>
      </c>
      <c r="K16607">
        <v>0</v>
      </c>
      <c r="L16607">
        <f>IF(AND($J16607=0,$K16607=0),0,1)</f>
        <v>1</v>
      </c>
    </row>
    <row r="16608" spans="1:13" x14ac:dyDescent="0.2">
      <c r="A16608" t="s">
        <v>589</v>
      </c>
      <c r="B16608" t="s">
        <v>133</v>
      </c>
      <c r="C16608" t="s">
        <v>9</v>
      </c>
      <c r="D16608">
        <v>1404</v>
      </c>
      <c r="E16608">
        <v>2021</v>
      </c>
      <c r="F16608">
        <v>12</v>
      </c>
      <c r="G16608">
        <v>13419</v>
      </c>
      <c r="H16608" s="1">
        <v>0</v>
      </c>
      <c r="I16608">
        <v>26</v>
      </c>
      <c r="J16608">
        <f>IF($H16608=0,1,IF($I16608&lt;=1,2,0))</f>
        <v>1</v>
      </c>
      <c r="K16608">
        <v>0</v>
      </c>
      <c r="L16608">
        <f>IF(AND($J16608=0,$K16608=0),0,1)</f>
        <v>1</v>
      </c>
    </row>
    <row r="16609" spans="1:13" x14ac:dyDescent="0.2">
      <c r="A16609" t="s">
        <v>589</v>
      </c>
      <c r="B16609" t="s">
        <v>133</v>
      </c>
      <c r="C16609" t="s">
        <v>9</v>
      </c>
      <c r="D16609">
        <v>1404</v>
      </c>
      <c r="E16609">
        <v>2021</v>
      </c>
      <c r="F16609">
        <v>9</v>
      </c>
      <c r="G16609">
        <v>13416</v>
      </c>
      <c r="H16609" s="1">
        <v>0</v>
      </c>
      <c r="I16609">
        <v>25</v>
      </c>
      <c r="J16609">
        <f>IF($H16609=0,1,IF($I16609&lt;=1,2,0))</f>
        <v>1</v>
      </c>
      <c r="K16609">
        <v>0</v>
      </c>
      <c r="L16609">
        <f>IF(AND($J16609=0,$K16609=0),0,1)</f>
        <v>1</v>
      </c>
    </row>
    <row r="16610" spans="1:13" x14ac:dyDescent="0.2">
      <c r="A16610" t="s">
        <v>589</v>
      </c>
      <c r="B16610" t="s">
        <v>133</v>
      </c>
      <c r="C16610" t="s">
        <v>9</v>
      </c>
      <c r="D16610">
        <v>1404</v>
      </c>
      <c r="E16610">
        <v>2021</v>
      </c>
      <c r="F16610">
        <v>13</v>
      </c>
      <c r="G16610">
        <v>20411</v>
      </c>
      <c r="H16610" s="1">
        <v>0</v>
      </c>
      <c r="I16610">
        <v>10</v>
      </c>
      <c r="J16610">
        <f>IF($H16610=0,1,IF($I16610&lt;=1,2,0))</f>
        <v>1</v>
      </c>
      <c r="K16610">
        <v>0</v>
      </c>
      <c r="L16610">
        <f>IF(AND($J16610=0,$K16610=0),0,1)</f>
        <v>1</v>
      </c>
    </row>
    <row r="16611" spans="1:13" x14ac:dyDescent="0.2">
      <c r="A16611" t="s">
        <v>589</v>
      </c>
      <c r="B16611" t="s">
        <v>133</v>
      </c>
      <c r="C16611" t="s">
        <v>9</v>
      </c>
      <c r="D16611">
        <v>1603</v>
      </c>
      <c r="E16611">
        <v>2021</v>
      </c>
      <c r="F16611">
        <v>3</v>
      </c>
      <c r="G16611">
        <v>13423</v>
      </c>
      <c r="H16611" s="1">
        <v>0</v>
      </c>
      <c r="I16611">
        <v>29</v>
      </c>
      <c r="J16611">
        <f>IF($H16611=0,1,IF($I16611&lt;=1,2,0))</f>
        <v>1</v>
      </c>
      <c r="K16611">
        <v>0</v>
      </c>
      <c r="L16611">
        <f>IF(AND($J16611=0,$K16611=0),0,1)</f>
        <v>1</v>
      </c>
    </row>
    <row r="16612" spans="1:13" x14ac:dyDescent="0.2">
      <c r="A16612" t="s">
        <v>589</v>
      </c>
      <c r="B16612" t="s">
        <v>133</v>
      </c>
      <c r="C16612" t="s">
        <v>9</v>
      </c>
      <c r="D16612">
        <v>1603</v>
      </c>
      <c r="E16612">
        <v>2021</v>
      </c>
      <c r="F16612">
        <v>4</v>
      </c>
      <c r="G16612">
        <v>13424</v>
      </c>
      <c r="H16612" s="1">
        <v>0</v>
      </c>
      <c r="I16612">
        <v>29</v>
      </c>
      <c r="J16612">
        <f>IF($H16612=0,1,IF($I16612&lt;=1,2,0))</f>
        <v>1</v>
      </c>
      <c r="K16612">
        <v>0</v>
      </c>
      <c r="L16612">
        <f>IF(AND($J16612=0,$K16612=0),0,1)</f>
        <v>1</v>
      </c>
    </row>
    <row r="16613" spans="1:13" x14ac:dyDescent="0.2">
      <c r="A16613" t="s">
        <v>589</v>
      </c>
      <c r="B16613" t="s">
        <v>133</v>
      </c>
      <c r="C16613" t="s">
        <v>9</v>
      </c>
      <c r="D16613">
        <v>1603</v>
      </c>
      <c r="E16613">
        <v>2021</v>
      </c>
      <c r="F16613">
        <v>1</v>
      </c>
      <c r="G16613">
        <v>13421</v>
      </c>
      <c r="H16613" s="1">
        <v>0</v>
      </c>
      <c r="I16613">
        <v>28</v>
      </c>
      <c r="J16613">
        <f>IF($H16613=0,1,IF($I16613&lt;=1,2,0))</f>
        <v>1</v>
      </c>
      <c r="K16613">
        <v>0</v>
      </c>
      <c r="L16613">
        <f>IF(AND($J16613=0,$K16613=0),0,1)</f>
        <v>1</v>
      </c>
    </row>
    <row r="16614" spans="1:13" x14ac:dyDescent="0.2">
      <c r="A16614" t="s">
        <v>589</v>
      </c>
      <c r="B16614" t="s">
        <v>133</v>
      </c>
      <c r="C16614" t="s">
        <v>9</v>
      </c>
      <c r="D16614">
        <v>1603</v>
      </c>
      <c r="E16614">
        <v>2021</v>
      </c>
      <c r="F16614">
        <v>5</v>
      </c>
      <c r="G16614">
        <v>13425</v>
      </c>
      <c r="H16614" s="1">
        <v>0</v>
      </c>
      <c r="I16614">
        <v>26</v>
      </c>
      <c r="J16614">
        <f>IF($H16614=0,1,IF($I16614&lt;=1,2,0))</f>
        <v>1</v>
      </c>
      <c r="K16614">
        <v>0</v>
      </c>
      <c r="L16614">
        <f>IF(AND($J16614=0,$K16614=0),0,1)</f>
        <v>1</v>
      </c>
    </row>
    <row r="16615" spans="1:13" x14ac:dyDescent="0.2">
      <c r="A16615" t="s">
        <v>589</v>
      </c>
      <c r="B16615" t="s">
        <v>133</v>
      </c>
      <c r="C16615" t="s">
        <v>9</v>
      </c>
      <c r="D16615">
        <v>1603</v>
      </c>
      <c r="E16615">
        <v>2021</v>
      </c>
      <c r="F16615">
        <v>2</v>
      </c>
      <c r="G16615">
        <v>13422</v>
      </c>
      <c r="H16615" s="1">
        <v>0</v>
      </c>
      <c r="I16615">
        <v>13</v>
      </c>
      <c r="J16615">
        <f>IF($H16615=0,1,IF($I16615&lt;=1,2,0))</f>
        <v>1</v>
      </c>
      <c r="K16615">
        <v>0</v>
      </c>
      <c r="L16615">
        <f>IF(AND($J16615=0,$K16615=0),0,1)</f>
        <v>1</v>
      </c>
    </row>
    <row r="16616" spans="1:13" x14ac:dyDescent="0.2">
      <c r="A16616" t="s">
        <v>589</v>
      </c>
      <c r="B16616" t="s">
        <v>133</v>
      </c>
      <c r="C16616" t="s">
        <v>9</v>
      </c>
      <c r="D16616">
        <v>1603</v>
      </c>
      <c r="E16616">
        <v>2021</v>
      </c>
      <c r="F16616">
        <v>6</v>
      </c>
      <c r="G16616">
        <v>13426</v>
      </c>
      <c r="H16616" s="1">
        <v>0</v>
      </c>
      <c r="I16616">
        <v>6</v>
      </c>
      <c r="J16616">
        <f>IF($H16616=0,1,IF($I16616&lt;=1,2,0))</f>
        <v>1</v>
      </c>
      <c r="K16616">
        <v>0</v>
      </c>
      <c r="L16616">
        <f>IF(AND($J16616=0,$K16616=0),0,1)</f>
        <v>1</v>
      </c>
    </row>
    <row r="16617" spans="1:13" x14ac:dyDescent="0.2">
      <c r="A16617" t="s">
        <v>589</v>
      </c>
      <c r="B16617" t="s">
        <v>133</v>
      </c>
      <c r="C16617" t="s">
        <v>2</v>
      </c>
      <c r="D16617">
        <v>2001</v>
      </c>
      <c r="E16617">
        <v>2021</v>
      </c>
      <c r="F16617">
        <v>1</v>
      </c>
      <c r="G16617">
        <v>155</v>
      </c>
      <c r="H16617" s="1">
        <v>4.5</v>
      </c>
      <c r="I16617">
        <v>33</v>
      </c>
      <c r="J16617">
        <f>IF($H16617=0,1,IF($I16617&lt;=1,2,0))</f>
        <v>0</v>
      </c>
      <c r="K16617">
        <v>7</v>
      </c>
      <c r="L16617">
        <f>IF(AND($J16617=0,$K16617=0),0,1)</f>
        <v>1</v>
      </c>
      <c r="M16617" t="s">
        <v>595</v>
      </c>
    </row>
    <row r="16618" spans="1:13" x14ac:dyDescent="0.2">
      <c r="A16618" t="s">
        <v>589</v>
      </c>
      <c r="B16618" t="s">
        <v>133</v>
      </c>
      <c r="C16618" t="s">
        <v>2</v>
      </c>
      <c r="D16618">
        <v>2009</v>
      </c>
      <c r="E16618">
        <v>2021</v>
      </c>
      <c r="F16618">
        <v>1</v>
      </c>
      <c r="G16618">
        <v>154</v>
      </c>
      <c r="H16618" s="1">
        <v>1.5</v>
      </c>
      <c r="I16618">
        <v>39</v>
      </c>
      <c r="J16618">
        <f>IF($H16618=0,1,IF($I16618&lt;=1,2,0))</f>
        <v>0</v>
      </c>
      <c r="K16618">
        <v>7</v>
      </c>
      <c r="L16618">
        <f>IF(AND($J16618=0,$K16618=0),0,1)</f>
        <v>1</v>
      </c>
      <c r="M16618" t="s">
        <v>596</v>
      </c>
    </row>
    <row r="16619" spans="1:13" x14ac:dyDescent="0.2">
      <c r="A16619" t="s">
        <v>589</v>
      </c>
      <c r="B16619" t="s">
        <v>133</v>
      </c>
      <c r="C16619" t="s">
        <v>2</v>
      </c>
      <c r="D16619">
        <v>2010</v>
      </c>
      <c r="E16619">
        <v>2021</v>
      </c>
      <c r="F16619">
        <v>1</v>
      </c>
      <c r="G16619">
        <v>156</v>
      </c>
      <c r="H16619" s="1">
        <v>3</v>
      </c>
      <c r="I16619">
        <v>1</v>
      </c>
      <c r="J16619">
        <f>IF($H16619=0,1,IF($I16619&lt;=1,2,0))</f>
        <v>2</v>
      </c>
      <c r="K16619">
        <v>7</v>
      </c>
      <c r="L16619">
        <f>IF(AND($J16619=0,$K16619=0),0,1)</f>
        <v>1</v>
      </c>
    </row>
    <row r="16620" spans="1:13" x14ac:dyDescent="0.2">
      <c r="A16620" t="s">
        <v>589</v>
      </c>
      <c r="B16620" t="s">
        <v>133</v>
      </c>
      <c r="C16620" t="s">
        <v>9</v>
      </c>
      <c r="D16620">
        <v>2603</v>
      </c>
      <c r="E16620">
        <v>2021</v>
      </c>
      <c r="F16620">
        <v>3</v>
      </c>
      <c r="G16620">
        <v>13429</v>
      </c>
      <c r="H16620" s="1">
        <v>0</v>
      </c>
      <c r="I16620">
        <v>24</v>
      </c>
      <c r="J16620">
        <f>IF($H16620=0,1,IF($I16620&lt;=1,2,0))</f>
        <v>1</v>
      </c>
      <c r="K16620">
        <v>0</v>
      </c>
      <c r="L16620">
        <f>IF(AND($J16620=0,$K16620=0),0,1)</f>
        <v>1</v>
      </c>
    </row>
    <row r="16621" spans="1:13" x14ac:dyDescent="0.2">
      <c r="A16621" t="s">
        <v>589</v>
      </c>
      <c r="B16621" t="s">
        <v>133</v>
      </c>
      <c r="C16621" t="s">
        <v>9</v>
      </c>
      <c r="D16621">
        <v>2603</v>
      </c>
      <c r="E16621">
        <v>2021</v>
      </c>
      <c r="F16621">
        <v>2</v>
      </c>
      <c r="G16621">
        <v>13428</v>
      </c>
      <c r="H16621" s="1">
        <v>0</v>
      </c>
      <c r="I16621">
        <v>23</v>
      </c>
      <c r="J16621">
        <f>IF($H16621=0,1,IF($I16621&lt;=1,2,0))</f>
        <v>1</v>
      </c>
      <c r="K16621">
        <v>0</v>
      </c>
      <c r="L16621">
        <f>IF(AND($J16621=0,$K16621=0),0,1)</f>
        <v>1</v>
      </c>
    </row>
    <row r="16622" spans="1:13" x14ac:dyDescent="0.2">
      <c r="A16622" t="s">
        <v>589</v>
      </c>
      <c r="B16622" t="s">
        <v>133</v>
      </c>
      <c r="C16622" t="s">
        <v>9</v>
      </c>
      <c r="D16622">
        <v>2603</v>
      </c>
      <c r="E16622">
        <v>2021</v>
      </c>
      <c r="F16622">
        <v>1</v>
      </c>
      <c r="G16622">
        <v>13427</v>
      </c>
      <c r="H16622" s="1">
        <v>0</v>
      </c>
      <c r="I16622">
        <v>16</v>
      </c>
      <c r="J16622">
        <f>IF($H16622=0,1,IF($I16622&lt;=1,2,0))</f>
        <v>1</v>
      </c>
      <c r="K16622">
        <v>0</v>
      </c>
      <c r="L16622">
        <f>IF(AND($J16622=0,$K16622=0),0,1)</f>
        <v>1</v>
      </c>
    </row>
    <row r="16623" spans="1:13" x14ac:dyDescent="0.2">
      <c r="A16623" t="s">
        <v>589</v>
      </c>
      <c r="B16623" t="s">
        <v>133</v>
      </c>
      <c r="C16623" t="s">
        <v>2</v>
      </c>
      <c r="D16623">
        <v>3001</v>
      </c>
      <c r="E16623">
        <v>2021</v>
      </c>
      <c r="F16623">
        <v>1</v>
      </c>
      <c r="G16623">
        <v>145</v>
      </c>
      <c r="H16623" s="1">
        <v>5</v>
      </c>
      <c r="I16623">
        <v>9</v>
      </c>
      <c r="J16623">
        <f>IF($H16623=0,1,IF($I16623&lt;=1,2,0))</f>
        <v>0</v>
      </c>
      <c r="K16623">
        <v>7</v>
      </c>
      <c r="L16623">
        <f>IF(AND($J16623=0,$K16623=0),0,1)</f>
        <v>1</v>
      </c>
    </row>
    <row r="16624" spans="1:13" x14ac:dyDescent="0.2">
      <c r="A16624" t="s">
        <v>589</v>
      </c>
      <c r="B16624" t="s">
        <v>133</v>
      </c>
      <c r="C16624" t="s">
        <v>2</v>
      </c>
      <c r="D16624">
        <v>3010</v>
      </c>
      <c r="E16624">
        <v>2021</v>
      </c>
      <c r="F16624">
        <v>1</v>
      </c>
      <c r="G16624">
        <v>153</v>
      </c>
      <c r="H16624" s="1">
        <v>3</v>
      </c>
      <c r="I16624">
        <v>0</v>
      </c>
      <c r="J16624">
        <f>IF($H16624=0,1,IF($I16624&lt;=1,2,0))</f>
        <v>2</v>
      </c>
      <c r="K16624">
        <v>7</v>
      </c>
      <c r="L16624">
        <f>IF(AND($J16624=0,$K16624=0),0,1)</f>
        <v>1</v>
      </c>
    </row>
    <row r="16625" spans="1:13" x14ac:dyDescent="0.2">
      <c r="A16625" t="s">
        <v>589</v>
      </c>
      <c r="B16625" t="s">
        <v>133</v>
      </c>
      <c r="C16625" t="s">
        <v>2</v>
      </c>
      <c r="D16625">
        <v>3088</v>
      </c>
      <c r="E16625">
        <v>2021</v>
      </c>
      <c r="F16625">
        <v>1</v>
      </c>
      <c r="G16625">
        <v>148</v>
      </c>
      <c r="H16625" s="1">
        <v>3</v>
      </c>
      <c r="I16625">
        <v>6</v>
      </c>
      <c r="J16625">
        <f>IF($H16625=0,1,IF($I16625&lt;=1,2,0))</f>
        <v>0</v>
      </c>
      <c r="K16625">
        <v>7</v>
      </c>
      <c r="L16625">
        <f>IF(AND($J16625=0,$K16625=0),0,1)</f>
        <v>1</v>
      </c>
    </row>
    <row r="16626" spans="1:13" x14ac:dyDescent="0.2">
      <c r="A16626" t="s">
        <v>589</v>
      </c>
      <c r="B16626" t="s">
        <v>133</v>
      </c>
      <c r="C16626" t="s">
        <v>9</v>
      </c>
      <c r="D16626">
        <v>3500</v>
      </c>
      <c r="E16626">
        <v>2021</v>
      </c>
      <c r="F16626">
        <v>1</v>
      </c>
      <c r="G16626">
        <v>11946</v>
      </c>
      <c r="H16626" s="1">
        <v>3</v>
      </c>
      <c r="I16626">
        <v>0</v>
      </c>
      <c r="J16626">
        <f>IF($H16626=0,1,IF($I16626&lt;=1,2,0))</f>
        <v>2</v>
      </c>
      <c r="K16626">
        <v>0</v>
      </c>
      <c r="L16626">
        <f>IF(AND($J16626=0,$K16626=0),0,1)</f>
        <v>1</v>
      </c>
    </row>
    <row r="16627" spans="1:13" x14ac:dyDescent="0.2">
      <c r="A16627" t="s">
        <v>589</v>
      </c>
      <c r="B16627" t="s">
        <v>133</v>
      </c>
      <c r="C16627" t="s">
        <v>9</v>
      </c>
      <c r="D16627">
        <v>3900</v>
      </c>
      <c r="E16627">
        <v>2021</v>
      </c>
      <c r="F16627">
        <v>1</v>
      </c>
      <c r="G16627">
        <v>11947</v>
      </c>
      <c r="H16627" s="1" t="s">
        <v>1844</v>
      </c>
      <c r="I16627">
        <v>7</v>
      </c>
      <c r="J16627">
        <f>IF($H16627=0,1,IF($I16627&lt;=1,2,0))</f>
        <v>0</v>
      </c>
      <c r="K16627">
        <v>9</v>
      </c>
      <c r="L16627">
        <f>IF(AND($J16627=0,$K16627=0),0,1)</f>
        <v>1</v>
      </c>
    </row>
    <row r="16628" spans="1:13" x14ac:dyDescent="0.2">
      <c r="A16628" t="s">
        <v>589</v>
      </c>
      <c r="B16628" t="s">
        <v>133</v>
      </c>
      <c r="C16628" t="s">
        <v>2</v>
      </c>
      <c r="D16628">
        <v>3900</v>
      </c>
      <c r="E16628">
        <v>2021</v>
      </c>
      <c r="F16628">
        <v>1</v>
      </c>
      <c r="G16628">
        <v>149</v>
      </c>
      <c r="H16628" s="1" t="s">
        <v>1844</v>
      </c>
      <c r="I16628">
        <v>1</v>
      </c>
      <c r="J16628">
        <f>IF($H16628=0,1,IF($I16628&lt;=1,2,0))</f>
        <v>2</v>
      </c>
      <c r="K16628">
        <v>7</v>
      </c>
      <c r="L16628">
        <f>IF(AND($J16628=0,$K16628=0),0,1)</f>
        <v>1</v>
      </c>
    </row>
    <row r="16629" spans="1:13" x14ac:dyDescent="0.2">
      <c r="A16629" t="s">
        <v>589</v>
      </c>
      <c r="B16629" t="s">
        <v>133</v>
      </c>
      <c r="C16629" t="s">
        <v>11</v>
      </c>
      <c r="D16629">
        <v>6905</v>
      </c>
      <c r="E16629">
        <v>2021</v>
      </c>
      <c r="F16629">
        <v>1</v>
      </c>
      <c r="G16629">
        <v>13366</v>
      </c>
      <c r="H16629" s="1">
        <v>0</v>
      </c>
      <c r="I16629">
        <v>6</v>
      </c>
      <c r="J16629">
        <f>IF($H16629=0,1,IF($I16629&lt;=1,2,0))</f>
        <v>1</v>
      </c>
      <c r="K16629">
        <v>0</v>
      </c>
      <c r="L16629">
        <f>IF(AND($J16629=0,$K16629=0),0,1)</f>
        <v>1</v>
      </c>
    </row>
    <row r="16630" spans="1:13" x14ac:dyDescent="0.2">
      <c r="A16630" t="s">
        <v>600</v>
      </c>
      <c r="B16630" t="s">
        <v>17</v>
      </c>
      <c r="C16630" t="s">
        <v>9</v>
      </c>
      <c r="D16630">
        <v>2101</v>
      </c>
      <c r="E16630">
        <v>2021</v>
      </c>
      <c r="F16630">
        <v>1</v>
      </c>
      <c r="G16630">
        <v>10142</v>
      </c>
      <c r="H16630" s="1">
        <v>4</v>
      </c>
      <c r="I16630">
        <v>1</v>
      </c>
      <c r="J16630">
        <f>IF($H16630=0,1,IF($I16630&lt;=1,2,0))</f>
        <v>2</v>
      </c>
      <c r="K16630">
        <v>0</v>
      </c>
      <c r="L16630">
        <f>IF(AND($J16630=0,$K16630=0),0,1)</f>
        <v>1</v>
      </c>
    </row>
    <row r="16631" spans="1:13" x14ac:dyDescent="0.2">
      <c r="A16631" t="s">
        <v>601</v>
      </c>
      <c r="B16631" t="s">
        <v>6</v>
      </c>
      <c r="C16631" t="s">
        <v>9</v>
      </c>
      <c r="D16631">
        <v>1211</v>
      </c>
      <c r="E16631">
        <v>2021</v>
      </c>
      <c r="F16631">
        <v>1</v>
      </c>
      <c r="G16631">
        <v>13291</v>
      </c>
      <c r="H16631" s="1">
        <v>0</v>
      </c>
      <c r="I16631">
        <v>21</v>
      </c>
      <c r="J16631">
        <f>IF($H16631=0,1,IF($I16631&lt;=1,2,0))</f>
        <v>1</v>
      </c>
      <c r="K16631">
        <v>0</v>
      </c>
      <c r="L16631">
        <f>IF(AND($J16631=0,$K16631=0),0,1)</f>
        <v>1</v>
      </c>
      <c r="M16631" t="s">
        <v>614</v>
      </c>
    </row>
    <row r="16632" spans="1:13" x14ac:dyDescent="0.2">
      <c r="A16632" t="s">
        <v>601</v>
      </c>
      <c r="B16632" t="s">
        <v>6</v>
      </c>
      <c r="C16632" t="s">
        <v>9</v>
      </c>
      <c r="D16632">
        <v>1211</v>
      </c>
      <c r="E16632">
        <v>2021</v>
      </c>
      <c r="F16632">
        <v>7</v>
      </c>
      <c r="G16632">
        <v>13297</v>
      </c>
      <c r="H16632" s="1">
        <v>0</v>
      </c>
      <c r="I16632">
        <v>21</v>
      </c>
      <c r="J16632">
        <f>IF($H16632=0,1,IF($I16632&lt;=1,2,0))</f>
        <v>1</v>
      </c>
      <c r="K16632">
        <v>0</v>
      </c>
      <c r="L16632">
        <f>IF(AND($J16632=0,$K16632=0),0,1)</f>
        <v>1</v>
      </c>
      <c r="M16632" t="s">
        <v>614</v>
      </c>
    </row>
    <row r="16633" spans="1:13" x14ac:dyDescent="0.2">
      <c r="A16633" t="s">
        <v>601</v>
      </c>
      <c r="B16633" t="s">
        <v>6</v>
      </c>
      <c r="C16633" t="s">
        <v>9</v>
      </c>
      <c r="D16633">
        <v>1211</v>
      </c>
      <c r="E16633">
        <v>2021</v>
      </c>
      <c r="F16633">
        <v>4</v>
      </c>
      <c r="G16633">
        <v>13294</v>
      </c>
      <c r="H16633" s="1">
        <v>0</v>
      </c>
      <c r="I16633">
        <v>20</v>
      </c>
      <c r="J16633">
        <f>IF($H16633=0,1,IF($I16633&lt;=1,2,0))</f>
        <v>1</v>
      </c>
      <c r="K16633">
        <v>0</v>
      </c>
      <c r="L16633">
        <f>IF(AND($J16633=0,$K16633=0),0,1)</f>
        <v>1</v>
      </c>
      <c r="M16633" t="s">
        <v>614</v>
      </c>
    </row>
    <row r="16634" spans="1:13" x14ac:dyDescent="0.2">
      <c r="A16634" t="s">
        <v>601</v>
      </c>
      <c r="B16634" t="s">
        <v>6</v>
      </c>
      <c r="C16634" t="s">
        <v>9</v>
      </c>
      <c r="D16634">
        <v>1211</v>
      </c>
      <c r="E16634">
        <v>2021</v>
      </c>
      <c r="F16634">
        <v>5</v>
      </c>
      <c r="G16634">
        <v>13295</v>
      </c>
      <c r="H16634" s="1">
        <v>0</v>
      </c>
      <c r="I16634">
        <v>20</v>
      </c>
      <c r="J16634">
        <f>IF($H16634=0,1,IF($I16634&lt;=1,2,0))</f>
        <v>1</v>
      </c>
      <c r="K16634">
        <v>0</v>
      </c>
      <c r="L16634">
        <f>IF(AND($J16634=0,$K16634=0),0,1)</f>
        <v>1</v>
      </c>
      <c r="M16634" t="s">
        <v>614</v>
      </c>
    </row>
    <row r="16635" spans="1:13" x14ac:dyDescent="0.2">
      <c r="A16635" t="s">
        <v>601</v>
      </c>
      <c r="B16635" t="s">
        <v>6</v>
      </c>
      <c r="C16635" t="s">
        <v>9</v>
      </c>
      <c r="D16635">
        <v>1211</v>
      </c>
      <c r="E16635">
        <v>2021</v>
      </c>
      <c r="F16635">
        <v>15</v>
      </c>
      <c r="G16635">
        <v>13305</v>
      </c>
      <c r="H16635" s="1">
        <v>0</v>
      </c>
      <c r="I16635">
        <v>20</v>
      </c>
      <c r="J16635">
        <f>IF($H16635=0,1,IF($I16635&lt;=1,2,0))</f>
        <v>1</v>
      </c>
      <c r="K16635">
        <v>0</v>
      </c>
      <c r="L16635">
        <f>IF(AND($J16635=0,$K16635=0),0,1)</f>
        <v>1</v>
      </c>
      <c r="M16635" t="s">
        <v>614</v>
      </c>
    </row>
    <row r="16636" spans="1:13" x14ac:dyDescent="0.2">
      <c r="A16636" t="s">
        <v>601</v>
      </c>
      <c r="B16636" t="s">
        <v>6</v>
      </c>
      <c r="C16636" t="s">
        <v>9</v>
      </c>
      <c r="D16636">
        <v>1211</v>
      </c>
      <c r="E16636">
        <v>2021</v>
      </c>
      <c r="F16636">
        <v>3</v>
      </c>
      <c r="G16636">
        <v>13293</v>
      </c>
      <c r="H16636" s="1">
        <v>0</v>
      </c>
      <c r="I16636">
        <v>19</v>
      </c>
      <c r="J16636">
        <f>IF($H16636=0,1,IF($I16636&lt;=1,2,0))</f>
        <v>1</v>
      </c>
      <c r="K16636">
        <v>0</v>
      </c>
      <c r="L16636">
        <f>IF(AND($J16636=0,$K16636=0),0,1)</f>
        <v>1</v>
      </c>
      <c r="M16636" t="s">
        <v>614</v>
      </c>
    </row>
    <row r="16637" spans="1:13" x14ac:dyDescent="0.2">
      <c r="A16637" t="s">
        <v>601</v>
      </c>
      <c r="B16637" t="s">
        <v>6</v>
      </c>
      <c r="C16637" t="s">
        <v>9</v>
      </c>
      <c r="D16637">
        <v>1211</v>
      </c>
      <c r="E16637">
        <v>2021</v>
      </c>
      <c r="F16637">
        <v>9</v>
      </c>
      <c r="G16637">
        <v>13299</v>
      </c>
      <c r="H16637" s="1">
        <v>0</v>
      </c>
      <c r="I16637">
        <v>19</v>
      </c>
      <c r="J16637">
        <f>IF($H16637=0,1,IF($I16637&lt;=1,2,0))</f>
        <v>1</v>
      </c>
      <c r="K16637">
        <v>0</v>
      </c>
      <c r="L16637">
        <f>IF(AND($J16637=0,$K16637=0),0,1)</f>
        <v>1</v>
      </c>
      <c r="M16637" t="s">
        <v>614</v>
      </c>
    </row>
    <row r="16638" spans="1:13" x14ac:dyDescent="0.2">
      <c r="A16638" t="s">
        <v>601</v>
      </c>
      <c r="B16638" t="s">
        <v>6</v>
      </c>
      <c r="C16638" t="s">
        <v>9</v>
      </c>
      <c r="D16638">
        <v>1211</v>
      </c>
      <c r="E16638">
        <v>2021</v>
      </c>
      <c r="F16638">
        <v>10</v>
      </c>
      <c r="G16638">
        <v>13300</v>
      </c>
      <c r="H16638" s="1">
        <v>0</v>
      </c>
      <c r="I16638">
        <v>19</v>
      </c>
      <c r="J16638">
        <f>IF($H16638=0,1,IF($I16638&lt;=1,2,0))</f>
        <v>1</v>
      </c>
      <c r="K16638">
        <v>0</v>
      </c>
      <c r="L16638">
        <f>IF(AND($J16638=0,$K16638=0),0,1)</f>
        <v>1</v>
      </c>
      <c r="M16638" t="s">
        <v>614</v>
      </c>
    </row>
    <row r="16639" spans="1:13" x14ac:dyDescent="0.2">
      <c r="A16639" t="s">
        <v>601</v>
      </c>
      <c r="B16639" t="s">
        <v>6</v>
      </c>
      <c r="C16639" t="s">
        <v>9</v>
      </c>
      <c r="D16639">
        <v>1211</v>
      </c>
      <c r="E16639">
        <v>2021</v>
      </c>
      <c r="F16639">
        <v>12</v>
      </c>
      <c r="G16639">
        <v>13302</v>
      </c>
      <c r="H16639" s="1">
        <v>0</v>
      </c>
      <c r="I16639">
        <v>19</v>
      </c>
      <c r="J16639">
        <f>IF($H16639=0,1,IF($I16639&lt;=1,2,0))</f>
        <v>1</v>
      </c>
      <c r="K16639">
        <v>0</v>
      </c>
      <c r="L16639">
        <f>IF(AND($J16639=0,$K16639=0),0,1)</f>
        <v>1</v>
      </c>
      <c r="M16639" t="s">
        <v>614</v>
      </c>
    </row>
    <row r="16640" spans="1:13" x14ac:dyDescent="0.2">
      <c r="A16640" t="s">
        <v>601</v>
      </c>
      <c r="B16640" t="s">
        <v>6</v>
      </c>
      <c r="C16640" t="s">
        <v>9</v>
      </c>
      <c r="D16640">
        <v>1211</v>
      </c>
      <c r="E16640">
        <v>2021</v>
      </c>
      <c r="F16640">
        <v>16</v>
      </c>
      <c r="G16640">
        <v>13306</v>
      </c>
      <c r="H16640" s="1">
        <v>0</v>
      </c>
      <c r="I16640">
        <v>19</v>
      </c>
      <c r="J16640">
        <f>IF($H16640=0,1,IF($I16640&lt;=1,2,0))</f>
        <v>1</v>
      </c>
      <c r="K16640">
        <v>0</v>
      </c>
      <c r="L16640">
        <f>IF(AND($J16640=0,$K16640=0),0,1)</f>
        <v>1</v>
      </c>
      <c r="M16640" t="s">
        <v>614</v>
      </c>
    </row>
    <row r="16641" spans="1:13" x14ac:dyDescent="0.2">
      <c r="A16641" t="s">
        <v>601</v>
      </c>
      <c r="B16641" t="s">
        <v>6</v>
      </c>
      <c r="C16641" t="s">
        <v>9</v>
      </c>
      <c r="D16641">
        <v>1211</v>
      </c>
      <c r="E16641">
        <v>2021</v>
      </c>
      <c r="F16641">
        <v>6</v>
      </c>
      <c r="G16641">
        <v>13296</v>
      </c>
      <c r="H16641" s="1">
        <v>0</v>
      </c>
      <c r="I16641">
        <v>18</v>
      </c>
      <c r="J16641">
        <f>IF($H16641=0,1,IF($I16641&lt;=1,2,0))</f>
        <v>1</v>
      </c>
      <c r="K16641">
        <v>0</v>
      </c>
      <c r="L16641">
        <f>IF(AND($J16641=0,$K16641=0),0,1)</f>
        <v>1</v>
      </c>
      <c r="M16641" t="s">
        <v>614</v>
      </c>
    </row>
    <row r="16642" spans="1:13" x14ac:dyDescent="0.2">
      <c r="A16642" t="s">
        <v>601</v>
      </c>
      <c r="B16642" t="s">
        <v>6</v>
      </c>
      <c r="C16642" t="s">
        <v>9</v>
      </c>
      <c r="D16642">
        <v>1211</v>
      </c>
      <c r="E16642">
        <v>2021</v>
      </c>
      <c r="F16642">
        <v>8</v>
      </c>
      <c r="G16642">
        <v>13298</v>
      </c>
      <c r="H16642" s="1">
        <v>0</v>
      </c>
      <c r="I16642">
        <v>18</v>
      </c>
      <c r="J16642">
        <f>IF($H16642=0,1,IF($I16642&lt;=1,2,0))</f>
        <v>1</v>
      </c>
      <c r="K16642">
        <v>0</v>
      </c>
      <c r="L16642">
        <f>IF(AND($J16642=0,$K16642=0),0,1)</f>
        <v>1</v>
      </c>
      <c r="M16642" t="s">
        <v>614</v>
      </c>
    </row>
    <row r="16643" spans="1:13" x14ac:dyDescent="0.2">
      <c r="A16643" t="s">
        <v>601</v>
      </c>
      <c r="B16643" t="s">
        <v>6</v>
      </c>
      <c r="C16643" t="s">
        <v>9</v>
      </c>
      <c r="D16643">
        <v>1211</v>
      </c>
      <c r="E16643">
        <v>2021</v>
      </c>
      <c r="F16643">
        <v>2</v>
      </c>
      <c r="G16643">
        <v>13292</v>
      </c>
      <c r="H16643" s="1">
        <v>0</v>
      </c>
      <c r="I16643">
        <v>16</v>
      </c>
      <c r="J16643">
        <f>IF($H16643=0,1,IF($I16643&lt;=1,2,0))</f>
        <v>1</v>
      </c>
      <c r="K16643">
        <v>0</v>
      </c>
      <c r="L16643">
        <f>IF(AND($J16643=0,$K16643=0),0,1)</f>
        <v>1</v>
      </c>
      <c r="M16643" t="s">
        <v>614</v>
      </c>
    </row>
    <row r="16644" spans="1:13" x14ac:dyDescent="0.2">
      <c r="A16644" t="s">
        <v>601</v>
      </c>
      <c r="B16644" t="s">
        <v>6</v>
      </c>
      <c r="C16644" t="s">
        <v>9</v>
      </c>
      <c r="D16644">
        <v>1211</v>
      </c>
      <c r="E16644">
        <v>2021</v>
      </c>
      <c r="F16644">
        <v>13</v>
      </c>
      <c r="G16644">
        <v>13303</v>
      </c>
      <c r="H16644" s="1">
        <v>0</v>
      </c>
      <c r="I16644">
        <v>15</v>
      </c>
      <c r="J16644">
        <f>IF($H16644=0,1,IF($I16644&lt;=1,2,0))</f>
        <v>1</v>
      </c>
      <c r="K16644">
        <v>0</v>
      </c>
      <c r="L16644">
        <f>IF(AND($J16644=0,$K16644=0),0,1)</f>
        <v>1</v>
      </c>
      <c r="M16644" t="s">
        <v>614</v>
      </c>
    </row>
    <row r="16645" spans="1:13" x14ac:dyDescent="0.2">
      <c r="A16645" t="s">
        <v>601</v>
      </c>
      <c r="B16645" t="s">
        <v>6</v>
      </c>
      <c r="C16645" t="s">
        <v>9</v>
      </c>
      <c r="D16645">
        <v>1211</v>
      </c>
      <c r="E16645">
        <v>2021</v>
      </c>
      <c r="F16645">
        <v>14</v>
      </c>
      <c r="G16645">
        <v>13304</v>
      </c>
      <c r="H16645" s="1">
        <v>0</v>
      </c>
      <c r="I16645">
        <v>14</v>
      </c>
      <c r="J16645">
        <f>IF($H16645=0,1,IF($I16645&lt;=1,2,0))</f>
        <v>1</v>
      </c>
      <c r="K16645">
        <v>0</v>
      </c>
      <c r="L16645">
        <f>IF(AND($J16645=0,$K16645=0),0,1)</f>
        <v>1</v>
      </c>
      <c r="M16645" t="s">
        <v>614</v>
      </c>
    </row>
    <row r="16646" spans="1:13" x14ac:dyDescent="0.2">
      <c r="A16646" t="s">
        <v>601</v>
      </c>
      <c r="B16646" t="s">
        <v>6</v>
      </c>
      <c r="C16646" t="s">
        <v>9</v>
      </c>
      <c r="D16646">
        <v>1211</v>
      </c>
      <c r="E16646">
        <v>2021</v>
      </c>
      <c r="F16646">
        <v>11</v>
      </c>
      <c r="G16646">
        <v>13301</v>
      </c>
      <c r="H16646" s="1">
        <v>0</v>
      </c>
      <c r="I16646">
        <v>12</v>
      </c>
      <c r="J16646">
        <f>IF($H16646=0,1,IF($I16646&lt;=1,2,0))</f>
        <v>1</v>
      </c>
      <c r="K16646">
        <v>0</v>
      </c>
      <c r="L16646">
        <f>IF(AND($J16646=0,$K16646=0),0,1)</f>
        <v>1</v>
      </c>
      <c r="M16646" t="s">
        <v>614</v>
      </c>
    </row>
    <row r="16647" spans="1:13" x14ac:dyDescent="0.2">
      <c r="A16647" t="s">
        <v>601</v>
      </c>
      <c r="B16647" t="s">
        <v>6</v>
      </c>
      <c r="C16647" t="s">
        <v>21</v>
      </c>
      <c r="D16647">
        <v>1511</v>
      </c>
      <c r="E16647">
        <v>2021</v>
      </c>
      <c r="F16647">
        <v>1</v>
      </c>
      <c r="G16647">
        <v>13311</v>
      </c>
      <c r="H16647" s="1">
        <v>0</v>
      </c>
      <c r="I16647">
        <v>20</v>
      </c>
      <c r="J16647">
        <f>IF($H16647=0,1,IF($I16647&lt;=1,2,0))</f>
        <v>1</v>
      </c>
      <c r="K16647">
        <v>0</v>
      </c>
      <c r="L16647">
        <f>IF(AND($J16647=0,$K16647=0),0,1)</f>
        <v>1</v>
      </c>
      <c r="M16647" t="s">
        <v>614</v>
      </c>
    </row>
    <row r="16648" spans="1:13" x14ac:dyDescent="0.2">
      <c r="A16648" t="s">
        <v>601</v>
      </c>
      <c r="B16648" t="s">
        <v>6</v>
      </c>
      <c r="C16648" t="s">
        <v>21</v>
      </c>
      <c r="D16648">
        <v>1511</v>
      </c>
      <c r="E16648">
        <v>2021</v>
      </c>
      <c r="F16648">
        <v>3</v>
      </c>
      <c r="G16648">
        <v>13313</v>
      </c>
      <c r="H16648" s="1">
        <v>0</v>
      </c>
      <c r="I16648">
        <v>20</v>
      </c>
      <c r="J16648">
        <f>IF($H16648=0,1,IF($I16648&lt;=1,2,0))</f>
        <v>1</v>
      </c>
      <c r="K16648">
        <v>0</v>
      </c>
      <c r="L16648">
        <f>IF(AND($J16648=0,$K16648=0),0,1)</f>
        <v>1</v>
      </c>
      <c r="M16648" t="s">
        <v>614</v>
      </c>
    </row>
    <row r="16649" spans="1:13" x14ac:dyDescent="0.2">
      <c r="A16649" t="s">
        <v>601</v>
      </c>
      <c r="B16649" t="s">
        <v>6</v>
      </c>
      <c r="C16649" t="s">
        <v>21</v>
      </c>
      <c r="D16649">
        <v>1511</v>
      </c>
      <c r="E16649">
        <v>2021</v>
      </c>
      <c r="F16649">
        <v>4</v>
      </c>
      <c r="G16649">
        <v>13314</v>
      </c>
      <c r="H16649" s="1">
        <v>0</v>
      </c>
      <c r="I16649">
        <v>20</v>
      </c>
      <c r="J16649">
        <f>IF($H16649=0,1,IF($I16649&lt;=1,2,0))</f>
        <v>1</v>
      </c>
      <c r="K16649">
        <v>0</v>
      </c>
      <c r="L16649">
        <f>IF(AND($J16649=0,$K16649=0),0,1)</f>
        <v>1</v>
      </c>
      <c r="M16649" t="s">
        <v>614</v>
      </c>
    </row>
    <row r="16650" spans="1:13" x14ac:dyDescent="0.2">
      <c r="A16650" t="s">
        <v>601</v>
      </c>
      <c r="B16650" t="s">
        <v>6</v>
      </c>
      <c r="C16650" t="s">
        <v>21</v>
      </c>
      <c r="D16650">
        <v>1511</v>
      </c>
      <c r="E16650">
        <v>2021</v>
      </c>
      <c r="F16650">
        <v>2</v>
      </c>
      <c r="G16650">
        <v>13312</v>
      </c>
      <c r="H16650" s="1">
        <v>0</v>
      </c>
      <c r="I16650">
        <v>18</v>
      </c>
      <c r="J16650">
        <f>IF($H16650=0,1,IF($I16650&lt;=1,2,0))</f>
        <v>1</v>
      </c>
      <c r="K16650">
        <v>0</v>
      </c>
      <c r="L16650">
        <f>IF(AND($J16650=0,$K16650=0),0,1)</f>
        <v>1</v>
      </c>
      <c r="M16650" t="s">
        <v>614</v>
      </c>
    </row>
    <row r="16651" spans="1:13" x14ac:dyDescent="0.2">
      <c r="A16651" t="s">
        <v>601</v>
      </c>
      <c r="B16651" t="s">
        <v>6</v>
      </c>
      <c r="C16651" t="s">
        <v>21</v>
      </c>
      <c r="D16651">
        <v>1511</v>
      </c>
      <c r="E16651">
        <v>2021</v>
      </c>
      <c r="F16651">
        <v>5</v>
      </c>
      <c r="G16651">
        <v>13315</v>
      </c>
      <c r="H16651" s="1">
        <v>0</v>
      </c>
      <c r="I16651">
        <v>9</v>
      </c>
      <c r="J16651">
        <f>IF($H16651=0,1,IF($I16651&lt;=1,2,0))</f>
        <v>1</v>
      </c>
      <c r="K16651">
        <v>0</v>
      </c>
      <c r="L16651">
        <f>IF(AND($J16651=0,$K16651=0),0,1)</f>
        <v>1</v>
      </c>
      <c r="M16651" t="s">
        <v>614</v>
      </c>
    </row>
    <row r="16652" spans="1:13" x14ac:dyDescent="0.2">
      <c r="A16652" t="s">
        <v>601</v>
      </c>
      <c r="B16652" t="s">
        <v>6</v>
      </c>
      <c r="C16652" t="s">
        <v>21</v>
      </c>
      <c r="D16652">
        <v>1511</v>
      </c>
      <c r="E16652">
        <v>2021</v>
      </c>
      <c r="F16652">
        <v>6</v>
      </c>
      <c r="G16652">
        <v>13316</v>
      </c>
      <c r="H16652" s="1">
        <v>0</v>
      </c>
      <c r="I16652">
        <v>9</v>
      </c>
      <c r="J16652">
        <f>IF($H16652=0,1,IF($I16652&lt;=1,2,0))</f>
        <v>1</v>
      </c>
      <c r="K16652">
        <v>0</v>
      </c>
      <c r="L16652">
        <f>IF(AND($J16652=0,$K16652=0),0,1)</f>
        <v>1</v>
      </c>
      <c r="M16652" t="s">
        <v>614</v>
      </c>
    </row>
    <row r="16653" spans="1:13" x14ac:dyDescent="0.2">
      <c r="A16653" t="s">
        <v>601</v>
      </c>
      <c r="B16653" t="s">
        <v>6</v>
      </c>
      <c r="C16653" t="s">
        <v>21</v>
      </c>
      <c r="D16653">
        <v>1611</v>
      </c>
      <c r="E16653">
        <v>2021</v>
      </c>
      <c r="F16653">
        <v>9</v>
      </c>
      <c r="G16653">
        <v>843</v>
      </c>
      <c r="H16653" s="1">
        <v>0</v>
      </c>
      <c r="I16653">
        <v>25</v>
      </c>
      <c r="J16653">
        <f>IF($H16653=0,1,IF($I16653&lt;=1,2,0))</f>
        <v>1</v>
      </c>
      <c r="K16653">
        <v>0</v>
      </c>
      <c r="L16653">
        <f>IF(AND($J16653=0,$K16653=0),0,1)</f>
        <v>1</v>
      </c>
    </row>
    <row r="16654" spans="1:13" x14ac:dyDescent="0.2">
      <c r="A16654" t="s">
        <v>601</v>
      </c>
      <c r="B16654" t="s">
        <v>6</v>
      </c>
      <c r="C16654" t="s">
        <v>21</v>
      </c>
      <c r="D16654">
        <v>1611</v>
      </c>
      <c r="E16654">
        <v>2021</v>
      </c>
      <c r="F16654">
        <v>3</v>
      </c>
      <c r="G16654">
        <v>841</v>
      </c>
      <c r="H16654" s="1">
        <v>0</v>
      </c>
      <c r="I16654">
        <v>24</v>
      </c>
      <c r="J16654">
        <f>IF($H16654=0,1,IF($I16654&lt;=1,2,0))</f>
        <v>1</v>
      </c>
      <c r="K16654">
        <v>0</v>
      </c>
      <c r="L16654">
        <f>IF(AND($J16654=0,$K16654=0),0,1)</f>
        <v>1</v>
      </c>
    </row>
    <row r="16655" spans="1:13" x14ac:dyDescent="0.2">
      <c r="A16655" t="s">
        <v>601</v>
      </c>
      <c r="B16655" t="s">
        <v>6</v>
      </c>
      <c r="C16655" t="s">
        <v>21</v>
      </c>
      <c r="D16655">
        <v>1611</v>
      </c>
      <c r="E16655">
        <v>2021</v>
      </c>
      <c r="F16655">
        <v>4</v>
      </c>
      <c r="G16655">
        <v>842</v>
      </c>
      <c r="H16655" s="1">
        <v>0</v>
      </c>
      <c r="I16655">
        <v>22</v>
      </c>
      <c r="J16655">
        <f>IF($H16655=0,1,IF($I16655&lt;=1,2,0))</f>
        <v>1</v>
      </c>
      <c r="K16655">
        <v>0</v>
      </c>
      <c r="L16655">
        <f>IF(AND($J16655=0,$K16655=0),0,1)</f>
        <v>1</v>
      </c>
    </row>
    <row r="16656" spans="1:13" x14ac:dyDescent="0.2">
      <c r="A16656" t="s">
        <v>601</v>
      </c>
      <c r="B16656" t="s">
        <v>6</v>
      </c>
      <c r="C16656" t="s">
        <v>21</v>
      </c>
      <c r="D16656">
        <v>1611</v>
      </c>
      <c r="E16656">
        <v>2021</v>
      </c>
      <c r="F16656">
        <v>5</v>
      </c>
      <c r="G16656">
        <v>849</v>
      </c>
      <c r="H16656" s="1">
        <v>0</v>
      </c>
      <c r="I16656">
        <v>19</v>
      </c>
      <c r="J16656">
        <f>IF($H16656=0,1,IF($I16656&lt;=1,2,0))</f>
        <v>1</v>
      </c>
      <c r="K16656">
        <v>0</v>
      </c>
      <c r="L16656">
        <f>IF(AND($J16656=0,$K16656=0),0,1)</f>
        <v>1</v>
      </c>
    </row>
    <row r="16657" spans="1:13" x14ac:dyDescent="0.2">
      <c r="A16657" t="s">
        <v>601</v>
      </c>
      <c r="B16657" t="s">
        <v>6</v>
      </c>
      <c r="C16657" t="s">
        <v>21</v>
      </c>
      <c r="D16657">
        <v>1611</v>
      </c>
      <c r="E16657">
        <v>2021</v>
      </c>
      <c r="F16657">
        <v>10</v>
      </c>
      <c r="G16657">
        <v>844</v>
      </c>
      <c r="H16657" s="1">
        <v>0</v>
      </c>
      <c r="I16657">
        <v>18</v>
      </c>
      <c r="J16657">
        <f>IF($H16657=0,1,IF($I16657&lt;=1,2,0))</f>
        <v>1</v>
      </c>
      <c r="K16657">
        <v>0</v>
      </c>
      <c r="L16657">
        <f>IF(AND($J16657=0,$K16657=0),0,1)</f>
        <v>1</v>
      </c>
    </row>
    <row r="16658" spans="1:13" x14ac:dyDescent="0.2">
      <c r="A16658" t="s">
        <v>601</v>
      </c>
      <c r="B16658" t="s">
        <v>6</v>
      </c>
      <c r="C16658" t="s">
        <v>21</v>
      </c>
      <c r="D16658">
        <v>1611</v>
      </c>
      <c r="E16658">
        <v>2021</v>
      </c>
      <c r="F16658">
        <v>12</v>
      </c>
      <c r="G16658">
        <v>851</v>
      </c>
      <c r="H16658" s="1">
        <v>0</v>
      </c>
      <c r="I16658">
        <v>17</v>
      </c>
      <c r="J16658">
        <f>IF($H16658=0,1,IF($I16658&lt;=1,2,0))</f>
        <v>1</v>
      </c>
      <c r="K16658">
        <v>0</v>
      </c>
      <c r="L16658">
        <f>IF(AND($J16658=0,$K16658=0),0,1)</f>
        <v>1</v>
      </c>
    </row>
    <row r="16659" spans="1:13" x14ac:dyDescent="0.2">
      <c r="A16659" t="s">
        <v>601</v>
      </c>
      <c r="B16659" t="s">
        <v>6</v>
      </c>
      <c r="C16659" t="s">
        <v>21</v>
      </c>
      <c r="D16659">
        <v>1611</v>
      </c>
      <c r="E16659">
        <v>2021</v>
      </c>
      <c r="F16659">
        <v>2</v>
      </c>
      <c r="G16659">
        <v>847</v>
      </c>
      <c r="H16659" s="1">
        <v>0</v>
      </c>
      <c r="I16659">
        <v>15</v>
      </c>
      <c r="J16659">
        <f>IF($H16659=0,1,IF($I16659&lt;=1,2,0))</f>
        <v>1</v>
      </c>
      <c r="K16659">
        <v>0</v>
      </c>
      <c r="L16659">
        <f>IF(AND($J16659=0,$K16659=0),0,1)</f>
        <v>1</v>
      </c>
    </row>
    <row r="16660" spans="1:13" x14ac:dyDescent="0.2">
      <c r="A16660" t="s">
        <v>601</v>
      </c>
      <c r="B16660" t="s">
        <v>6</v>
      </c>
      <c r="C16660" t="s">
        <v>21</v>
      </c>
      <c r="D16660">
        <v>1611</v>
      </c>
      <c r="E16660">
        <v>2021</v>
      </c>
      <c r="F16660">
        <v>8</v>
      </c>
      <c r="G16660">
        <v>845</v>
      </c>
      <c r="H16660" s="1">
        <v>0</v>
      </c>
      <c r="I16660">
        <v>14</v>
      </c>
      <c r="J16660">
        <f>IF($H16660=0,1,IF($I16660&lt;=1,2,0))</f>
        <v>1</v>
      </c>
      <c r="K16660">
        <v>0</v>
      </c>
      <c r="L16660">
        <f>IF(AND($J16660=0,$K16660=0),0,1)</f>
        <v>1</v>
      </c>
    </row>
    <row r="16661" spans="1:13" x14ac:dyDescent="0.2">
      <c r="A16661" t="s">
        <v>601</v>
      </c>
      <c r="B16661" t="s">
        <v>6</v>
      </c>
      <c r="C16661" t="s">
        <v>21</v>
      </c>
      <c r="D16661">
        <v>1611</v>
      </c>
      <c r="E16661">
        <v>2021</v>
      </c>
      <c r="F16661">
        <v>1</v>
      </c>
      <c r="G16661">
        <v>848</v>
      </c>
      <c r="H16661" s="1">
        <v>0</v>
      </c>
      <c r="I16661">
        <v>13</v>
      </c>
      <c r="J16661">
        <f>IF($H16661=0,1,IF($I16661&lt;=1,2,0))</f>
        <v>1</v>
      </c>
      <c r="K16661">
        <v>0</v>
      </c>
      <c r="L16661">
        <f>IF(AND($J16661=0,$K16661=0),0,1)</f>
        <v>1</v>
      </c>
    </row>
    <row r="16662" spans="1:13" x14ac:dyDescent="0.2">
      <c r="A16662" t="s">
        <v>601</v>
      </c>
      <c r="B16662" t="s">
        <v>6</v>
      </c>
      <c r="C16662" t="s">
        <v>21</v>
      </c>
      <c r="D16662">
        <v>1611</v>
      </c>
      <c r="E16662">
        <v>2021</v>
      </c>
      <c r="F16662">
        <v>11</v>
      </c>
      <c r="G16662">
        <v>852</v>
      </c>
      <c r="H16662" s="1">
        <v>0</v>
      </c>
      <c r="I16662">
        <v>12</v>
      </c>
      <c r="J16662">
        <f>IF($H16662=0,1,IF($I16662&lt;=1,2,0))</f>
        <v>1</v>
      </c>
      <c r="K16662">
        <v>0</v>
      </c>
      <c r="L16662">
        <f>IF(AND($J16662=0,$K16662=0),0,1)</f>
        <v>1</v>
      </c>
    </row>
    <row r="16663" spans="1:13" x14ac:dyDescent="0.2">
      <c r="A16663" t="s">
        <v>601</v>
      </c>
      <c r="B16663" t="s">
        <v>6</v>
      </c>
      <c r="C16663" t="s">
        <v>21</v>
      </c>
      <c r="D16663">
        <v>1611</v>
      </c>
      <c r="E16663">
        <v>2021</v>
      </c>
      <c r="F16663">
        <v>6</v>
      </c>
      <c r="G16663">
        <v>850</v>
      </c>
      <c r="H16663" s="1">
        <v>0</v>
      </c>
      <c r="I16663">
        <v>10</v>
      </c>
      <c r="J16663">
        <f>IF($H16663=0,1,IF($I16663&lt;=1,2,0))</f>
        <v>1</v>
      </c>
      <c r="K16663">
        <v>0</v>
      </c>
      <c r="L16663">
        <f>IF(AND($J16663=0,$K16663=0),0,1)</f>
        <v>1</v>
      </c>
    </row>
    <row r="16664" spans="1:13" x14ac:dyDescent="0.2">
      <c r="A16664" t="s">
        <v>601</v>
      </c>
      <c r="B16664" t="s">
        <v>6</v>
      </c>
      <c r="C16664" t="s">
        <v>21</v>
      </c>
      <c r="D16664">
        <v>1611</v>
      </c>
      <c r="E16664">
        <v>2021</v>
      </c>
      <c r="F16664">
        <v>7</v>
      </c>
      <c r="G16664">
        <v>846</v>
      </c>
      <c r="H16664" s="1">
        <v>0</v>
      </c>
      <c r="I16664">
        <v>10</v>
      </c>
      <c r="J16664">
        <f>IF($H16664=0,1,IF($I16664&lt;=1,2,0))</f>
        <v>1</v>
      </c>
      <c r="K16664">
        <v>0</v>
      </c>
      <c r="L16664">
        <f>IF(AND($J16664=0,$K16664=0),0,1)</f>
        <v>1</v>
      </c>
    </row>
    <row r="16665" spans="1:13" x14ac:dyDescent="0.2">
      <c r="A16665" t="s">
        <v>601</v>
      </c>
      <c r="B16665" t="s">
        <v>6</v>
      </c>
      <c r="C16665" t="s">
        <v>2</v>
      </c>
      <c r="D16665">
        <v>3026</v>
      </c>
      <c r="E16665">
        <v>2021</v>
      </c>
      <c r="F16665">
        <v>1</v>
      </c>
      <c r="G16665">
        <v>295</v>
      </c>
      <c r="H16665" s="1">
        <v>4</v>
      </c>
      <c r="I16665">
        <v>12</v>
      </c>
      <c r="J16665">
        <f>IF($H16665=0,1,IF($I16665&lt;=1,2,0))</f>
        <v>0</v>
      </c>
      <c r="K16665">
        <v>7</v>
      </c>
      <c r="L16665">
        <f>IF(AND($J16665=0,$K16665=0),0,1)</f>
        <v>1</v>
      </c>
    </row>
    <row r="16666" spans="1:13" x14ac:dyDescent="0.2">
      <c r="A16666" t="s">
        <v>601</v>
      </c>
      <c r="B16666" t="s">
        <v>6</v>
      </c>
      <c r="C16666" t="s">
        <v>2</v>
      </c>
      <c r="D16666">
        <v>3042</v>
      </c>
      <c r="E16666">
        <v>2021</v>
      </c>
      <c r="F16666">
        <v>1</v>
      </c>
      <c r="G16666">
        <v>296</v>
      </c>
      <c r="H16666" s="1">
        <v>3</v>
      </c>
      <c r="I16666">
        <v>32</v>
      </c>
      <c r="J16666">
        <f>IF($H16666=0,1,IF($I16666&lt;=1,2,0))</f>
        <v>0</v>
      </c>
      <c r="K16666">
        <v>7</v>
      </c>
      <c r="L16666">
        <f>IF(AND($J16666=0,$K16666=0),0,1)</f>
        <v>1</v>
      </c>
    </row>
    <row r="16667" spans="1:13" x14ac:dyDescent="0.2">
      <c r="A16667" t="s">
        <v>601</v>
      </c>
      <c r="B16667" t="s">
        <v>6</v>
      </c>
      <c r="C16667" t="s">
        <v>2</v>
      </c>
      <c r="D16667">
        <v>3120</v>
      </c>
      <c r="E16667">
        <v>2021</v>
      </c>
      <c r="F16667">
        <v>1</v>
      </c>
      <c r="G16667">
        <v>781</v>
      </c>
      <c r="H16667" s="1">
        <v>4</v>
      </c>
      <c r="I16667">
        <v>16</v>
      </c>
      <c r="J16667">
        <f>IF($H16667=0,1,IF($I16667&lt;=1,2,0))</f>
        <v>0</v>
      </c>
      <c r="K16667">
        <v>7</v>
      </c>
      <c r="L16667">
        <f>IF(AND($J16667=0,$K16667=0),0,1)</f>
        <v>1</v>
      </c>
      <c r="M16667" t="s">
        <v>1710</v>
      </c>
    </row>
    <row r="16668" spans="1:13" x14ac:dyDescent="0.2">
      <c r="A16668" t="s">
        <v>601</v>
      </c>
      <c r="B16668" t="s">
        <v>6</v>
      </c>
      <c r="C16668" t="s">
        <v>2</v>
      </c>
      <c r="D16668">
        <v>3410</v>
      </c>
      <c r="E16668">
        <v>2021</v>
      </c>
      <c r="F16668">
        <v>1</v>
      </c>
      <c r="G16668">
        <v>298</v>
      </c>
      <c r="H16668" s="1">
        <v>4</v>
      </c>
      <c r="I16668">
        <v>16</v>
      </c>
      <c r="J16668">
        <f>IF($H16668=0,1,IF($I16668&lt;=1,2,0))</f>
        <v>0</v>
      </c>
      <c r="K16668">
        <v>7</v>
      </c>
      <c r="L16668">
        <f>IF(AND($J16668=0,$K16668=0),0,1)</f>
        <v>1</v>
      </c>
      <c r="M16668" t="s">
        <v>1711</v>
      </c>
    </row>
    <row r="16669" spans="1:13" x14ac:dyDescent="0.2">
      <c r="A16669" t="s">
        <v>601</v>
      </c>
      <c r="B16669" t="s">
        <v>6</v>
      </c>
      <c r="C16669" t="s">
        <v>21</v>
      </c>
      <c r="D16669">
        <v>3411</v>
      </c>
      <c r="E16669">
        <v>2021</v>
      </c>
      <c r="F16669">
        <v>2</v>
      </c>
      <c r="G16669">
        <v>853</v>
      </c>
      <c r="H16669" s="1">
        <v>0</v>
      </c>
      <c r="I16669">
        <v>17</v>
      </c>
      <c r="J16669">
        <f>IF($H16669=0,1,IF($I16669&lt;=1,2,0))</f>
        <v>1</v>
      </c>
      <c r="K16669">
        <v>0</v>
      </c>
      <c r="L16669">
        <f>IF(AND($J16669=0,$K16669=0),0,1)</f>
        <v>1</v>
      </c>
    </row>
    <row r="16670" spans="1:13" x14ac:dyDescent="0.2">
      <c r="A16670" t="s">
        <v>601</v>
      </c>
      <c r="B16670" t="s">
        <v>6</v>
      </c>
      <c r="C16670" t="s">
        <v>21</v>
      </c>
      <c r="D16670">
        <v>3411</v>
      </c>
      <c r="E16670">
        <v>2021</v>
      </c>
      <c r="F16670">
        <v>3</v>
      </c>
      <c r="G16670">
        <v>854</v>
      </c>
      <c r="H16670" s="1">
        <v>0</v>
      </c>
      <c r="I16670">
        <v>15</v>
      </c>
      <c r="J16670">
        <f>IF($H16670=0,1,IF($I16670&lt;=1,2,0))</f>
        <v>1</v>
      </c>
      <c r="K16670">
        <v>0</v>
      </c>
      <c r="L16670">
        <f>IF(AND($J16670=0,$K16670=0),0,1)</f>
        <v>1</v>
      </c>
    </row>
    <row r="16671" spans="1:13" x14ac:dyDescent="0.2">
      <c r="A16671" t="s">
        <v>601</v>
      </c>
      <c r="B16671" t="s">
        <v>6</v>
      </c>
      <c r="C16671" t="s">
        <v>21</v>
      </c>
      <c r="D16671">
        <v>3411</v>
      </c>
      <c r="E16671">
        <v>2021</v>
      </c>
      <c r="F16671">
        <v>5</v>
      </c>
      <c r="G16671">
        <v>856</v>
      </c>
      <c r="H16671" s="1">
        <v>0</v>
      </c>
      <c r="I16671">
        <v>9</v>
      </c>
      <c r="J16671">
        <f>IF($H16671=0,1,IF($I16671&lt;=1,2,0))</f>
        <v>1</v>
      </c>
      <c r="K16671">
        <v>0</v>
      </c>
      <c r="L16671">
        <f>IF(AND($J16671=0,$K16671=0),0,1)</f>
        <v>1</v>
      </c>
    </row>
    <row r="16672" spans="1:13" x14ac:dyDescent="0.2">
      <c r="A16672" t="s">
        <v>601</v>
      </c>
      <c r="B16672" t="s">
        <v>6</v>
      </c>
      <c r="C16672" t="s">
        <v>21</v>
      </c>
      <c r="D16672">
        <v>3411</v>
      </c>
      <c r="E16672">
        <v>2021</v>
      </c>
      <c r="F16672">
        <v>4</v>
      </c>
      <c r="G16672">
        <v>855</v>
      </c>
      <c r="H16672" s="1">
        <v>0</v>
      </c>
      <c r="I16672">
        <v>6</v>
      </c>
      <c r="J16672">
        <f>IF($H16672=0,1,IF($I16672&lt;=1,2,0))</f>
        <v>1</v>
      </c>
      <c r="K16672">
        <v>0</v>
      </c>
      <c r="L16672">
        <f>IF(AND($J16672=0,$K16672=0),0,1)</f>
        <v>1</v>
      </c>
    </row>
    <row r="16673" spans="1:13" x14ac:dyDescent="0.2">
      <c r="A16673" t="s">
        <v>601</v>
      </c>
      <c r="B16673" t="s">
        <v>6</v>
      </c>
      <c r="C16673" t="s">
        <v>2</v>
      </c>
      <c r="D16673">
        <v>3500</v>
      </c>
      <c r="E16673">
        <v>2021</v>
      </c>
      <c r="F16673">
        <v>1</v>
      </c>
      <c r="G16673">
        <v>297</v>
      </c>
      <c r="H16673" s="1">
        <v>4</v>
      </c>
      <c r="I16673">
        <v>15</v>
      </c>
      <c r="J16673">
        <f>IF($H16673=0,1,IF($I16673&lt;=1,2,0))</f>
        <v>0</v>
      </c>
      <c r="K16673">
        <v>7</v>
      </c>
      <c r="L16673">
        <f>IF(AND($J16673=0,$K16673=0),0,1)</f>
        <v>1</v>
      </c>
    </row>
    <row r="16674" spans="1:13" x14ac:dyDescent="0.2">
      <c r="A16674" t="s">
        <v>601</v>
      </c>
      <c r="B16674" t="s">
        <v>6</v>
      </c>
      <c r="C16674" t="s">
        <v>2</v>
      </c>
      <c r="D16674">
        <v>3521</v>
      </c>
      <c r="E16674">
        <v>2021</v>
      </c>
      <c r="F16674">
        <v>1</v>
      </c>
      <c r="G16674">
        <v>672</v>
      </c>
      <c r="H16674" s="1">
        <v>3</v>
      </c>
      <c r="I16674">
        <v>44</v>
      </c>
      <c r="J16674">
        <f>IF($H16674=0,1,IF($I16674&lt;=1,2,0))</f>
        <v>0</v>
      </c>
      <c r="K16674">
        <v>7</v>
      </c>
      <c r="L16674">
        <f>IF(AND($J16674=0,$K16674=0),0,1)</f>
        <v>1</v>
      </c>
    </row>
    <row r="16675" spans="1:13" x14ac:dyDescent="0.2">
      <c r="A16675" t="s">
        <v>601</v>
      </c>
      <c r="B16675" t="s">
        <v>6</v>
      </c>
      <c r="C16675" t="s">
        <v>2</v>
      </c>
      <c r="D16675">
        <v>3543</v>
      </c>
      <c r="E16675">
        <v>2021</v>
      </c>
      <c r="F16675">
        <v>1</v>
      </c>
      <c r="G16675">
        <v>294</v>
      </c>
      <c r="H16675" s="1">
        <v>4</v>
      </c>
      <c r="I16675">
        <v>11</v>
      </c>
      <c r="J16675">
        <f>IF($H16675=0,1,IF($I16675&lt;=1,2,0))</f>
        <v>0</v>
      </c>
      <c r="K16675">
        <v>7</v>
      </c>
      <c r="L16675">
        <f>IF(AND($J16675=0,$K16675=0),0,1)</f>
        <v>1</v>
      </c>
    </row>
    <row r="16676" spans="1:13" x14ac:dyDescent="0.2">
      <c r="A16676" t="s">
        <v>601</v>
      </c>
      <c r="B16676" t="s">
        <v>6</v>
      </c>
      <c r="C16676" t="s">
        <v>2</v>
      </c>
      <c r="D16676">
        <v>3555</v>
      </c>
      <c r="E16676">
        <v>2021</v>
      </c>
      <c r="F16676">
        <v>1</v>
      </c>
      <c r="G16676">
        <v>532</v>
      </c>
      <c r="H16676" s="1">
        <v>4</v>
      </c>
      <c r="I16676">
        <v>13</v>
      </c>
      <c r="J16676">
        <f>IF($H16676=0,1,IF($I16676&lt;=1,2,0))</f>
        <v>0</v>
      </c>
      <c r="K16676">
        <v>7</v>
      </c>
      <c r="L16676">
        <f>IF(AND($J16676=0,$K16676=0),0,1)</f>
        <v>1</v>
      </c>
    </row>
    <row r="16677" spans="1:13" x14ac:dyDescent="0.2">
      <c r="A16677" t="s">
        <v>601</v>
      </c>
      <c r="B16677" t="s">
        <v>6</v>
      </c>
      <c r="C16677" t="s">
        <v>21</v>
      </c>
      <c r="D16677">
        <v>3716</v>
      </c>
      <c r="E16677">
        <v>2021</v>
      </c>
      <c r="F16677">
        <v>1</v>
      </c>
      <c r="G16677">
        <v>813</v>
      </c>
      <c r="H16677" s="1">
        <v>0</v>
      </c>
      <c r="I16677">
        <v>17</v>
      </c>
      <c r="J16677">
        <f>IF($H16677=0,1,IF($I16677&lt;=1,2,0))</f>
        <v>1</v>
      </c>
      <c r="K16677">
        <v>0</v>
      </c>
      <c r="L16677">
        <f>IF(AND($J16677=0,$K16677=0),0,1)</f>
        <v>1</v>
      </c>
    </row>
    <row r="16678" spans="1:13" x14ac:dyDescent="0.2">
      <c r="A16678" t="s">
        <v>601</v>
      </c>
      <c r="B16678" t="s">
        <v>6</v>
      </c>
      <c r="C16678" t="s">
        <v>21</v>
      </c>
      <c r="D16678">
        <v>3716</v>
      </c>
      <c r="E16678">
        <v>2021</v>
      </c>
      <c r="F16678">
        <v>2</v>
      </c>
      <c r="G16678">
        <v>814</v>
      </c>
      <c r="H16678" s="1">
        <v>0</v>
      </c>
      <c r="I16678">
        <v>15</v>
      </c>
      <c r="J16678">
        <f>IF($H16678=0,1,IF($I16678&lt;=1,2,0))</f>
        <v>1</v>
      </c>
      <c r="K16678">
        <v>0</v>
      </c>
      <c r="L16678">
        <f>IF(AND($J16678=0,$K16678=0),0,1)</f>
        <v>1</v>
      </c>
    </row>
    <row r="16679" spans="1:13" x14ac:dyDescent="0.2">
      <c r="A16679" t="s">
        <v>601</v>
      </c>
      <c r="B16679" t="s">
        <v>6</v>
      </c>
      <c r="C16679" t="s">
        <v>2</v>
      </c>
      <c r="D16679">
        <v>3765</v>
      </c>
      <c r="E16679">
        <v>2021</v>
      </c>
      <c r="F16679">
        <v>1</v>
      </c>
      <c r="G16679">
        <v>827</v>
      </c>
      <c r="H16679" s="1" t="s">
        <v>1824</v>
      </c>
      <c r="I16679">
        <v>1</v>
      </c>
      <c r="J16679">
        <f>IF($H16679=0,1,IF($I16679&lt;=1,2,0))</f>
        <v>2</v>
      </c>
      <c r="K16679">
        <v>7</v>
      </c>
      <c r="L16679">
        <f>IF(AND($J16679=0,$K16679=0),0,1)</f>
        <v>1</v>
      </c>
    </row>
    <row r="16680" spans="1:13" x14ac:dyDescent="0.2">
      <c r="A16680" t="s">
        <v>601</v>
      </c>
      <c r="B16680" t="s">
        <v>6</v>
      </c>
      <c r="C16680" t="s">
        <v>2</v>
      </c>
      <c r="D16680">
        <v>3765</v>
      </c>
      <c r="E16680">
        <v>2021</v>
      </c>
      <c r="F16680">
        <v>2</v>
      </c>
      <c r="G16680">
        <v>857</v>
      </c>
      <c r="H16680" s="1" t="s">
        <v>1824</v>
      </c>
      <c r="I16680">
        <v>1</v>
      </c>
      <c r="J16680">
        <f>IF($H16680=0,1,IF($I16680&lt;=1,2,0))</f>
        <v>2</v>
      </c>
      <c r="K16680">
        <v>7</v>
      </c>
      <c r="L16680">
        <f>IF(AND($J16680=0,$K16680=0),0,1)</f>
        <v>1</v>
      </c>
    </row>
    <row r="16681" spans="1:13" x14ac:dyDescent="0.2">
      <c r="A16681" t="s">
        <v>601</v>
      </c>
      <c r="B16681" t="s">
        <v>6</v>
      </c>
      <c r="C16681" t="s">
        <v>9</v>
      </c>
      <c r="D16681">
        <v>3769</v>
      </c>
      <c r="E16681">
        <v>2021</v>
      </c>
      <c r="F16681">
        <v>2</v>
      </c>
      <c r="G16681">
        <v>13322</v>
      </c>
      <c r="H16681" s="1">
        <v>0</v>
      </c>
      <c r="I16681">
        <v>20</v>
      </c>
      <c r="J16681">
        <f>IF($H16681=0,1,IF($I16681&lt;=1,2,0))</f>
        <v>1</v>
      </c>
      <c r="K16681">
        <v>0</v>
      </c>
      <c r="L16681">
        <f>IF(AND($J16681=0,$K16681=0),0,1)</f>
        <v>1</v>
      </c>
      <c r="M16681" t="s">
        <v>614</v>
      </c>
    </row>
    <row r="16682" spans="1:13" x14ac:dyDescent="0.2">
      <c r="A16682" t="s">
        <v>601</v>
      </c>
      <c r="B16682" t="s">
        <v>6</v>
      </c>
      <c r="C16682" t="s">
        <v>9</v>
      </c>
      <c r="D16682">
        <v>3769</v>
      </c>
      <c r="E16682">
        <v>2021</v>
      </c>
      <c r="F16682">
        <v>1</v>
      </c>
      <c r="G16682">
        <v>13321</v>
      </c>
      <c r="H16682" s="1">
        <v>0</v>
      </c>
      <c r="I16682">
        <v>15</v>
      </c>
      <c r="J16682">
        <f>IF($H16682=0,1,IF($I16682&lt;=1,2,0))</f>
        <v>1</v>
      </c>
      <c r="K16682">
        <v>0</v>
      </c>
      <c r="L16682">
        <f>IF(AND($J16682=0,$K16682=0),0,1)</f>
        <v>1</v>
      </c>
      <c r="M16682" t="s">
        <v>614</v>
      </c>
    </row>
    <row r="16683" spans="1:13" x14ac:dyDescent="0.2">
      <c r="A16683" t="s">
        <v>601</v>
      </c>
      <c r="B16683" t="s">
        <v>6</v>
      </c>
      <c r="C16683" t="s">
        <v>9</v>
      </c>
      <c r="D16683">
        <v>3901</v>
      </c>
      <c r="E16683">
        <v>2021</v>
      </c>
      <c r="F16683">
        <v>1</v>
      </c>
      <c r="G16683">
        <v>13282</v>
      </c>
      <c r="H16683" s="1" t="s">
        <v>1828</v>
      </c>
      <c r="I16683">
        <v>1</v>
      </c>
      <c r="J16683">
        <f>IF($H16683=0,1,IF($I16683&lt;=1,2,0))</f>
        <v>2</v>
      </c>
      <c r="K16683">
        <v>9</v>
      </c>
      <c r="L16683">
        <f>IF(AND($J16683=0,$K16683=0),0,1)</f>
        <v>1</v>
      </c>
      <c r="M16683" t="s">
        <v>614</v>
      </c>
    </row>
    <row r="16684" spans="1:13" x14ac:dyDescent="0.2">
      <c r="A16684" t="s">
        <v>601</v>
      </c>
      <c r="B16684" t="s">
        <v>6</v>
      </c>
      <c r="C16684" t="s">
        <v>9</v>
      </c>
      <c r="D16684">
        <v>3901</v>
      </c>
      <c r="E16684">
        <v>2021</v>
      </c>
      <c r="F16684">
        <v>2</v>
      </c>
      <c r="G16684">
        <v>20268</v>
      </c>
      <c r="H16684" s="1" t="s">
        <v>1828</v>
      </c>
      <c r="I16684">
        <v>1</v>
      </c>
      <c r="J16684">
        <f>IF($H16684=0,1,IF($I16684&lt;=1,2,0))</f>
        <v>2</v>
      </c>
      <c r="K16684">
        <v>9</v>
      </c>
      <c r="L16684">
        <f>IF(AND($J16684=0,$K16684=0),0,1)</f>
        <v>1</v>
      </c>
      <c r="M16684" t="s">
        <v>603</v>
      </c>
    </row>
    <row r="16685" spans="1:13" x14ac:dyDescent="0.2">
      <c r="A16685" t="s">
        <v>601</v>
      </c>
      <c r="B16685" t="s">
        <v>6</v>
      </c>
      <c r="C16685" t="s">
        <v>9</v>
      </c>
      <c r="D16685">
        <v>3901</v>
      </c>
      <c r="E16685">
        <v>2021</v>
      </c>
      <c r="F16685">
        <v>3</v>
      </c>
      <c r="G16685">
        <v>20564</v>
      </c>
      <c r="H16685" s="1" t="s">
        <v>1828</v>
      </c>
      <c r="I16685">
        <v>1</v>
      </c>
      <c r="J16685">
        <f>IF($H16685=0,1,IF($I16685&lt;=1,2,0))</f>
        <v>2</v>
      </c>
      <c r="K16685">
        <v>9</v>
      </c>
      <c r="L16685">
        <f>IF(AND($J16685=0,$K16685=0),0,1)</f>
        <v>1</v>
      </c>
      <c r="M16685" t="s">
        <v>614</v>
      </c>
    </row>
    <row r="16686" spans="1:13" x14ac:dyDescent="0.2">
      <c r="A16686" t="s">
        <v>601</v>
      </c>
      <c r="B16686" t="s">
        <v>6</v>
      </c>
      <c r="C16686" t="s">
        <v>9</v>
      </c>
      <c r="D16686">
        <v>3998</v>
      </c>
      <c r="E16686">
        <v>2021</v>
      </c>
      <c r="F16686">
        <v>1</v>
      </c>
      <c r="G16686">
        <v>13283</v>
      </c>
      <c r="H16686" s="1">
        <v>4</v>
      </c>
      <c r="I16686">
        <v>16</v>
      </c>
      <c r="J16686">
        <f>IF($H16686=0,1,IF($I16686&lt;=1,2,0))</f>
        <v>0</v>
      </c>
      <c r="K16686">
        <v>9</v>
      </c>
      <c r="L16686">
        <f>IF(AND($J16686=0,$K16686=0),0,1)</f>
        <v>1</v>
      </c>
      <c r="M16686" t="s">
        <v>616</v>
      </c>
    </row>
    <row r="16687" spans="1:13" x14ac:dyDescent="0.2">
      <c r="A16687" t="s">
        <v>601</v>
      </c>
      <c r="B16687" t="s">
        <v>6</v>
      </c>
      <c r="C16687" t="s">
        <v>9</v>
      </c>
      <c r="D16687">
        <v>4135</v>
      </c>
      <c r="E16687">
        <v>2021</v>
      </c>
      <c r="F16687">
        <v>2</v>
      </c>
      <c r="G16687">
        <v>13324</v>
      </c>
      <c r="H16687" s="1">
        <v>0</v>
      </c>
      <c r="I16687">
        <v>8</v>
      </c>
      <c r="J16687">
        <f>IF($H16687=0,1,IF($I16687&lt;=1,2,0))</f>
        <v>1</v>
      </c>
      <c r="K16687">
        <v>0</v>
      </c>
      <c r="L16687">
        <f>IF(AND($J16687=0,$K16687=0),0,1)</f>
        <v>1</v>
      </c>
      <c r="M16687" t="s">
        <v>614</v>
      </c>
    </row>
    <row r="16688" spans="1:13" x14ac:dyDescent="0.2">
      <c r="A16688" t="s">
        <v>601</v>
      </c>
      <c r="B16688" t="s">
        <v>6</v>
      </c>
      <c r="C16688" t="s">
        <v>9</v>
      </c>
      <c r="D16688">
        <v>4135</v>
      </c>
      <c r="E16688">
        <v>2021</v>
      </c>
      <c r="F16688">
        <v>1</v>
      </c>
      <c r="G16688">
        <v>13323</v>
      </c>
      <c r="H16688" s="1">
        <v>0</v>
      </c>
      <c r="I16688">
        <v>7</v>
      </c>
      <c r="J16688">
        <f>IF($H16688=0,1,IF($I16688&lt;=1,2,0))</f>
        <v>1</v>
      </c>
      <c r="K16688">
        <v>0</v>
      </c>
      <c r="L16688">
        <f>IF(AND($J16688=0,$K16688=0),0,1)</f>
        <v>1</v>
      </c>
      <c r="M16688" t="s">
        <v>614</v>
      </c>
    </row>
    <row r="16689" spans="1:13" x14ac:dyDescent="0.2">
      <c r="A16689" t="s">
        <v>601</v>
      </c>
      <c r="B16689" t="s">
        <v>6</v>
      </c>
      <c r="C16689" t="s">
        <v>9</v>
      </c>
      <c r="D16689">
        <v>4701</v>
      </c>
      <c r="E16689">
        <v>2021</v>
      </c>
      <c r="F16689">
        <v>1</v>
      </c>
      <c r="G16689">
        <v>13329</v>
      </c>
      <c r="H16689" s="1">
        <v>0</v>
      </c>
      <c r="I16689">
        <v>16</v>
      </c>
      <c r="J16689">
        <f>IF($H16689=0,1,IF($I16689&lt;=1,2,0))</f>
        <v>1</v>
      </c>
      <c r="K16689">
        <v>0</v>
      </c>
      <c r="L16689">
        <f>IF(AND($J16689=0,$K16689=0),0,1)</f>
        <v>1</v>
      </c>
      <c r="M16689" t="s">
        <v>614</v>
      </c>
    </row>
    <row r="16690" spans="1:13" x14ac:dyDescent="0.2">
      <c r="A16690" t="s">
        <v>601</v>
      </c>
      <c r="B16690" t="s">
        <v>6</v>
      </c>
      <c r="C16690" t="s">
        <v>9</v>
      </c>
      <c r="D16690">
        <v>4711</v>
      </c>
      <c r="E16690">
        <v>2021</v>
      </c>
      <c r="F16690">
        <v>1</v>
      </c>
      <c r="G16690">
        <v>13433</v>
      </c>
      <c r="H16690" s="1">
        <v>0</v>
      </c>
      <c r="I16690">
        <v>20</v>
      </c>
      <c r="J16690">
        <f>IF($H16690=0,1,IF($I16690&lt;=1,2,0))</f>
        <v>1</v>
      </c>
      <c r="K16690">
        <v>0</v>
      </c>
      <c r="L16690">
        <f>IF(AND($J16690=0,$K16690=0),0,1)</f>
        <v>1</v>
      </c>
      <c r="M16690" t="s">
        <v>614</v>
      </c>
    </row>
    <row r="16691" spans="1:13" x14ac:dyDescent="0.2">
      <c r="A16691" t="s">
        <v>601</v>
      </c>
      <c r="B16691" t="s">
        <v>6</v>
      </c>
      <c r="C16691" t="s">
        <v>9</v>
      </c>
      <c r="D16691">
        <v>4711</v>
      </c>
      <c r="E16691">
        <v>2021</v>
      </c>
      <c r="F16691">
        <v>2</v>
      </c>
      <c r="G16691">
        <v>13435</v>
      </c>
      <c r="H16691" s="1">
        <v>0</v>
      </c>
      <c r="I16691">
        <v>11</v>
      </c>
      <c r="J16691">
        <f>IF($H16691=0,1,IF($I16691&lt;=1,2,0))</f>
        <v>1</v>
      </c>
      <c r="K16691">
        <v>0</v>
      </c>
      <c r="L16691">
        <f>IF(AND($J16691=0,$K16691=0),0,1)</f>
        <v>1</v>
      </c>
      <c r="M16691" t="s">
        <v>614</v>
      </c>
    </row>
    <row r="16692" spans="1:13" x14ac:dyDescent="0.2">
      <c r="A16692" t="s">
        <v>601</v>
      </c>
      <c r="B16692" t="s">
        <v>6</v>
      </c>
      <c r="C16692" t="s">
        <v>9</v>
      </c>
      <c r="D16692">
        <v>4725</v>
      </c>
      <c r="E16692">
        <v>2021</v>
      </c>
      <c r="F16692">
        <v>1</v>
      </c>
      <c r="G16692">
        <v>13330</v>
      </c>
      <c r="H16692" s="1">
        <v>0</v>
      </c>
      <c r="I16692">
        <v>23</v>
      </c>
      <c r="J16692">
        <f>IF($H16692=0,1,IF($I16692&lt;=1,2,0))</f>
        <v>1</v>
      </c>
      <c r="K16692">
        <v>0</v>
      </c>
      <c r="L16692">
        <f>IF(AND($J16692=0,$K16692=0),0,1)</f>
        <v>1</v>
      </c>
      <c r="M16692" t="s">
        <v>614</v>
      </c>
    </row>
    <row r="16693" spans="1:13" x14ac:dyDescent="0.2">
      <c r="A16693" t="s">
        <v>601</v>
      </c>
      <c r="B16693" t="s">
        <v>6</v>
      </c>
      <c r="C16693" t="s">
        <v>9</v>
      </c>
      <c r="D16693">
        <v>4733</v>
      </c>
      <c r="E16693">
        <v>2021</v>
      </c>
      <c r="F16693">
        <v>1</v>
      </c>
      <c r="G16693">
        <v>13331</v>
      </c>
      <c r="H16693" s="1">
        <v>0</v>
      </c>
      <c r="I16693">
        <v>5</v>
      </c>
      <c r="J16693">
        <f>IF($H16693=0,1,IF($I16693&lt;=1,2,0))</f>
        <v>1</v>
      </c>
      <c r="K16693">
        <v>0</v>
      </c>
      <c r="L16693">
        <f>IF(AND($J16693=0,$K16693=0),0,1)</f>
        <v>1</v>
      </c>
      <c r="M16693" t="s">
        <v>614</v>
      </c>
    </row>
    <row r="16694" spans="1:13" x14ac:dyDescent="0.2">
      <c r="A16694" t="s">
        <v>601</v>
      </c>
      <c r="B16694" t="s">
        <v>6</v>
      </c>
      <c r="C16694" t="s">
        <v>11</v>
      </c>
      <c r="D16694">
        <v>4866</v>
      </c>
      <c r="E16694">
        <v>2021</v>
      </c>
      <c r="F16694">
        <v>2</v>
      </c>
      <c r="G16694">
        <v>16026</v>
      </c>
      <c r="H16694" s="1">
        <v>0</v>
      </c>
      <c r="I16694">
        <v>17</v>
      </c>
      <c r="J16694">
        <f>IF($H16694=0,1,IF($I16694&lt;=1,2,0))</f>
        <v>1</v>
      </c>
      <c r="K16694">
        <v>0</v>
      </c>
      <c r="L16694">
        <f>IF(AND($J16694=0,$K16694=0),0,1)</f>
        <v>1</v>
      </c>
      <c r="M16694" t="s">
        <v>614</v>
      </c>
    </row>
    <row r="16695" spans="1:13" x14ac:dyDescent="0.2">
      <c r="A16695" t="s">
        <v>601</v>
      </c>
      <c r="B16695" t="s">
        <v>6</v>
      </c>
      <c r="C16695" t="s">
        <v>11</v>
      </c>
      <c r="D16695">
        <v>4866</v>
      </c>
      <c r="E16695">
        <v>2021</v>
      </c>
      <c r="F16695">
        <v>1</v>
      </c>
      <c r="G16695">
        <v>16025</v>
      </c>
      <c r="H16695" s="1">
        <v>0</v>
      </c>
      <c r="I16695">
        <v>15</v>
      </c>
      <c r="J16695">
        <f>IF($H16695=0,1,IF($I16695&lt;=1,2,0))</f>
        <v>1</v>
      </c>
      <c r="K16695">
        <v>0</v>
      </c>
      <c r="L16695">
        <f>IF(AND($J16695=0,$K16695=0),0,1)</f>
        <v>1</v>
      </c>
      <c r="M16695" t="s">
        <v>614</v>
      </c>
    </row>
    <row r="16696" spans="1:13" x14ac:dyDescent="0.2">
      <c r="A16696" t="s">
        <v>601</v>
      </c>
      <c r="B16696" t="s">
        <v>6</v>
      </c>
      <c r="C16696" t="s">
        <v>9</v>
      </c>
      <c r="D16696">
        <v>4896</v>
      </c>
      <c r="E16696">
        <v>2021</v>
      </c>
      <c r="F16696">
        <v>1</v>
      </c>
      <c r="G16696">
        <v>13332</v>
      </c>
      <c r="H16696" s="1">
        <v>0</v>
      </c>
      <c r="I16696">
        <v>12</v>
      </c>
      <c r="J16696">
        <f>IF($H16696=0,1,IF($I16696&lt;=1,2,0))</f>
        <v>1</v>
      </c>
      <c r="K16696">
        <v>0</v>
      </c>
      <c r="L16696">
        <f>IF(AND($J16696=0,$K16696=0),0,1)</f>
        <v>1</v>
      </c>
      <c r="M16696" t="s">
        <v>614</v>
      </c>
    </row>
    <row r="16697" spans="1:13" x14ac:dyDescent="0.2">
      <c r="A16697" t="s">
        <v>601</v>
      </c>
      <c r="B16697" t="s">
        <v>6</v>
      </c>
      <c r="C16697" t="s">
        <v>9</v>
      </c>
      <c r="D16697">
        <v>4896</v>
      </c>
      <c r="E16697">
        <v>2021</v>
      </c>
      <c r="F16697">
        <v>3</v>
      </c>
      <c r="G16697">
        <v>13334</v>
      </c>
      <c r="H16697" s="1">
        <v>0</v>
      </c>
      <c r="I16697">
        <v>9</v>
      </c>
      <c r="J16697">
        <f>IF($H16697=0,1,IF($I16697&lt;=1,2,0))</f>
        <v>1</v>
      </c>
      <c r="K16697">
        <v>0</v>
      </c>
      <c r="L16697">
        <f>IF(AND($J16697=0,$K16697=0),0,1)</f>
        <v>1</v>
      </c>
      <c r="M16697" t="s">
        <v>614</v>
      </c>
    </row>
    <row r="16698" spans="1:13" x14ac:dyDescent="0.2">
      <c r="A16698" t="s">
        <v>601</v>
      </c>
      <c r="B16698" t="s">
        <v>6</v>
      </c>
      <c r="C16698" t="s">
        <v>9</v>
      </c>
      <c r="D16698">
        <v>4896</v>
      </c>
      <c r="E16698">
        <v>2021</v>
      </c>
      <c r="F16698">
        <v>4</v>
      </c>
      <c r="G16698">
        <v>13335</v>
      </c>
      <c r="H16698" s="1">
        <v>0</v>
      </c>
      <c r="I16698">
        <v>5</v>
      </c>
      <c r="J16698">
        <f>IF($H16698=0,1,IF($I16698&lt;=1,2,0))</f>
        <v>1</v>
      </c>
      <c r="K16698">
        <v>0</v>
      </c>
      <c r="L16698">
        <f>IF(AND($J16698=0,$K16698=0),0,1)</f>
        <v>1</v>
      </c>
      <c r="M16698" t="s">
        <v>614</v>
      </c>
    </row>
    <row r="16699" spans="1:13" x14ac:dyDescent="0.2">
      <c r="A16699" t="s">
        <v>601</v>
      </c>
      <c r="B16699" t="s">
        <v>6</v>
      </c>
      <c r="C16699" t="s">
        <v>9</v>
      </c>
      <c r="D16699">
        <v>4896</v>
      </c>
      <c r="E16699">
        <v>2021</v>
      </c>
      <c r="F16699">
        <v>2</v>
      </c>
      <c r="G16699">
        <v>13333</v>
      </c>
      <c r="H16699" s="1">
        <v>0</v>
      </c>
      <c r="I16699">
        <v>4</v>
      </c>
      <c r="J16699">
        <f>IF($H16699=0,1,IF($I16699&lt;=1,2,0))</f>
        <v>1</v>
      </c>
      <c r="K16699">
        <v>0</v>
      </c>
      <c r="L16699">
        <f>IF(AND($J16699=0,$K16699=0),0,1)</f>
        <v>1</v>
      </c>
      <c r="M16699" t="s">
        <v>614</v>
      </c>
    </row>
    <row r="16700" spans="1:13" x14ac:dyDescent="0.2">
      <c r="A16700" t="s">
        <v>601</v>
      </c>
      <c r="B16700" t="s">
        <v>6</v>
      </c>
      <c r="C16700" t="s">
        <v>11</v>
      </c>
      <c r="D16700">
        <v>5000</v>
      </c>
      <c r="E16700">
        <v>2021</v>
      </c>
      <c r="F16700">
        <v>2</v>
      </c>
      <c r="G16700">
        <v>12988</v>
      </c>
      <c r="H16700" s="1">
        <v>4</v>
      </c>
      <c r="I16700">
        <v>19</v>
      </c>
      <c r="J16700">
        <f>IF($H16700=0,1,IF($I16700&lt;=1,2,0))</f>
        <v>0</v>
      </c>
      <c r="K16700">
        <v>4</v>
      </c>
      <c r="L16700">
        <f>IF(AND($J16700=0,$K16700=0),0,1)</f>
        <v>1</v>
      </c>
      <c r="M16700" t="s">
        <v>614</v>
      </c>
    </row>
    <row r="16701" spans="1:13" x14ac:dyDescent="0.2">
      <c r="A16701" t="s">
        <v>601</v>
      </c>
      <c r="B16701" t="s">
        <v>6</v>
      </c>
      <c r="C16701" t="s">
        <v>11</v>
      </c>
      <c r="D16701">
        <v>5000</v>
      </c>
      <c r="E16701">
        <v>2021</v>
      </c>
      <c r="F16701">
        <v>1</v>
      </c>
      <c r="G16701">
        <v>12987</v>
      </c>
      <c r="H16701" s="1">
        <v>4</v>
      </c>
      <c r="I16701">
        <v>18</v>
      </c>
      <c r="J16701">
        <f>IF($H16701=0,1,IF($I16701&lt;=1,2,0))</f>
        <v>0</v>
      </c>
      <c r="K16701">
        <v>4</v>
      </c>
      <c r="L16701">
        <f>IF(AND($J16701=0,$K16701=0),0,1)</f>
        <v>1</v>
      </c>
      <c r="M16701" t="s">
        <v>614</v>
      </c>
    </row>
    <row r="16702" spans="1:13" x14ac:dyDescent="0.2">
      <c r="A16702" t="s">
        <v>601</v>
      </c>
      <c r="B16702" t="s">
        <v>6</v>
      </c>
      <c r="C16702" t="s">
        <v>11</v>
      </c>
      <c r="D16702">
        <v>9010</v>
      </c>
      <c r="E16702">
        <v>2021</v>
      </c>
      <c r="F16702">
        <v>1</v>
      </c>
      <c r="G16702">
        <v>13281</v>
      </c>
      <c r="H16702" s="1" t="s">
        <v>1828</v>
      </c>
      <c r="I16702">
        <v>2</v>
      </c>
      <c r="J16702">
        <f>IF($H16702=0,1,IF($I16702&lt;=1,2,0))</f>
        <v>0</v>
      </c>
      <c r="K16702">
        <v>5</v>
      </c>
      <c r="L16702">
        <f>IF(AND($J16702=0,$K16702=0),0,1)</f>
        <v>1</v>
      </c>
      <c r="M16702" t="s">
        <v>614</v>
      </c>
    </row>
    <row r="16703" spans="1:13" x14ac:dyDescent="0.2">
      <c r="A16703" t="s">
        <v>601</v>
      </c>
      <c r="B16703" t="s">
        <v>6</v>
      </c>
      <c r="C16703" t="s">
        <v>11</v>
      </c>
      <c r="D16703">
        <v>9901</v>
      </c>
      <c r="E16703">
        <v>2021</v>
      </c>
      <c r="F16703">
        <v>1</v>
      </c>
      <c r="G16703">
        <v>12978</v>
      </c>
      <c r="H16703" s="1">
        <v>4</v>
      </c>
      <c r="I16703">
        <v>18</v>
      </c>
      <c r="J16703">
        <f>IF($H16703=0,1,IF($I16703&lt;=1,2,0))</f>
        <v>0</v>
      </c>
      <c r="K16703">
        <v>5</v>
      </c>
      <c r="L16703">
        <f>IF(AND($J16703=0,$K16703=0),0,1)</f>
        <v>1</v>
      </c>
      <c r="M16703" t="s">
        <v>614</v>
      </c>
    </row>
    <row r="16704" spans="1:13" x14ac:dyDescent="0.2">
      <c r="A16704" t="s">
        <v>621</v>
      </c>
      <c r="B16704" t="s">
        <v>17</v>
      </c>
      <c r="C16704" t="s">
        <v>9</v>
      </c>
      <c r="D16704">
        <v>3997</v>
      </c>
      <c r="E16704">
        <v>2021</v>
      </c>
      <c r="F16704">
        <v>1</v>
      </c>
      <c r="G16704">
        <v>20797</v>
      </c>
      <c r="H16704" s="1">
        <v>3</v>
      </c>
      <c r="I16704">
        <v>1</v>
      </c>
      <c r="J16704">
        <f>IF($H16704=0,1,IF($I16704&lt;=1,2,0))</f>
        <v>2</v>
      </c>
      <c r="K16704">
        <v>9</v>
      </c>
      <c r="L16704">
        <f>IF(AND($J16704=0,$K16704=0),0,1)</f>
        <v>1</v>
      </c>
    </row>
    <row r="16705" spans="1:13" x14ac:dyDescent="0.2">
      <c r="A16705" t="s">
        <v>623</v>
      </c>
      <c r="B16705" t="s">
        <v>133</v>
      </c>
      <c r="C16705" t="s">
        <v>183</v>
      </c>
      <c r="D16705">
        <v>104</v>
      </c>
      <c r="E16705">
        <v>2021</v>
      </c>
      <c r="F16705" t="s">
        <v>87</v>
      </c>
      <c r="G16705">
        <v>15133</v>
      </c>
      <c r="H16705" s="1">
        <v>0</v>
      </c>
      <c r="I16705">
        <v>19</v>
      </c>
      <c r="J16705">
        <f>IF($H16705=0,1,IF($I16705&lt;=1,2,0))</f>
        <v>1</v>
      </c>
      <c r="K16705">
        <v>6</v>
      </c>
      <c r="L16705">
        <f>IF(AND($J16705=0,$K16705=0),0,1)</f>
        <v>1</v>
      </c>
      <c r="M16705" t="s">
        <v>1458</v>
      </c>
    </row>
    <row r="16706" spans="1:13" x14ac:dyDescent="0.2">
      <c r="A16706" t="s">
        <v>623</v>
      </c>
      <c r="B16706" t="s">
        <v>133</v>
      </c>
      <c r="C16706" t="s">
        <v>2</v>
      </c>
      <c r="D16706">
        <v>1001</v>
      </c>
      <c r="E16706">
        <v>2021</v>
      </c>
      <c r="F16706">
        <v>1</v>
      </c>
      <c r="G16706">
        <v>511</v>
      </c>
      <c r="H16706" s="1">
        <v>3</v>
      </c>
      <c r="I16706">
        <v>115</v>
      </c>
      <c r="J16706">
        <f>IF($H16706=0,1,IF($I16706&lt;=1,2,0))</f>
        <v>0</v>
      </c>
      <c r="K16706">
        <v>7</v>
      </c>
      <c r="L16706">
        <f>IF(AND($J16706=0,$K16706=0),0,1)</f>
        <v>1</v>
      </c>
      <c r="M16706" t="s">
        <v>1953</v>
      </c>
    </row>
    <row r="16707" spans="1:13" x14ac:dyDescent="0.2">
      <c r="A16707" t="s">
        <v>623</v>
      </c>
      <c r="B16707" t="s">
        <v>133</v>
      </c>
      <c r="C16707" t="s">
        <v>2</v>
      </c>
      <c r="D16707">
        <v>1001</v>
      </c>
      <c r="E16707">
        <v>2021</v>
      </c>
      <c r="F16707">
        <v>4</v>
      </c>
      <c r="G16707">
        <v>492</v>
      </c>
      <c r="H16707" s="1">
        <v>3</v>
      </c>
      <c r="I16707">
        <v>78</v>
      </c>
      <c r="J16707">
        <f>IF($H16707=0,1,IF($I16707&lt;=1,2,0))</f>
        <v>0</v>
      </c>
      <c r="K16707">
        <v>7</v>
      </c>
      <c r="L16707">
        <f>IF(AND($J16707=0,$K16707=0),0,1)</f>
        <v>1</v>
      </c>
      <c r="M16707" t="s">
        <v>1953</v>
      </c>
    </row>
    <row r="16708" spans="1:13" x14ac:dyDescent="0.2">
      <c r="A16708" t="s">
        <v>623</v>
      </c>
      <c r="B16708" t="s">
        <v>133</v>
      </c>
      <c r="C16708" t="s">
        <v>2</v>
      </c>
      <c r="D16708">
        <v>1001</v>
      </c>
      <c r="E16708">
        <v>2021</v>
      </c>
      <c r="F16708">
        <v>3</v>
      </c>
      <c r="G16708">
        <v>512</v>
      </c>
      <c r="H16708" s="1">
        <v>3</v>
      </c>
      <c r="I16708">
        <v>57</v>
      </c>
      <c r="J16708">
        <f>IF($H16708=0,1,IF($I16708&lt;=1,2,0))</f>
        <v>0</v>
      </c>
      <c r="K16708">
        <v>7</v>
      </c>
      <c r="L16708">
        <f>IF(AND($J16708=0,$K16708=0),0,1)</f>
        <v>1</v>
      </c>
      <c r="M16708" t="s">
        <v>1953</v>
      </c>
    </row>
    <row r="16709" spans="1:13" x14ac:dyDescent="0.2">
      <c r="A16709" t="s">
        <v>623</v>
      </c>
      <c r="B16709" t="s">
        <v>133</v>
      </c>
      <c r="C16709" t="s">
        <v>2</v>
      </c>
      <c r="D16709">
        <v>1001</v>
      </c>
      <c r="E16709">
        <v>2021</v>
      </c>
      <c r="F16709">
        <v>2</v>
      </c>
      <c r="G16709">
        <v>157</v>
      </c>
      <c r="H16709" s="1">
        <v>3</v>
      </c>
      <c r="I16709">
        <v>45</v>
      </c>
      <c r="J16709">
        <f>IF($H16709=0,1,IF($I16709&lt;=1,2,0))</f>
        <v>0</v>
      </c>
      <c r="K16709">
        <v>7</v>
      </c>
      <c r="L16709">
        <f>IF(AND($J16709=0,$K16709=0),0,1)</f>
        <v>1</v>
      </c>
      <c r="M16709" t="s">
        <v>1953</v>
      </c>
    </row>
    <row r="16710" spans="1:13" x14ac:dyDescent="0.2">
      <c r="A16710" t="s">
        <v>623</v>
      </c>
      <c r="B16710" t="s">
        <v>133</v>
      </c>
      <c r="C16710" t="s">
        <v>9</v>
      </c>
      <c r="D16710">
        <v>1001</v>
      </c>
      <c r="E16710">
        <v>2021</v>
      </c>
      <c r="F16710" t="s">
        <v>1436</v>
      </c>
      <c r="G16710">
        <v>18977</v>
      </c>
      <c r="H16710" s="1">
        <v>0</v>
      </c>
      <c r="I16710">
        <v>8</v>
      </c>
      <c r="J16710">
        <f>IF($H16710=0,1,IF($I16710&lt;=1,2,0))</f>
        <v>1</v>
      </c>
      <c r="K16710">
        <v>0</v>
      </c>
      <c r="L16710">
        <f>IF(AND($J16710=0,$K16710=0),0,1)</f>
        <v>1</v>
      </c>
    </row>
    <row r="16711" spans="1:13" x14ac:dyDescent="0.2">
      <c r="A16711" t="s">
        <v>623</v>
      </c>
      <c r="B16711" t="s">
        <v>133</v>
      </c>
      <c r="C16711" t="s">
        <v>2</v>
      </c>
      <c r="D16711">
        <v>1010</v>
      </c>
      <c r="E16711">
        <v>2021</v>
      </c>
      <c r="F16711">
        <v>1</v>
      </c>
      <c r="G16711">
        <v>513</v>
      </c>
      <c r="H16711" s="1">
        <v>1.5</v>
      </c>
      <c r="I16711">
        <v>24</v>
      </c>
      <c r="J16711">
        <f>IF($H16711=0,1,IF($I16711&lt;=1,2,0))</f>
        <v>0</v>
      </c>
      <c r="K16711">
        <v>7</v>
      </c>
      <c r="L16711">
        <f>IF(AND($J16711=0,$K16711=0),0,1)</f>
        <v>1</v>
      </c>
      <c r="M16711" t="s">
        <v>1954</v>
      </c>
    </row>
    <row r="16712" spans="1:13" x14ac:dyDescent="0.2">
      <c r="A16712" t="s">
        <v>623</v>
      </c>
      <c r="B16712" t="s">
        <v>133</v>
      </c>
      <c r="C16712" t="s">
        <v>2</v>
      </c>
      <c r="D16712">
        <v>1010</v>
      </c>
      <c r="E16712">
        <v>2021</v>
      </c>
      <c r="F16712">
        <v>2</v>
      </c>
      <c r="G16712">
        <v>514</v>
      </c>
      <c r="H16712" s="1">
        <v>1.5</v>
      </c>
      <c r="I16712">
        <v>24</v>
      </c>
      <c r="J16712">
        <f>IF($H16712=0,1,IF($I16712&lt;=1,2,0))</f>
        <v>0</v>
      </c>
      <c r="K16712">
        <v>7</v>
      </c>
      <c r="L16712">
        <f>IF(AND($J16712=0,$K16712=0),0,1)</f>
        <v>1</v>
      </c>
      <c r="M16712" t="s">
        <v>1954</v>
      </c>
    </row>
    <row r="16713" spans="1:13" x14ac:dyDescent="0.2">
      <c r="A16713" t="s">
        <v>623</v>
      </c>
      <c r="B16713" t="s">
        <v>133</v>
      </c>
      <c r="C16713" t="s">
        <v>2</v>
      </c>
      <c r="D16713">
        <v>1010</v>
      </c>
      <c r="E16713">
        <v>2021</v>
      </c>
      <c r="F16713">
        <v>3</v>
      </c>
      <c r="G16713">
        <v>515</v>
      </c>
      <c r="H16713" s="1">
        <v>1.5</v>
      </c>
      <c r="I16713">
        <v>24</v>
      </c>
      <c r="J16713">
        <f>IF($H16713=0,1,IF($I16713&lt;=1,2,0))</f>
        <v>0</v>
      </c>
      <c r="K16713">
        <v>7</v>
      </c>
      <c r="L16713">
        <f>IF(AND($J16713=0,$K16713=0),0,1)</f>
        <v>1</v>
      </c>
      <c r="M16713" t="s">
        <v>1954</v>
      </c>
    </row>
    <row r="16714" spans="1:13" x14ac:dyDescent="0.2">
      <c r="A16714" t="s">
        <v>623</v>
      </c>
      <c r="B16714" t="s">
        <v>133</v>
      </c>
      <c r="C16714" t="s">
        <v>2</v>
      </c>
      <c r="D16714">
        <v>1010</v>
      </c>
      <c r="E16714">
        <v>2021</v>
      </c>
      <c r="F16714">
        <v>4</v>
      </c>
      <c r="G16714">
        <v>516</v>
      </c>
      <c r="H16714" s="1">
        <v>1.5</v>
      </c>
      <c r="I16714">
        <v>24</v>
      </c>
      <c r="J16714">
        <f>IF($H16714=0,1,IF($I16714&lt;=1,2,0))</f>
        <v>0</v>
      </c>
      <c r="K16714">
        <v>7</v>
      </c>
      <c r="L16714">
        <f>IF(AND($J16714=0,$K16714=0),0,1)</f>
        <v>1</v>
      </c>
      <c r="M16714" t="s">
        <v>1954</v>
      </c>
    </row>
    <row r="16715" spans="1:13" x14ac:dyDescent="0.2">
      <c r="A16715" t="s">
        <v>623</v>
      </c>
      <c r="B16715" t="s">
        <v>133</v>
      </c>
      <c r="C16715" t="s">
        <v>2</v>
      </c>
      <c r="D16715">
        <v>1099</v>
      </c>
      <c r="E16715">
        <v>2021</v>
      </c>
      <c r="F16715">
        <v>1</v>
      </c>
      <c r="G16715">
        <v>158</v>
      </c>
      <c r="H16715" s="1">
        <v>1</v>
      </c>
      <c r="I16715">
        <v>13</v>
      </c>
      <c r="J16715">
        <f>IF($H16715=0,1,IF($I16715&lt;=1,2,0))</f>
        <v>0</v>
      </c>
      <c r="K16715">
        <v>7</v>
      </c>
      <c r="L16715">
        <f>IF(AND($J16715=0,$K16715=0),0,1)</f>
        <v>1</v>
      </c>
    </row>
    <row r="16716" spans="1:13" x14ac:dyDescent="0.2">
      <c r="A16716" t="s">
        <v>623</v>
      </c>
      <c r="B16716" t="s">
        <v>133</v>
      </c>
      <c r="C16716" t="s">
        <v>2</v>
      </c>
      <c r="D16716">
        <v>1101</v>
      </c>
      <c r="E16716">
        <v>2021</v>
      </c>
      <c r="F16716">
        <v>3</v>
      </c>
      <c r="G16716">
        <v>520</v>
      </c>
      <c r="H16716" s="1">
        <v>4</v>
      </c>
      <c r="I16716">
        <v>20</v>
      </c>
      <c r="J16716">
        <f>IF($H16716=0,1,IF($I16716&lt;=1,2,0))</f>
        <v>0</v>
      </c>
      <c r="K16716">
        <v>7</v>
      </c>
      <c r="L16716">
        <f>IF(AND($J16716=0,$K16716=0),0,1)</f>
        <v>1</v>
      </c>
      <c r="M16716" t="s">
        <v>1725</v>
      </c>
    </row>
    <row r="16717" spans="1:13" x14ac:dyDescent="0.2">
      <c r="A16717" t="s">
        <v>623</v>
      </c>
      <c r="B16717" t="s">
        <v>133</v>
      </c>
      <c r="C16717" t="s">
        <v>2</v>
      </c>
      <c r="D16717">
        <v>1101</v>
      </c>
      <c r="E16717">
        <v>2021</v>
      </c>
      <c r="F16717">
        <v>1</v>
      </c>
      <c r="G16717">
        <v>518</v>
      </c>
      <c r="H16717" s="1">
        <v>4</v>
      </c>
      <c r="I16717">
        <v>19</v>
      </c>
      <c r="J16717">
        <f>IF($H16717=0,1,IF($I16717&lt;=1,2,0))</f>
        <v>0</v>
      </c>
      <c r="K16717">
        <v>7</v>
      </c>
      <c r="L16717">
        <f>IF(AND($J16717=0,$K16717=0),0,1)</f>
        <v>1</v>
      </c>
      <c r="M16717" t="s">
        <v>1724</v>
      </c>
    </row>
    <row r="16718" spans="1:13" x14ac:dyDescent="0.2">
      <c r="A16718" t="s">
        <v>623</v>
      </c>
      <c r="B16718" t="s">
        <v>133</v>
      </c>
      <c r="C16718" t="s">
        <v>2</v>
      </c>
      <c r="D16718">
        <v>1101</v>
      </c>
      <c r="E16718">
        <v>2021</v>
      </c>
      <c r="F16718">
        <v>4</v>
      </c>
      <c r="G16718">
        <v>519</v>
      </c>
      <c r="H16718" s="1">
        <v>4</v>
      </c>
      <c r="I16718">
        <v>18</v>
      </c>
      <c r="J16718">
        <f>IF($H16718=0,1,IF($I16718&lt;=1,2,0))</f>
        <v>0</v>
      </c>
      <c r="K16718">
        <v>7</v>
      </c>
      <c r="L16718">
        <f>IF(AND($J16718=0,$K16718=0),0,1)</f>
        <v>1</v>
      </c>
      <c r="M16718" t="s">
        <v>1726</v>
      </c>
    </row>
    <row r="16719" spans="1:13" x14ac:dyDescent="0.2">
      <c r="A16719" t="s">
        <v>623</v>
      </c>
      <c r="B16719" t="s">
        <v>133</v>
      </c>
      <c r="C16719" t="s">
        <v>2</v>
      </c>
      <c r="D16719">
        <v>1101</v>
      </c>
      <c r="E16719">
        <v>2021</v>
      </c>
      <c r="F16719">
        <v>2</v>
      </c>
      <c r="G16719">
        <v>517</v>
      </c>
      <c r="H16719" s="1">
        <v>4</v>
      </c>
      <c r="I16719">
        <v>17</v>
      </c>
      <c r="J16719">
        <f>IF($H16719=0,1,IF($I16719&lt;=1,2,0))</f>
        <v>0</v>
      </c>
      <c r="K16719">
        <v>7</v>
      </c>
      <c r="L16719">
        <f>IF(AND($J16719=0,$K16719=0),0,1)</f>
        <v>1</v>
      </c>
      <c r="M16719" t="s">
        <v>1724</v>
      </c>
    </row>
    <row r="16720" spans="1:13" x14ac:dyDescent="0.2">
      <c r="A16720" t="s">
        <v>623</v>
      </c>
      <c r="B16720" t="s">
        <v>133</v>
      </c>
      <c r="C16720" t="s">
        <v>9</v>
      </c>
      <c r="D16720">
        <v>1491</v>
      </c>
      <c r="E16720">
        <v>2021</v>
      </c>
      <c r="F16720">
        <v>1</v>
      </c>
      <c r="G16720">
        <v>16629</v>
      </c>
      <c r="H16720" s="1">
        <v>0</v>
      </c>
      <c r="I16720">
        <v>16</v>
      </c>
      <c r="J16720">
        <f>IF($H16720=0,1,IF($I16720&lt;=1,2,0))</f>
        <v>1</v>
      </c>
      <c r="K16720">
        <v>0</v>
      </c>
      <c r="L16720">
        <f>IF(AND($J16720=0,$K16720=0),0,1)</f>
        <v>1</v>
      </c>
    </row>
    <row r="16721" spans="1:13" x14ac:dyDescent="0.2">
      <c r="A16721" t="s">
        <v>623</v>
      </c>
      <c r="B16721" t="s">
        <v>133</v>
      </c>
      <c r="C16721" t="s">
        <v>9</v>
      </c>
      <c r="D16721">
        <v>1491</v>
      </c>
      <c r="E16721">
        <v>2021</v>
      </c>
      <c r="F16721">
        <v>3</v>
      </c>
      <c r="G16721">
        <v>16631</v>
      </c>
      <c r="H16721" s="1">
        <v>0</v>
      </c>
      <c r="I16721">
        <v>14</v>
      </c>
      <c r="J16721">
        <f>IF($H16721=0,1,IF($I16721&lt;=1,2,0))</f>
        <v>1</v>
      </c>
      <c r="K16721">
        <v>0</v>
      </c>
      <c r="L16721">
        <f>IF(AND($J16721=0,$K16721=0),0,1)</f>
        <v>1</v>
      </c>
    </row>
    <row r="16722" spans="1:13" x14ac:dyDescent="0.2">
      <c r="A16722" t="s">
        <v>623</v>
      </c>
      <c r="B16722" t="s">
        <v>133</v>
      </c>
      <c r="C16722" t="s">
        <v>9</v>
      </c>
      <c r="D16722">
        <v>1491</v>
      </c>
      <c r="E16722">
        <v>2021</v>
      </c>
      <c r="F16722">
        <v>4</v>
      </c>
      <c r="G16722">
        <v>16634</v>
      </c>
      <c r="H16722" s="1">
        <v>0</v>
      </c>
      <c r="I16722">
        <v>14</v>
      </c>
      <c r="J16722">
        <f>IF($H16722=0,1,IF($I16722&lt;=1,2,0))</f>
        <v>1</v>
      </c>
      <c r="K16722">
        <v>0</v>
      </c>
      <c r="L16722">
        <f>IF(AND($J16722=0,$K16722=0),0,1)</f>
        <v>1</v>
      </c>
    </row>
    <row r="16723" spans="1:13" x14ac:dyDescent="0.2">
      <c r="A16723" t="s">
        <v>623</v>
      </c>
      <c r="B16723" t="s">
        <v>133</v>
      </c>
      <c r="C16723" t="s">
        <v>9</v>
      </c>
      <c r="D16723">
        <v>1491</v>
      </c>
      <c r="E16723">
        <v>2021</v>
      </c>
      <c r="F16723">
        <v>2</v>
      </c>
      <c r="G16723">
        <v>16630</v>
      </c>
      <c r="H16723" s="1">
        <v>0</v>
      </c>
      <c r="I16723">
        <v>12</v>
      </c>
      <c r="J16723">
        <f>IF($H16723=0,1,IF($I16723&lt;=1,2,0))</f>
        <v>1</v>
      </c>
      <c r="K16723">
        <v>0</v>
      </c>
      <c r="L16723">
        <f>IF(AND($J16723=0,$K16723=0),0,1)</f>
        <v>1</v>
      </c>
    </row>
    <row r="16724" spans="1:13" x14ac:dyDescent="0.2">
      <c r="A16724" t="s">
        <v>623</v>
      </c>
      <c r="B16724" t="s">
        <v>133</v>
      </c>
      <c r="C16724" t="s">
        <v>9</v>
      </c>
      <c r="D16724">
        <v>1611</v>
      </c>
      <c r="E16724">
        <v>2021</v>
      </c>
      <c r="F16724">
        <v>1</v>
      </c>
      <c r="G16724">
        <v>16635</v>
      </c>
      <c r="H16724" s="1">
        <v>0</v>
      </c>
      <c r="I16724">
        <v>17</v>
      </c>
      <c r="J16724">
        <f>IF($H16724=0,1,IF($I16724&lt;=1,2,0))</f>
        <v>1</v>
      </c>
      <c r="K16724">
        <v>0</v>
      </c>
      <c r="L16724">
        <f>IF(AND($J16724=0,$K16724=0),0,1)</f>
        <v>1</v>
      </c>
    </row>
    <row r="16725" spans="1:13" x14ac:dyDescent="0.2">
      <c r="A16725" t="s">
        <v>623</v>
      </c>
      <c r="B16725" t="s">
        <v>133</v>
      </c>
      <c r="C16725" t="s">
        <v>9</v>
      </c>
      <c r="D16725">
        <v>1611</v>
      </c>
      <c r="E16725">
        <v>2021</v>
      </c>
      <c r="F16725">
        <v>3</v>
      </c>
      <c r="G16725">
        <v>16638</v>
      </c>
      <c r="H16725" s="1">
        <v>0</v>
      </c>
      <c r="I16725">
        <v>13</v>
      </c>
      <c r="J16725">
        <f>IF($H16725=0,1,IF($I16725&lt;=1,2,0))</f>
        <v>1</v>
      </c>
      <c r="K16725">
        <v>0</v>
      </c>
      <c r="L16725">
        <f>IF(AND($J16725=0,$K16725=0),0,1)</f>
        <v>1</v>
      </c>
    </row>
    <row r="16726" spans="1:13" x14ac:dyDescent="0.2">
      <c r="A16726" t="s">
        <v>623</v>
      </c>
      <c r="B16726" t="s">
        <v>133</v>
      </c>
      <c r="C16726" t="s">
        <v>9</v>
      </c>
      <c r="D16726">
        <v>1611</v>
      </c>
      <c r="E16726">
        <v>2021</v>
      </c>
      <c r="F16726">
        <v>2</v>
      </c>
      <c r="G16726">
        <v>16636</v>
      </c>
      <c r="H16726" s="1">
        <v>0</v>
      </c>
      <c r="I16726">
        <v>12</v>
      </c>
      <c r="J16726">
        <f>IF($H16726=0,1,IF($I16726&lt;=1,2,0))</f>
        <v>1</v>
      </c>
      <c r="K16726">
        <v>0</v>
      </c>
      <c r="L16726">
        <f>IF(AND($J16726=0,$K16726=0),0,1)</f>
        <v>1</v>
      </c>
    </row>
    <row r="16727" spans="1:13" x14ac:dyDescent="0.2">
      <c r="A16727" t="s">
        <v>623</v>
      </c>
      <c r="B16727" t="s">
        <v>133</v>
      </c>
      <c r="C16727" t="s">
        <v>2</v>
      </c>
      <c r="D16727">
        <v>2106</v>
      </c>
      <c r="E16727">
        <v>2021</v>
      </c>
      <c r="F16727">
        <v>3</v>
      </c>
      <c r="G16727">
        <v>494</v>
      </c>
      <c r="H16727" s="1">
        <v>1.5</v>
      </c>
      <c r="I16727">
        <v>23</v>
      </c>
      <c r="J16727">
        <f>IF($H16727=0,1,IF($I16727&lt;=1,2,0))</f>
        <v>0</v>
      </c>
      <c r="K16727">
        <v>7</v>
      </c>
      <c r="L16727">
        <f>IF(AND($J16727=0,$K16727=0),0,1)</f>
        <v>1</v>
      </c>
      <c r="M16727" t="s">
        <v>1955</v>
      </c>
    </row>
    <row r="16728" spans="1:13" x14ac:dyDescent="0.2">
      <c r="A16728" t="s">
        <v>623</v>
      </c>
      <c r="B16728" t="s">
        <v>133</v>
      </c>
      <c r="C16728" t="s">
        <v>2</v>
      </c>
      <c r="D16728">
        <v>2106</v>
      </c>
      <c r="E16728">
        <v>2021</v>
      </c>
      <c r="F16728">
        <v>1</v>
      </c>
      <c r="G16728">
        <v>493</v>
      </c>
      <c r="H16728" s="1">
        <v>1.5</v>
      </c>
      <c r="I16728">
        <v>21</v>
      </c>
      <c r="J16728">
        <f>IF($H16728=0,1,IF($I16728&lt;=1,2,0))</f>
        <v>0</v>
      </c>
      <c r="K16728">
        <v>7</v>
      </c>
      <c r="L16728">
        <f>IF(AND($J16728=0,$K16728=0),0,1)</f>
        <v>1</v>
      </c>
      <c r="M16728" t="s">
        <v>1955</v>
      </c>
    </row>
    <row r="16729" spans="1:13" x14ac:dyDescent="0.2">
      <c r="A16729" t="s">
        <v>623</v>
      </c>
      <c r="B16729" t="s">
        <v>133</v>
      </c>
      <c r="C16729" t="s">
        <v>2</v>
      </c>
      <c r="D16729">
        <v>2106</v>
      </c>
      <c r="E16729">
        <v>2021</v>
      </c>
      <c r="F16729">
        <v>2</v>
      </c>
      <c r="G16729">
        <v>510</v>
      </c>
      <c r="H16729" s="1">
        <v>1.5</v>
      </c>
      <c r="I16729">
        <v>19</v>
      </c>
      <c r="J16729">
        <f>IF($H16729=0,1,IF($I16729&lt;=1,2,0))</f>
        <v>0</v>
      </c>
      <c r="K16729">
        <v>7</v>
      </c>
      <c r="L16729">
        <f>IF(AND($J16729=0,$K16729=0),0,1)</f>
        <v>1</v>
      </c>
      <c r="M16729" t="s">
        <v>1955</v>
      </c>
    </row>
    <row r="16730" spans="1:13" x14ac:dyDescent="0.2">
      <c r="A16730" t="s">
        <v>623</v>
      </c>
      <c r="B16730" t="s">
        <v>133</v>
      </c>
      <c r="C16730" t="s">
        <v>2</v>
      </c>
      <c r="D16730">
        <v>2107</v>
      </c>
      <c r="E16730">
        <v>2021</v>
      </c>
      <c r="F16730">
        <v>1</v>
      </c>
      <c r="G16730">
        <v>495</v>
      </c>
      <c r="H16730" s="1">
        <v>3</v>
      </c>
      <c r="I16730">
        <v>106</v>
      </c>
      <c r="J16730">
        <f>IF($H16730=0,1,IF($I16730&lt;=1,2,0))</f>
        <v>0</v>
      </c>
      <c r="K16730">
        <v>7</v>
      </c>
      <c r="L16730">
        <f>IF(AND($J16730=0,$K16730=0),0,1)</f>
        <v>1</v>
      </c>
    </row>
    <row r="16731" spans="1:13" x14ac:dyDescent="0.2">
      <c r="A16731" t="s">
        <v>623</v>
      </c>
      <c r="B16731" t="s">
        <v>133</v>
      </c>
      <c r="C16731" t="s">
        <v>2</v>
      </c>
      <c r="D16731">
        <v>2109</v>
      </c>
      <c r="E16731">
        <v>2021</v>
      </c>
      <c r="F16731">
        <v>1</v>
      </c>
      <c r="G16731">
        <v>505</v>
      </c>
      <c r="H16731" s="1">
        <v>1.5</v>
      </c>
      <c r="I16731">
        <v>17</v>
      </c>
      <c r="J16731">
        <f>IF($H16731=0,1,IF($I16731&lt;=1,2,0))</f>
        <v>0</v>
      </c>
      <c r="K16731">
        <v>7</v>
      </c>
      <c r="L16731">
        <f>IF(AND($J16731=0,$K16731=0),0,1)</f>
        <v>1</v>
      </c>
      <c r="M16731" t="s">
        <v>1729</v>
      </c>
    </row>
    <row r="16732" spans="1:13" x14ac:dyDescent="0.2">
      <c r="A16732" t="s">
        <v>623</v>
      </c>
      <c r="B16732" t="s">
        <v>133</v>
      </c>
      <c r="C16732" t="s">
        <v>2</v>
      </c>
      <c r="D16732">
        <v>2109</v>
      </c>
      <c r="E16732">
        <v>2021</v>
      </c>
      <c r="F16732">
        <v>2</v>
      </c>
      <c r="G16732">
        <v>506</v>
      </c>
      <c r="H16732" s="1">
        <v>1.5</v>
      </c>
      <c r="I16732">
        <v>12</v>
      </c>
      <c r="J16732">
        <f>IF($H16732=0,1,IF($I16732&lt;=1,2,0))</f>
        <v>0</v>
      </c>
      <c r="K16732">
        <v>7</v>
      </c>
      <c r="L16732">
        <f>IF(AND($J16732=0,$K16732=0),0,1)</f>
        <v>1</v>
      </c>
      <c r="M16732" t="s">
        <v>1729</v>
      </c>
    </row>
    <row r="16733" spans="1:13" x14ac:dyDescent="0.2">
      <c r="A16733" t="s">
        <v>623</v>
      </c>
      <c r="B16733" t="s">
        <v>133</v>
      </c>
      <c r="C16733" t="s">
        <v>2</v>
      </c>
      <c r="D16733">
        <v>2110</v>
      </c>
      <c r="E16733">
        <v>2021</v>
      </c>
      <c r="F16733">
        <v>1</v>
      </c>
      <c r="G16733">
        <v>504</v>
      </c>
      <c r="H16733" s="1">
        <v>3</v>
      </c>
      <c r="I16733">
        <v>55</v>
      </c>
      <c r="J16733">
        <f>IF($H16733=0,1,IF($I16733&lt;=1,2,0))</f>
        <v>0</v>
      </c>
      <c r="K16733">
        <v>7</v>
      </c>
      <c r="L16733">
        <f>IF(AND($J16733=0,$K16733=0),0,1)</f>
        <v>1</v>
      </c>
    </row>
    <row r="16734" spans="1:13" x14ac:dyDescent="0.2">
      <c r="A16734" t="s">
        <v>623</v>
      </c>
      <c r="B16734" t="s">
        <v>133</v>
      </c>
      <c r="C16734" t="s">
        <v>2</v>
      </c>
      <c r="D16734">
        <v>2124</v>
      </c>
      <c r="E16734">
        <v>2021</v>
      </c>
      <c r="F16734">
        <v>2</v>
      </c>
      <c r="G16734">
        <v>509</v>
      </c>
      <c r="H16734" s="1">
        <v>1.5</v>
      </c>
      <c r="I16734">
        <v>21</v>
      </c>
      <c r="J16734">
        <f>IF($H16734=0,1,IF($I16734&lt;=1,2,0))</f>
        <v>0</v>
      </c>
      <c r="K16734">
        <v>7</v>
      </c>
      <c r="L16734">
        <f>IF(AND($J16734=0,$K16734=0),0,1)</f>
        <v>1</v>
      </c>
      <c r="M16734" t="s">
        <v>1959</v>
      </c>
    </row>
    <row r="16735" spans="1:13" x14ac:dyDescent="0.2">
      <c r="A16735" t="s">
        <v>623</v>
      </c>
      <c r="B16735" t="s">
        <v>133</v>
      </c>
      <c r="C16735" t="s">
        <v>2</v>
      </c>
      <c r="D16735">
        <v>2124</v>
      </c>
      <c r="E16735">
        <v>2021</v>
      </c>
      <c r="F16735">
        <v>1</v>
      </c>
      <c r="G16735">
        <v>508</v>
      </c>
      <c r="H16735" s="1">
        <v>1.5</v>
      </c>
      <c r="I16735">
        <v>20</v>
      </c>
      <c r="J16735">
        <f>IF($H16735=0,1,IF($I16735&lt;=1,2,0))</f>
        <v>0</v>
      </c>
      <c r="K16735">
        <v>7</v>
      </c>
      <c r="L16735">
        <f>IF(AND($J16735=0,$K16735=0),0,1)</f>
        <v>1</v>
      </c>
      <c r="M16735" t="s">
        <v>1959</v>
      </c>
    </row>
    <row r="16736" spans="1:13" x14ac:dyDescent="0.2">
      <c r="A16736" t="s">
        <v>623</v>
      </c>
      <c r="B16736" t="s">
        <v>133</v>
      </c>
      <c r="C16736" t="s">
        <v>2</v>
      </c>
      <c r="D16736">
        <v>2125</v>
      </c>
      <c r="E16736">
        <v>2021</v>
      </c>
      <c r="F16736">
        <v>1</v>
      </c>
      <c r="G16736">
        <v>507</v>
      </c>
      <c r="H16736" s="1">
        <v>3</v>
      </c>
      <c r="I16736">
        <v>74</v>
      </c>
      <c r="J16736">
        <f>IF($H16736=0,1,IF($I16736&lt;=1,2,0))</f>
        <v>0</v>
      </c>
      <c r="K16736">
        <v>7</v>
      </c>
      <c r="L16736">
        <f>IF(AND($J16736=0,$K16736=0),0,1)</f>
        <v>1</v>
      </c>
    </row>
    <row r="16737" spans="1:13" x14ac:dyDescent="0.2">
      <c r="A16737" t="s">
        <v>623</v>
      </c>
      <c r="B16737" t="s">
        <v>133</v>
      </c>
      <c r="C16737" t="s">
        <v>2</v>
      </c>
      <c r="D16737">
        <v>2128</v>
      </c>
      <c r="E16737">
        <v>2021</v>
      </c>
      <c r="F16737">
        <v>1</v>
      </c>
      <c r="G16737">
        <v>502</v>
      </c>
      <c r="H16737" s="1">
        <v>1.5</v>
      </c>
      <c r="I16737">
        <v>23</v>
      </c>
      <c r="J16737">
        <f>IF($H16737=0,1,IF($I16737&lt;=1,2,0))</f>
        <v>0</v>
      </c>
      <c r="K16737">
        <v>7</v>
      </c>
      <c r="L16737">
        <f>IF(AND($J16737=0,$K16737=0),0,1)</f>
        <v>1</v>
      </c>
      <c r="M16737" t="s">
        <v>1954</v>
      </c>
    </row>
    <row r="16738" spans="1:13" x14ac:dyDescent="0.2">
      <c r="A16738" t="s">
        <v>623</v>
      </c>
      <c r="B16738" t="s">
        <v>133</v>
      </c>
      <c r="C16738" t="s">
        <v>2</v>
      </c>
      <c r="D16738">
        <v>2128</v>
      </c>
      <c r="E16738">
        <v>2021</v>
      </c>
      <c r="F16738">
        <v>2</v>
      </c>
      <c r="G16738">
        <v>503</v>
      </c>
      <c r="H16738" s="1">
        <v>1.5</v>
      </c>
      <c r="I16738">
        <v>22</v>
      </c>
      <c r="J16738">
        <f>IF($H16738=0,1,IF($I16738&lt;=1,2,0))</f>
        <v>0</v>
      </c>
      <c r="K16738">
        <v>7</v>
      </c>
      <c r="L16738">
        <f>IF(AND($J16738=0,$K16738=0),0,1)</f>
        <v>1</v>
      </c>
      <c r="M16738" t="s">
        <v>633</v>
      </c>
    </row>
    <row r="16739" spans="1:13" x14ac:dyDescent="0.2">
      <c r="A16739" t="s">
        <v>623</v>
      </c>
      <c r="B16739" t="s">
        <v>133</v>
      </c>
      <c r="C16739" t="s">
        <v>2</v>
      </c>
      <c r="D16739">
        <v>2129</v>
      </c>
      <c r="E16739">
        <v>2021</v>
      </c>
      <c r="F16739">
        <v>1</v>
      </c>
      <c r="G16739">
        <v>501</v>
      </c>
      <c r="H16739" s="1">
        <v>3</v>
      </c>
      <c r="I16739">
        <v>69</v>
      </c>
      <c r="J16739">
        <f>IF($H16739=0,1,IF($I16739&lt;=1,2,0))</f>
        <v>0</v>
      </c>
      <c r="K16739">
        <v>7</v>
      </c>
      <c r="L16739">
        <f>IF(AND($J16739=0,$K16739=0),0,1)</f>
        <v>1</v>
      </c>
      <c r="M16739" t="s">
        <v>1960</v>
      </c>
    </row>
    <row r="16740" spans="1:13" x14ac:dyDescent="0.2">
      <c r="A16740" t="s">
        <v>623</v>
      </c>
      <c r="B16740" t="s">
        <v>133</v>
      </c>
      <c r="C16740" t="s">
        <v>2</v>
      </c>
      <c r="D16740">
        <v>2137</v>
      </c>
      <c r="E16740">
        <v>2021</v>
      </c>
      <c r="F16740">
        <v>2</v>
      </c>
      <c r="G16740">
        <v>500</v>
      </c>
      <c r="H16740" s="1">
        <v>1.5</v>
      </c>
      <c r="I16740">
        <v>22</v>
      </c>
      <c r="J16740">
        <f>IF($H16740=0,1,IF($I16740&lt;=1,2,0))</f>
        <v>0</v>
      </c>
      <c r="K16740">
        <v>7</v>
      </c>
      <c r="L16740">
        <f>IF(AND($J16740=0,$K16740=0),0,1)</f>
        <v>1</v>
      </c>
      <c r="M16740" t="s">
        <v>1961</v>
      </c>
    </row>
    <row r="16741" spans="1:13" x14ac:dyDescent="0.2">
      <c r="A16741" t="s">
        <v>623</v>
      </c>
      <c r="B16741" t="s">
        <v>133</v>
      </c>
      <c r="C16741" t="s">
        <v>2</v>
      </c>
      <c r="D16741">
        <v>2137</v>
      </c>
      <c r="E16741">
        <v>2021</v>
      </c>
      <c r="F16741">
        <v>1</v>
      </c>
      <c r="G16741">
        <v>499</v>
      </c>
      <c r="H16741" s="1">
        <v>1.5</v>
      </c>
      <c r="I16741">
        <v>21</v>
      </c>
      <c r="J16741">
        <f>IF($H16741=0,1,IF($I16741&lt;=1,2,0))</f>
        <v>0</v>
      </c>
      <c r="K16741">
        <v>7</v>
      </c>
      <c r="L16741">
        <f>IF(AND($J16741=0,$K16741=0),0,1)</f>
        <v>1</v>
      </c>
      <c r="M16741" t="s">
        <v>1961</v>
      </c>
    </row>
    <row r="16742" spans="1:13" x14ac:dyDescent="0.2">
      <c r="A16742" t="s">
        <v>623</v>
      </c>
      <c r="B16742" t="s">
        <v>133</v>
      </c>
      <c r="C16742" t="s">
        <v>2</v>
      </c>
      <c r="D16742">
        <v>2138</v>
      </c>
      <c r="E16742">
        <v>2021</v>
      </c>
      <c r="F16742">
        <v>1</v>
      </c>
      <c r="G16742">
        <v>498</v>
      </c>
      <c r="H16742" s="1">
        <v>3</v>
      </c>
      <c r="I16742">
        <v>88</v>
      </c>
      <c r="J16742">
        <f>IF($H16742=0,1,IF($I16742&lt;=1,2,0))</f>
        <v>0</v>
      </c>
      <c r="K16742">
        <v>7</v>
      </c>
      <c r="L16742">
        <f>IF(AND($J16742=0,$K16742=0),0,1)</f>
        <v>1</v>
      </c>
      <c r="M16742" t="s">
        <v>1960</v>
      </c>
    </row>
    <row r="16743" spans="1:13" x14ac:dyDescent="0.2">
      <c r="A16743" t="s">
        <v>623</v>
      </c>
      <c r="B16743" t="s">
        <v>133</v>
      </c>
      <c r="C16743" t="s">
        <v>2</v>
      </c>
      <c r="D16743">
        <v>2177</v>
      </c>
      <c r="E16743">
        <v>2021</v>
      </c>
      <c r="F16743">
        <v>1</v>
      </c>
      <c r="G16743">
        <v>167</v>
      </c>
      <c r="H16743" s="1">
        <v>3</v>
      </c>
      <c r="I16743">
        <v>63</v>
      </c>
      <c r="J16743">
        <f>IF($H16743=0,1,IF($I16743&lt;=1,2,0))</f>
        <v>0</v>
      </c>
      <c r="K16743">
        <v>7</v>
      </c>
      <c r="L16743">
        <f>IF(AND($J16743=0,$K16743=0),0,1)</f>
        <v>1</v>
      </c>
    </row>
    <row r="16744" spans="1:13" x14ac:dyDescent="0.2">
      <c r="A16744" t="s">
        <v>623</v>
      </c>
      <c r="B16744" t="s">
        <v>133</v>
      </c>
      <c r="C16744" t="s">
        <v>2</v>
      </c>
      <c r="D16744">
        <v>2178</v>
      </c>
      <c r="E16744">
        <v>2021</v>
      </c>
      <c r="F16744">
        <v>1</v>
      </c>
      <c r="G16744">
        <v>166</v>
      </c>
      <c r="H16744" s="1">
        <v>3</v>
      </c>
      <c r="I16744">
        <v>76</v>
      </c>
      <c r="J16744">
        <f>IF($H16744=0,1,IF($I16744&lt;=1,2,0))</f>
        <v>0</v>
      </c>
      <c r="K16744">
        <v>7</v>
      </c>
      <c r="L16744">
        <f>IF(AND($J16744=0,$K16744=0),0,1)</f>
        <v>1</v>
      </c>
    </row>
    <row r="16745" spans="1:13" x14ac:dyDescent="0.2">
      <c r="A16745" t="s">
        <v>623</v>
      </c>
      <c r="B16745" t="s">
        <v>133</v>
      </c>
      <c r="C16745" t="s">
        <v>9</v>
      </c>
      <c r="D16745">
        <v>2691</v>
      </c>
      <c r="E16745">
        <v>2021</v>
      </c>
      <c r="F16745">
        <v>2</v>
      </c>
      <c r="G16745">
        <v>20317</v>
      </c>
      <c r="H16745" s="1">
        <v>0</v>
      </c>
      <c r="I16745">
        <v>16</v>
      </c>
      <c r="J16745">
        <f>IF($H16745=0,1,IF($I16745&lt;=1,2,0))</f>
        <v>1</v>
      </c>
      <c r="K16745">
        <v>0</v>
      </c>
      <c r="L16745">
        <f>IF(AND($J16745=0,$K16745=0),0,1)</f>
        <v>1</v>
      </c>
    </row>
    <row r="16746" spans="1:13" x14ac:dyDescent="0.2">
      <c r="A16746" t="s">
        <v>623</v>
      </c>
      <c r="B16746" t="s">
        <v>133</v>
      </c>
      <c r="C16746" t="s">
        <v>9</v>
      </c>
      <c r="D16746">
        <v>2691</v>
      </c>
      <c r="E16746">
        <v>2021</v>
      </c>
      <c r="F16746">
        <v>1</v>
      </c>
      <c r="G16746">
        <v>20316</v>
      </c>
      <c r="H16746" s="1">
        <v>0</v>
      </c>
      <c r="I16746">
        <v>14</v>
      </c>
      <c r="J16746">
        <f>IF($H16746=0,1,IF($I16746&lt;=1,2,0))</f>
        <v>1</v>
      </c>
      <c r="K16746">
        <v>0</v>
      </c>
      <c r="L16746">
        <f>IF(AND($J16746=0,$K16746=0),0,1)</f>
        <v>1</v>
      </c>
    </row>
    <row r="16747" spans="1:13" x14ac:dyDescent="0.2">
      <c r="A16747" t="s">
        <v>623</v>
      </c>
      <c r="B16747" t="s">
        <v>133</v>
      </c>
      <c r="C16747" t="s">
        <v>9</v>
      </c>
      <c r="D16747">
        <v>2691</v>
      </c>
      <c r="E16747">
        <v>2021</v>
      </c>
      <c r="F16747">
        <v>4</v>
      </c>
      <c r="G16747">
        <v>20320</v>
      </c>
      <c r="H16747" s="1">
        <v>0</v>
      </c>
      <c r="I16747">
        <v>12</v>
      </c>
      <c r="J16747">
        <f>IF($H16747=0,1,IF($I16747&lt;=1,2,0))</f>
        <v>1</v>
      </c>
      <c r="K16747">
        <v>0</v>
      </c>
      <c r="L16747">
        <f>IF(AND($J16747=0,$K16747=0),0,1)</f>
        <v>1</v>
      </c>
    </row>
    <row r="16748" spans="1:13" x14ac:dyDescent="0.2">
      <c r="A16748" t="s">
        <v>623</v>
      </c>
      <c r="B16748" t="s">
        <v>133</v>
      </c>
      <c r="C16748" t="s">
        <v>9</v>
      </c>
      <c r="D16748">
        <v>2691</v>
      </c>
      <c r="E16748">
        <v>2021</v>
      </c>
      <c r="F16748">
        <v>3</v>
      </c>
      <c r="G16748">
        <v>20319</v>
      </c>
      <c r="H16748" s="1">
        <v>0</v>
      </c>
      <c r="I16748">
        <v>8</v>
      </c>
      <c r="J16748">
        <f>IF($H16748=0,1,IF($I16748&lt;=1,2,0))</f>
        <v>1</v>
      </c>
      <c r="K16748">
        <v>0</v>
      </c>
      <c r="L16748">
        <f>IF(AND($J16748=0,$K16748=0),0,1)</f>
        <v>1</v>
      </c>
    </row>
    <row r="16749" spans="1:13" x14ac:dyDescent="0.2">
      <c r="A16749" t="s">
        <v>623</v>
      </c>
      <c r="B16749" t="s">
        <v>133</v>
      </c>
      <c r="C16749" t="s">
        <v>2</v>
      </c>
      <c r="D16749">
        <v>3162</v>
      </c>
      <c r="E16749">
        <v>2021</v>
      </c>
      <c r="F16749">
        <v>1</v>
      </c>
      <c r="G16749">
        <v>164</v>
      </c>
      <c r="H16749" s="1">
        <v>4</v>
      </c>
      <c r="I16749">
        <v>14</v>
      </c>
      <c r="J16749">
        <f>IF($H16749=0,1,IF($I16749&lt;=1,2,0))</f>
        <v>0</v>
      </c>
      <c r="K16749">
        <v>7</v>
      </c>
      <c r="L16749">
        <f>IF(AND($J16749=0,$K16749=0),0,1)</f>
        <v>1</v>
      </c>
      <c r="M16749" t="s">
        <v>1730</v>
      </c>
    </row>
    <row r="16750" spans="1:13" x14ac:dyDescent="0.2">
      <c r="A16750" t="s">
        <v>623</v>
      </c>
      <c r="B16750" t="s">
        <v>133</v>
      </c>
      <c r="C16750" t="s">
        <v>2</v>
      </c>
      <c r="D16750">
        <v>3179</v>
      </c>
      <c r="E16750">
        <v>2021</v>
      </c>
      <c r="F16750">
        <v>1</v>
      </c>
      <c r="G16750">
        <v>165</v>
      </c>
      <c r="H16750" s="1">
        <v>4</v>
      </c>
      <c r="I16750">
        <v>10</v>
      </c>
      <c r="J16750">
        <f>IF($H16750=0,1,IF($I16750&lt;=1,2,0))</f>
        <v>0</v>
      </c>
      <c r="K16750">
        <v>7</v>
      </c>
      <c r="L16750">
        <f>IF(AND($J16750=0,$K16750=0),0,1)</f>
        <v>1</v>
      </c>
    </row>
    <row r="16751" spans="1:13" x14ac:dyDescent="0.2">
      <c r="A16751" t="s">
        <v>623</v>
      </c>
      <c r="B16751" t="s">
        <v>133</v>
      </c>
      <c r="C16751" t="s">
        <v>2</v>
      </c>
      <c r="D16751">
        <v>3195</v>
      </c>
      <c r="E16751">
        <v>2021</v>
      </c>
      <c r="F16751">
        <v>1</v>
      </c>
      <c r="G16751">
        <v>163</v>
      </c>
      <c r="H16751" s="1">
        <v>4</v>
      </c>
      <c r="I16751">
        <v>18</v>
      </c>
      <c r="J16751">
        <f>IF($H16751=0,1,IF($I16751&lt;=1,2,0))</f>
        <v>0</v>
      </c>
      <c r="K16751">
        <v>7</v>
      </c>
      <c r="L16751">
        <f>IF(AND($J16751=0,$K16751=0),0,1)</f>
        <v>1</v>
      </c>
      <c r="M16751" t="s">
        <v>2078</v>
      </c>
    </row>
    <row r="16752" spans="1:13" x14ac:dyDescent="0.2">
      <c r="A16752" t="s">
        <v>623</v>
      </c>
      <c r="B16752" t="s">
        <v>133</v>
      </c>
      <c r="C16752" t="s">
        <v>2</v>
      </c>
      <c r="D16752">
        <v>3363</v>
      </c>
      <c r="E16752">
        <v>2021</v>
      </c>
      <c r="F16752">
        <v>1</v>
      </c>
      <c r="G16752">
        <v>159</v>
      </c>
      <c r="H16752" s="1">
        <v>4</v>
      </c>
      <c r="I16752">
        <v>9</v>
      </c>
      <c r="J16752">
        <f>IF($H16752=0,1,IF($I16752&lt;=1,2,0))</f>
        <v>0</v>
      </c>
      <c r="K16752">
        <v>7</v>
      </c>
      <c r="L16752">
        <f>IF(AND($J16752=0,$K16752=0),0,1)</f>
        <v>1</v>
      </c>
    </row>
    <row r="16753" spans="1:13" x14ac:dyDescent="0.2">
      <c r="A16753" t="s">
        <v>623</v>
      </c>
      <c r="B16753" t="s">
        <v>133</v>
      </c>
      <c r="C16753" t="s">
        <v>2</v>
      </c>
      <c r="D16753">
        <v>3406</v>
      </c>
      <c r="E16753">
        <v>2021</v>
      </c>
      <c r="F16753">
        <v>1</v>
      </c>
      <c r="G16753">
        <v>160</v>
      </c>
      <c r="H16753" s="1">
        <v>4</v>
      </c>
      <c r="I16753">
        <v>18</v>
      </c>
      <c r="J16753">
        <f>IF($H16753=0,1,IF($I16753&lt;=1,2,0))</f>
        <v>0</v>
      </c>
      <c r="K16753">
        <v>7</v>
      </c>
      <c r="L16753">
        <f>IF(AND($J16753=0,$K16753=0),0,1)</f>
        <v>1</v>
      </c>
    </row>
    <row r="16754" spans="1:13" x14ac:dyDescent="0.2">
      <c r="A16754" t="s">
        <v>623</v>
      </c>
      <c r="B16754" t="s">
        <v>133</v>
      </c>
      <c r="C16754" t="s">
        <v>2</v>
      </c>
      <c r="D16754">
        <v>3465</v>
      </c>
      <c r="E16754">
        <v>2021</v>
      </c>
      <c r="F16754">
        <v>1</v>
      </c>
      <c r="G16754">
        <v>161</v>
      </c>
      <c r="H16754" s="1">
        <v>4</v>
      </c>
      <c r="I16754">
        <v>15</v>
      </c>
      <c r="J16754">
        <f>IF($H16754=0,1,IF($I16754&lt;=1,2,0))</f>
        <v>0</v>
      </c>
      <c r="K16754">
        <v>7</v>
      </c>
      <c r="L16754">
        <f>IF(AND($J16754=0,$K16754=0),0,1)</f>
        <v>1</v>
      </c>
      <c r="M16754" t="s">
        <v>1731</v>
      </c>
    </row>
    <row r="16755" spans="1:13" x14ac:dyDescent="0.2">
      <c r="A16755" t="s">
        <v>623</v>
      </c>
      <c r="B16755" t="s">
        <v>133</v>
      </c>
      <c r="C16755" t="s">
        <v>2</v>
      </c>
      <c r="D16755">
        <v>3606</v>
      </c>
      <c r="E16755">
        <v>2021</v>
      </c>
      <c r="F16755">
        <v>10</v>
      </c>
      <c r="G16755">
        <v>659</v>
      </c>
      <c r="H16755" s="1" t="s">
        <v>1823</v>
      </c>
      <c r="I16755">
        <v>8</v>
      </c>
      <c r="J16755">
        <f>IF($H16755=0,1,IF($I16755&lt;=1,2,0))</f>
        <v>0</v>
      </c>
      <c r="K16755">
        <v>7</v>
      </c>
      <c r="L16755">
        <f>IF(AND($J16755=0,$K16755=0),0,1)</f>
        <v>1</v>
      </c>
      <c r="M16755" t="s">
        <v>471</v>
      </c>
    </row>
    <row r="16756" spans="1:13" x14ac:dyDescent="0.2">
      <c r="A16756" t="s">
        <v>623</v>
      </c>
      <c r="B16756" t="s">
        <v>133</v>
      </c>
      <c r="C16756" t="s">
        <v>2</v>
      </c>
      <c r="D16756">
        <v>3606</v>
      </c>
      <c r="E16756">
        <v>2021</v>
      </c>
      <c r="F16756">
        <v>18</v>
      </c>
      <c r="G16756">
        <v>667</v>
      </c>
      <c r="H16756" s="1" t="s">
        <v>1823</v>
      </c>
      <c r="I16756">
        <v>6</v>
      </c>
      <c r="J16756">
        <f>IF($H16756=0,1,IF($I16756&lt;=1,2,0))</f>
        <v>0</v>
      </c>
      <c r="K16756">
        <v>7</v>
      </c>
      <c r="L16756">
        <f>IF(AND($J16756=0,$K16756=0),0,1)</f>
        <v>1</v>
      </c>
      <c r="M16756" t="s">
        <v>471</v>
      </c>
    </row>
    <row r="16757" spans="1:13" x14ac:dyDescent="0.2">
      <c r="A16757" t="s">
        <v>623</v>
      </c>
      <c r="B16757" t="s">
        <v>133</v>
      </c>
      <c r="C16757" t="s">
        <v>2</v>
      </c>
      <c r="D16757">
        <v>3606</v>
      </c>
      <c r="E16757">
        <v>2021</v>
      </c>
      <c r="F16757">
        <v>3</v>
      </c>
      <c r="G16757">
        <v>652</v>
      </c>
      <c r="H16757" s="1" t="s">
        <v>1823</v>
      </c>
      <c r="I16757">
        <v>4</v>
      </c>
      <c r="J16757">
        <f>IF($H16757=0,1,IF($I16757&lt;=1,2,0))</f>
        <v>0</v>
      </c>
      <c r="K16757">
        <v>7</v>
      </c>
      <c r="L16757">
        <f>IF(AND($J16757=0,$K16757=0),0,1)</f>
        <v>1</v>
      </c>
      <c r="M16757" t="s">
        <v>471</v>
      </c>
    </row>
    <row r="16758" spans="1:13" x14ac:dyDescent="0.2">
      <c r="A16758" t="s">
        <v>623</v>
      </c>
      <c r="B16758" t="s">
        <v>133</v>
      </c>
      <c r="C16758" t="s">
        <v>2</v>
      </c>
      <c r="D16758">
        <v>3606</v>
      </c>
      <c r="E16758">
        <v>2021</v>
      </c>
      <c r="F16758">
        <v>16</v>
      </c>
      <c r="G16758">
        <v>665</v>
      </c>
      <c r="H16758" s="1" t="s">
        <v>1823</v>
      </c>
      <c r="I16758">
        <v>4</v>
      </c>
      <c r="J16758">
        <f>IF($H16758=0,1,IF($I16758&lt;=1,2,0))</f>
        <v>0</v>
      </c>
      <c r="K16758">
        <v>7</v>
      </c>
      <c r="L16758">
        <f>IF(AND($J16758=0,$K16758=0),0,1)</f>
        <v>1</v>
      </c>
      <c r="M16758" t="s">
        <v>471</v>
      </c>
    </row>
    <row r="16759" spans="1:13" x14ac:dyDescent="0.2">
      <c r="A16759" t="s">
        <v>623</v>
      </c>
      <c r="B16759" t="s">
        <v>133</v>
      </c>
      <c r="C16759" t="s">
        <v>2</v>
      </c>
      <c r="D16759">
        <v>3606</v>
      </c>
      <c r="E16759">
        <v>2021</v>
      </c>
      <c r="F16759">
        <v>5</v>
      </c>
      <c r="G16759">
        <v>654</v>
      </c>
      <c r="H16759" s="1" t="s">
        <v>1823</v>
      </c>
      <c r="I16759">
        <v>3</v>
      </c>
      <c r="J16759">
        <f>IF($H16759=0,1,IF($I16759&lt;=1,2,0))</f>
        <v>0</v>
      </c>
      <c r="K16759">
        <v>7</v>
      </c>
      <c r="L16759">
        <f>IF(AND($J16759=0,$K16759=0),0,1)</f>
        <v>1</v>
      </c>
      <c r="M16759" t="s">
        <v>471</v>
      </c>
    </row>
    <row r="16760" spans="1:13" x14ac:dyDescent="0.2">
      <c r="A16760" t="s">
        <v>623</v>
      </c>
      <c r="B16760" t="s">
        <v>133</v>
      </c>
      <c r="C16760" t="s">
        <v>2</v>
      </c>
      <c r="D16760">
        <v>3606</v>
      </c>
      <c r="E16760">
        <v>2021</v>
      </c>
      <c r="F16760">
        <v>1</v>
      </c>
      <c r="G16760">
        <v>650</v>
      </c>
      <c r="H16760" s="1" t="s">
        <v>1823</v>
      </c>
      <c r="I16760">
        <v>2</v>
      </c>
      <c r="J16760">
        <f>IF($H16760=0,1,IF($I16760&lt;=1,2,0))</f>
        <v>0</v>
      </c>
      <c r="K16760">
        <v>7</v>
      </c>
      <c r="L16760">
        <f>IF(AND($J16760=0,$K16760=0),0,1)</f>
        <v>1</v>
      </c>
      <c r="M16760" t="s">
        <v>471</v>
      </c>
    </row>
    <row r="16761" spans="1:13" x14ac:dyDescent="0.2">
      <c r="A16761" t="s">
        <v>623</v>
      </c>
      <c r="B16761" t="s">
        <v>133</v>
      </c>
      <c r="C16761" t="s">
        <v>2</v>
      </c>
      <c r="D16761">
        <v>3606</v>
      </c>
      <c r="E16761">
        <v>2021</v>
      </c>
      <c r="F16761">
        <v>8</v>
      </c>
      <c r="G16761">
        <v>657</v>
      </c>
      <c r="H16761" s="1" t="s">
        <v>1823</v>
      </c>
      <c r="I16761">
        <v>2</v>
      </c>
      <c r="J16761">
        <f>IF($H16761=0,1,IF($I16761&lt;=1,2,0))</f>
        <v>0</v>
      </c>
      <c r="K16761">
        <v>7</v>
      </c>
      <c r="L16761">
        <f>IF(AND($J16761=0,$K16761=0),0,1)</f>
        <v>1</v>
      </c>
      <c r="M16761" t="s">
        <v>471</v>
      </c>
    </row>
    <row r="16762" spans="1:13" x14ac:dyDescent="0.2">
      <c r="A16762" t="s">
        <v>623</v>
      </c>
      <c r="B16762" t="s">
        <v>133</v>
      </c>
      <c r="C16762" t="s">
        <v>2</v>
      </c>
      <c r="D16762">
        <v>3606</v>
      </c>
      <c r="E16762">
        <v>2021</v>
      </c>
      <c r="F16762">
        <v>12</v>
      </c>
      <c r="G16762">
        <v>661</v>
      </c>
      <c r="H16762" s="1" t="s">
        <v>1823</v>
      </c>
      <c r="I16762">
        <v>2</v>
      </c>
      <c r="J16762">
        <f>IF($H16762=0,1,IF($I16762&lt;=1,2,0))</f>
        <v>0</v>
      </c>
      <c r="K16762">
        <v>7</v>
      </c>
      <c r="L16762">
        <f>IF(AND($J16762=0,$K16762=0),0,1)</f>
        <v>1</v>
      </c>
      <c r="M16762" t="s">
        <v>471</v>
      </c>
    </row>
    <row r="16763" spans="1:13" x14ac:dyDescent="0.2">
      <c r="A16763" t="s">
        <v>623</v>
      </c>
      <c r="B16763" t="s">
        <v>133</v>
      </c>
      <c r="C16763" t="s">
        <v>2</v>
      </c>
      <c r="D16763">
        <v>3606</v>
      </c>
      <c r="E16763">
        <v>2021</v>
      </c>
      <c r="F16763">
        <v>13</v>
      </c>
      <c r="G16763">
        <v>662</v>
      </c>
      <c r="H16763" s="1" t="s">
        <v>1823</v>
      </c>
      <c r="I16763">
        <v>2</v>
      </c>
      <c r="J16763">
        <f>IF($H16763=0,1,IF($I16763&lt;=1,2,0))</f>
        <v>0</v>
      </c>
      <c r="K16763">
        <v>7</v>
      </c>
      <c r="L16763">
        <f>IF(AND($J16763=0,$K16763=0),0,1)</f>
        <v>1</v>
      </c>
      <c r="M16763" t="s">
        <v>471</v>
      </c>
    </row>
    <row r="16764" spans="1:13" x14ac:dyDescent="0.2">
      <c r="A16764" t="s">
        <v>623</v>
      </c>
      <c r="B16764" t="s">
        <v>133</v>
      </c>
      <c r="C16764" t="s">
        <v>2</v>
      </c>
      <c r="D16764">
        <v>3606</v>
      </c>
      <c r="E16764">
        <v>2021</v>
      </c>
      <c r="F16764">
        <v>2</v>
      </c>
      <c r="G16764">
        <v>651</v>
      </c>
      <c r="H16764" s="1" t="s">
        <v>1823</v>
      </c>
      <c r="I16764">
        <v>1</v>
      </c>
      <c r="J16764">
        <f>IF($H16764=0,1,IF($I16764&lt;=1,2,0))</f>
        <v>2</v>
      </c>
      <c r="K16764">
        <v>7</v>
      </c>
      <c r="L16764">
        <f>IF(AND($J16764=0,$K16764=0),0,1)</f>
        <v>1</v>
      </c>
      <c r="M16764" t="s">
        <v>471</v>
      </c>
    </row>
    <row r="16765" spans="1:13" x14ac:dyDescent="0.2">
      <c r="A16765" t="s">
        <v>623</v>
      </c>
      <c r="B16765" t="s">
        <v>133</v>
      </c>
      <c r="C16765" t="s">
        <v>2</v>
      </c>
      <c r="D16765">
        <v>3606</v>
      </c>
      <c r="E16765">
        <v>2021</v>
      </c>
      <c r="F16765">
        <v>4</v>
      </c>
      <c r="G16765">
        <v>653</v>
      </c>
      <c r="H16765" s="1" t="s">
        <v>1823</v>
      </c>
      <c r="I16765">
        <v>1</v>
      </c>
      <c r="J16765">
        <f>IF($H16765=0,1,IF($I16765&lt;=1,2,0))</f>
        <v>2</v>
      </c>
      <c r="K16765">
        <v>7</v>
      </c>
      <c r="L16765">
        <f>IF(AND($J16765=0,$K16765=0),0,1)</f>
        <v>1</v>
      </c>
      <c r="M16765" t="s">
        <v>471</v>
      </c>
    </row>
    <row r="16766" spans="1:13" x14ac:dyDescent="0.2">
      <c r="A16766" t="s">
        <v>623</v>
      </c>
      <c r="B16766" t="s">
        <v>133</v>
      </c>
      <c r="C16766" t="s">
        <v>2</v>
      </c>
      <c r="D16766">
        <v>3606</v>
      </c>
      <c r="E16766">
        <v>2021</v>
      </c>
      <c r="F16766">
        <v>14</v>
      </c>
      <c r="G16766">
        <v>663</v>
      </c>
      <c r="H16766" s="1" t="s">
        <v>1823</v>
      </c>
      <c r="I16766">
        <v>1</v>
      </c>
      <c r="J16766">
        <f>IF($H16766=0,1,IF($I16766&lt;=1,2,0))</f>
        <v>2</v>
      </c>
      <c r="K16766">
        <v>7</v>
      </c>
      <c r="L16766">
        <f>IF(AND($J16766=0,$K16766=0),0,1)</f>
        <v>1</v>
      </c>
      <c r="M16766" t="s">
        <v>471</v>
      </c>
    </row>
    <row r="16767" spans="1:13" x14ac:dyDescent="0.2">
      <c r="A16767" t="s">
        <v>623</v>
      </c>
      <c r="B16767" t="s">
        <v>133</v>
      </c>
      <c r="C16767" t="s">
        <v>2</v>
      </c>
      <c r="D16767">
        <v>3606</v>
      </c>
      <c r="E16767">
        <v>2021</v>
      </c>
      <c r="F16767">
        <v>19</v>
      </c>
      <c r="G16767">
        <v>668</v>
      </c>
      <c r="H16767" s="1" t="s">
        <v>1823</v>
      </c>
      <c r="I16767">
        <v>1</v>
      </c>
      <c r="J16767">
        <f>IF($H16767=0,1,IF($I16767&lt;=1,2,0))</f>
        <v>2</v>
      </c>
      <c r="K16767">
        <v>7</v>
      </c>
      <c r="L16767">
        <f>IF(AND($J16767=0,$K16767=0),0,1)</f>
        <v>1</v>
      </c>
      <c r="M16767" t="s">
        <v>471</v>
      </c>
    </row>
    <row r="16768" spans="1:13" x14ac:dyDescent="0.2">
      <c r="A16768" t="s">
        <v>623</v>
      </c>
      <c r="B16768" t="s">
        <v>133</v>
      </c>
      <c r="C16768" t="s">
        <v>2</v>
      </c>
      <c r="D16768">
        <v>3606</v>
      </c>
      <c r="E16768">
        <v>2021</v>
      </c>
      <c r="F16768">
        <v>6</v>
      </c>
      <c r="G16768">
        <v>655</v>
      </c>
      <c r="H16768" s="1" t="s">
        <v>1823</v>
      </c>
      <c r="I16768">
        <v>0</v>
      </c>
      <c r="J16768">
        <f>IF($H16768=0,1,IF($I16768&lt;=1,2,0))</f>
        <v>2</v>
      </c>
      <c r="K16768">
        <v>7</v>
      </c>
      <c r="L16768">
        <f>IF(AND($J16768=0,$K16768=0),0,1)</f>
        <v>1</v>
      </c>
      <c r="M16768" t="s">
        <v>471</v>
      </c>
    </row>
    <row r="16769" spans="1:13" x14ac:dyDescent="0.2">
      <c r="A16769" t="s">
        <v>623</v>
      </c>
      <c r="B16769" t="s">
        <v>133</v>
      </c>
      <c r="C16769" t="s">
        <v>2</v>
      </c>
      <c r="D16769">
        <v>3606</v>
      </c>
      <c r="E16769">
        <v>2021</v>
      </c>
      <c r="F16769">
        <v>9</v>
      </c>
      <c r="G16769">
        <v>658</v>
      </c>
      <c r="H16769" s="1" t="s">
        <v>1823</v>
      </c>
      <c r="I16769">
        <v>0</v>
      </c>
      <c r="J16769">
        <f>IF($H16769=0,1,IF($I16769&lt;=1,2,0))</f>
        <v>2</v>
      </c>
      <c r="K16769">
        <v>7</v>
      </c>
      <c r="L16769">
        <f>IF(AND($J16769=0,$K16769=0),0,1)</f>
        <v>1</v>
      </c>
      <c r="M16769" t="s">
        <v>471</v>
      </c>
    </row>
    <row r="16770" spans="1:13" x14ac:dyDescent="0.2">
      <c r="A16770" t="s">
        <v>623</v>
      </c>
      <c r="B16770" t="s">
        <v>133</v>
      </c>
      <c r="C16770" t="s">
        <v>2</v>
      </c>
      <c r="D16770">
        <v>3606</v>
      </c>
      <c r="E16770">
        <v>2021</v>
      </c>
      <c r="F16770">
        <v>11</v>
      </c>
      <c r="G16770">
        <v>660</v>
      </c>
      <c r="H16770" s="1" t="s">
        <v>1823</v>
      </c>
      <c r="I16770">
        <v>0</v>
      </c>
      <c r="J16770">
        <f>IF($H16770=0,1,IF($I16770&lt;=1,2,0))</f>
        <v>2</v>
      </c>
      <c r="K16770">
        <v>7</v>
      </c>
      <c r="L16770">
        <f>IF(AND($J16770=0,$K16770=0),0,1)</f>
        <v>1</v>
      </c>
      <c r="M16770" t="s">
        <v>471</v>
      </c>
    </row>
    <row r="16771" spans="1:13" x14ac:dyDescent="0.2">
      <c r="A16771" t="s">
        <v>623</v>
      </c>
      <c r="B16771" t="s">
        <v>133</v>
      </c>
      <c r="C16771" t="s">
        <v>2</v>
      </c>
      <c r="D16771">
        <v>3606</v>
      </c>
      <c r="E16771">
        <v>2021</v>
      </c>
      <c r="F16771">
        <v>15</v>
      </c>
      <c r="G16771">
        <v>664</v>
      </c>
      <c r="H16771" s="1" t="s">
        <v>1823</v>
      </c>
      <c r="I16771">
        <v>0</v>
      </c>
      <c r="J16771">
        <f>IF($H16771=0,1,IF($I16771&lt;=1,2,0))</f>
        <v>2</v>
      </c>
      <c r="K16771">
        <v>7</v>
      </c>
      <c r="L16771">
        <f>IF(AND($J16771=0,$K16771=0),0,1)</f>
        <v>1</v>
      </c>
      <c r="M16771" t="s">
        <v>471</v>
      </c>
    </row>
    <row r="16772" spans="1:13" x14ac:dyDescent="0.2">
      <c r="A16772" t="s">
        <v>623</v>
      </c>
      <c r="B16772" t="s">
        <v>133</v>
      </c>
      <c r="C16772" t="s">
        <v>2</v>
      </c>
      <c r="D16772">
        <v>3606</v>
      </c>
      <c r="E16772">
        <v>2021</v>
      </c>
      <c r="F16772">
        <v>17</v>
      </c>
      <c r="G16772">
        <v>666</v>
      </c>
      <c r="H16772" s="1" t="s">
        <v>1823</v>
      </c>
      <c r="I16772">
        <v>0</v>
      </c>
      <c r="J16772">
        <f>IF($H16772=0,1,IF($I16772&lt;=1,2,0))</f>
        <v>2</v>
      </c>
      <c r="K16772">
        <v>7</v>
      </c>
      <c r="L16772">
        <f>IF(AND($J16772=0,$K16772=0),0,1)</f>
        <v>1</v>
      </c>
      <c r="M16772" t="s">
        <v>471</v>
      </c>
    </row>
    <row r="16773" spans="1:13" x14ac:dyDescent="0.2">
      <c r="A16773" t="s">
        <v>623</v>
      </c>
      <c r="B16773" t="s">
        <v>133</v>
      </c>
      <c r="C16773" t="s">
        <v>2</v>
      </c>
      <c r="D16773">
        <v>3617</v>
      </c>
      <c r="E16773">
        <v>2021</v>
      </c>
      <c r="F16773">
        <v>1</v>
      </c>
      <c r="G16773">
        <v>772</v>
      </c>
      <c r="H16773" s="1">
        <v>1</v>
      </c>
      <c r="I16773">
        <v>9</v>
      </c>
      <c r="J16773">
        <f>IF($H16773=0,1,IF($I16773&lt;=1,2,0))</f>
        <v>0</v>
      </c>
      <c r="K16773">
        <v>7</v>
      </c>
      <c r="L16773">
        <f>IF(AND($J16773=0,$K16773=0),0,1)</f>
        <v>1</v>
      </c>
      <c r="M16773" t="s">
        <v>639</v>
      </c>
    </row>
    <row r="16774" spans="1:13" x14ac:dyDescent="0.2">
      <c r="A16774" t="s">
        <v>623</v>
      </c>
      <c r="B16774" t="s">
        <v>133</v>
      </c>
      <c r="C16774" t="s">
        <v>9</v>
      </c>
      <c r="D16774">
        <v>3950</v>
      </c>
      <c r="E16774">
        <v>2021</v>
      </c>
      <c r="F16774">
        <v>21</v>
      </c>
      <c r="G16774">
        <v>10055</v>
      </c>
      <c r="H16774" s="1" t="s">
        <v>1823</v>
      </c>
      <c r="I16774">
        <v>4</v>
      </c>
      <c r="J16774">
        <f>IF($H16774=0,1,IF($I16774&lt;=1,2,0))</f>
        <v>0</v>
      </c>
      <c r="K16774">
        <v>8</v>
      </c>
      <c r="L16774">
        <f>IF(AND($J16774=0,$K16774=0),0,1)</f>
        <v>1</v>
      </c>
      <c r="M16774" t="s">
        <v>1205</v>
      </c>
    </row>
    <row r="16775" spans="1:13" x14ac:dyDescent="0.2">
      <c r="A16775" t="s">
        <v>623</v>
      </c>
      <c r="B16775" t="s">
        <v>133</v>
      </c>
      <c r="C16775" t="s">
        <v>9</v>
      </c>
      <c r="D16775">
        <v>3950</v>
      </c>
      <c r="E16775">
        <v>2021</v>
      </c>
      <c r="F16775">
        <v>16</v>
      </c>
      <c r="G16775">
        <v>10050</v>
      </c>
      <c r="H16775" s="1" t="s">
        <v>1823</v>
      </c>
      <c r="I16775">
        <v>3</v>
      </c>
      <c r="J16775">
        <f>IF($H16775=0,1,IF($I16775&lt;=1,2,0))</f>
        <v>0</v>
      </c>
      <c r="K16775">
        <v>8</v>
      </c>
      <c r="L16775">
        <f>IF(AND($J16775=0,$K16775=0),0,1)</f>
        <v>1</v>
      </c>
      <c r="M16775" t="s">
        <v>1205</v>
      </c>
    </row>
    <row r="16776" spans="1:13" x14ac:dyDescent="0.2">
      <c r="A16776" t="s">
        <v>623</v>
      </c>
      <c r="B16776" t="s">
        <v>133</v>
      </c>
      <c r="C16776" t="s">
        <v>9</v>
      </c>
      <c r="D16776">
        <v>3950</v>
      </c>
      <c r="E16776">
        <v>2021</v>
      </c>
      <c r="F16776">
        <v>3</v>
      </c>
      <c r="G16776">
        <v>10037</v>
      </c>
      <c r="H16776" s="1" t="s">
        <v>1823</v>
      </c>
      <c r="I16776">
        <v>2</v>
      </c>
      <c r="J16776">
        <f>IF($H16776=0,1,IF($I16776&lt;=1,2,0))</f>
        <v>0</v>
      </c>
      <c r="K16776">
        <v>8</v>
      </c>
      <c r="L16776">
        <f>IF(AND($J16776=0,$K16776=0),0,1)</f>
        <v>1</v>
      </c>
      <c r="M16776" t="s">
        <v>1205</v>
      </c>
    </row>
    <row r="16777" spans="1:13" x14ac:dyDescent="0.2">
      <c r="A16777" t="s">
        <v>623</v>
      </c>
      <c r="B16777" t="s">
        <v>133</v>
      </c>
      <c r="C16777" t="s">
        <v>9</v>
      </c>
      <c r="D16777">
        <v>3950</v>
      </c>
      <c r="E16777">
        <v>2021</v>
      </c>
      <c r="F16777">
        <v>6</v>
      </c>
      <c r="G16777">
        <v>10040</v>
      </c>
      <c r="H16777" s="1" t="s">
        <v>1823</v>
      </c>
      <c r="I16777">
        <v>2</v>
      </c>
      <c r="J16777">
        <f>IF($H16777=0,1,IF($I16777&lt;=1,2,0))</f>
        <v>0</v>
      </c>
      <c r="K16777">
        <v>8</v>
      </c>
      <c r="L16777">
        <f>IF(AND($J16777=0,$K16777=0),0,1)</f>
        <v>1</v>
      </c>
      <c r="M16777" t="s">
        <v>1205</v>
      </c>
    </row>
    <row r="16778" spans="1:13" x14ac:dyDescent="0.2">
      <c r="A16778" t="s">
        <v>623</v>
      </c>
      <c r="B16778" t="s">
        <v>133</v>
      </c>
      <c r="C16778" t="s">
        <v>9</v>
      </c>
      <c r="D16778">
        <v>3950</v>
      </c>
      <c r="E16778">
        <v>2021</v>
      </c>
      <c r="F16778">
        <v>7</v>
      </c>
      <c r="G16778">
        <v>10041</v>
      </c>
      <c r="H16778" s="1" t="s">
        <v>1823</v>
      </c>
      <c r="I16778">
        <v>2</v>
      </c>
      <c r="J16778">
        <f>IF($H16778=0,1,IF($I16778&lt;=1,2,0))</f>
        <v>0</v>
      </c>
      <c r="K16778">
        <v>8</v>
      </c>
      <c r="L16778">
        <f>IF(AND($J16778=0,$K16778=0),0,1)</f>
        <v>1</v>
      </c>
      <c r="M16778" t="s">
        <v>1205</v>
      </c>
    </row>
    <row r="16779" spans="1:13" x14ac:dyDescent="0.2">
      <c r="A16779" t="s">
        <v>623</v>
      </c>
      <c r="B16779" t="s">
        <v>133</v>
      </c>
      <c r="C16779" t="s">
        <v>9</v>
      </c>
      <c r="D16779">
        <v>3950</v>
      </c>
      <c r="E16779">
        <v>2021</v>
      </c>
      <c r="F16779">
        <v>15</v>
      </c>
      <c r="G16779">
        <v>10049</v>
      </c>
      <c r="H16779" s="1" t="s">
        <v>1823</v>
      </c>
      <c r="I16779">
        <v>2</v>
      </c>
      <c r="J16779">
        <f>IF($H16779=0,1,IF($I16779&lt;=1,2,0))</f>
        <v>0</v>
      </c>
      <c r="K16779">
        <v>8</v>
      </c>
      <c r="L16779">
        <f>IF(AND($J16779=0,$K16779=0),0,1)</f>
        <v>1</v>
      </c>
      <c r="M16779" t="s">
        <v>1205</v>
      </c>
    </row>
    <row r="16780" spans="1:13" x14ac:dyDescent="0.2">
      <c r="A16780" t="s">
        <v>623</v>
      </c>
      <c r="B16780" t="s">
        <v>133</v>
      </c>
      <c r="C16780" t="s">
        <v>9</v>
      </c>
      <c r="D16780">
        <v>3950</v>
      </c>
      <c r="E16780">
        <v>2021</v>
      </c>
      <c r="F16780">
        <v>22</v>
      </c>
      <c r="G16780">
        <v>10056</v>
      </c>
      <c r="H16780" s="1" t="s">
        <v>1823</v>
      </c>
      <c r="I16780">
        <v>2</v>
      </c>
      <c r="J16780">
        <f>IF($H16780=0,1,IF($I16780&lt;=1,2,0))</f>
        <v>0</v>
      </c>
      <c r="K16780">
        <v>8</v>
      </c>
      <c r="L16780">
        <f>IF(AND($J16780=0,$K16780=0),0,1)</f>
        <v>1</v>
      </c>
      <c r="M16780" t="s">
        <v>1205</v>
      </c>
    </row>
    <row r="16781" spans="1:13" x14ac:dyDescent="0.2">
      <c r="A16781" t="s">
        <v>623</v>
      </c>
      <c r="B16781" t="s">
        <v>133</v>
      </c>
      <c r="C16781" t="s">
        <v>9</v>
      </c>
      <c r="D16781">
        <v>3950</v>
      </c>
      <c r="E16781">
        <v>2021</v>
      </c>
      <c r="F16781">
        <v>24</v>
      </c>
      <c r="G16781">
        <v>10058</v>
      </c>
      <c r="H16781" s="1" t="s">
        <v>1823</v>
      </c>
      <c r="I16781">
        <v>2</v>
      </c>
      <c r="J16781">
        <f>IF($H16781=0,1,IF($I16781&lt;=1,2,0))</f>
        <v>0</v>
      </c>
      <c r="K16781">
        <v>8</v>
      </c>
      <c r="L16781">
        <f>IF(AND($J16781=0,$K16781=0),0,1)</f>
        <v>1</v>
      </c>
      <c r="M16781" t="s">
        <v>1205</v>
      </c>
    </row>
    <row r="16782" spans="1:13" x14ac:dyDescent="0.2">
      <c r="A16782" t="s">
        <v>623</v>
      </c>
      <c r="B16782" t="s">
        <v>133</v>
      </c>
      <c r="C16782" t="s">
        <v>9</v>
      </c>
      <c r="D16782">
        <v>3950</v>
      </c>
      <c r="E16782">
        <v>2021</v>
      </c>
      <c r="F16782">
        <v>10</v>
      </c>
      <c r="G16782">
        <v>10044</v>
      </c>
      <c r="H16782" s="1" t="s">
        <v>1823</v>
      </c>
      <c r="I16782">
        <v>1</v>
      </c>
      <c r="J16782">
        <f>IF($H16782=0,1,IF($I16782&lt;=1,2,0))</f>
        <v>2</v>
      </c>
      <c r="K16782">
        <v>8</v>
      </c>
      <c r="L16782">
        <f>IF(AND($J16782=0,$K16782=0),0,1)</f>
        <v>1</v>
      </c>
      <c r="M16782" t="s">
        <v>1205</v>
      </c>
    </row>
    <row r="16783" spans="1:13" x14ac:dyDescent="0.2">
      <c r="A16783" t="s">
        <v>623</v>
      </c>
      <c r="B16783" t="s">
        <v>133</v>
      </c>
      <c r="C16783" t="s">
        <v>9</v>
      </c>
      <c r="D16783">
        <v>3950</v>
      </c>
      <c r="E16783">
        <v>2021</v>
      </c>
      <c r="F16783">
        <v>12</v>
      </c>
      <c r="G16783">
        <v>10046</v>
      </c>
      <c r="H16783" s="1" t="s">
        <v>1823</v>
      </c>
      <c r="I16783">
        <v>1</v>
      </c>
      <c r="J16783">
        <f>IF($H16783=0,1,IF($I16783&lt;=1,2,0))</f>
        <v>2</v>
      </c>
      <c r="K16783">
        <v>8</v>
      </c>
      <c r="L16783">
        <f>IF(AND($J16783=0,$K16783=0),0,1)</f>
        <v>1</v>
      </c>
      <c r="M16783" t="s">
        <v>1205</v>
      </c>
    </row>
    <row r="16784" spans="1:13" x14ac:dyDescent="0.2">
      <c r="A16784" t="s">
        <v>623</v>
      </c>
      <c r="B16784" t="s">
        <v>133</v>
      </c>
      <c r="C16784" t="s">
        <v>9</v>
      </c>
      <c r="D16784">
        <v>3950</v>
      </c>
      <c r="E16784">
        <v>2021</v>
      </c>
      <c r="F16784">
        <v>17</v>
      </c>
      <c r="G16784">
        <v>10051</v>
      </c>
      <c r="H16784" s="1" t="s">
        <v>1823</v>
      </c>
      <c r="I16784">
        <v>1</v>
      </c>
      <c r="J16784">
        <f>IF($H16784=0,1,IF($I16784&lt;=1,2,0))</f>
        <v>2</v>
      </c>
      <c r="K16784">
        <v>8</v>
      </c>
      <c r="L16784">
        <f>IF(AND($J16784=0,$K16784=0),0,1)</f>
        <v>1</v>
      </c>
      <c r="M16784" t="s">
        <v>1205</v>
      </c>
    </row>
    <row r="16785" spans="1:13" x14ac:dyDescent="0.2">
      <c r="A16785" t="s">
        <v>623</v>
      </c>
      <c r="B16785" t="s">
        <v>133</v>
      </c>
      <c r="C16785" t="s">
        <v>9</v>
      </c>
      <c r="D16785">
        <v>3950</v>
      </c>
      <c r="E16785">
        <v>2021</v>
      </c>
      <c r="F16785">
        <v>23</v>
      </c>
      <c r="G16785">
        <v>10057</v>
      </c>
      <c r="H16785" s="1" t="s">
        <v>1823</v>
      </c>
      <c r="I16785">
        <v>1</v>
      </c>
      <c r="J16785">
        <f>IF($H16785=0,1,IF($I16785&lt;=1,2,0))</f>
        <v>2</v>
      </c>
      <c r="K16785">
        <v>8</v>
      </c>
      <c r="L16785">
        <f>IF(AND($J16785=0,$K16785=0),0,1)</f>
        <v>1</v>
      </c>
      <c r="M16785" t="s">
        <v>1205</v>
      </c>
    </row>
    <row r="16786" spans="1:13" x14ac:dyDescent="0.2">
      <c r="A16786" t="s">
        <v>623</v>
      </c>
      <c r="B16786" t="s">
        <v>133</v>
      </c>
      <c r="C16786" t="s">
        <v>9</v>
      </c>
      <c r="D16786">
        <v>3950</v>
      </c>
      <c r="E16786">
        <v>2021</v>
      </c>
      <c r="F16786">
        <v>27</v>
      </c>
      <c r="G16786">
        <v>10061</v>
      </c>
      <c r="H16786" s="1" t="s">
        <v>1823</v>
      </c>
      <c r="I16786">
        <v>1</v>
      </c>
      <c r="J16786">
        <f>IF($H16786=0,1,IF($I16786&lt;=1,2,0))</f>
        <v>2</v>
      </c>
      <c r="K16786">
        <v>8</v>
      </c>
      <c r="L16786">
        <f>IF(AND($J16786=0,$K16786=0),0,1)</f>
        <v>1</v>
      </c>
      <c r="M16786" t="s">
        <v>1205</v>
      </c>
    </row>
    <row r="16787" spans="1:13" x14ac:dyDescent="0.2">
      <c r="A16787" t="s">
        <v>623</v>
      </c>
      <c r="B16787" t="s">
        <v>133</v>
      </c>
      <c r="C16787" t="s">
        <v>9</v>
      </c>
      <c r="D16787">
        <v>3950</v>
      </c>
      <c r="E16787">
        <v>2021</v>
      </c>
      <c r="F16787">
        <v>1</v>
      </c>
      <c r="G16787">
        <v>10035</v>
      </c>
      <c r="H16787" s="1" t="s">
        <v>1823</v>
      </c>
      <c r="I16787">
        <v>0</v>
      </c>
      <c r="J16787">
        <f>IF($H16787=0,1,IF($I16787&lt;=1,2,0))</f>
        <v>2</v>
      </c>
      <c r="K16787">
        <v>8</v>
      </c>
      <c r="L16787">
        <f>IF(AND($J16787=0,$K16787=0),0,1)</f>
        <v>1</v>
      </c>
      <c r="M16787" t="s">
        <v>1205</v>
      </c>
    </row>
    <row r="16788" spans="1:13" x14ac:dyDescent="0.2">
      <c r="A16788" t="s">
        <v>623</v>
      </c>
      <c r="B16788" t="s">
        <v>133</v>
      </c>
      <c r="C16788" t="s">
        <v>9</v>
      </c>
      <c r="D16788">
        <v>3950</v>
      </c>
      <c r="E16788">
        <v>2021</v>
      </c>
      <c r="F16788">
        <v>2</v>
      </c>
      <c r="G16788">
        <v>10036</v>
      </c>
      <c r="H16788" s="1" t="s">
        <v>1823</v>
      </c>
      <c r="I16788">
        <v>0</v>
      </c>
      <c r="J16788">
        <f>IF($H16788=0,1,IF($I16788&lt;=1,2,0))</f>
        <v>2</v>
      </c>
      <c r="K16788">
        <v>8</v>
      </c>
      <c r="L16788">
        <f>IF(AND($J16788=0,$K16788=0),0,1)</f>
        <v>1</v>
      </c>
      <c r="M16788" t="s">
        <v>1205</v>
      </c>
    </row>
    <row r="16789" spans="1:13" x14ac:dyDescent="0.2">
      <c r="A16789" t="s">
        <v>623</v>
      </c>
      <c r="B16789" t="s">
        <v>133</v>
      </c>
      <c r="C16789" t="s">
        <v>9</v>
      </c>
      <c r="D16789">
        <v>3950</v>
      </c>
      <c r="E16789">
        <v>2021</v>
      </c>
      <c r="F16789">
        <v>4</v>
      </c>
      <c r="G16789">
        <v>10038</v>
      </c>
      <c r="H16789" s="1" t="s">
        <v>1823</v>
      </c>
      <c r="I16789">
        <v>0</v>
      </c>
      <c r="J16789">
        <f>IF($H16789=0,1,IF($I16789&lt;=1,2,0))</f>
        <v>2</v>
      </c>
      <c r="K16789">
        <v>8</v>
      </c>
      <c r="L16789">
        <f>IF(AND($J16789=0,$K16789=0),0,1)</f>
        <v>1</v>
      </c>
      <c r="M16789" t="s">
        <v>1205</v>
      </c>
    </row>
    <row r="16790" spans="1:13" x14ac:dyDescent="0.2">
      <c r="A16790" t="s">
        <v>623</v>
      </c>
      <c r="B16790" t="s">
        <v>133</v>
      </c>
      <c r="C16790" t="s">
        <v>9</v>
      </c>
      <c r="D16790">
        <v>3950</v>
      </c>
      <c r="E16790">
        <v>2021</v>
      </c>
      <c r="F16790">
        <v>5</v>
      </c>
      <c r="G16790">
        <v>10039</v>
      </c>
      <c r="H16790" s="1" t="s">
        <v>1823</v>
      </c>
      <c r="I16790">
        <v>0</v>
      </c>
      <c r="J16790">
        <f>IF($H16790=0,1,IF($I16790&lt;=1,2,0))</f>
        <v>2</v>
      </c>
      <c r="K16790">
        <v>8</v>
      </c>
      <c r="L16790">
        <f>IF(AND($J16790=0,$K16790=0),0,1)</f>
        <v>1</v>
      </c>
      <c r="M16790" t="s">
        <v>1205</v>
      </c>
    </row>
    <row r="16791" spans="1:13" x14ac:dyDescent="0.2">
      <c r="A16791" t="s">
        <v>623</v>
      </c>
      <c r="B16791" t="s">
        <v>133</v>
      </c>
      <c r="C16791" t="s">
        <v>9</v>
      </c>
      <c r="D16791">
        <v>3950</v>
      </c>
      <c r="E16791">
        <v>2021</v>
      </c>
      <c r="F16791">
        <v>8</v>
      </c>
      <c r="G16791">
        <v>10042</v>
      </c>
      <c r="H16791" s="1" t="s">
        <v>1823</v>
      </c>
      <c r="I16791">
        <v>0</v>
      </c>
      <c r="J16791">
        <f>IF($H16791=0,1,IF($I16791&lt;=1,2,0))</f>
        <v>2</v>
      </c>
      <c r="K16791">
        <v>8</v>
      </c>
      <c r="L16791">
        <f>IF(AND($J16791=0,$K16791=0),0,1)</f>
        <v>1</v>
      </c>
      <c r="M16791" t="s">
        <v>1205</v>
      </c>
    </row>
    <row r="16792" spans="1:13" x14ac:dyDescent="0.2">
      <c r="A16792" t="s">
        <v>623</v>
      </c>
      <c r="B16792" t="s">
        <v>133</v>
      </c>
      <c r="C16792" t="s">
        <v>9</v>
      </c>
      <c r="D16792">
        <v>3950</v>
      </c>
      <c r="E16792">
        <v>2021</v>
      </c>
      <c r="F16792">
        <v>9</v>
      </c>
      <c r="G16792">
        <v>10043</v>
      </c>
      <c r="H16792" s="1" t="s">
        <v>1823</v>
      </c>
      <c r="I16792">
        <v>0</v>
      </c>
      <c r="J16792">
        <f>IF($H16792=0,1,IF($I16792&lt;=1,2,0))</f>
        <v>2</v>
      </c>
      <c r="K16792">
        <v>8</v>
      </c>
      <c r="L16792">
        <f>IF(AND($J16792=0,$K16792=0),0,1)</f>
        <v>1</v>
      </c>
      <c r="M16792" t="s">
        <v>1205</v>
      </c>
    </row>
    <row r="16793" spans="1:13" x14ac:dyDescent="0.2">
      <c r="A16793" t="s">
        <v>623</v>
      </c>
      <c r="B16793" t="s">
        <v>133</v>
      </c>
      <c r="C16793" t="s">
        <v>9</v>
      </c>
      <c r="D16793">
        <v>3950</v>
      </c>
      <c r="E16793">
        <v>2021</v>
      </c>
      <c r="F16793">
        <v>11</v>
      </c>
      <c r="G16793">
        <v>10045</v>
      </c>
      <c r="H16793" s="1" t="s">
        <v>1823</v>
      </c>
      <c r="I16793">
        <v>0</v>
      </c>
      <c r="J16793">
        <f>IF($H16793=0,1,IF($I16793&lt;=1,2,0))</f>
        <v>2</v>
      </c>
      <c r="K16793">
        <v>8</v>
      </c>
      <c r="L16793">
        <f>IF(AND($J16793=0,$K16793=0),0,1)</f>
        <v>1</v>
      </c>
      <c r="M16793" t="s">
        <v>1205</v>
      </c>
    </row>
    <row r="16794" spans="1:13" x14ac:dyDescent="0.2">
      <c r="A16794" t="s">
        <v>623</v>
      </c>
      <c r="B16794" t="s">
        <v>133</v>
      </c>
      <c r="C16794" t="s">
        <v>9</v>
      </c>
      <c r="D16794">
        <v>3950</v>
      </c>
      <c r="E16794">
        <v>2021</v>
      </c>
      <c r="F16794">
        <v>13</v>
      </c>
      <c r="G16794">
        <v>10047</v>
      </c>
      <c r="H16794" s="1" t="s">
        <v>1823</v>
      </c>
      <c r="I16794">
        <v>0</v>
      </c>
      <c r="J16794">
        <f>IF($H16794=0,1,IF($I16794&lt;=1,2,0))</f>
        <v>2</v>
      </c>
      <c r="K16794">
        <v>8</v>
      </c>
      <c r="L16794">
        <f>IF(AND($J16794=0,$K16794=0),0,1)</f>
        <v>1</v>
      </c>
      <c r="M16794" t="s">
        <v>1205</v>
      </c>
    </row>
    <row r="16795" spans="1:13" x14ac:dyDescent="0.2">
      <c r="A16795" t="s">
        <v>623</v>
      </c>
      <c r="B16795" t="s">
        <v>133</v>
      </c>
      <c r="C16795" t="s">
        <v>9</v>
      </c>
      <c r="D16795">
        <v>3950</v>
      </c>
      <c r="E16795">
        <v>2021</v>
      </c>
      <c r="F16795">
        <v>14</v>
      </c>
      <c r="G16795">
        <v>10048</v>
      </c>
      <c r="H16795" s="1" t="s">
        <v>1823</v>
      </c>
      <c r="I16795">
        <v>0</v>
      </c>
      <c r="J16795">
        <f>IF($H16795=0,1,IF($I16795&lt;=1,2,0))</f>
        <v>2</v>
      </c>
      <c r="K16795">
        <v>8</v>
      </c>
      <c r="L16795">
        <f>IF(AND($J16795=0,$K16795=0),0,1)</f>
        <v>1</v>
      </c>
      <c r="M16795" t="s">
        <v>1205</v>
      </c>
    </row>
    <row r="16796" spans="1:13" x14ac:dyDescent="0.2">
      <c r="A16796" t="s">
        <v>623</v>
      </c>
      <c r="B16796" t="s">
        <v>133</v>
      </c>
      <c r="C16796" t="s">
        <v>9</v>
      </c>
      <c r="D16796">
        <v>3950</v>
      </c>
      <c r="E16796">
        <v>2021</v>
      </c>
      <c r="F16796">
        <v>18</v>
      </c>
      <c r="G16796">
        <v>10052</v>
      </c>
      <c r="H16796" s="1" t="s">
        <v>1823</v>
      </c>
      <c r="I16796">
        <v>0</v>
      </c>
      <c r="J16796">
        <f>IF($H16796=0,1,IF($I16796&lt;=1,2,0))</f>
        <v>2</v>
      </c>
      <c r="K16796">
        <v>8</v>
      </c>
      <c r="L16796">
        <f>IF(AND($J16796=0,$K16796=0),0,1)</f>
        <v>1</v>
      </c>
      <c r="M16796" t="s">
        <v>1205</v>
      </c>
    </row>
    <row r="16797" spans="1:13" x14ac:dyDescent="0.2">
      <c r="A16797" t="s">
        <v>623</v>
      </c>
      <c r="B16797" t="s">
        <v>133</v>
      </c>
      <c r="C16797" t="s">
        <v>9</v>
      </c>
      <c r="D16797">
        <v>3950</v>
      </c>
      <c r="E16797">
        <v>2021</v>
      </c>
      <c r="F16797">
        <v>19</v>
      </c>
      <c r="G16797">
        <v>10053</v>
      </c>
      <c r="H16797" s="1" t="s">
        <v>1823</v>
      </c>
      <c r="I16797">
        <v>0</v>
      </c>
      <c r="J16797">
        <f>IF($H16797=0,1,IF($I16797&lt;=1,2,0))</f>
        <v>2</v>
      </c>
      <c r="K16797">
        <v>8</v>
      </c>
      <c r="L16797">
        <f>IF(AND($J16797=0,$K16797=0),0,1)</f>
        <v>1</v>
      </c>
      <c r="M16797" t="s">
        <v>1205</v>
      </c>
    </row>
    <row r="16798" spans="1:13" x14ac:dyDescent="0.2">
      <c r="A16798" t="s">
        <v>623</v>
      </c>
      <c r="B16798" t="s">
        <v>133</v>
      </c>
      <c r="C16798" t="s">
        <v>9</v>
      </c>
      <c r="D16798">
        <v>3950</v>
      </c>
      <c r="E16798">
        <v>2021</v>
      </c>
      <c r="F16798">
        <v>20</v>
      </c>
      <c r="G16798">
        <v>10054</v>
      </c>
      <c r="H16798" s="1" t="s">
        <v>1823</v>
      </c>
      <c r="I16798">
        <v>0</v>
      </c>
      <c r="J16798">
        <f>IF($H16798=0,1,IF($I16798&lt;=1,2,0))</f>
        <v>2</v>
      </c>
      <c r="K16798">
        <v>8</v>
      </c>
      <c r="L16798">
        <f>IF(AND($J16798=0,$K16798=0),0,1)</f>
        <v>1</v>
      </c>
      <c r="M16798" t="s">
        <v>1205</v>
      </c>
    </row>
    <row r="16799" spans="1:13" x14ac:dyDescent="0.2">
      <c r="A16799" t="s">
        <v>623</v>
      </c>
      <c r="B16799" t="s">
        <v>133</v>
      </c>
      <c r="C16799" t="s">
        <v>9</v>
      </c>
      <c r="D16799">
        <v>3950</v>
      </c>
      <c r="E16799">
        <v>2021</v>
      </c>
      <c r="F16799">
        <v>25</v>
      </c>
      <c r="G16799">
        <v>10059</v>
      </c>
      <c r="H16799" s="1" t="s">
        <v>1823</v>
      </c>
      <c r="I16799">
        <v>0</v>
      </c>
      <c r="J16799">
        <f>IF($H16799=0,1,IF($I16799&lt;=1,2,0))</f>
        <v>2</v>
      </c>
      <c r="K16799">
        <v>8</v>
      </c>
      <c r="L16799">
        <f>IF(AND($J16799=0,$K16799=0),0,1)</f>
        <v>1</v>
      </c>
      <c r="M16799" t="s">
        <v>1205</v>
      </c>
    </row>
    <row r="16800" spans="1:13" x14ac:dyDescent="0.2">
      <c r="A16800" t="s">
        <v>623</v>
      </c>
      <c r="B16800" t="s">
        <v>133</v>
      </c>
      <c r="C16800" t="s">
        <v>9</v>
      </c>
      <c r="D16800">
        <v>3950</v>
      </c>
      <c r="E16800">
        <v>2021</v>
      </c>
      <c r="F16800">
        <v>26</v>
      </c>
      <c r="G16800">
        <v>10060</v>
      </c>
      <c r="H16800" s="1" t="s">
        <v>1823</v>
      </c>
      <c r="I16800">
        <v>0</v>
      </c>
      <c r="J16800">
        <f>IF($H16800=0,1,IF($I16800&lt;=1,2,0))</f>
        <v>2</v>
      </c>
      <c r="K16800">
        <v>8</v>
      </c>
      <c r="L16800">
        <f>IF(AND($J16800=0,$K16800=0),0,1)</f>
        <v>1</v>
      </c>
      <c r="M16800" t="s">
        <v>1205</v>
      </c>
    </row>
    <row r="16801" spans="1:13" x14ac:dyDescent="0.2">
      <c r="A16801" t="s">
        <v>623</v>
      </c>
      <c r="B16801" t="s">
        <v>133</v>
      </c>
      <c r="C16801" t="s">
        <v>9</v>
      </c>
      <c r="D16801">
        <v>3950</v>
      </c>
      <c r="E16801">
        <v>2021</v>
      </c>
      <c r="F16801">
        <v>28</v>
      </c>
      <c r="G16801">
        <v>10062</v>
      </c>
      <c r="H16801" s="1" t="s">
        <v>1823</v>
      </c>
      <c r="I16801">
        <v>0</v>
      </c>
      <c r="J16801">
        <f>IF($H16801=0,1,IF($I16801&lt;=1,2,0))</f>
        <v>2</v>
      </c>
      <c r="K16801">
        <v>8</v>
      </c>
      <c r="L16801">
        <f>IF(AND($J16801=0,$K16801=0),0,1)</f>
        <v>1</v>
      </c>
      <c r="M16801" t="s">
        <v>1205</v>
      </c>
    </row>
    <row r="16802" spans="1:13" x14ac:dyDescent="0.2">
      <c r="A16802" t="s">
        <v>623</v>
      </c>
      <c r="B16802" t="s">
        <v>133</v>
      </c>
      <c r="C16802" t="s">
        <v>9</v>
      </c>
      <c r="D16802">
        <v>3950</v>
      </c>
      <c r="E16802">
        <v>2021</v>
      </c>
      <c r="F16802">
        <v>29</v>
      </c>
      <c r="G16802">
        <v>10063</v>
      </c>
      <c r="H16802" s="1" t="s">
        <v>1823</v>
      </c>
      <c r="I16802">
        <v>0</v>
      </c>
      <c r="J16802">
        <f>IF($H16802=0,1,IF($I16802&lt;=1,2,0))</f>
        <v>2</v>
      </c>
      <c r="K16802">
        <v>8</v>
      </c>
      <c r="L16802">
        <f>IF(AND($J16802=0,$K16802=0),0,1)</f>
        <v>1</v>
      </c>
      <c r="M16802" t="s">
        <v>1205</v>
      </c>
    </row>
    <row r="16803" spans="1:13" x14ac:dyDescent="0.2">
      <c r="A16803" t="s">
        <v>623</v>
      </c>
      <c r="B16803" t="s">
        <v>133</v>
      </c>
      <c r="C16803" t="s">
        <v>9</v>
      </c>
      <c r="D16803">
        <v>3950</v>
      </c>
      <c r="E16803">
        <v>2021</v>
      </c>
      <c r="F16803">
        <v>30</v>
      </c>
      <c r="G16803">
        <v>10064</v>
      </c>
      <c r="H16803" s="1" t="s">
        <v>1823</v>
      </c>
      <c r="I16803">
        <v>0</v>
      </c>
      <c r="J16803">
        <f>IF($H16803=0,1,IF($I16803&lt;=1,2,0))</f>
        <v>2</v>
      </c>
      <c r="K16803">
        <v>8</v>
      </c>
      <c r="L16803">
        <f>IF(AND($J16803=0,$K16803=0),0,1)</f>
        <v>1</v>
      </c>
      <c r="M16803" t="s">
        <v>1205</v>
      </c>
    </row>
    <row r="16804" spans="1:13" x14ac:dyDescent="0.2">
      <c r="A16804" t="s">
        <v>623</v>
      </c>
      <c r="B16804" t="s">
        <v>133</v>
      </c>
      <c r="C16804" t="s">
        <v>11</v>
      </c>
      <c r="D16804">
        <v>9165</v>
      </c>
      <c r="E16804">
        <v>2021</v>
      </c>
      <c r="F16804">
        <v>1</v>
      </c>
      <c r="G16804">
        <v>15702</v>
      </c>
      <c r="H16804" s="1">
        <v>3</v>
      </c>
      <c r="I16804">
        <v>12</v>
      </c>
      <c r="J16804">
        <f>IF($H16804=0,1,IF($I16804&lt;=1,2,0))</f>
        <v>0</v>
      </c>
      <c r="K16804">
        <v>5</v>
      </c>
      <c r="L16804">
        <f>IF(AND($J16804=0,$K16804=0),0,1)</f>
        <v>1</v>
      </c>
    </row>
    <row r="16805" spans="1:13" x14ac:dyDescent="0.2">
      <c r="A16805" t="s">
        <v>623</v>
      </c>
      <c r="B16805" t="s">
        <v>133</v>
      </c>
      <c r="C16805" t="s">
        <v>11</v>
      </c>
      <c r="D16805">
        <v>9998</v>
      </c>
      <c r="E16805">
        <v>2021</v>
      </c>
      <c r="F16805">
        <v>1</v>
      </c>
      <c r="G16805">
        <v>10014</v>
      </c>
      <c r="H16805" s="1">
        <v>1</v>
      </c>
      <c r="I16805">
        <v>38</v>
      </c>
      <c r="J16805">
        <f>IF($H16805=0,1,IF($I16805&lt;=1,2,0))</f>
        <v>0</v>
      </c>
      <c r="K16805">
        <v>5</v>
      </c>
      <c r="L16805">
        <f>IF(AND($J16805=0,$K16805=0),0,1)</f>
        <v>1</v>
      </c>
      <c r="M16805" t="s">
        <v>1733</v>
      </c>
    </row>
    <row r="16806" spans="1:13" x14ac:dyDescent="0.2">
      <c r="A16806" t="s">
        <v>623</v>
      </c>
      <c r="B16806" t="s">
        <v>133</v>
      </c>
      <c r="C16806" t="s">
        <v>11</v>
      </c>
      <c r="D16806">
        <v>9999</v>
      </c>
      <c r="E16806">
        <v>2021</v>
      </c>
      <c r="F16806">
        <v>1</v>
      </c>
      <c r="G16806">
        <v>10023</v>
      </c>
      <c r="H16806" s="1">
        <v>0</v>
      </c>
      <c r="I16806">
        <v>40</v>
      </c>
      <c r="J16806">
        <f>IF($H16806=0,1,IF($I16806&lt;=1,2,0))</f>
        <v>1</v>
      </c>
      <c r="K16806">
        <v>5</v>
      </c>
      <c r="L16806">
        <f>IF(AND($J16806=0,$K16806=0),0,1)</f>
        <v>1</v>
      </c>
    </row>
    <row r="16807" spans="1:13" x14ac:dyDescent="0.2">
      <c r="A16807" t="s">
        <v>1206</v>
      </c>
      <c r="B16807" t="s">
        <v>381</v>
      </c>
      <c r="C16807" t="s">
        <v>382</v>
      </c>
      <c r="D16807">
        <v>4423</v>
      </c>
      <c r="E16807">
        <v>2021</v>
      </c>
      <c r="F16807">
        <v>1</v>
      </c>
      <c r="G16807">
        <v>16396</v>
      </c>
      <c r="H16807" s="1">
        <v>0</v>
      </c>
      <c r="I16807">
        <v>11</v>
      </c>
      <c r="J16807">
        <f>IF($H16807=0,1,IF($I16807&lt;=1,2,0))</f>
        <v>1</v>
      </c>
      <c r="K16807">
        <v>6</v>
      </c>
      <c r="L16807">
        <f>IF(AND($J16807=0,$K16807=0),0,1)</f>
        <v>1</v>
      </c>
      <c r="M16807" t="s">
        <v>503</v>
      </c>
    </row>
    <row r="16808" spans="1:13" x14ac:dyDescent="0.2">
      <c r="A16808" t="s">
        <v>1206</v>
      </c>
      <c r="B16808" t="s">
        <v>381</v>
      </c>
      <c r="C16808" t="s">
        <v>382</v>
      </c>
      <c r="D16808">
        <v>6033</v>
      </c>
      <c r="E16808">
        <v>2021</v>
      </c>
      <c r="F16808">
        <v>1</v>
      </c>
      <c r="G16808">
        <v>16397</v>
      </c>
      <c r="H16808" s="1">
        <v>3</v>
      </c>
      <c r="I16808">
        <v>51</v>
      </c>
      <c r="J16808">
        <f>IF($H16808=0,1,IF($I16808&lt;=1,2,0))</f>
        <v>0</v>
      </c>
      <c r="K16808">
        <v>6</v>
      </c>
      <c r="L16808">
        <f>IF(AND($J16808=0,$K16808=0),0,1)</f>
        <v>1</v>
      </c>
    </row>
    <row r="16809" spans="1:13" x14ac:dyDescent="0.2">
      <c r="A16809" t="s">
        <v>1206</v>
      </c>
      <c r="B16809" t="s">
        <v>381</v>
      </c>
      <c r="C16809" t="s">
        <v>382</v>
      </c>
      <c r="D16809">
        <v>6033</v>
      </c>
      <c r="E16809">
        <v>2021</v>
      </c>
      <c r="F16809">
        <v>2</v>
      </c>
      <c r="G16809">
        <v>16398</v>
      </c>
      <c r="H16809" s="1">
        <v>3</v>
      </c>
      <c r="I16809">
        <v>17</v>
      </c>
      <c r="J16809">
        <f>IF($H16809=0,1,IF($I16809&lt;=1,2,0))</f>
        <v>0</v>
      </c>
      <c r="K16809">
        <v>6</v>
      </c>
      <c r="L16809">
        <f>IF(AND($J16809=0,$K16809=0),0,1)</f>
        <v>1</v>
      </c>
    </row>
    <row r="16810" spans="1:13" x14ac:dyDescent="0.2">
      <c r="A16810" t="s">
        <v>1206</v>
      </c>
      <c r="B16810" t="s">
        <v>381</v>
      </c>
      <c r="C16810" t="s">
        <v>382</v>
      </c>
      <c r="D16810">
        <v>6033</v>
      </c>
      <c r="E16810">
        <v>2021</v>
      </c>
      <c r="F16810" t="s">
        <v>59</v>
      </c>
      <c r="G16810">
        <v>16399</v>
      </c>
      <c r="H16810" s="1">
        <v>0</v>
      </c>
      <c r="I16810">
        <v>0</v>
      </c>
      <c r="J16810">
        <f>IF($H16810=0,1,IF($I16810&lt;=1,2,0))</f>
        <v>1</v>
      </c>
      <c r="K16810">
        <v>6</v>
      </c>
      <c r="L16810">
        <f>IF(AND($J16810=0,$K16810=0),0,1)</f>
        <v>1</v>
      </c>
      <c r="M16810" t="s">
        <v>384</v>
      </c>
    </row>
    <row r="16811" spans="1:13" x14ac:dyDescent="0.2">
      <c r="A16811" t="s">
        <v>1206</v>
      </c>
      <c r="B16811" t="s">
        <v>381</v>
      </c>
      <c r="C16811" t="s">
        <v>382</v>
      </c>
      <c r="D16811">
        <v>6033</v>
      </c>
      <c r="E16811">
        <v>2021</v>
      </c>
      <c r="F16811" t="s">
        <v>60</v>
      </c>
      <c r="G16811">
        <v>16400</v>
      </c>
      <c r="H16811" s="1">
        <v>0</v>
      </c>
      <c r="I16811">
        <v>0</v>
      </c>
      <c r="J16811">
        <f>IF($H16811=0,1,IF($I16811&lt;=1,2,0))</f>
        <v>1</v>
      </c>
      <c r="K16811">
        <v>6</v>
      </c>
      <c r="L16811">
        <f>IF(AND($J16811=0,$K16811=0),0,1)</f>
        <v>1</v>
      </c>
      <c r="M16811" t="s">
        <v>384</v>
      </c>
    </row>
    <row r="16812" spans="1:13" x14ac:dyDescent="0.2">
      <c r="A16812" t="s">
        <v>1206</v>
      </c>
      <c r="B16812" t="s">
        <v>381</v>
      </c>
      <c r="C16812" t="s">
        <v>382</v>
      </c>
      <c r="D16812">
        <v>6100</v>
      </c>
      <c r="E16812">
        <v>2021</v>
      </c>
      <c r="F16812">
        <v>1</v>
      </c>
      <c r="G16812">
        <v>16401</v>
      </c>
      <c r="H16812" s="1">
        <v>4</v>
      </c>
      <c r="I16812">
        <v>72</v>
      </c>
      <c r="J16812">
        <f>IF($H16812=0,1,IF($I16812&lt;=1,2,0))</f>
        <v>0</v>
      </c>
      <c r="K16812">
        <v>6</v>
      </c>
      <c r="L16812">
        <f>IF(AND($J16812=0,$K16812=0),0,1)</f>
        <v>1</v>
      </c>
      <c r="M16812" t="s">
        <v>1207</v>
      </c>
    </row>
    <row r="16813" spans="1:13" x14ac:dyDescent="0.2">
      <c r="A16813" t="s">
        <v>1206</v>
      </c>
      <c r="B16813" t="s">
        <v>381</v>
      </c>
      <c r="C16813" t="s">
        <v>382</v>
      </c>
      <c r="D16813">
        <v>6102</v>
      </c>
      <c r="E16813">
        <v>2021</v>
      </c>
      <c r="F16813">
        <v>2</v>
      </c>
      <c r="G16813">
        <v>16403</v>
      </c>
      <c r="H16813" s="1">
        <v>0</v>
      </c>
      <c r="I16813">
        <v>22</v>
      </c>
      <c r="J16813">
        <f>IF($H16813=0,1,IF($I16813&lt;=1,2,0))</f>
        <v>1</v>
      </c>
      <c r="K16813">
        <v>6</v>
      </c>
      <c r="L16813">
        <f>IF(AND($J16813=0,$K16813=0),0,1)</f>
        <v>1</v>
      </c>
      <c r="M16813" t="s">
        <v>1207</v>
      </c>
    </row>
    <row r="16814" spans="1:13" x14ac:dyDescent="0.2">
      <c r="A16814" t="s">
        <v>1206</v>
      </c>
      <c r="B16814" t="s">
        <v>381</v>
      </c>
      <c r="C16814" t="s">
        <v>382</v>
      </c>
      <c r="D16814">
        <v>6102</v>
      </c>
      <c r="E16814">
        <v>2021</v>
      </c>
      <c r="F16814">
        <v>3</v>
      </c>
      <c r="G16814">
        <v>16404</v>
      </c>
      <c r="H16814" s="1">
        <v>0</v>
      </c>
      <c r="I16814">
        <v>21</v>
      </c>
      <c r="J16814">
        <f>IF($H16814=0,1,IF($I16814&lt;=1,2,0))</f>
        <v>1</v>
      </c>
      <c r="K16814">
        <v>6</v>
      </c>
      <c r="L16814">
        <f>IF(AND($J16814=0,$K16814=0),0,1)</f>
        <v>1</v>
      </c>
      <c r="M16814" t="s">
        <v>1207</v>
      </c>
    </row>
    <row r="16815" spans="1:13" x14ac:dyDescent="0.2">
      <c r="A16815" t="s">
        <v>1206</v>
      </c>
      <c r="B16815" t="s">
        <v>381</v>
      </c>
      <c r="C16815" t="s">
        <v>382</v>
      </c>
      <c r="D16815">
        <v>6102</v>
      </c>
      <c r="E16815">
        <v>2021</v>
      </c>
      <c r="F16815">
        <v>1</v>
      </c>
      <c r="G16815">
        <v>16402</v>
      </c>
      <c r="H16815" s="1">
        <v>0</v>
      </c>
      <c r="I16815">
        <v>19</v>
      </c>
      <c r="J16815">
        <f>IF($H16815=0,1,IF($I16815&lt;=1,2,0))</f>
        <v>1</v>
      </c>
      <c r="K16815">
        <v>6</v>
      </c>
      <c r="L16815">
        <f>IF(AND($J16815=0,$K16815=0),0,1)</f>
        <v>1</v>
      </c>
      <c r="M16815" t="s">
        <v>1207</v>
      </c>
    </row>
    <row r="16816" spans="1:13" x14ac:dyDescent="0.2">
      <c r="A16816" t="s">
        <v>1206</v>
      </c>
      <c r="B16816" t="s">
        <v>381</v>
      </c>
      <c r="C16816" t="s">
        <v>382</v>
      </c>
      <c r="D16816">
        <v>6102</v>
      </c>
      <c r="E16816">
        <v>2021</v>
      </c>
      <c r="F16816">
        <v>4</v>
      </c>
      <c r="G16816">
        <v>16406</v>
      </c>
      <c r="H16816" s="1">
        <v>0</v>
      </c>
      <c r="I16816">
        <v>10</v>
      </c>
      <c r="J16816">
        <f>IF($H16816=0,1,IF($I16816&lt;=1,2,0))</f>
        <v>1</v>
      </c>
      <c r="K16816">
        <v>6</v>
      </c>
      <c r="L16816">
        <f>IF(AND($J16816=0,$K16816=0),0,1)</f>
        <v>1</v>
      </c>
      <c r="M16816" t="s">
        <v>1207</v>
      </c>
    </row>
    <row r="16817" spans="1:13" x14ac:dyDescent="0.2">
      <c r="A16817" t="s">
        <v>1206</v>
      </c>
      <c r="B16817" t="s">
        <v>381</v>
      </c>
      <c r="C16817" t="s">
        <v>382</v>
      </c>
      <c r="D16817">
        <v>6110</v>
      </c>
      <c r="E16817">
        <v>2021</v>
      </c>
      <c r="F16817">
        <v>2</v>
      </c>
      <c r="G16817">
        <v>16410</v>
      </c>
      <c r="H16817" s="1">
        <v>4</v>
      </c>
      <c r="I16817">
        <v>65</v>
      </c>
      <c r="J16817">
        <f>IF($H16817=0,1,IF($I16817&lt;=1,2,0))</f>
        <v>0</v>
      </c>
      <c r="K16817">
        <v>6</v>
      </c>
      <c r="L16817">
        <f>IF(AND($J16817=0,$K16817=0),0,1)</f>
        <v>1</v>
      </c>
      <c r="M16817" t="s">
        <v>1207</v>
      </c>
    </row>
    <row r="16818" spans="1:13" x14ac:dyDescent="0.2">
      <c r="A16818" t="s">
        <v>1206</v>
      </c>
      <c r="B16818" t="s">
        <v>381</v>
      </c>
      <c r="C16818" t="s">
        <v>382</v>
      </c>
      <c r="D16818">
        <v>6110</v>
      </c>
      <c r="E16818">
        <v>2021</v>
      </c>
      <c r="F16818">
        <v>1</v>
      </c>
      <c r="G16818">
        <v>16409</v>
      </c>
      <c r="H16818" s="1">
        <v>4</v>
      </c>
      <c r="I16818">
        <v>57</v>
      </c>
      <c r="J16818">
        <f>IF($H16818=0,1,IF($I16818&lt;=1,2,0))</f>
        <v>0</v>
      </c>
      <c r="K16818">
        <v>6</v>
      </c>
      <c r="L16818">
        <f>IF(AND($J16818=0,$K16818=0),0,1)</f>
        <v>1</v>
      </c>
      <c r="M16818" t="s">
        <v>1207</v>
      </c>
    </row>
    <row r="16819" spans="1:13" x14ac:dyDescent="0.2">
      <c r="A16819" t="s">
        <v>1206</v>
      </c>
      <c r="B16819" t="s">
        <v>381</v>
      </c>
      <c r="C16819" t="s">
        <v>382</v>
      </c>
      <c r="D16819">
        <v>6112</v>
      </c>
      <c r="E16819">
        <v>2021</v>
      </c>
      <c r="F16819">
        <v>2</v>
      </c>
      <c r="G16819">
        <v>16412</v>
      </c>
      <c r="H16819" s="1">
        <v>0</v>
      </c>
      <c r="I16819">
        <v>20</v>
      </c>
      <c r="J16819">
        <f>IF($H16819=0,1,IF($I16819&lt;=1,2,0))</f>
        <v>1</v>
      </c>
      <c r="K16819">
        <v>6</v>
      </c>
      <c r="L16819">
        <f>IF(AND($J16819=0,$K16819=0),0,1)</f>
        <v>1</v>
      </c>
      <c r="M16819" t="s">
        <v>1207</v>
      </c>
    </row>
    <row r="16820" spans="1:13" x14ac:dyDescent="0.2">
      <c r="A16820" t="s">
        <v>1206</v>
      </c>
      <c r="B16820" t="s">
        <v>381</v>
      </c>
      <c r="C16820" t="s">
        <v>382</v>
      </c>
      <c r="D16820">
        <v>6112</v>
      </c>
      <c r="E16820">
        <v>2021</v>
      </c>
      <c r="F16820">
        <v>3</v>
      </c>
      <c r="G16820">
        <v>16413</v>
      </c>
      <c r="H16820" s="1">
        <v>0</v>
      </c>
      <c r="I16820">
        <v>20</v>
      </c>
      <c r="J16820">
        <f>IF($H16820=0,1,IF($I16820&lt;=1,2,0))</f>
        <v>1</v>
      </c>
      <c r="K16820">
        <v>6</v>
      </c>
      <c r="L16820">
        <f>IF(AND($J16820=0,$K16820=0),0,1)</f>
        <v>1</v>
      </c>
      <c r="M16820" t="s">
        <v>1207</v>
      </c>
    </row>
    <row r="16821" spans="1:13" x14ac:dyDescent="0.2">
      <c r="A16821" t="s">
        <v>1206</v>
      </c>
      <c r="B16821" t="s">
        <v>381</v>
      </c>
      <c r="C16821" t="s">
        <v>382</v>
      </c>
      <c r="D16821">
        <v>6112</v>
      </c>
      <c r="E16821">
        <v>2021</v>
      </c>
      <c r="F16821">
        <v>1</v>
      </c>
      <c r="G16821">
        <v>16411</v>
      </c>
      <c r="H16821" s="1">
        <v>0</v>
      </c>
      <c r="I16821">
        <v>19</v>
      </c>
      <c r="J16821">
        <f>IF($H16821=0,1,IF($I16821&lt;=1,2,0))</f>
        <v>1</v>
      </c>
      <c r="K16821">
        <v>6</v>
      </c>
      <c r="L16821">
        <f>IF(AND($J16821=0,$K16821=0),0,1)</f>
        <v>1</v>
      </c>
      <c r="M16821" t="s">
        <v>1207</v>
      </c>
    </row>
    <row r="16822" spans="1:13" x14ac:dyDescent="0.2">
      <c r="A16822" t="s">
        <v>1206</v>
      </c>
      <c r="B16822" t="s">
        <v>381</v>
      </c>
      <c r="C16822" t="s">
        <v>382</v>
      </c>
      <c r="D16822">
        <v>6112</v>
      </c>
      <c r="E16822">
        <v>2021</v>
      </c>
      <c r="F16822">
        <v>4</v>
      </c>
      <c r="G16822">
        <v>16414</v>
      </c>
      <c r="H16822" s="1">
        <v>0</v>
      </c>
      <c r="I16822">
        <v>19</v>
      </c>
      <c r="J16822">
        <f>IF($H16822=0,1,IF($I16822&lt;=1,2,0))</f>
        <v>1</v>
      </c>
      <c r="K16822">
        <v>6</v>
      </c>
      <c r="L16822">
        <f>IF(AND($J16822=0,$K16822=0),0,1)</f>
        <v>1</v>
      </c>
      <c r="M16822" t="s">
        <v>1207</v>
      </c>
    </row>
    <row r="16823" spans="1:13" x14ac:dyDescent="0.2">
      <c r="A16823" t="s">
        <v>1206</v>
      </c>
      <c r="B16823" t="s">
        <v>381</v>
      </c>
      <c r="C16823" t="s">
        <v>382</v>
      </c>
      <c r="D16823">
        <v>6112</v>
      </c>
      <c r="E16823">
        <v>2021</v>
      </c>
      <c r="F16823">
        <v>7</v>
      </c>
      <c r="G16823">
        <v>16417</v>
      </c>
      <c r="H16823" s="1">
        <v>0</v>
      </c>
      <c r="I16823">
        <v>16</v>
      </c>
      <c r="J16823">
        <f>IF($H16823=0,1,IF($I16823&lt;=1,2,0))</f>
        <v>1</v>
      </c>
      <c r="K16823">
        <v>6</v>
      </c>
      <c r="L16823">
        <f>IF(AND($J16823=0,$K16823=0),0,1)</f>
        <v>1</v>
      </c>
      <c r="M16823" t="s">
        <v>1207</v>
      </c>
    </row>
    <row r="16824" spans="1:13" x14ac:dyDescent="0.2">
      <c r="A16824" t="s">
        <v>1206</v>
      </c>
      <c r="B16824" t="s">
        <v>381</v>
      </c>
      <c r="C16824" t="s">
        <v>382</v>
      </c>
      <c r="D16824">
        <v>6112</v>
      </c>
      <c r="E16824">
        <v>2021</v>
      </c>
      <c r="F16824">
        <v>5</v>
      </c>
      <c r="G16824">
        <v>16415</v>
      </c>
      <c r="H16824" s="1">
        <v>0</v>
      </c>
      <c r="I16824">
        <v>12</v>
      </c>
      <c r="J16824">
        <f>IF($H16824=0,1,IF($I16824&lt;=1,2,0))</f>
        <v>1</v>
      </c>
      <c r="K16824">
        <v>6</v>
      </c>
      <c r="L16824">
        <f>IF(AND($J16824=0,$K16824=0),0,1)</f>
        <v>1</v>
      </c>
      <c r="M16824" t="s">
        <v>1207</v>
      </c>
    </row>
    <row r="16825" spans="1:13" x14ac:dyDescent="0.2">
      <c r="A16825" t="s">
        <v>1206</v>
      </c>
      <c r="B16825" t="s">
        <v>381</v>
      </c>
      <c r="C16825" t="s">
        <v>382</v>
      </c>
      <c r="D16825">
        <v>6112</v>
      </c>
      <c r="E16825">
        <v>2021</v>
      </c>
      <c r="F16825">
        <v>6</v>
      </c>
      <c r="G16825">
        <v>16416</v>
      </c>
      <c r="H16825" s="1">
        <v>0</v>
      </c>
      <c r="I16825">
        <v>12</v>
      </c>
      <c r="J16825">
        <f>IF($H16825=0,1,IF($I16825&lt;=1,2,0))</f>
        <v>1</v>
      </c>
      <c r="K16825">
        <v>6</v>
      </c>
      <c r="L16825">
        <f>IF(AND($J16825=0,$K16825=0),0,1)</f>
        <v>1</v>
      </c>
      <c r="M16825" t="s">
        <v>1207</v>
      </c>
    </row>
    <row r="16826" spans="1:13" x14ac:dyDescent="0.2">
      <c r="A16826" t="s">
        <v>1206</v>
      </c>
      <c r="B16826" t="s">
        <v>381</v>
      </c>
      <c r="C16826" t="s">
        <v>382</v>
      </c>
      <c r="D16826">
        <v>6112</v>
      </c>
      <c r="E16826">
        <v>2021</v>
      </c>
      <c r="F16826">
        <v>8</v>
      </c>
      <c r="G16826">
        <v>16418</v>
      </c>
      <c r="H16826" s="1">
        <v>0</v>
      </c>
      <c r="I16826">
        <v>4</v>
      </c>
      <c r="J16826">
        <f>IF($H16826=0,1,IF($I16826&lt;=1,2,0))</f>
        <v>1</v>
      </c>
      <c r="K16826">
        <v>6</v>
      </c>
      <c r="L16826">
        <f>IF(AND($J16826=0,$K16826=0),0,1)</f>
        <v>1</v>
      </c>
      <c r="M16826" t="s">
        <v>1207</v>
      </c>
    </row>
    <row r="16827" spans="1:13" x14ac:dyDescent="0.2">
      <c r="A16827" t="s">
        <v>1206</v>
      </c>
      <c r="B16827" t="s">
        <v>381</v>
      </c>
      <c r="C16827" t="s">
        <v>382</v>
      </c>
      <c r="D16827">
        <v>6120</v>
      </c>
      <c r="E16827">
        <v>2021</v>
      </c>
      <c r="F16827">
        <v>1</v>
      </c>
      <c r="G16827">
        <v>16419</v>
      </c>
      <c r="H16827" s="1">
        <v>4</v>
      </c>
      <c r="I16827">
        <v>72</v>
      </c>
      <c r="J16827">
        <f>IF($H16827=0,1,IF($I16827&lt;=1,2,0))</f>
        <v>0</v>
      </c>
      <c r="K16827">
        <v>6</v>
      </c>
      <c r="L16827">
        <f>IF(AND($J16827=0,$K16827=0),0,1)</f>
        <v>1</v>
      </c>
      <c r="M16827" t="s">
        <v>1207</v>
      </c>
    </row>
    <row r="16828" spans="1:13" x14ac:dyDescent="0.2">
      <c r="A16828" t="s">
        <v>1206</v>
      </c>
      <c r="B16828" t="s">
        <v>381</v>
      </c>
      <c r="C16828" t="s">
        <v>382</v>
      </c>
      <c r="D16828">
        <v>6120</v>
      </c>
      <c r="E16828">
        <v>2021</v>
      </c>
      <c r="F16828">
        <v>2</v>
      </c>
      <c r="G16828">
        <v>16420</v>
      </c>
      <c r="H16828" s="1">
        <v>4</v>
      </c>
      <c r="I16828">
        <v>71</v>
      </c>
      <c r="J16828">
        <f>IF($H16828=0,1,IF($I16828&lt;=1,2,0))</f>
        <v>0</v>
      </c>
      <c r="K16828">
        <v>6</v>
      </c>
      <c r="L16828">
        <f>IF(AND($J16828=0,$K16828=0),0,1)</f>
        <v>1</v>
      </c>
      <c r="M16828" t="s">
        <v>1207</v>
      </c>
    </row>
    <row r="16829" spans="1:13" x14ac:dyDescent="0.2">
      <c r="A16829" t="s">
        <v>1206</v>
      </c>
      <c r="B16829" t="s">
        <v>381</v>
      </c>
      <c r="C16829" t="s">
        <v>382</v>
      </c>
      <c r="D16829">
        <v>6122</v>
      </c>
      <c r="E16829">
        <v>2021</v>
      </c>
      <c r="F16829">
        <v>1</v>
      </c>
      <c r="G16829">
        <v>16426</v>
      </c>
      <c r="H16829" s="1">
        <v>0</v>
      </c>
      <c r="I16829">
        <v>20</v>
      </c>
      <c r="J16829">
        <f>IF($H16829=0,1,IF($I16829&lt;=1,2,0))</f>
        <v>1</v>
      </c>
      <c r="K16829">
        <v>6</v>
      </c>
      <c r="L16829">
        <f>IF(AND($J16829=0,$K16829=0),0,1)</f>
        <v>1</v>
      </c>
      <c r="M16829" t="s">
        <v>1207</v>
      </c>
    </row>
    <row r="16830" spans="1:13" x14ac:dyDescent="0.2">
      <c r="A16830" t="s">
        <v>1206</v>
      </c>
      <c r="B16830" t="s">
        <v>381</v>
      </c>
      <c r="C16830" t="s">
        <v>382</v>
      </c>
      <c r="D16830">
        <v>6122</v>
      </c>
      <c r="E16830">
        <v>2021</v>
      </c>
      <c r="F16830">
        <v>2</v>
      </c>
      <c r="G16830">
        <v>16427</v>
      </c>
      <c r="H16830" s="1">
        <v>0</v>
      </c>
      <c r="I16830">
        <v>20</v>
      </c>
      <c r="J16830">
        <f>IF($H16830=0,1,IF($I16830&lt;=1,2,0))</f>
        <v>1</v>
      </c>
      <c r="K16830">
        <v>6</v>
      </c>
      <c r="L16830">
        <f>IF(AND($J16830=0,$K16830=0),0,1)</f>
        <v>1</v>
      </c>
      <c r="M16830" t="s">
        <v>1207</v>
      </c>
    </row>
    <row r="16831" spans="1:13" x14ac:dyDescent="0.2">
      <c r="A16831" t="s">
        <v>1206</v>
      </c>
      <c r="B16831" t="s">
        <v>381</v>
      </c>
      <c r="C16831" t="s">
        <v>382</v>
      </c>
      <c r="D16831">
        <v>6122</v>
      </c>
      <c r="E16831">
        <v>2021</v>
      </c>
      <c r="F16831">
        <v>7</v>
      </c>
      <c r="G16831">
        <v>16432</v>
      </c>
      <c r="H16831" s="1">
        <v>0</v>
      </c>
      <c r="I16831">
        <v>20</v>
      </c>
      <c r="J16831">
        <f>IF($H16831=0,1,IF($I16831&lt;=1,2,0))</f>
        <v>1</v>
      </c>
      <c r="K16831">
        <v>6</v>
      </c>
      <c r="L16831">
        <f>IF(AND($J16831=0,$K16831=0),0,1)</f>
        <v>1</v>
      </c>
      <c r="M16831" t="s">
        <v>1207</v>
      </c>
    </row>
    <row r="16832" spans="1:13" x14ac:dyDescent="0.2">
      <c r="A16832" t="s">
        <v>1206</v>
      </c>
      <c r="B16832" t="s">
        <v>381</v>
      </c>
      <c r="C16832" t="s">
        <v>382</v>
      </c>
      <c r="D16832">
        <v>6122</v>
      </c>
      <c r="E16832">
        <v>2021</v>
      </c>
      <c r="F16832">
        <v>4</v>
      </c>
      <c r="G16832">
        <v>16429</v>
      </c>
      <c r="H16832" s="1">
        <v>0</v>
      </c>
      <c r="I16832">
        <v>19</v>
      </c>
      <c r="J16832">
        <f>IF($H16832=0,1,IF($I16832&lt;=1,2,0))</f>
        <v>1</v>
      </c>
      <c r="K16832">
        <v>6</v>
      </c>
      <c r="L16832">
        <f>IF(AND($J16832=0,$K16832=0),0,1)</f>
        <v>1</v>
      </c>
      <c r="M16832" t="s">
        <v>1207</v>
      </c>
    </row>
    <row r="16833" spans="1:13" x14ac:dyDescent="0.2">
      <c r="A16833" t="s">
        <v>1206</v>
      </c>
      <c r="B16833" t="s">
        <v>381</v>
      </c>
      <c r="C16833" t="s">
        <v>382</v>
      </c>
      <c r="D16833">
        <v>6122</v>
      </c>
      <c r="E16833">
        <v>2021</v>
      </c>
      <c r="F16833">
        <v>5</v>
      </c>
      <c r="G16833">
        <v>16431</v>
      </c>
      <c r="H16833" s="1">
        <v>0</v>
      </c>
      <c r="I16833">
        <v>18</v>
      </c>
      <c r="J16833">
        <f>IF($H16833=0,1,IF($I16833&lt;=1,2,0))</f>
        <v>1</v>
      </c>
      <c r="K16833">
        <v>6</v>
      </c>
      <c r="L16833">
        <f>IF(AND($J16833=0,$K16833=0),0,1)</f>
        <v>1</v>
      </c>
      <c r="M16833" t="s">
        <v>1207</v>
      </c>
    </row>
    <row r="16834" spans="1:13" x14ac:dyDescent="0.2">
      <c r="A16834" t="s">
        <v>1206</v>
      </c>
      <c r="B16834" t="s">
        <v>381</v>
      </c>
      <c r="C16834" t="s">
        <v>382</v>
      </c>
      <c r="D16834">
        <v>6122</v>
      </c>
      <c r="E16834">
        <v>2021</v>
      </c>
      <c r="F16834">
        <v>6</v>
      </c>
      <c r="G16834">
        <v>16430</v>
      </c>
      <c r="H16834" s="1">
        <v>0</v>
      </c>
      <c r="I16834">
        <v>18</v>
      </c>
      <c r="J16834">
        <f>IF($H16834=0,1,IF($I16834&lt;=1,2,0))</f>
        <v>1</v>
      </c>
      <c r="K16834">
        <v>6</v>
      </c>
      <c r="L16834">
        <f>IF(AND($J16834=0,$K16834=0),0,1)</f>
        <v>1</v>
      </c>
      <c r="M16834" t="s">
        <v>1207</v>
      </c>
    </row>
    <row r="16835" spans="1:13" x14ac:dyDescent="0.2">
      <c r="A16835" t="s">
        <v>1206</v>
      </c>
      <c r="B16835" t="s">
        <v>381</v>
      </c>
      <c r="C16835" t="s">
        <v>382</v>
      </c>
      <c r="D16835">
        <v>6122</v>
      </c>
      <c r="E16835">
        <v>2021</v>
      </c>
      <c r="F16835">
        <v>3</v>
      </c>
      <c r="G16835">
        <v>16428</v>
      </c>
      <c r="H16835" s="1">
        <v>0</v>
      </c>
      <c r="I16835">
        <v>16</v>
      </c>
      <c r="J16835">
        <f>IF($H16835=0,1,IF($I16835&lt;=1,2,0))</f>
        <v>1</v>
      </c>
      <c r="K16835">
        <v>6</v>
      </c>
      <c r="L16835">
        <f>IF(AND($J16835=0,$K16835=0),0,1)</f>
        <v>1</v>
      </c>
      <c r="M16835" t="s">
        <v>1207</v>
      </c>
    </row>
    <row r="16836" spans="1:13" x14ac:dyDescent="0.2">
      <c r="A16836" t="s">
        <v>1206</v>
      </c>
      <c r="B16836" t="s">
        <v>381</v>
      </c>
      <c r="C16836" t="s">
        <v>382</v>
      </c>
      <c r="D16836">
        <v>6122</v>
      </c>
      <c r="E16836">
        <v>2021</v>
      </c>
      <c r="F16836">
        <v>8</v>
      </c>
      <c r="G16836">
        <v>16433</v>
      </c>
      <c r="H16836" s="1">
        <v>0</v>
      </c>
      <c r="I16836">
        <v>12</v>
      </c>
      <c r="J16836">
        <f>IF($H16836=0,1,IF($I16836&lt;=1,2,0))</f>
        <v>1</v>
      </c>
      <c r="K16836">
        <v>6</v>
      </c>
      <c r="L16836">
        <f>IF(AND($J16836=0,$K16836=0),0,1)</f>
        <v>1</v>
      </c>
      <c r="M16836" t="s">
        <v>1207</v>
      </c>
    </row>
    <row r="16837" spans="1:13" x14ac:dyDescent="0.2">
      <c r="A16837" t="s">
        <v>1206</v>
      </c>
      <c r="B16837" t="s">
        <v>381</v>
      </c>
      <c r="C16837" t="s">
        <v>382</v>
      </c>
      <c r="D16837">
        <v>6190</v>
      </c>
      <c r="E16837">
        <v>2021</v>
      </c>
      <c r="F16837">
        <v>1</v>
      </c>
      <c r="G16837">
        <v>16641</v>
      </c>
      <c r="H16837" s="1">
        <v>3</v>
      </c>
      <c r="I16837">
        <v>19</v>
      </c>
      <c r="J16837">
        <f>IF($H16837=0,1,IF($I16837&lt;=1,2,0))</f>
        <v>0</v>
      </c>
      <c r="K16837">
        <v>6</v>
      </c>
      <c r="L16837">
        <f>IF(AND($J16837=0,$K16837=0),0,1)</f>
        <v>1</v>
      </c>
      <c r="M16837" t="s">
        <v>1734</v>
      </c>
    </row>
    <row r="16838" spans="1:13" x14ac:dyDescent="0.2">
      <c r="A16838" t="s">
        <v>1206</v>
      </c>
      <c r="B16838" t="s">
        <v>381</v>
      </c>
      <c r="C16838" t="s">
        <v>382</v>
      </c>
      <c r="D16838">
        <v>6228</v>
      </c>
      <c r="E16838">
        <v>2021</v>
      </c>
      <c r="F16838">
        <v>1</v>
      </c>
      <c r="G16838">
        <v>16642</v>
      </c>
      <c r="H16838" s="1">
        <v>3</v>
      </c>
      <c r="I16838">
        <v>34</v>
      </c>
      <c r="J16838">
        <f>IF($H16838=0,1,IF($I16838&lt;=1,2,0))</f>
        <v>0</v>
      </c>
      <c r="K16838">
        <v>6</v>
      </c>
      <c r="L16838">
        <f>IF(AND($J16838=0,$K16838=0),0,1)</f>
        <v>1</v>
      </c>
      <c r="M16838" t="s">
        <v>1208</v>
      </c>
    </row>
    <row r="16839" spans="1:13" x14ac:dyDescent="0.2">
      <c r="A16839" t="s">
        <v>1206</v>
      </c>
      <c r="B16839" t="s">
        <v>381</v>
      </c>
      <c r="C16839" t="s">
        <v>382</v>
      </c>
      <c r="D16839">
        <v>6244</v>
      </c>
      <c r="E16839">
        <v>2021</v>
      </c>
      <c r="F16839">
        <v>1</v>
      </c>
      <c r="G16839">
        <v>16643</v>
      </c>
      <c r="H16839" s="1">
        <v>3</v>
      </c>
      <c r="I16839">
        <v>17</v>
      </c>
      <c r="J16839">
        <f>IF($H16839=0,1,IF($I16839&lt;=1,2,0))</f>
        <v>0</v>
      </c>
      <c r="K16839">
        <v>6</v>
      </c>
      <c r="L16839">
        <f>IF(AND($J16839=0,$K16839=0),0,1)</f>
        <v>1</v>
      </c>
    </row>
    <row r="16840" spans="1:13" x14ac:dyDescent="0.2">
      <c r="A16840" t="s">
        <v>1206</v>
      </c>
      <c r="B16840" t="s">
        <v>381</v>
      </c>
      <c r="C16840" t="s">
        <v>382</v>
      </c>
      <c r="D16840">
        <v>6251</v>
      </c>
      <c r="E16840">
        <v>2021</v>
      </c>
      <c r="F16840">
        <v>1</v>
      </c>
      <c r="G16840">
        <v>16644</v>
      </c>
      <c r="H16840" s="1">
        <v>3</v>
      </c>
      <c r="I16840">
        <v>17</v>
      </c>
      <c r="J16840">
        <f>IF($H16840=0,1,IF($I16840&lt;=1,2,0))</f>
        <v>0</v>
      </c>
      <c r="K16840">
        <v>6</v>
      </c>
      <c r="L16840">
        <f>IF(AND($J16840=0,$K16840=0),0,1)</f>
        <v>1</v>
      </c>
    </row>
    <row r="16841" spans="1:13" x14ac:dyDescent="0.2">
      <c r="A16841" t="s">
        <v>1206</v>
      </c>
      <c r="B16841" t="s">
        <v>381</v>
      </c>
      <c r="C16841" t="s">
        <v>382</v>
      </c>
      <c r="D16841">
        <v>6255</v>
      </c>
      <c r="E16841">
        <v>2021</v>
      </c>
      <c r="F16841">
        <v>1</v>
      </c>
      <c r="G16841">
        <v>16645</v>
      </c>
      <c r="H16841" s="1">
        <v>3</v>
      </c>
      <c r="I16841">
        <v>6</v>
      </c>
      <c r="J16841">
        <f>IF($H16841=0,1,IF($I16841&lt;=1,2,0))</f>
        <v>0</v>
      </c>
      <c r="K16841">
        <v>6</v>
      </c>
      <c r="L16841">
        <f>IF(AND($J16841=0,$K16841=0),0,1)</f>
        <v>1</v>
      </c>
      <c r="M16841" t="s">
        <v>503</v>
      </c>
    </row>
    <row r="16842" spans="1:13" x14ac:dyDescent="0.2">
      <c r="A16842" t="s">
        <v>1206</v>
      </c>
      <c r="B16842" t="s">
        <v>381</v>
      </c>
      <c r="C16842" t="s">
        <v>382</v>
      </c>
      <c r="D16842">
        <v>6413</v>
      </c>
      <c r="E16842">
        <v>2021</v>
      </c>
      <c r="F16842">
        <v>1</v>
      </c>
      <c r="G16842">
        <v>16646</v>
      </c>
      <c r="H16842" s="1">
        <v>3</v>
      </c>
      <c r="I16842">
        <v>24</v>
      </c>
      <c r="J16842">
        <f>IF($H16842=0,1,IF($I16842&lt;=1,2,0))</f>
        <v>0</v>
      </c>
      <c r="K16842">
        <v>6</v>
      </c>
      <c r="L16842">
        <f>IF(AND($J16842=0,$K16842=0),0,1)</f>
        <v>1</v>
      </c>
    </row>
    <row r="16843" spans="1:13" x14ac:dyDescent="0.2">
      <c r="A16843" t="s">
        <v>1206</v>
      </c>
      <c r="B16843" t="s">
        <v>381</v>
      </c>
      <c r="C16843" t="s">
        <v>382</v>
      </c>
      <c r="D16843">
        <v>6801</v>
      </c>
      <c r="E16843">
        <v>2021</v>
      </c>
      <c r="F16843">
        <v>1</v>
      </c>
      <c r="G16843">
        <v>16648</v>
      </c>
      <c r="H16843" s="1">
        <v>3</v>
      </c>
      <c r="I16843">
        <v>39</v>
      </c>
      <c r="J16843">
        <f>IF($H16843=0,1,IF($I16843&lt;=1,2,0))</f>
        <v>0</v>
      </c>
      <c r="K16843">
        <v>6</v>
      </c>
      <c r="L16843">
        <f>IF(AND($J16843=0,$K16843=0),0,1)</f>
        <v>1</v>
      </c>
    </row>
    <row r="16844" spans="1:13" x14ac:dyDescent="0.2">
      <c r="A16844" t="s">
        <v>1206</v>
      </c>
      <c r="B16844" t="s">
        <v>381</v>
      </c>
      <c r="C16844" t="s">
        <v>382</v>
      </c>
      <c r="D16844">
        <v>8232</v>
      </c>
      <c r="E16844">
        <v>2021</v>
      </c>
      <c r="F16844">
        <v>1</v>
      </c>
      <c r="G16844">
        <v>16649</v>
      </c>
      <c r="H16844" s="1">
        <v>3</v>
      </c>
      <c r="I16844">
        <v>12</v>
      </c>
      <c r="J16844">
        <f>IF($H16844=0,1,IF($I16844&lt;=1,2,0))</f>
        <v>0</v>
      </c>
      <c r="K16844">
        <v>6</v>
      </c>
      <c r="L16844">
        <f>IF(AND($J16844=0,$K16844=0),0,1)</f>
        <v>1</v>
      </c>
    </row>
    <row r="16845" spans="1:13" x14ac:dyDescent="0.2">
      <c r="A16845" t="s">
        <v>1206</v>
      </c>
      <c r="B16845" t="s">
        <v>381</v>
      </c>
      <c r="C16845" t="s">
        <v>382</v>
      </c>
      <c r="D16845">
        <v>8248</v>
      </c>
      <c r="E16845">
        <v>2021</v>
      </c>
      <c r="F16845">
        <v>1</v>
      </c>
      <c r="G16845">
        <v>16650</v>
      </c>
      <c r="H16845" s="1">
        <v>3</v>
      </c>
      <c r="I16845">
        <v>26</v>
      </c>
      <c r="J16845">
        <f>IF($H16845=0,1,IF($I16845&lt;=1,2,0))</f>
        <v>0</v>
      </c>
      <c r="K16845">
        <v>6</v>
      </c>
      <c r="L16845">
        <f>IF(AND($J16845=0,$K16845=0),0,1)</f>
        <v>1</v>
      </c>
    </row>
    <row r="16846" spans="1:13" x14ac:dyDescent="0.2">
      <c r="A16846" t="s">
        <v>1206</v>
      </c>
      <c r="B16846" t="s">
        <v>381</v>
      </c>
      <c r="C16846" t="s">
        <v>382</v>
      </c>
      <c r="D16846">
        <v>8349</v>
      </c>
      <c r="E16846">
        <v>2021</v>
      </c>
      <c r="F16846">
        <v>1</v>
      </c>
      <c r="G16846">
        <v>17411</v>
      </c>
      <c r="H16846" s="1">
        <v>3</v>
      </c>
      <c r="I16846">
        <v>26</v>
      </c>
      <c r="J16846">
        <f>IF($H16846=0,1,IF($I16846&lt;=1,2,0))</f>
        <v>0</v>
      </c>
      <c r="K16846">
        <v>6</v>
      </c>
      <c r="L16846">
        <f>IF(AND($J16846=0,$K16846=0),0,1)</f>
        <v>1</v>
      </c>
    </row>
    <row r="16847" spans="1:13" x14ac:dyDescent="0.2">
      <c r="A16847" t="s">
        <v>1206</v>
      </c>
      <c r="B16847" t="s">
        <v>381</v>
      </c>
      <c r="C16847" t="s">
        <v>382</v>
      </c>
      <c r="D16847">
        <v>8516</v>
      </c>
      <c r="E16847">
        <v>2021</v>
      </c>
      <c r="F16847">
        <v>1</v>
      </c>
      <c r="G16847">
        <v>16651</v>
      </c>
      <c r="H16847" s="1">
        <v>3</v>
      </c>
      <c r="I16847">
        <v>6</v>
      </c>
      <c r="J16847">
        <f>IF($H16847=0,1,IF($I16847&lt;=1,2,0))</f>
        <v>0</v>
      </c>
      <c r="K16847">
        <v>6</v>
      </c>
      <c r="L16847">
        <f>IF(AND($J16847=0,$K16847=0),0,1)</f>
        <v>1</v>
      </c>
      <c r="M16847" t="s">
        <v>1211</v>
      </c>
    </row>
    <row r="16848" spans="1:13" x14ac:dyDescent="0.2">
      <c r="A16848" t="s">
        <v>1206</v>
      </c>
      <c r="B16848" t="s">
        <v>381</v>
      </c>
      <c r="C16848" t="s">
        <v>382</v>
      </c>
      <c r="D16848">
        <v>8516</v>
      </c>
      <c r="E16848">
        <v>2021</v>
      </c>
      <c r="F16848" t="s">
        <v>59</v>
      </c>
      <c r="G16848">
        <v>16652</v>
      </c>
      <c r="H16848" s="1">
        <v>0</v>
      </c>
      <c r="I16848">
        <v>0</v>
      </c>
      <c r="J16848">
        <f>IF($H16848=0,1,IF($I16848&lt;=1,2,0))</f>
        <v>1</v>
      </c>
      <c r="K16848">
        <v>6</v>
      </c>
      <c r="L16848">
        <f>IF(AND($J16848=0,$K16848=0),0,1)</f>
        <v>1</v>
      </c>
      <c r="M16848" t="s">
        <v>384</v>
      </c>
    </row>
    <row r="16849" spans="1:13" x14ac:dyDescent="0.2">
      <c r="A16849" t="s">
        <v>1206</v>
      </c>
      <c r="B16849" t="s">
        <v>381</v>
      </c>
      <c r="C16849" t="s">
        <v>382</v>
      </c>
      <c r="D16849">
        <v>9015</v>
      </c>
      <c r="E16849">
        <v>2021</v>
      </c>
      <c r="F16849">
        <v>2</v>
      </c>
      <c r="G16849">
        <v>15150</v>
      </c>
      <c r="H16849" s="1">
        <v>3</v>
      </c>
      <c r="I16849">
        <v>17</v>
      </c>
      <c r="J16849">
        <f>IF($H16849=0,1,IF($I16849&lt;=1,2,0))</f>
        <v>0</v>
      </c>
      <c r="K16849">
        <v>5</v>
      </c>
      <c r="L16849">
        <f>IF(AND($J16849=0,$K16849=0),0,1)</f>
        <v>1</v>
      </c>
      <c r="M16849" t="s">
        <v>503</v>
      </c>
    </row>
    <row r="16850" spans="1:13" x14ac:dyDescent="0.2">
      <c r="A16850" t="s">
        <v>1206</v>
      </c>
      <c r="B16850" t="s">
        <v>381</v>
      </c>
      <c r="C16850" t="s">
        <v>382</v>
      </c>
      <c r="D16850">
        <v>9015</v>
      </c>
      <c r="E16850">
        <v>2021</v>
      </c>
      <c r="F16850">
        <v>1</v>
      </c>
      <c r="G16850">
        <v>15149</v>
      </c>
      <c r="H16850" s="1">
        <v>1.5</v>
      </c>
      <c r="I16850">
        <v>15</v>
      </c>
      <c r="J16850">
        <f>IF($H16850=0,1,IF($I16850&lt;=1,2,0))</f>
        <v>0</v>
      </c>
      <c r="K16850">
        <v>5</v>
      </c>
      <c r="L16850">
        <f>IF(AND($J16850=0,$K16850=0),0,1)</f>
        <v>1</v>
      </c>
      <c r="M16850" t="s">
        <v>503</v>
      </c>
    </row>
    <row r="16851" spans="1:13" x14ac:dyDescent="0.2">
      <c r="A16851" t="s">
        <v>642</v>
      </c>
      <c r="B16851" t="s">
        <v>6</v>
      </c>
      <c r="C16851" t="s">
        <v>11</v>
      </c>
      <c r="D16851">
        <v>5000</v>
      </c>
      <c r="E16851">
        <v>2021</v>
      </c>
      <c r="F16851">
        <v>1</v>
      </c>
      <c r="G16851">
        <v>12576</v>
      </c>
      <c r="H16851" s="1">
        <v>0</v>
      </c>
      <c r="I16851">
        <v>21</v>
      </c>
      <c r="J16851">
        <f>IF($H16851=0,1,IF($I16851&lt;=1,2,0))</f>
        <v>1</v>
      </c>
      <c r="K16851">
        <v>0</v>
      </c>
      <c r="L16851">
        <f>IF(AND($J16851=0,$K16851=0),0,1)</f>
        <v>1</v>
      </c>
      <c r="M16851" t="s">
        <v>1213</v>
      </c>
    </row>
    <row r="16852" spans="1:13" x14ac:dyDescent="0.2">
      <c r="A16852" t="s">
        <v>642</v>
      </c>
      <c r="B16852" t="s">
        <v>6</v>
      </c>
      <c r="C16852" t="s">
        <v>11</v>
      </c>
      <c r="D16852">
        <v>5010</v>
      </c>
      <c r="E16852">
        <v>2021</v>
      </c>
      <c r="F16852">
        <v>3</v>
      </c>
      <c r="G16852">
        <v>12925</v>
      </c>
      <c r="H16852" s="1">
        <v>3</v>
      </c>
      <c r="I16852">
        <v>73</v>
      </c>
      <c r="J16852">
        <f>IF($H16852=0,1,IF($I16852&lt;=1,2,0))</f>
        <v>0</v>
      </c>
      <c r="K16852">
        <v>4</v>
      </c>
      <c r="L16852">
        <f>IF(AND($J16852=0,$K16852=0),0,1)</f>
        <v>1</v>
      </c>
      <c r="M16852" t="s">
        <v>1735</v>
      </c>
    </row>
    <row r="16853" spans="1:13" x14ac:dyDescent="0.2">
      <c r="A16853" t="s">
        <v>642</v>
      </c>
      <c r="B16853" t="s">
        <v>6</v>
      </c>
      <c r="C16853" t="s">
        <v>11</v>
      </c>
      <c r="D16853">
        <v>5010</v>
      </c>
      <c r="E16853">
        <v>2021</v>
      </c>
      <c r="F16853">
        <v>2</v>
      </c>
      <c r="G16853">
        <v>12578</v>
      </c>
      <c r="H16853" s="1">
        <v>3</v>
      </c>
      <c r="I16853">
        <v>33</v>
      </c>
      <c r="J16853">
        <f>IF($H16853=0,1,IF($I16853&lt;=1,2,0))</f>
        <v>0</v>
      </c>
      <c r="K16853">
        <v>4</v>
      </c>
      <c r="L16853">
        <f>IF(AND($J16853=0,$K16853=0),0,1)</f>
        <v>1</v>
      </c>
      <c r="M16853" t="s">
        <v>1735</v>
      </c>
    </row>
    <row r="16854" spans="1:13" x14ac:dyDescent="0.2">
      <c r="A16854" t="s">
        <v>642</v>
      </c>
      <c r="B16854" t="s">
        <v>6</v>
      </c>
      <c r="C16854" t="s">
        <v>11</v>
      </c>
      <c r="D16854">
        <v>5010</v>
      </c>
      <c r="E16854">
        <v>2021</v>
      </c>
      <c r="F16854">
        <v>1</v>
      </c>
      <c r="G16854">
        <v>12577</v>
      </c>
      <c r="H16854" s="1">
        <v>3</v>
      </c>
      <c r="I16854">
        <v>32</v>
      </c>
      <c r="J16854">
        <f>IF($H16854=0,1,IF($I16854&lt;=1,2,0))</f>
        <v>0</v>
      </c>
      <c r="K16854">
        <v>4</v>
      </c>
      <c r="L16854">
        <f>IF(AND($J16854=0,$K16854=0),0,1)</f>
        <v>1</v>
      </c>
      <c r="M16854" t="s">
        <v>1735</v>
      </c>
    </row>
    <row r="16855" spans="1:13" x14ac:dyDescent="0.2">
      <c r="A16855" t="s">
        <v>642</v>
      </c>
      <c r="B16855" t="s">
        <v>6</v>
      </c>
      <c r="C16855" t="s">
        <v>11</v>
      </c>
      <c r="D16855">
        <v>5010</v>
      </c>
      <c r="E16855">
        <v>2021</v>
      </c>
      <c r="F16855">
        <v>5</v>
      </c>
      <c r="G16855">
        <v>18069</v>
      </c>
      <c r="H16855" s="1">
        <v>3</v>
      </c>
      <c r="I16855">
        <v>31</v>
      </c>
      <c r="J16855">
        <f>IF($H16855=0,1,IF($I16855&lt;=1,2,0))</f>
        <v>0</v>
      </c>
      <c r="K16855">
        <v>4</v>
      </c>
      <c r="L16855">
        <f>IF(AND($J16855=0,$K16855=0),0,1)</f>
        <v>1</v>
      </c>
      <c r="M16855" t="s">
        <v>1735</v>
      </c>
    </row>
    <row r="16856" spans="1:13" x14ac:dyDescent="0.2">
      <c r="A16856" t="s">
        <v>642</v>
      </c>
      <c r="B16856" t="s">
        <v>6</v>
      </c>
      <c r="C16856" t="s">
        <v>11</v>
      </c>
      <c r="D16856">
        <v>5010</v>
      </c>
      <c r="E16856">
        <v>2021</v>
      </c>
      <c r="F16856">
        <v>4</v>
      </c>
      <c r="G16856">
        <v>18068</v>
      </c>
      <c r="H16856" s="1">
        <v>3</v>
      </c>
      <c r="I16856">
        <v>12</v>
      </c>
      <c r="J16856">
        <f>IF($H16856=0,1,IF($I16856&lt;=1,2,0))</f>
        <v>0</v>
      </c>
      <c r="K16856">
        <v>4</v>
      </c>
      <c r="L16856">
        <f>IF(AND($J16856=0,$K16856=0),0,1)</f>
        <v>1</v>
      </c>
      <c r="M16856" t="s">
        <v>1735</v>
      </c>
    </row>
    <row r="16857" spans="1:13" x14ac:dyDescent="0.2">
      <c r="A16857" t="s">
        <v>642</v>
      </c>
      <c r="B16857" t="s">
        <v>6</v>
      </c>
      <c r="C16857" t="s">
        <v>11</v>
      </c>
      <c r="D16857">
        <v>5021</v>
      </c>
      <c r="E16857">
        <v>2021</v>
      </c>
      <c r="F16857">
        <v>1</v>
      </c>
      <c r="G16857">
        <v>12580</v>
      </c>
      <c r="H16857" s="1">
        <v>3</v>
      </c>
      <c r="I16857">
        <v>180</v>
      </c>
      <c r="J16857">
        <f>IF($H16857=0,1,IF($I16857&lt;=1,2,0))</f>
        <v>0</v>
      </c>
      <c r="K16857">
        <v>4</v>
      </c>
      <c r="L16857">
        <f>IF(AND($J16857=0,$K16857=0),0,1)</f>
        <v>1</v>
      </c>
      <c r="M16857" t="s">
        <v>1737</v>
      </c>
    </row>
    <row r="16858" spans="1:13" x14ac:dyDescent="0.2">
      <c r="A16858" t="s">
        <v>642</v>
      </c>
      <c r="B16858" t="s">
        <v>6</v>
      </c>
      <c r="C16858" t="s">
        <v>11</v>
      </c>
      <c r="D16858">
        <v>5022</v>
      </c>
      <c r="E16858">
        <v>2021</v>
      </c>
      <c r="F16858">
        <v>1</v>
      </c>
      <c r="G16858">
        <v>12581</v>
      </c>
      <c r="H16858" s="1">
        <v>3</v>
      </c>
      <c r="I16858">
        <v>37</v>
      </c>
      <c r="J16858">
        <f>IF($H16858=0,1,IF($I16858&lt;=1,2,0))</f>
        <v>0</v>
      </c>
      <c r="K16858">
        <v>4</v>
      </c>
      <c r="L16858">
        <f>IF(AND($J16858=0,$K16858=0),0,1)</f>
        <v>1</v>
      </c>
      <c r="M16858" t="s">
        <v>1738</v>
      </c>
    </row>
    <row r="16859" spans="1:13" x14ac:dyDescent="0.2">
      <c r="A16859" t="s">
        <v>642</v>
      </c>
      <c r="B16859" t="s">
        <v>6</v>
      </c>
      <c r="C16859" t="s">
        <v>11</v>
      </c>
      <c r="D16859">
        <v>5050</v>
      </c>
      <c r="E16859">
        <v>2021</v>
      </c>
      <c r="F16859">
        <v>1</v>
      </c>
      <c r="G16859">
        <v>12582</v>
      </c>
      <c r="H16859" s="1">
        <v>1</v>
      </c>
      <c r="I16859">
        <v>7</v>
      </c>
      <c r="J16859">
        <f>IF($H16859=0,1,IF($I16859&lt;=1,2,0))</f>
        <v>0</v>
      </c>
      <c r="K16859">
        <v>4</v>
      </c>
      <c r="L16859">
        <f>IF(AND($J16859=0,$K16859=0),0,1)</f>
        <v>1</v>
      </c>
      <c r="M16859" t="s">
        <v>1739</v>
      </c>
    </row>
    <row r="16860" spans="1:13" x14ac:dyDescent="0.2">
      <c r="A16860" t="s">
        <v>642</v>
      </c>
      <c r="B16860" t="s">
        <v>6</v>
      </c>
      <c r="C16860" t="s">
        <v>11</v>
      </c>
      <c r="D16860">
        <v>5051</v>
      </c>
      <c r="E16860">
        <v>2021</v>
      </c>
      <c r="F16860">
        <v>1</v>
      </c>
      <c r="G16860">
        <v>12583</v>
      </c>
      <c r="H16860" s="1">
        <v>1</v>
      </c>
      <c r="I16860">
        <v>5</v>
      </c>
      <c r="J16860">
        <f>IF($H16860=0,1,IF($I16860&lt;=1,2,0))</f>
        <v>0</v>
      </c>
      <c r="K16860">
        <v>4</v>
      </c>
      <c r="L16860">
        <f>IF(AND($J16860=0,$K16860=0),0,1)</f>
        <v>1</v>
      </c>
      <c r="M16860" t="s">
        <v>1739</v>
      </c>
    </row>
    <row r="16861" spans="1:13" x14ac:dyDescent="0.2">
      <c r="A16861" t="s">
        <v>642</v>
      </c>
      <c r="B16861" t="s">
        <v>6</v>
      </c>
      <c r="C16861" t="s">
        <v>11</v>
      </c>
      <c r="D16861">
        <v>5054</v>
      </c>
      <c r="E16861">
        <v>2021</v>
      </c>
      <c r="F16861">
        <v>1</v>
      </c>
      <c r="G16861">
        <v>15786</v>
      </c>
      <c r="H16861" s="1">
        <v>1</v>
      </c>
      <c r="I16861">
        <v>2</v>
      </c>
      <c r="J16861">
        <f>IF($H16861=0,1,IF($I16861&lt;=1,2,0))</f>
        <v>0</v>
      </c>
      <c r="K16861">
        <v>4</v>
      </c>
      <c r="L16861">
        <f>IF(AND($J16861=0,$K16861=0),0,1)</f>
        <v>1</v>
      </c>
      <c r="M16861" t="s">
        <v>1739</v>
      </c>
    </row>
    <row r="16862" spans="1:13" x14ac:dyDescent="0.2">
      <c r="A16862" t="s">
        <v>642</v>
      </c>
      <c r="B16862" t="s">
        <v>6</v>
      </c>
      <c r="C16862" t="s">
        <v>11</v>
      </c>
      <c r="D16862">
        <v>5997</v>
      </c>
      <c r="E16862">
        <v>2021</v>
      </c>
      <c r="F16862">
        <v>1</v>
      </c>
      <c r="G16862">
        <v>12591</v>
      </c>
      <c r="H16862" s="1" t="s">
        <v>1823</v>
      </c>
      <c r="I16862">
        <v>3</v>
      </c>
      <c r="J16862">
        <f>IF($H16862=0,1,IF($I16862&lt;=1,2,0))</f>
        <v>0</v>
      </c>
      <c r="K16862">
        <v>4</v>
      </c>
      <c r="L16862">
        <f>IF(AND($J16862=0,$K16862=0),0,1)</f>
        <v>1</v>
      </c>
      <c r="M16862" t="s">
        <v>1745</v>
      </c>
    </row>
    <row r="16863" spans="1:13" x14ac:dyDescent="0.2">
      <c r="A16863" t="s">
        <v>642</v>
      </c>
      <c r="B16863" t="s">
        <v>6</v>
      </c>
      <c r="C16863" t="s">
        <v>11</v>
      </c>
      <c r="D16863">
        <v>5999</v>
      </c>
      <c r="E16863">
        <v>2021</v>
      </c>
      <c r="F16863">
        <v>1</v>
      </c>
      <c r="G16863">
        <v>12592</v>
      </c>
      <c r="H16863" s="1" t="s">
        <v>1824</v>
      </c>
      <c r="I16863">
        <v>33</v>
      </c>
      <c r="J16863">
        <f>IF($H16863=0,1,IF($I16863&lt;=1,2,0))</f>
        <v>0</v>
      </c>
      <c r="K16863">
        <v>4</v>
      </c>
      <c r="L16863">
        <f>IF(AND($J16863=0,$K16863=0),0,1)</f>
        <v>1</v>
      </c>
      <c r="M16863" t="s">
        <v>1735</v>
      </c>
    </row>
    <row r="16864" spans="1:13" x14ac:dyDescent="0.2">
      <c r="A16864" t="s">
        <v>1231</v>
      </c>
      <c r="B16864" t="s">
        <v>381</v>
      </c>
      <c r="C16864" t="s">
        <v>382</v>
      </c>
      <c r="D16864">
        <v>6315</v>
      </c>
      <c r="E16864">
        <v>2021</v>
      </c>
      <c r="F16864">
        <v>1</v>
      </c>
      <c r="G16864">
        <v>16653</v>
      </c>
      <c r="H16864" s="1">
        <v>3</v>
      </c>
      <c r="I16864">
        <v>10</v>
      </c>
      <c r="J16864">
        <f>IF($H16864=0,1,IF($I16864&lt;=1,2,0))</f>
        <v>0</v>
      </c>
      <c r="K16864">
        <v>6</v>
      </c>
      <c r="L16864">
        <f>IF(AND($J16864=0,$K16864=0),0,1)</f>
        <v>1</v>
      </c>
    </row>
    <row r="16865" spans="1:13" x14ac:dyDescent="0.2">
      <c r="A16865" t="s">
        <v>1231</v>
      </c>
      <c r="B16865" t="s">
        <v>381</v>
      </c>
      <c r="C16865" t="s">
        <v>382</v>
      </c>
      <c r="D16865">
        <v>6405</v>
      </c>
      <c r="E16865">
        <v>2021</v>
      </c>
      <c r="F16865">
        <v>1</v>
      </c>
      <c r="G16865">
        <v>17410</v>
      </c>
      <c r="H16865" s="1">
        <v>3</v>
      </c>
      <c r="I16865">
        <v>23</v>
      </c>
      <c r="J16865">
        <f>IF($H16865=0,1,IF($I16865&lt;=1,2,0))</f>
        <v>0</v>
      </c>
      <c r="K16865">
        <v>6</v>
      </c>
      <c r="L16865">
        <f>IF(AND($J16865=0,$K16865=0),0,1)</f>
        <v>1</v>
      </c>
    </row>
    <row r="16866" spans="1:13" x14ac:dyDescent="0.2">
      <c r="A16866" t="s">
        <v>1231</v>
      </c>
      <c r="B16866" t="s">
        <v>381</v>
      </c>
      <c r="C16866" t="s">
        <v>382</v>
      </c>
      <c r="D16866">
        <v>6430</v>
      </c>
      <c r="E16866">
        <v>2021</v>
      </c>
      <c r="F16866">
        <v>1</v>
      </c>
      <c r="G16866">
        <v>16654</v>
      </c>
      <c r="H16866" s="1">
        <v>3</v>
      </c>
      <c r="I16866">
        <v>13</v>
      </c>
      <c r="J16866">
        <f>IF($H16866=0,1,IF($I16866&lt;=1,2,0))</f>
        <v>0</v>
      </c>
      <c r="K16866">
        <v>6</v>
      </c>
      <c r="L16866">
        <f>IF(AND($J16866=0,$K16866=0),0,1)</f>
        <v>1</v>
      </c>
      <c r="M16866" t="s">
        <v>1232</v>
      </c>
    </row>
    <row r="16867" spans="1:13" x14ac:dyDescent="0.2">
      <c r="A16867" t="s">
        <v>1231</v>
      </c>
      <c r="B16867" t="s">
        <v>381</v>
      </c>
      <c r="C16867" t="s">
        <v>382</v>
      </c>
      <c r="D16867">
        <v>6522</v>
      </c>
      <c r="E16867">
        <v>2021</v>
      </c>
      <c r="F16867">
        <v>1</v>
      </c>
      <c r="G16867">
        <v>16655</v>
      </c>
      <c r="H16867" s="1">
        <v>1.5</v>
      </c>
      <c r="I16867">
        <v>10</v>
      </c>
      <c r="J16867">
        <f>IF($H16867=0,1,IF($I16867&lt;=1,2,0))</f>
        <v>0</v>
      </c>
      <c r="K16867">
        <v>6</v>
      </c>
      <c r="L16867">
        <f>IF(AND($J16867=0,$K16867=0),0,1)</f>
        <v>1</v>
      </c>
      <c r="M16867" t="s">
        <v>1653</v>
      </c>
    </row>
    <row r="16868" spans="1:13" x14ac:dyDescent="0.2">
      <c r="A16868" t="s">
        <v>1231</v>
      </c>
      <c r="B16868" t="s">
        <v>381</v>
      </c>
      <c r="C16868" t="s">
        <v>382</v>
      </c>
      <c r="D16868">
        <v>6534</v>
      </c>
      <c r="E16868">
        <v>2021</v>
      </c>
      <c r="F16868">
        <v>1</v>
      </c>
      <c r="G16868">
        <v>16656</v>
      </c>
      <c r="H16868" s="1">
        <v>3</v>
      </c>
      <c r="I16868">
        <v>14</v>
      </c>
      <c r="J16868">
        <f>IF($H16868=0,1,IF($I16868&lt;=1,2,0))</f>
        <v>0</v>
      </c>
      <c r="K16868">
        <v>6</v>
      </c>
      <c r="L16868">
        <f>IF(AND($J16868=0,$K16868=0),0,1)</f>
        <v>1</v>
      </c>
    </row>
    <row r="16869" spans="1:13" x14ac:dyDescent="0.2">
      <c r="A16869" t="s">
        <v>1231</v>
      </c>
      <c r="B16869" t="s">
        <v>381</v>
      </c>
      <c r="C16869" t="s">
        <v>382</v>
      </c>
      <c r="D16869">
        <v>6545</v>
      </c>
      <c r="E16869">
        <v>2021</v>
      </c>
      <c r="F16869">
        <v>1</v>
      </c>
      <c r="G16869">
        <v>16657</v>
      </c>
      <c r="H16869" s="1">
        <v>1.5</v>
      </c>
      <c r="I16869">
        <v>8</v>
      </c>
      <c r="J16869">
        <f>IF($H16869=0,1,IF($I16869&lt;=1,2,0))</f>
        <v>0</v>
      </c>
      <c r="K16869">
        <v>6</v>
      </c>
      <c r="L16869">
        <f>IF(AND($J16869=0,$K16869=0),0,1)</f>
        <v>1</v>
      </c>
      <c r="M16869" t="s">
        <v>1661</v>
      </c>
    </row>
    <row r="16870" spans="1:13" x14ac:dyDescent="0.2">
      <c r="A16870" t="s">
        <v>1231</v>
      </c>
      <c r="B16870" t="s">
        <v>381</v>
      </c>
      <c r="C16870" t="s">
        <v>382</v>
      </c>
      <c r="D16870">
        <v>6639</v>
      </c>
      <c r="E16870">
        <v>2021</v>
      </c>
      <c r="F16870">
        <v>1</v>
      </c>
      <c r="G16870">
        <v>16658</v>
      </c>
      <c r="H16870" s="1">
        <v>3</v>
      </c>
      <c r="I16870">
        <v>15</v>
      </c>
      <c r="J16870">
        <f>IF($H16870=0,1,IF($I16870&lt;=1,2,0))</f>
        <v>0</v>
      </c>
      <c r="K16870">
        <v>6</v>
      </c>
      <c r="L16870">
        <f>IF(AND($J16870=0,$K16870=0),0,1)</f>
        <v>1</v>
      </c>
    </row>
    <row r="16871" spans="1:13" x14ac:dyDescent="0.2">
      <c r="A16871" t="s">
        <v>1231</v>
      </c>
      <c r="B16871" t="s">
        <v>381</v>
      </c>
      <c r="C16871" t="s">
        <v>382</v>
      </c>
      <c r="D16871">
        <v>6652</v>
      </c>
      <c r="E16871">
        <v>2021</v>
      </c>
      <c r="F16871">
        <v>1</v>
      </c>
      <c r="G16871">
        <v>16659</v>
      </c>
      <c r="H16871" s="1">
        <v>3</v>
      </c>
      <c r="I16871">
        <v>9</v>
      </c>
      <c r="J16871">
        <f>IF($H16871=0,1,IF($I16871&lt;=1,2,0))</f>
        <v>0</v>
      </c>
      <c r="K16871">
        <v>6</v>
      </c>
      <c r="L16871">
        <f>IF(AND($J16871=0,$K16871=0),0,1)</f>
        <v>1</v>
      </c>
    </row>
    <row r="16872" spans="1:13" x14ac:dyDescent="0.2">
      <c r="A16872" t="s">
        <v>1231</v>
      </c>
      <c r="B16872" t="s">
        <v>381</v>
      </c>
      <c r="C16872" t="s">
        <v>382</v>
      </c>
      <c r="D16872">
        <v>6660</v>
      </c>
      <c r="E16872">
        <v>2021</v>
      </c>
      <c r="F16872">
        <v>1</v>
      </c>
      <c r="G16872">
        <v>16660</v>
      </c>
      <c r="H16872" s="1">
        <v>3</v>
      </c>
      <c r="I16872">
        <v>14</v>
      </c>
      <c r="J16872">
        <f>IF($H16872=0,1,IF($I16872&lt;=1,2,0))</f>
        <v>0</v>
      </c>
      <c r="K16872">
        <v>6</v>
      </c>
      <c r="L16872">
        <f>IF(AND($J16872=0,$K16872=0),0,1)</f>
        <v>1</v>
      </c>
    </row>
    <row r="16873" spans="1:13" x14ac:dyDescent="0.2">
      <c r="A16873" t="s">
        <v>1231</v>
      </c>
      <c r="B16873" t="s">
        <v>381</v>
      </c>
      <c r="C16873" t="s">
        <v>382</v>
      </c>
      <c r="D16873">
        <v>6719</v>
      </c>
      <c r="E16873">
        <v>2021</v>
      </c>
      <c r="F16873">
        <v>1</v>
      </c>
      <c r="G16873">
        <v>16661</v>
      </c>
      <c r="H16873" s="1">
        <v>3</v>
      </c>
      <c r="I16873">
        <v>23</v>
      </c>
      <c r="J16873">
        <f>IF($H16873=0,1,IF($I16873&lt;=1,2,0))</f>
        <v>0</v>
      </c>
      <c r="K16873">
        <v>6</v>
      </c>
      <c r="L16873">
        <f>IF(AND($J16873=0,$K16873=0),0,1)</f>
        <v>1</v>
      </c>
    </row>
    <row r="16874" spans="1:13" x14ac:dyDescent="0.2">
      <c r="A16874" t="s">
        <v>1231</v>
      </c>
      <c r="B16874" t="s">
        <v>381</v>
      </c>
      <c r="C16874" t="s">
        <v>382</v>
      </c>
      <c r="D16874">
        <v>8090</v>
      </c>
      <c r="E16874">
        <v>2021</v>
      </c>
      <c r="F16874">
        <v>1</v>
      </c>
      <c r="G16874">
        <v>16662</v>
      </c>
      <c r="H16874" s="1">
        <v>3</v>
      </c>
      <c r="I16874">
        <v>11</v>
      </c>
      <c r="J16874">
        <f>IF($H16874=0,1,IF($I16874&lt;=1,2,0))</f>
        <v>0</v>
      </c>
      <c r="K16874">
        <v>6</v>
      </c>
      <c r="L16874">
        <f>IF(AND($J16874=0,$K16874=0),0,1)</f>
        <v>1</v>
      </c>
    </row>
    <row r="16875" spans="1:13" x14ac:dyDescent="0.2">
      <c r="A16875" t="s">
        <v>1231</v>
      </c>
      <c r="B16875" t="s">
        <v>381</v>
      </c>
      <c r="C16875" t="s">
        <v>382</v>
      </c>
      <c r="D16875">
        <v>8753</v>
      </c>
      <c r="E16875">
        <v>2021</v>
      </c>
      <c r="F16875">
        <v>1</v>
      </c>
      <c r="G16875">
        <v>16663</v>
      </c>
      <c r="H16875" s="1">
        <v>3</v>
      </c>
      <c r="I16875">
        <v>16</v>
      </c>
      <c r="J16875">
        <f>IF($H16875=0,1,IF($I16875&lt;=1,2,0))</f>
        <v>0</v>
      </c>
      <c r="K16875">
        <v>6</v>
      </c>
      <c r="L16875">
        <f>IF(AND($J16875=0,$K16875=0),0,1)</f>
        <v>1</v>
      </c>
    </row>
    <row r="16876" spans="1:13" x14ac:dyDescent="0.2">
      <c r="A16876" t="s">
        <v>646</v>
      </c>
      <c r="B16876" t="s">
        <v>17</v>
      </c>
      <c r="C16876" t="s">
        <v>34</v>
      </c>
      <c r="D16876">
        <v>2201</v>
      </c>
      <c r="E16876">
        <v>2021</v>
      </c>
      <c r="F16876">
        <v>1</v>
      </c>
      <c r="G16876">
        <v>18287</v>
      </c>
      <c r="H16876" s="1">
        <v>0</v>
      </c>
      <c r="I16876">
        <v>3</v>
      </c>
      <c r="J16876">
        <f>IF($H16876=0,1,IF($I16876&lt;=1,2,0))</f>
        <v>1</v>
      </c>
      <c r="K16876">
        <v>0</v>
      </c>
      <c r="L16876">
        <f>IF(AND($J16876=0,$K16876=0),0,1)</f>
        <v>1</v>
      </c>
    </row>
    <row r="16877" spans="1:13" x14ac:dyDescent="0.2">
      <c r="A16877" t="s">
        <v>646</v>
      </c>
      <c r="B16877" t="s">
        <v>17</v>
      </c>
      <c r="C16877" t="s">
        <v>9</v>
      </c>
      <c r="D16877">
        <v>3233</v>
      </c>
      <c r="E16877">
        <v>2021</v>
      </c>
      <c r="F16877">
        <v>1</v>
      </c>
      <c r="G16877">
        <v>11411</v>
      </c>
      <c r="H16877" s="1">
        <v>0</v>
      </c>
      <c r="I16877">
        <v>0</v>
      </c>
      <c r="J16877">
        <f>IF($H16877=0,1,IF($I16877&lt;=1,2,0))</f>
        <v>1</v>
      </c>
      <c r="K16877">
        <v>0</v>
      </c>
      <c r="L16877">
        <f>IF(AND($J16877=0,$K16877=0),0,1)</f>
        <v>1</v>
      </c>
      <c r="M16877" t="s">
        <v>1747</v>
      </c>
    </row>
    <row r="16878" spans="1:13" x14ac:dyDescent="0.2">
      <c r="A16878" t="s">
        <v>646</v>
      </c>
      <c r="B16878" t="s">
        <v>17</v>
      </c>
      <c r="C16878" t="s">
        <v>9</v>
      </c>
      <c r="D16878">
        <v>3233</v>
      </c>
      <c r="E16878">
        <v>2021</v>
      </c>
      <c r="F16878">
        <v>2</v>
      </c>
      <c r="G16878">
        <v>11412</v>
      </c>
      <c r="H16878" s="1">
        <v>0</v>
      </c>
      <c r="I16878">
        <v>0</v>
      </c>
      <c r="J16878">
        <f>IF($H16878=0,1,IF($I16878&lt;=1,2,0))</f>
        <v>1</v>
      </c>
      <c r="K16878">
        <v>0</v>
      </c>
      <c r="L16878">
        <f>IF(AND($J16878=0,$K16878=0),0,1)</f>
        <v>1</v>
      </c>
      <c r="M16878" t="s">
        <v>1747</v>
      </c>
    </row>
    <row r="16879" spans="1:13" x14ac:dyDescent="0.2">
      <c r="A16879" t="s">
        <v>646</v>
      </c>
      <c r="B16879" t="s">
        <v>17</v>
      </c>
      <c r="C16879" t="s">
        <v>21</v>
      </c>
      <c r="D16879">
        <v>3322</v>
      </c>
      <c r="E16879">
        <v>2021</v>
      </c>
      <c r="F16879">
        <v>1</v>
      </c>
      <c r="G16879">
        <v>714</v>
      </c>
      <c r="H16879" s="1">
        <v>0</v>
      </c>
      <c r="I16879">
        <v>4</v>
      </c>
      <c r="J16879">
        <f>IF($H16879=0,1,IF($I16879&lt;=1,2,0))</f>
        <v>1</v>
      </c>
      <c r="K16879">
        <v>0</v>
      </c>
      <c r="L16879">
        <f>IF(AND($J16879=0,$K16879=0),0,1)</f>
        <v>1</v>
      </c>
    </row>
    <row r="16880" spans="1:13" x14ac:dyDescent="0.2">
      <c r="A16880" t="s">
        <v>646</v>
      </c>
      <c r="B16880" t="s">
        <v>17</v>
      </c>
      <c r="C16880" t="s">
        <v>21</v>
      </c>
      <c r="D16880">
        <v>3901</v>
      </c>
      <c r="E16880">
        <v>2021</v>
      </c>
      <c r="F16880">
        <v>2</v>
      </c>
      <c r="G16880">
        <v>11427</v>
      </c>
      <c r="H16880" s="1" t="s">
        <v>1823</v>
      </c>
      <c r="I16880">
        <v>1</v>
      </c>
      <c r="J16880">
        <f>IF($H16880=0,1,IF($I16880&lt;=1,2,0))</f>
        <v>2</v>
      </c>
      <c r="K16880">
        <v>9</v>
      </c>
      <c r="L16880">
        <f>IF(AND($J16880=0,$K16880=0),0,1)</f>
        <v>1</v>
      </c>
    </row>
    <row r="16881" spans="1:13" x14ac:dyDescent="0.2">
      <c r="A16881" t="s">
        <v>646</v>
      </c>
      <c r="B16881" t="s">
        <v>17</v>
      </c>
      <c r="C16881" t="s">
        <v>21</v>
      </c>
      <c r="D16881">
        <v>3901</v>
      </c>
      <c r="E16881">
        <v>2021</v>
      </c>
      <c r="F16881">
        <v>1</v>
      </c>
      <c r="G16881">
        <v>11426</v>
      </c>
      <c r="H16881" s="1" t="s">
        <v>1823</v>
      </c>
      <c r="I16881">
        <v>0</v>
      </c>
      <c r="J16881">
        <f>IF($H16881=0,1,IF($I16881&lt;=1,2,0))</f>
        <v>2</v>
      </c>
      <c r="K16881">
        <v>9</v>
      </c>
      <c r="L16881">
        <f>IF(AND($J16881=0,$K16881=0),0,1)</f>
        <v>1</v>
      </c>
    </row>
    <row r="16882" spans="1:13" x14ac:dyDescent="0.2">
      <c r="A16882" t="s">
        <v>646</v>
      </c>
      <c r="B16882" t="s">
        <v>17</v>
      </c>
      <c r="C16882" t="s">
        <v>21</v>
      </c>
      <c r="D16882">
        <v>3901</v>
      </c>
      <c r="E16882">
        <v>2021</v>
      </c>
      <c r="F16882">
        <v>3</v>
      </c>
      <c r="G16882">
        <v>11428</v>
      </c>
      <c r="H16882" s="1" t="s">
        <v>1823</v>
      </c>
      <c r="I16882">
        <v>0</v>
      </c>
      <c r="J16882">
        <f>IF($H16882=0,1,IF($I16882&lt;=1,2,0))</f>
        <v>2</v>
      </c>
      <c r="K16882">
        <v>9</v>
      </c>
      <c r="L16882">
        <f>IF(AND($J16882=0,$K16882=0),0,1)</f>
        <v>1</v>
      </c>
    </row>
    <row r="16883" spans="1:13" x14ac:dyDescent="0.2">
      <c r="A16883" t="s">
        <v>646</v>
      </c>
      <c r="B16883" t="s">
        <v>17</v>
      </c>
      <c r="C16883" t="s">
        <v>21</v>
      </c>
      <c r="D16883">
        <v>3901</v>
      </c>
      <c r="E16883">
        <v>2021</v>
      </c>
      <c r="F16883">
        <v>4</v>
      </c>
      <c r="G16883">
        <v>11429</v>
      </c>
      <c r="H16883" s="1" t="s">
        <v>1823</v>
      </c>
      <c r="I16883">
        <v>0</v>
      </c>
      <c r="J16883">
        <f>IF($H16883=0,1,IF($I16883&lt;=1,2,0))</f>
        <v>2</v>
      </c>
      <c r="K16883">
        <v>9</v>
      </c>
      <c r="L16883">
        <f>IF(AND($J16883=0,$K16883=0),0,1)</f>
        <v>1</v>
      </c>
    </row>
    <row r="16884" spans="1:13" x14ac:dyDescent="0.2">
      <c r="A16884" t="s">
        <v>646</v>
      </c>
      <c r="B16884" t="s">
        <v>17</v>
      </c>
      <c r="C16884" t="s">
        <v>21</v>
      </c>
      <c r="D16884">
        <v>3901</v>
      </c>
      <c r="E16884">
        <v>2021</v>
      </c>
      <c r="F16884">
        <v>5</v>
      </c>
      <c r="G16884">
        <v>11430</v>
      </c>
      <c r="H16884" s="1" t="s">
        <v>1823</v>
      </c>
      <c r="I16884">
        <v>0</v>
      </c>
      <c r="J16884">
        <f>IF($H16884=0,1,IF($I16884&lt;=1,2,0))</f>
        <v>2</v>
      </c>
      <c r="K16884">
        <v>9</v>
      </c>
      <c r="L16884">
        <f>IF(AND($J16884=0,$K16884=0),0,1)</f>
        <v>1</v>
      </c>
    </row>
    <row r="16885" spans="1:13" x14ac:dyDescent="0.2">
      <c r="A16885" t="s">
        <v>646</v>
      </c>
      <c r="B16885" t="s">
        <v>17</v>
      </c>
      <c r="C16885" t="s">
        <v>21</v>
      </c>
      <c r="D16885">
        <v>3901</v>
      </c>
      <c r="E16885">
        <v>2021</v>
      </c>
      <c r="F16885">
        <v>6</v>
      </c>
      <c r="G16885">
        <v>11431</v>
      </c>
      <c r="H16885" s="1" t="s">
        <v>1823</v>
      </c>
      <c r="I16885">
        <v>0</v>
      </c>
      <c r="J16885">
        <f>IF($H16885=0,1,IF($I16885&lt;=1,2,0))</f>
        <v>2</v>
      </c>
      <c r="K16885">
        <v>9</v>
      </c>
      <c r="L16885">
        <f>IF(AND($J16885=0,$K16885=0),0,1)</f>
        <v>1</v>
      </c>
    </row>
    <row r="16886" spans="1:13" x14ac:dyDescent="0.2">
      <c r="A16886" t="s">
        <v>646</v>
      </c>
      <c r="B16886" t="s">
        <v>17</v>
      </c>
      <c r="C16886" t="s">
        <v>21</v>
      </c>
      <c r="D16886">
        <v>3901</v>
      </c>
      <c r="E16886">
        <v>2021</v>
      </c>
      <c r="F16886">
        <v>7</v>
      </c>
      <c r="G16886">
        <v>11432</v>
      </c>
      <c r="H16886" s="1" t="s">
        <v>1823</v>
      </c>
      <c r="I16886">
        <v>0</v>
      </c>
      <c r="J16886">
        <f>IF($H16886=0,1,IF($I16886&lt;=1,2,0))</f>
        <v>2</v>
      </c>
      <c r="K16886">
        <v>9</v>
      </c>
      <c r="L16886">
        <f>IF(AND($J16886=0,$K16886=0),0,1)</f>
        <v>1</v>
      </c>
    </row>
    <row r="16887" spans="1:13" x14ac:dyDescent="0.2">
      <c r="A16887" t="s">
        <v>646</v>
      </c>
      <c r="B16887" t="s">
        <v>17</v>
      </c>
      <c r="C16887" t="s">
        <v>21</v>
      </c>
      <c r="D16887">
        <v>3901</v>
      </c>
      <c r="E16887">
        <v>2021</v>
      </c>
      <c r="F16887">
        <v>8</v>
      </c>
      <c r="G16887">
        <v>11433</v>
      </c>
      <c r="H16887" s="1" t="s">
        <v>1823</v>
      </c>
      <c r="I16887">
        <v>0</v>
      </c>
      <c r="J16887">
        <f>IF($H16887=0,1,IF($I16887&lt;=1,2,0))</f>
        <v>2</v>
      </c>
      <c r="K16887">
        <v>9</v>
      </c>
      <c r="L16887">
        <f>IF(AND($J16887=0,$K16887=0),0,1)</f>
        <v>1</v>
      </c>
    </row>
    <row r="16888" spans="1:13" x14ac:dyDescent="0.2">
      <c r="A16888" t="s">
        <v>646</v>
      </c>
      <c r="B16888" t="s">
        <v>17</v>
      </c>
      <c r="C16888" t="s">
        <v>21</v>
      </c>
      <c r="D16888">
        <v>3901</v>
      </c>
      <c r="E16888">
        <v>2021</v>
      </c>
      <c r="F16888">
        <v>9</v>
      </c>
      <c r="G16888">
        <v>11434</v>
      </c>
      <c r="H16888" s="1" t="s">
        <v>1823</v>
      </c>
      <c r="I16888">
        <v>0</v>
      </c>
      <c r="J16888">
        <f>IF($H16888=0,1,IF($I16888&lt;=1,2,0))</f>
        <v>2</v>
      </c>
      <c r="K16888">
        <v>9</v>
      </c>
      <c r="L16888">
        <f>IF(AND($J16888=0,$K16888=0),0,1)</f>
        <v>1</v>
      </c>
    </row>
    <row r="16889" spans="1:13" x14ac:dyDescent="0.2">
      <c r="A16889" t="s">
        <v>646</v>
      </c>
      <c r="B16889" t="s">
        <v>17</v>
      </c>
      <c r="C16889" t="s">
        <v>21</v>
      </c>
      <c r="D16889">
        <v>3901</v>
      </c>
      <c r="E16889">
        <v>2021</v>
      </c>
      <c r="F16889">
        <v>10</v>
      </c>
      <c r="G16889">
        <v>11435</v>
      </c>
      <c r="H16889" s="1" t="s">
        <v>1823</v>
      </c>
      <c r="I16889">
        <v>0</v>
      </c>
      <c r="J16889">
        <f>IF($H16889=0,1,IF($I16889&lt;=1,2,0))</f>
        <v>2</v>
      </c>
      <c r="K16889">
        <v>9</v>
      </c>
      <c r="L16889">
        <f>IF(AND($J16889=0,$K16889=0),0,1)</f>
        <v>1</v>
      </c>
    </row>
    <row r="16890" spans="1:13" x14ac:dyDescent="0.2">
      <c r="A16890" t="s">
        <v>646</v>
      </c>
      <c r="B16890" t="s">
        <v>17</v>
      </c>
      <c r="C16890" t="s">
        <v>21</v>
      </c>
      <c r="D16890">
        <v>3901</v>
      </c>
      <c r="E16890">
        <v>2021</v>
      </c>
      <c r="F16890">
        <v>11</v>
      </c>
      <c r="G16890">
        <v>11436</v>
      </c>
      <c r="H16890" s="1" t="s">
        <v>1823</v>
      </c>
      <c r="I16890">
        <v>0</v>
      </c>
      <c r="J16890">
        <f>IF($H16890=0,1,IF($I16890&lt;=1,2,0))</f>
        <v>2</v>
      </c>
      <c r="K16890">
        <v>9</v>
      </c>
      <c r="L16890">
        <f>IF(AND($J16890=0,$K16890=0),0,1)</f>
        <v>1</v>
      </c>
    </row>
    <row r="16891" spans="1:13" x14ac:dyDescent="0.2">
      <c r="A16891" t="s">
        <v>646</v>
      </c>
      <c r="B16891" t="s">
        <v>17</v>
      </c>
      <c r="C16891" t="s">
        <v>21</v>
      </c>
      <c r="D16891">
        <v>3901</v>
      </c>
      <c r="E16891">
        <v>2021</v>
      </c>
      <c r="F16891">
        <v>12</v>
      </c>
      <c r="G16891">
        <v>11437</v>
      </c>
      <c r="H16891" s="1" t="s">
        <v>1823</v>
      </c>
      <c r="I16891">
        <v>0</v>
      </c>
      <c r="J16891">
        <f>IF($H16891=0,1,IF($I16891&lt;=1,2,0))</f>
        <v>2</v>
      </c>
      <c r="K16891">
        <v>9</v>
      </c>
      <c r="L16891">
        <f>IF(AND($J16891=0,$K16891=0),0,1)</f>
        <v>1</v>
      </c>
    </row>
    <row r="16892" spans="1:13" x14ac:dyDescent="0.2">
      <c r="A16892" t="s">
        <v>646</v>
      </c>
      <c r="B16892" t="s">
        <v>17</v>
      </c>
      <c r="C16892" t="s">
        <v>21</v>
      </c>
      <c r="D16892">
        <v>3901</v>
      </c>
      <c r="E16892">
        <v>2021</v>
      </c>
      <c r="F16892">
        <v>13</v>
      </c>
      <c r="G16892">
        <v>11438</v>
      </c>
      <c r="H16892" s="1" t="s">
        <v>1823</v>
      </c>
      <c r="I16892">
        <v>0</v>
      </c>
      <c r="J16892">
        <f>IF($H16892=0,1,IF($I16892&lt;=1,2,0))</f>
        <v>2</v>
      </c>
      <c r="K16892">
        <v>9</v>
      </c>
      <c r="L16892">
        <f>IF(AND($J16892=0,$K16892=0),0,1)</f>
        <v>1</v>
      </c>
    </row>
    <row r="16893" spans="1:13" x14ac:dyDescent="0.2">
      <c r="A16893" t="s">
        <v>646</v>
      </c>
      <c r="B16893" t="s">
        <v>17</v>
      </c>
      <c r="C16893" t="s">
        <v>2</v>
      </c>
      <c r="D16893">
        <v>3997</v>
      </c>
      <c r="E16893">
        <v>2021</v>
      </c>
      <c r="F16893">
        <v>1</v>
      </c>
      <c r="G16893">
        <v>637</v>
      </c>
      <c r="H16893" s="1">
        <v>4</v>
      </c>
      <c r="I16893">
        <v>4</v>
      </c>
      <c r="J16893">
        <f>IF($H16893=0,1,IF($I16893&lt;=1,2,0))</f>
        <v>0</v>
      </c>
      <c r="K16893">
        <v>7</v>
      </c>
      <c r="L16893">
        <f>IF(AND($J16893=0,$K16893=0),0,1)</f>
        <v>1</v>
      </c>
      <c r="M16893" t="s">
        <v>1748</v>
      </c>
    </row>
    <row r="16894" spans="1:13" x14ac:dyDescent="0.2">
      <c r="A16894" t="s">
        <v>646</v>
      </c>
      <c r="B16894" t="s">
        <v>17</v>
      </c>
      <c r="C16894" t="s">
        <v>11</v>
      </c>
      <c r="D16894">
        <v>9901</v>
      </c>
      <c r="E16894">
        <v>2021</v>
      </c>
      <c r="F16894">
        <v>6</v>
      </c>
      <c r="G16894">
        <v>11447</v>
      </c>
      <c r="H16894" s="1" t="s">
        <v>1828</v>
      </c>
      <c r="I16894">
        <v>1</v>
      </c>
      <c r="J16894">
        <f>IF($H16894=0,1,IF($I16894&lt;=1,2,0))</f>
        <v>2</v>
      </c>
      <c r="K16894">
        <v>5</v>
      </c>
      <c r="L16894">
        <f>IF(AND($J16894=0,$K16894=0),0,1)</f>
        <v>1</v>
      </c>
    </row>
    <row r="16895" spans="1:13" x14ac:dyDescent="0.2">
      <c r="A16895" t="s">
        <v>646</v>
      </c>
      <c r="B16895" t="s">
        <v>17</v>
      </c>
      <c r="C16895" t="s">
        <v>11</v>
      </c>
      <c r="D16895">
        <v>9901</v>
      </c>
      <c r="E16895">
        <v>2021</v>
      </c>
      <c r="F16895">
        <v>1</v>
      </c>
      <c r="G16895">
        <v>11442</v>
      </c>
      <c r="H16895" s="1" t="s">
        <v>1828</v>
      </c>
      <c r="I16895">
        <v>0</v>
      </c>
      <c r="J16895">
        <f>IF($H16895=0,1,IF($I16895&lt;=1,2,0))</f>
        <v>2</v>
      </c>
      <c r="K16895">
        <v>5</v>
      </c>
      <c r="L16895">
        <f>IF(AND($J16895=0,$K16895=0),0,1)</f>
        <v>1</v>
      </c>
    </row>
    <row r="16896" spans="1:13" x14ac:dyDescent="0.2">
      <c r="A16896" t="s">
        <v>646</v>
      </c>
      <c r="B16896" t="s">
        <v>17</v>
      </c>
      <c r="C16896" t="s">
        <v>11</v>
      </c>
      <c r="D16896">
        <v>9901</v>
      </c>
      <c r="E16896">
        <v>2021</v>
      </c>
      <c r="F16896">
        <v>2</v>
      </c>
      <c r="G16896">
        <v>11443</v>
      </c>
      <c r="H16896" s="1" t="s">
        <v>1828</v>
      </c>
      <c r="I16896">
        <v>0</v>
      </c>
      <c r="J16896">
        <f>IF($H16896=0,1,IF($I16896&lt;=1,2,0))</f>
        <v>2</v>
      </c>
      <c r="K16896">
        <v>5</v>
      </c>
      <c r="L16896">
        <f>IF(AND($J16896=0,$K16896=0),0,1)</f>
        <v>1</v>
      </c>
    </row>
    <row r="16897" spans="1:12" x14ac:dyDescent="0.2">
      <c r="A16897" t="s">
        <v>646</v>
      </c>
      <c r="B16897" t="s">
        <v>17</v>
      </c>
      <c r="C16897" t="s">
        <v>11</v>
      </c>
      <c r="D16897">
        <v>9901</v>
      </c>
      <c r="E16897">
        <v>2021</v>
      </c>
      <c r="F16897">
        <v>3</v>
      </c>
      <c r="G16897">
        <v>11444</v>
      </c>
      <c r="H16897" s="1" t="s">
        <v>1828</v>
      </c>
      <c r="I16897">
        <v>0</v>
      </c>
      <c r="J16897">
        <f>IF($H16897=0,1,IF($I16897&lt;=1,2,0))</f>
        <v>2</v>
      </c>
      <c r="K16897">
        <v>5</v>
      </c>
      <c r="L16897">
        <f>IF(AND($J16897=0,$K16897=0),0,1)</f>
        <v>1</v>
      </c>
    </row>
    <row r="16898" spans="1:12" x14ac:dyDescent="0.2">
      <c r="A16898" t="s">
        <v>646</v>
      </c>
      <c r="B16898" t="s">
        <v>17</v>
      </c>
      <c r="C16898" t="s">
        <v>11</v>
      </c>
      <c r="D16898">
        <v>9901</v>
      </c>
      <c r="E16898">
        <v>2021</v>
      </c>
      <c r="F16898">
        <v>4</v>
      </c>
      <c r="G16898">
        <v>11445</v>
      </c>
      <c r="H16898" s="1" t="s">
        <v>1828</v>
      </c>
      <c r="I16898">
        <v>0</v>
      </c>
      <c r="J16898">
        <f>IF($H16898=0,1,IF($I16898&lt;=1,2,0))</f>
        <v>2</v>
      </c>
      <c r="K16898">
        <v>5</v>
      </c>
      <c r="L16898">
        <f>IF(AND($J16898=0,$K16898=0),0,1)</f>
        <v>1</v>
      </c>
    </row>
    <row r="16899" spans="1:12" x14ac:dyDescent="0.2">
      <c r="A16899" t="s">
        <v>646</v>
      </c>
      <c r="B16899" t="s">
        <v>17</v>
      </c>
      <c r="C16899" t="s">
        <v>11</v>
      </c>
      <c r="D16899">
        <v>9901</v>
      </c>
      <c r="E16899">
        <v>2021</v>
      </c>
      <c r="F16899">
        <v>5</v>
      </c>
      <c r="G16899">
        <v>11446</v>
      </c>
      <c r="H16899" s="1" t="s">
        <v>1828</v>
      </c>
      <c r="I16899">
        <v>0</v>
      </c>
      <c r="J16899">
        <f>IF($H16899=0,1,IF($I16899&lt;=1,2,0))</f>
        <v>2</v>
      </c>
      <c r="K16899">
        <v>5</v>
      </c>
      <c r="L16899">
        <f>IF(AND($J16899=0,$K16899=0),0,1)</f>
        <v>1</v>
      </c>
    </row>
    <row r="16900" spans="1:12" x14ac:dyDescent="0.2">
      <c r="A16900" t="s">
        <v>646</v>
      </c>
      <c r="B16900" t="s">
        <v>17</v>
      </c>
      <c r="C16900" t="s">
        <v>11</v>
      </c>
      <c r="D16900">
        <v>9901</v>
      </c>
      <c r="E16900">
        <v>2021</v>
      </c>
      <c r="F16900">
        <v>7</v>
      </c>
      <c r="G16900">
        <v>11448</v>
      </c>
      <c r="H16900" s="1" t="s">
        <v>1828</v>
      </c>
      <c r="I16900">
        <v>0</v>
      </c>
      <c r="J16900">
        <f>IF($H16900=0,1,IF($I16900&lt;=1,2,0))</f>
        <v>2</v>
      </c>
      <c r="K16900">
        <v>5</v>
      </c>
      <c r="L16900">
        <f>IF(AND($J16900=0,$K16900=0),0,1)</f>
        <v>1</v>
      </c>
    </row>
    <row r="16901" spans="1:12" x14ac:dyDescent="0.2">
      <c r="A16901" t="s">
        <v>646</v>
      </c>
      <c r="B16901" t="s">
        <v>17</v>
      </c>
      <c r="C16901" t="s">
        <v>11</v>
      </c>
      <c r="D16901">
        <v>9901</v>
      </c>
      <c r="E16901">
        <v>2021</v>
      </c>
      <c r="F16901">
        <v>8</v>
      </c>
      <c r="G16901">
        <v>11449</v>
      </c>
      <c r="H16901" s="1" t="s">
        <v>1828</v>
      </c>
      <c r="I16901">
        <v>0</v>
      </c>
      <c r="J16901">
        <f>IF($H16901=0,1,IF($I16901&lt;=1,2,0))</f>
        <v>2</v>
      </c>
      <c r="K16901">
        <v>5</v>
      </c>
      <c r="L16901">
        <f>IF(AND($J16901=0,$K16901=0),0,1)</f>
        <v>1</v>
      </c>
    </row>
    <row r="16902" spans="1:12" x14ac:dyDescent="0.2">
      <c r="A16902" t="s">
        <v>646</v>
      </c>
      <c r="B16902" t="s">
        <v>17</v>
      </c>
      <c r="C16902" t="s">
        <v>11</v>
      </c>
      <c r="D16902">
        <v>9901</v>
      </c>
      <c r="E16902">
        <v>2021</v>
      </c>
      <c r="F16902">
        <v>9</v>
      </c>
      <c r="G16902">
        <v>11450</v>
      </c>
      <c r="H16902" s="1" t="s">
        <v>1828</v>
      </c>
      <c r="I16902">
        <v>0</v>
      </c>
      <c r="J16902">
        <f>IF($H16902=0,1,IF($I16902&lt;=1,2,0))</f>
        <v>2</v>
      </c>
      <c r="K16902">
        <v>5</v>
      </c>
      <c r="L16902">
        <f>IF(AND($J16902=0,$K16902=0),0,1)</f>
        <v>1</v>
      </c>
    </row>
    <row r="16903" spans="1:12" x14ac:dyDescent="0.2">
      <c r="A16903" t="s">
        <v>646</v>
      </c>
      <c r="B16903" t="s">
        <v>17</v>
      </c>
      <c r="C16903" t="s">
        <v>11</v>
      </c>
      <c r="D16903">
        <v>9901</v>
      </c>
      <c r="E16903">
        <v>2021</v>
      </c>
      <c r="F16903">
        <v>10</v>
      </c>
      <c r="G16903">
        <v>11451</v>
      </c>
      <c r="H16903" s="1" t="s">
        <v>1828</v>
      </c>
      <c r="I16903">
        <v>0</v>
      </c>
      <c r="J16903">
        <f>IF($H16903=0,1,IF($I16903&lt;=1,2,0))</f>
        <v>2</v>
      </c>
      <c r="K16903">
        <v>5</v>
      </c>
      <c r="L16903">
        <f>IF(AND($J16903=0,$K16903=0),0,1)</f>
        <v>1</v>
      </c>
    </row>
    <row r="16904" spans="1:12" x14ac:dyDescent="0.2">
      <c r="A16904" t="s">
        <v>646</v>
      </c>
      <c r="B16904" t="s">
        <v>17</v>
      </c>
      <c r="C16904" t="s">
        <v>11</v>
      </c>
      <c r="D16904">
        <v>9901</v>
      </c>
      <c r="E16904">
        <v>2021</v>
      </c>
      <c r="F16904">
        <v>11</v>
      </c>
      <c r="G16904">
        <v>11452</v>
      </c>
      <c r="H16904" s="1" t="s">
        <v>1828</v>
      </c>
      <c r="I16904">
        <v>0</v>
      </c>
      <c r="J16904">
        <f>IF($H16904=0,1,IF($I16904&lt;=1,2,0))</f>
        <v>2</v>
      </c>
      <c r="K16904">
        <v>5</v>
      </c>
      <c r="L16904">
        <f>IF(AND($J16904=0,$K16904=0),0,1)</f>
        <v>1</v>
      </c>
    </row>
    <row r="16905" spans="1:12" x14ac:dyDescent="0.2">
      <c r="A16905" t="s">
        <v>646</v>
      </c>
      <c r="B16905" t="s">
        <v>17</v>
      </c>
      <c r="C16905" t="s">
        <v>11</v>
      </c>
      <c r="D16905">
        <v>9901</v>
      </c>
      <c r="E16905">
        <v>2021</v>
      </c>
      <c r="F16905">
        <v>12</v>
      </c>
      <c r="G16905">
        <v>11453</v>
      </c>
      <c r="H16905" s="1" t="s">
        <v>1828</v>
      </c>
      <c r="I16905">
        <v>0</v>
      </c>
      <c r="J16905">
        <f>IF($H16905=0,1,IF($I16905&lt;=1,2,0))</f>
        <v>2</v>
      </c>
      <c r="K16905">
        <v>5</v>
      </c>
      <c r="L16905">
        <f>IF(AND($J16905=0,$K16905=0),0,1)</f>
        <v>1</v>
      </c>
    </row>
    <row r="16906" spans="1:12" x14ac:dyDescent="0.2">
      <c r="A16906" t="s">
        <v>646</v>
      </c>
      <c r="B16906" t="s">
        <v>17</v>
      </c>
      <c r="C16906" t="s">
        <v>11</v>
      </c>
      <c r="D16906">
        <v>9901</v>
      </c>
      <c r="E16906">
        <v>2021</v>
      </c>
      <c r="F16906">
        <v>13</v>
      </c>
      <c r="G16906">
        <v>11454</v>
      </c>
      <c r="H16906" s="1" t="s">
        <v>1828</v>
      </c>
      <c r="I16906">
        <v>0</v>
      </c>
      <c r="J16906">
        <f>IF($H16906=0,1,IF($I16906&lt;=1,2,0))</f>
        <v>2</v>
      </c>
      <c r="K16906">
        <v>5</v>
      </c>
      <c r="L16906">
        <f>IF(AND($J16906=0,$K16906=0),0,1)</f>
        <v>1</v>
      </c>
    </row>
    <row r="16907" spans="1:12" x14ac:dyDescent="0.2">
      <c r="A16907" t="s">
        <v>646</v>
      </c>
      <c r="B16907" t="s">
        <v>17</v>
      </c>
      <c r="C16907" t="s">
        <v>11</v>
      </c>
      <c r="D16907">
        <v>9901</v>
      </c>
      <c r="E16907">
        <v>2021</v>
      </c>
      <c r="F16907">
        <v>14</v>
      </c>
      <c r="G16907">
        <v>11455</v>
      </c>
      <c r="H16907" s="1" t="s">
        <v>1828</v>
      </c>
      <c r="I16907">
        <v>0</v>
      </c>
      <c r="J16907">
        <f>IF($H16907=0,1,IF($I16907&lt;=1,2,0))</f>
        <v>2</v>
      </c>
      <c r="K16907">
        <v>5</v>
      </c>
      <c r="L16907">
        <f>IF(AND($J16907=0,$K16907=0),0,1)</f>
        <v>1</v>
      </c>
    </row>
    <row r="16908" spans="1:12" x14ac:dyDescent="0.2">
      <c r="A16908" t="s">
        <v>646</v>
      </c>
      <c r="B16908" t="s">
        <v>17</v>
      </c>
      <c r="C16908" t="s">
        <v>11</v>
      </c>
      <c r="D16908">
        <v>9901</v>
      </c>
      <c r="E16908">
        <v>2021</v>
      </c>
      <c r="F16908">
        <v>15</v>
      </c>
      <c r="G16908">
        <v>11456</v>
      </c>
      <c r="H16908" s="1" t="s">
        <v>1828</v>
      </c>
      <c r="I16908">
        <v>0</v>
      </c>
      <c r="J16908">
        <f>IF($H16908=0,1,IF($I16908&lt;=1,2,0))</f>
        <v>2</v>
      </c>
      <c r="K16908">
        <v>5</v>
      </c>
      <c r="L16908">
        <f>IF(AND($J16908=0,$K16908=0),0,1)</f>
        <v>1</v>
      </c>
    </row>
    <row r="16909" spans="1:12" x14ac:dyDescent="0.2">
      <c r="A16909" t="s">
        <v>646</v>
      </c>
      <c r="B16909" t="s">
        <v>17</v>
      </c>
      <c r="C16909" t="s">
        <v>11</v>
      </c>
      <c r="D16909">
        <v>9901</v>
      </c>
      <c r="E16909">
        <v>2021</v>
      </c>
      <c r="F16909">
        <v>16</v>
      </c>
      <c r="G16909">
        <v>11457</v>
      </c>
      <c r="H16909" s="1" t="s">
        <v>1828</v>
      </c>
      <c r="I16909">
        <v>0</v>
      </c>
      <c r="J16909">
        <f>IF($H16909=0,1,IF($I16909&lt;=1,2,0))</f>
        <v>2</v>
      </c>
      <c r="K16909">
        <v>5</v>
      </c>
      <c r="L16909">
        <f>IF(AND($J16909=0,$K16909=0),0,1)</f>
        <v>1</v>
      </c>
    </row>
    <row r="16910" spans="1:12" x14ac:dyDescent="0.2">
      <c r="A16910" t="s">
        <v>646</v>
      </c>
      <c r="B16910" t="s">
        <v>17</v>
      </c>
      <c r="C16910" t="s">
        <v>11</v>
      </c>
      <c r="D16910">
        <v>9901</v>
      </c>
      <c r="E16910">
        <v>2021</v>
      </c>
      <c r="F16910">
        <v>17</v>
      </c>
      <c r="G16910">
        <v>11458</v>
      </c>
      <c r="H16910" s="1" t="s">
        <v>1828</v>
      </c>
      <c r="I16910">
        <v>0</v>
      </c>
      <c r="J16910">
        <f>IF($H16910=0,1,IF($I16910&lt;=1,2,0))</f>
        <v>2</v>
      </c>
      <c r="K16910">
        <v>5</v>
      </c>
      <c r="L16910">
        <f>IF(AND($J16910=0,$K16910=0),0,1)</f>
        <v>1</v>
      </c>
    </row>
    <row r="16911" spans="1:12" x14ac:dyDescent="0.2">
      <c r="A16911" t="s">
        <v>646</v>
      </c>
      <c r="B16911" t="s">
        <v>17</v>
      </c>
      <c r="C16911" t="s">
        <v>11</v>
      </c>
      <c r="D16911">
        <v>9901</v>
      </c>
      <c r="E16911">
        <v>2021</v>
      </c>
      <c r="F16911">
        <v>18</v>
      </c>
      <c r="G16911">
        <v>11459</v>
      </c>
      <c r="H16911" s="1" t="s">
        <v>1828</v>
      </c>
      <c r="I16911">
        <v>0</v>
      </c>
      <c r="J16911">
        <f>IF($H16911=0,1,IF($I16911&lt;=1,2,0))</f>
        <v>2</v>
      </c>
      <c r="K16911">
        <v>5</v>
      </c>
      <c r="L16911">
        <f>IF(AND($J16911=0,$K16911=0),0,1)</f>
        <v>1</v>
      </c>
    </row>
    <row r="16912" spans="1:12" x14ac:dyDescent="0.2">
      <c r="A16912" t="s">
        <v>646</v>
      </c>
      <c r="B16912" t="s">
        <v>17</v>
      </c>
      <c r="C16912" t="s">
        <v>11</v>
      </c>
      <c r="D16912">
        <v>9901</v>
      </c>
      <c r="E16912">
        <v>2021</v>
      </c>
      <c r="F16912">
        <v>19</v>
      </c>
      <c r="G16912">
        <v>11460</v>
      </c>
      <c r="H16912" s="1" t="s">
        <v>1828</v>
      </c>
      <c r="I16912">
        <v>0</v>
      </c>
      <c r="J16912">
        <f>IF($H16912=0,1,IF($I16912&lt;=1,2,0))</f>
        <v>2</v>
      </c>
      <c r="K16912">
        <v>5</v>
      </c>
      <c r="L16912">
        <f>IF(AND($J16912=0,$K16912=0),0,1)</f>
        <v>1</v>
      </c>
    </row>
    <row r="16913" spans="1:12" x14ac:dyDescent="0.2">
      <c r="A16913" t="s">
        <v>646</v>
      </c>
      <c r="B16913" t="s">
        <v>17</v>
      </c>
      <c r="C16913" t="s">
        <v>11</v>
      </c>
      <c r="D16913">
        <v>9901</v>
      </c>
      <c r="E16913">
        <v>2021</v>
      </c>
      <c r="F16913">
        <v>20</v>
      </c>
      <c r="G16913">
        <v>11461</v>
      </c>
      <c r="H16913" s="1" t="s">
        <v>1828</v>
      </c>
      <c r="I16913">
        <v>0</v>
      </c>
      <c r="J16913">
        <f>IF($H16913=0,1,IF($I16913&lt;=1,2,0))</f>
        <v>2</v>
      </c>
      <c r="K16913">
        <v>5</v>
      </c>
      <c r="L16913">
        <f>IF(AND($J16913=0,$K16913=0),0,1)</f>
        <v>1</v>
      </c>
    </row>
    <row r="16914" spans="1:12" x14ac:dyDescent="0.2">
      <c r="A16914" t="s">
        <v>646</v>
      </c>
      <c r="B16914" t="s">
        <v>17</v>
      </c>
      <c r="C16914" t="s">
        <v>11</v>
      </c>
      <c r="D16914">
        <v>9901</v>
      </c>
      <c r="E16914">
        <v>2021</v>
      </c>
      <c r="F16914">
        <v>21</v>
      </c>
      <c r="G16914">
        <v>11462</v>
      </c>
      <c r="H16914" s="1" t="s">
        <v>1828</v>
      </c>
      <c r="I16914">
        <v>0</v>
      </c>
      <c r="J16914">
        <f>IF($H16914=0,1,IF($I16914&lt;=1,2,0))</f>
        <v>2</v>
      </c>
      <c r="K16914">
        <v>5</v>
      </c>
      <c r="L16914">
        <f>IF(AND($J16914=0,$K16914=0),0,1)</f>
        <v>1</v>
      </c>
    </row>
    <row r="16915" spans="1:12" x14ac:dyDescent="0.2">
      <c r="A16915" t="s">
        <v>646</v>
      </c>
      <c r="B16915" t="s">
        <v>17</v>
      </c>
      <c r="C16915" t="s">
        <v>11</v>
      </c>
      <c r="D16915">
        <v>9901</v>
      </c>
      <c r="E16915">
        <v>2021</v>
      </c>
      <c r="F16915">
        <v>22</v>
      </c>
      <c r="G16915">
        <v>11463</v>
      </c>
      <c r="H16915" s="1" t="s">
        <v>1828</v>
      </c>
      <c r="I16915">
        <v>0</v>
      </c>
      <c r="J16915">
        <f>IF($H16915=0,1,IF($I16915&lt;=1,2,0))</f>
        <v>2</v>
      </c>
      <c r="K16915">
        <v>5</v>
      </c>
      <c r="L16915">
        <f>IF(AND($J16915=0,$K16915=0),0,1)</f>
        <v>1</v>
      </c>
    </row>
    <row r="16916" spans="1:12" x14ac:dyDescent="0.2">
      <c r="A16916" t="s">
        <v>1749</v>
      </c>
      <c r="B16916" t="s">
        <v>6</v>
      </c>
      <c r="C16916" t="s">
        <v>11</v>
      </c>
      <c r="D16916">
        <v>6999</v>
      </c>
      <c r="E16916">
        <v>2021</v>
      </c>
      <c r="F16916">
        <v>1</v>
      </c>
      <c r="G16916">
        <v>17561</v>
      </c>
      <c r="H16916" s="1" t="s">
        <v>1840</v>
      </c>
      <c r="I16916">
        <v>1</v>
      </c>
      <c r="J16916">
        <f>IF($H16916=0,1,IF($I16916&lt;=1,2,0))</f>
        <v>2</v>
      </c>
      <c r="K16916">
        <v>9</v>
      </c>
      <c r="L16916">
        <f>IF(AND($J16916=0,$K16916=0),0,1)</f>
        <v>1</v>
      </c>
    </row>
    <row r="16917" spans="1:12" x14ac:dyDescent="0.2">
      <c r="A16917" t="s">
        <v>649</v>
      </c>
      <c r="B16917" t="s">
        <v>17</v>
      </c>
      <c r="C16917" t="s">
        <v>11</v>
      </c>
      <c r="D16917">
        <v>8038</v>
      </c>
      <c r="E16917">
        <v>2021</v>
      </c>
      <c r="F16917">
        <v>1</v>
      </c>
      <c r="G16917">
        <v>18532</v>
      </c>
      <c r="H16917" s="1" t="s">
        <v>1832</v>
      </c>
      <c r="I16917">
        <v>1</v>
      </c>
      <c r="J16917">
        <f>IF($H16917=0,1,IF($I16917&lt;=1,2,0))</f>
        <v>2</v>
      </c>
      <c r="K16917">
        <v>0</v>
      </c>
      <c r="L16917">
        <f>IF(AND($J16917=0,$K16917=0),0,1)</f>
        <v>1</v>
      </c>
    </row>
    <row r="16918" spans="1:12" x14ac:dyDescent="0.2">
      <c r="A16918" t="s">
        <v>649</v>
      </c>
      <c r="B16918" t="s">
        <v>17</v>
      </c>
      <c r="C16918" t="s">
        <v>11</v>
      </c>
      <c r="D16918">
        <v>8040</v>
      </c>
      <c r="E16918">
        <v>2021</v>
      </c>
      <c r="F16918">
        <v>2</v>
      </c>
      <c r="G16918">
        <v>18438</v>
      </c>
      <c r="H16918" s="1" t="s">
        <v>1832</v>
      </c>
      <c r="I16918">
        <v>1</v>
      </c>
      <c r="J16918">
        <f>IF($H16918=0,1,IF($I16918&lt;=1,2,0))</f>
        <v>2</v>
      </c>
      <c r="K16918">
        <v>0</v>
      </c>
      <c r="L16918">
        <f>IF(AND($J16918=0,$K16918=0),0,1)</f>
        <v>1</v>
      </c>
    </row>
    <row r="16919" spans="1:12" x14ac:dyDescent="0.2">
      <c r="A16919" t="s">
        <v>649</v>
      </c>
      <c r="B16919" t="s">
        <v>17</v>
      </c>
      <c r="C16919" t="s">
        <v>11</v>
      </c>
      <c r="D16919">
        <v>8040</v>
      </c>
      <c r="E16919">
        <v>2021</v>
      </c>
      <c r="F16919">
        <v>3</v>
      </c>
      <c r="G16919">
        <v>20312</v>
      </c>
      <c r="H16919" s="1" t="s">
        <v>1832</v>
      </c>
      <c r="I16919">
        <v>1</v>
      </c>
      <c r="J16919">
        <f>IF($H16919=0,1,IF($I16919&lt;=1,2,0))</f>
        <v>2</v>
      </c>
      <c r="K16919">
        <v>0</v>
      </c>
      <c r="L16919">
        <f>IF(AND($J16919=0,$K16919=0),0,1)</f>
        <v>1</v>
      </c>
    </row>
    <row r="16920" spans="1:12" x14ac:dyDescent="0.2">
      <c r="A16920" t="s">
        <v>657</v>
      </c>
      <c r="B16920" t="s">
        <v>6</v>
      </c>
      <c r="C16920" t="s">
        <v>11</v>
      </c>
      <c r="D16920">
        <v>4998</v>
      </c>
      <c r="E16920">
        <v>2021</v>
      </c>
      <c r="F16920">
        <v>2</v>
      </c>
      <c r="G16920">
        <v>20503</v>
      </c>
      <c r="H16920" s="1" t="s">
        <v>1823</v>
      </c>
      <c r="I16920">
        <v>1</v>
      </c>
      <c r="J16920">
        <f>IF($H16920=0,1,IF($I16920&lt;=1,2,0))</f>
        <v>2</v>
      </c>
      <c r="K16920">
        <v>9</v>
      </c>
      <c r="L16920">
        <f>IF(AND($J16920=0,$K16920=0),0,1)</f>
        <v>1</v>
      </c>
    </row>
    <row r="16921" spans="1:12" x14ac:dyDescent="0.2">
      <c r="A16921" t="s">
        <v>657</v>
      </c>
      <c r="B16921" t="s">
        <v>6</v>
      </c>
      <c r="C16921" t="s">
        <v>11</v>
      </c>
      <c r="D16921">
        <v>4998</v>
      </c>
      <c r="E16921">
        <v>2021</v>
      </c>
      <c r="F16921">
        <v>1</v>
      </c>
      <c r="G16921">
        <v>16082</v>
      </c>
      <c r="H16921" s="1" t="s">
        <v>1823</v>
      </c>
      <c r="I16921">
        <v>0</v>
      </c>
      <c r="J16921">
        <f>IF($H16921=0,1,IF($I16921&lt;=1,2,0))</f>
        <v>2</v>
      </c>
      <c r="K16921">
        <v>9</v>
      </c>
      <c r="L16921">
        <f>IF(AND($J16921=0,$K16921=0),0,1)</f>
        <v>1</v>
      </c>
    </row>
    <row r="16922" spans="1:12" x14ac:dyDescent="0.2">
      <c r="A16922" t="s">
        <v>659</v>
      </c>
      <c r="B16922" t="s">
        <v>241</v>
      </c>
      <c r="C16922" t="s">
        <v>7</v>
      </c>
      <c r="D16922">
        <v>1100</v>
      </c>
      <c r="E16922">
        <v>2021</v>
      </c>
      <c r="F16922">
        <v>3</v>
      </c>
      <c r="G16922">
        <v>17919</v>
      </c>
      <c r="H16922" s="1">
        <v>0</v>
      </c>
      <c r="I16922">
        <v>22</v>
      </c>
      <c r="J16922">
        <f>IF($H16922=0,1,IF($I16922&lt;=1,2,0))</f>
        <v>1</v>
      </c>
      <c r="K16922">
        <v>0</v>
      </c>
      <c r="L16922">
        <f>IF(AND($J16922=0,$K16922=0),0,1)</f>
        <v>1</v>
      </c>
    </row>
    <row r="16923" spans="1:12" x14ac:dyDescent="0.2">
      <c r="A16923" t="s">
        <v>659</v>
      </c>
      <c r="B16923" t="s">
        <v>241</v>
      </c>
      <c r="C16923" t="s">
        <v>7</v>
      </c>
      <c r="D16923">
        <v>1100</v>
      </c>
      <c r="E16923">
        <v>2021</v>
      </c>
      <c r="F16923">
        <v>7</v>
      </c>
      <c r="G16923">
        <v>17923</v>
      </c>
      <c r="H16923" s="1">
        <v>0</v>
      </c>
      <c r="I16923">
        <v>22</v>
      </c>
      <c r="J16923">
        <f>IF($H16923=0,1,IF($I16923&lt;=1,2,0))</f>
        <v>1</v>
      </c>
      <c r="K16923">
        <v>0</v>
      </c>
      <c r="L16923">
        <f>IF(AND($J16923=0,$K16923=0),0,1)</f>
        <v>1</v>
      </c>
    </row>
    <row r="16924" spans="1:12" x14ac:dyDescent="0.2">
      <c r="A16924" t="s">
        <v>659</v>
      </c>
      <c r="B16924" t="s">
        <v>241</v>
      </c>
      <c r="C16924" t="s">
        <v>7</v>
      </c>
      <c r="D16924">
        <v>1100</v>
      </c>
      <c r="E16924">
        <v>2021</v>
      </c>
      <c r="F16924">
        <v>8</v>
      </c>
      <c r="G16924">
        <v>17924</v>
      </c>
      <c r="H16924" s="1">
        <v>0</v>
      </c>
      <c r="I16924">
        <v>22</v>
      </c>
      <c r="J16924">
        <f>IF($H16924=0,1,IF($I16924&lt;=1,2,0))</f>
        <v>1</v>
      </c>
      <c r="K16924">
        <v>0</v>
      </c>
      <c r="L16924">
        <f>IF(AND($J16924=0,$K16924=0),0,1)</f>
        <v>1</v>
      </c>
    </row>
    <row r="16925" spans="1:12" x14ac:dyDescent="0.2">
      <c r="A16925" t="s">
        <v>659</v>
      </c>
      <c r="B16925" t="s">
        <v>241</v>
      </c>
      <c r="C16925" t="s">
        <v>7</v>
      </c>
      <c r="D16925">
        <v>1100</v>
      </c>
      <c r="E16925">
        <v>2021</v>
      </c>
      <c r="F16925">
        <v>9</v>
      </c>
      <c r="G16925">
        <v>17925</v>
      </c>
      <c r="H16925" s="1">
        <v>0</v>
      </c>
      <c r="I16925">
        <v>22</v>
      </c>
      <c r="J16925">
        <f>IF($H16925=0,1,IF($I16925&lt;=1,2,0))</f>
        <v>1</v>
      </c>
      <c r="K16925">
        <v>0</v>
      </c>
      <c r="L16925">
        <f>IF(AND($J16925=0,$K16925=0),0,1)</f>
        <v>1</v>
      </c>
    </row>
    <row r="16926" spans="1:12" x14ac:dyDescent="0.2">
      <c r="A16926" t="s">
        <v>659</v>
      </c>
      <c r="B16926" t="s">
        <v>241</v>
      </c>
      <c r="C16926" t="s">
        <v>7</v>
      </c>
      <c r="D16926">
        <v>1100</v>
      </c>
      <c r="E16926">
        <v>2021</v>
      </c>
      <c r="F16926">
        <v>10</v>
      </c>
      <c r="G16926">
        <v>17926</v>
      </c>
      <c r="H16926" s="1">
        <v>0</v>
      </c>
      <c r="I16926">
        <v>22</v>
      </c>
      <c r="J16926">
        <f>IF($H16926=0,1,IF($I16926&lt;=1,2,0))</f>
        <v>1</v>
      </c>
      <c r="K16926">
        <v>0</v>
      </c>
      <c r="L16926">
        <f>IF(AND($J16926=0,$K16926=0),0,1)</f>
        <v>1</v>
      </c>
    </row>
    <row r="16927" spans="1:12" x14ac:dyDescent="0.2">
      <c r="A16927" t="s">
        <v>659</v>
      </c>
      <c r="B16927" t="s">
        <v>241</v>
      </c>
      <c r="C16927" t="s">
        <v>7</v>
      </c>
      <c r="D16927">
        <v>1100</v>
      </c>
      <c r="E16927">
        <v>2021</v>
      </c>
      <c r="F16927">
        <v>11</v>
      </c>
      <c r="G16927">
        <v>17927</v>
      </c>
      <c r="H16927" s="1">
        <v>0</v>
      </c>
      <c r="I16927">
        <v>22</v>
      </c>
      <c r="J16927">
        <f>IF($H16927=0,1,IF($I16927&lt;=1,2,0))</f>
        <v>1</v>
      </c>
      <c r="K16927">
        <v>0</v>
      </c>
      <c r="L16927">
        <f>IF(AND($J16927=0,$K16927=0),0,1)</f>
        <v>1</v>
      </c>
    </row>
    <row r="16928" spans="1:12" x14ac:dyDescent="0.2">
      <c r="A16928" t="s">
        <v>659</v>
      </c>
      <c r="B16928" t="s">
        <v>241</v>
      </c>
      <c r="C16928" t="s">
        <v>7</v>
      </c>
      <c r="D16928">
        <v>1100</v>
      </c>
      <c r="E16928">
        <v>2021</v>
      </c>
      <c r="F16928">
        <v>12</v>
      </c>
      <c r="G16928">
        <v>17928</v>
      </c>
      <c r="H16928" s="1">
        <v>0</v>
      </c>
      <c r="I16928">
        <v>22</v>
      </c>
      <c r="J16928">
        <f>IF($H16928=0,1,IF($I16928&lt;=1,2,0))</f>
        <v>1</v>
      </c>
      <c r="K16928">
        <v>0</v>
      </c>
      <c r="L16928">
        <f>IF(AND($J16928=0,$K16928=0),0,1)</f>
        <v>1</v>
      </c>
    </row>
    <row r="16929" spans="1:12" x14ac:dyDescent="0.2">
      <c r="A16929" t="s">
        <v>659</v>
      </c>
      <c r="B16929" t="s">
        <v>241</v>
      </c>
      <c r="C16929" t="s">
        <v>7</v>
      </c>
      <c r="D16929">
        <v>1100</v>
      </c>
      <c r="E16929">
        <v>2021</v>
      </c>
      <c r="F16929">
        <v>13</v>
      </c>
      <c r="G16929">
        <v>17929</v>
      </c>
      <c r="H16929" s="1">
        <v>0</v>
      </c>
      <c r="I16929">
        <v>22</v>
      </c>
      <c r="J16929">
        <f>IF($H16929=0,1,IF($I16929&lt;=1,2,0))</f>
        <v>1</v>
      </c>
      <c r="K16929">
        <v>0</v>
      </c>
      <c r="L16929">
        <f>IF(AND($J16929=0,$K16929=0),0,1)</f>
        <v>1</v>
      </c>
    </row>
    <row r="16930" spans="1:12" x14ac:dyDescent="0.2">
      <c r="A16930" t="s">
        <v>659</v>
      </c>
      <c r="B16930" t="s">
        <v>241</v>
      </c>
      <c r="C16930" t="s">
        <v>7</v>
      </c>
      <c r="D16930">
        <v>1100</v>
      </c>
      <c r="E16930">
        <v>2021</v>
      </c>
      <c r="F16930">
        <v>14</v>
      </c>
      <c r="G16930">
        <v>17930</v>
      </c>
      <c r="H16930" s="1">
        <v>0</v>
      </c>
      <c r="I16930">
        <v>22</v>
      </c>
      <c r="J16930">
        <f>IF($H16930=0,1,IF($I16930&lt;=1,2,0))</f>
        <v>1</v>
      </c>
      <c r="K16930">
        <v>0</v>
      </c>
      <c r="L16930">
        <f>IF(AND($J16930=0,$K16930=0),0,1)</f>
        <v>1</v>
      </c>
    </row>
    <row r="16931" spans="1:12" x14ac:dyDescent="0.2">
      <c r="A16931" t="s">
        <v>659</v>
      </c>
      <c r="B16931" t="s">
        <v>241</v>
      </c>
      <c r="C16931" t="s">
        <v>7</v>
      </c>
      <c r="D16931">
        <v>1100</v>
      </c>
      <c r="E16931">
        <v>2021</v>
      </c>
      <c r="F16931">
        <v>16</v>
      </c>
      <c r="G16931">
        <v>17932</v>
      </c>
      <c r="H16931" s="1">
        <v>0</v>
      </c>
      <c r="I16931">
        <v>22</v>
      </c>
      <c r="J16931">
        <f>IF($H16931=0,1,IF($I16931&lt;=1,2,0))</f>
        <v>1</v>
      </c>
      <c r="K16931">
        <v>0</v>
      </c>
      <c r="L16931">
        <f>IF(AND($J16931=0,$K16931=0),0,1)</f>
        <v>1</v>
      </c>
    </row>
    <row r="16932" spans="1:12" x14ac:dyDescent="0.2">
      <c r="A16932" t="s">
        <v>659</v>
      </c>
      <c r="B16932" t="s">
        <v>241</v>
      </c>
      <c r="C16932" t="s">
        <v>7</v>
      </c>
      <c r="D16932">
        <v>1100</v>
      </c>
      <c r="E16932">
        <v>2021</v>
      </c>
      <c r="F16932">
        <v>18</v>
      </c>
      <c r="G16932">
        <v>17935</v>
      </c>
      <c r="H16932" s="1">
        <v>0</v>
      </c>
      <c r="I16932">
        <v>22</v>
      </c>
      <c r="J16932">
        <f>IF($H16932=0,1,IF($I16932&lt;=1,2,0))</f>
        <v>1</v>
      </c>
      <c r="K16932">
        <v>0</v>
      </c>
      <c r="L16932">
        <f>IF(AND($J16932=0,$K16932=0),0,1)</f>
        <v>1</v>
      </c>
    </row>
    <row r="16933" spans="1:12" x14ac:dyDescent="0.2">
      <c r="A16933" t="s">
        <v>659</v>
      </c>
      <c r="B16933" t="s">
        <v>241</v>
      </c>
      <c r="C16933" t="s">
        <v>7</v>
      </c>
      <c r="D16933">
        <v>1100</v>
      </c>
      <c r="E16933">
        <v>2021</v>
      </c>
      <c r="F16933">
        <v>22</v>
      </c>
      <c r="G16933">
        <v>17939</v>
      </c>
      <c r="H16933" s="1">
        <v>0</v>
      </c>
      <c r="I16933">
        <v>22</v>
      </c>
      <c r="J16933">
        <f>IF($H16933=0,1,IF($I16933&lt;=1,2,0))</f>
        <v>1</v>
      </c>
      <c r="K16933">
        <v>0</v>
      </c>
      <c r="L16933">
        <f>IF(AND($J16933=0,$K16933=0),0,1)</f>
        <v>1</v>
      </c>
    </row>
    <row r="16934" spans="1:12" x14ac:dyDescent="0.2">
      <c r="A16934" t="s">
        <v>659</v>
      </c>
      <c r="B16934" t="s">
        <v>241</v>
      </c>
      <c r="C16934" t="s">
        <v>7</v>
      </c>
      <c r="D16934">
        <v>1100</v>
      </c>
      <c r="E16934">
        <v>2021</v>
      </c>
      <c r="F16934">
        <v>24</v>
      </c>
      <c r="G16934">
        <v>17941</v>
      </c>
      <c r="H16934" s="1">
        <v>0</v>
      </c>
      <c r="I16934">
        <v>22</v>
      </c>
      <c r="J16934">
        <f>IF($H16934=0,1,IF($I16934&lt;=1,2,0))</f>
        <v>1</v>
      </c>
      <c r="K16934">
        <v>0</v>
      </c>
      <c r="L16934">
        <f>IF(AND($J16934=0,$K16934=0),0,1)</f>
        <v>1</v>
      </c>
    </row>
    <row r="16935" spans="1:12" x14ac:dyDescent="0.2">
      <c r="A16935" t="s">
        <v>659</v>
      </c>
      <c r="B16935" t="s">
        <v>241</v>
      </c>
      <c r="C16935" t="s">
        <v>7</v>
      </c>
      <c r="D16935">
        <v>1100</v>
      </c>
      <c r="E16935">
        <v>2021</v>
      </c>
      <c r="F16935">
        <v>27</v>
      </c>
      <c r="G16935">
        <v>18245</v>
      </c>
      <c r="H16935" s="1">
        <v>0</v>
      </c>
      <c r="I16935">
        <v>22</v>
      </c>
      <c r="J16935">
        <f>IF($H16935=0,1,IF($I16935&lt;=1,2,0))</f>
        <v>1</v>
      </c>
      <c r="K16935">
        <v>0</v>
      </c>
      <c r="L16935">
        <f>IF(AND($J16935=0,$K16935=0),0,1)</f>
        <v>1</v>
      </c>
    </row>
    <row r="16936" spans="1:12" x14ac:dyDescent="0.2">
      <c r="A16936" t="s">
        <v>659</v>
      </c>
      <c r="B16936" t="s">
        <v>241</v>
      </c>
      <c r="C16936" t="s">
        <v>7</v>
      </c>
      <c r="D16936">
        <v>1100</v>
      </c>
      <c r="E16936">
        <v>2021</v>
      </c>
      <c r="F16936">
        <v>29</v>
      </c>
      <c r="G16936">
        <v>18537</v>
      </c>
      <c r="H16936" s="1">
        <v>0</v>
      </c>
      <c r="I16936">
        <v>22</v>
      </c>
      <c r="J16936">
        <f>IF($H16936=0,1,IF($I16936&lt;=1,2,0))</f>
        <v>1</v>
      </c>
      <c r="K16936">
        <v>0</v>
      </c>
      <c r="L16936">
        <f>IF(AND($J16936=0,$K16936=0),0,1)</f>
        <v>1</v>
      </c>
    </row>
    <row r="16937" spans="1:12" x14ac:dyDescent="0.2">
      <c r="A16937" t="s">
        <v>659</v>
      </c>
      <c r="B16937" t="s">
        <v>241</v>
      </c>
      <c r="C16937" t="s">
        <v>7</v>
      </c>
      <c r="D16937">
        <v>1100</v>
      </c>
      <c r="E16937">
        <v>2021</v>
      </c>
      <c r="F16937">
        <v>4</v>
      </c>
      <c r="G16937">
        <v>17920</v>
      </c>
      <c r="H16937" s="1">
        <v>0</v>
      </c>
      <c r="I16937">
        <v>21</v>
      </c>
      <c r="J16937">
        <f>IF($H16937=0,1,IF($I16937&lt;=1,2,0))</f>
        <v>1</v>
      </c>
      <c r="K16937">
        <v>0</v>
      </c>
      <c r="L16937">
        <f>IF(AND($J16937=0,$K16937=0),0,1)</f>
        <v>1</v>
      </c>
    </row>
    <row r="16938" spans="1:12" x14ac:dyDescent="0.2">
      <c r="A16938" t="s">
        <v>659</v>
      </c>
      <c r="B16938" t="s">
        <v>241</v>
      </c>
      <c r="C16938" t="s">
        <v>7</v>
      </c>
      <c r="D16938">
        <v>1100</v>
      </c>
      <c r="E16938">
        <v>2021</v>
      </c>
      <c r="F16938">
        <v>15</v>
      </c>
      <c r="G16938">
        <v>17931</v>
      </c>
      <c r="H16938" s="1">
        <v>0</v>
      </c>
      <c r="I16938">
        <v>21</v>
      </c>
      <c r="J16938">
        <f>IF($H16938=0,1,IF($I16938&lt;=1,2,0))</f>
        <v>1</v>
      </c>
      <c r="K16938">
        <v>0</v>
      </c>
      <c r="L16938">
        <f>IF(AND($J16938=0,$K16938=0),0,1)</f>
        <v>1</v>
      </c>
    </row>
    <row r="16939" spans="1:12" x14ac:dyDescent="0.2">
      <c r="A16939" t="s">
        <v>659</v>
      </c>
      <c r="B16939" t="s">
        <v>241</v>
      </c>
      <c r="C16939" t="s">
        <v>7</v>
      </c>
      <c r="D16939">
        <v>1100</v>
      </c>
      <c r="E16939">
        <v>2021</v>
      </c>
      <c r="F16939">
        <v>17</v>
      </c>
      <c r="G16939">
        <v>17933</v>
      </c>
      <c r="H16939" s="1">
        <v>0</v>
      </c>
      <c r="I16939">
        <v>21</v>
      </c>
      <c r="J16939">
        <f>IF($H16939=0,1,IF($I16939&lt;=1,2,0))</f>
        <v>1</v>
      </c>
      <c r="K16939">
        <v>0</v>
      </c>
      <c r="L16939">
        <f>IF(AND($J16939=0,$K16939=0),0,1)</f>
        <v>1</v>
      </c>
    </row>
    <row r="16940" spans="1:12" x14ac:dyDescent="0.2">
      <c r="A16940" t="s">
        <v>659</v>
      </c>
      <c r="B16940" t="s">
        <v>241</v>
      </c>
      <c r="C16940" t="s">
        <v>7</v>
      </c>
      <c r="D16940">
        <v>1100</v>
      </c>
      <c r="E16940">
        <v>2021</v>
      </c>
      <c r="F16940">
        <v>19</v>
      </c>
      <c r="G16940">
        <v>17936</v>
      </c>
      <c r="H16940" s="1">
        <v>0</v>
      </c>
      <c r="I16940">
        <v>21</v>
      </c>
      <c r="J16940">
        <f>IF($H16940=0,1,IF($I16940&lt;=1,2,0))</f>
        <v>1</v>
      </c>
      <c r="K16940">
        <v>0</v>
      </c>
      <c r="L16940">
        <f>IF(AND($J16940=0,$K16940=0),0,1)</f>
        <v>1</v>
      </c>
    </row>
    <row r="16941" spans="1:12" x14ac:dyDescent="0.2">
      <c r="A16941" t="s">
        <v>659</v>
      </c>
      <c r="B16941" t="s">
        <v>241</v>
      </c>
      <c r="C16941" t="s">
        <v>7</v>
      </c>
      <c r="D16941">
        <v>1100</v>
      </c>
      <c r="E16941">
        <v>2021</v>
      </c>
      <c r="F16941">
        <v>20</v>
      </c>
      <c r="G16941">
        <v>17937</v>
      </c>
      <c r="H16941" s="1">
        <v>0</v>
      </c>
      <c r="I16941">
        <v>21</v>
      </c>
      <c r="J16941">
        <f>IF($H16941=0,1,IF($I16941&lt;=1,2,0))</f>
        <v>1</v>
      </c>
      <c r="K16941">
        <v>0</v>
      </c>
      <c r="L16941">
        <f>IF(AND($J16941=0,$K16941=0),0,1)</f>
        <v>1</v>
      </c>
    </row>
    <row r="16942" spans="1:12" x14ac:dyDescent="0.2">
      <c r="A16942" t="s">
        <v>659</v>
      </c>
      <c r="B16942" t="s">
        <v>241</v>
      </c>
      <c r="C16942" t="s">
        <v>7</v>
      </c>
      <c r="D16942">
        <v>1100</v>
      </c>
      <c r="E16942">
        <v>2021</v>
      </c>
      <c r="F16942">
        <v>23</v>
      </c>
      <c r="G16942">
        <v>17940</v>
      </c>
      <c r="H16942" s="1">
        <v>0</v>
      </c>
      <c r="I16942">
        <v>21</v>
      </c>
      <c r="J16942">
        <f>IF($H16942=0,1,IF($I16942&lt;=1,2,0))</f>
        <v>1</v>
      </c>
      <c r="K16942">
        <v>0</v>
      </c>
      <c r="L16942">
        <f>IF(AND($J16942=0,$K16942=0),0,1)</f>
        <v>1</v>
      </c>
    </row>
    <row r="16943" spans="1:12" x14ac:dyDescent="0.2">
      <c r="A16943" t="s">
        <v>659</v>
      </c>
      <c r="B16943" t="s">
        <v>241</v>
      </c>
      <c r="C16943" t="s">
        <v>7</v>
      </c>
      <c r="D16943">
        <v>1100</v>
      </c>
      <c r="E16943">
        <v>2021</v>
      </c>
      <c r="F16943">
        <v>25</v>
      </c>
      <c r="G16943">
        <v>17942</v>
      </c>
      <c r="H16943" s="1">
        <v>0</v>
      </c>
      <c r="I16943">
        <v>21</v>
      </c>
      <c r="J16943">
        <f>IF($H16943=0,1,IF($I16943&lt;=1,2,0))</f>
        <v>1</v>
      </c>
      <c r="K16943">
        <v>0</v>
      </c>
      <c r="L16943">
        <f>IF(AND($J16943=0,$K16943=0),0,1)</f>
        <v>1</v>
      </c>
    </row>
    <row r="16944" spans="1:12" x14ac:dyDescent="0.2">
      <c r="A16944" t="s">
        <v>659</v>
      </c>
      <c r="B16944" t="s">
        <v>241</v>
      </c>
      <c r="C16944" t="s">
        <v>7</v>
      </c>
      <c r="D16944">
        <v>1100</v>
      </c>
      <c r="E16944">
        <v>2021</v>
      </c>
      <c r="F16944">
        <v>6</v>
      </c>
      <c r="G16944">
        <v>17922</v>
      </c>
      <c r="H16944" s="1">
        <v>0</v>
      </c>
      <c r="I16944">
        <v>20</v>
      </c>
      <c r="J16944">
        <f>IF($H16944=0,1,IF($I16944&lt;=1,2,0))</f>
        <v>1</v>
      </c>
      <c r="K16944">
        <v>0</v>
      </c>
      <c r="L16944">
        <f>IF(AND($J16944=0,$K16944=0),0,1)</f>
        <v>1</v>
      </c>
    </row>
    <row r="16945" spans="1:13" x14ac:dyDescent="0.2">
      <c r="A16945" t="s">
        <v>659</v>
      </c>
      <c r="B16945" t="s">
        <v>241</v>
      </c>
      <c r="C16945" t="s">
        <v>7</v>
      </c>
      <c r="D16945">
        <v>1100</v>
      </c>
      <c r="E16945">
        <v>2021</v>
      </c>
      <c r="F16945">
        <v>21</v>
      </c>
      <c r="G16945">
        <v>17938</v>
      </c>
      <c r="H16945" s="1">
        <v>0</v>
      </c>
      <c r="I16945">
        <v>20</v>
      </c>
      <c r="J16945">
        <f>IF($H16945=0,1,IF($I16945&lt;=1,2,0))</f>
        <v>1</v>
      </c>
      <c r="K16945">
        <v>0</v>
      </c>
      <c r="L16945">
        <f>IF(AND($J16945=0,$K16945=0),0,1)</f>
        <v>1</v>
      </c>
    </row>
    <row r="16946" spans="1:13" x14ac:dyDescent="0.2">
      <c r="A16946" t="s">
        <v>659</v>
      </c>
      <c r="B16946" t="s">
        <v>241</v>
      </c>
      <c r="C16946" t="s">
        <v>7</v>
      </c>
      <c r="D16946">
        <v>1100</v>
      </c>
      <c r="E16946">
        <v>2021</v>
      </c>
      <c r="F16946">
        <v>26</v>
      </c>
      <c r="G16946">
        <v>17943</v>
      </c>
      <c r="H16946" s="1">
        <v>0</v>
      </c>
      <c r="I16946">
        <v>20</v>
      </c>
      <c r="J16946">
        <f>IF($H16946=0,1,IF($I16946&lt;=1,2,0))</f>
        <v>1</v>
      </c>
      <c r="K16946">
        <v>0</v>
      </c>
      <c r="L16946">
        <f>IF(AND($J16946=0,$K16946=0),0,1)</f>
        <v>1</v>
      </c>
    </row>
    <row r="16947" spans="1:13" x14ac:dyDescent="0.2">
      <c r="A16947" t="s">
        <v>659</v>
      </c>
      <c r="B16947" t="s">
        <v>241</v>
      </c>
      <c r="C16947" t="s">
        <v>7</v>
      </c>
      <c r="D16947">
        <v>1100</v>
      </c>
      <c r="E16947">
        <v>2021</v>
      </c>
      <c r="F16947">
        <v>1</v>
      </c>
      <c r="G16947">
        <v>17917</v>
      </c>
      <c r="H16947" s="1">
        <v>0</v>
      </c>
      <c r="I16947">
        <v>19</v>
      </c>
      <c r="J16947">
        <f>IF($H16947=0,1,IF($I16947&lt;=1,2,0))</f>
        <v>1</v>
      </c>
      <c r="K16947">
        <v>0</v>
      </c>
      <c r="L16947">
        <f>IF(AND($J16947=0,$K16947=0),0,1)</f>
        <v>1</v>
      </c>
    </row>
    <row r="16948" spans="1:13" x14ac:dyDescent="0.2">
      <c r="A16948" t="s">
        <v>659</v>
      </c>
      <c r="B16948" t="s">
        <v>241</v>
      </c>
      <c r="C16948" t="s">
        <v>7</v>
      </c>
      <c r="D16948">
        <v>1100</v>
      </c>
      <c r="E16948">
        <v>2021</v>
      </c>
      <c r="F16948">
        <v>2</v>
      </c>
      <c r="G16948">
        <v>17918</v>
      </c>
      <c r="H16948" s="1">
        <v>0</v>
      </c>
      <c r="I16948">
        <v>19</v>
      </c>
      <c r="J16948">
        <f>IF($H16948=0,1,IF($I16948&lt;=1,2,0))</f>
        <v>1</v>
      </c>
      <c r="K16948">
        <v>0</v>
      </c>
      <c r="L16948">
        <f>IF(AND($J16948=0,$K16948=0),0,1)</f>
        <v>1</v>
      </c>
    </row>
    <row r="16949" spans="1:13" x14ac:dyDescent="0.2">
      <c r="A16949" t="s">
        <v>659</v>
      </c>
      <c r="B16949" t="s">
        <v>241</v>
      </c>
      <c r="C16949" t="s">
        <v>7</v>
      </c>
      <c r="D16949">
        <v>1100</v>
      </c>
      <c r="E16949">
        <v>2021</v>
      </c>
      <c r="F16949">
        <v>30</v>
      </c>
      <c r="G16949">
        <v>18539</v>
      </c>
      <c r="H16949" s="1">
        <v>0</v>
      </c>
      <c r="I16949">
        <v>19</v>
      </c>
      <c r="J16949">
        <f>IF($H16949=0,1,IF($I16949&lt;=1,2,0))</f>
        <v>1</v>
      </c>
      <c r="K16949">
        <v>0</v>
      </c>
      <c r="L16949">
        <f>IF(AND($J16949=0,$K16949=0),0,1)</f>
        <v>1</v>
      </c>
    </row>
    <row r="16950" spans="1:13" x14ac:dyDescent="0.2">
      <c r="A16950" t="s">
        <v>659</v>
      </c>
      <c r="B16950" t="s">
        <v>241</v>
      </c>
      <c r="C16950" t="s">
        <v>7</v>
      </c>
      <c r="D16950">
        <v>1100</v>
      </c>
      <c r="E16950">
        <v>2021</v>
      </c>
      <c r="F16950">
        <v>5</v>
      </c>
      <c r="G16950">
        <v>17921</v>
      </c>
      <c r="H16950" s="1">
        <v>0</v>
      </c>
      <c r="I16950">
        <v>18</v>
      </c>
      <c r="J16950">
        <f>IF($H16950=0,1,IF($I16950&lt;=1,2,0))</f>
        <v>1</v>
      </c>
      <c r="K16950">
        <v>0</v>
      </c>
      <c r="L16950">
        <f>IF(AND($J16950=0,$K16950=0),0,1)</f>
        <v>1</v>
      </c>
    </row>
    <row r="16951" spans="1:13" x14ac:dyDescent="0.2">
      <c r="A16951" t="s">
        <v>659</v>
      </c>
      <c r="B16951" t="s">
        <v>241</v>
      </c>
      <c r="C16951" t="s">
        <v>7</v>
      </c>
      <c r="D16951">
        <v>1100</v>
      </c>
      <c r="E16951">
        <v>2021</v>
      </c>
      <c r="F16951">
        <v>28</v>
      </c>
      <c r="G16951">
        <v>17944</v>
      </c>
      <c r="H16951" s="1">
        <v>0</v>
      </c>
      <c r="I16951">
        <v>16</v>
      </c>
      <c r="J16951">
        <f>IF($H16951=0,1,IF($I16951&lt;=1,2,0))</f>
        <v>1</v>
      </c>
      <c r="K16951">
        <v>0</v>
      </c>
      <c r="L16951">
        <f>IF(AND($J16951=0,$K16951=0),0,1)</f>
        <v>1</v>
      </c>
    </row>
    <row r="16952" spans="1:13" x14ac:dyDescent="0.2">
      <c r="A16952" t="s">
        <v>660</v>
      </c>
      <c r="B16952" t="s">
        <v>1</v>
      </c>
      <c r="C16952" t="s">
        <v>2</v>
      </c>
      <c r="D16952">
        <v>3336</v>
      </c>
      <c r="E16952">
        <v>2021</v>
      </c>
      <c r="F16952">
        <v>1</v>
      </c>
      <c r="G16952">
        <v>218</v>
      </c>
      <c r="H16952" s="1">
        <v>4</v>
      </c>
      <c r="I16952">
        <v>11</v>
      </c>
      <c r="J16952">
        <f>IF($H16952=0,1,IF($I16952&lt;=1,2,0))</f>
        <v>0</v>
      </c>
      <c r="K16952">
        <v>7</v>
      </c>
      <c r="L16952">
        <f>IF(AND($J16952=0,$K16952=0),0,1)</f>
        <v>1</v>
      </c>
    </row>
    <row r="16953" spans="1:13" x14ac:dyDescent="0.2">
      <c r="A16953" t="s">
        <v>661</v>
      </c>
      <c r="B16953" t="s">
        <v>6</v>
      </c>
      <c r="C16953" t="s">
        <v>9</v>
      </c>
      <c r="D16953">
        <v>3998</v>
      </c>
      <c r="E16953">
        <v>2021</v>
      </c>
      <c r="F16953">
        <v>1</v>
      </c>
      <c r="G16953">
        <v>10610</v>
      </c>
      <c r="H16953" s="1" t="s">
        <v>1827</v>
      </c>
      <c r="I16953">
        <v>4</v>
      </c>
      <c r="J16953">
        <f>IF($H16953=0,1,IF($I16953&lt;=1,2,0))</f>
        <v>0</v>
      </c>
      <c r="K16953">
        <v>9</v>
      </c>
      <c r="L16953">
        <f>IF(AND($J16953=0,$K16953=0),0,1)</f>
        <v>1</v>
      </c>
      <c r="M16953" t="s">
        <v>1756</v>
      </c>
    </row>
    <row r="16954" spans="1:13" x14ac:dyDescent="0.2">
      <c r="A16954" t="s">
        <v>661</v>
      </c>
      <c r="B16954" t="s">
        <v>381</v>
      </c>
      <c r="C16954" t="s">
        <v>382</v>
      </c>
      <c r="D16954">
        <v>6240</v>
      </c>
      <c r="E16954">
        <v>2021</v>
      </c>
      <c r="F16954">
        <v>1</v>
      </c>
      <c r="G16954">
        <v>16668</v>
      </c>
      <c r="H16954" s="1">
        <v>3</v>
      </c>
      <c r="I16954">
        <v>10</v>
      </c>
      <c r="J16954">
        <f>IF($H16954=0,1,IF($I16954&lt;=1,2,0))</f>
        <v>0</v>
      </c>
      <c r="K16954">
        <v>6</v>
      </c>
      <c r="L16954">
        <f>IF(AND($J16954=0,$K16954=0),0,1)</f>
        <v>1</v>
      </c>
    </row>
    <row r="16955" spans="1:13" x14ac:dyDescent="0.2">
      <c r="A16955" t="s">
        <v>661</v>
      </c>
      <c r="B16955" t="s">
        <v>381</v>
      </c>
      <c r="C16955" t="s">
        <v>382</v>
      </c>
      <c r="D16955">
        <v>6240</v>
      </c>
      <c r="E16955">
        <v>2021</v>
      </c>
      <c r="F16955" t="s">
        <v>59</v>
      </c>
      <c r="G16955">
        <v>16669</v>
      </c>
      <c r="H16955" s="1">
        <v>0</v>
      </c>
      <c r="I16955">
        <v>0</v>
      </c>
      <c r="J16955">
        <f>IF($H16955=0,1,IF($I16955&lt;=1,2,0))</f>
        <v>1</v>
      </c>
      <c r="K16955">
        <v>6</v>
      </c>
      <c r="L16955">
        <f>IF(AND($J16955=0,$K16955=0),0,1)</f>
        <v>1</v>
      </c>
      <c r="M16955" t="s">
        <v>384</v>
      </c>
    </row>
    <row r="16956" spans="1:13" x14ac:dyDescent="0.2">
      <c r="A16956" t="s">
        <v>661</v>
      </c>
      <c r="B16956" t="s">
        <v>381</v>
      </c>
      <c r="C16956" t="s">
        <v>382</v>
      </c>
      <c r="D16956">
        <v>6241</v>
      </c>
      <c r="E16956">
        <v>2021</v>
      </c>
      <c r="F16956">
        <v>1</v>
      </c>
      <c r="G16956">
        <v>18063</v>
      </c>
      <c r="H16956" s="1">
        <v>1</v>
      </c>
      <c r="I16956">
        <v>4</v>
      </c>
      <c r="J16956">
        <f>IF($H16956=0,1,IF($I16956&lt;=1,2,0))</f>
        <v>0</v>
      </c>
      <c r="K16956">
        <v>6</v>
      </c>
      <c r="L16956">
        <f>IF(AND($J16956=0,$K16956=0),0,1)</f>
        <v>1</v>
      </c>
      <c r="M16956" t="s">
        <v>1757</v>
      </c>
    </row>
    <row r="16957" spans="1:13" x14ac:dyDescent="0.2">
      <c r="A16957" t="s">
        <v>661</v>
      </c>
      <c r="B16957" t="s">
        <v>381</v>
      </c>
      <c r="C16957" t="s">
        <v>382</v>
      </c>
      <c r="D16957">
        <v>6260</v>
      </c>
      <c r="E16957">
        <v>2021</v>
      </c>
      <c r="F16957">
        <v>1</v>
      </c>
      <c r="G16957">
        <v>16671</v>
      </c>
      <c r="H16957" s="1">
        <v>3</v>
      </c>
      <c r="I16957">
        <v>1</v>
      </c>
      <c r="J16957">
        <f>IF($H16957=0,1,IF($I16957&lt;=1,2,0))</f>
        <v>2</v>
      </c>
      <c r="K16957">
        <v>6</v>
      </c>
      <c r="L16957">
        <f>IF(AND($J16957=0,$K16957=0),0,1)</f>
        <v>1</v>
      </c>
    </row>
    <row r="16958" spans="1:13" x14ac:dyDescent="0.2">
      <c r="A16958" t="s">
        <v>661</v>
      </c>
      <c r="B16958" t="s">
        <v>381</v>
      </c>
      <c r="C16958" t="s">
        <v>382</v>
      </c>
      <c r="D16958">
        <v>9200</v>
      </c>
      <c r="E16958">
        <v>2021</v>
      </c>
      <c r="F16958">
        <v>1</v>
      </c>
      <c r="G16958">
        <v>16672</v>
      </c>
      <c r="H16958" s="1">
        <v>1.5</v>
      </c>
      <c r="I16958">
        <v>19</v>
      </c>
      <c r="J16958">
        <f>IF($H16958=0,1,IF($I16958&lt;=1,2,0))</f>
        <v>0</v>
      </c>
      <c r="K16958">
        <v>5</v>
      </c>
      <c r="L16958">
        <f>IF(AND($J16958=0,$K16958=0),0,1)</f>
        <v>1</v>
      </c>
    </row>
    <row r="16959" spans="1:13" x14ac:dyDescent="0.2">
      <c r="A16959" t="s">
        <v>661</v>
      </c>
      <c r="B16959" t="s">
        <v>381</v>
      </c>
      <c r="C16959" t="s">
        <v>382</v>
      </c>
      <c r="D16959">
        <v>9200</v>
      </c>
      <c r="E16959">
        <v>2021</v>
      </c>
      <c r="F16959" t="s">
        <v>59</v>
      </c>
      <c r="G16959">
        <v>16673</v>
      </c>
      <c r="H16959" s="1">
        <v>0</v>
      </c>
      <c r="I16959">
        <v>0</v>
      </c>
      <c r="J16959">
        <f>IF($H16959=0,1,IF($I16959&lt;=1,2,0))</f>
        <v>1</v>
      </c>
      <c r="K16959">
        <v>5</v>
      </c>
      <c r="L16959">
        <f>IF(AND($J16959=0,$K16959=0),0,1)</f>
        <v>1</v>
      </c>
    </row>
    <row r="16960" spans="1:13" x14ac:dyDescent="0.2">
      <c r="A16960" t="s">
        <v>661</v>
      </c>
      <c r="B16960" t="s">
        <v>381</v>
      </c>
      <c r="C16960" t="s">
        <v>382</v>
      </c>
      <c r="D16960">
        <v>9245</v>
      </c>
      <c r="E16960">
        <v>2021</v>
      </c>
      <c r="F16960">
        <v>1</v>
      </c>
      <c r="G16960">
        <v>16674</v>
      </c>
      <c r="H16960" s="1">
        <v>3</v>
      </c>
      <c r="I16960">
        <v>7</v>
      </c>
      <c r="J16960">
        <f>IF($H16960=0,1,IF($I16960&lt;=1,2,0))</f>
        <v>0</v>
      </c>
      <c r="K16960">
        <v>5</v>
      </c>
      <c r="L16960">
        <f>IF(AND($J16960=0,$K16960=0),0,1)</f>
        <v>1</v>
      </c>
    </row>
    <row r="16961" spans="1:13" x14ac:dyDescent="0.2">
      <c r="A16961" t="s">
        <v>661</v>
      </c>
      <c r="B16961" t="s">
        <v>381</v>
      </c>
      <c r="C16961" t="s">
        <v>382</v>
      </c>
      <c r="D16961">
        <v>9248</v>
      </c>
      <c r="E16961">
        <v>2021</v>
      </c>
      <c r="F16961">
        <v>1</v>
      </c>
      <c r="G16961">
        <v>16675</v>
      </c>
      <c r="H16961" s="1">
        <v>3</v>
      </c>
      <c r="I16961">
        <v>6</v>
      </c>
      <c r="J16961">
        <f>IF($H16961=0,1,IF($I16961&lt;=1,2,0))</f>
        <v>0</v>
      </c>
      <c r="K16961">
        <v>5</v>
      </c>
      <c r="L16961">
        <f>IF(AND($J16961=0,$K16961=0),0,1)</f>
        <v>1</v>
      </c>
    </row>
    <row r="16962" spans="1:13" x14ac:dyDescent="0.2">
      <c r="A16962" t="s">
        <v>666</v>
      </c>
      <c r="B16962" t="s">
        <v>17</v>
      </c>
      <c r="C16962" t="s">
        <v>9</v>
      </c>
      <c r="D16962">
        <v>1101</v>
      </c>
      <c r="E16962">
        <v>2021</v>
      </c>
      <c r="F16962">
        <v>1</v>
      </c>
      <c r="G16962">
        <v>11727</v>
      </c>
      <c r="H16962" s="1">
        <v>4</v>
      </c>
      <c r="I16962">
        <v>0</v>
      </c>
      <c r="J16962">
        <f>IF($H16962=0,1,IF($I16962&lt;=1,2,0))</f>
        <v>2</v>
      </c>
      <c r="K16962">
        <v>0</v>
      </c>
      <c r="L16962">
        <f>IF(AND($J16962=0,$K16962=0),0,1)</f>
        <v>1</v>
      </c>
      <c r="M16962" t="s">
        <v>181</v>
      </c>
    </row>
    <row r="16963" spans="1:13" x14ac:dyDescent="0.2">
      <c r="A16963" t="s">
        <v>666</v>
      </c>
      <c r="B16963" t="s">
        <v>17</v>
      </c>
      <c r="C16963" t="s">
        <v>9</v>
      </c>
      <c r="D16963">
        <v>2101</v>
      </c>
      <c r="E16963">
        <v>2021</v>
      </c>
      <c r="F16963">
        <v>1</v>
      </c>
      <c r="G16963">
        <v>11728</v>
      </c>
      <c r="H16963" s="1">
        <v>4</v>
      </c>
      <c r="I16963">
        <v>0</v>
      </c>
      <c r="J16963">
        <f>IF($H16963=0,1,IF($I16963&lt;=1,2,0))</f>
        <v>2</v>
      </c>
      <c r="K16963">
        <v>0</v>
      </c>
      <c r="L16963">
        <f>IF(AND($J16963=0,$K16963=0),0,1)</f>
        <v>1</v>
      </c>
      <c r="M16963" t="s">
        <v>181</v>
      </c>
    </row>
    <row r="16964" spans="1:13" x14ac:dyDescent="0.2">
      <c r="A16964" t="s">
        <v>666</v>
      </c>
      <c r="B16964" t="s">
        <v>17</v>
      </c>
      <c r="C16964" t="s">
        <v>9</v>
      </c>
      <c r="D16964">
        <v>3998</v>
      </c>
      <c r="E16964">
        <v>2021</v>
      </c>
      <c r="F16964">
        <v>1</v>
      </c>
      <c r="G16964">
        <v>18996</v>
      </c>
      <c r="H16964" s="1">
        <v>5</v>
      </c>
      <c r="I16964">
        <v>2</v>
      </c>
      <c r="J16964">
        <f>IF($H16964=0,1,IF($I16964&lt;=1,2,0))</f>
        <v>0</v>
      </c>
      <c r="K16964">
        <v>9</v>
      </c>
      <c r="L16964">
        <f>IF(AND($J16964=0,$K16964=0),0,1)</f>
        <v>1</v>
      </c>
    </row>
    <row r="16965" spans="1:13" x14ac:dyDescent="0.2">
      <c r="A16965" t="s">
        <v>1242</v>
      </c>
      <c r="B16965" t="s">
        <v>381</v>
      </c>
      <c r="C16965" t="s">
        <v>382</v>
      </c>
      <c r="D16965">
        <v>45</v>
      </c>
      <c r="E16965">
        <v>2021</v>
      </c>
      <c r="F16965">
        <v>1</v>
      </c>
      <c r="G16965">
        <v>20784</v>
      </c>
      <c r="H16965" s="1">
        <v>0</v>
      </c>
      <c r="I16965">
        <v>0</v>
      </c>
      <c r="J16965">
        <f>IF($H16965=0,1,IF($I16965&lt;=1,2,0))</f>
        <v>1</v>
      </c>
      <c r="K16965">
        <v>0</v>
      </c>
      <c r="L16965">
        <f>IF(AND($J16965=0,$K16965=0),0,1)</f>
        <v>1</v>
      </c>
    </row>
    <row r="16966" spans="1:13" x14ac:dyDescent="0.2">
      <c r="A16966" t="s">
        <v>1242</v>
      </c>
      <c r="B16966" t="s">
        <v>381</v>
      </c>
      <c r="C16966" t="s">
        <v>382</v>
      </c>
      <c r="D16966">
        <v>4010</v>
      </c>
      <c r="E16966">
        <v>2021</v>
      </c>
      <c r="F16966">
        <v>1</v>
      </c>
      <c r="G16966">
        <v>16682</v>
      </c>
      <c r="H16966" s="1">
        <v>0</v>
      </c>
      <c r="I16966">
        <v>25</v>
      </c>
      <c r="J16966">
        <f>IF($H16966=0,1,IF($I16966&lt;=1,2,0))</f>
        <v>1</v>
      </c>
      <c r="K16966">
        <v>6</v>
      </c>
      <c r="L16966">
        <f>IF(AND($J16966=0,$K16966=0),0,1)</f>
        <v>1</v>
      </c>
      <c r="M16966" t="s">
        <v>1758</v>
      </c>
    </row>
    <row r="16967" spans="1:13" x14ac:dyDescent="0.2">
      <c r="A16967" t="s">
        <v>1242</v>
      </c>
      <c r="B16967" t="s">
        <v>381</v>
      </c>
      <c r="C16967" t="s">
        <v>382</v>
      </c>
      <c r="D16967">
        <v>4010</v>
      </c>
      <c r="E16967">
        <v>2021</v>
      </c>
      <c r="F16967">
        <v>2</v>
      </c>
      <c r="G16967">
        <v>16683</v>
      </c>
      <c r="H16967" s="1">
        <v>0</v>
      </c>
      <c r="I16967">
        <v>19</v>
      </c>
      <c r="J16967">
        <f>IF($H16967=0,1,IF($I16967&lt;=1,2,0))</f>
        <v>1</v>
      </c>
      <c r="K16967">
        <v>6</v>
      </c>
      <c r="L16967">
        <f>IF(AND($J16967=0,$K16967=0),0,1)</f>
        <v>1</v>
      </c>
      <c r="M16967" t="s">
        <v>1759</v>
      </c>
    </row>
    <row r="16968" spans="1:13" x14ac:dyDescent="0.2">
      <c r="A16968" t="s">
        <v>1242</v>
      </c>
      <c r="B16968" t="s">
        <v>381</v>
      </c>
      <c r="C16968" t="s">
        <v>382</v>
      </c>
      <c r="D16968">
        <v>4011</v>
      </c>
      <c r="E16968">
        <v>2021</v>
      </c>
      <c r="F16968">
        <v>1</v>
      </c>
      <c r="G16968">
        <v>16684</v>
      </c>
      <c r="H16968" s="1">
        <v>0</v>
      </c>
      <c r="I16968">
        <v>14</v>
      </c>
      <c r="J16968">
        <f>IF($H16968=0,1,IF($I16968&lt;=1,2,0))</f>
        <v>1</v>
      </c>
      <c r="K16968">
        <v>6</v>
      </c>
      <c r="L16968">
        <f>IF(AND($J16968=0,$K16968=0),0,1)</f>
        <v>1</v>
      </c>
      <c r="M16968" t="s">
        <v>1760</v>
      </c>
    </row>
    <row r="16969" spans="1:13" x14ac:dyDescent="0.2">
      <c r="A16969" t="s">
        <v>1242</v>
      </c>
      <c r="B16969" t="s">
        <v>381</v>
      </c>
      <c r="C16969" t="s">
        <v>382</v>
      </c>
      <c r="D16969">
        <v>4012</v>
      </c>
      <c r="E16969">
        <v>2021</v>
      </c>
      <c r="F16969">
        <v>1</v>
      </c>
      <c r="G16969">
        <v>16685</v>
      </c>
      <c r="H16969" s="1">
        <v>0</v>
      </c>
      <c r="I16969">
        <v>29</v>
      </c>
      <c r="J16969">
        <f>IF($H16969=0,1,IF($I16969&lt;=1,2,0))</f>
        <v>1</v>
      </c>
      <c r="K16969">
        <v>6</v>
      </c>
      <c r="L16969">
        <f>IF(AND($J16969=0,$K16969=0),0,1)</f>
        <v>1</v>
      </c>
      <c r="M16969" t="s">
        <v>1761</v>
      </c>
    </row>
    <row r="16970" spans="1:13" x14ac:dyDescent="0.2">
      <c r="A16970" t="s">
        <v>1242</v>
      </c>
      <c r="B16970" t="s">
        <v>381</v>
      </c>
      <c r="C16970" t="s">
        <v>382</v>
      </c>
      <c r="D16970">
        <v>4040</v>
      </c>
      <c r="E16970">
        <v>2021</v>
      </c>
      <c r="F16970">
        <v>3</v>
      </c>
      <c r="G16970">
        <v>17991</v>
      </c>
      <c r="H16970" s="1">
        <v>0.2</v>
      </c>
      <c r="I16970">
        <v>40</v>
      </c>
      <c r="J16970">
        <f>IF($H16970=0,1,IF($I16970&lt;=1,2,0))</f>
        <v>0</v>
      </c>
      <c r="K16970">
        <v>6</v>
      </c>
      <c r="L16970">
        <f>IF(AND($J16970=0,$K16970=0),0,1)</f>
        <v>1</v>
      </c>
      <c r="M16970" t="s">
        <v>1763</v>
      </c>
    </row>
    <row r="16971" spans="1:13" x14ac:dyDescent="0.2">
      <c r="A16971" t="s">
        <v>1242</v>
      </c>
      <c r="B16971" t="s">
        <v>381</v>
      </c>
      <c r="C16971" t="s">
        <v>382</v>
      </c>
      <c r="D16971">
        <v>4040</v>
      </c>
      <c r="E16971">
        <v>2021</v>
      </c>
      <c r="F16971">
        <v>4</v>
      </c>
      <c r="G16971">
        <v>17992</v>
      </c>
      <c r="H16971" s="1">
        <v>0.2</v>
      </c>
      <c r="I16971">
        <v>39</v>
      </c>
      <c r="J16971">
        <f>IF($H16971=0,1,IF($I16971&lt;=1,2,0))</f>
        <v>0</v>
      </c>
      <c r="K16971">
        <v>6</v>
      </c>
      <c r="L16971">
        <f>IF(AND($J16971=0,$K16971=0),0,1)</f>
        <v>1</v>
      </c>
      <c r="M16971" t="s">
        <v>1763</v>
      </c>
    </row>
    <row r="16972" spans="1:13" x14ac:dyDescent="0.2">
      <c r="A16972" t="s">
        <v>1242</v>
      </c>
      <c r="B16972" t="s">
        <v>381</v>
      </c>
      <c r="C16972" t="s">
        <v>382</v>
      </c>
      <c r="D16972">
        <v>4040</v>
      </c>
      <c r="E16972">
        <v>2021</v>
      </c>
      <c r="F16972">
        <v>5</v>
      </c>
      <c r="G16972">
        <v>18001</v>
      </c>
      <c r="H16972" s="1">
        <v>0.2</v>
      </c>
      <c r="I16972">
        <v>39</v>
      </c>
      <c r="J16972">
        <f>IF($H16972=0,1,IF($I16972&lt;=1,2,0))</f>
        <v>0</v>
      </c>
      <c r="K16972">
        <v>6</v>
      </c>
      <c r="L16972">
        <f>IF(AND($J16972=0,$K16972=0),0,1)</f>
        <v>1</v>
      </c>
      <c r="M16972" t="s">
        <v>1763</v>
      </c>
    </row>
    <row r="16973" spans="1:13" x14ac:dyDescent="0.2">
      <c r="A16973" t="s">
        <v>1242</v>
      </c>
      <c r="B16973" t="s">
        <v>381</v>
      </c>
      <c r="C16973" t="s">
        <v>382</v>
      </c>
      <c r="D16973">
        <v>4040</v>
      </c>
      <c r="E16973">
        <v>2021</v>
      </c>
      <c r="F16973">
        <v>10</v>
      </c>
      <c r="G16973">
        <v>18012</v>
      </c>
      <c r="H16973" s="1">
        <v>0.2</v>
      </c>
      <c r="I16973">
        <v>39</v>
      </c>
      <c r="J16973">
        <f>IF($H16973=0,1,IF($I16973&lt;=1,2,0))</f>
        <v>0</v>
      </c>
      <c r="K16973">
        <v>6</v>
      </c>
      <c r="L16973">
        <f>IF(AND($J16973=0,$K16973=0),0,1)</f>
        <v>1</v>
      </c>
      <c r="M16973" t="s">
        <v>1768</v>
      </c>
    </row>
    <row r="16974" spans="1:13" x14ac:dyDescent="0.2">
      <c r="A16974" t="s">
        <v>1242</v>
      </c>
      <c r="B16974" t="s">
        <v>381</v>
      </c>
      <c r="C16974" t="s">
        <v>382</v>
      </c>
      <c r="D16974">
        <v>4040</v>
      </c>
      <c r="E16974">
        <v>2021</v>
      </c>
      <c r="F16974">
        <v>11</v>
      </c>
      <c r="G16974">
        <v>18014</v>
      </c>
      <c r="H16974" s="1">
        <v>0.2</v>
      </c>
      <c r="I16974">
        <v>39</v>
      </c>
      <c r="J16974">
        <f>IF($H16974=0,1,IF($I16974&lt;=1,2,0))</f>
        <v>0</v>
      </c>
      <c r="K16974">
        <v>6</v>
      </c>
      <c r="L16974">
        <f>IF(AND($J16974=0,$K16974=0),0,1)</f>
        <v>1</v>
      </c>
      <c r="M16974" t="s">
        <v>1769</v>
      </c>
    </row>
    <row r="16975" spans="1:13" x14ac:dyDescent="0.2">
      <c r="A16975" t="s">
        <v>1242</v>
      </c>
      <c r="B16975" t="s">
        <v>381</v>
      </c>
      <c r="C16975" t="s">
        <v>382</v>
      </c>
      <c r="D16975">
        <v>4040</v>
      </c>
      <c r="E16975">
        <v>2021</v>
      </c>
      <c r="F16975">
        <v>12</v>
      </c>
      <c r="G16975">
        <v>18015</v>
      </c>
      <c r="H16975" s="1">
        <v>0.2</v>
      </c>
      <c r="I16975">
        <v>39</v>
      </c>
      <c r="J16975">
        <f>IF($H16975=0,1,IF($I16975&lt;=1,2,0))</f>
        <v>0</v>
      </c>
      <c r="K16975">
        <v>6</v>
      </c>
      <c r="L16975">
        <f>IF(AND($J16975=0,$K16975=0),0,1)</f>
        <v>1</v>
      </c>
      <c r="M16975" t="s">
        <v>1769</v>
      </c>
    </row>
    <row r="16976" spans="1:13" x14ac:dyDescent="0.2">
      <c r="A16976" t="s">
        <v>1242</v>
      </c>
      <c r="B16976" t="s">
        <v>381</v>
      </c>
      <c r="C16976" t="s">
        <v>382</v>
      </c>
      <c r="D16976">
        <v>4040</v>
      </c>
      <c r="E16976">
        <v>2021</v>
      </c>
      <c r="F16976">
        <v>14</v>
      </c>
      <c r="G16976">
        <v>18017</v>
      </c>
      <c r="H16976" s="1">
        <v>0.2</v>
      </c>
      <c r="I16976">
        <v>39</v>
      </c>
      <c r="J16976">
        <f>IF($H16976=0,1,IF($I16976&lt;=1,2,0))</f>
        <v>0</v>
      </c>
      <c r="K16976">
        <v>6</v>
      </c>
      <c r="L16976">
        <f>IF(AND($J16976=0,$K16976=0),0,1)</f>
        <v>1</v>
      </c>
      <c r="M16976" t="s">
        <v>1771</v>
      </c>
    </row>
    <row r="16977" spans="1:13" x14ac:dyDescent="0.2">
      <c r="A16977" t="s">
        <v>1242</v>
      </c>
      <c r="B16977" t="s">
        <v>381</v>
      </c>
      <c r="C16977" t="s">
        <v>382</v>
      </c>
      <c r="D16977">
        <v>4040</v>
      </c>
      <c r="E16977">
        <v>2021</v>
      </c>
      <c r="F16977">
        <v>6</v>
      </c>
      <c r="G16977">
        <v>18003</v>
      </c>
      <c r="H16977" s="1">
        <v>0.2</v>
      </c>
      <c r="I16977">
        <v>38</v>
      </c>
      <c r="J16977">
        <f>IF($H16977=0,1,IF($I16977&lt;=1,2,0))</f>
        <v>0</v>
      </c>
      <c r="K16977">
        <v>6</v>
      </c>
      <c r="L16977">
        <f>IF(AND($J16977=0,$K16977=0),0,1)</f>
        <v>1</v>
      </c>
      <c r="M16977" t="s">
        <v>1764</v>
      </c>
    </row>
    <row r="16978" spans="1:13" x14ac:dyDescent="0.2">
      <c r="A16978" t="s">
        <v>1242</v>
      </c>
      <c r="B16978" t="s">
        <v>381</v>
      </c>
      <c r="C16978" t="s">
        <v>382</v>
      </c>
      <c r="D16978">
        <v>4040</v>
      </c>
      <c r="E16978">
        <v>2021</v>
      </c>
      <c r="F16978">
        <v>7</v>
      </c>
      <c r="G16978">
        <v>18005</v>
      </c>
      <c r="H16978" s="1">
        <v>0.2</v>
      </c>
      <c r="I16978">
        <v>38</v>
      </c>
      <c r="J16978">
        <f>IF($H16978=0,1,IF($I16978&lt;=1,2,0))</f>
        <v>0</v>
      </c>
      <c r="K16978">
        <v>6</v>
      </c>
      <c r="L16978">
        <f>IF(AND($J16978=0,$K16978=0),0,1)</f>
        <v>1</v>
      </c>
      <c r="M16978" t="s">
        <v>1765</v>
      </c>
    </row>
    <row r="16979" spans="1:13" x14ac:dyDescent="0.2">
      <c r="A16979" t="s">
        <v>1242</v>
      </c>
      <c r="B16979" t="s">
        <v>381</v>
      </c>
      <c r="C16979" t="s">
        <v>382</v>
      </c>
      <c r="D16979">
        <v>4040</v>
      </c>
      <c r="E16979">
        <v>2021</v>
      </c>
      <c r="F16979">
        <v>1</v>
      </c>
      <c r="G16979">
        <v>17989</v>
      </c>
      <c r="H16979" s="1">
        <v>0.2</v>
      </c>
      <c r="I16979">
        <v>37</v>
      </c>
      <c r="J16979">
        <f>IF($H16979=0,1,IF($I16979&lt;=1,2,0))</f>
        <v>0</v>
      </c>
      <c r="K16979">
        <v>6</v>
      </c>
      <c r="L16979">
        <f>IF(AND($J16979=0,$K16979=0),0,1)</f>
        <v>1</v>
      </c>
      <c r="M16979" t="s">
        <v>1762</v>
      </c>
    </row>
    <row r="16980" spans="1:13" x14ac:dyDescent="0.2">
      <c r="A16980" t="s">
        <v>1242</v>
      </c>
      <c r="B16980" t="s">
        <v>381</v>
      </c>
      <c r="C16980" t="s">
        <v>382</v>
      </c>
      <c r="D16980">
        <v>4040</v>
      </c>
      <c r="E16980">
        <v>2021</v>
      </c>
      <c r="F16980">
        <v>2</v>
      </c>
      <c r="G16980">
        <v>17990</v>
      </c>
      <c r="H16980" s="1">
        <v>0.2</v>
      </c>
      <c r="I16980">
        <v>36</v>
      </c>
      <c r="J16980">
        <f>IF($H16980=0,1,IF($I16980&lt;=1,2,0))</f>
        <v>0</v>
      </c>
      <c r="K16980">
        <v>6</v>
      </c>
      <c r="L16980">
        <f>IF(AND($J16980=0,$K16980=0),0,1)</f>
        <v>1</v>
      </c>
      <c r="M16980" t="s">
        <v>1763</v>
      </c>
    </row>
    <row r="16981" spans="1:13" x14ac:dyDescent="0.2">
      <c r="A16981" t="s">
        <v>1242</v>
      </c>
      <c r="B16981" t="s">
        <v>381</v>
      </c>
      <c r="C16981" t="s">
        <v>382</v>
      </c>
      <c r="D16981">
        <v>4040</v>
      </c>
      <c r="E16981">
        <v>2021</v>
      </c>
      <c r="F16981">
        <v>8</v>
      </c>
      <c r="G16981">
        <v>18006</v>
      </c>
      <c r="H16981" s="1">
        <v>0.2</v>
      </c>
      <c r="I16981">
        <v>36</v>
      </c>
      <c r="J16981">
        <f>IF($H16981=0,1,IF($I16981&lt;=1,2,0))</f>
        <v>0</v>
      </c>
      <c r="K16981">
        <v>6</v>
      </c>
      <c r="L16981">
        <f>IF(AND($J16981=0,$K16981=0),0,1)</f>
        <v>1</v>
      </c>
      <c r="M16981" t="s">
        <v>1766</v>
      </c>
    </row>
    <row r="16982" spans="1:13" x14ac:dyDescent="0.2">
      <c r="A16982" t="s">
        <v>1242</v>
      </c>
      <c r="B16982" t="s">
        <v>381</v>
      </c>
      <c r="C16982" t="s">
        <v>382</v>
      </c>
      <c r="D16982">
        <v>4040</v>
      </c>
      <c r="E16982">
        <v>2021</v>
      </c>
      <c r="F16982">
        <v>13</v>
      </c>
      <c r="G16982">
        <v>18016</v>
      </c>
      <c r="H16982" s="1">
        <v>0.2</v>
      </c>
      <c r="I16982">
        <v>26</v>
      </c>
      <c r="J16982">
        <f>IF($H16982=0,1,IF($I16982&lt;=1,2,0))</f>
        <v>0</v>
      </c>
      <c r="K16982">
        <v>6</v>
      </c>
      <c r="L16982">
        <f>IF(AND($J16982=0,$K16982=0),0,1)</f>
        <v>1</v>
      </c>
      <c r="M16982" t="s">
        <v>1770</v>
      </c>
    </row>
    <row r="16983" spans="1:13" x14ac:dyDescent="0.2">
      <c r="A16983" t="s">
        <v>1242</v>
      </c>
      <c r="B16983" t="s">
        <v>381</v>
      </c>
      <c r="C16983" t="s">
        <v>382</v>
      </c>
      <c r="D16983">
        <v>4040</v>
      </c>
      <c r="E16983">
        <v>2021</v>
      </c>
      <c r="F16983">
        <v>9</v>
      </c>
      <c r="G16983">
        <v>18010</v>
      </c>
      <c r="H16983" s="1">
        <v>0.2</v>
      </c>
      <c r="I16983">
        <v>20</v>
      </c>
      <c r="J16983">
        <f>IF($H16983=0,1,IF($I16983&lt;=1,2,0))</f>
        <v>0</v>
      </c>
      <c r="K16983">
        <v>6</v>
      </c>
      <c r="L16983">
        <f>IF(AND($J16983=0,$K16983=0),0,1)</f>
        <v>1</v>
      </c>
      <c r="M16983" t="s">
        <v>1767</v>
      </c>
    </row>
    <row r="16984" spans="1:13" x14ac:dyDescent="0.2">
      <c r="A16984" t="s">
        <v>1242</v>
      </c>
      <c r="B16984" t="s">
        <v>381</v>
      </c>
      <c r="C16984" t="s">
        <v>382</v>
      </c>
      <c r="D16984">
        <v>4041</v>
      </c>
      <c r="E16984">
        <v>2021</v>
      </c>
      <c r="F16984">
        <v>3</v>
      </c>
      <c r="G16984">
        <v>18021</v>
      </c>
      <c r="H16984" s="1">
        <v>0.2</v>
      </c>
      <c r="I16984">
        <v>31</v>
      </c>
      <c r="J16984">
        <f>IF($H16984=0,1,IF($I16984&lt;=1,2,0))</f>
        <v>0</v>
      </c>
      <c r="K16984">
        <v>6</v>
      </c>
      <c r="L16984">
        <f>IF(AND($J16984=0,$K16984=0),0,1)</f>
        <v>1</v>
      </c>
      <c r="M16984" t="s">
        <v>1773</v>
      </c>
    </row>
    <row r="16985" spans="1:13" x14ac:dyDescent="0.2">
      <c r="A16985" t="s">
        <v>1242</v>
      </c>
      <c r="B16985" t="s">
        <v>381</v>
      </c>
      <c r="C16985" t="s">
        <v>382</v>
      </c>
      <c r="D16985">
        <v>4041</v>
      </c>
      <c r="E16985">
        <v>2021</v>
      </c>
      <c r="F16985">
        <v>1</v>
      </c>
      <c r="G16985">
        <v>18019</v>
      </c>
      <c r="H16985" s="1">
        <v>0.2</v>
      </c>
      <c r="I16985">
        <v>29</v>
      </c>
      <c r="J16985">
        <f>IF($H16985=0,1,IF($I16985&lt;=1,2,0))</f>
        <v>0</v>
      </c>
      <c r="K16985">
        <v>6</v>
      </c>
      <c r="L16985">
        <f>IF(AND($J16985=0,$K16985=0),0,1)</f>
        <v>1</v>
      </c>
      <c r="M16985" t="s">
        <v>1772</v>
      </c>
    </row>
    <row r="16986" spans="1:13" x14ac:dyDescent="0.2">
      <c r="A16986" t="s">
        <v>1242</v>
      </c>
      <c r="B16986" t="s">
        <v>381</v>
      </c>
      <c r="C16986" t="s">
        <v>382</v>
      </c>
      <c r="D16986">
        <v>4041</v>
      </c>
      <c r="E16986">
        <v>2021</v>
      </c>
      <c r="F16986">
        <v>2</v>
      </c>
      <c r="G16986">
        <v>18020</v>
      </c>
      <c r="H16986" s="1">
        <v>0.2</v>
      </c>
      <c r="I16986">
        <v>15</v>
      </c>
      <c r="J16986">
        <f>IF($H16986=0,1,IF($I16986&lt;=1,2,0))</f>
        <v>0</v>
      </c>
      <c r="K16986">
        <v>6</v>
      </c>
      <c r="L16986">
        <f>IF(AND($J16986=0,$K16986=0),0,1)</f>
        <v>1</v>
      </c>
      <c r="M16986" t="s">
        <v>1773</v>
      </c>
    </row>
    <row r="16987" spans="1:13" x14ac:dyDescent="0.2">
      <c r="A16987" t="s">
        <v>1242</v>
      </c>
      <c r="B16987" t="s">
        <v>381</v>
      </c>
      <c r="C16987" t="s">
        <v>382</v>
      </c>
      <c r="D16987">
        <v>4042</v>
      </c>
      <c r="E16987">
        <v>2021</v>
      </c>
      <c r="F16987">
        <v>1</v>
      </c>
      <c r="G16987">
        <v>18022</v>
      </c>
      <c r="H16987" s="1">
        <v>0.2</v>
      </c>
      <c r="I16987">
        <v>40</v>
      </c>
      <c r="J16987">
        <f>IF($H16987=0,1,IF($I16987&lt;=1,2,0))</f>
        <v>0</v>
      </c>
      <c r="K16987">
        <v>6</v>
      </c>
      <c r="L16987">
        <f>IF(AND($J16987=0,$K16987=0),0,1)</f>
        <v>1</v>
      </c>
      <c r="M16987" t="s">
        <v>1774</v>
      </c>
    </row>
    <row r="16988" spans="1:13" x14ac:dyDescent="0.2">
      <c r="A16988" t="s">
        <v>1242</v>
      </c>
      <c r="B16988" t="s">
        <v>381</v>
      </c>
      <c r="C16988" t="s">
        <v>382</v>
      </c>
      <c r="D16988">
        <v>4042</v>
      </c>
      <c r="E16988">
        <v>2021</v>
      </c>
      <c r="F16988">
        <v>3</v>
      </c>
      <c r="G16988">
        <v>18024</v>
      </c>
      <c r="H16988" s="1">
        <v>0.2</v>
      </c>
      <c r="I16988">
        <v>40</v>
      </c>
      <c r="J16988">
        <f>IF($H16988=0,1,IF($I16988&lt;=1,2,0))</f>
        <v>0</v>
      </c>
      <c r="K16988">
        <v>6</v>
      </c>
      <c r="L16988">
        <f>IF(AND($J16988=0,$K16988=0),0,1)</f>
        <v>1</v>
      </c>
      <c r="M16988" t="s">
        <v>1771</v>
      </c>
    </row>
    <row r="16989" spans="1:13" x14ac:dyDescent="0.2">
      <c r="A16989" t="s">
        <v>1242</v>
      </c>
      <c r="B16989" t="s">
        <v>381</v>
      </c>
      <c r="C16989" t="s">
        <v>382</v>
      </c>
      <c r="D16989">
        <v>4042</v>
      </c>
      <c r="E16989">
        <v>2021</v>
      </c>
      <c r="F16989">
        <v>2</v>
      </c>
      <c r="G16989">
        <v>18023</v>
      </c>
      <c r="H16989" s="1">
        <v>0.2</v>
      </c>
      <c r="I16989">
        <v>39</v>
      </c>
      <c r="J16989">
        <f>IF($H16989=0,1,IF($I16989&lt;=1,2,0))</f>
        <v>0</v>
      </c>
      <c r="K16989">
        <v>6</v>
      </c>
      <c r="L16989">
        <f>IF(AND($J16989=0,$K16989=0),0,1)</f>
        <v>1</v>
      </c>
      <c r="M16989" t="s">
        <v>1767</v>
      </c>
    </row>
    <row r="16990" spans="1:13" x14ac:dyDescent="0.2">
      <c r="A16990" t="s">
        <v>1242</v>
      </c>
      <c r="B16990" t="s">
        <v>381</v>
      </c>
      <c r="C16990" t="s">
        <v>382</v>
      </c>
      <c r="D16990">
        <v>4043</v>
      </c>
      <c r="E16990">
        <v>2021</v>
      </c>
      <c r="F16990">
        <v>3</v>
      </c>
      <c r="G16990">
        <v>18027</v>
      </c>
      <c r="H16990" s="1">
        <v>0.2</v>
      </c>
      <c r="I16990">
        <v>43</v>
      </c>
      <c r="J16990">
        <f>IF($H16990=0,1,IF($I16990&lt;=1,2,0))</f>
        <v>0</v>
      </c>
      <c r="K16990">
        <v>6</v>
      </c>
      <c r="L16990">
        <f>IF(AND($J16990=0,$K16990=0),0,1)</f>
        <v>1</v>
      </c>
      <c r="M16990" t="s">
        <v>1770</v>
      </c>
    </row>
    <row r="16991" spans="1:13" x14ac:dyDescent="0.2">
      <c r="A16991" t="s">
        <v>1242</v>
      </c>
      <c r="B16991" t="s">
        <v>381</v>
      </c>
      <c r="C16991" t="s">
        <v>382</v>
      </c>
      <c r="D16991">
        <v>4043</v>
      </c>
      <c r="E16991">
        <v>2021</v>
      </c>
      <c r="F16991">
        <v>1</v>
      </c>
      <c r="G16991">
        <v>18025</v>
      </c>
      <c r="H16991" s="1">
        <v>0.2</v>
      </c>
      <c r="I16991">
        <v>37</v>
      </c>
      <c r="J16991">
        <f>IF($H16991=0,1,IF($I16991&lt;=1,2,0))</f>
        <v>0</v>
      </c>
      <c r="K16991">
        <v>6</v>
      </c>
      <c r="L16991">
        <f>IF(AND($J16991=0,$K16991=0),0,1)</f>
        <v>1</v>
      </c>
      <c r="M16991" t="s">
        <v>1762</v>
      </c>
    </row>
    <row r="16992" spans="1:13" x14ac:dyDescent="0.2">
      <c r="A16992" t="s">
        <v>1242</v>
      </c>
      <c r="B16992" t="s">
        <v>381</v>
      </c>
      <c r="C16992" t="s">
        <v>382</v>
      </c>
      <c r="D16992">
        <v>4043</v>
      </c>
      <c r="E16992">
        <v>2021</v>
      </c>
      <c r="F16992">
        <v>2</v>
      </c>
      <c r="G16992">
        <v>18026</v>
      </c>
      <c r="H16992" s="1">
        <v>0.2</v>
      </c>
      <c r="I16992">
        <v>37</v>
      </c>
      <c r="J16992">
        <f>IF($H16992=0,1,IF($I16992&lt;=1,2,0))</f>
        <v>0</v>
      </c>
      <c r="K16992">
        <v>6</v>
      </c>
      <c r="L16992">
        <f>IF(AND($J16992=0,$K16992=0),0,1)</f>
        <v>1</v>
      </c>
      <c r="M16992" t="s">
        <v>1762</v>
      </c>
    </row>
    <row r="16993" spans="1:13" x14ac:dyDescent="0.2">
      <c r="A16993" t="s">
        <v>1242</v>
      </c>
      <c r="B16993" t="s">
        <v>381</v>
      </c>
      <c r="C16993" t="s">
        <v>382</v>
      </c>
      <c r="D16993">
        <v>4044</v>
      </c>
      <c r="E16993">
        <v>2021</v>
      </c>
      <c r="F16993">
        <v>1</v>
      </c>
      <c r="G16993">
        <v>18029</v>
      </c>
      <c r="H16993" s="1">
        <v>0.2</v>
      </c>
      <c r="I16993">
        <v>40</v>
      </c>
      <c r="J16993">
        <f>IF($H16993=0,1,IF($I16993&lt;=1,2,0))</f>
        <v>0</v>
      </c>
      <c r="K16993">
        <v>6</v>
      </c>
      <c r="L16993">
        <f>IF(AND($J16993=0,$K16993=0),0,1)</f>
        <v>1</v>
      </c>
      <c r="M16993" t="s">
        <v>1766</v>
      </c>
    </row>
    <row r="16994" spans="1:13" x14ac:dyDescent="0.2">
      <c r="A16994" t="s">
        <v>1242</v>
      </c>
      <c r="B16994" t="s">
        <v>381</v>
      </c>
      <c r="C16994" t="s">
        <v>382</v>
      </c>
      <c r="D16994">
        <v>4044</v>
      </c>
      <c r="E16994">
        <v>2021</v>
      </c>
      <c r="F16994">
        <v>2</v>
      </c>
      <c r="G16994">
        <v>18030</v>
      </c>
      <c r="H16994" s="1">
        <v>0.2</v>
      </c>
      <c r="I16994">
        <v>40</v>
      </c>
      <c r="J16994">
        <f>IF($H16994=0,1,IF($I16994&lt;=1,2,0))</f>
        <v>0</v>
      </c>
      <c r="K16994">
        <v>6</v>
      </c>
      <c r="L16994">
        <f>IF(AND($J16994=0,$K16994=0),0,1)</f>
        <v>1</v>
      </c>
      <c r="M16994" t="s">
        <v>1766</v>
      </c>
    </row>
    <row r="16995" spans="1:13" x14ac:dyDescent="0.2">
      <c r="A16995" t="s">
        <v>1242</v>
      </c>
      <c r="B16995" t="s">
        <v>381</v>
      </c>
      <c r="C16995" t="s">
        <v>382</v>
      </c>
      <c r="D16995">
        <v>4044</v>
      </c>
      <c r="E16995">
        <v>2021</v>
      </c>
      <c r="F16995">
        <v>3</v>
      </c>
      <c r="G16995">
        <v>18031</v>
      </c>
      <c r="H16995" s="1">
        <v>0.2</v>
      </c>
      <c r="I16995">
        <v>38</v>
      </c>
      <c r="J16995">
        <f>IF($H16995=0,1,IF($I16995&lt;=1,2,0))</f>
        <v>0</v>
      </c>
      <c r="K16995">
        <v>6</v>
      </c>
      <c r="L16995">
        <f>IF(AND($J16995=0,$K16995=0),0,1)</f>
        <v>1</v>
      </c>
      <c r="M16995" t="s">
        <v>1769</v>
      </c>
    </row>
    <row r="16996" spans="1:13" x14ac:dyDescent="0.2">
      <c r="A16996" t="s">
        <v>1242</v>
      </c>
      <c r="B16996" t="s">
        <v>381</v>
      </c>
      <c r="C16996" t="s">
        <v>382</v>
      </c>
      <c r="D16996">
        <v>4045</v>
      </c>
      <c r="E16996">
        <v>2021</v>
      </c>
      <c r="F16996">
        <v>2</v>
      </c>
      <c r="G16996">
        <v>18033</v>
      </c>
      <c r="H16996" s="1">
        <v>0.2</v>
      </c>
      <c r="I16996">
        <v>37</v>
      </c>
      <c r="J16996">
        <f>IF($H16996=0,1,IF($I16996&lt;=1,2,0))</f>
        <v>0</v>
      </c>
      <c r="K16996">
        <v>6</v>
      </c>
      <c r="L16996">
        <f>IF(AND($J16996=0,$K16996=0),0,1)</f>
        <v>1</v>
      </c>
      <c r="M16996" t="s">
        <v>1770</v>
      </c>
    </row>
    <row r="16997" spans="1:13" x14ac:dyDescent="0.2">
      <c r="A16997" t="s">
        <v>1242</v>
      </c>
      <c r="B16997" t="s">
        <v>381</v>
      </c>
      <c r="C16997" t="s">
        <v>382</v>
      </c>
      <c r="D16997">
        <v>4045</v>
      </c>
      <c r="E16997">
        <v>2021</v>
      </c>
      <c r="F16997">
        <v>1</v>
      </c>
      <c r="G16997">
        <v>18032</v>
      </c>
      <c r="H16997" s="1">
        <v>0.2</v>
      </c>
      <c r="I16997">
        <v>36</v>
      </c>
      <c r="J16997">
        <f>IF($H16997=0,1,IF($I16997&lt;=1,2,0))</f>
        <v>0</v>
      </c>
      <c r="K16997">
        <v>6</v>
      </c>
      <c r="L16997">
        <f>IF(AND($J16997=0,$K16997=0),0,1)</f>
        <v>1</v>
      </c>
      <c r="M16997" t="s">
        <v>1765</v>
      </c>
    </row>
    <row r="16998" spans="1:13" x14ac:dyDescent="0.2">
      <c r="A16998" t="s">
        <v>1242</v>
      </c>
      <c r="B16998" t="s">
        <v>381</v>
      </c>
      <c r="C16998" t="s">
        <v>382</v>
      </c>
      <c r="D16998">
        <v>6003</v>
      </c>
      <c r="E16998">
        <v>2021</v>
      </c>
      <c r="F16998">
        <v>1</v>
      </c>
      <c r="G16998">
        <v>16435</v>
      </c>
      <c r="H16998" s="1">
        <v>3</v>
      </c>
      <c r="I16998">
        <v>34</v>
      </c>
      <c r="J16998">
        <f>IF($H16998=0,1,IF($I16998&lt;=1,2,0))</f>
        <v>0</v>
      </c>
      <c r="K16998">
        <v>6</v>
      </c>
      <c r="L16998">
        <f>IF(AND($J16998=0,$K16998=0),0,1)</f>
        <v>1</v>
      </c>
      <c r="M16998" t="s">
        <v>2080</v>
      </c>
    </row>
    <row r="16999" spans="1:13" x14ac:dyDescent="0.2">
      <c r="A16999" t="s">
        <v>1242</v>
      </c>
      <c r="B16999" t="s">
        <v>381</v>
      </c>
      <c r="C16999" t="s">
        <v>382</v>
      </c>
      <c r="D16999">
        <v>6003</v>
      </c>
      <c r="E16999">
        <v>2021</v>
      </c>
      <c r="F16999" t="s">
        <v>59</v>
      </c>
      <c r="G16999">
        <v>16436</v>
      </c>
      <c r="H16999" s="1">
        <v>0</v>
      </c>
      <c r="I16999">
        <v>0</v>
      </c>
      <c r="J16999">
        <f>IF($H16999=0,1,IF($I16999&lt;=1,2,0))</f>
        <v>1</v>
      </c>
      <c r="K16999">
        <v>6</v>
      </c>
      <c r="L16999">
        <f>IF(AND($J16999=0,$K16999=0),0,1)</f>
        <v>1</v>
      </c>
      <c r="M16999" t="s">
        <v>384</v>
      </c>
    </row>
    <row r="17000" spans="1:13" x14ac:dyDescent="0.2">
      <c r="A17000" t="s">
        <v>1242</v>
      </c>
      <c r="B17000" t="s">
        <v>381</v>
      </c>
      <c r="C17000" t="s">
        <v>382</v>
      </c>
      <c r="D17000">
        <v>6005</v>
      </c>
      <c r="E17000">
        <v>2021</v>
      </c>
      <c r="F17000">
        <v>1</v>
      </c>
      <c r="G17000">
        <v>16438</v>
      </c>
      <c r="H17000" s="1">
        <v>3</v>
      </c>
      <c r="I17000">
        <v>55</v>
      </c>
      <c r="J17000">
        <f>IF($H17000=0,1,IF($I17000&lt;=1,2,0))</f>
        <v>0</v>
      </c>
      <c r="K17000">
        <v>6</v>
      </c>
      <c r="L17000">
        <f>IF(AND($J17000=0,$K17000=0),0,1)</f>
        <v>1</v>
      </c>
      <c r="M17000" t="s">
        <v>2080</v>
      </c>
    </row>
    <row r="17001" spans="1:13" x14ac:dyDescent="0.2">
      <c r="A17001" t="s">
        <v>1242</v>
      </c>
      <c r="B17001" t="s">
        <v>381</v>
      </c>
      <c r="C17001" t="s">
        <v>382</v>
      </c>
      <c r="D17001">
        <v>6005</v>
      </c>
      <c r="E17001">
        <v>2021</v>
      </c>
      <c r="F17001" t="s">
        <v>59</v>
      </c>
      <c r="G17001">
        <v>16439</v>
      </c>
      <c r="H17001" s="1">
        <v>0</v>
      </c>
      <c r="I17001">
        <v>0</v>
      </c>
      <c r="J17001">
        <f>IF($H17001=0,1,IF($I17001&lt;=1,2,0))</f>
        <v>1</v>
      </c>
      <c r="K17001">
        <v>6</v>
      </c>
      <c r="L17001">
        <f>IF(AND($J17001=0,$K17001=0),0,1)</f>
        <v>1</v>
      </c>
      <c r="M17001" t="s">
        <v>384</v>
      </c>
    </row>
    <row r="17002" spans="1:13" x14ac:dyDescent="0.2">
      <c r="A17002" t="s">
        <v>1242</v>
      </c>
      <c r="B17002" t="s">
        <v>381</v>
      </c>
      <c r="C17002" t="s">
        <v>382</v>
      </c>
      <c r="D17002">
        <v>6011</v>
      </c>
      <c r="E17002">
        <v>2021</v>
      </c>
      <c r="F17002">
        <v>1</v>
      </c>
      <c r="G17002">
        <v>16440</v>
      </c>
      <c r="H17002" s="1">
        <v>3</v>
      </c>
      <c r="I17002">
        <v>38</v>
      </c>
      <c r="J17002">
        <f>IF($H17002=0,1,IF($I17002&lt;=1,2,0))</f>
        <v>0</v>
      </c>
      <c r="K17002">
        <v>6</v>
      </c>
      <c r="L17002">
        <f>IF(AND($J17002=0,$K17002=0),0,1)</f>
        <v>1</v>
      </c>
      <c r="M17002" t="s">
        <v>2080</v>
      </c>
    </row>
    <row r="17003" spans="1:13" x14ac:dyDescent="0.2">
      <c r="A17003" t="s">
        <v>1242</v>
      </c>
      <c r="B17003" t="s">
        <v>381</v>
      </c>
      <c r="C17003" t="s">
        <v>382</v>
      </c>
      <c r="D17003">
        <v>6011</v>
      </c>
      <c r="E17003">
        <v>2021</v>
      </c>
      <c r="F17003" t="s">
        <v>59</v>
      </c>
      <c r="G17003">
        <v>16441</v>
      </c>
      <c r="H17003" s="1">
        <v>0</v>
      </c>
      <c r="I17003">
        <v>0</v>
      </c>
      <c r="J17003">
        <f>IF($H17003=0,1,IF($I17003&lt;=1,2,0))</f>
        <v>1</v>
      </c>
      <c r="K17003">
        <v>6</v>
      </c>
      <c r="L17003">
        <f>IF(AND($J17003=0,$K17003=0),0,1)</f>
        <v>1</v>
      </c>
      <c r="M17003" t="s">
        <v>384</v>
      </c>
    </row>
    <row r="17004" spans="1:13" x14ac:dyDescent="0.2">
      <c r="A17004" t="s">
        <v>1242</v>
      </c>
      <c r="B17004" t="s">
        <v>381</v>
      </c>
      <c r="C17004" t="s">
        <v>382</v>
      </c>
      <c r="D17004">
        <v>6200</v>
      </c>
      <c r="E17004">
        <v>2021</v>
      </c>
      <c r="F17004">
        <v>1</v>
      </c>
      <c r="G17004">
        <v>16444</v>
      </c>
      <c r="H17004" s="1">
        <v>3</v>
      </c>
      <c r="I17004">
        <v>51</v>
      </c>
      <c r="J17004">
        <f>IF($H17004=0,1,IF($I17004&lt;=1,2,0))</f>
        <v>0</v>
      </c>
      <c r="K17004">
        <v>6</v>
      </c>
      <c r="L17004">
        <f>IF(AND($J17004=0,$K17004=0),0,1)</f>
        <v>1</v>
      </c>
      <c r="M17004" t="s">
        <v>2080</v>
      </c>
    </row>
    <row r="17005" spans="1:13" x14ac:dyDescent="0.2">
      <c r="A17005" t="s">
        <v>1242</v>
      </c>
      <c r="B17005" t="s">
        <v>381</v>
      </c>
      <c r="C17005" t="s">
        <v>382</v>
      </c>
      <c r="D17005">
        <v>6200</v>
      </c>
      <c r="E17005">
        <v>2021</v>
      </c>
      <c r="F17005">
        <v>3</v>
      </c>
      <c r="G17005">
        <v>16446</v>
      </c>
      <c r="H17005" s="1">
        <v>3</v>
      </c>
      <c r="I17005">
        <v>47</v>
      </c>
      <c r="J17005">
        <f>IF($H17005=0,1,IF($I17005&lt;=1,2,0))</f>
        <v>0</v>
      </c>
      <c r="K17005">
        <v>6</v>
      </c>
      <c r="L17005">
        <f>IF(AND($J17005=0,$K17005=0),0,1)</f>
        <v>1</v>
      </c>
      <c r="M17005" t="s">
        <v>2080</v>
      </c>
    </row>
    <row r="17006" spans="1:13" x14ac:dyDescent="0.2">
      <c r="A17006" t="s">
        <v>1242</v>
      </c>
      <c r="B17006" t="s">
        <v>381</v>
      </c>
      <c r="C17006" t="s">
        <v>382</v>
      </c>
      <c r="D17006">
        <v>6200</v>
      </c>
      <c r="E17006">
        <v>2021</v>
      </c>
      <c r="F17006">
        <v>2</v>
      </c>
      <c r="G17006">
        <v>16445</v>
      </c>
      <c r="H17006" s="1">
        <v>3</v>
      </c>
      <c r="I17006">
        <v>25</v>
      </c>
      <c r="J17006">
        <f>IF($H17006=0,1,IF($I17006&lt;=1,2,0))</f>
        <v>0</v>
      </c>
      <c r="K17006">
        <v>6</v>
      </c>
      <c r="L17006">
        <f>IF(AND($J17006=0,$K17006=0),0,1)</f>
        <v>1</v>
      </c>
      <c r="M17006" t="s">
        <v>2080</v>
      </c>
    </row>
    <row r="17007" spans="1:13" x14ac:dyDescent="0.2">
      <c r="A17007" t="s">
        <v>1242</v>
      </c>
      <c r="B17007" t="s">
        <v>381</v>
      </c>
      <c r="C17007" t="s">
        <v>382</v>
      </c>
      <c r="D17007">
        <v>6200</v>
      </c>
      <c r="E17007">
        <v>2021</v>
      </c>
      <c r="F17007" t="s">
        <v>59</v>
      </c>
      <c r="G17007">
        <v>16447</v>
      </c>
      <c r="H17007" s="1">
        <v>3</v>
      </c>
      <c r="I17007">
        <v>0</v>
      </c>
      <c r="J17007">
        <f>IF($H17007=0,1,IF($I17007&lt;=1,2,0))</f>
        <v>2</v>
      </c>
      <c r="K17007">
        <v>6</v>
      </c>
      <c r="L17007">
        <f>IF(AND($J17007=0,$K17007=0),0,1)</f>
        <v>1</v>
      </c>
      <c r="M17007" t="s">
        <v>384</v>
      </c>
    </row>
    <row r="17008" spans="1:13" x14ac:dyDescent="0.2">
      <c r="A17008" t="s">
        <v>1242</v>
      </c>
      <c r="B17008" t="s">
        <v>381</v>
      </c>
      <c r="C17008" t="s">
        <v>382</v>
      </c>
      <c r="D17008">
        <v>6200</v>
      </c>
      <c r="E17008">
        <v>2021</v>
      </c>
      <c r="F17008" t="s">
        <v>60</v>
      </c>
      <c r="G17008">
        <v>16448</v>
      </c>
      <c r="H17008" s="1">
        <v>3</v>
      </c>
      <c r="I17008">
        <v>0</v>
      </c>
      <c r="J17008">
        <f>IF($H17008=0,1,IF($I17008&lt;=1,2,0))</f>
        <v>2</v>
      </c>
      <c r="K17008">
        <v>6</v>
      </c>
      <c r="L17008">
        <f>IF(AND($J17008=0,$K17008=0),0,1)</f>
        <v>1</v>
      </c>
      <c r="M17008" t="s">
        <v>384</v>
      </c>
    </row>
    <row r="17009" spans="1:13" x14ac:dyDescent="0.2">
      <c r="A17009" t="s">
        <v>1242</v>
      </c>
      <c r="B17009" t="s">
        <v>381</v>
      </c>
      <c r="C17009" t="s">
        <v>382</v>
      </c>
      <c r="D17009">
        <v>6200</v>
      </c>
      <c r="E17009">
        <v>2021</v>
      </c>
      <c r="F17009" t="s">
        <v>77</v>
      </c>
      <c r="G17009">
        <v>16449</v>
      </c>
      <c r="H17009" s="1">
        <v>3</v>
      </c>
      <c r="I17009">
        <v>0</v>
      </c>
      <c r="J17009">
        <f>IF($H17009=0,1,IF($I17009&lt;=1,2,0))</f>
        <v>2</v>
      </c>
      <c r="K17009">
        <v>6</v>
      </c>
      <c r="L17009">
        <f>IF(AND($J17009=0,$K17009=0),0,1)</f>
        <v>1</v>
      </c>
      <c r="M17009" t="s">
        <v>384</v>
      </c>
    </row>
    <row r="17010" spans="1:13" x14ac:dyDescent="0.2">
      <c r="A17010" t="s">
        <v>1242</v>
      </c>
      <c r="B17010" t="s">
        <v>381</v>
      </c>
      <c r="C17010" t="s">
        <v>382</v>
      </c>
      <c r="D17010">
        <v>6300</v>
      </c>
      <c r="E17010">
        <v>2021</v>
      </c>
      <c r="F17010">
        <v>5</v>
      </c>
      <c r="G17010">
        <v>16457</v>
      </c>
      <c r="H17010" s="1">
        <v>3</v>
      </c>
      <c r="I17010">
        <v>66</v>
      </c>
      <c r="J17010">
        <f>IF($H17010=0,1,IF($I17010&lt;=1,2,0))</f>
        <v>0</v>
      </c>
      <c r="K17010">
        <v>6</v>
      </c>
      <c r="L17010">
        <f>IF(AND($J17010=0,$K17010=0),0,1)</f>
        <v>1</v>
      </c>
      <c r="M17010" t="s">
        <v>2080</v>
      </c>
    </row>
    <row r="17011" spans="1:13" x14ac:dyDescent="0.2">
      <c r="A17011" t="s">
        <v>1242</v>
      </c>
      <c r="B17011" t="s">
        <v>381</v>
      </c>
      <c r="C17011" t="s">
        <v>382</v>
      </c>
      <c r="D17011">
        <v>6300</v>
      </c>
      <c r="E17011">
        <v>2021</v>
      </c>
      <c r="F17011">
        <v>3</v>
      </c>
      <c r="G17011">
        <v>16455</v>
      </c>
      <c r="H17011" s="1">
        <v>3</v>
      </c>
      <c r="I17011">
        <v>63</v>
      </c>
      <c r="J17011">
        <f>IF($H17011=0,1,IF($I17011&lt;=1,2,0))</f>
        <v>0</v>
      </c>
      <c r="K17011">
        <v>6</v>
      </c>
      <c r="L17011">
        <f>IF(AND($J17011=0,$K17011=0),0,1)</f>
        <v>1</v>
      </c>
      <c r="M17011" t="s">
        <v>2080</v>
      </c>
    </row>
    <row r="17012" spans="1:13" x14ac:dyDescent="0.2">
      <c r="A17012" t="s">
        <v>1242</v>
      </c>
      <c r="B17012" t="s">
        <v>381</v>
      </c>
      <c r="C17012" t="s">
        <v>382</v>
      </c>
      <c r="D17012">
        <v>6300</v>
      </c>
      <c r="E17012">
        <v>2021</v>
      </c>
      <c r="F17012">
        <v>1</v>
      </c>
      <c r="G17012">
        <v>16450</v>
      </c>
      <c r="H17012" s="1">
        <v>3</v>
      </c>
      <c r="I17012">
        <v>61</v>
      </c>
      <c r="J17012">
        <f>IF($H17012=0,1,IF($I17012&lt;=1,2,0))</f>
        <v>0</v>
      </c>
      <c r="K17012">
        <v>6</v>
      </c>
      <c r="L17012">
        <f>IF(AND($J17012=0,$K17012=0),0,1)</f>
        <v>1</v>
      </c>
      <c r="M17012" t="s">
        <v>2080</v>
      </c>
    </row>
    <row r="17013" spans="1:13" x14ac:dyDescent="0.2">
      <c r="A17013" t="s">
        <v>1242</v>
      </c>
      <c r="B17013" t="s">
        <v>381</v>
      </c>
      <c r="C17013" t="s">
        <v>382</v>
      </c>
      <c r="D17013">
        <v>6300</v>
      </c>
      <c r="E17013">
        <v>2021</v>
      </c>
      <c r="F17013">
        <v>2</v>
      </c>
      <c r="G17013">
        <v>16454</v>
      </c>
      <c r="H17013" s="1">
        <v>3</v>
      </c>
      <c r="I17013">
        <v>60</v>
      </c>
      <c r="J17013">
        <f>IF($H17013=0,1,IF($I17013&lt;=1,2,0))</f>
        <v>0</v>
      </c>
      <c r="K17013">
        <v>6</v>
      </c>
      <c r="L17013">
        <f>IF(AND($J17013=0,$K17013=0),0,1)</f>
        <v>1</v>
      </c>
      <c r="M17013" t="s">
        <v>2080</v>
      </c>
    </row>
    <row r="17014" spans="1:13" x14ac:dyDescent="0.2">
      <c r="A17014" t="s">
        <v>1242</v>
      </c>
      <c r="B17014" t="s">
        <v>381</v>
      </c>
      <c r="C17014" t="s">
        <v>382</v>
      </c>
      <c r="D17014">
        <v>6300</v>
      </c>
      <c r="E17014">
        <v>2021</v>
      </c>
      <c r="F17014">
        <v>4</v>
      </c>
      <c r="G17014">
        <v>16456</v>
      </c>
      <c r="H17014" s="1">
        <v>3</v>
      </c>
      <c r="I17014">
        <v>60</v>
      </c>
      <c r="J17014">
        <f>IF($H17014=0,1,IF($I17014&lt;=1,2,0))</f>
        <v>0</v>
      </c>
      <c r="K17014">
        <v>6</v>
      </c>
      <c r="L17014">
        <f>IF(AND($J17014=0,$K17014=0),0,1)</f>
        <v>1</v>
      </c>
      <c r="M17014" t="s">
        <v>2080</v>
      </c>
    </row>
    <row r="17015" spans="1:13" x14ac:dyDescent="0.2">
      <c r="A17015" t="s">
        <v>1242</v>
      </c>
      <c r="B17015" t="s">
        <v>381</v>
      </c>
      <c r="C17015" t="s">
        <v>382</v>
      </c>
      <c r="D17015">
        <v>6300</v>
      </c>
      <c r="E17015">
        <v>2021</v>
      </c>
      <c r="F17015" t="s">
        <v>60</v>
      </c>
      <c r="G17015">
        <v>18050</v>
      </c>
      <c r="H17015" s="1">
        <v>0</v>
      </c>
      <c r="I17015">
        <v>0</v>
      </c>
      <c r="J17015">
        <f>IF($H17015=0,1,IF($I17015&lt;=1,2,0))</f>
        <v>1</v>
      </c>
      <c r="K17015">
        <v>6</v>
      </c>
      <c r="L17015">
        <f>IF(AND($J17015=0,$K17015=0),0,1)</f>
        <v>1</v>
      </c>
      <c r="M17015" t="s">
        <v>384</v>
      </c>
    </row>
    <row r="17016" spans="1:13" x14ac:dyDescent="0.2">
      <c r="A17016" t="s">
        <v>1242</v>
      </c>
      <c r="B17016" t="s">
        <v>381</v>
      </c>
      <c r="C17016" t="s">
        <v>382</v>
      </c>
      <c r="D17016">
        <v>6300</v>
      </c>
      <c r="E17016">
        <v>2021</v>
      </c>
      <c r="F17016" t="s">
        <v>77</v>
      </c>
      <c r="G17016">
        <v>18054</v>
      </c>
      <c r="H17016" s="1">
        <v>0</v>
      </c>
      <c r="I17016">
        <v>0</v>
      </c>
      <c r="J17016">
        <f>IF($H17016=0,1,IF($I17016&lt;=1,2,0))</f>
        <v>1</v>
      </c>
      <c r="K17016">
        <v>6</v>
      </c>
      <c r="L17016">
        <f>IF(AND($J17016=0,$K17016=0),0,1)</f>
        <v>1</v>
      </c>
      <c r="M17016" t="s">
        <v>384</v>
      </c>
    </row>
    <row r="17017" spans="1:13" x14ac:dyDescent="0.2">
      <c r="A17017" t="s">
        <v>1242</v>
      </c>
      <c r="B17017" t="s">
        <v>381</v>
      </c>
      <c r="C17017" t="s">
        <v>382</v>
      </c>
      <c r="D17017">
        <v>6300</v>
      </c>
      <c r="E17017">
        <v>2021</v>
      </c>
      <c r="F17017" t="s">
        <v>78</v>
      </c>
      <c r="G17017">
        <v>18055</v>
      </c>
      <c r="H17017" s="1">
        <v>0</v>
      </c>
      <c r="I17017">
        <v>0</v>
      </c>
      <c r="J17017">
        <f>IF($H17017=0,1,IF($I17017&lt;=1,2,0))</f>
        <v>1</v>
      </c>
      <c r="K17017">
        <v>6</v>
      </c>
      <c r="L17017">
        <f>IF(AND($J17017=0,$K17017=0),0,1)</f>
        <v>1</v>
      </c>
      <c r="M17017" t="s">
        <v>384</v>
      </c>
    </row>
    <row r="17018" spans="1:13" x14ac:dyDescent="0.2">
      <c r="A17018" t="s">
        <v>1242</v>
      </c>
      <c r="B17018" t="s">
        <v>381</v>
      </c>
      <c r="C17018" t="s">
        <v>382</v>
      </c>
      <c r="D17018">
        <v>6300</v>
      </c>
      <c r="E17018">
        <v>2021</v>
      </c>
      <c r="F17018" t="s">
        <v>79</v>
      </c>
      <c r="G17018">
        <v>18056</v>
      </c>
      <c r="H17018" s="1">
        <v>0</v>
      </c>
      <c r="I17018">
        <v>0</v>
      </c>
      <c r="J17018">
        <f>IF($H17018=0,1,IF($I17018&lt;=1,2,0))</f>
        <v>1</v>
      </c>
      <c r="K17018">
        <v>6</v>
      </c>
      <c r="L17018">
        <f>IF(AND($J17018=0,$K17018=0),0,1)</f>
        <v>1</v>
      </c>
      <c r="M17018" t="s">
        <v>384</v>
      </c>
    </row>
    <row r="17019" spans="1:13" x14ac:dyDescent="0.2">
      <c r="A17019" t="s">
        <v>1242</v>
      </c>
      <c r="B17019" t="s">
        <v>381</v>
      </c>
      <c r="C17019" t="s">
        <v>382</v>
      </c>
      <c r="D17019">
        <v>6300</v>
      </c>
      <c r="E17019">
        <v>2021</v>
      </c>
      <c r="F17019" t="s">
        <v>59</v>
      </c>
      <c r="G17019">
        <v>18563</v>
      </c>
      <c r="H17019" s="1">
        <v>3</v>
      </c>
      <c r="I17019">
        <v>0</v>
      </c>
      <c r="J17019">
        <f>IF($H17019=0,1,IF($I17019&lt;=1,2,0))</f>
        <v>2</v>
      </c>
      <c r="K17019">
        <v>6</v>
      </c>
      <c r="L17019">
        <f>IF(AND($J17019=0,$K17019=0),0,1)</f>
        <v>1</v>
      </c>
      <c r="M17019" t="s">
        <v>384</v>
      </c>
    </row>
    <row r="17020" spans="1:13" x14ac:dyDescent="0.2">
      <c r="A17020" t="s">
        <v>1242</v>
      </c>
      <c r="B17020" t="s">
        <v>381</v>
      </c>
      <c r="C17020" t="s">
        <v>382</v>
      </c>
      <c r="D17020">
        <v>6310</v>
      </c>
      <c r="E17020">
        <v>2021</v>
      </c>
      <c r="F17020">
        <v>1</v>
      </c>
      <c r="G17020">
        <v>16458</v>
      </c>
      <c r="H17020" s="1">
        <v>3</v>
      </c>
      <c r="I17020">
        <v>44</v>
      </c>
      <c r="J17020">
        <f>IF($H17020=0,1,IF($I17020&lt;=1,2,0))</f>
        <v>0</v>
      </c>
      <c r="K17020">
        <v>6</v>
      </c>
      <c r="L17020">
        <f>IF(AND($J17020=0,$K17020=0),0,1)</f>
        <v>1</v>
      </c>
      <c r="M17020" t="s">
        <v>2080</v>
      </c>
    </row>
    <row r="17021" spans="1:13" x14ac:dyDescent="0.2">
      <c r="A17021" t="s">
        <v>1242</v>
      </c>
      <c r="B17021" t="s">
        <v>381</v>
      </c>
      <c r="C17021" t="s">
        <v>382</v>
      </c>
      <c r="D17021">
        <v>6310</v>
      </c>
      <c r="E17021">
        <v>2021</v>
      </c>
      <c r="F17021" t="s">
        <v>59</v>
      </c>
      <c r="G17021">
        <v>16696</v>
      </c>
      <c r="H17021" s="1">
        <v>0</v>
      </c>
      <c r="I17021">
        <v>0</v>
      </c>
      <c r="J17021">
        <f>IF($H17021=0,1,IF($I17021&lt;=1,2,0))</f>
        <v>1</v>
      </c>
      <c r="K17021">
        <v>6</v>
      </c>
      <c r="L17021">
        <f>IF(AND($J17021=0,$K17021=0),0,1)</f>
        <v>1</v>
      </c>
      <c r="M17021" t="s">
        <v>384</v>
      </c>
    </row>
    <row r="17022" spans="1:13" x14ac:dyDescent="0.2">
      <c r="A17022" t="s">
        <v>1242</v>
      </c>
      <c r="B17022" t="s">
        <v>381</v>
      </c>
      <c r="C17022" t="s">
        <v>382</v>
      </c>
      <c r="D17022">
        <v>6320</v>
      </c>
      <c r="E17022">
        <v>2021</v>
      </c>
      <c r="F17022">
        <v>1</v>
      </c>
      <c r="G17022">
        <v>16459</v>
      </c>
      <c r="H17022" s="1">
        <v>3</v>
      </c>
      <c r="I17022">
        <v>40</v>
      </c>
      <c r="J17022">
        <f>IF($H17022=0,1,IF($I17022&lt;=1,2,0))</f>
        <v>0</v>
      </c>
      <c r="K17022">
        <v>6</v>
      </c>
      <c r="L17022">
        <f>IF(AND($J17022=0,$K17022=0),0,1)</f>
        <v>1</v>
      </c>
      <c r="M17022" t="s">
        <v>2080</v>
      </c>
    </row>
    <row r="17023" spans="1:13" x14ac:dyDescent="0.2">
      <c r="A17023" t="s">
        <v>1242</v>
      </c>
      <c r="B17023" t="s">
        <v>381</v>
      </c>
      <c r="C17023" t="s">
        <v>382</v>
      </c>
      <c r="D17023">
        <v>6320</v>
      </c>
      <c r="E17023">
        <v>2021</v>
      </c>
      <c r="F17023" t="s">
        <v>59</v>
      </c>
      <c r="G17023">
        <v>16697</v>
      </c>
      <c r="H17023" s="1">
        <v>0</v>
      </c>
      <c r="I17023">
        <v>0</v>
      </c>
      <c r="J17023">
        <f>IF($H17023=0,1,IF($I17023&lt;=1,2,0))</f>
        <v>1</v>
      </c>
      <c r="K17023">
        <v>6</v>
      </c>
      <c r="L17023">
        <f>IF(AND($J17023=0,$K17023=0),0,1)</f>
        <v>1</v>
      </c>
      <c r="M17023" t="s">
        <v>384</v>
      </c>
    </row>
    <row r="17024" spans="1:13" x14ac:dyDescent="0.2">
      <c r="A17024" t="s">
        <v>1242</v>
      </c>
      <c r="B17024" t="s">
        <v>381</v>
      </c>
      <c r="C17024" t="s">
        <v>382</v>
      </c>
      <c r="D17024">
        <v>6400</v>
      </c>
      <c r="E17024">
        <v>2021</v>
      </c>
      <c r="F17024">
        <v>5</v>
      </c>
      <c r="G17024">
        <v>16468</v>
      </c>
      <c r="H17024" s="1">
        <v>3</v>
      </c>
      <c r="I17024">
        <v>64</v>
      </c>
      <c r="J17024">
        <f>IF($H17024=0,1,IF($I17024&lt;=1,2,0))</f>
        <v>0</v>
      </c>
      <c r="K17024">
        <v>6</v>
      </c>
      <c r="L17024">
        <f>IF(AND($J17024=0,$K17024=0),0,1)</f>
        <v>1</v>
      </c>
      <c r="M17024" t="s">
        <v>2080</v>
      </c>
    </row>
    <row r="17025" spans="1:13" x14ac:dyDescent="0.2">
      <c r="A17025" t="s">
        <v>1242</v>
      </c>
      <c r="B17025" t="s">
        <v>381</v>
      </c>
      <c r="C17025" t="s">
        <v>382</v>
      </c>
      <c r="D17025">
        <v>6400</v>
      </c>
      <c r="E17025">
        <v>2021</v>
      </c>
      <c r="F17025">
        <v>2</v>
      </c>
      <c r="G17025">
        <v>16463</v>
      </c>
      <c r="H17025" s="1">
        <v>3</v>
      </c>
      <c r="I17025">
        <v>59</v>
      </c>
      <c r="J17025">
        <f>IF($H17025=0,1,IF($I17025&lt;=1,2,0))</f>
        <v>0</v>
      </c>
      <c r="K17025">
        <v>6</v>
      </c>
      <c r="L17025">
        <f>IF(AND($J17025=0,$K17025=0),0,1)</f>
        <v>1</v>
      </c>
      <c r="M17025" t="s">
        <v>2080</v>
      </c>
    </row>
    <row r="17026" spans="1:13" x14ac:dyDescent="0.2">
      <c r="A17026" t="s">
        <v>1242</v>
      </c>
      <c r="B17026" t="s">
        <v>381</v>
      </c>
      <c r="C17026" t="s">
        <v>382</v>
      </c>
      <c r="D17026">
        <v>6400</v>
      </c>
      <c r="E17026">
        <v>2021</v>
      </c>
      <c r="F17026">
        <v>3</v>
      </c>
      <c r="G17026">
        <v>16464</v>
      </c>
      <c r="H17026" s="1">
        <v>3</v>
      </c>
      <c r="I17026">
        <v>58</v>
      </c>
      <c r="J17026">
        <f>IF($H17026=0,1,IF($I17026&lt;=1,2,0))</f>
        <v>0</v>
      </c>
      <c r="K17026">
        <v>6</v>
      </c>
      <c r="L17026">
        <f>IF(AND($J17026=0,$K17026=0),0,1)</f>
        <v>1</v>
      </c>
      <c r="M17026" t="s">
        <v>2080</v>
      </c>
    </row>
    <row r="17027" spans="1:13" x14ac:dyDescent="0.2">
      <c r="A17027" t="s">
        <v>1242</v>
      </c>
      <c r="B17027" t="s">
        <v>381</v>
      </c>
      <c r="C17027" t="s">
        <v>382</v>
      </c>
      <c r="D17027">
        <v>6400</v>
      </c>
      <c r="E17027">
        <v>2021</v>
      </c>
      <c r="F17027">
        <v>4</v>
      </c>
      <c r="G17027">
        <v>16467</v>
      </c>
      <c r="H17027" s="1">
        <v>3</v>
      </c>
      <c r="I17027">
        <v>57</v>
      </c>
      <c r="J17027">
        <f>IF($H17027=0,1,IF($I17027&lt;=1,2,0))</f>
        <v>0</v>
      </c>
      <c r="K17027">
        <v>6</v>
      </c>
      <c r="L17027">
        <f>IF(AND($J17027=0,$K17027=0),0,1)</f>
        <v>1</v>
      </c>
      <c r="M17027" t="s">
        <v>2080</v>
      </c>
    </row>
    <row r="17028" spans="1:13" x14ac:dyDescent="0.2">
      <c r="A17028" t="s">
        <v>1242</v>
      </c>
      <c r="B17028" t="s">
        <v>381</v>
      </c>
      <c r="C17028" t="s">
        <v>382</v>
      </c>
      <c r="D17028">
        <v>6400</v>
      </c>
      <c r="E17028">
        <v>2021</v>
      </c>
      <c r="F17028">
        <v>1</v>
      </c>
      <c r="G17028">
        <v>16462</v>
      </c>
      <c r="H17028" s="1">
        <v>3</v>
      </c>
      <c r="I17028">
        <v>55</v>
      </c>
      <c r="J17028">
        <f>IF($H17028=0,1,IF($I17028&lt;=1,2,0))</f>
        <v>0</v>
      </c>
      <c r="K17028">
        <v>6</v>
      </c>
      <c r="L17028">
        <f>IF(AND($J17028=0,$K17028=0),0,1)</f>
        <v>1</v>
      </c>
      <c r="M17028" t="s">
        <v>2080</v>
      </c>
    </row>
    <row r="17029" spans="1:13" x14ac:dyDescent="0.2">
      <c r="A17029" t="s">
        <v>1242</v>
      </c>
      <c r="B17029" t="s">
        <v>381</v>
      </c>
      <c r="C17029" t="s">
        <v>382</v>
      </c>
      <c r="D17029">
        <v>6400</v>
      </c>
      <c r="E17029">
        <v>2021</v>
      </c>
      <c r="F17029" t="s">
        <v>59</v>
      </c>
      <c r="G17029">
        <v>20281</v>
      </c>
      <c r="H17029" s="1">
        <v>0</v>
      </c>
      <c r="I17029">
        <v>0</v>
      </c>
      <c r="J17029">
        <f>IF($H17029=0,1,IF($I17029&lt;=1,2,0))</f>
        <v>1</v>
      </c>
      <c r="K17029">
        <v>6</v>
      </c>
      <c r="L17029">
        <f>IF(AND($J17029=0,$K17029=0),0,1)</f>
        <v>1</v>
      </c>
      <c r="M17029" t="s">
        <v>384</v>
      </c>
    </row>
    <row r="17030" spans="1:13" x14ac:dyDescent="0.2">
      <c r="A17030" t="s">
        <v>1242</v>
      </c>
      <c r="B17030" t="s">
        <v>381</v>
      </c>
      <c r="C17030" t="s">
        <v>382</v>
      </c>
      <c r="D17030">
        <v>6400</v>
      </c>
      <c r="E17030">
        <v>2021</v>
      </c>
      <c r="F17030" t="s">
        <v>60</v>
      </c>
      <c r="G17030">
        <v>18057</v>
      </c>
      <c r="H17030" s="1">
        <v>0</v>
      </c>
      <c r="I17030">
        <v>0</v>
      </c>
      <c r="J17030">
        <f>IF($H17030=0,1,IF($I17030&lt;=1,2,0))</f>
        <v>1</v>
      </c>
      <c r="K17030">
        <v>6</v>
      </c>
      <c r="L17030">
        <f>IF(AND($J17030=0,$K17030=0),0,1)</f>
        <v>1</v>
      </c>
      <c r="M17030" t="s">
        <v>384</v>
      </c>
    </row>
    <row r="17031" spans="1:13" x14ac:dyDescent="0.2">
      <c r="A17031" t="s">
        <v>1242</v>
      </c>
      <c r="B17031" t="s">
        <v>381</v>
      </c>
      <c r="C17031" t="s">
        <v>382</v>
      </c>
      <c r="D17031">
        <v>6500</v>
      </c>
      <c r="E17031">
        <v>2021</v>
      </c>
      <c r="F17031">
        <v>3</v>
      </c>
      <c r="G17031">
        <v>16688</v>
      </c>
      <c r="H17031" s="1">
        <v>3</v>
      </c>
      <c r="I17031">
        <v>66</v>
      </c>
      <c r="J17031">
        <f>IF($H17031=0,1,IF($I17031&lt;=1,2,0))</f>
        <v>0</v>
      </c>
      <c r="K17031">
        <v>6</v>
      </c>
      <c r="L17031">
        <f>IF(AND($J17031=0,$K17031=0),0,1)</f>
        <v>1</v>
      </c>
      <c r="M17031" t="s">
        <v>2080</v>
      </c>
    </row>
    <row r="17032" spans="1:13" x14ac:dyDescent="0.2">
      <c r="A17032" t="s">
        <v>1242</v>
      </c>
      <c r="B17032" t="s">
        <v>381</v>
      </c>
      <c r="C17032" t="s">
        <v>382</v>
      </c>
      <c r="D17032">
        <v>6500</v>
      </c>
      <c r="E17032">
        <v>2021</v>
      </c>
      <c r="F17032">
        <v>5</v>
      </c>
      <c r="G17032">
        <v>16690</v>
      </c>
      <c r="H17032" s="1">
        <v>3</v>
      </c>
      <c r="I17032">
        <v>65</v>
      </c>
      <c r="J17032">
        <f>IF($H17032=0,1,IF($I17032&lt;=1,2,0))</f>
        <v>0</v>
      </c>
      <c r="K17032">
        <v>6</v>
      </c>
      <c r="L17032">
        <f>IF(AND($J17032=0,$K17032=0),0,1)</f>
        <v>1</v>
      </c>
      <c r="M17032" t="s">
        <v>2080</v>
      </c>
    </row>
    <row r="17033" spans="1:13" x14ac:dyDescent="0.2">
      <c r="A17033" t="s">
        <v>1242</v>
      </c>
      <c r="B17033" t="s">
        <v>381</v>
      </c>
      <c r="C17033" t="s">
        <v>382</v>
      </c>
      <c r="D17033">
        <v>6500</v>
      </c>
      <c r="E17033">
        <v>2021</v>
      </c>
      <c r="F17033">
        <v>6</v>
      </c>
      <c r="G17033">
        <v>16691</v>
      </c>
      <c r="H17033" s="1">
        <v>3</v>
      </c>
      <c r="I17033">
        <v>65</v>
      </c>
      <c r="J17033">
        <f>IF($H17033=0,1,IF($I17033&lt;=1,2,0))</f>
        <v>0</v>
      </c>
      <c r="K17033">
        <v>6</v>
      </c>
      <c r="L17033">
        <f>IF(AND($J17033=0,$K17033=0),0,1)</f>
        <v>1</v>
      </c>
      <c r="M17033" t="s">
        <v>2080</v>
      </c>
    </row>
    <row r="17034" spans="1:13" x14ac:dyDescent="0.2">
      <c r="A17034" t="s">
        <v>1242</v>
      </c>
      <c r="B17034" t="s">
        <v>381</v>
      </c>
      <c r="C17034" t="s">
        <v>382</v>
      </c>
      <c r="D17034">
        <v>6500</v>
      </c>
      <c r="E17034">
        <v>2021</v>
      </c>
      <c r="F17034">
        <v>1</v>
      </c>
      <c r="G17034">
        <v>16686</v>
      </c>
      <c r="H17034" s="1">
        <v>3</v>
      </c>
      <c r="I17034">
        <v>63</v>
      </c>
      <c r="J17034">
        <f>IF($H17034=0,1,IF($I17034&lt;=1,2,0))</f>
        <v>0</v>
      </c>
      <c r="K17034">
        <v>6</v>
      </c>
      <c r="L17034">
        <f>IF(AND($J17034=0,$K17034=0),0,1)</f>
        <v>1</v>
      </c>
      <c r="M17034" t="s">
        <v>2080</v>
      </c>
    </row>
    <row r="17035" spans="1:13" x14ac:dyDescent="0.2">
      <c r="A17035" t="s">
        <v>1242</v>
      </c>
      <c r="B17035" t="s">
        <v>381</v>
      </c>
      <c r="C17035" t="s">
        <v>382</v>
      </c>
      <c r="D17035">
        <v>6500</v>
      </c>
      <c r="E17035">
        <v>2021</v>
      </c>
      <c r="F17035">
        <v>2</v>
      </c>
      <c r="G17035">
        <v>16687</v>
      </c>
      <c r="H17035" s="1">
        <v>3</v>
      </c>
      <c r="I17035">
        <v>61</v>
      </c>
      <c r="J17035">
        <f>IF($H17035=0,1,IF($I17035&lt;=1,2,0))</f>
        <v>0</v>
      </c>
      <c r="K17035">
        <v>6</v>
      </c>
      <c r="L17035">
        <f>IF(AND($J17035=0,$K17035=0),0,1)</f>
        <v>1</v>
      </c>
      <c r="M17035" t="s">
        <v>2080</v>
      </c>
    </row>
    <row r="17036" spans="1:13" x14ac:dyDescent="0.2">
      <c r="A17036" t="s">
        <v>1242</v>
      </c>
      <c r="B17036" t="s">
        <v>381</v>
      </c>
      <c r="C17036" t="s">
        <v>382</v>
      </c>
      <c r="D17036">
        <v>6500</v>
      </c>
      <c r="E17036">
        <v>2021</v>
      </c>
      <c r="F17036">
        <v>4</v>
      </c>
      <c r="G17036">
        <v>16689</v>
      </c>
      <c r="H17036" s="1">
        <v>3</v>
      </c>
      <c r="I17036">
        <v>58</v>
      </c>
      <c r="J17036">
        <f>IF($H17036=0,1,IF($I17036&lt;=1,2,0))</f>
        <v>0</v>
      </c>
      <c r="K17036">
        <v>6</v>
      </c>
      <c r="L17036">
        <f>IF(AND($J17036=0,$K17036=0),0,1)</f>
        <v>1</v>
      </c>
      <c r="M17036" t="s">
        <v>2080</v>
      </c>
    </row>
    <row r="17037" spans="1:13" x14ac:dyDescent="0.2">
      <c r="A17037" t="s">
        <v>1242</v>
      </c>
      <c r="B17037" t="s">
        <v>381</v>
      </c>
      <c r="C17037" t="s">
        <v>382</v>
      </c>
      <c r="D17037">
        <v>6500</v>
      </c>
      <c r="E17037">
        <v>2021</v>
      </c>
      <c r="F17037" t="s">
        <v>59</v>
      </c>
      <c r="G17037">
        <v>16879</v>
      </c>
      <c r="H17037" s="1">
        <v>0</v>
      </c>
      <c r="I17037">
        <v>0</v>
      </c>
      <c r="J17037">
        <f>IF($H17037=0,1,IF($I17037&lt;=1,2,0))</f>
        <v>1</v>
      </c>
      <c r="K17037">
        <v>6</v>
      </c>
      <c r="L17037">
        <f>IF(AND($J17037=0,$K17037=0),0,1)</f>
        <v>1</v>
      </c>
      <c r="M17037" t="s">
        <v>384</v>
      </c>
    </row>
    <row r="17038" spans="1:13" x14ac:dyDescent="0.2">
      <c r="A17038" t="s">
        <v>1242</v>
      </c>
      <c r="B17038" t="s">
        <v>381</v>
      </c>
      <c r="C17038" t="s">
        <v>382</v>
      </c>
      <c r="D17038">
        <v>6500</v>
      </c>
      <c r="E17038">
        <v>2021</v>
      </c>
      <c r="F17038" t="s">
        <v>60</v>
      </c>
      <c r="G17038">
        <v>16880</v>
      </c>
      <c r="H17038" s="1">
        <v>0</v>
      </c>
      <c r="I17038">
        <v>0</v>
      </c>
      <c r="J17038">
        <f>IF($H17038=0,1,IF($I17038&lt;=1,2,0))</f>
        <v>1</v>
      </c>
      <c r="K17038">
        <v>6</v>
      </c>
      <c r="L17038">
        <f>IF(AND($J17038=0,$K17038=0),0,1)</f>
        <v>1</v>
      </c>
      <c r="M17038" t="s">
        <v>384</v>
      </c>
    </row>
    <row r="17039" spans="1:13" x14ac:dyDescent="0.2">
      <c r="A17039" t="s">
        <v>1242</v>
      </c>
      <c r="B17039" t="s">
        <v>381</v>
      </c>
      <c r="C17039" t="s">
        <v>382</v>
      </c>
      <c r="D17039">
        <v>6500</v>
      </c>
      <c r="E17039">
        <v>2021</v>
      </c>
      <c r="F17039" t="s">
        <v>77</v>
      </c>
      <c r="G17039">
        <v>16881</v>
      </c>
      <c r="H17039" s="1">
        <v>0</v>
      </c>
      <c r="I17039">
        <v>0</v>
      </c>
      <c r="J17039">
        <f>IF($H17039=0,1,IF($I17039&lt;=1,2,0))</f>
        <v>1</v>
      </c>
      <c r="K17039">
        <v>6</v>
      </c>
      <c r="L17039">
        <f>IF(AND($J17039=0,$K17039=0),0,1)</f>
        <v>1</v>
      </c>
      <c r="M17039" t="s">
        <v>384</v>
      </c>
    </row>
    <row r="17040" spans="1:13" x14ac:dyDescent="0.2">
      <c r="A17040" t="s">
        <v>1242</v>
      </c>
      <c r="B17040" t="s">
        <v>381</v>
      </c>
      <c r="C17040" t="s">
        <v>382</v>
      </c>
      <c r="D17040">
        <v>6500</v>
      </c>
      <c r="E17040">
        <v>2021</v>
      </c>
      <c r="F17040" t="s">
        <v>78</v>
      </c>
      <c r="G17040">
        <v>16882</v>
      </c>
      <c r="H17040" s="1">
        <v>0</v>
      </c>
      <c r="I17040">
        <v>0</v>
      </c>
      <c r="J17040">
        <f>IF($H17040=0,1,IF($I17040&lt;=1,2,0))</f>
        <v>1</v>
      </c>
      <c r="K17040">
        <v>6</v>
      </c>
      <c r="L17040">
        <f>IF(AND($J17040=0,$K17040=0),0,1)</f>
        <v>1</v>
      </c>
      <c r="M17040" t="s">
        <v>384</v>
      </c>
    </row>
    <row r="17041" spans="1:13" x14ac:dyDescent="0.2">
      <c r="A17041" t="s">
        <v>1242</v>
      </c>
      <c r="B17041" t="s">
        <v>381</v>
      </c>
      <c r="C17041" t="s">
        <v>382</v>
      </c>
      <c r="D17041">
        <v>6500</v>
      </c>
      <c r="E17041">
        <v>2021</v>
      </c>
      <c r="F17041" t="s">
        <v>79</v>
      </c>
      <c r="G17041">
        <v>16883</v>
      </c>
      <c r="H17041" s="1">
        <v>0</v>
      </c>
      <c r="I17041">
        <v>0</v>
      </c>
      <c r="J17041">
        <f>IF($H17041=0,1,IF($I17041&lt;=1,2,0))</f>
        <v>1</v>
      </c>
      <c r="K17041">
        <v>6</v>
      </c>
      <c r="L17041">
        <f>IF(AND($J17041=0,$K17041=0),0,1)</f>
        <v>1</v>
      </c>
      <c r="M17041" t="s">
        <v>384</v>
      </c>
    </row>
    <row r="17042" spans="1:13" x14ac:dyDescent="0.2">
      <c r="A17042" t="s">
        <v>1242</v>
      </c>
      <c r="B17042" t="s">
        <v>381</v>
      </c>
      <c r="C17042" t="s">
        <v>382</v>
      </c>
      <c r="D17042">
        <v>6500</v>
      </c>
      <c r="E17042">
        <v>2021</v>
      </c>
      <c r="F17042" t="s">
        <v>80</v>
      </c>
      <c r="G17042">
        <v>16884</v>
      </c>
      <c r="H17042" s="1">
        <v>0</v>
      </c>
      <c r="I17042">
        <v>0</v>
      </c>
      <c r="J17042">
        <f>IF($H17042=0,1,IF($I17042&lt;=1,2,0))</f>
        <v>1</v>
      </c>
      <c r="K17042">
        <v>6</v>
      </c>
      <c r="L17042">
        <f>IF(AND($J17042=0,$K17042=0),0,1)</f>
        <v>1</v>
      </c>
      <c r="M17042" t="s">
        <v>384</v>
      </c>
    </row>
    <row r="17043" spans="1:13" x14ac:dyDescent="0.2">
      <c r="A17043" t="s">
        <v>1242</v>
      </c>
      <c r="B17043" t="s">
        <v>381</v>
      </c>
      <c r="C17043" t="s">
        <v>382</v>
      </c>
      <c r="D17043">
        <v>6501</v>
      </c>
      <c r="E17043">
        <v>2021</v>
      </c>
      <c r="F17043">
        <v>2</v>
      </c>
      <c r="G17043">
        <v>16693</v>
      </c>
      <c r="H17043" s="1">
        <v>3</v>
      </c>
      <c r="I17043">
        <v>50</v>
      </c>
      <c r="J17043">
        <f>IF($H17043=0,1,IF($I17043&lt;=1,2,0))</f>
        <v>0</v>
      </c>
      <c r="K17043">
        <v>6</v>
      </c>
      <c r="L17043">
        <f>IF(AND($J17043=0,$K17043=0),0,1)</f>
        <v>1</v>
      </c>
      <c r="M17043" t="s">
        <v>1775</v>
      </c>
    </row>
    <row r="17044" spans="1:13" x14ac:dyDescent="0.2">
      <c r="A17044" t="s">
        <v>1242</v>
      </c>
      <c r="B17044" t="s">
        <v>381</v>
      </c>
      <c r="C17044" t="s">
        <v>382</v>
      </c>
      <c r="D17044">
        <v>6501</v>
      </c>
      <c r="E17044">
        <v>2021</v>
      </c>
      <c r="F17044">
        <v>1</v>
      </c>
      <c r="G17044">
        <v>16692</v>
      </c>
      <c r="H17044" s="1">
        <v>3</v>
      </c>
      <c r="I17044">
        <v>48</v>
      </c>
      <c r="J17044">
        <f>IF($H17044=0,1,IF($I17044&lt;=1,2,0))</f>
        <v>0</v>
      </c>
      <c r="K17044">
        <v>6</v>
      </c>
      <c r="L17044">
        <f>IF(AND($J17044=0,$K17044=0),0,1)</f>
        <v>1</v>
      </c>
      <c r="M17044" t="s">
        <v>1775</v>
      </c>
    </row>
    <row r="17045" spans="1:13" x14ac:dyDescent="0.2">
      <c r="A17045" t="s">
        <v>1242</v>
      </c>
      <c r="B17045" t="s">
        <v>381</v>
      </c>
      <c r="C17045" t="s">
        <v>382</v>
      </c>
      <c r="D17045">
        <v>6501</v>
      </c>
      <c r="E17045">
        <v>2021</v>
      </c>
      <c r="F17045" t="s">
        <v>59</v>
      </c>
      <c r="G17045">
        <v>16885</v>
      </c>
      <c r="H17045" s="1">
        <v>0</v>
      </c>
      <c r="I17045">
        <v>0</v>
      </c>
      <c r="J17045">
        <f>IF($H17045=0,1,IF($I17045&lt;=1,2,0))</f>
        <v>1</v>
      </c>
      <c r="K17045">
        <v>6</v>
      </c>
      <c r="L17045">
        <f>IF(AND($J17045=0,$K17045=0),0,1)</f>
        <v>1</v>
      </c>
      <c r="M17045" t="s">
        <v>384</v>
      </c>
    </row>
    <row r="17046" spans="1:13" x14ac:dyDescent="0.2">
      <c r="A17046" t="s">
        <v>1242</v>
      </c>
      <c r="B17046" t="s">
        <v>381</v>
      </c>
      <c r="C17046" t="s">
        <v>382</v>
      </c>
      <c r="D17046">
        <v>6501</v>
      </c>
      <c r="E17046">
        <v>2021</v>
      </c>
      <c r="F17046" t="s">
        <v>60</v>
      </c>
      <c r="G17046">
        <v>16886</v>
      </c>
      <c r="H17046" s="1">
        <v>0</v>
      </c>
      <c r="I17046">
        <v>0</v>
      </c>
      <c r="J17046">
        <f>IF($H17046=0,1,IF($I17046&lt;=1,2,0))</f>
        <v>1</v>
      </c>
      <c r="K17046">
        <v>6</v>
      </c>
      <c r="L17046">
        <f>IF(AND($J17046=0,$K17046=0),0,1)</f>
        <v>1</v>
      </c>
      <c r="M17046" t="s">
        <v>384</v>
      </c>
    </row>
    <row r="17047" spans="1:13" x14ac:dyDescent="0.2">
      <c r="A17047" t="s">
        <v>1242</v>
      </c>
      <c r="B17047" t="s">
        <v>381</v>
      </c>
      <c r="C17047" t="s">
        <v>382</v>
      </c>
      <c r="D17047">
        <v>9000</v>
      </c>
      <c r="E17047">
        <v>2021</v>
      </c>
      <c r="F17047">
        <v>4</v>
      </c>
      <c r="G17047">
        <v>14056</v>
      </c>
      <c r="H17047" s="1">
        <v>3</v>
      </c>
      <c r="I17047">
        <v>6</v>
      </c>
      <c r="J17047">
        <f>IF($H17047=0,1,IF($I17047&lt;=1,2,0))</f>
        <v>0</v>
      </c>
      <c r="K17047">
        <v>5</v>
      </c>
      <c r="L17047">
        <f>IF(AND($J17047=0,$K17047=0),0,1)</f>
        <v>1</v>
      </c>
      <c r="M17047" t="s">
        <v>1260</v>
      </c>
    </row>
    <row r="17048" spans="1:13" x14ac:dyDescent="0.2">
      <c r="A17048" t="s">
        <v>1242</v>
      </c>
      <c r="B17048" t="s">
        <v>381</v>
      </c>
      <c r="C17048" t="s">
        <v>382</v>
      </c>
      <c r="D17048">
        <v>9000</v>
      </c>
      <c r="E17048">
        <v>2021</v>
      </c>
      <c r="F17048">
        <v>5</v>
      </c>
      <c r="G17048">
        <v>14057</v>
      </c>
      <c r="H17048" s="1">
        <v>3</v>
      </c>
      <c r="I17048">
        <v>6</v>
      </c>
      <c r="J17048">
        <f>IF($H17048=0,1,IF($I17048&lt;=1,2,0))</f>
        <v>0</v>
      </c>
      <c r="K17048">
        <v>5</v>
      </c>
      <c r="L17048">
        <f>IF(AND($J17048=0,$K17048=0),0,1)</f>
        <v>1</v>
      </c>
      <c r="M17048" t="s">
        <v>1260</v>
      </c>
    </row>
    <row r="17049" spans="1:13" x14ac:dyDescent="0.2">
      <c r="A17049" t="s">
        <v>1242</v>
      </c>
      <c r="B17049" t="s">
        <v>381</v>
      </c>
      <c r="C17049" t="s">
        <v>382</v>
      </c>
      <c r="D17049">
        <v>9000</v>
      </c>
      <c r="E17049">
        <v>2021</v>
      </c>
      <c r="F17049">
        <v>1</v>
      </c>
      <c r="G17049">
        <v>14053</v>
      </c>
      <c r="H17049" s="1">
        <v>3</v>
      </c>
      <c r="I17049">
        <v>5</v>
      </c>
      <c r="J17049">
        <f>IF($H17049=0,1,IF($I17049&lt;=1,2,0))</f>
        <v>0</v>
      </c>
      <c r="K17049">
        <v>5</v>
      </c>
      <c r="L17049">
        <f>IF(AND($J17049=0,$K17049=0),0,1)</f>
        <v>1</v>
      </c>
      <c r="M17049" t="s">
        <v>1260</v>
      </c>
    </row>
    <row r="17050" spans="1:13" x14ac:dyDescent="0.2">
      <c r="A17050" t="s">
        <v>1242</v>
      </c>
      <c r="B17050" t="s">
        <v>381</v>
      </c>
      <c r="C17050" t="s">
        <v>382</v>
      </c>
      <c r="D17050">
        <v>9000</v>
      </c>
      <c r="E17050">
        <v>2021</v>
      </c>
      <c r="F17050">
        <v>2</v>
      </c>
      <c r="G17050">
        <v>14054</v>
      </c>
      <c r="H17050" s="1">
        <v>3</v>
      </c>
      <c r="I17050">
        <v>5</v>
      </c>
      <c r="J17050">
        <f>IF($H17050=0,1,IF($I17050&lt;=1,2,0))</f>
        <v>0</v>
      </c>
      <c r="K17050">
        <v>5</v>
      </c>
      <c r="L17050">
        <f>IF(AND($J17050=0,$K17050=0),0,1)</f>
        <v>1</v>
      </c>
      <c r="M17050" t="s">
        <v>1260</v>
      </c>
    </row>
    <row r="17051" spans="1:13" x14ac:dyDescent="0.2">
      <c r="A17051" t="s">
        <v>1242</v>
      </c>
      <c r="B17051" t="s">
        <v>381</v>
      </c>
      <c r="C17051" t="s">
        <v>382</v>
      </c>
      <c r="D17051">
        <v>9000</v>
      </c>
      <c r="E17051">
        <v>2021</v>
      </c>
      <c r="F17051">
        <v>3</v>
      </c>
      <c r="G17051">
        <v>14055</v>
      </c>
      <c r="H17051" s="1">
        <v>3</v>
      </c>
      <c r="I17051">
        <v>4</v>
      </c>
      <c r="J17051">
        <f>IF($H17051=0,1,IF($I17051&lt;=1,2,0))</f>
        <v>0</v>
      </c>
      <c r="K17051">
        <v>5</v>
      </c>
      <c r="L17051">
        <f>IF(AND($J17051=0,$K17051=0),0,1)</f>
        <v>1</v>
      </c>
      <c r="M17051" t="s">
        <v>1260</v>
      </c>
    </row>
    <row r="17052" spans="1:13" x14ac:dyDescent="0.2">
      <c r="A17052" t="s">
        <v>1242</v>
      </c>
      <c r="B17052" t="s">
        <v>381</v>
      </c>
      <c r="C17052" t="s">
        <v>382</v>
      </c>
      <c r="D17052">
        <v>9000</v>
      </c>
      <c r="E17052">
        <v>2021</v>
      </c>
      <c r="F17052">
        <v>6</v>
      </c>
      <c r="G17052">
        <v>14058</v>
      </c>
      <c r="H17052" s="1">
        <v>3</v>
      </c>
      <c r="I17052">
        <v>0</v>
      </c>
      <c r="J17052">
        <f>IF($H17052=0,1,IF($I17052&lt;=1,2,0))</f>
        <v>2</v>
      </c>
      <c r="K17052">
        <v>5</v>
      </c>
      <c r="L17052">
        <f>IF(AND($J17052=0,$K17052=0),0,1)</f>
        <v>1</v>
      </c>
      <c r="M17052" t="s">
        <v>1260</v>
      </c>
    </row>
    <row r="17053" spans="1:13" x14ac:dyDescent="0.2">
      <c r="A17053" t="s">
        <v>1242</v>
      </c>
      <c r="B17053" t="s">
        <v>381</v>
      </c>
      <c r="C17053" t="s">
        <v>382</v>
      </c>
      <c r="D17053">
        <v>9013</v>
      </c>
      <c r="E17053">
        <v>2021</v>
      </c>
      <c r="F17053">
        <v>2</v>
      </c>
      <c r="G17053">
        <v>10895</v>
      </c>
      <c r="H17053" s="1">
        <v>3</v>
      </c>
      <c r="I17053">
        <v>75</v>
      </c>
      <c r="J17053">
        <f>IF($H17053=0,1,IF($I17053&lt;=1,2,0))</f>
        <v>0</v>
      </c>
      <c r="K17053">
        <v>5</v>
      </c>
      <c r="L17053">
        <f>IF(AND($J17053=0,$K17053=0),0,1)</f>
        <v>1</v>
      </c>
      <c r="M17053" t="s">
        <v>1261</v>
      </c>
    </row>
    <row r="17054" spans="1:13" x14ac:dyDescent="0.2">
      <c r="A17054" t="s">
        <v>1242</v>
      </c>
      <c r="B17054" t="s">
        <v>381</v>
      </c>
      <c r="C17054" t="s">
        <v>382</v>
      </c>
      <c r="D17054">
        <v>9013</v>
      </c>
      <c r="E17054">
        <v>2021</v>
      </c>
      <c r="F17054">
        <v>1</v>
      </c>
      <c r="G17054">
        <v>10894</v>
      </c>
      <c r="H17054" s="1">
        <v>1.5</v>
      </c>
      <c r="I17054">
        <v>41</v>
      </c>
      <c r="J17054">
        <f>IF($H17054=0,1,IF($I17054&lt;=1,2,0))</f>
        <v>0</v>
      </c>
      <c r="K17054">
        <v>5</v>
      </c>
      <c r="L17054">
        <f>IF(AND($J17054=0,$K17054=0),0,1)</f>
        <v>1</v>
      </c>
    </row>
    <row r="17055" spans="1:13" x14ac:dyDescent="0.2">
      <c r="A17055" t="s">
        <v>1242</v>
      </c>
      <c r="B17055" t="s">
        <v>381</v>
      </c>
      <c r="C17055" t="s">
        <v>382</v>
      </c>
      <c r="D17055">
        <v>9013</v>
      </c>
      <c r="E17055">
        <v>2021</v>
      </c>
      <c r="F17055">
        <v>3</v>
      </c>
      <c r="G17055">
        <v>10896</v>
      </c>
      <c r="H17055" s="1">
        <v>0</v>
      </c>
      <c r="I17055">
        <v>40</v>
      </c>
      <c r="J17055">
        <f>IF($H17055=0,1,IF($I17055&lt;=1,2,0))</f>
        <v>1</v>
      </c>
      <c r="K17055">
        <v>5</v>
      </c>
      <c r="L17055">
        <f>IF(AND($J17055=0,$K17055=0),0,1)</f>
        <v>1</v>
      </c>
      <c r="M17055" t="s">
        <v>1262</v>
      </c>
    </row>
    <row r="17056" spans="1:13" x14ac:dyDescent="0.2">
      <c r="A17056" t="s">
        <v>1242</v>
      </c>
      <c r="B17056" t="s">
        <v>381</v>
      </c>
      <c r="C17056" t="s">
        <v>382</v>
      </c>
      <c r="D17056">
        <v>9044</v>
      </c>
      <c r="E17056">
        <v>2021</v>
      </c>
      <c r="F17056">
        <v>1</v>
      </c>
      <c r="G17056">
        <v>20726</v>
      </c>
      <c r="H17056" s="1" t="s">
        <v>1443</v>
      </c>
      <c r="I17056">
        <v>1</v>
      </c>
      <c r="J17056">
        <f>IF($H17056=0,1,IF($I17056&lt;=1,2,0))</f>
        <v>2</v>
      </c>
      <c r="K17056">
        <v>5</v>
      </c>
      <c r="L17056">
        <f>IF(AND($J17056=0,$K17056=0),0,1)</f>
        <v>1</v>
      </c>
    </row>
    <row r="17057" spans="1:13" x14ac:dyDescent="0.2">
      <c r="A17057" t="s">
        <v>667</v>
      </c>
      <c r="B17057" t="s">
        <v>6</v>
      </c>
      <c r="C17057" t="s">
        <v>11</v>
      </c>
      <c r="D17057">
        <v>8020</v>
      </c>
      <c r="E17057">
        <v>2021</v>
      </c>
      <c r="F17057">
        <v>1</v>
      </c>
      <c r="G17057">
        <v>17663</v>
      </c>
      <c r="H17057" s="1" t="s">
        <v>1832</v>
      </c>
      <c r="I17057">
        <v>0</v>
      </c>
      <c r="J17057">
        <f>IF($H17057=0,1,IF($I17057&lt;=1,2,0))</f>
        <v>2</v>
      </c>
      <c r="K17057">
        <v>0</v>
      </c>
      <c r="L17057">
        <f>IF(AND($J17057=0,$K17057=0),0,1)</f>
        <v>1</v>
      </c>
    </row>
    <row r="17058" spans="1:13" x14ac:dyDescent="0.2">
      <c r="A17058" t="s">
        <v>669</v>
      </c>
      <c r="B17058" t="s">
        <v>386</v>
      </c>
      <c r="C17058" t="s">
        <v>407</v>
      </c>
      <c r="D17058">
        <v>5800</v>
      </c>
      <c r="E17058">
        <v>2021</v>
      </c>
      <c r="F17058">
        <v>1</v>
      </c>
      <c r="G17058">
        <v>13170</v>
      </c>
      <c r="H17058" s="1">
        <v>0</v>
      </c>
      <c r="I17058">
        <v>3</v>
      </c>
      <c r="J17058">
        <f>IF($H17058=0,1,IF($I17058&lt;=1,2,0))</f>
        <v>1</v>
      </c>
      <c r="K17058">
        <v>0</v>
      </c>
      <c r="L17058">
        <f>IF(AND($J17058=0,$K17058=0),0,1)</f>
        <v>1</v>
      </c>
    </row>
    <row r="17059" spans="1:13" x14ac:dyDescent="0.2">
      <c r="A17059" t="s">
        <v>669</v>
      </c>
      <c r="B17059" t="s">
        <v>386</v>
      </c>
      <c r="C17059" t="s">
        <v>407</v>
      </c>
      <c r="D17059">
        <v>5830</v>
      </c>
      <c r="E17059">
        <v>2021</v>
      </c>
      <c r="F17059">
        <v>1</v>
      </c>
      <c r="G17059">
        <v>13171</v>
      </c>
      <c r="H17059" s="1">
        <v>3</v>
      </c>
      <c r="I17059">
        <v>5</v>
      </c>
      <c r="J17059">
        <f>IF($H17059=0,1,IF($I17059&lt;=1,2,0))</f>
        <v>0</v>
      </c>
      <c r="K17059">
        <v>4</v>
      </c>
      <c r="L17059">
        <f>IF(AND($J17059=0,$K17059=0),0,1)</f>
        <v>1</v>
      </c>
      <c r="M17059" t="s">
        <v>1263</v>
      </c>
    </row>
    <row r="17060" spans="1:13" x14ac:dyDescent="0.2">
      <c r="A17060" t="s">
        <v>669</v>
      </c>
      <c r="B17060" t="s">
        <v>386</v>
      </c>
      <c r="C17060" t="s">
        <v>407</v>
      </c>
      <c r="D17060">
        <v>5840</v>
      </c>
      <c r="E17060">
        <v>2021</v>
      </c>
      <c r="F17060">
        <v>1</v>
      </c>
      <c r="G17060">
        <v>13172</v>
      </c>
      <c r="H17060" s="1">
        <v>3</v>
      </c>
      <c r="I17060">
        <v>3</v>
      </c>
      <c r="J17060">
        <f>IF($H17060=0,1,IF($I17060&lt;=1,2,0))</f>
        <v>0</v>
      </c>
      <c r="K17060">
        <v>4</v>
      </c>
      <c r="L17060">
        <f>IF(AND($J17060=0,$K17060=0),0,1)</f>
        <v>1</v>
      </c>
      <c r="M17060" t="s">
        <v>670</v>
      </c>
    </row>
    <row r="17061" spans="1:13" x14ac:dyDescent="0.2">
      <c r="A17061" t="s">
        <v>669</v>
      </c>
      <c r="B17061" t="s">
        <v>386</v>
      </c>
      <c r="C17061" t="s">
        <v>407</v>
      </c>
      <c r="D17061">
        <v>5850</v>
      </c>
      <c r="E17061">
        <v>2021</v>
      </c>
      <c r="F17061">
        <v>1</v>
      </c>
      <c r="G17061">
        <v>13173</v>
      </c>
      <c r="H17061" s="1">
        <v>3</v>
      </c>
      <c r="I17061">
        <v>3</v>
      </c>
      <c r="J17061">
        <f>IF($H17061=0,1,IF($I17061&lt;=1,2,0))</f>
        <v>0</v>
      </c>
      <c r="K17061">
        <v>4</v>
      </c>
      <c r="L17061">
        <f>IF(AND($J17061=0,$K17061=0),0,1)</f>
        <v>1</v>
      </c>
      <c r="M17061" t="s">
        <v>1264</v>
      </c>
    </row>
    <row r="17062" spans="1:13" x14ac:dyDescent="0.2">
      <c r="A17062" t="s">
        <v>669</v>
      </c>
      <c r="B17062" t="s">
        <v>386</v>
      </c>
      <c r="C17062" t="s">
        <v>407</v>
      </c>
      <c r="D17062">
        <v>5932</v>
      </c>
      <c r="E17062">
        <v>2021</v>
      </c>
      <c r="F17062">
        <v>2</v>
      </c>
      <c r="G17062">
        <v>13175</v>
      </c>
      <c r="H17062" s="1" t="s">
        <v>1828</v>
      </c>
      <c r="I17062">
        <v>1</v>
      </c>
      <c r="J17062">
        <f>IF($H17062=0,1,IF($I17062&lt;=1,2,0))</f>
        <v>2</v>
      </c>
      <c r="K17062">
        <v>0</v>
      </c>
      <c r="L17062">
        <f>IF(AND($J17062=0,$K17062=0),0,1)</f>
        <v>1</v>
      </c>
      <c r="M17062" t="s">
        <v>1265</v>
      </c>
    </row>
    <row r="17063" spans="1:13" x14ac:dyDescent="0.2">
      <c r="A17063" t="s">
        <v>669</v>
      </c>
      <c r="B17063" t="s">
        <v>386</v>
      </c>
      <c r="C17063" t="s">
        <v>407</v>
      </c>
      <c r="D17063">
        <v>5932</v>
      </c>
      <c r="E17063">
        <v>2021</v>
      </c>
      <c r="F17063">
        <v>1</v>
      </c>
      <c r="G17063">
        <v>13174</v>
      </c>
      <c r="H17063" s="1" t="s">
        <v>1828</v>
      </c>
      <c r="I17063">
        <v>0</v>
      </c>
      <c r="J17063">
        <f>IF($H17063=0,1,IF($I17063&lt;=1,2,0))</f>
        <v>2</v>
      </c>
      <c r="K17063">
        <v>0</v>
      </c>
      <c r="L17063">
        <f>IF(AND($J17063=0,$K17063=0),0,1)</f>
        <v>1</v>
      </c>
      <c r="M17063" t="s">
        <v>670</v>
      </c>
    </row>
    <row r="17064" spans="1:13" x14ac:dyDescent="0.2">
      <c r="A17064" t="s">
        <v>669</v>
      </c>
      <c r="B17064" t="s">
        <v>386</v>
      </c>
      <c r="C17064" t="s">
        <v>407</v>
      </c>
      <c r="D17064">
        <v>6812</v>
      </c>
      <c r="E17064">
        <v>2021</v>
      </c>
      <c r="F17064">
        <v>1</v>
      </c>
      <c r="G17064">
        <v>13176</v>
      </c>
      <c r="H17064" s="1">
        <v>0</v>
      </c>
      <c r="I17064">
        <v>3</v>
      </c>
      <c r="J17064">
        <f>IF($H17064=0,1,IF($I17064&lt;=1,2,0))</f>
        <v>1</v>
      </c>
      <c r="K17064">
        <v>0</v>
      </c>
      <c r="L17064">
        <f>IF(AND($J17064=0,$K17064=0),0,1)</f>
        <v>1</v>
      </c>
      <c r="M17064" t="s">
        <v>1264</v>
      </c>
    </row>
    <row r="17065" spans="1:13" x14ac:dyDescent="0.2">
      <c r="A17065" t="s">
        <v>669</v>
      </c>
      <c r="B17065" t="s">
        <v>386</v>
      </c>
      <c r="C17065" t="s">
        <v>407</v>
      </c>
      <c r="D17065">
        <v>6832</v>
      </c>
      <c r="E17065">
        <v>2021</v>
      </c>
      <c r="F17065">
        <v>1</v>
      </c>
      <c r="G17065">
        <v>13177</v>
      </c>
      <c r="H17065" s="1">
        <v>3</v>
      </c>
      <c r="I17065">
        <v>1</v>
      </c>
      <c r="J17065">
        <f>IF($H17065=0,1,IF($I17065&lt;=1,2,0))</f>
        <v>2</v>
      </c>
      <c r="K17065">
        <v>0</v>
      </c>
      <c r="L17065">
        <f>IF(AND($J17065=0,$K17065=0),0,1)</f>
        <v>1</v>
      </c>
      <c r="M17065" t="s">
        <v>1263</v>
      </c>
    </row>
    <row r="17066" spans="1:13" x14ac:dyDescent="0.2">
      <c r="A17066" t="s">
        <v>669</v>
      </c>
      <c r="B17066" t="s">
        <v>386</v>
      </c>
      <c r="C17066" t="s">
        <v>407</v>
      </c>
      <c r="D17066">
        <v>6842</v>
      </c>
      <c r="E17066">
        <v>2021</v>
      </c>
      <c r="F17066">
        <v>1</v>
      </c>
      <c r="G17066">
        <v>13178</v>
      </c>
      <c r="H17066" s="1">
        <v>3</v>
      </c>
      <c r="I17066">
        <v>3</v>
      </c>
      <c r="J17066">
        <f>IF($H17066=0,1,IF($I17066&lt;=1,2,0))</f>
        <v>0</v>
      </c>
      <c r="K17066">
        <v>4</v>
      </c>
      <c r="L17066">
        <f>IF(AND($J17066=0,$K17066=0),0,1)</f>
        <v>1</v>
      </c>
      <c r="M17066" t="s">
        <v>670</v>
      </c>
    </row>
    <row r="17067" spans="1:13" x14ac:dyDescent="0.2">
      <c r="A17067" t="s">
        <v>669</v>
      </c>
      <c r="B17067" t="s">
        <v>386</v>
      </c>
      <c r="C17067" t="s">
        <v>407</v>
      </c>
      <c r="D17067">
        <v>6852</v>
      </c>
      <c r="E17067">
        <v>2021</v>
      </c>
      <c r="F17067">
        <v>1</v>
      </c>
      <c r="G17067">
        <v>13179</v>
      </c>
      <c r="H17067" s="1">
        <v>3</v>
      </c>
      <c r="I17067">
        <v>3</v>
      </c>
      <c r="J17067">
        <f>IF($H17067=0,1,IF($I17067&lt;=1,2,0))</f>
        <v>0</v>
      </c>
      <c r="K17067">
        <v>4</v>
      </c>
      <c r="L17067">
        <f>IF(AND($J17067=0,$K17067=0),0,1)</f>
        <v>1</v>
      </c>
      <c r="M17067" t="s">
        <v>671</v>
      </c>
    </row>
    <row r="17068" spans="1:13" x14ac:dyDescent="0.2">
      <c r="A17068" t="s">
        <v>672</v>
      </c>
      <c r="B17068" t="s">
        <v>6</v>
      </c>
      <c r="C17068" t="s">
        <v>9</v>
      </c>
      <c r="D17068">
        <v>3001</v>
      </c>
      <c r="E17068">
        <v>2021</v>
      </c>
      <c r="F17068">
        <v>1</v>
      </c>
      <c r="G17068">
        <v>18647</v>
      </c>
      <c r="H17068" s="1">
        <v>0</v>
      </c>
      <c r="I17068">
        <v>37</v>
      </c>
      <c r="J17068">
        <f>IF($H17068=0,1,IF($I17068&lt;=1,2,0))</f>
        <v>1</v>
      </c>
      <c r="K17068">
        <v>0</v>
      </c>
      <c r="L17068">
        <f>IF(AND($J17068=0,$K17068=0),0,1)</f>
        <v>1</v>
      </c>
    </row>
    <row r="17069" spans="1:13" x14ac:dyDescent="0.2">
      <c r="A17069" t="s">
        <v>672</v>
      </c>
      <c r="B17069" t="s">
        <v>6</v>
      </c>
      <c r="C17069" t="s">
        <v>9</v>
      </c>
      <c r="D17069">
        <v>3001</v>
      </c>
      <c r="E17069">
        <v>2021</v>
      </c>
      <c r="F17069">
        <v>2</v>
      </c>
      <c r="G17069">
        <v>18648</v>
      </c>
      <c r="H17069" s="1">
        <v>0</v>
      </c>
      <c r="I17069">
        <v>33</v>
      </c>
      <c r="J17069">
        <f>IF($H17069=0,1,IF($I17069&lt;=1,2,0))</f>
        <v>1</v>
      </c>
      <c r="K17069">
        <v>0</v>
      </c>
      <c r="L17069">
        <f>IF(AND($J17069=0,$K17069=0),0,1)</f>
        <v>1</v>
      </c>
    </row>
    <row r="17070" spans="1:13" x14ac:dyDescent="0.2">
      <c r="A17070" t="s">
        <v>672</v>
      </c>
      <c r="B17070" t="s">
        <v>6</v>
      </c>
      <c r="C17070" t="s">
        <v>9</v>
      </c>
      <c r="D17070">
        <v>3011</v>
      </c>
      <c r="E17070">
        <v>2021</v>
      </c>
      <c r="F17070">
        <v>1</v>
      </c>
      <c r="G17070">
        <v>178</v>
      </c>
      <c r="H17070" s="1">
        <v>0</v>
      </c>
      <c r="I17070">
        <v>37</v>
      </c>
      <c r="J17070">
        <f>IF($H17070=0,1,IF($I17070&lt;=1,2,0))</f>
        <v>1</v>
      </c>
      <c r="K17070">
        <v>0</v>
      </c>
      <c r="L17070">
        <f>IF(AND($J17070=0,$K17070=0),0,1)</f>
        <v>1</v>
      </c>
    </row>
    <row r="17071" spans="1:13" x14ac:dyDescent="0.2">
      <c r="A17071" t="s">
        <v>672</v>
      </c>
      <c r="B17071" t="s">
        <v>6</v>
      </c>
      <c r="C17071" t="s">
        <v>9</v>
      </c>
      <c r="D17071">
        <v>3011</v>
      </c>
      <c r="E17071">
        <v>2021</v>
      </c>
      <c r="F17071">
        <v>2</v>
      </c>
      <c r="G17071">
        <v>194</v>
      </c>
      <c r="H17071" s="1">
        <v>0</v>
      </c>
      <c r="I17071">
        <v>27</v>
      </c>
      <c r="J17071">
        <f>IF($H17071=0,1,IF($I17071&lt;=1,2,0))</f>
        <v>1</v>
      </c>
      <c r="K17071">
        <v>0</v>
      </c>
      <c r="L17071">
        <f>IF(AND($J17071=0,$K17071=0),0,1)</f>
        <v>1</v>
      </c>
    </row>
    <row r="17072" spans="1:13" x14ac:dyDescent="0.2">
      <c r="A17072" t="s">
        <v>672</v>
      </c>
      <c r="B17072" t="s">
        <v>6</v>
      </c>
      <c r="C17072" t="s">
        <v>2</v>
      </c>
      <c r="D17072">
        <v>3087</v>
      </c>
      <c r="E17072">
        <v>2021</v>
      </c>
      <c r="F17072">
        <v>6</v>
      </c>
      <c r="G17072">
        <v>184</v>
      </c>
      <c r="H17072" s="1">
        <v>4</v>
      </c>
      <c r="I17072">
        <v>3</v>
      </c>
      <c r="J17072">
        <f>IF($H17072=0,1,IF($I17072&lt;=1,2,0))</f>
        <v>0</v>
      </c>
      <c r="K17072">
        <v>7</v>
      </c>
      <c r="L17072">
        <f>IF(AND($J17072=0,$K17072=0),0,1)</f>
        <v>1</v>
      </c>
    </row>
    <row r="17073" spans="1:13" x14ac:dyDescent="0.2">
      <c r="A17073" t="s">
        <v>672</v>
      </c>
      <c r="B17073" t="s">
        <v>6</v>
      </c>
      <c r="C17073" t="s">
        <v>2</v>
      </c>
      <c r="D17073">
        <v>3087</v>
      </c>
      <c r="E17073">
        <v>2021</v>
      </c>
      <c r="F17073">
        <v>7</v>
      </c>
      <c r="G17073">
        <v>185</v>
      </c>
      <c r="H17073" s="1">
        <v>4</v>
      </c>
      <c r="I17073">
        <v>3</v>
      </c>
      <c r="J17073">
        <f>IF($H17073=0,1,IF($I17073&lt;=1,2,0))</f>
        <v>0</v>
      </c>
      <c r="K17073">
        <v>7</v>
      </c>
      <c r="L17073">
        <f>IF(AND($J17073=0,$K17073=0),0,1)</f>
        <v>1</v>
      </c>
    </row>
    <row r="17074" spans="1:13" x14ac:dyDescent="0.2">
      <c r="A17074" t="s">
        <v>672</v>
      </c>
      <c r="B17074" t="s">
        <v>6</v>
      </c>
      <c r="C17074" t="s">
        <v>2</v>
      </c>
      <c r="D17074">
        <v>3087</v>
      </c>
      <c r="E17074">
        <v>2021</v>
      </c>
      <c r="F17074">
        <v>1</v>
      </c>
      <c r="G17074">
        <v>179</v>
      </c>
      <c r="H17074" s="1">
        <v>4</v>
      </c>
      <c r="I17074">
        <v>1</v>
      </c>
      <c r="J17074">
        <f>IF($H17074=0,1,IF($I17074&lt;=1,2,0))</f>
        <v>2</v>
      </c>
      <c r="K17074">
        <v>7</v>
      </c>
      <c r="L17074">
        <f>IF(AND($J17074=0,$K17074=0),0,1)</f>
        <v>1</v>
      </c>
    </row>
    <row r="17075" spans="1:13" x14ac:dyDescent="0.2">
      <c r="A17075" t="s">
        <v>672</v>
      </c>
      <c r="B17075" t="s">
        <v>6</v>
      </c>
      <c r="C17075" t="s">
        <v>2</v>
      </c>
      <c r="D17075">
        <v>3087</v>
      </c>
      <c r="E17075">
        <v>2021</v>
      </c>
      <c r="F17075">
        <v>3</v>
      </c>
      <c r="G17075">
        <v>181</v>
      </c>
      <c r="H17075" s="1">
        <v>4</v>
      </c>
      <c r="I17075">
        <v>1</v>
      </c>
      <c r="J17075">
        <f>IF($H17075=0,1,IF($I17075&lt;=1,2,0))</f>
        <v>2</v>
      </c>
      <c r="K17075">
        <v>7</v>
      </c>
      <c r="L17075">
        <f>IF(AND($J17075=0,$K17075=0),0,1)</f>
        <v>1</v>
      </c>
    </row>
    <row r="17076" spans="1:13" x14ac:dyDescent="0.2">
      <c r="A17076" t="s">
        <v>672</v>
      </c>
      <c r="B17076" t="s">
        <v>6</v>
      </c>
      <c r="C17076" t="s">
        <v>2</v>
      </c>
      <c r="D17076">
        <v>3087</v>
      </c>
      <c r="E17076">
        <v>2021</v>
      </c>
      <c r="F17076">
        <v>4</v>
      </c>
      <c r="G17076">
        <v>182</v>
      </c>
      <c r="H17076" s="1">
        <v>4</v>
      </c>
      <c r="I17076">
        <v>1</v>
      </c>
      <c r="J17076">
        <f>IF($H17076=0,1,IF($I17076&lt;=1,2,0))</f>
        <v>2</v>
      </c>
      <c r="K17076">
        <v>7</v>
      </c>
      <c r="L17076">
        <f>IF(AND($J17076=0,$K17076=0),0,1)</f>
        <v>1</v>
      </c>
    </row>
    <row r="17077" spans="1:13" x14ac:dyDescent="0.2">
      <c r="A17077" t="s">
        <v>672</v>
      </c>
      <c r="B17077" t="s">
        <v>6</v>
      </c>
      <c r="C17077" t="s">
        <v>2</v>
      </c>
      <c r="D17077">
        <v>3087</v>
      </c>
      <c r="E17077">
        <v>2021</v>
      </c>
      <c r="F17077">
        <v>2</v>
      </c>
      <c r="G17077">
        <v>180</v>
      </c>
      <c r="H17077" s="1">
        <v>4</v>
      </c>
      <c r="I17077">
        <v>0</v>
      </c>
      <c r="J17077">
        <f>IF($H17077=0,1,IF($I17077&lt;=1,2,0))</f>
        <v>2</v>
      </c>
      <c r="K17077">
        <v>7</v>
      </c>
      <c r="L17077">
        <f>IF(AND($J17077=0,$K17077=0),0,1)</f>
        <v>1</v>
      </c>
    </row>
    <row r="17078" spans="1:13" x14ac:dyDescent="0.2">
      <c r="A17078" t="s">
        <v>672</v>
      </c>
      <c r="B17078" t="s">
        <v>6</v>
      </c>
      <c r="C17078" t="s">
        <v>2</v>
      </c>
      <c r="D17078">
        <v>3087</v>
      </c>
      <c r="E17078">
        <v>2021</v>
      </c>
      <c r="F17078">
        <v>5</v>
      </c>
      <c r="G17078">
        <v>183</v>
      </c>
      <c r="H17078" s="1">
        <v>4</v>
      </c>
      <c r="I17078">
        <v>0</v>
      </c>
      <c r="J17078">
        <f>IF($H17078=0,1,IF($I17078&lt;=1,2,0))</f>
        <v>2</v>
      </c>
      <c r="K17078">
        <v>7</v>
      </c>
      <c r="L17078">
        <f>IF(AND($J17078=0,$K17078=0),0,1)</f>
        <v>1</v>
      </c>
    </row>
    <row r="17079" spans="1:13" x14ac:dyDescent="0.2">
      <c r="A17079" t="s">
        <v>672</v>
      </c>
      <c r="B17079" t="s">
        <v>6</v>
      </c>
      <c r="C17079" t="s">
        <v>2</v>
      </c>
      <c r="D17079">
        <v>3099</v>
      </c>
      <c r="E17079">
        <v>2021</v>
      </c>
      <c r="F17079">
        <v>1</v>
      </c>
      <c r="G17079">
        <v>886</v>
      </c>
      <c r="H17079" s="1">
        <v>1</v>
      </c>
      <c r="I17079">
        <v>1</v>
      </c>
      <c r="J17079">
        <f>IF($H17079=0,1,IF($I17079&lt;=1,2,0))</f>
        <v>2</v>
      </c>
      <c r="K17079">
        <v>7</v>
      </c>
      <c r="L17079">
        <f>IF(AND($J17079=0,$K17079=0),0,1)</f>
        <v>1</v>
      </c>
    </row>
    <row r="17080" spans="1:13" x14ac:dyDescent="0.2">
      <c r="A17080" t="s">
        <v>672</v>
      </c>
      <c r="B17080" t="s">
        <v>6</v>
      </c>
      <c r="C17080" t="s">
        <v>7</v>
      </c>
      <c r="D17080">
        <v>3121</v>
      </c>
      <c r="E17080">
        <v>2021</v>
      </c>
      <c r="F17080">
        <v>2</v>
      </c>
      <c r="G17080">
        <v>20135</v>
      </c>
      <c r="H17080" s="1">
        <v>0</v>
      </c>
      <c r="I17080">
        <v>37</v>
      </c>
      <c r="J17080">
        <f>IF($H17080=0,1,IF($I17080&lt;=1,2,0))</f>
        <v>1</v>
      </c>
      <c r="K17080">
        <v>0</v>
      </c>
      <c r="L17080">
        <f>IF(AND($J17080=0,$K17080=0),0,1)</f>
        <v>1</v>
      </c>
    </row>
    <row r="17081" spans="1:13" x14ac:dyDescent="0.2">
      <c r="A17081" t="s">
        <v>672</v>
      </c>
      <c r="B17081" t="s">
        <v>6</v>
      </c>
      <c r="C17081" t="s">
        <v>7</v>
      </c>
      <c r="D17081">
        <v>3121</v>
      </c>
      <c r="E17081">
        <v>2021</v>
      </c>
      <c r="F17081">
        <v>1</v>
      </c>
      <c r="G17081">
        <v>20134</v>
      </c>
      <c r="H17081" s="1">
        <v>0</v>
      </c>
      <c r="I17081">
        <v>29</v>
      </c>
      <c r="J17081">
        <f>IF($H17081=0,1,IF($I17081&lt;=1,2,0))</f>
        <v>1</v>
      </c>
      <c r="K17081">
        <v>0</v>
      </c>
      <c r="L17081">
        <f>IF(AND($J17081=0,$K17081=0),0,1)</f>
        <v>1</v>
      </c>
    </row>
    <row r="17082" spans="1:13" x14ac:dyDescent="0.2">
      <c r="A17082" t="s">
        <v>672</v>
      </c>
      <c r="B17082" t="s">
        <v>6</v>
      </c>
      <c r="C17082" t="s">
        <v>9</v>
      </c>
      <c r="D17082">
        <v>3676</v>
      </c>
      <c r="E17082">
        <v>2021</v>
      </c>
      <c r="F17082">
        <v>2</v>
      </c>
      <c r="G17082">
        <v>18834</v>
      </c>
      <c r="H17082" s="1">
        <v>0</v>
      </c>
      <c r="I17082">
        <v>15</v>
      </c>
      <c r="J17082">
        <f>IF($H17082=0,1,IF($I17082&lt;=1,2,0))</f>
        <v>1</v>
      </c>
      <c r="K17082">
        <v>0</v>
      </c>
      <c r="L17082">
        <f>IF(AND($J17082=0,$K17082=0),0,1)</f>
        <v>1</v>
      </c>
    </row>
    <row r="17083" spans="1:13" x14ac:dyDescent="0.2">
      <c r="A17083" t="s">
        <v>672</v>
      </c>
      <c r="B17083" t="s">
        <v>6</v>
      </c>
      <c r="C17083" t="s">
        <v>9</v>
      </c>
      <c r="D17083">
        <v>3676</v>
      </c>
      <c r="E17083">
        <v>2021</v>
      </c>
      <c r="F17083">
        <v>1</v>
      </c>
      <c r="G17083">
        <v>18833</v>
      </c>
      <c r="H17083" s="1">
        <v>0</v>
      </c>
      <c r="I17083">
        <v>13</v>
      </c>
      <c r="J17083">
        <f>IF($H17083=0,1,IF($I17083&lt;=1,2,0))</f>
        <v>1</v>
      </c>
      <c r="K17083">
        <v>0</v>
      </c>
      <c r="L17083">
        <f>IF(AND($J17083=0,$K17083=0),0,1)</f>
        <v>1</v>
      </c>
    </row>
    <row r="17084" spans="1:13" x14ac:dyDescent="0.2">
      <c r="A17084" t="s">
        <v>672</v>
      </c>
      <c r="B17084" t="s">
        <v>6</v>
      </c>
      <c r="C17084" t="s">
        <v>9</v>
      </c>
      <c r="D17084">
        <v>3676</v>
      </c>
      <c r="E17084">
        <v>2021</v>
      </c>
      <c r="F17084">
        <v>4</v>
      </c>
      <c r="G17084">
        <v>18836</v>
      </c>
      <c r="H17084" s="1">
        <v>0</v>
      </c>
      <c r="I17084">
        <v>11</v>
      </c>
      <c r="J17084">
        <f>IF($H17084=0,1,IF($I17084&lt;=1,2,0))</f>
        <v>1</v>
      </c>
      <c r="K17084">
        <v>0</v>
      </c>
      <c r="L17084">
        <f>IF(AND($J17084=0,$K17084=0),0,1)</f>
        <v>1</v>
      </c>
    </row>
    <row r="17085" spans="1:13" x14ac:dyDescent="0.2">
      <c r="A17085" t="s">
        <v>672</v>
      </c>
      <c r="B17085" t="s">
        <v>6</v>
      </c>
      <c r="C17085" t="s">
        <v>9</v>
      </c>
      <c r="D17085">
        <v>3676</v>
      </c>
      <c r="E17085">
        <v>2021</v>
      </c>
      <c r="F17085">
        <v>3</v>
      </c>
      <c r="G17085">
        <v>18835</v>
      </c>
      <c r="H17085" s="1">
        <v>0</v>
      </c>
      <c r="I17085">
        <v>10</v>
      </c>
      <c r="J17085">
        <f>IF($H17085=0,1,IF($I17085&lt;=1,2,0))</f>
        <v>1</v>
      </c>
      <c r="K17085">
        <v>0</v>
      </c>
      <c r="L17085">
        <f>IF(AND($J17085=0,$K17085=0),0,1)</f>
        <v>1</v>
      </c>
    </row>
    <row r="17086" spans="1:13" x14ac:dyDescent="0.2">
      <c r="A17086" t="s">
        <v>672</v>
      </c>
      <c r="B17086" t="s">
        <v>6</v>
      </c>
      <c r="C17086" t="s">
        <v>2</v>
      </c>
      <c r="D17086">
        <v>3705</v>
      </c>
      <c r="E17086">
        <v>2021</v>
      </c>
      <c r="F17086">
        <v>1</v>
      </c>
      <c r="G17086">
        <v>773</v>
      </c>
      <c r="H17086" s="1">
        <v>4</v>
      </c>
      <c r="I17086">
        <v>23</v>
      </c>
      <c r="J17086">
        <f>IF($H17086=0,1,IF($I17086&lt;=1,2,0))</f>
        <v>0</v>
      </c>
      <c r="K17086">
        <v>7</v>
      </c>
      <c r="L17086">
        <f>IF(AND($J17086=0,$K17086=0),0,1)</f>
        <v>1</v>
      </c>
    </row>
    <row r="17087" spans="1:13" x14ac:dyDescent="0.2">
      <c r="A17087" t="s">
        <v>672</v>
      </c>
      <c r="B17087" t="s">
        <v>6</v>
      </c>
      <c r="C17087" t="s">
        <v>2</v>
      </c>
      <c r="D17087">
        <v>3927</v>
      </c>
      <c r="E17087">
        <v>2021</v>
      </c>
      <c r="F17087">
        <v>1</v>
      </c>
      <c r="G17087">
        <v>756</v>
      </c>
      <c r="H17087" s="1">
        <v>4</v>
      </c>
      <c r="I17087">
        <v>5</v>
      </c>
      <c r="J17087">
        <f>IF($H17087=0,1,IF($I17087&lt;=1,2,0))</f>
        <v>0</v>
      </c>
      <c r="K17087">
        <v>7</v>
      </c>
      <c r="L17087">
        <f>IF(AND($J17087=0,$K17087=0),0,1)</f>
        <v>1</v>
      </c>
    </row>
    <row r="17088" spans="1:13" x14ac:dyDescent="0.2">
      <c r="A17088" t="s">
        <v>672</v>
      </c>
      <c r="B17088" t="s">
        <v>6</v>
      </c>
      <c r="C17088" t="s">
        <v>2</v>
      </c>
      <c r="D17088">
        <v>3930</v>
      </c>
      <c r="E17088">
        <v>2021</v>
      </c>
      <c r="F17088">
        <v>1</v>
      </c>
      <c r="G17088">
        <v>188</v>
      </c>
      <c r="H17088" s="1">
        <v>4</v>
      </c>
      <c r="I17088">
        <v>13</v>
      </c>
      <c r="J17088">
        <f>IF($H17088=0,1,IF($I17088&lt;=1,2,0))</f>
        <v>0</v>
      </c>
      <c r="K17088">
        <v>7</v>
      </c>
      <c r="L17088">
        <f>IF(AND($J17088=0,$K17088=0),0,1)</f>
        <v>1</v>
      </c>
      <c r="M17088" t="s">
        <v>1776</v>
      </c>
    </row>
    <row r="17089" spans="1:13" x14ac:dyDescent="0.2">
      <c r="A17089" t="s">
        <v>672</v>
      </c>
      <c r="B17089" t="s">
        <v>6</v>
      </c>
      <c r="C17089" t="s">
        <v>7</v>
      </c>
      <c r="D17089">
        <v>3998</v>
      </c>
      <c r="E17089">
        <v>2021</v>
      </c>
      <c r="F17089">
        <v>100</v>
      </c>
      <c r="G17089">
        <v>17563</v>
      </c>
      <c r="H17089" s="1" t="s">
        <v>1828</v>
      </c>
      <c r="I17089">
        <v>4</v>
      </c>
      <c r="J17089">
        <f>IF($H17089=0,1,IF($I17089&lt;=1,2,0))</f>
        <v>0</v>
      </c>
      <c r="K17089">
        <v>9</v>
      </c>
      <c r="L17089">
        <f>IF(AND($J17089=0,$K17089=0),0,1)</f>
        <v>1</v>
      </c>
      <c r="M17089" t="s">
        <v>370</v>
      </c>
    </row>
    <row r="17090" spans="1:13" x14ac:dyDescent="0.2">
      <c r="A17090" t="s">
        <v>672</v>
      </c>
      <c r="B17090" t="s">
        <v>6</v>
      </c>
      <c r="C17090" t="s">
        <v>7</v>
      </c>
      <c r="D17090">
        <v>3998</v>
      </c>
      <c r="E17090">
        <v>2021</v>
      </c>
      <c r="F17090">
        <v>8</v>
      </c>
      <c r="G17090">
        <v>18855</v>
      </c>
      <c r="H17090" s="1" t="s">
        <v>1828</v>
      </c>
      <c r="I17090">
        <v>2</v>
      </c>
      <c r="J17090">
        <f>IF($H17090=0,1,IF($I17090&lt;=1,2,0))</f>
        <v>0</v>
      </c>
      <c r="K17090">
        <v>9</v>
      </c>
      <c r="L17090">
        <f>IF(AND($J17090=0,$K17090=0),0,1)</f>
        <v>1</v>
      </c>
    </row>
    <row r="17091" spans="1:13" x14ac:dyDescent="0.2">
      <c r="A17091" t="s">
        <v>672</v>
      </c>
      <c r="B17091" t="s">
        <v>6</v>
      </c>
      <c r="C17091" t="s">
        <v>7</v>
      </c>
      <c r="D17091">
        <v>3998</v>
      </c>
      <c r="E17091">
        <v>2021</v>
      </c>
      <c r="F17091">
        <v>5</v>
      </c>
      <c r="G17091">
        <v>191</v>
      </c>
      <c r="H17091" s="1" t="s">
        <v>1828</v>
      </c>
      <c r="I17091">
        <v>1</v>
      </c>
      <c r="J17091">
        <f>IF($H17091=0,1,IF($I17091&lt;=1,2,0))</f>
        <v>2</v>
      </c>
      <c r="K17091">
        <v>9</v>
      </c>
      <c r="L17091">
        <f>IF(AND($J17091=0,$K17091=0),0,1)</f>
        <v>1</v>
      </c>
    </row>
    <row r="17092" spans="1:13" x14ac:dyDescent="0.2">
      <c r="A17092" t="s">
        <v>672</v>
      </c>
      <c r="B17092" t="s">
        <v>6</v>
      </c>
      <c r="C17092" t="s">
        <v>7</v>
      </c>
      <c r="D17092">
        <v>3998</v>
      </c>
      <c r="E17092">
        <v>2021</v>
      </c>
      <c r="F17092">
        <v>17</v>
      </c>
      <c r="G17092">
        <v>20406</v>
      </c>
      <c r="H17092" s="1" t="s">
        <v>1828</v>
      </c>
      <c r="I17092">
        <v>1</v>
      </c>
      <c r="J17092">
        <f>IF($H17092=0,1,IF($I17092&lt;=1,2,0))</f>
        <v>2</v>
      </c>
      <c r="K17092">
        <v>9</v>
      </c>
      <c r="L17092">
        <f>IF(AND($J17092=0,$K17092=0),0,1)</f>
        <v>1</v>
      </c>
    </row>
    <row r="17093" spans="1:13" x14ac:dyDescent="0.2">
      <c r="A17093" t="s">
        <v>672</v>
      </c>
      <c r="B17093" t="s">
        <v>6</v>
      </c>
      <c r="C17093" t="s">
        <v>7</v>
      </c>
      <c r="D17093">
        <v>3998</v>
      </c>
      <c r="E17093">
        <v>2021</v>
      </c>
      <c r="F17093">
        <v>21</v>
      </c>
      <c r="G17093">
        <v>20405</v>
      </c>
      <c r="H17093" s="1" t="s">
        <v>1828</v>
      </c>
      <c r="I17093">
        <v>1</v>
      </c>
      <c r="J17093">
        <f>IF($H17093=0,1,IF($I17093&lt;=1,2,0))</f>
        <v>2</v>
      </c>
      <c r="K17093">
        <v>9</v>
      </c>
      <c r="L17093">
        <f>IF(AND($J17093=0,$K17093=0),0,1)</f>
        <v>1</v>
      </c>
    </row>
    <row r="17094" spans="1:13" x14ac:dyDescent="0.2">
      <c r="A17094" t="s">
        <v>672</v>
      </c>
      <c r="B17094" t="s">
        <v>6</v>
      </c>
      <c r="C17094" t="s">
        <v>7</v>
      </c>
      <c r="D17094">
        <v>3998</v>
      </c>
      <c r="E17094">
        <v>2021</v>
      </c>
      <c r="F17094">
        <v>1</v>
      </c>
      <c r="G17094">
        <v>485</v>
      </c>
      <c r="H17094" s="1" t="s">
        <v>1828</v>
      </c>
      <c r="I17094">
        <v>0</v>
      </c>
      <c r="J17094">
        <f>IF($H17094=0,1,IF($I17094&lt;=1,2,0))</f>
        <v>2</v>
      </c>
      <c r="K17094">
        <v>9</v>
      </c>
      <c r="L17094">
        <f>IF(AND($J17094=0,$K17094=0),0,1)</f>
        <v>1</v>
      </c>
    </row>
    <row r="17095" spans="1:13" x14ac:dyDescent="0.2">
      <c r="A17095" t="s">
        <v>672</v>
      </c>
      <c r="B17095" t="s">
        <v>6</v>
      </c>
      <c r="C17095" t="s">
        <v>7</v>
      </c>
      <c r="D17095">
        <v>3998</v>
      </c>
      <c r="E17095">
        <v>2021</v>
      </c>
      <c r="F17095">
        <v>2</v>
      </c>
      <c r="G17095">
        <v>484</v>
      </c>
      <c r="H17095" s="1" t="s">
        <v>1828</v>
      </c>
      <c r="I17095">
        <v>0</v>
      </c>
      <c r="J17095">
        <f>IF($H17095=0,1,IF($I17095&lt;=1,2,0))</f>
        <v>2</v>
      </c>
      <c r="K17095">
        <v>9</v>
      </c>
      <c r="L17095">
        <f>IF(AND($J17095=0,$K17095=0),0,1)</f>
        <v>1</v>
      </c>
    </row>
    <row r="17096" spans="1:13" x14ac:dyDescent="0.2">
      <c r="A17096" t="s">
        <v>672</v>
      </c>
      <c r="B17096" t="s">
        <v>6</v>
      </c>
      <c r="C17096" t="s">
        <v>7</v>
      </c>
      <c r="D17096">
        <v>3998</v>
      </c>
      <c r="E17096">
        <v>2021</v>
      </c>
      <c r="F17096">
        <v>3</v>
      </c>
      <c r="G17096">
        <v>189</v>
      </c>
      <c r="H17096" s="1" t="s">
        <v>1828</v>
      </c>
      <c r="I17096">
        <v>0</v>
      </c>
      <c r="J17096">
        <f>IF($H17096=0,1,IF($I17096&lt;=1,2,0))</f>
        <v>2</v>
      </c>
      <c r="K17096">
        <v>9</v>
      </c>
      <c r="L17096">
        <f>IF(AND($J17096=0,$K17096=0),0,1)</f>
        <v>1</v>
      </c>
    </row>
    <row r="17097" spans="1:13" x14ac:dyDescent="0.2">
      <c r="A17097" t="s">
        <v>672</v>
      </c>
      <c r="B17097" t="s">
        <v>6</v>
      </c>
      <c r="C17097" t="s">
        <v>7</v>
      </c>
      <c r="D17097">
        <v>3998</v>
      </c>
      <c r="E17097">
        <v>2021</v>
      </c>
      <c r="F17097">
        <v>4</v>
      </c>
      <c r="G17097">
        <v>190</v>
      </c>
      <c r="H17097" s="1" t="s">
        <v>1828</v>
      </c>
      <c r="I17097">
        <v>0</v>
      </c>
      <c r="J17097">
        <f>IF($H17097=0,1,IF($I17097&lt;=1,2,0))</f>
        <v>2</v>
      </c>
      <c r="K17097">
        <v>9</v>
      </c>
      <c r="L17097">
        <f>IF(AND($J17097=0,$K17097=0),0,1)</f>
        <v>1</v>
      </c>
    </row>
    <row r="17098" spans="1:13" x14ac:dyDescent="0.2">
      <c r="A17098" t="s">
        <v>672</v>
      </c>
      <c r="B17098" t="s">
        <v>6</v>
      </c>
      <c r="C17098" t="s">
        <v>7</v>
      </c>
      <c r="D17098">
        <v>3998</v>
      </c>
      <c r="E17098">
        <v>2021</v>
      </c>
      <c r="F17098">
        <v>6</v>
      </c>
      <c r="G17098">
        <v>192</v>
      </c>
      <c r="H17098" s="1" t="s">
        <v>1828</v>
      </c>
      <c r="I17098">
        <v>0</v>
      </c>
      <c r="J17098">
        <f>IF($H17098=0,1,IF($I17098&lt;=1,2,0))</f>
        <v>2</v>
      </c>
      <c r="K17098">
        <v>9</v>
      </c>
      <c r="L17098">
        <f>IF(AND($J17098=0,$K17098=0),0,1)</f>
        <v>1</v>
      </c>
    </row>
    <row r="17099" spans="1:13" x14ac:dyDescent="0.2">
      <c r="A17099" t="s">
        <v>672</v>
      </c>
      <c r="B17099" t="s">
        <v>6</v>
      </c>
      <c r="C17099" t="s">
        <v>7</v>
      </c>
      <c r="D17099">
        <v>3998</v>
      </c>
      <c r="E17099">
        <v>2021</v>
      </c>
      <c r="F17099">
        <v>7</v>
      </c>
      <c r="G17099">
        <v>193</v>
      </c>
      <c r="H17099" s="1" t="s">
        <v>1828</v>
      </c>
      <c r="I17099">
        <v>0</v>
      </c>
      <c r="J17099">
        <f>IF($H17099=0,1,IF($I17099&lt;=1,2,0))</f>
        <v>2</v>
      </c>
      <c r="K17099">
        <v>9</v>
      </c>
      <c r="L17099">
        <f>IF(AND($J17099=0,$K17099=0),0,1)</f>
        <v>1</v>
      </c>
    </row>
    <row r="17100" spans="1:13" x14ac:dyDescent="0.2">
      <c r="A17100" t="s">
        <v>672</v>
      </c>
      <c r="B17100" t="s">
        <v>6</v>
      </c>
      <c r="C17100" t="s">
        <v>7</v>
      </c>
      <c r="D17100">
        <v>3999</v>
      </c>
      <c r="E17100">
        <v>2021</v>
      </c>
      <c r="F17100">
        <v>1</v>
      </c>
      <c r="G17100">
        <v>20647</v>
      </c>
      <c r="H17100" s="1" t="s">
        <v>1828</v>
      </c>
      <c r="I17100">
        <v>1</v>
      </c>
      <c r="J17100">
        <f>IF($H17100=0,1,IF($I17100&lt;=1,2,0))</f>
        <v>2</v>
      </c>
      <c r="K17100">
        <v>9</v>
      </c>
      <c r="L17100">
        <f>IF(AND($J17100=0,$K17100=0),0,1)</f>
        <v>1</v>
      </c>
    </row>
    <row r="17101" spans="1:13" x14ac:dyDescent="0.2">
      <c r="A17101" t="s">
        <v>672</v>
      </c>
      <c r="B17101" t="s">
        <v>6</v>
      </c>
      <c r="C17101" t="s">
        <v>11</v>
      </c>
      <c r="D17101">
        <v>5051</v>
      </c>
      <c r="E17101">
        <v>2021</v>
      </c>
      <c r="F17101">
        <v>1</v>
      </c>
      <c r="G17101">
        <v>12106</v>
      </c>
      <c r="H17101" s="1">
        <v>4</v>
      </c>
      <c r="I17101">
        <v>24</v>
      </c>
      <c r="J17101">
        <f>IF($H17101=0,1,IF($I17101&lt;=1,2,0))</f>
        <v>0</v>
      </c>
      <c r="K17101">
        <v>4</v>
      </c>
      <c r="L17101">
        <f>IF(AND($J17101=0,$K17101=0),0,1)</f>
        <v>1</v>
      </c>
      <c r="M17101" t="s">
        <v>677</v>
      </c>
    </row>
    <row r="17102" spans="1:13" x14ac:dyDescent="0.2">
      <c r="A17102" t="s">
        <v>672</v>
      </c>
      <c r="B17102" t="s">
        <v>6</v>
      </c>
      <c r="C17102" t="s">
        <v>11</v>
      </c>
      <c r="D17102">
        <v>5066</v>
      </c>
      <c r="E17102">
        <v>2021</v>
      </c>
      <c r="F17102">
        <v>1</v>
      </c>
      <c r="G17102">
        <v>12078</v>
      </c>
      <c r="H17102" s="1">
        <v>3</v>
      </c>
      <c r="I17102">
        <v>26</v>
      </c>
      <c r="J17102">
        <f>IF($H17102=0,1,IF($I17102&lt;=1,2,0))</f>
        <v>0</v>
      </c>
      <c r="K17102">
        <v>4</v>
      </c>
      <c r="L17102">
        <f>IF(AND($J17102=0,$K17102=0),0,1)</f>
        <v>1</v>
      </c>
    </row>
    <row r="17103" spans="1:13" x14ac:dyDescent="0.2">
      <c r="A17103" t="s">
        <v>672</v>
      </c>
      <c r="B17103" t="s">
        <v>6</v>
      </c>
      <c r="C17103" t="s">
        <v>11</v>
      </c>
      <c r="D17103">
        <v>9040</v>
      </c>
      <c r="E17103">
        <v>2021</v>
      </c>
      <c r="F17103">
        <v>7</v>
      </c>
      <c r="G17103">
        <v>20347</v>
      </c>
      <c r="H17103" s="1" t="s">
        <v>1828</v>
      </c>
      <c r="I17103">
        <v>6</v>
      </c>
      <c r="J17103">
        <f>IF($H17103=0,1,IF($I17103&lt;=1,2,0))</f>
        <v>0</v>
      </c>
      <c r="K17103">
        <v>5</v>
      </c>
      <c r="L17103">
        <f>IF(AND($J17103=0,$K17103=0),0,1)</f>
        <v>1</v>
      </c>
    </row>
    <row r="17104" spans="1:13" x14ac:dyDescent="0.2">
      <c r="A17104" t="s">
        <v>672</v>
      </c>
      <c r="B17104" t="s">
        <v>6</v>
      </c>
      <c r="C17104" t="s">
        <v>11</v>
      </c>
      <c r="D17104">
        <v>9040</v>
      </c>
      <c r="E17104">
        <v>2021</v>
      </c>
      <c r="F17104">
        <v>5</v>
      </c>
      <c r="G17104">
        <v>18583</v>
      </c>
      <c r="H17104" s="1" t="s">
        <v>1828</v>
      </c>
      <c r="I17104">
        <v>2</v>
      </c>
      <c r="J17104">
        <f>IF($H17104=0,1,IF($I17104&lt;=1,2,0))</f>
        <v>0</v>
      </c>
      <c r="K17104">
        <v>5</v>
      </c>
      <c r="L17104">
        <f>IF(AND($J17104=0,$K17104=0),0,1)</f>
        <v>1</v>
      </c>
    </row>
    <row r="17105" spans="1:13" x14ac:dyDescent="0.2">
      <c r="A17105" t="s">
        <v>683</v>
      </c>
      <c r="B17105" t="s">
        <v>1</v>
      </c>
      <c r="C17105" t="s">
        <v>2</v>
      </c>
      <c r="D17105">
        <v>1111</v>
      </c>
      <c r="E17105">
        <v>2021</v>
      </c>
      <c r="F17105">
        <v>1</v>
      </c>
      <c r="G17105">
        <v>776</v>
      </c>
      <c r="H17105" s="1">
        <v>1</v>
      </c>
      <c r="I17105">
        <v>8</v>
      </c>
      <c r="J17105">
        <f>IF($H17105=0,1,IF($I17105&lt;=1,2,0))</f>
        <v>0</v>
      </c>
      <c r="K17105">
        <v>7</v>
      </c>
      <c r="L17105">
        <f>IF(AND($J17105=0,$K17105=0),0,1)</f>
        <v>1</v>
      </c>
      <c r="M17105" t="s">
        <v>1777</v>
      </c>
    </row>
    <row r="17106" spans="1:13" x14ac:dyDescent="0.2">
      <c r="A17106" t="s">
        <v>683</v>
      </c>
      <c r="B17106" t="s">
        <v>1</v>
      </c>
      <c r="C17106" t="s">
        <v>2</v>
      </c>
      <c r="D17106">
        <v>2222</v>
      </c>
      <c r="E17106">
        <v>2021</v>
      </c>
      <c r="F17106">
        <v>1</v>
      </c>
      <c r="G17106">
        <v>775</v>
      </c>
      <c r="H17106" s="1">
        <v>1.5</v>
      </c>
      <c r="I17106">
        <v>12</v>
      </c>
      <c r="J17106">
        <f>IF($H17106=0,1,IF($I17106&lt;=1,2,0))</f>
        <v>0</v>
      </c>
      <c r="K17106">
        <v>7</v>
      </c>
      <c r="L17106">
        <f>IF(AND($J17106=0,$K17106=0),0,1)</f>
        <v>1</v>
      </c>
      <c r="M17106" t="s">
        <v>1777</v>
      </c>
    </row>
    <row r="17107" spans="1:13" x14ac:dyDescent="0.2">
      <c r="A17107" t="s">
        <v>685</v>
      </c>
      <c r="B17107" t="s">
        <v>17</v>
      </c>
      <c r="C17107" t="s">
        <v>2</v>
      </c>
      <c r="D17107">
        <v>3376</v>
      </c>
      <c r="E17107">
        <v>2021</v>
      </c>
      <c r="F17107">
        <v>1</v>
      </c>
      <c r="G17107">
        <v>359</v>
      </c>
      <c r="H17107" s="1">
        <v>3</v>
      </c>
      <c r="I17107">
        <v>8</v>
      </c>
      <c r="J17107">
        <f>IF($H17107=0,1,IF($I17107&lt;=1,2,0))</f>
        <v>0</v>
      </c>
      <c r="K17107">
        <v>7</v>
      </c>
      <c r="L17107">
        <f>IF(AND($J17107=0,$K17107=0),0,1)</f>
        <v>1</v>
      </c>
    </row>
    <row r="17108" spans="1:13" x14ac:dyDescent="0.2">
      <c r="A17108" t="s">
        <v>685</v>
      </c>
      <c r="B17108" t="s">
        <v>17</v>
      </c>
      <c r="C17108" t="s">
        <v>2</v>
      </c>
      <c r="D17108">
        <v>3441</v>
      </c>
      <c r="E17108">
        <v>2021</v>
      </c>
      <c r="F17108">
        <v>1</v>
      </c>
      <c r="G17108">
        <v>360</v>
      </c>
      <c r="H17108" s="1">
        <v>3</v>
      </c>
      <c r="I17108">
        <v>8</v>
      </c>
      <c r="J17108">
        <f>IF($H17108=0,1,IF($I17108&lt;=1,2,0))</f>
        <v>0</v>
      </c>
      <c r="K17108">
        <v>7</v>
      </c>
      <c r="L17108">
        <f>IF(AND($J17108=0,$K17108=0),0,1)</f>
        <v>1</v>
      </c>
    </row>
    <row r="17109" spans="1:13" x14ac:dyDescent="0.2">
      <c r="A17109" t="s">
        <v>685</v>
      </c>
      <c r="B17109" t="s">
        <v>17</v>
      </c>
      <c r="C17109" t="s">
        <v>2</v>
      </c>
      <c r="D17109">
        <v>3446</v>
      </c>
      <c r="E17109">
        <v>2021</v>
      </c>
      <c r="F17109">
        <v>1</v>
      </c>
      <c r="G17109">
        <v>681</v>
      </c>
      <c r="H17109" s="1">
        <v>3</v>
      </c>
      <c r="I17109">
        <v>13</v>
      </c>
      <c r="J17109">
        <f>IF($H17109=0,1,IF($I17109&lt;=1,2,0))</f>
        <v>0</v>
      </c>
      <c r="K17109">
        <v>7</v>
      </c>
      <c r="L17109">
        <f>IF(AND($J17109=0,$K17109=0),0,1)</f>
        <v>1</v>
      </c>
    </row>
    <row r="17110" spans="1:13" x14ac:dyDescent="0.2">
      <c r="A17110" t="s">
        <v>685</v>
      </c>
      <c r="B17110" t="s">
        <v>17</v>
      </c>
      <c r="C17110" t="s">
        <v>2</v>
      </c>
      <c r="D17110">
        <v>3456</v>
      </c>
      <c r="E17110">
        <v>2021</v>
      </c>
      <c r="F17110">
        <v>1</v>
      </c>
      <c r="G17110">
        <v>361</v>
      </c>
      <c r="H17110" s="1">
        <v>3</v>
      </c>
      <c r="I17110">
        <v>14</v>
      </c>
      <c r="J17110">
        <f>IF($H17110=0,1,IF($I17110&lt;=1,2,0))</f>
        <v>0</v>
      </c>
      <c r="K17110">
        <v>7</v>
      </c>
      <c r="L17110">
        <f>IF(AND($J17110=0,$K17110=0),0,1)</f>
        <v>1</v>
      </c>
    </row>
    <row r="17111" spans="1:13" x14ac:dyDescent="0.2">
      <c r="A17111" t="s">
        <v>685</v>
      </c>
      <c r="B17111" t="s">
        <v>17</v>
      </c>
      <c r="C17111" t="s">
        <v>2</v>
      </c>
      <c r="D17111">
        <v>3990</v>
      </c>
      <c r="E17111">
        <v>2021</v>
      </c>
      <c r="F17111">
        <v>1</v>
      </c>
      <c r="G17111">
        <v>362</v>
      </c>
      <c r="H17111" s="1">
        <v>4</v>
      </c>
      <c r="I17111">
        <v>10</v>
      </c>
      <c r="J17111">
        <f>IF($H17111=0,1,IF($I17111&lt;=1,2,0))</f>
        <v>0</v>
      </c>
      <c r="K17111">
        <v>7</v>
      </c>
      <c r="L17111">
        <f>IF(AND($J17111=0,$K17111=0),0,1)</f>
        <v>1</v>
      </c>
    </row>
    <row r="17112" spans="1:13" x14ac:dyDescent="0.2">
      <c r="A17112" t="s">
        <v>685</v>
      </c>
      <c r="B17112" t="s">
        <v>17</v>
      </c>
      <c r="C17112" t="s">
        <v>11</v>
      </c>
      <c r="D17112">
        <v>9811</v>
      </c>
      <c r="E17112">
        <v>2021</v>
      </c>
      <c r="F17112">
        <v>3</v>
      </c>
      <c r="G17112">
        <v>13987</v>
      </c>
      <c r="H17112" s="1" t="s">
        <v>1835</v>
      </c>
      <c r="I17112">
        <v>2</v>
      </c>
      <c r="J17112">
        <f>IF($H17112=0,1,IF($I17112&lt;=1,2,0))</f>
        <v>0</v>
      </c>
      <c r="K17112">
        <v>5</v>
      </c>
      <c r="L17112">
        <f>IF(AND($J17112=0,$K17112=0),0,1)</f>
        <v>1</v>
      </c>
    </row>
    <row r="17113" spans="1:13" x14ac:dyDescent="0.2">
      <c r="A17113" t="s">
        <v>685</v>
      </c>
      <c r="B17113" t="s">
        <v>17</v>
      </c>
      <c r="C17113" t="s">
        <v>11</v>
      </c>
      <c r="D17113">
        <v>9811</v>
      </c>
      <c r="E17113">
        <v>2021</v>
      </c>
      <c r="F17113">
        <v>1</v>
      </c>
      <c r="G17113">
        <v>13985</v>
      </c>
      <c r="H17113" s="1" t="s">
        <v>1835</v>
      </c>
      <c r="I17113">
        <v>1</v>
      </c>
      <c r="J17113">
        <f>IF($H17113=0,1,IF($I17113&lt;=1,2,0))</f>
        <v>2</v>
      </c>
      <c r="K17113">
        <v>5</v>
      </c>
      <c r="L17113">
        <f>IF(AND($J17113=0,$K17113=0),0,1)</f>
        <v>1</v>
      </c>
    </row>
    <row r="17114" spans="1:13" x14ac:dyDescent="0.2">
      <c r="A17114" t="s">
        <v>685</v>
      </c>
      <c r="B17114" t="s">
        <v>17</v>
      </c>
      <c r="C17114" t="s">
        <v>11</v>
      </c>
      <c r="D17114">
        <v>9811</v>
      </c>
      <c r="E17114">
        <v>2021</v>
      </c>
      <c r="F17114">
        <v>2</v>
      </c>
      <c r="G17114">
        <v>13986</v>
      </c>
      <c r="H17114" s="1" t="s">
        <v>1835</v>
      </c>
      <c r="I17114">
        <v>1</v>
      </c>
      <c r="J17114">
        <f>IF($H17114=0,1,IF($I17114&lt;=1,2,0))</f>
        <v>2</v>
      </c>
      <c r="K17114">
        <v>5</v>
      </c>
      <c r="L17114">
        <f>IF(AND($J17114=0,$K17114=0),0,1)</f>
        <v>1</v>
      </c>
    </row>
    <row r="17115" spans="1:13" x14ac:dyDescent="0.2">
      <c r="A17115" t="s">
        <v>685</v>
      </c>
      <c r="B17115" t="s">
        <v>17</v>
      </c>
      <c r="C17115" t="s">
        <v>11</v>
      </c>
      <c r="D17115">
        <v>9811</v>
      </c>
      <c r="E17115">
        <v>2021</v>
      </c>
      <c r="F17115">
        <v>4</v>
      </c>
      <c r="G17115">
        <v>13988</v>
      </c>
      <c r="H17115" s="1" t="s">
        <v>1835</v>
      </c>
      <c r="I17115">
        <v>0</v>
      </c>
      <c r="J17115">
        <f>IF($H17115=0,1,IF($I17115&lt;=1,2,0))</f>
        <v>2</v>
      </c>
      <c r="K17115">
        <v>5</v>
      </c>
      <c r="L17115">
        <f>IF(AND($J17115=0,$K17115=0),0,1)</f>
        <v>1</v>
      </c>
    </row>
    <row r="17116" spans="1:13" x14ac:dyDescent="0.2">
      <c r="A17116" t="s">
        <v>685</v>
      </c>
      <c r="B17116" t="s">
        <v>17</v>
      </c>
      <c r="C17116" t="s">
        <v>11</v>
      </c>
      <c r="D17116">
        <v>9811</v>
      </c>
      <c r="E17116">
        <v>2021</v>
      </c>
      <c r="F17116">
        <v>5</v>
      </c>
      <c r="G17116">
        <v>13989</v>
      </c>
      <c r="H17116" s="1" t="s">
        <v>1835</v>
      </c>
      <c r="I17116">
        <v>0</v>
      </c>
      <c r="J17116">
        <f>IF($H17116=0,1,IF($I17116&lt;=1,2,0))</f>
        <v>2</v>
      </c>
      <c r="K17116">
        <v>5</v>
      </c>
      <c r="L17116">
        <f>IF(AND($J17116=0,$K17116=0),0,1)</f>
        <v>1</v>
      </c>
    </row>
    <row r="17117" spans="1:13" x14ac:dyDescent="0.2">
      <c r="A17117" t="s">
        <v>698</v>
      </c>
      <c r="B17117" t="s">
        <v>133</v>
      </c>
      <c r="C17117" t="s">
        <v>9</v>
      </c>
      <c r="D17117">
        <v>3107</v>
      </c>
      <c r="E17117">
        <v>2021</v>
      </c>
      <c r="F17117">
        <v>2</v>
      </c>
      <c r="G17117">
        <v>13042</v>
      </c>
      <c r="H17117" s="1">
        <v>3</v>
      </c>
      <c r="I17117">
        <v>0</v>
      </c>
      <c r="J17117">
        <f>IF($H17117=0,1,IF($I17117&lt;=1,2,0))</f>
        <v>2</v>
      </c>
      <c r="K17117">
        <v>0</v>
      </c>
      <c r="L17117">
        <f>IF(AND($J17117=0,$K17117=0),0,1)</f>
        <v>1</v>
      </c>
      <c r="M17117" t="s">
        <v>699</v>
      </c>
    </row>
    <row r="17118" spans="1:13" x14ac:dyDescent="0.2">
      <c r="A17118" t="s">
        <v>698</v>
      </c>
      <c r="B17118" t="s">
        <v>133</v>
      </c>
      <c r="C17118" t="s">
        <v>9</v>
      </c>
      <c r="D17118">
        <v>4203</v>
      </c>
      <c r="E17118">
        <v>2021</v>
      </c>
      <c r="F17118">
        <v>3</v>
      </c>
      <c r="G17118">
        <v>13046</v>
      </c>
      <c r="H17118" s="1">
        <v>3</v>
      </c>
      <c r="I17118">
        <v>34</v>
      </c>
      <c r="J17118">
        <f>IF($H17118=0,1,IF($I17118&lt;=1,2,0))</f>
        <v>0</v>
      </c>
      <c r="K17118">
        <v>4</v>
      </c>
      <c r="L17118">
        <f>IF(AND($J17118=0,$K17118=0),0,1)</f>
        <v>1</v>
      </c>
      <c r="M17118" t="s">
        <v>702</v>
      </c>
    </row>
    <row r="17119" spans="1:13" x14ac:dyDescent="0.2">
      <c r="A17119" t="s">
        <v>698</v>
      </c>
      <c r="B17119" t="s">
        <v>133</v>
      </c>
      <c r="C17119" t="s">
        <v>9</v>
      </c>
      <c r="D17119">
        <v>4204</v>
      </c>
      <c r="E17119">
        <v>2021</v>
      </c>
      <c r="F17119">
        <v>2</v>
      </c>
      <c r="G17119">
        <v>13048</v>
      </c>
      <c r="H17119" s="1">
        <v>3</v>
      </c>
      <c r="I17119">
        <v>12</v>
      </c>
      <c r="J17119">
        <f>IF($H17119=0,1,IF($I17119&lt;=1,2,0))</f>
        <v>0</v>
      </c>
      <c r="K17119">
        <v>4</v>
      </c>
      <c r="L17119">
        <f>IF(AND($J17119=0,$K17119=0),0,1)</f>
        <v>1</v>
      </c>
      <c r="M17119" t="s">
        <v>702</v>
      </c>
    </row>
    <row r="17120" spans="1:13" x14ac:dyDescent="0.2">
      <c r="A17120" t="s">
        <v>698</v>
      </c>
      <c r="B17120" t="s">
        <v>133</v>
      </c>
      <c r="C17120" t="s">
        <v>11</v>
      </c>
      <c r="D17120">
        <v>4264</v>
      </c>
      <c r="E17120">
        <v>2021</v>
      </c>
      <c r="F17120">
        <v>2</v>
      </c>
      <c r="G17120">
        <v>13065</v>
      </c>
      <c r="H17120" s="1">
        <v>3</v>
      </c>
      <c r="I17120">
        <v>1</v>
      </c>
      <c r="J17120">
        <f>IF($H17120=0,1,IF($I17120&lt;=1,2,0))</f>
        <v>2</v>
      </c>
      <c r="K17120">
        <v>0</v>
      </c>
      <c r="L17120">
        <f>IF(AND($J17120=0,$K17120=0),0,1)</f>
        <v>1</v>
      </c>
    </row>
    <row r="17121" spans="1:13" x14ac:dyDescent="0.2">
      <c r="A17121" t="s">
        <v>698</v>
      </c>
      <c r="B17121" t="s">
        <v>133</v>
      </c>
      <c r="C17121" t="s">
        <v>9</v>
      </c>
      <c r="D17121">
        <v>5203</v>
      </c>
      <c r="E17121">
        <v>2021</v>
      </c>
      <c r="F17121">
        <v>2</v>
      </c>
      <c r="G17121">
        <v>13069</v>
      </c>
      <c r="H17121" s="1">
        <v>3</v>
      </c>
      <c r="I17121">
        <v>140</v>
      </c>
      <c r="J17121">
        <f>IF($H17121=0,1,IF($I17121&lt;=1,2,0))</f>
        <v>0</v>
      </c>
      <c r="K17121">
        <v>4</v>
      </c>
      <c r="L17121">
        <f>IF(AND($J17121=0,$K17121=0),0,1)</f>
        <v>1</v>
      </c>
      <c r="M17121" t="s">
        <v>1789</v>
      </c>
    </row>
    <row r="17122" spans="1:13" x14ac:dyDescent="0.2">
      <c r="A17122" t="s">
        <v>698</v>
      </c>
      <c r="B17122" t="s">
        <v>133</v>
      </c>
      <c r="C17122" t="s">
        <v>9</v>
      </c>
      <c r="D17122">
        <v>5203</v>
      </c>
      <c r="E17122">
        <v>2021</v>
      </c>
      <c r="F17122">
        <v>5</v>
      </c>
      <c r="G17122">
        <v>13071</v>
      </c>
      <c r="H17122" s="1">
        <v>3</v>
      </c>
      <c r="I17122">
        <v>76</v>
      </c>
      <c r="J17122">
        <f>IF($H17122=0,1,IF($I17122&lt;=1,2,0))</f>
        <v>0</v>
      </c>
      <c r="K17122">
        <v>4</v>
      </c>
      <c r="L17122">
        <f>IF(AND($J17122=0,$K17122=0),0,1)</f>
        <v>1</v>
      </c>
      <c r="M17122" t="s">
        <v>1791</v>
      </c>
    </row>
    <row r="17123" spans="1:13" x14ac:dyDescent="0.2">
      <c r="A17123" t="s">
        <v>698</v>
      </c>
      <c r="B17123" t="s">
        <v>133</v>
      </c>
      <c r="C17123" t="s">
        <v>9</v>
      </c>
      <c r="D17123">
        <v>5203</v>
      </c>
      <c r="E17123">
        <v>2021</v>
      </c>
      <c r="F17123">
        <v>3</v>
      </c>
      <c r="G17123">
        <v>13070</v>
      </c>
      <c r="H17123" s="1">
        <v>3</v>
      </c>
      <c r="I17123">
        <v>49</v>
      </c>
      <c r="J17123">
        <f>IF($H17123=0,1,IF($I17123&lt;=1,2,0))</f>
        <v>0</v>
      </c>
      <c r="K17123">
        <v>4</v>
      </c>
      <c r="L17123">
        <f>IF(AND($J17123=0,$K17123=0),0,1)</f>
        <v>1</v>
      </c>
      <c r="M17123" t="s">
        <v>1790</v>
      </c>
    </row>
    <row r="17124" spans="1:13" x14ac:dyDescent="0.2">
      <c r="A17124" t="s">
        <v>698</v>
      </c>
      <c r="B17124" t="s">
        <v>133</v>
      </c>
      <c r="C17124" t="s">
        <v>9</v>
      </c>
      <c r="D17124">
        <v>5203</v>
      </c>
      <c r="E17124">
        <v>2021</v>
      </c>
      <c r="F17124">
        <v>6</v>
      </c>
      <c r="G17124">
        <v>20132</v>
      </c>
      <c r="H17124" s="1">
        <v>3</v>
      </c>
      <c r="I17124">
        <v>38</v>
      </c>
      <c r="J17124">
        <f>IF($H17124=0,1,IF($I17124&lt;=1,2,0))</f>
        <v>0</v>
      </c>
      <c r="K17124">
        <v>4</v>
      </c>
      <c r="L17124">
        <f>IF(AND($J17124=0,$K17124=0),0,1)</f>
        <v>1</v>
      </c>
      <c r="M17124" t="s">
        <v>1792</v>
      </c>
    </row>
    <row r="17125" spans="1:13" x14ac:dyDescent="0.2">
      <c r="A17125" t="s">
        <v>698</v>
      </c>
      <c r="B17125" t="s">
        <v>133</v>
      </c>
      <c r="C17125" t="s">
        <v>9</v>
      </c>
      <c r="D17125">
        <v>5203</v>
      </c>
      <c r="E17125">
        <v>2021</v>
      </c>
      <c r="F17125">
        <v>1</v>
      </c>
      <c r="G17125">
        <v>13068</v>
      </c>
      <c r="H17125" s="1">
        <v>3</v>
      </c>
      <c r="I17125">
        <v>28</v>
      </c>
      <c r="J17125">
        <f>IF($H17125=0,1,IF($I17125&lt;=1,2,0))</f>
        <v>0</v>
      </c>
      <c r="K17125">
        <v>4</v>
      </c>
      <c r="L17125">
        <f>IF(AND($J17125=0,$K17125=0),0,1)</f>
        <v>1</v>
      </c>
      <c r="M17125" t="s">
        <v>705</v>
      </c>
    </row>
    <row r="17126" spans="1:13" x14ac:dyDescent="0.2">
      <c r="A17126" t="s">
        <v>698</v>
      </c>
      <c r="B17126" t="s">
        <v>133</v>
      </c>
      <c r="C17126" t="s">
        <v>9</v>
      </c>
      <c r="D17126">
        <v>5203</v>
      </c>
      <c r="E17126">
        <v>2021</v>
      </c>
      <c r="F17126" t="s">
        <v>707</v>
      </c>
      <c r="G17126">
        <v>13072</v>
      </c>
      <c r="H17126" s="1">
        <v>3</v>
      </c>
      <c r="I17126">
        <v>7</v>
      </c>
      <c r="J17126">
        <f>IF($H17126=0,1,IF($I17126&lt;=1,2,0))</f>
        <v>0</v>
      </c>
      <c r="K17126">
        <v>4</v>
      </c>
      <c r="L17126">
        <f>IF(AND($J17126=0,$K17126=0),0,1)</f>
        <v>1</v>
      </c>
      <c r="M17126" t="s">
        <v>1793</v>
      </c>
    </row>
    <row r="17127" spans="1:13" x14ac:dyDescent="0.2">
      <c r="A17127" t="s">
        <v>698</v>
      </c>
      <c r="B17127" t="s">
        <v>133</v>
      </c>
      <c r="C17127" t="s">
        <v>9</v>
      </c>
      <c r="D17127">
        <v>5204</v>
      </c>
      <c r="E17127">
        <v>2021</v>
      </c>
      <c r="F17127">
        <v>4</v>
      </c>
      <c r="G17127">
        <v>13075</v>
      </c>
      <c r="H17127" s="1">
        <v>3</v>
      </c>
      <c r="I17127">
        <v>144</v>
      </c>
      <c r="J17127">
        <f>IF($H17127=0,1,IF($I17127&lt;=1,2,0))</f>
        <v>0</v>
      </c>
      <c r="K17127">
        <v>4</v>
      </c>
      <c r="L17127">
        <f>IF(AND($J17127=0,$K17127=0),0,1)</f>
        <v>1</v>
      </c>
      <c r="M17127" t="s">
        <v>1794</v>
      </c>
    </row>
    <row r="17128" spans="1:13" x14ac:dyDescent="0.2">
      <c r="A17128" t="s">
        <v>698</v>
      </c>
      <c r="B17128" t="s">
        <v>133</v>
      </c>
      <c r="C17128" t="s">
        <v>9</v>
      </c>
      <c r="D17128">
        <v>5204</v>
      </c>
      <c r="E17128">
        <v>2021</v>
      </c>
      <c r="F17128">
        <v>5</v>
      </c>
      <c r="G17128">
        <v>13076</v>
      </c>
      <c r="H17128" s="1">
        <v>3</v>
      </c>
      <c r="I17128">
        <v>129</v>
      </c>
      <c r="J17128">
        <f>IF($H17128=0,1,IF($I17128&lt;=1,2,0))</f>
        <v>0</v>
      </c>
      <c r="K17128">
        <v>4</v>
      </c>
      <c r="L17128">
        <f>IF(AND($J17128=0,$K17128=0),0,1)</f>
        <v>1</v>
      </c>
      <c r="M17128" t="s">
        <v>1794</v>
      </c>
    </row>
    <row r="17129" spans="1:13" x14ac:dyDescent="0.2">
      <c r="A17129" t="s">
        <v>698</v>
      </c>
      <c r="B17129" t="s">
        <v>133</v>
      </c>
      <c r="C17129" t="s">
        <v>9</v>
      </c>
      <c r="D17129">
        <v>5204</v>
      </c>
      <c r="E17129">
        <v>2021</v>
      </c>
      <c r="F17129">
        <v>2</v>
      </c>
      <c r="G17129">
        <v>13074</v>
      </c>
      <c r="H17129" s="1">
        <v>3</v>
      </c>
      <c r="I17129">
        <v>55</v>
      </c>
      <c r="J17129">
        <f>IF($H17129=0,1,IF($I17129&lt;=1,2,0))</f>
        <v>0</v>
      </c>
      <c r="K17129">
        <v>4</v>
      </c>
      <c r="L17129">
        <f>IF(AND($J17129=0,$K17129=0),0,1)</f>
        <v>1</v>
      </c>
      <c r="M17129" t="s">
        <v>1794</v>
      </c>
    </row>
    <row r="17130" spans="1:13" x14ac:dyDescent="0.2">
      <c r="A17130" t="s">
        <v>698</v>
      </c>
      <c r="B17130" t="s">
        <v>133</v>
      </c>
      <c r="C17130" t="s">
        <v>9</v>
      </c>
      <c r="D17130">
        <v>5204</v>
      </c>
      <c r="E17130">
        <v>2021</v>
      </c>
      <c r="F17130">
        <v>1</v>
      </c>
      <c r="G17130">
        <v>13073</v>
      </c>
      <c r="H17130" s="1">
        <v>3</v>
      </c>
      <c r="I17130">
        <v>14</v>
      </c>
      <c r="J17130">
        <f>IF($H17130=0,1,IF($I17130&lt;=1,2,0))</f>
        <v>0</v>
      </c>
      <c r="K17130">
        <v>4</v>
      </c>
      <c r="L17130">
        <f>IF(AND($J17130=0,$K17130=0),0,1)</f>
        <v>1</v>
      </c>
      <c r="M17130" t="s">
        <v>705</v>
      </c>
    </row>
    <row r="17131" spans="1:13" x14ac:dyDescent="0.2">
      <c r="A17131" t="s">
        <v>698</v>
      </c>
      <c r="B17131" t="s">
        <v>133</v>
      </c>
      <c r="C17131" t="s">
        <v>9</v>
      </c>
      <c r="D17131">
        <v>5204</v>
      </c>
      <c r="E17131">
        <v>2021</v>
      </c>
      <c r="F17131" t="s">
        <v>1512</v>
      </c>
      <c r="G17131">
        <v>13077</v>
      </c>
      <c r="H17131" s="1">
        <v>3</v>
      </c>
      <c r="I17131">
        <v>8</v>
      </c>
      <c r="J17131">
        <f>IF($H17131=0,1,IF($I17131&lt;=1,2,0))</f>
        <v>0</v>
      </c>
      <c r="K17131">
        <v>4</v>
      </c>
      <c r="L17131">
        <f>IF(AND($J17131=0,$K17131=0),0,1)</f>
        <v>1</v>
      </c>
      <c r="M17131" t="s">
        <v>1796</v>
      </c>
    </row>
    <row r="17132" spans="1:13" x14ac:dyDescent="0.2">
      <c r="A17132" t="s">
        <v>698</v>
      </c>
      <c r="B17132" t="s">
        <v>133</v>
      </c>
      <c r="C17132" t="s">
        <v>9</v>
      </c>
      <c r="D17132">
        <v>5204</v>
      </c>
      <c r="E17132">
        <v>2021</v>
      </c>
      <c r="F17132">
        <v>6</v>
      </c>
      <c r="G17132">
        <v>20122</v>
      </c>
      <c r="H17132" s="1">
        <v>3</v>
      </c>
      <c r="I17132">
        <v>0</v>
      </c>
      <c r="J17132">
        <f>IF($H17132=0,1,IF($I17132&lt;=1,2,0))</f>
        <v>2</v>
      </c>
      <c r="K17132">
        <v>0</v>
      </c>
      <c r="L17132">
        <f>IF(AND($J17132=0,$K17132=0),0,1)</f>
        <v>1</v>
      </c>
      <c r="M17132" t="s">
        <v>1795</v>
      </c>
    </row>
    <row r="17133" spans="1:13" x14ac:dyDescent="0.2">
      <c r="A17133" t="s">
        <v>698</v>
      </c>
      <c r="B17133" t="s">
        <v>133</v>
      </c>
      <c r="C17133" t="s">
        <v>9</v>
      </c>
      <c r="D17133">
        <v>5205</v>
      </c>
      <c r="E17133">
        <v>2021</v>
      </c>
      <c r="F17133">
        <v>1</v>
      </c>
      <c r="G17133">
        <v>13080</v>
      </c>
      <c r="H17133" s="1">
        <v>3</v>
      </c>
      <c r="I17133">
        <v>82</v>
      </c>
      <c r="J17133">
        <f>IF($H17133=0,1,IF($I17133&lt;=1,2,0))</f>
        <v>0</v>
      </c>
      <c r="K17133">
        <v>4</v>
      </c>
      <c r="L17133">
        <f>IF(AND($J17133=0,$K17133=0),0,1)</f>
        <v>1</v>
      </c>
      <c r="M17133" t="s">
        <v>705</v>
      </c>
    </row>
    <row r="17134" spans="1:13" x14ac:dyDescent="0.2">
      <c r="A17134" t="s">
        <v>698</v>
      </c>
      <c r="B17134" t="s">
        <v>133</v>
      </c>
      <c r="C17134" t="s">
        <v>9</v>
      </c>
      <c r="D17134">
        <v>5205</v>
      </c>
      <c r="E17134">
        <v>2021</v>
      </c>
      <c r="F17134">
        <v>4</v>
      </c>
      <c r="G17134">
        <v>13083</v>
      </c>
      <c r="H17134" s="1">
        <v>3</v>
      </c>
      <c r="I17134">
        <v>79</v>
      </c>
      <c r="J17134">
        <f>IF($H17134=0,1,IF($I17134&lt;=1,2,0))</f>
        <v>0</v>
      </c>
      <c r="K17134">
        <v>4</v>
      </c>
      <c r="L17134">
        <f>IF(AND($J17134=0,$K17134=0),0,1)</f>
        <v>1</v>
      </c>
      <c r="M17134" t="s">
        <v>705</v>
      </c>
    </row>
    <row r="17135" spans="1:13" x14ac:dyDescent="0.2">
      <c r="A17135" t="s">
        <v>698</v>
      </c>
      <c r="B17135" t="s">
        <v>133</v>
      </c>
      <c r="C17135" t="s">
        <v>9</v>
      </c>
      <c r="D17135">
        <v>5205</v>
      </c>
      <c r="E17135">
        <v>2021</v>
      </c>
      <c r="F17135">
        <v>3</v>
      </c>
      <c r="G17135">
        <v>13082</v>
      </c>
      <c r="H17135" s="1">
        <v>3</v>
      </c>
      <c r="I17135">
        <v>77</v>
      </c>
      <c r="J17135">
        <f>IF($H17135=0,1,IF($I17135&lt;=1,2,0))</f>
        <v>0</v>
      </c>
      <c r="K17135">
        <v>4</v>
      </c>
      <c r="L17135">
        <f>IF(AND($J17135=0,$K17135=0),0,1)</f>
        <v>1</v>
      </c>
      <c r="M17135" t="s">
        <v>705</v>
      </c>
    </row>
    <row r="17136" spans="1:13" x14ac:dyDescent="0.2">
      <c r="A17136" t="s">
        <v>698</v>
      </c>
      <c r="B17136" t="s">
        <v>133</v>
      </c>
      <c r="C17136" t="s">
        <v>9</v>
      </c>
      <c r="D17136">
        <v>5205</v>
      </c>
      <c r="E17136">
        <v>2021</v>
      </c>
      <c r="F17136">
        <v>2</v>
      </c>
      <c r="G17136">
        <v>13081</v>
      </c>
      <c r="H17136" s="1">
        <v>3</v>
      </c>
      <c r="I17136">
        <v>68</v>
      </c>
      <c r="J17136">
        <f>IF($H17136=0,1,IF($I17136&lt;=1,2,0))</f>
        <v>0</v>
      </c>
      <c r="K17136">
        <v>4</v>
      </c>
      <c r="L17136">
        <f>IF(AND($J17136=0,$K17136=0),0,1)</f>
        <v>1</v>
      </c>
      <c r="M17136" t="s">
        <v>705</v>
      </c>
    </row>
    <row r="17137" spans="1:13" x14ac:dyDescent="0.2">
      <c r="A17137" t="s">
        <v>698</v>
      </c>
      <c r="B17137" t="s">
        <v>133</v>
      </c>
      <c r="C17137" t="s">
        <v>9</v>
      </c>
      <c r="D17137">
        <v>5205</v>
      </c>
      <c r="E17137">
        <v>2021</v>
      </c>
      <c r="F17137">
        <v>5</v>
      </c>
      <c r="G17137">
        <v>20117</v>
      </c>
      <c r="H17137" s="1">
        <v>3</v>
      </c>
      <c r="I17137">
        <v>37</v>
      </c>
      <c r="J17137">
        <f>IF($H17137=0,1,IF($I17137&lt;=1,2,0))</f>
        <v>0</v>
      </c>
      <c r="K17137">
        <v>4</v>
      </c>
      <c r="L17137">
        <f>IF(AND($J17137=0,$K17137=0),0,1)</f>
        <v>1</v>
      </c>
      <c r="M17137" t="s">
        <v>705</v>
      </c>
    </row>
    <row r="17138" spans="1:13" x14ac:dyDescent="0.2">
      <c r="A17138" t="s">
        <v>698</v>
      </c>
      <c r="B17138" t="s">
        <v>133</v>
      </c>
      <c r="C17138" t="s">
        <v>9</v>
      </c>
      <c r="D17138">
        <v>5205</v>
      </c>
      <c r="E17138">
        <v>2021</v>
      </c>
      <c r="F17138" t="s">
        <v>711</v>
      </c>
      <c r="G17138">
        <v>13085</v>
      </c>
      <c r="H17138" s="1">
        <v>3</v>
      </c>
      <c r="I17138">
        <v>6</v>
      </c>
      <c r="J17138">
        <f>IF($H17138=0,1,IF($I17138&lt;=1,2,0))</f>
        <v>0</v>
      </c>
      <c r="K17138">
        <v>4</v>
      </c>
      <c r="L17138">
        <f>IF(AND($J17138=0,$K17138=0),0,1)</f>
        <v>1</v>
      </c>
      <c r="M17138" t="s">
        <v>1797</v>
      </c>
    </row>
    <row r="17139" spans="1:13" x14ac:dyDescent="0.2">
      <c r="A17139" t="s">
        <v>698</v>
      </c>
      <c r="B17139" t="s">
        <v>133</v>
      </c>
      <c r="C17139" t="s">
        <v>9</v>
      </c>
      <c r="D17139">
        <v>5206</v>
      </c>
      <c r="E17139">
        <v>2021</v>
      </c>
      <c r="F17139">
        <v>3</v>
      </c>
      <c r="G17139">
        <v>18455</v>
      </c>
      <c r="H17139" s="1">
        <v>3</v>
      </c>
      <c r="I17139">
        <v>129</v>
      </c>
      <c r="J17139">
        <f>IF($H17139=0,1,IF($I17139&lt;=1,2,0))</f>
        <v>0</v>
      </c>
      <c r="K17139">
        <v>4</v>
      </c>
      <c r="L17139">
        <f>IF(AND($J17139=0,$K17139=0),0,1)</f>
        <v>1</v>
      </c>
      <c r="M17139" t="s">
        <v>1798</v>
      </c>
    </row>
    <row r="17140" spans="1:13" x14ac:dyDescent="0.2">
      <c r="A17140" t="s">
        <v>698</v>
      </c>
      <c r="B17140" t="s">
        <v>133</v>
      </c>
      <c r="C17140" t="s">
        <v>9</v>
      </c>
      <c r="D17140">
        <v>5206</v>
      </c>
      <c r="E17140">
        <v>2021</v>
      </c>
      <c r="F17140">
        <v>1</v>
      </c>
      <c r="G17140">
        <v>13089</v>
      </c>
      <c r="H17140" s="1">
        <v>3</v>
      </c>
      <c r="I17140">
        <v>113</v>
      </c>
      <c r="J17140">
        <f>IF($H17140=0,1,IF($I17140&lt;=1,2,0))</f>
        <v>0</v>
      </c>
      <c r="K17140">
        <v>4</v>
      </c>
      <c r="L17140">
        <f>IF(AND($J17140=0,$K17140=0),0,1)</f>
        <v>1</v>
      </c>
      <c r="M17140" t="s">
        <v>1798</v>
      </c>
    </row>
    <row r="17141" spans="1:13" x14ac:dyDescent="0.2">
      <c r="A17141" t="s">
        <v>698</v>
      </c>
      <c r="B17141" t="s">
        <v>133</v>
      </c>
      <c r="C17141" t="s">
        <v>9</v>
      </c>
      <c r="D17141">
        <v>5206</v>
      </c>
      <c r="E17141">
        <v>2021</v>
      </c>
      <c r="F17141">
        <v>2</v>
      </c>
      <c r="G17141">
        <v>13090</v>
      </c>
      <c r="H17141" s="1">
        <v>3</v>
      </c>
      <c r="I17141">
        <v>64</v>
      </c>
      <c r="J17141">
        <f>IF($H17141=0,1,IF($I17141&lt;=1,2,0))</f>
        <v>0</v>
      </c>
      <c r="K17141">
        <v>4</v>
      </c>
      <c r="L17141">
        <f>IF(AND($J17141=0,$K17141=0),0,1)</f>
        <v>1</v>
      </c>
      <c r="M17141" t="s">
        <v>1798</v>
      </c>
    </row>
    <row r="17142" spans="1:13" x14ac:dyDescent="0.2">
      <c r="A17142" t="s">
        <v>698</v>
      </c>
      <c r="B17142" t="s">
        <v>133</v>
      </c>
      <c r="C17142" t="s">
        <v>9</v>
      </c>
      <c r="D17142">
        <v>5206</v>
      </c>
      <c r="E17142">
        <v>2021</v>
      </c>
      <c r="F17142" t="s">
        <v>1512</v>
      </c>
      <c r="G17142">
        <v>13364</v>
      </c>
      <c r="H17142" s="1">
        <v>3</v>
      </c>
      <c r="I17142">
        <v>2</v>
      </c>
      <c r="J17142">
        <f>IF($H17142=0,1,IF($I17142&lt;=1,2,0))</f>
        <v>0</v>
      </c>
      <c r="K17142">
        <v>4</v>
      </c>
      <c r="L17142">
        <f>IF(AND($J17142=0,$K17142=0),0,1)</f>
        <v>1</v>
      </c>
      <c r="M17142" t="s">
        <v>1799</v>
      </c>
    </row>
    <row r="17143" spans="1:13" x14ac:dyDescent="0.2">
      <c r="A17143" t="s">
        <v>698</v>
      </c>
      <c r="B17143" t="s">
        <v>133</v>
      </c>
      <c r="C17143" t="s">
        <v>9</v>
      </c>
      <c r="D17143">
        <v>5207</v>
      </c>
      <c r="E17143">
        <v>2021</v>
      </c>
      <c r="F17143">
        <v>1</v>
      </c>
      <c r="G17143">
        <v>13092</v>
      </c>
      <c r="H17143" s="1">
        <v>3</v>
      </c>
      <c r="I17143">
        <v>50</v>
      </c>
      <c r="J17143">
        <f>IF($H17143=0,1,IF($I17143&lt;=1,2,0))</f>
        <v>0</v>
      </c>
      <c r="K17143">
        <v>4</v>
      </c>
      <c r="L17143">
        <f>IF(AND($J17143=0,$K17143=0),0,1)</f>
        <v>1</v>
      </c>
      <c r="M17143" t="s">
        <v>705</v>
      </c>
    </row>
    <row r="17144" spans="1:13" x14ac:dyDescent="0.2">
      <c r="A17144" t="s">
        <v>698</v>
      </c>
      <c r="B17144" t="s">
        <v>133</v>
      </c>
      <c r="C17144" t="s">
        <v>9</v>
      </c>
      <c r="D17144">
        <v>5221</v>
      </c>
      <c r="E17144">
        <v>2021</v>
      </c>
      <c r="F17144">
        <v>1</v>
      </c>
      <c r="G17144">
        <v>13155</v>
      </c>
      <c r="H17144" s="1">
        <v>3</v>
      </c>
      <c r="I17144">
        <v>71</v>
      </c>
      <c r="J17144">
        <f>IF($H17144=0,1,IF($I17144&lt;=1,2,0))</f>
        <v>0</v>
      </c>
      <c r="K17144">
        <v>4</v>
      </c>
      <c r="L17144">
        <f>IF(AND($J17144=0,$K17144=0),0,1)</f>
        <v>1</v>
      </c>
      <c r="M17144" t="s">
        <v>705</v>
      </c>
    </row>
    <row r="17145" spans="1:13" x14ac:dyDescent="0.2">
      <c r="A17145" t="s">
        <v>698</v>
      </c>
      <c r="B17145" t="s">
        <v>133</v>
      </c>
      <c r="C17145" t="s">
        <v>9</v>
      </c>
      <c r="D17145">
        <v>5224</v>
      </c>
      <c r="E17145">
        <v>2021</v>
      </c>
      <c r="F17145">
        <v>1</v>
      </c>
      <c r="G17145">
        <v>13093</v>
      </c>
      <c r="H17145" s="1">
        <v>3</v>
      </c>
      <c r="I17145">
        <v>14</v>
      </c>
      <c r="J17145">
        <f>IF($H17145=0,1,IF($I17145&lt;=1,2,0))</f>
        <v>0</v>
      </c>
      <c r="K17145">
        <v>4</v>
      </c>
      <c r="L17145">
        <f>IF(AND($J17145=0,$K17145=0),0,1)</f>
        <v>1</v>
      </c>
      <c r="M17145" t="s">
        <v>705</v>
      </c>
    </row>
    <row r="17146" spans="1:13" x14ac:dyDescent="0.2">
      <c r="A17146" t="s">
        <v>698</v>
      </c>
      <c r="B17146" t="s">
        <v>133</v>
      </c>
      <c r="C17146" t="s">
        <v>9</v>
      </c>
      <c r="D17146">
        <v>5242</v>
      </c>
      <c r="E17146">
        <v>2021</v>
      </c>
      <c r="F17146">
        <v>2</v>
      </c>
      <c r="G17146">
        <v>13095</v>
      </c>
      <c r="H17146" s="1">
        <v>3</v>
      </c>
      <c r="I17146">
        <v>71</v>
      </c>
      <c r="J17146">
        <f>IF($H17146=0,1,IF($I17146&lt;=1,2,0))</f>
        <v>0</v>
      </c>
      <c r="K17146">
        <v>4</v>
      </c>
      <c r="L17146">
        <f>IF(AND($J17146=0,$K17146=0),0,1)</f>
        <v>1</v>
      </c>
      <c r="M17146" t="s">
        <v>714</v>
      </c>
    </row>
    <row r="17147" spans="1:13" x14ac:dyDescent="0.2">
      <c r="A17147" t="s">
        <v>698</v>
      </c>
      <c r="B17147" t="s">
        <v>133</v>
      </c>
      <c r="C17147" t="s">
        <v>9</v>
      </c>
      <c r="D17147">
        <v>5243</v>
      </c>
      <c r="E17147">
        <v>2021</v>
      </c>
      <c r="F17147">
        <v>1</v>
      </c>
      <c r="G17147">
        <v>13096</v>
      </c>
      <c r="H17147" s="1">
        <v>3</v>
      </c>
      <c r="I17147">
        <v>23</v>
      </c>
      <c r="J17147">
        <f>IF($H17147=0,1,IF($I17147&lt;=1,2,0))</f>
        <v>0</v>
      </c>
      <c r="K17147">
        <v>4</v>
      </c>
      <c r="L17147">
        <f>IF(AND($J17147=0,$K17147=0),0,1)</f>
        <v>1</v>
      </c>
      <c r="M17147" t="s">
        <v>705</v>
      </c>
    </row>
    <row r="17148" spans="1:13" x14ac:dyDescent="0.2">
      <c r="A17148" t="s">
        <v>698</v>
      </c>
      <c r="B17148" t="s">
        <v>133</v>
      </c>
      <c r="C17148" t="s">
        <v>11</v>
      </c>
      <c r="D17148">
        <v>5245</v>
      </c>
      <c r="E17148">
        <v>2021</v>
      </c>
      <c r="F17148">
        <v>2</v>
      </c>
      <c r="G17148">
        <v>13099</v>
      </c>
      <c r="H17148" s="1" t="s">
        <v>1831</v>
      </c>
      <c r="I17148">
        <v>27</v>
      </c>
      <c r="J17148">
        <f>IF($H17148=0,1,IF($I17148&lt;=1,2,0))</f>
        <v>0</v>
      </c>
      <c r="K17148">
        <v>4</v>
      </c>
      <c r="L17148">
        <f>IF(AND($J17148=0,$K17148=0),0,1)</f>
        <v>1</v>
      </c>
      <c r="M17148" t="s">
        <v>1800</v>
      </c>
    </row>
    <row r="17149" spans="1:13" x14ac:dyDescent="0.2">
      <c r="A17149" t="s">
        <v>698</v>
      </c>
      <c r="B17149" t="s">
        <v>133</v>
      </c>
      <c r="C17149" t="s">
        <v>11</v>
      </c>
      <c r="D17149">
        <v>5245</v>
      </c>
      <c r="E17149">
        <v>2021</v>
      </c>
      <c r="F17149" t="s">
        <v>848</v>
      </c>
      <c r="G17149">
        <v>13101</v>
      </c>
      <c r="H17149" s="1" t="s">
        <v>1831</v>
      </c>
      <c r="I17149">
        <v>12</v>
      </c>
      <c r="J17149">
        <f>IF($H17149=0,1,IF($I17149&lt;=1,2,0))</f>
        <v>0</v>
      </c>
      <c r="K17149">
        <v>4</v>
      </c>
      <c r="L17149">
        <f>IF(AND($J17149=0,$K17149=0),0,1)</f>
        <v>1</v>
      </c>
      <c r="M17149" t="s">
        <v>1800</v>
      </c>
    </row>
    <row r="17150" spans="1:13" x14ac:dyDescent="0.2">
      <c r="A17150" t="s">
        <v>698</v>
      </c>
      <c r="B17150" t="s">
        <v>133</v>
      </c>
      <c r="C17150" t="s">
        <v>9</v>
      </c>
      <c r="D17150">
        <v>5261</v>
      </c>
      <c r="E17150">
        <v>2021</v>
      </c>
      <c r="F17150">
        <v>1</v>
      </c>
      <c r="G17150">
        <v>13102</v>
      </c>
      <c r="H17150" s="1">
        <v>3</v>
      </c>
      <c r="I17150">
        <v>67</v>
      </c>
      <c r="J17150">
        <f>IF($H17150=0,1,IF($I17150&lt;=1,2,0))</f>
        <v>0</v>
      </c>
      <c r="K17150">
        <v>4</v>
      </c>
      <c r="L17150">
        <f>IF(AND($J17150=0,$K17150=0),0,1)</f>
        <v>1</v>
      </c>
      <c r="M17150" t="s">
        <v>1801</v>
      </c>
    </row>
    <row r="17151" spans="1:13" x14ac:dyDescent="0.2">
      <c r="A17151" t="s">
        <v>698</v>
      </c>
      <c r="B17151" t="s">
        <v>133</v>
      </c>
      <c r="C17151" t="s">
        <v>11</v>
      </c>
      <c r="D17151">
        <v>5263</v>
      </c>
      <c r="E17151">
        <v>2021</v>
      </c>
      <c r="F17151">
        <v>1</v>
      </c>
      <c r="G17151">
        <v>13103</v>
      </c>
      <c r="H17151" s="1">
        <v>3</v>
      </c>
      <c r="I17151">
        <v>91</v>
      </c>
      <c r="J17151">
        <f>IF($H17151=0,1,IF($I17151&lt;=1,2,0))</f>
        <v>0</v>
      </c>
      <c r="K17151">
        <v>4</v>
      </c>
      <c r="L17151">
        <f>IF(AND($J17151=0,$K17151=0),0,1)</f>
        <v>1</v>
      </c>
      <c r="M17151" t="s">
        <v>1802</v>
      </c>
    </row>
    <row r="17152" spans="1:13" x14ac:dyDescent="0.2">
      <c r="A17152" t="s">
        <v>698</v>
      </c>
      <c r="B17152" t="s">
        <v>133</v>
      </c>
      <c r="C17152" t="s">
        <v>11</v>
      </c>
      <c r="D17152">
        <v>5263</v>
      </c>
      <c r="E17152">
        <v>2021</v>
      </c>
      <c r="F17152">
        <v>2</v>
      </c>
      <c r="G17152">
        <v>13104</v>
      </c>
      <c r="H17152" s="1">
        <v>3</v>
      </c>
      <c r="I17152">
        <v>64</v>
      </c>
      <c r="J17152">
        <f>IF($H17152=0,1,IF($I17152&lt;=1,2,0))</f>
        <v>0</v>
      </c>
      <c r="K17152">
        <v>4</v>
      </c>
      <c r="L17152">
        <f>IF(AND($J17152=0,$K17152=0),0,1)</f>
        <v>1</v>
      </c>
      <c r="M17152" t="s">
        <v>1802</v>
      </c>
    </row>
    <row r="17153" spans="1:13" x14ac:dyDescent="0.2">
      <c r="A17153" t="s">
        <v>698</v>
      </c>
      <c r="B17153" t="s">
        <v>133</v>
      </c>
      <c r="C17153" t="s">
        <v>11</v>
      </c>
      <c r="D17153">
        <v>5264</v>
      </c>
      <c r="E17153">
        <v>2021</v>
      </c>
      <c r="F17153">
        <v>2</v>
      </c>
      <c r="G17153">
        <v>13107</v>
      </c>
      <c r="H17153" s="1">
        <v>3</v>
      </c>
      <c r="I17153">
        <v>115</v>
      </c>
      <c r="J17153">
        <f>IF($H17153=0,1,IF($I17153&lt;=1,2,0))</f>
        <v>0</v>
      </c>
      <c r="K17153">
        <v>4</v>
      </c>
      <c r="L17153">
        <f>IF(AND($J17153=0,$K17153=0),0,1)</f>
        <v>1</v>
      </c>
      <c r="M17153" t="s">
        <v>1803</v>
      </c>
    </row>
    <row r="17154" spans="1:13" x14ac:dyDescent="0.2">
      <c r="A17154" t="s">
        <v>698</v>
      </c>
      <c r="B17154" t="s">
        <v>133</v>
      </c>
      <c r="C17154" t="s">
        <v>11</v>
      </c>
      <c r="D17154">
        <v>5264</v>
      </c>
      <c r="E17154">
        <v>2021</v>
      </c>
      <c r="F17154">
        <v>1</v>
      </c>
      <c r="G17154">
        <v>13106</v>
      </c>
      <c r="H17154" s="1">
        <v>3</v>
      </c>
      <c r="I17154">
        <v>17</v>
      </c>
      <c r="J17154">
        <f>IF($H17154=0,1,IF($I17154&lt;=1,2,0))</f>
        <v>0</v>
      </c>
      <c r="K17154">
        <v>4</v>
      </c>
      <c r="L17154">
        <f>IF(AND($J17154=0,$K17154=0),0,1)</f>
        <v>1</v>
      </c>
      <c r="M17154" t="s">
        <v>1803</v>
      </c>
    </row>
    <row r="17155" spans="1:13" x14ac:dyDescent="0.2">
      <c r="A17155" t="s">
        <v>698</v>
      </c>
      <c r="B17155" t="s">
        <v>133</v>
      </c>
      <c r="C17155" t="s">
        <v>9</v>
      </c>
      <c r="D17155">
        <v>5291</v>
      </c>
      <c r="E17155">
        <v>2021</v>
      </c>
      <c r="F17155">
        <v>1</v>
      </c>
      <c r="G17155">
        <v>13108</v>
      </c>
      <c r="H17155" s="1">
        <v>3</v>
      </c>
      <c r="I17155">
        <v>74</v>
      </c>
      <c r="J17155">
        <f>IF($H17155=0,1,IF($I17155&lt;=1,2,0))</f>
        <v>0</v>
      </c>
      <c r="K17155">
        <v>4</v>
      </c>
      <c r="L17155">
        <f>IF(AND($J17155=0,$K17155=0),0,1)</f>
        <v>1</v>
      </c>
      <c r="M17155" t="s">
        <v>705</v>
      </c>
    </row>
    <row r="17156" spans="1:13" x14ac:dyDescent="0.2">
      <c r="A17156" t="s">
        <v>698</v>
      </c>
      <c r="B17156" t="s">
        <v>133</v>
      </c>
      <c r="C17156" t="s">
        <v>11</v>
      </c>
      <c r="D17156">
        <v>5293</v>
      </c>
      <c r="E17156">
        <v>2021</v>
      </c>
      <c r="F17156">
        <v>1</v>
      </c>
      <c r="G17156">
        <v>13109</v>
      </c>
      <c r="H17156" s="1">
        <v>3</v>
      </c>
      <c r="I17156">
        <v>42</v>
      </c>
      <c r="J17156">
        <f>IF($H17156=0,1,IF($I17156&lt;=1,2,0))</f>
        <v>0</v>
      </c>
      <c r="K17156">
        <v>4</v>
      </c>
      <c r="L17156">
        <f>IF(AND($J17156=0,$K17156=0),0,1)</f>
        <v>1</v>
      </c>
      <c r="M17156" t="s">
        <v>717</v>
      </c>
    </row>
    <row r="17157" spans="1:13" x14ac:dyDescent="0.2">
      <c r="A17157" t="s">
        <v>698</v>
      </c>
      <c r="B17157" t="s">
        <v>133</v>
      </c>
      <c r="C17157" t="s">
        <v>11</v>
      </c>
      <c r="D17157">
        <v>5293</v>
      </c>
      <c r="E17157">
        <v>2021</v>
      </c>
      <c r="F17157">
        <v>2</v>
      </c>
      <c r="G17157">
        <v>13111</v>
      </c>
      <c r="H17157" s="1">
        <v>3</v>
      </c>
      <c r="I17157">
        <v>29</v>
      </c>
      <c r="J17157">
        <f>IF($H17157=0,1,IF($I17157&lt;=1,2,0))</f>
        <v>0</v>
      </c>
      <c r="K17157">
        <v>4</v>
      </c>
      <c r="L17157">
        <f>IF(AND($J17157=0,$K17157=0),0,1)</f>
        <v>1</v>
      </c>
      <c r="M17157" t="s">
        <v>1288</v>
      </c>
    </row>
    <row r="17158" spans="1:13" x14ac:dyDescent="0.2">
      <c r="A17158" t="s">
        <v>698</v>
      </c>
      <c r="B17158" t="s">
        <v>133</v>
      </c>
      <c r="C17158" t="s">
        <v>11</v>
      </c>
      <c r="D17158">
        <v>5293</v>
      </c>
      <c r="E17158">
        <v>2021</v>
      </c>
      <c r="F17158">
        <v>3</v>
      </c>
      <c r="G17158">
        <v>13112</v>
      </c>
      <c r="H17158" s="1">
        <v>3</v>
      </c>
      <c r="I17158">
        <v>2</v>
      </c>
      <c r="J17158">
        <f>IF($H17158=0,1,IF($I17158&lt;=1,2,0))</f>
        <v>0</v>
      </c>
      <c r="K17158">
        <v>4</v>
      </c>
      <c r="L17158">
        <f>IF(AND($J17158=0,$K17158=0),0,1)</f>
        <v>1</v>
      </c>
      <c r="M17158" t="s">
        <v>2026</v>
      </c>
    </row>
    <row r="17159" spans="1:13" x14ac:dyDescent="0.2">
      <c r="A17159" t="s">
        <v>698</v>
      </c>
      <c r="B17159" t="s">
        <v>133</v>
      </c>
      <c r="C17159" t="s">
        <v>11</v>
      </c>
      <c r="D17159">
        <v>5391</v>
      </c>
      <c r="E17159">
        <v>2021</v>
      </c>
      <c r="F17159">
        <v>1</v>
      </c>
      <c r="G17159">
        <v>13115</v>
      </c>
      <c r="H17159" s="1">
        <v>0</v>
      </c>
      <c r="I17159">
        <v>184</v>
      </c>
      <c r="J17159">
        <f>IF($H17159=0,1,IF($I17159&lt;=1,2,0))</f>
        <v>1</v>
      </c>
      <c r="K17159">
        <v>0</v>
      </c>
      <c r="L17159">
        <f>IF(AND($J17159=0,$K17159=0),0,1)</f>
        <v>1</v>
      </c>
      <c r="M17159" t="s">
        <v>1804</v>
      </c>
    </row>
    <row r="17160" spans="1:13" x14ac:dyDescent="0.2">
      <c r="A17160" t="s">
        <v>698</v>
      </c>
      <c r="B17160" t="s">
        <v>133</v>
      </c>
      <c r="C17160" t="s">
        <v>11</v>
      </c>
      <c r="D17160">
        <v>5398</v>
      </c>
      <c r="E17160">
        <v>2021</v>
      </c>
      <c r="F17160">
        <v>1</v>
      </c>
      <c r="G17160">
        <v>13119</v>
      </c>
      <c r="H17160" s="1" t="s">
        <v>1831</v>
      </c>
      <c r="I17160">
        <v>7</v>
      </c>
      <c r="J17160">
        <f>IF($H17160=0,1,IF($I17160&lt;=1,2,0))</f>
        <v>0</v>
      </c>
      <c r="K17160">
        <v>4</v>
      </c>
      <c r="L17160">
        <f>IF(AND($J17160=0,$K17160=0),0,1)</f>
        <v>1</v>
      </c>
      <c r="M17160" t="s">
        <v>1805</v>
      </c>
    </row>
    <row r="17161" spans="1:13" x14ac:dyDescent="0.2">
      <c r="A17161" t="s">
        <v>698</v>
      </c>
      <c r="B17161" t="s">
        <v>133</v>
      </c>
      <c r="C17161" t="s">
        <v>11</v>
      </c>
      <c r="D17161">
        <v>5399</v>
      </c>
      <c r="E17161">
        <v>2021</v>
      </c>
      <c r="F17161">
        <v>1</v>
      </c>
      <c r="G17161">
        <v>13122</v>
      </c>
      <c r="H17161" s="1">
        <v>1</v>
      </c>
      <c r="I17161">
        <v>9</v>
      </c>
      <c r="J17161">
        <f>IF($H17161=0,1,IF($I17161&lt;=1,2,0))</f>
        <v>0</v>
      </c>
      <c r="K17161">
        <v>4</v>
      </c>
      <c r="L17161">
        <f>IF(AND($J17161=0,$K17161=0),0,1)</f>
        <v>1</v>
      </c>
      <c r="M17161" t="s">
        <v>1808</v>
      </c>
    </row>
    <row r="17162" spans="1:13" x14ac:dyDescent="0.2">
      <c r="A17162" t="s">
        <v>698</v>
      </c>
      <c r="B17162" t="s">
        <v>133</v>
      </c>
      <c r="C17162" t="s">
        <v>9</v>
      </c>
      <c r="D17162">
        <v>5701</v>
      </c>
      <c r="E17162">
        <v>2021</v>
      </c>
      <c r="F17162">
        <v>1</v>
      </c>
      <c r="G17162">
        <v>13124</v>
      </c>
      <c r="H17162" s="1">
        <v>3</v>
      </c>
      <c r="I17162">
        <v>241</v>
      </c>
      <c r="J17162">
        <f>IF($H17162=0,1,IF($I17162&lt;=1,2,0))</f>
        <v>0</v>
      </c>
      <c r="K17162">
        <v>4</v>
      </c>
      <c r="L17162">
        <f>IF(AND($J17162=0,$K17162=0),0,1)</f>
        <v>1</v>
      </c>
      <c r="M17162" t="s">
        <v>722</v>
      </c>
    </row>
    <row r="17163" spans="1:13" x14ac:dyDescent="0.2">
      <c r="A17163" t="s">
        <v>698</v>
      </c>
      <c r="B17163" t="s">
        <v>133</v>
      </c>
      <c r="C17163" t="s">
        <v>9</v>
      </c>
      <c r="D17163">
        <v>5702</v>
      </c>
      <c r="E17163">
        <v>2021</v>
      </c>
      <c r="F17163">
        <v>2</v>
      </c>
      <c r="G17163">
        <v>13127</v>
      </c>
      <c r="H17163" s="1">
        <v>3</v>
      </c>
      <c r="I17163">
        <v>177</v>
      </c>
      <c r="J17163">
        <f>IF($H17163=0,1,IF($I17163&lt;=1,2,0))</f>
        <v>0</v>
      </c>
      <c r="K17163">
        <v>4</v>
      </c>
      <c r="L17163">
        <f>IF(AND($J17163=0,$K17163=0),0,1)</f>
        <v>1</v>
      </c>
      <c r="M17163" t="s">
        <v>1810</v>
      </c>
    </row>
    <row r="17164" spans="1:13" x14ac:dyDescent="0.2">
      <c r="A17164" t="s">
        <v>698</v>
      </c>
      <c r="B17164" t="s">
        <v>133</v>
      </c>
      <c r="C17164" t="s">
        <v>9</v>
      </c>
      <c r="D17164">
        <v>5702</v>
      </c>
      <c r="E17164">
        <v>2021</v>
      </c>
      <c r="F17164">
        <v>1</v>
      </c>
      <c r="G17164">
        <v>13125</v>
      </c>
      <c r="H17164" s="1">
        <v>3</v>
      </c>
      <c r="I17164">
        <v>87</v>
      </c>
      <c r="J17164">
        <f>IF($H17164=0,1,IF($I17164&lt;=1,2,0))</f>
        <v>0</v>
      </c>
      <c r="K17164">
        <v>4</v>
      </c>
      <c r="L17164">
        <f>IF(AND($J17164=0,$K17164=0),0,1)</f>
        <v>1</v>
      </c>
      <c r="M17164" t="s">
        <v>1809</v>
      </c>
    </row>
    <row r="17165" spans="1:13" x14ac:dyDescent="0.2">
      <c r="A17165" t="s">
        <v>698</v>
      </c>
      <c r="B17165" t="s">
        <v>133</v>
      </c>
      <c r="C17165" t="s">
        <v>11</v>
      </c>
      <c r="D17165">
        <v>5703</v>
      </c>
      <c r="E17165">
        <v>2021</v>
      </c>
      <c r="F17165">
        <v>1</v>
      </c>
      <c r="G17165">
        <v>13128</v>
      </c>
      <c r="H17165" s="1">
        <v>3</v>
      </c>
      <c r="I17165">
        <v>55</v>
      </c>
      <c r="J17165">
        <f>IF($H17165=0,1,IF($I17165&lt;=1,2,0))</f>
        <v>0</v>
      </c>
      <c r="K17165">
        <v>4</v>
      </c>
      <c r="L17165">
        <f>IF(AND($J17165=0,$K17165=0),0,1)</f>
        <v>1</v>
      </c>
      <c r="M17165" t="s">
        <v>1811</v>
      </c>
    </row>
    <row r="17166" spans="1:13" x14ac:dyDescent="0.2">
      <c r="A17166" t="s">
        <v>698</v>
      </c>
      <c r="B17166" t="s">
        <v>133</v>
      </c>
      <c r="C17166" t="s">
        <v>11</v>
      </c>
      <c r="D17166">
        <v>6101</v>
      </c>
      <c r="E17166">
        <v>2021</v>
      </c>
      <c r="F17166">
        <v>1</v>
      </c>
      <c r="G17166">
        <v>13129</v>
      </c>
      <c r="H17166" s="1">
        <v>4</v>
      </c>
      <c r="I17166">
        <v>5</v>
      </c>
      <c r="J17166">
        <f>IF($H17166=0,1,IF($I17166&lt;=1,2,0))</f>
        <v>0</v>
      </c>
      <c r="K17166">
        <v>4</v>
      </c>
      <c r="L17166">
        <f>IF(AND($J17166=0,$K17166=0),0,1)</f>
        <v>1</v>
      </c>
      <c r="M17166" t="s">
        <v>725</v>
      </c>
    </row>
    <row r="17167" spans="1:13" x14ac:dyDescent="0.2">
      <c r="A17167" t="s">
        <v>698</v>
      </c>
      <c r="B17167" t="s">
        <v>133</v>
      </c>
      <c r="C17167" t="s">
        <v>11</v>
      </c>
      <c r="D17167">
        <v>6103</v>
      </c>
      <c r="E17167">
        <v>2021</v>
      </c>
      <c r="F17167">
        <v>1</v>
      </c>
      <c r="G17167">
        <v>13130</v>
      </c>
      <c r="H17167" s="1">
        <v>4</v>
      </c>
      <c r="I17167">
        <v>7</v>
      </c>
      <c r="J17167">
        <f>IF($H17167=0,1,IF($I17167&lt;=1,2,0))</f>
        <v>0</v>
      </c>
      <c r="K17167">
        <v>4</v>
      </c>
      <c r="L17167">
        <f>IF(AND($J17167=0,$K17167=0),0,1)</f>
        <v>1</v>
      </c>
      <c r="M17167" t="s">
        <v>725</v>
      </c>
    </row>
    <row r="17168" spans="1:13" x14ac:dyDescent="0.2">
      <c r="A17168" t="s">
        <v>698</v>
      </c>
      <c r="B17168" t="s">
        <v>133</v>
      </c>
      <c r="C17168" t="s">
        <v>34</v>
      </c>
      <c r="D17168">
        <v>6105</v>
      </c>
      <c r="E17168">
        <v>2021</v>
      </c>
      <c r="F17168">
        <v>1</v>
      </c>
      <c r="G17168">
        <v>13131</v>
      </c>
      <c r="H17168" s="1">
        <v>2</v>
      </c>
      <c r="I17168">
        <v>5</v>
      </c>
      <c r="J17168">
        <f>IF($H17168=0,1,IF($I17168&lt;=1,2,0))</f>
        <v>0</v>
      </c>
      <c r="K17168">
        <v>4</v>
      </c>
      <c r="L17168">
        <f>IF(AND($J17168=0,$K17168=0),0,1)</f>
        <v>1</v>
      </c>
      <c r="M17168" t="s">
        <v>725</v>
      </c>
    </row>
    <row r="17169" spans="1:13" x14ac:dyDescent="0.2">
      <c r="A17169" t="s">
        <v>698</v>
      </c>
      <c r="B17169" t="s">
        <v>133</v>
      </c>
      <c r="C17169" t="s">
        <v>11</v>
      </c>
      <c r="D17169">
        <v>6201</v>
      </c>
      <c r="E17169">
        <v>2021</v>
      </c>
      <c r="F17169">
        <v>1</v>
      </c>
      <c r="G17169">
        <v>13133</v>
      </c>
      <c r="H17169" s="1">
        <v>4</v>
      </c>
      <c r="I17169">
        <v>12</v>
      </c>
      <c r="J17169">
        <f>IF($H17169=0,1,IF($I17169&lt;=1,2,0))</f>
        <v>0</v>
      </c>
      <c r="K17169">
        <v>4</v>
      </c>
      <c r="L17169">
        <f>IF(AND($J17169=0,$K17169=0),0,1)</f>
        <v>1</v>
      </c>
      <c r="M17169" t="s">
        <v>725</v>
      </c>
    </row>
    <row r="17170" spans="1:13" x14ac:dyDescent="0.2">
      <c r="A17170" t="s">
        <v>698</v>
      </c>
      <c r="B17170" t="s">
        <v>133</v>
      </c>
      <c r="C17170" t="s">
        <v>11</v>
      </c>
      <c r="D17170">
        <v>6203</v>
      </c>
      <c r="E17170">
        <v>2021</v>
      </c>
      <c r="F17170">
        <v>1</v>
      </c>
      <c r="G17170">
        <v>13134</v>
      </c>
      <c r="H17170" s="1">
        <v>4</v>
      </c>
      <c r="I17170">
        <v>23</v>
      </c>
      <c r="J17170">
        <f>IF($H17170=0,1,IF($I17170&lt;=1,2,0))</f>
        <v>0</v>
      </c>
      <c r="K17170">
        <v>4</v>
      </c>
      <c r="L17170">
        <f>IF(AND($J17170=0,$K17170=0),0,1)</f>
        <v>1</v>
      </c>
      <c r="M17170" t="s">
        <v>725</v>
      </c>
    </row>
    <row r="17171" spans="1:13" x14ac:dyDescent="0.2">
      <c r="A17171" t="s">
        <v>698</v>
      </c>
      <c r="B17171" t="s">
        <v>133</v>
      </c>
      <c r="C17171" t="s">
        <v>11</v>
      </c>
      <c r="D17171">
        <v>6301</v>
      </c>
      <c r="E17171">
        <v>2021</v>
      </c>
      <c r="F17171">
        <v>1</v>
      </c>
      <c r="G17171">
        <v>13136</v>
      </c>
      <c r="H17171" s="1">
        <v>4</v>
      </c>
      <c r="I17171">
        <v>11</v>
      </c>
      <c r="J17171">
        <f>IF($H17171=0,1,IF($I17171&lt;=1,2,0))</f>
        <v>0</v>
      </c>
      <c r="K17171">
        <v>4</v>
      </c>
      <c r="L17171">
        <f>IF(AND($J17171=0,$K17171=0),0,1)</f>
        <v>1</v>
      </c>
      <c r="M17171" t="s">
        <v>725</v>
      </c>
    </row>
    <row r="17172" spans="1:13" x14ac:dyDescent="0.2">
      <c r="A17172" t="s">
        <v>698</v>
      </c>
      <c r="B17172" t="s">
        <v>133</v>
      </c>
      <c r="C17172" t="s">
        <v>11</v>
      </c>
      <c r="D17172">
        <v>6303</v>
      </c>
      <c r="E17172">
        <v>2021</v>
      </c>
      <c r="F17172">
        <v>1</v>
      </c>
      <c r="G17172">
        <v>13137</v>
      </c>
      <c r="H17172" s="1">
        <v>4</v>
      </c>
      <c r="I17172">
        <v>12</v>
      </c>
      <c r="J17172">
        <f>IF($H17172=0,1,IF($I17172&lt;=1,2,0))</f>
        <v>0</v>
      </c>
      <c r="K17172">
        <v>4</v>
      </c>
      <c r="L17172">
        <f>IF(AND($J17172=0,$K17172=0),0,1)</f>
        <v>1</v>
      </c>
      <c r="M17172" t="s">
        <v>1297</v>
      </c>
    </row>
    <row r="17173" spans="1:13" x14ac:dyDescent="0.2">
      <c r="A17173" t="s">
        <v>698</v>
      </c>
      <c r="B17173" t="s">
        <v>133</v>
      </c>
      <c r="C17173" t="s">
        <v>34</v>
      </c>
      <c r="D17173">
        <v>8201</v>
      </c>
      <c r="E17173">
        <v>2021</v>
      </c>
      <c r="F17173">
        <v>1</v>
      </c>
      <c r="G17173">
        <v>13139</v>
      </c>
      <c r="H17173" s="1">
        <v>3</v>
      </c>
      <c r="I17173">
        <v>10</v>
      </c>
      <c r="J17173">
        <f>IF($H17173=0,1,IF($I17173&lt;=1,2,0))</f>
        <v>0</v>
      </c>
      <c r="K17173">
        <v>4</v>
      </c>
      <c r="L17173">
        <f>IF(AND($J17173=0,$K17173=0),0,1)</f>
        <v>1</v>
      </c>
      <c r="M17173" t="s">
        <v>725</v>
      </c>
    </row>
    <row r="17174" spans="1:13" x14ac:dyDescent="0.2">
      <c r="A17174" t="s">
        <v>698</v>
      </c>
      <c r="B17174" t="s">
        <v>133</v>
      </c>
      <c r="C17174" t="s">
        <v>11</v>
      </c>
      <c r="D17174">
        <v>9201</v>
      </c>
      <c r="E17174">
        <v>2021</v>
      </c>
      <c r="F17174">
        <v>1</v>
      </c>
      <c r="G17174">
        <v>13142</v>
      </c>
      <c r="H17174" s="1">
        <v>3</v>
      </c>
      <c r="I17174">
        <v>37</v>
      </c>
      <c r="J17174">
        <f>IF($H17174=0,1,IF($I17174&lt;=1,2,0))</f>
        <v>0</v>
      </c>
      <c r="K17174">
        <v>5</v>
      </c>
      <c r="L17174">
        <f>IF(AND($J17174=0,$K17174=0),0,1)</f>
        <v>1</v>
      </c>
      <c r="M17174" t="s">
        <v>725</v>
      </c>
    </row>
    <row r="17175" spans="1:13" x14ac:dyDescent="0.2">
      <c r="A17175" t="s">
        <v>698</v>
      </c>
      <c r="B17175" t="s">
        <v>133</v>
      </c>
      <c r="C17175" t="s">
        <v>11</v>
      </c>
      <c r="D17175">
        <v>9301</v>
      </c>
      <c r="E17175">
        <v>2021</v>
      </c>
      <c r="F17175">
        <v>1</v>
      </c>
      <c r="G17175">
        <v>13143</v>
      </c>
      <c r="H17175" s="1">
        <v>3</v>
      </c>
      <c r="I17175">
        <v>2</v>
      </c>
      <c r="J17175">
        <f>IF($H17175=0,1,IF($I17175&lt;=1,2,0))</f>
        <v>0</v>
      </c>
      <c r="K17175">
        <v>5</v>
      </c>
      <c r="L17175">
        <f>IF(AND($J17175=0,$K17175=0),0,1)</f>
        <v>1</v>
      </c>
    </row>
    <row r="17176" spans="1:13" x14ac:dyDescent="0.2">
      <c r="A17176" t="s">
        <v>698</v>
      </c>
      <c r="B17176" t="s">
        <v>133</v>
      </c>
      <c r="C17176" t="s">
        <v>11</v>
      </c>
      <c r="D17176">
        <v>9302</v>
      </c>
      <c r="E17176">
        <v>2021</v>
      </c>
      <c r="F17176">
        <v>1</v>
      </c>
      <c r="G17176">
        <v>13144</v>
      </c>
      <c r="H17176" s="1">
        <v>1</v>
      </c>
      <c r="I17176">
        <v>5</v>
      </c>
      <c r="J17176">
        <f>IF($H17176=0,1,IF($I17176&lt;=1,2,0))</f>
        <v>0</v>
      </c>
      <c r="K17176">
        <v>5</v>
      </c>
      <c r="L17176">
        <f>IF(AND($J17176=0,$K17176=0),0,1)</f>
        <v>1</v>
      </c>
    </row>
    <row r="17177" spans="1:13" x14ac:dyDescent="0.2">
      <c r="A17177" t="s">
        <v>698</v>
      </c>
      <c r="B17177" t="s">
        <v>133</v>
      </c>
      <c r="C17177" t="s">
        <v>11</v>
      </c>
      <c r="D17177">
        <v>9303</v>
      </c>
      <c r="E17177">
        <v>2021</v>
      </c>
      <c r="F17177">
        <v>1</v>
      </c>
      <c r="G17177">
        <v>13146</v>
      </c>
      <c r="H17177" s="1">
        <v>3</v>
      </c>
      <c r="I17177">
        <v>6</v>
      </c>
      <c r="J17177">
        <f>IF($H17177=0,1,IF($I17177&lt;=1,2,0))</f>
        <v>0</v>
      </c>
      <c r="K17177">
        <v>5</v>
      </c>
      <c r="L17177">
        <f>IF(AND($J17177=0,$K17177=0),0,1)</f>
        <v>1</v>
      </c>
      <c r="M17177" t="s">
        <v>725</v>
      </c>
    </row>
    <row r="17178" spans="1:13" x14ac:dyDescent="0.2">
      <c r="A17178" t="s">
        <v>728</v>
      </c>
      <c r="B17178" t="s">
        <v>17</v>
      </c>
      <c r="C17178" t="s">
        <v>9</v>
      </c>
      <c r="D17178">
        <v>4998</v>
      </c>
      <c r="E17178">
        <v>2021</v>
      </c>
      <c r="F17178">
        <v>1</v>
      </c>
      <c r="G17178">
        <v>20518</v>
      </c>
      <c r="H17178" s="1" t="s">
        <v>1823</v>
      </c>
      <c r="I17178">
        <v>2</v>
      </c>
      <c r="J17178">
        <f>IF($H17178=0,1,IF($I17178&lt;=1,2,0))</f>
        <v>0</v>
      </c>
      <c r="K17178">
        <v>9</v>
      </c>
      <c r="L17178">
        <f>IF(AND($J17178=0,$K17178=0),0,1)</f>
        <v>1</v>
      </c>
    </row>
    <row r="17179" spans="1:13" x14ac:dyDescent="0.2">
      <c r="A17179" t="s">
        <v>730</v>
      </c>
      <c r="B17179" t="s">
        <v>386</v>
      </c>
      <c r="C17179" t="s">
        <v>407</v>
      </c>
      <c r="D17179">
        <v>8320</v>
      </c>
      <c r="E17179">
        <v>2021</v>
      </c>
      <c r="F17179">
        <v>1</v>
      </c>
      <c r="G17179">
        <v>16153</v>
      </c>
      <c r="H17179" s="1">
        <v>0</v>
      </c>
      <c r="I17179">
        <v>17</v>
      </c>
      <c r="J17179">
        <f>IF($H17179=0,1,IF($I17179&lt;=1,2,0))</f>
        <v>1</v>
      </c>
      <c r="K17179">
        <v>0</v>
      </c>
      <c r="L17179">
        <f>IF(AND($J17179=0,$K17179=0),0,1)</f>
        <v>1</v>
      </c>
    </row>
    <row r="17180" spans="1:13" x14ac:dyDescent="0.2">
      <c r="A17180" t="s">
        <v>730</v>
      </c>
      <c r="B17180" t="s">
        <v>386</v>
      </c>
      <c r="C17180" t="s">
        <v>407</v>
      </c>
      <c r="D17180">
        <v>8998</v>
      </c>
      <c r="E17180">
        <v>2021</v>
      </c>
      <c r="F17180">
        <v>1</v>
      </c>
      <c r="G17180">
        <v>18850</v>
      </c>
      <c r="H17180" s="1" t="s">
        <v>1827</v>
      </c>
      <c r="I17180">
        <v>1</v>
      </c>
      <c r="J17180">
        <f>IF($H17180=0,1,IF($I17180&lt;=1,2,0))</f>
        <v>2</v>
      </c>
      <c r="K17180">
        <v>0</v>
      </c>
      <c r="L17180">
        <f>IF(AND($J17180=0,$K17180=0),0,1)</f>
        <v>1</v>
      </c>
    </row>
    <row r="17181" spans="1:13" x14ac:dyDescent="0.2">
      <c r="A17181" t="s">
        <v>730</v>
      </c>
      <c r="B17181" t="s">
        <v>386</v>
      </c>
      <c r="C17181" t="s">
        <v>407</v>
      </c>
      <c r="D17181">
        <v>8998</v>
      </c>
      <c r="E17181">
        <v>2021</v>
      </c>
      <c r="F17181">
        <v>2</v>
      </c>
      <c r="G17181">
        <v>20528</v>
      </c>
      <c r="H17181" s="1" t="s">
        <v>1827</v>
      </c>
      <c r="I17181">
        <v>1</v>
      </c>
      <c r="J17181">
        <f>IF($H17181=0,1,IF($I17181&lt;=1,2,0))</f>
        <v>2</v>
      </c>
      <c r="K17181">
        <v>0</v>
      </c>
      <c r="L17181">
        <f>IF(AND($J17181=0,$K17181=0),0,1)</f>
        <v>1</v>
      </c>
    </row>
    <row r="17182" spans="1:13" x14ac:dyDescent="0.2">
      <c r="A17182" t="s">
        <v>730</v>
      </c>
      <c r="B17182" t="s">
        <v>386</v>
      </c>
      <c r="C17182" t="s">
        <v>407</v>
      </c>
      <c r="D17182">
        <v>8998</v>
      </c>
      <c r="E17182">
        <v>2021</v>
      </c>
      <c r="F17182">
        <v>3</v>
      </c>
      <c r="G17182">
        <v>20725</v>
      </c>
      <c r="H17182" s="1" t="s">
        <v>1827</v>
      </c>
      <c r="I17182">
        <v>0</v>
      </c>
      <c r="J17182">
        <f>IF($H17182=0,1,IF($I17182&lt;=1,2,0))</f>
        <v>2</v>
      </c>
      <c r="K17182">
        <v>0</v>
      </c>
      <c r="L17182">
        <f>IF(AND($J17182=0,$K17182=0),0,1)</f>
        <v>1</v>
      </c>
    </row>
    <row r="17183" spans="1:13" x14ac:dyDescent="0.2">
      <c r="A17183" t="s">
        <v>730</v>
      </c>
      <c r="B17183" t="s">
        <v>386</v>
      </c>
      <c r="C17183" t="s">
        <v>34</v>
      </c>
      <c r="D17183">
        <v>9000</v>
      </c>
      <c r="E17183">
        <v>2021</v>
      </c>
      <c r="F17183" t="s">
        <v>1562</v>
      </c>
      <c r="G17183">
        <v>11850</v>
      </c>
      <c r="H17183" s="1">
        <v>0</v>
      </c>
      <c r="I17183">
        <v>28</v>
      </c>
      <c r="J17183">
        <f>IF($H17183=0,1,IF($I17183&lt;=1,2,0))</f>
        <v>1</v>
      </c>
      <c r="K17183">
        <v>5</v>
      </c>
      <c r="L17183">
        <f>IF(AND($J17183=0,$K17183=0),0,1)</f>
        <v>1</v>
      </c>
    </row>
    <row r="17184" spans="1:13" x14ac:dyDescent="0.2">
      <c r="A17184" t="s">
        <v>730</v>
      </c>
      <c r="B17184" t="s">
        <v>386</v>
      </c>
      <c r="C17184" t="s">
        <v>34</v>
      </c>
      <c r="D17184">
        <v>9001</v>
      </c>
      <c r="E17184">
        <v>2021</v>
      </c>
      <c r="F17184" t="s">
        <v>1815</v>
      </c>
      <c r="G17184">
        <v>11852</v>
      </c>
      <c r="H17184" s="1">
        <v>0</v>
      </c>
      <c r="I17184">
        <v>14</v>
      </c>
      <c r="J17184">
        <f>IF($H17184=0,1,IF($I17184&lt;=1,2,0))</f>
        <v>1</v>
      </c>
      <c r="K17184">
        <v>5</v>
      </c>
      <c r="L17184">
        <f>IF(AND($J17184=0,$K17184=0),0,1)</f>
        <v>1</v>
      </c>
      <c r="M17184" t="s">
        <v>1043</v>
      </c>
    </row>
    <row r="17185" spans="1:13" x14ac:dyDescent="0.2">
      <c r="A17185" t="s">
        <v>730</v>
      </c>
      <c r="B17185" t="s">
        <v>386</v>
      </c>
      <c r="C17185" t="s">
        <v>407</v>
      </c>
      <c r="D17185">
        <v>9010</v>
      </c>
      <c r="E17185">
        <v>2021</v>
      </c>
      <c r="F17185">
        <v>1</v>
      </c>
      <c r="G17185">
        <v>16147</v>
      </c>
      <c r="H17185" s="1">
        <v>0</v>
      </c>
      <c r="I17185">
        <v>17</v>
      </c>
      <c r="J17185">
        <f>IF($H17185=0,1,IF($I17185&lt;=1,2,0))</f>
        <v>1</v>
      </c>
      <c r="K17185">
        <v>5</v>
      </c>
      <c r="L17185">
        <f>IF(AND($J17185=0,$K17185=0),0,1)</f>
        <v>1</v>
      </c>
    </row>
    <row r="17186" spans="1:13" x14ac:dyDescent="0.2">
      <c r="A17186" t="s">
        <v>730</v>
      </c>
      <c r="B17186" t="s">
        <v>386</v>
      </c>
      <c r="C17186" t="s">
        <v>407</v>
      </c>
      <c r="D17186">
        <v>9100</v>
      </c>
      <c r="E17186">
        <v>2021</v>
      </c>
      <c r="F17186">
        <v>1</v>
      </c>
      <c r="G17186">
        <v>16148</v>
      </c>
      <c r="H17186" s="1">
        <v>0</v>
      </c>
      <c r="I17186">
        <v>16</v>
      </c>
      <c r="J17186">
        <f>IF($H17186=0,1,IF($I17186&lt;=1,2,0))</f>
        <v>1</v>
      </c>
      <c r="K17186">
        <v>5</v>
      </c>
      <c r="L17186">
        <f>IF(AND($J17186=0,$K17186=0),0,1)</f>
        <v>1</v>
      </c>
    </row>
    <row r="17187" spans="1:13" x14ac:dyDescent="0.2">
      <c r="A17187" t="s">
        <v>730</v>
      </c>
      <c r="B17187" t="s">
        <v>386</v>
      </c>
      <c r="C17187" t="s">
        <v>407</v>
      </c>
      <c r="D17187">
        <v>9500</v>
      </c>
      <c r="E17187">
        <v>2021</v>
      </c>
      <c r="F17187" t="s">
        <v>1571</v>
      </c>
      <c r="G17187">
        <v>11854</v>
      </c>
      <c r="H17187" s="1">
        <v>0</v>
      </c>
      <c r="I17187">
        <v>24</v>
      </c>
      <c r="J17187">
        <f>IF($H17187=0,1,IF($I17187&lt;=1,2,0))</f>
        <v>1</v>
      </c>
      <c r="K17187">
        <v>5</v>
      </c>
      <c r="L17187">
        <f>IF(AND($J17187=0,$K17187=0),0,1)</f>
        <v>1</v>
      </c>
    </row>
    <row r="17188" spans="1:13" x14ac:dyDescent="0.2">
      <c r="A17188" t="s">
        <v>730</v>
      </c>
      <c r="B17188" t="s">
        <v>386</v>
      </c>
      <c r="C17188" t="s">
        <v>407</v>
      </c>
      <c r="D17188">
        <v>9600</v>
      </c>
      <c r="E17188">
        <v>2021</v>
      </c>
      <c r="F17188" t="s">
        <v>1571</v>
      </c>
      <c r="G17188">
        <v>11858</v>
      </c>
      <c r="H17188" s="1" t="s">
        <v>1828</v>
      </c>
      <c r="I17188">
        <v>0</v>
      </c>
      <c r="J17188">
        <f>IF($H17188=0,1,IF($I17188&lt;=1,2,0))</f>
        <v>2</v>
      </c>
      <c r="K17188">
        <v>5</v>
      </c>
      <c r="L17188">
        <f>IF(AND($J17188=0,$K17188=0),0,1)</f>
        <v>1</v>
      </c>
    </row>
    <row r="17189" spans="1:13" x14ac:dyDescent="0.2">
      <c r="A17189" t="s">
        <v>730</v>
      </c>
      <c r="B17189" t="s">
        <v>386</v>
      </c>
      <c r="C17189" t="s">
        <v>407</v>
      </c>
      <c r="D17189">
        <v>9800</v>
      </c>
      <c r="E17189">
        <v>2021</v>
      </c>
      <c r="F17189" t="s">
        <v>1816</v>
      </c>
      <c r="G17189">
        <v>11865</v>
      </c>
      <c r="H17189" s="1" t="s">
        <v>1828</v>
      </c>
      <c r="I17189">
        <v>1</v>
      </c>
      <c r="J17189">
        <f>IF($H17189=0,1,IF($I17189&lt;=1,2,0))</f>
        <v>2</v>
      </c>
      <c r="K17189">
        <v>5</v>
      </c>
      <c r="L17189">
        <f>IF(AND($J17189=0,$K17189=0),0,1)</f>
        <v>1</v>
      </c>
    </row>
    <row r="17190" spans="1:13" x14ac:dyDescent="0.2">
      <c r="A17190" t="s">
        <v>739</v>
      </c>
      <c r="B17190" t="s">
        <v>386</v>
      </c>
      <c r="C17190" t="s">
        <v>21</v>
      </c>
      <c r="D17190">
        <v>2427</v>
      </c>
      <c r="E17190">
        <v>2021</v>
      </c>
      <c r="F17190">
        <v>1</v>
      </c>
      <c r="G17190">
        <v>69</v>
      </c>
      <c r="H17190" s="1" t="s">
        <v>1827</v>
      </c>
      <c r="I17190">
        <v>1</v>
      </c>
      <c r="J17190">
        <f>IF($H17190=0,1,IF($I17190&lt;=1,2,0))</f>
        <v>2</v>
      </c>
      <c r="K17190">
        <v>0</v>
      </c>
      <c r="L17190">
        <f>IF(AND($J17190=0,$K17190=0),0,1)</f>
        <v>1</v>
      </c>
    </row>
    <row r="17191" spans="1:13" x14ac:dyDescent="0.2">
      <c r="A17191" t="s">
        <v>739</v>
      </c>
      <c r="B17191" t="s">
        <v>386</v>
      </c>
      <c r="C17191" t="s">
        <v>21</v>
      </c>
      <c r="D17191">
        <v>3144</v>
      </c>
      <c r="E17191">
        <v>2021</v>
      </c>
      <c r="F17191">
        <v>1</v>
      </c>
      <c r="G17191">
        <v>79</v>
      </c>
      <c r="H17191" s="1">
        <v>4</v>
      </c>
      <c r="I17191">
        <v>1</v>
      </c>
      <c r="J17191">
        <f>IF($H17191=0,1,IF($I17191&lt;=1,2,0))</f>
        <v>2</v>
      </c>
      <c r="K17191">
        <v>0</v>
      </c>
      <c r="L17191">
        <f>IF(AND($J17191=0,$K17191=0),0,1)</f>
        <v>1</v>
      </c>
    </row>
    <row r="17192" spans="1:13" x14ac:dyDescent="0.2">
      <c r="A17192" t="s">
        <v>739</v>
      </c>
      <c r="B17192" t="s">
        <v>386</v>
      </c>
      <c r="C17192" t="s">
        <v>21</v>
      </c>
      <c r="D17192">
        <v>3997</v>
      </c>
      <c r="E17192">
        <v>2021</v>
      </c>
      <c r="F17192">
        <v>1</v>
      </c>
      <c r="G17192">
        <v>90</v>
      </c>
      <c r="H17192" s="1">
        <v>4</v>
      </c>
      <c r="I17192">
        <v>4</v>
      </c>
      <c r="J17192">
        <f>IF($H17192=0,1,IF($I17192&lt;=1,2,0))</f>
        <v>0</v>
      </c>
      <c r="K17192">
        <v>9</v>
      </c>
      <c r="L17192">
        <f>IF(AND($J17192=0,$K17192=0),0,1)</f>
        <v>1</v>
      </c>
    </row>
    <row r="17193" spans="1:13" x14ac:dyDescent="0.2">
      <c r="A17193" t="s">
        <v>739</v>
      </c>
      <c r="B17193" t="s">
        <v>386</v>
      </c>
      <c r="C17193" t="s">
        <v>21</v>
      </c>
      <c r="D17193">
        <v>3997</v>
      </c>
      <c r="E17193">
        <v>2021</v>
      </c>
      <c r="F17193">
        <v>2</v>
      </c>
      <c r="G17193">
        <v>91</v>
      </c>
      <c r="H17193" s="1">
        <v>4</v>
      </c>
      <c r="I17193">
        <v>1</v>
      </c>
      <c r="J17193">
        <f>IF($H17193=0,1,IF($I17193&lt;=1,2,0))</f>
        <v>2</v>
      </c>
      <c r="K17193">
        <v>9</v>
      </c>
      <c r="L17193">
        <f>IF(AND($J17193=0,$K17193=0),0,1)</f>
        <v>1</v>
      </c>
    </row>
    <row r="17194" spans="1:13" x14ac:dyDescent="0.2">
      <c r="A17194" t="s">
        <v>739</v>
      </c>
      <c r="B17194" t="s">
        <v>386</v>
      </c>
      <c r="C17194" t="s">
        <v>21</v>
      </c>
      <c r="D17194">
        <v>3997</v>
      </c>
      <c r="E17194">
        <v>2021</v>
      </c>
      <c r="F17194">
        <v>3</v>
      </c>
      <c r="G17194">
        <v>92</v>
      </c>
      <c r="H17194" s="1">
        <v>4</v>
      </c>
      <c r="I17194">
        <v>0</v>
      </c>
      <c r="J17194">
        <f>IF($H17194=0,1,IF($I17194&lt;=1,2,0))</f>
        <v>2</v>
      </c>
      <c r="K17194">
        <v>9</v>
      </c>
      <c r="L17194">
        <f>IF(AND($J17194=0,$K17194=0),0,1)</f>
        <v>1</v>
      </c>
    </row>
    <row r="17195" spans="1:13" x14ac:dyDescent="0.2">
      <c r="A17195" t="s">
        <v>739</v>
      </c>
      <c r="B17195" t="s">
        <v>386</v>
      </c>
      <c r="C17195" t="s">
        <v>21</v>
      </c>
      <c r="D17195">
        <v>3998</v>
      </c>
      <c r="E17195">
        <v>2021</v>
      </c>
      <c r="F17195">
        <v>1</v>
      </c>
      <c r="G17195">
        <v>93</v>
      </c>
      <c r="H17195" s="1">
        <v>4</v>
      </c>
      <c r="I17195">
        <v>0</v>
      </c>
      <c r="J17195">
        <f>IF($H17195=0,1,IF($I17195&lt;=1,2,0))</f>
        <v>2</v>
      </c>
      <c r="K17195">
        <v>9</v>
      </c>
      <c r="L17195">
        <f>IF(AND($J17195=0,$K17195=0),0,1)</f>
        <v>1</v>
      </c>
    </row>
    <row r="17196" spans="1:13" x14ac:dyDescent="0.2">
      <c r="A17196" t="s">
        <v>739</v>
      </c>
      <c r="B17196" t="s">
        <v>386</v>
      </c>
      <c r="C17196" t="s">
        <v>21</v>
      </c>
      <c r="D17196">
        <v>3998</v>
      </c>
      <c r="E17196">
        <v>2021</v>
      </c>
      <c r="F17196">
        <v>2</v>
      </c>
      <c r="G17196">
        <v>94</v>
      </c>
      <c r="H17196" s="1">
        <v>4</v>
      </c>
      <c r="I17196">
        <v>0</v>
      </c>
      <c r="J17196">
        <f>IF($H17196=0,1,IF($I17196&lt;=1,2,0))</f>
        <v>2</v>
      </c>
      <c r="K17196">
        <v>9</v>
      </c>
      <c r="L17196">
        <f>IF(AND($J17196=0,$K17196=0),0,1)</f>
        <v>1</v>
      </c>
    </row>
    <row r="17197" spans="1:13" x14ac:dyDescent="0.2">
      <c r="A17197" t="s">
        <v>747</v>
      </c>
      <c r="B17197" t="s">
        <v>17</v>
      </c>
      <c r="C17197" t="s">
        <v>9</v>
      </c>
      <c r="D17197">
        <v>2412</v>
      </c>
      <c r="E17197">
        <v>2021</v>
      </c>
      <c r="F17197">
        <v>1</v>
      </c>
      <c r="G17197">
        <v>11027</v>
      </c>
      <c r="H17197" s="1">
        <v>4</v>
      </c>
      <c r="I17197">
        <v>0</v>
      </c>
      <c r="J17197">
        <f>IF($H17197=0,1,IF($I17197&lt;=1,2,0))</f>
        <v>2</v>
      </c>
      <c r="K17197">
        <v>0</v>
      </c>
      <c r="L17197">
        <f>IF(AND($J17197=0,$K17197=0),0,1)</f>
        <v>1</v>
      </c>
    </row>
    <row r="17198" spans="1:13" x14ac:dyDescent="0.2">
      <c r="A17198" t="s">
        <v>747</v>
      </c>
      <c r="B17198" t="s">
        <v>17</v>
      </c>
      <c r="C17198" t="s">
        <v>9</v>
      </c>
      <c r="D17198">
        <v>2710</v>
      </c>
      <c r="E17198">
        <v>2021</v>
      </c>
      <c r="F17198">
        <v>1</v>
      </c>
      <c r="G17198">
        <v>11028</v>
      </c>
      <c r="H17198" s="1">
        <v>4</v>
      </c>
      <c r="I17198">
        <v>1</v>
      </c>
      <c r="J17198">
        <f>IF($H17198=0,1,IF($I17198&lt;=1,2,0))</f>
        <v>2</v>
      </c>
      <c r="K17198">
        <v>0</v>
      </c>
      <c r="L17198">
        <f>IF(AND($J17198=0,$K17198=0),0,1)</f>
        <v>1</v>
      </c>
    </row>
    <row r="17199" spans="1:13" x14ac:dyDescent="0.2">
      <c r="A17199" t="s">
        <v>748</v>
      </c>
      <c r="B17199" t="s">
        <v>17</v>
      </c>
      <c r="C17199" t="s">
        <v>7</v>
      </c>
      <c r="D17199">
        <v>2101</v>
      </c>
      <c r="E17199">
        <v>2021</v>
      </c>
      <c r="F17199">
        <v>1</v>
      </c>
      <c r="G17199">
        <v>11726</v>
      </c>
      <c r="H17199" s="1">
        <v>4</v>
      </c>
      <c r="I17199">
        <v>0</v>
      </c>
      <c r="J17199">
        <f>IF($H17199=0,1,IF($I17199&lt;=1,2,0))</f>
        <v>2</v>
      </c>
      <c r="K17199">
        <v>0</v>
      </c>
      <c r="L17199">
        <f>IF(AND($J17199=0,$K17199=0),0,1)</f>
        <v>1</v>
      </c>
      <c r="M17199" t="s">
        <v>879</v>
      </c>
    </row>
    <row r="17200" spans="1:13" x14ac:dyDescent="0.2">
      <c r="A17200" t="s">
        <v>750</v>
      </c>
      <c r="B17200" t="s">
        <v>6</v>
      </c>
      <c r="C17200" t="s">
        <v>21</v>
      </c>
      <c r="D17200">
        <v>1516</v>
      </c>
      <c r="E17200">
        <v>2021</v>
      </c>
      <c r="F17200">
        <v>3</v>
      </c>
      <c r="G17200">
        <v>795</v>
      </c>
      <c r="H17200" s="1">
        <v>0</v>
      </c>
      <c r="I17200">
        <v>35</v>
      </c>
      <c r="J17200">
        <f>IF($H17200=0,1,IF($I17200&lt;=1,2,0))</f>
        <v>1</v>
      </c>
      <c r="K17200">
        <v>0</v>
      </c>
      <c r="L17200">
        <f>IF(AND($J17200=0,$K17200=0),0,1)</f>
        <v>1</v>
      </c>
    </row>
    <row r="17201" spans="1:13" x14ac:dyDescent="0.2">
      <c r="A17201" t="s">
        <v>750</v>
      </c>
      <c r="B17201" t="s">
        <v>6</v>
      </c>
      <c r="C17201" t="s">
        <v>21</v>
      </c>
      <c r="D17201">
        <v>1516</v>
      </c>
      <c r="E17201">
        <v>2021</v>
      </c>
      <c r="F17201">
        <v>1</v>
      </c>
      <c r="G17201">
        <v>794</v>
      </c>
      <c r="H17201" s="1">
        <v>0</v>
      </c>
      <c r="I17201">
        <v>33</v>
      </c>
      <c r="J17201">
        <f>IF($H17201=0,1,IF($I17201&lt;=1,2,0))</f>
        <v>1</v>
      </c>
      <c r="K17201">
        <v>0</v>
      </c>
      <c r="L17201">
        <f>IF(AND($J17201=0,$K17201=0),0,1)</f>
        <v>1</v>
      </c>
    </row>
    <row r="17202" spans="1:13" x14ac:dyDescent="0.2">
      <c r="A17202" t="s">
        <v>750</v>
      </c>
      <c r="B17202" t="s">
        <v>6</v>
      </c>
      <c r="C17202" t="s">
        <v>21</v>
      </c>
      <c r="D17202">
        <v>1516</v>
      </c>
      <c r="E17202">
        <v>2021</v>
      </c>
      <c r="F17202">
        <v>2</v>
      </c>
      <c r="G17202">
        <v>793</v>
      </c>
      <c r="H17202" s="1">
        <v>0</v>
      </c>
      <c r="I17202">
        <v>33</v>
      </c>
      <c r="J17202">
        <f>IF($H17202=0,1,IF($I17202&lt;=1,2,0))</f>
        <v>1</v>
      </c>
      <c r="K17202">
        <v>0</v>
      </c>
      <c r="L17202">
        <f>IF(AND($J17202=0,$K17202=0),0,1)</f>
        <v>1</v>
      </c>
    </row>
    <row r="17203" spans="1:13" x14ac:dyDescent="0.2">
      <c r="A17203" t="s">
        <v>750</v>
      </c>
      <c r="B17203" t="s">
        <v>6</v>
      </c>
      <c r="C17203" t="s">
        <v>21</v>
      </c>
      <c r="D17203">
        <v>1516</v>
      </c>
      <c r="E17203">
        <v>2021</v>
      </c>
      <c r="F17203">
        <v>4</v>
      </c>
      <c r="G17203">
        <v>796</v>
      </c>
      <c r="H17203" s="1">
        <v>0</v>
      </c>
      <c r="I17203">
        <v>25</v>
      </c>
      <c r="J17203">
        <f>IF($H17203=0,1,IF($I17203&lt;=1,2,0))</f>
        <v>1</v>
      </c>
      <c r="K17203">
        <v>0</v>
      </c>
      <c r="L17203">
        <f>IF(AND($J17203=0,$K17203=0),0,1)</f>
        <v>1</v>
      </c>
    </row>
    <row r="17204" spans="1:13" x14ac:dyDescent="0.2">
      <c r="A17204" t="s">
        <v>750</v>
      </c>
      <c r="B17204" t="s">
        <v>6</v>
      </c>
      <c r="C17204" t="s">
        <v>21</v>
      </c>
      <c r="D17204">
        <v>1516</v>
      </c>
      <c r="E17204">
        <v>2021</v>
      </c>
      <c r="F17204">
        <v>5</v>
      </c>
      <c r="G17204">
        <v>862</v>
      </c>
      <c r="H17204" s="1">
        <v>0</v>
      </c>
      <c r="I17204">
        <v>1</v>
      </c>
      <c r="J17204">
        <f>IF($H17204=0,1,IF($I17204&lt;=1,2,0))</f>
        <v>1</v>
      </c>
      <c r="K17204">
        <v>0</v>
      </c>
      <c r="L17204">
        <f>IF(AND($J17204=0,$K17204=0),0,1)</f>
        <v>1</v>
      </c>
    </row>
    <row r="17205" spans="1:13" x14ac:dyDescent="0.2">
      <c r="A17205" t="s">
        <v>750</v>
      </c>
      <c r="B17205" t="s">
        <v>6</v>
      </c>
      <c r="C17205" t="s">
        <v>21</v>
      </c>
      <c r="D17205">
        <v>3999</v>
      </c>
      <c r="E17205">
        <v>2021</v>
      </c>
      <c r="F17205">
        <v>1</v>
      </c>
      <c r="G17205">
        <v>863</v>
      </c>
      <c r="H17205" s="1" t="s">
        <v>1823</v>
      </c>
      <c r="I17205">
        <v>1</v>
      </c>
      <c r="J17205">
        <f>IF($H17205=0,1,IF($I17205&lt;=1,2,0))</f>
        <v>2</v>
      </c>
      <c r="K17205">
        <v>9</v>
      </c>
      <c r="L17205">
        <f>IF(AND($J17205=0,$K17205=0),0,1)</f>
        <v>1</v>
      </c>
    </row>
    <row r="17206" spans="1:13" x14ac:dyDescent="0.2">
      <c r="A17206" t="s">
        <v>750</v>
      </c>
      <c r="B17206" t="s">
        <v>6</v>
      </c>
      <c r="C17206" t="s">
        <v>21</v>
      </c>
      <c r="D17206">
        <v>3999</v>
      </c>
      <c r="E17206">
        <v>2021</v>
      </c>
      <c r="F17206">
        <v>3</v>
      </c>
      <c r="G17206">
        <v>881</v>
      </c>
      <c r="H17206" s="1">
        <v>3</v>
      </c>
      <c r="I17206">
        <v>1</v>
      </c>
      <c r="J17206">
        <f>IF($H17206=0,1,IF($I17206&lt;=1,2,0))</f>
        <v>2</v>
      </c>
      <c r="K17206">
        <v>9</v>
      </c>
      <c r="L17206">
        <f>IF(AND($J17206=0,$K17206=0),0,1)</f>
        <v>1</v>
      </c>
    </row>
    <row r="17207" spans="1:13" x14ac:dyDescent="0.2">
      <c r="A17207" t="s">
        <v>750</v>
      </c>
      <c r="B17207" t="s">
        <v>6</v>
      </c>
      <c r="C17207" t="s">
        <v>21</v>
      </c>
      <c r="D17207">
        <v>3999</v>
      </c>
      <c r="E17207">
        <v>2021</v>
      </c>
      <c r="F17207">
        <v>2</v>
      </c>
      <c r="G17207">
        <v>864</v>
      </c>
      <c r="H17207" s="1" t="s">
        <v>1823</v>
      </c>
      <c r="I17207">
        <v>0</v>
      </c>
      <c r="J17207">
        <f>IF($H17207=0,1,IF($I17207&lt;=1,2,0))</f>
        <v>2</v>
      </c>
      <c r="K17207">
        <v>9</v>
      </c>
      <c r="L17207">
        <f>IF(AND($J17207=0,$K17207=0),0,1)</f>
        <v>1</v>
      </c>
    </row>
    <row r="17208" spans="1:13" x14ac:dyDescent="0.2">
      <c r="A17208" t="s">
        <v>759</v>
      </c>
      <c r="B17208" t="s">
        <v>386</v>
      </c>
      <c r="C17208" t="s">
        <v>407</v>
      </c>
      <c r="D17208">
        <v>3421</v>
      </c>
      <c r="E17208">
        <v>2021</v>
      </c>
      <c r="F17208">
        <v>1</v>
      </c>
      <c r="G17208">
        <v>13200</v>
      </c>
      <c r="H17208" s="1">
        <v>3</v>
      </c>
      <c r="I17208">
        <v>1</v>
      </c>
      <c r="J17208">
        <f>IF($H17208=0,1,IF($I17208&lt;=1,2,0))</f>
        <v>2</v>
      </c>
      <c r="K17208">
        <v>0</v>
      </c>
      <c r="L17208">
        <f>IF(AND($J17208=0,$K17208=0),0,1)</f>
        <v>1</v>
      </c>
    </row>
    <row r="17209" spans="1:13" x14ac:dyDescent="0.2">
      <c r="A17209" t="s">
        <v>759</v>
      </c>
      <c r="B17209" t="s">
        <v>386</v>
      </c>
      <c r="C17209" t="s">
        <v>34</v>
      </c>
      <c r="D17209">
        <v>3901</v>
      </c>
      <c r="E17209">
        <v>2021</v>
      </c>
      <c r="F17209">
        <v>1</v>
      </c>
      <c r="G17209">
        <v>13204</v>
      </c>
      <c r="H17209" s="1">
        <v>2</v>
      </c>
      <c r="I17209">
        <v>1</v>
      </c>
      <c r="J17209">
        <f>IF($H17209=0,1,IF($I17209&lt;=1,2,0))</f>
        <v>2</v>
      </c>
      <c r="K17209">
        <v>9</v>
      </c>
      <c r="L17209">
        <f>IF(AND($J17209=0,$K17209=0),0,1)</f>
        <v>1</v>
      </c>
      <c r="M17209" t="s">
        <v>761</v>
      </c>
    </row>
    <row r="17210" spans="1:13" x14ac:dyDescent="0.2">
      <c r="A17210" t="s">
        <v>759</v>
      </c>
      <c r="B17210" t="s">
        <v>386</v>
      </c>
      <c r="C17210" t="s">
        <v>407</v>
      </c>
      <c r="D17210">
        <v>3911</v>
      </c>
      <c r="E17210">
        <v>2021</v>
      </c>
      <c r="F17210">
        <v>1</v>
      </c>
      <c r="G17210">
        <v>13206</v>
      </c>
      <c r="H17210" s="1">
        <v>2</v>
      </c>
      <c r="I17210">
        <v>1</v>
      </c>
      <c r="J17210">
        <f>IF($H17210=0,1,IF($I17210&lt;=1,2,0))</f>
        <v>2</v>
      </c>
      <c r="K17210">
        <v>0</v>
      </c>
      <c r="L17210">
        <f>IF(AND($J17210=0,$K17210=0),0,1)</f>
        <v>1</v>
      </c>
      <c r="M17210" t="s">
        <v>761</v>
      </c>
    </row>
    <row r="17211" spans="1:13" x14ac:dyDescent="0.2">
      <c r="A17211" t="s">
        <v>759</v>
      </c>
      <c r="B17211" t="s">
        <v>386</v>
      </c>
      <c r="C17211" t="s">
        <v>407</v>
      </c>
      <c r="D17211">
        <v>3932</v>
      </c>
      <c r="E17211">
        <v>2021</v>
      </c>
      <c r="F17211">
        <v>5</v>
      </c>
      <c r="G17211">
        <v>13211</v>
      </c>
      <c r="H17211" s="1" t="s">
        <v>1827</v>
      </c>
      <c r="I17211">
        <v>2</v>
      </c>
      <c r="J17211">
        <f>IF($H17211=0,1,IF($I17211&lt;=1,2,0))</f>
        <v>0</v>
      </c>
      <c r="K17211">
        <v>4</v>
      </c>
      <c r="L17211">
        <f>IF(AND($J17211=0,$K17211=0),0,1)</f>
        <v>1</v>
      </c>
      <c r="M17211" t="s">
        <v>761</v>
      </c>
    </row>
    <row r="17212" spans="1:13" x14ac:dyDescent="0.2">
      <c r="A17212" t="s">
        <v>759</v>
      </c>
      <c r="B17212" t="s">
        <v>386</v>
      </c>
      <c r="C17212" t="s">
        <v>407</v>
      </c>
      <c r="D17212">
        <v>3932</v>
      </c>
      <c r="E17212">
        <v>2021</v>
      </c>
      <c r="F17212">
        <v>2</v>
      </c>
      <c r="G17212">
        <v>13208</v>
      </c>
      <c r="H17212" s="1" t="s">
        <v>1827</v>
      </c>
      <c r="I17212">
        <v>1</v>
      </c>
      <c r="J17212">
        <f>IF($H17212=0,1,IF($I17212&lt;=1,2,0))</f>
        <v>2</v>
      </c>
      <c r="K17212">
        <v>4</v>
      </c>
      <c r="L17212">
        <f>IF(AND($J17212=0,$K17212=0),0,1)</f>
        <v>1</v>
      </c>
      <c r="M17212" t="s">
        <v>761</v>
      </c>
    </row>
    <row r="17213" spans="1:13" x14ac:dyDescent="0.2">
      <c r="A17213" t="s">
        <v>759</v>
      </c>
      <c r="B17213" t="s">
        <v>386</v>
      </c>
      <c r="C17213" t="s">
        <v>407</v>
      </c>
      <c r="D17213">
        <v>3932</v>
      </c>
      <c r="E17213">
        <v>2021</v>
      </c>
      <c r="F17213">
        <v>6</v>
      </c>
      <c r="G17213">
        <v>13215</v>
      </c>
      <c r="H17213" s="1" t="s">
        <v>1827</v>
      </c>
      <c r="I17213">
        <v>1</v>
      </c>
      <c r="J17213">
        <f>IF($H17213=0,1,IF($I17213&lt;=1,2,0))</f>
        <v>2</v>
      </c>
      <c r="K17213">
        <v>4</v>
      </c>
      <c r="L17213">
        <f>IF(AND($J17213=0,$K17213=0),0,1)</f>
        <v>1</v>
      </c>
      <c r="M17213" t="s">
        <v>761</v>
      </c>
    </row>
    <row r="17214" spans="1:13" x14ac:dyDescent="0.2">
      <c r="A17214" t="s">
        <v>759</v>
      </c>
      <c r="B17214" t="s">
        <v>386</v>
      </c>
      <c r="C17214" t="s">
        <v>407</v>
      </c>
      <c r="D17214">
        <v>3932</v>
      </c>
      <c r="E17214">
        <v>2021</v>
      </c>
      <c r="F17214">
        <v>7</v>
      </c>
      <c r="G17214">
        <v>13216</v>
      </c>
      <c r="H17214" s="1" t="s">
        <v>1827</v>
      </c>
      <c r="I17214">
        <v>1</v>
      </c>
      <c r="J17214">
        <f>IF($H17214=0,1,IF($I17214&lt;=1,2,0))</f>
        <v>2</v>
      </c>
      <c r="K17214">
        <v>4</v>
      </c>
      <c r="L17214">
        <f>IF(AND($J17214=0,$K17214=0),0,1)</f>
        <v>1</v>
      </c>
      <c r="M17214" t="s">
        <v>761</v>
      </c>
    </row>
    <row r="17215" spans="1:13" x14ac:dyDescent="0.2">
      <c r="A17215" t="s">
        <v>759</v>
      </c>
      <c r="B17215" t="s">
        <v>386</v>
      </c>
      <c r="C17215" t="s">
        <v>407</v>
      </c>
      <c r="D17215">
        <v>3932</v>
      </c>
      <c r="E17215">
        <v>2021</v>
      </c>
      <c r="F17215">
        <v>9</v>
      </c>
      <c r="G17215">
        <v>13218</v>
      </c>
      <c r="H17215" s="1" t="s">
        <v>1827</v>
      </c>
      <c r="I17215">
        <v>1</v>
      </c>
      <c r="J17215">
        <f>IF($H17215=0,1,IF($I17215&lt;=1,2,0))</f>
        <v>2</v>
      </c>
      <c r="K17215">
        <v>4</v>
      </c>
      <c r="L17215">
        <f>IF(AND($J17215=0,$K17215=0),0,1)</f>
        <v>1</v>
      </c>
      <c r="M17215" t="s">
        <v>761</v>
      </c>
    </row>
    <row r="17216" spans="1:13" x14ac:dyDescent="0.2">
      <c r="A17216" t="s">
        <v>759</v>
      </c>
      <c r="B17216" t="s">
        <v>386</v>
      </c>
      <c r="C17216" t="s">
        <v>407</v>
      </c>
      <c r="D17216">
        <v>3932</v>
      </c>
      <c r="E17216">
        <v>2021</v>
      </c>
      <c r="F17216">
        <v>1</v>
      </c>
      <c r="G17216">
        <v>13207</v>
      </c>
      <c r="H17216" s="1" t="s">
        <v>1827</v>
      </c>
      <c r="I17216">
        <v>0</v>
      </c>
      <c r="J17216">
        <f>IF($H17216=0,1,IF($I17216&lt;=1,2,0))</f>
        <v>2</v>
      </c>
      <c r="K17216">
        <v>4</v>
      </c>
      <c r="L17216">
        <f>IF(AND($J17216=0,$K17216=0),0,1)</f>
        <v>1</v>
      </c>
      <c r="M17216" t="s">
        <v>761</v>
      </c>
    </row>
    <row r="17217" spans="1:13" x14ac:dyDescent="0.2">
      <c r="A17217" t="s">
        <v>759</v>
      </c>
      <c r="B17217" t="s">
        <v>386</v>
      </c>
      <c r="C17217" t="s">
        <v>407</v>
      </c>
      <c r="D17217">
        <v>3932</v>
      </c>
      <c r="E17217">
        <v>2021</v>
      </c>
      <c r="F17217">
        <v>3</v>
      </c>
      <c r="G17217">
        <v>13209</v>
      </c>
      <c r="H17217" s="1" t="s">
        <v>1827</v>
      </c>
      <c r="I17217">
        <v>0</v>
      </c>
      <c r="J17217">
        <f>IF($H17217=0,1,IF($I17217&lt;=1,2,0))</f>
        <v>2</v>
      </c>
      <c r="K17217">
        <v>4</v>
      </c>
      <c r="L17217">
        <f>IF(AND($J17217=0,$K17217=0),0,1)</f>
        <v>1</v>
      </c>
      <c r="M17217" t="s">
        <v>761</v>
      </c>
    </row>
    <row r="17218" spans="1:13" x14ac:dyDescent="0.2">
      <c r="A17218" t="s">
        <v>759</v>
      </c>
      <c r="B17218" t="s">
        <v>386</v>
      </c>
      <c r="C17218" t="s">
        <v>407</v>
      </c>
      <c r="D17218">
        <v>3932</v>
      </c>
      <c r="E17218">
        <v>2021</v>
      </c>
      <c r="F17218">
        <v>4</v>
      </c>
      <c r="G17218">
        <v>13210</v>
      </c>
      <c r="H17218" s="1" t="s">
        <v>1827</v>
      </c>
      <c r="I17218">
        <v>0</v>
      </c>
      <c r="J17218">
        <f>IF($H17218=0,1,IF($I17218&lt;=1,2,0))</f>
        <v>2</v>
      </c>
      <c r="K17218">
        <v>4</v>
      </c>
      <c r="L17218">
        <f>IF(AND($J17218=0,$K17218=0),0,1)</f>
        <v>1</v>
      </c>
      <c r="M17218" t="s">
        <v>761</v>
      </c>
    </row>
    <row r="17219" spans="1:13" x14ac:dyDescent="0.2">
      <c r="A17219" t="s">
        <v>759</v>
      </c>
      <c r="B17219" t="s">
        <v>386</v>
      </c>
      <c r="C17219" t="s">
        <v>407</v>
      </c>
      <c r="D17219">
        <v>3932</v>
      </c>
      <c r="E17219">
        <v>2021</v>
      </c>
      <c r="F17219">
        <v>8</v>
      </c>
      <c r="G17219">
        <v>13217</v>
      </c>
      <c r="H17219" s="1" t="s">
        <v>1827</v>
      </c>
      <c r="I17219">
        <v>0</v>
      </c>
      <c r="J17219">
        <f>IF($H17219=0,1,IF($I17219&lt;=1,2,0))</f>
        <v>2</v>
      </c>
      <c r="K17219">
        <v>4</v>
      </c>
      <c r="L17219">
        <f>IF(AND($J17219=0,$K17219=0),0,1)</f>
        <v>1</v>
      </c>
      <c r="M17219" t="s">
        <v>761</v>
      </c>
    </row>
    <row r="17220" spans="1:13" x14ac:dyDescent="0.2">
      <c r="A17220" t="s">
        <v>759</v>
      </c>
      <c r="B17220" t="s">
        <v>386</v>
      </c>
      <c r="C17220" t="s">
        <v>407</v>
      </c>
      <c r="D17220">
        <v>3932</v>
      </c>
      <c r="E17220">
        <v>2021</v>
      </c>
      <c r="F17220">
        <v>10</v>
      </c>
      <c r="G17220">
        <v>13219</v>
      </c>
      <c r="H17220" s="1" t="s">
        <v>1827</v>
      </c>
      <c r="I17220">
        <v>0</v>
      </c>
      <c r="J17220">
        <f>IF($H17220=0,1,IF($I17220&lt;=1,2,0))</f>
        <v>2</v>
      </c>
      <c r="K17220">
        <v>4</v>
      </c>
      <c r="L17220">
        <f>IF(AND($J17220=0,$K17220=0),0,1)</f>
        <v>1</v>
      </c>
      <c r="M17220" t="s">
        <v>761</v>
      </c>
    </row>
    <row r="17221" spans="1:13" x14ac:dyDescent="0.2">
      <c r="A17221" t="s">
        <v>759</v>
      </c>
      <c r="B17221" t="s">
        <v>386</v>
      </c>
      <c r="C17221" t="s">
        <v>407</v>
      </c>
      <c r="D17221">
        <v>3932</v>
      </c>
      <c r="E17221">
        <v>2021</v>
      </c>
      <c r="F17221">
        <v>11</v>
      </c>
      <c r="G17221">
        <v>13220</v>
      </c>
      <c r="H17221" s="1" t="s">
        <v>1827</v>
      </c>
      <c r="I17221">
        <v>0</v>
      </c>
      <c r="J17221">
        <f>IF($H17221=0,1,IF($I17221&lt;=1,2,0))</f>
        <v>2</v>
      </c>
      <c r="K17221">
        <v>4</v>
      </c>
      <c r="L17221">
        <f>IF(AND($J17221=0,$K17221=0),0,1)</f>
        <v>1</v>
      </c>
      <c r="M17221" t="s">
        <v>761</v>
      </c>
    </row>
    <row r="17222" spans="1:13" x14ac:dyDescent="0.2">
      <c r="A17222" t="s">
        <v>759</v>
      </c>
      <c r="B17222" t="s">
        <v>386</v>
      </c>
      <c r="C17222" t="s">
        <v>407</v>
      </c>
      <c r="D17222">
        <v>5100</v>
      </c>
      <c r="E17222">
        <v>2021</v>
      </c>
      <c r="F17222">
        <v>1</v>
      </c>
      <c r="G17222">
        <v>13224</v>
      </c>
      <c r="H17222" s="1">
        <v>3</v>
      </c>
      <c r="I17222">
        <v>0</v>
      </c>
      <c r="J17222">
        <f>IF($H17222=0,1,IF($I17222&lt;=1,2,0))</f>
        <v>2</v>
      </c>
      <c r="K17222">
        <v>0</v>
      </c>
      <c r="L17222">
        <f>IF(AND($J17222=0,$K17222=0),0,1)</f>
        <v>1</v>
      </c>
      <c r="M17222" t="s">
        <v>762</v>
      </c>
    </row>
    <row r="17223" spans="1:13" x14ac:dyDescent="0.2">
      <c r="A17223" t="s">
        <v>759</v>
      </c>
      <c r="B17223" t="s">
        <v>386</v>
      </c>
      <c r="C17223" t="s">
        <v>407</v>
      </c>
      <c r="D17223">
        <v>5100</v>
      </c>
      <c r="E17223">
        <v>2021</v>
      </c>
      <c r="F17223">
        <v>2</v>
      </c>
      <c r="G17223">
        <v>13225</v>
      </c>
      <c r="H17223" s="1">
        <v>3</v>
      </c>
      <c r="I17223">
        <v>0</v>
      </c>
      <c r="J17223">
        <f>IF($H17223=0,1,IF($I17223&lt;=1,2,0))</f>
        <v>2</v>
      </c>
      <c r="K17223">
        <v>0</v>
      </c>
      <c r="L17223">
        <f>IF(AND($J17223=0,$K17223=0),0,1)</f>
        <v>1</v>
      </c>
      <c r="M17223" t="s">
        <v>762</v>
      </c>
    </row>
    <row r="17224" spans="1:13" x14ac:dyDescent="0.2">
      <c r="A17224" t="s">
        <v>759</v>
      </c>
      <c r="B17224" t="s">
        <v>386</v>
      </c>
      <c r="C17224" t="s">
        <v>407</v>
      </c>
      <c r="D17224">
        <v>5101</v>
      </c>
      <c r="E17224">
        <v>2021</v>
      </c>
      <c r="F17224">
        <v>1</v>
      </c>
      <c r="G17224">
        <v>13226</v>
      </c>
      <c r="H17224" s="1">
        <v>3</v>
      </c>
      <c r="I17224">
        <v>0</v>
      </c>
      <c r="J17224">
        <f>IF($H17224=0,1,IF($I17224&lt;=1,2,0))</f>
        <v>2</v>
      </c>
      <c r="K17224">
        <v>0</v>
      </c>
      <c r="L17224">
        <f>IF(AND($J17224=0,$K17224=0),0,1)</f>
        <v>1</v>
      </c>
      <c r="M17224" t="s">
        <v>762</v>
      </c>
    </row>
    <row r="17225" spans="1:13" x14ac:dyDescent="0.2">
      <c r="A17225" t="s">
        <v>759</v>
      </c>
      <c r="B17225" t="s">
        <v>386</v>
      </c>
      <c r="C17225" t="s">
        <v>407</v>
      </c>
      <c r="D17225">
        <v>5120</v>
      </c>
      <c r="E17225">
        <v>2021</v>
      </c>
      <c r="F17225">
        <v>1</v>
      </c>
      <c r="G17225">
        <v>13521</v>
      </c>
      <c r="H17225" s="1">
        <v>3</v>
      </c>
      <c r="I17225">
        <v>0</v>
      </c>
      <c r="J17225">
        <f>IF($H17225=0,1,IF($I17225&lt;=1,2,0))</f>
        <v>2</v>
      </c>
      <c r="K17225">
        <v>0</v>
      </c>
      <c r="L17225">
        <f>IF(AND($J17225=0,$K17225=0),0,1)</f>
        <v>1</v>
      </c>
    </row>
    <row r="17226" spans="1:13" x14ac:dyDescent="0.2">
      <c r="A17226" t="s">
        <v>759</v>
      </c>
      <c r="B17226" t="s">
        <v>386</v>
      </c>
      <c r="C17226" t="s">
        <v>407</v>
      </c>
      <c r="D17226">
        <v>5200</v>
      </c>
      <c r="E17226">
        <v>2021</v>
      </c>
      <c r="F17226">
        <v>1</v>
      </c>
      <c r="G17226">
        <v>13227</v>
      </c>
      <c r="H17226" s="1">
        <v>3</v>
      </c>
      <c r="I17226">
        <v>5</v>
      </c>
      <c r="J17226">
        <f>IF($H17226=0,1,IF($I17226&lt;=1,2,0))</f>
        <v>0</v>
      </c>
      <c r="K17226">
        <v>4</v>
      </c>
      <c r="L17226">
        <f>IF(AND($J17226=0,$K17226=0),0,1)</f>
        <v>1</v>
      </c>
      <c r="M17226" t="s">
        <v>762</v>
      </c>
    </row>
    <row r="17227" spans="1:13" x14ac:dyDescent="0.2">
      <c r="A17227" t="s">
        <v>759</v>
      </c>
      <c r="B17227" t="s">
        <v>386</v>
      </c>
      <c r="C17227" t="s">
        <v>407</v>
      </c>
      <c r="D17227">
        <v>5300</v>
      </c>
      <c r="E17227">
        <v>2021</v>
      </c>
      <c r="F17227">
        <v>1</v>
      </c>
      <c r="G17227">
        <v>13228</v>
      </c>
      <c r="H17227" s="1">
        <v>3</v>
      </c>
      <c r="I17227">
        <v>6</v>
      </c>
      <c r="J17227">
        <f>IF($H17227=0,1,IF($I17227&lt;=1,2,0))</f>
        <v>0</v>
      </c>
      <c r="K17227">
        <v>4</v>
      </c>
      <c r="L17227">
        <f>IF(AND($J17227=0,$K17227=0),0,1)</f>
        <v>1</v>
      </c>
      <c r="M17227" t="s">
        <v>762</v>
      </c>
    </row>
    <row r="17228" spans="1:13" x14ac:dyDescent="0.2">
      <c r="A17228" t="s">
        <v>759</v>
      </c>
      <c r="B17228" t="s">
        <v>386</v>
      </c>
      <c r="C17228" t="s">
        <v>407</v>
      </c>
      <c r="D17228">
        <v>5300</v>
      </c>
      <c r="E17228">
        <v>2021</v>
      </c>
      <c r="F17228">
        <v>2</v>
      </c>
      <c r="G17228">
        <v>13229</v>
      </c>
      <c r="H17228" s="1">
        <v>3</v>
      </c>
      <c r="I17228">
        <v>2</v>
      </c>
      <c r="J17228">
        <f>IF($H17228=0,1,IF($I17228&lt;=1,2,0))</f>
        <v>0</v>
      </c>
      <c r="K17228">
        <v>4</v>
      </c>
      <c r="L17228">
        <f>IF(AND($J17228=0,$K17228=0),0,1)</f>
        <v>1</v>
      </c>
      <c r="M17228" t="s">
        <v>762</v>
      </c>
    </row>
    <row r="17229" spans="1:13" x14ac:dyDescent="0.2">
      <c r="A17229" t="s">
        <v>759</v>
      </c>
      <c r="B17229" t="s">
        <v>386</v>
      </c>
      <c r="C17229" t="s">
        <v>407</v>
      </c>
      <c r="D17229">
        <v>5410</v>
      </c>
      <c r="E17229">
        <v>2021</v>
      </c>
      <c r="F17229">
        <v>1</v>
      </c>
      <c r="G17229">
        <v>13230</v>
      </c>
      <c r="H17229" s="1">
        <v>3</v>
      </c>
      <c r="I17229">
        <v>7</v>
      </c>
      <c r="J17229">
        <f>IF($H17229=0,1,IF($I17229&lt;=1,2,0))</f>
        <v>0</v>
      </c>
      <c r="K17229">
        <v>4</v>
      </c>
      <c r="L17229">
        <f>IF(AND($J17229=0,$K17229=0),0,1)</f>
        <v>1</v>
      </c>
      <c r="M17229" t="s">
        <v>762</v>
      </c>
    </row>
    <row r="17230" spans="1:13" x14ac:dyDescent="0.2">
      <c r="A17230" t="s">
        <v>759</v>
      </c>
      <c r="B17230" t="s">
        <v>386</v>
      </c>
      <c r="C17230" t="s">
        <v>407</v>
      </c>
      <c r="D17230">
        <v>5412</v>
      </c>
      <c r="E17230">
        <v>2021</v>
      </c>
      <c r="F17230">
        <v>1</v>
      </c>
      <c r="G17230">
        <v>13231</v>
      </c>
      <c r="H17230" s="1">
        <v>3</v>
      </c>
      <c r="I17230">
        <v>1</v>
      </c>
      <c r="J17230">
        <f>IF($H17230=0,1,IF($I17230&lt;=1,2,0))</f>
        <v>2</v>
      </c>
      <c r="K17230">
        <v>0</v>
      </c>
      <c r="L17230">
        <f>IF(AND($J17230=0,$K17230=0),0,1)</f>
        <v>1</v>
      </c>
      <c r="M17230" t="s">
        <v>762</v>
      </c>
    </row>
    <row r="17231" spans="1:13" x14ac:dyDescent="0.2">
      <c r="A17231" t="s">
        <v>759</v>
      </c>
      <c r="B17231" t="s">
        <v>386</v>
      </c>
      <c r="C17231" t="s">
        <v>407</v>
      </c>
      <c r="D17231">
        <v>5420</v>
      </c>
      <c r="E17231">
        <v>2021</v>
      </c>
      <c r="F17231">
        <v>1</v>
      </c>
      <c r="G17231">
        <v>13232</v>
      </c>
      <c r="H17231" s="1">
        <v>3</v>
      </c>
      <c r="I17231">
        <v>0</v>
      </c>
      <c r="J17231">
        <f>IF($H17231=0,1,IF($I17231&lt;=1,2,0))</f>
        <v>2</v>
      </c>
      <c r="K17231">
        <v>0</v>
      </c>
      <c r="L17231">
        <f>IF(AND($J17231=0,$K17231=0),0,1)</f>
        <v>1</v>
      </c>
      <c r="M17231" t="s">
        <v>762</v>
      </c>
    </row>
    <row r="17232" spans="1:13" x14ac:dyDescent="0.2">
      <c r="A17232" t="s">
        <v>759</v>
      </c>
      <c r="B17232" t="s">
        <v>386</v>
      </c>
      <c r="C17232" t="s">
        <v>407</v>
      </c>
      <c r="D17232">
        <v>5421</v>
      </c>
      <c r="E17232">
        <v>2021</v>
      </c>
      <c r="F17232">
        <v>1</v>
      </c>
      <c r="G17232">
        <v>13233</v>
      </c>
      <c r="H17232" s="1">
        <v>3</v>
      </c>
      <c r="I17232">
        <v>1</v>
      </c>
      <c r="J17232">
        <f>IF($H17232=0,1,IF($I17232&lt;=1,2,0))</f>
        <v>2</v>
      </c>
      <c r="K17232">
        <v>0</v>
      </c>
      <c r="L17232">
        <f>IF(AND($J17232=0,$K17232=0),0,1)</f>
        <v>1</v>
      </c>
      <c r="M17232" t="s">
        <v>762</v>
      </c>
    </row>
    <row r="17233" spans="1:13" x14ac:dyDescent="0.2">
      <c r="A17233" t="s">
        <v>759</v>
      </c>
      <c r="B17233" t="s">
        <v>386</v>
      </c>
      <c r="C17233" t="s">
        <v>407</v>
      </c>
      <c r="D17233">
        <v>5430</v>
      </c>
      <c r="E17233">
        <v>2021</v>
      </c>
      <c r="F17233">
        <v>1</v>
      </c>
      <c r="G17233">
        <v>13523</v>
      </c>
      <c r="H17233" s="1">
        <v>3</v>
      </c>
      <c r="I17233">
        <v>0</v>
      </c>
      <c r="J17233">
        <f>IF($H17233=0,1,IF($I17233&lt;=1,2,0))</f>
        <v>2</v>
      </c>
      <c r="K17233">
        <v>0</v>
      </c>
      <c r="L17233">
        <f>IF(AND($J17233=0,$K17233=0),0,1)</f>
        <v>1</v>
      </c>
      <c r="M17233" t="s">
        <v>762</v>
      </c>
    </row>
    <row r="17234" spans="1:13" x14ac:dyDescent="0.2">
      <c r="A17234" t="s">
        <v>759</v>
      </c>
      <c r="B17234" t="s">
        <v>386</v>
      </c>
      <c r="C17234" t="s">
        <v>407</v>
      </c>
      <c r="D17234">
        <v>5700</v>
      </c>
      <c r="E17234">
        <v>2021</v>
      </c>
      <c r="F17234">
        <v>1</v>
      </c>
      <c r="G17234">
        <v>13234</v>
      </c>
      <c r="H17234" s="1">
        <v>3</v>
      </c>
      <c r="I17234">
        <v>0</v>
      </c>
      <c r="J17234">
        <f>IF($H17234=0,1,IF($I17234&lt;=1,2,0))</f>
        <v>2</v>
      </c>
      <c r="K17234">
        <v>0</v>
      </c>
      <c r="L17234">
        <f>IF(AND($J17234=0,$K17234=0),0,1)</f>
        <v>1</v>
      </c>
      <c r="M17234" t="s">
        <v>762</v>
      </c>
    </row>
    <row r="17235" spans="1:13" x14ac:dyDescent="0.2">
      <c r="A17235" t="s">
        <v>759</v>
      </c>
      <c r="B17235" t="s">
        <v>386</v>
      </c>
      <c r="C17235" t="s">
        <v>407</v>
      </c>
      <c r="D17235">
        <v>5700</v>
      </c>
      <c r="E17235">
        <v>2021</v>
      </c>
      <c r="F17235">
        <v>2</v>
      </c>
      <c r="G17235">
        <v>13235</v>
      </c>
      <c r="H17235" s="1">
        <v>3</v>
      </c>
      <c r="I17235">
        <v>0</v>
      </c>
      <c r="J17235">
        <f>IF($H17235=0,1,IF($I17235&lt;=1,2,0))</f>
        <v>2</v>
      </c>
      <c r="K17235">
        <v>0</v>
      </c>
      <c r="L17235">
        <f>IF(AND($J17235=0,$K17235=0),0,1)</f>
        <v>1</v>
      </c>
      <c r="M17235" t="s">
        <v>762</v>
      </c>
    </row>
    <row r="17236" spans="1:13" x14ac:dyDescent="0.2">
      <c r="A17236" t="s">
        <v>759</v>
      </c>
      <c r="B17236" t="s">
        <v>386</v>
      </c>
      <c r="C17236" t="s">
        <v>407</v>
      </c>
      <c r="D17236">
        <v>5701</v>
      </c>
      <c r="E17236">
        <v>2021</v>
      </c>
      <c r="F17236">
        <v>1</v>
      </c>
      <c r="G17236">
        <v>13236</v>
      </c>
      <c r="H17236" s="1">
        <v>3</v>
      </c>
      <c r="I17236">
        <v>0</v>
      </c>
      <c r="J17236">
        <f>IF($H17236=0,1,IF($I17236&lt;=1,2,0))</f>
        <v>2</v>
      </c>
      <c r="K17236">
        <v>0</v>
      </c>
      <c r="L17236">
        <f>IF(AND($J17236=0,$K17236=0),0,1)</f>
        <v>1</v>
      </c>
      <c r="M17236" t="s">
        <v>762</v>
      </c>
    </row>
    <row r="17237" spans="1:13" x14ac:dyDescent="0.2">
      <c r="A17237" t="s">
        <v>759</v>
      </c>
      <c r="B17237" t="s">
        <v>386</v>
      </c>
      <c r="C17237" t="s">
        <v>407</v>
      </c>
      <c r="D17237">
        <v>5800</v>
      </c>
      <c r="E17237">
        <v>2021</v>
      </c>
      <c r="F17237">
        <v>1</v>
      </c>
      <c r="G17237">
        <v>13237</v>
      </c>
      <c r="H17237" s="1">
        <v>0</v>
      </c>
      <c r="I17237">
        <v>25</v>
      </c>
      <c r="J17237">
        <f>IF($H17237=0,1,IF($I17237&lt;=1,2,0))</f>
        <v>1</v>
      </c>
      <c r="K17237">
        <v>0</v>
      </c>
      <c r="L17237">
        <f>IF(AND($J17237=0,$K17237=0),0,1)</f>
        <v>1</v>
      </c>
      <c r="M17237" t="s">
        <v>762</v>
      </c>
    </row>
    <row r="17238" spans="1:13" x14ac:dyDescent="0.2">
      <c r="A17238" t="s">
        <v>759</v>
      </c>
      <c r="B17238" t="s">
        <v>386</v>
      </c>
      <c r="C17238" t="s">
        <v>407</v>
      </c>
      <c r="D17238">
        <v>5840</v>
      </c>
      <c r="E17238">
        <v>2021</v>
      </c>
      <c r="F17238">
        <v>1</v>
      </c>
      <c r="G17238">
        <v>13238</v>
      </c>
      <c r="H17238" s="1">
        <v>3</v>
      </c>
      <c r="I17238">
        <v>25</v>
      </c>
      <c r="J17238">
        <f>IF($H17238=0,1,IF($I17238&lt;=1,2,0))</f>
        <v>0</v>
      </c>
      <c r="K17238">
        <v>4</v>
      </c>
      <c r="L17238">
        <f>IF(AND($J17238=0,$K17238=0),0,1)</f>
        <v>1</v>
      </c>
      <c r="M17238" t="s">
        <v>762</v>
      </c>
    </row>
    <row r="17239" spans="1:13" x14ac:dyDescent="0.2">
      <c r="A17239" t="s">
        <v>759</v>
      </c>
      <c r="B17239" t="s">
        <v>386</v>
      </c>
      <c r="C17239" t="s">
        <v>407</v>
      </c>
      <c r="D17239">
        <v>5850</v>
      </c>
      <c r="E17239">
        <v>2021</v>
      </c>
      <c r="F17239">
        <v>1</v>
      </c>
      <c r="G17239">
        <v>13239</v>
      </c>
      <c r="H17239" s="1">
        <v>3</v>
      </c>
      <c r="I17239">
        <v>25</v>
      </c>
      <c r="J17239">
        <f>IF($H17239=0,1,IF($I17239&lt;=1,2,0))</f>
        <v>0</v>
      </c>
      <c r="K17239">
        <v>4</v>
      </c>
      <c r="L17239">
        <f>IF(AND($J17239=0,$K17239=0),0,1)</f>
        <v>1</v>
      </c>
      <c r="M17239" t="s">
        <v>1303</v>
      </c>
    </row>
    <row r="17240" spans="1:13" x14ac:dyDescent="0.2">
      <c r="A17240" t="s">
        <v>759</v>
      </c>
      <c r="B17240" t="s">
        <v>386</v>
      </c>
      <c r="C17240" t="s">
        <v>407</v>
      </c>
      <c r="D17240">
        <v>5860</v>
      </c>
      <c r="E17240">
        <v>2021</v>
      </c>
      <c r="F17240">
        <v>1</v>
      </c>
      <c r="G17240">
        <v>13240</v>
      </c>
      <c r="H17240" s="1">
        <v>3</v>
      </c>
      <c r="I17240">
        <v>25</v>
      </c>
      <c r="J17240">
        <f>IF($H17240=0,1,IF($I17240&lt;=1,2,0))</f>
        <v>0</v>
      </c>
      <c r="K17240">
        <v>4</v>
      </c>
      <c r="L17240">
        <f>IF(AND($J17240=0,$K17240=0),0,1)</f>
        <v>1</v>
      </c>
      <c r="M17240" t="s">
        <v>762</v>
      </c>
    </row>
    <row r="17241" spans="1:13" x14ac:dyDescent="0.2">
      <c r="A17241" t="s">
        <v>759</v>
      </c>
      <c r="B17241" t="s">
        <v>386</v>
      </c>
      <c r="C17241" t="s">
        <v>407</v>
      </c>
      <c r="D17241">
        <v>5932</v>
      </c>
      <c r="E17241">
        <v>2021</v>
      </c>
      <c r="F17241">
        <v>1</v>
      </c>
      <c r="G17241">
        <v>13241</v>
      </c>
      <c r="H17241" s="1" t="s">
        <v>1827</v>
      </c>
      <c r="I17241">
        <v>1</v>
      </c>
      <c r="J17241">
        <f>IF($H17241=0,1,IF($I17241&lt;=1,2,0))</f>
        <v>2</v>
      </c>
      <c r="K17241">
        <v>0</v>
      </c>
      <c r="L17241">
        <f>IF(AND($J17241=0,$K17241=0),0,1)</f>
        <v>1</v>
      </c>
      <c r="M17241" t="s">
        <v>761</v>
      </c>
    </row>
    <row r="17242" spans="1:13" x14ac:dyDescent="0.2">
      <c r="A17242" t="s">
        <v>759</v>
      </c>
      <c r="B17242" t="s">
        <v>386</v>
      </c>
      <c r="C17242" t="s">
        <v>407</v>
      </c>
      <c r="D17242">
        <v>5932</v>
      </c>
      <c r="E17242">
        <v>2021</v>
      </c>
      <c r="F17242">
        <v>3</v>
      </c>
      <c r="G17242">
        <v>13243</v>
      </c>
      <c r="H17242" s="1" t="s">
        <v>1827</v>
      </c>
      <c r="I17242">
        <v>1</v>
      </c>
      <c r="J17242">
        <f>IF($H17242=0,1,IF($I17242&lt;=1,2,0))</f>
        <v>2</v>
      </c>
      <c r="K17242">
        <v>0</v>
      </c>
      <c r="L17242">
        <f>IF(AND($J17242=0,$K17242=0),0,1)</f>
        <v>1</v>
      </c>
      <c r="M17242" t="s">
        <v>761</v>
      </c>
    </row>
    <row r="17243" spans="1:13" x14ac:dyDescent="0.2">
      <c r="A17243" t="s">
        <v>759</v>
      </c>
      <c r="B17243" t="s">
        <v>386</v>
      </c>
      <c r="C17243" t="s">
        <v>407</v>
      </c>
      <c r="D17243">
        <v>5932</v>
      </c>
      <c r="E17243">
        <v>2021</v>
      </c>
      <c r="F17243">
        <v>7</v>
      </c>
      <c r="G17243">
        <v>13247</v>
      </c>
      <c r="H17243" s="1" t="s">
        <v>1827</v>
      </c>
      <c r="I17243">
        <v>1</v>
      </c>
      <c r="J17243">
        <f>IF($H17243=0,1,IF($I17243&lt;=1,2,0))</f>
        <v>2</v>
      </c>
      <c r="K17243">
        <v>0</v>
      </c>
      <c r="L17243">
        <f>IF(AND($J17243=0,$K17243=0),0,1)</f>
        <v>1</v>
      </c>
      <c r="M17243" t="s">
        <v>761</v>
      </c>
    </row>
    <row r="17244" spans="1:13" x14ac:dyDescent="0.2">
      <c r="A17244" t="s">
        <v>759</v>
      </c>
      <c r="B17244" t="s">
        <v>386</v>
      </c>
      <c r="C17244" t="s">
        <v>407</v>
      </c>
      <c r="D17244">
        <v>5932</v>
      </c>
      <c r="E17244">
        <v>2021</v>
      </c>
      <c r="F17244">
        <v>11</v>
      </c>
      <c r="G17244">
        <v>13252</v>
      </c>
      <c r="H17244" s="1" t="s">
        <v>1827</v>
      </c>
      <c r="I17244">
        <v>1</v>
      </c>
      <c r="J17244">
        <f>IF($H17244=0,1,IF($I17244&lt;=1,2,0))</f>
        <v>2</v>
      </c>
      <c r="K17244">
        <v>0</v>
      </c>
      <c r="L17244">
        <f>IF(AND($J17244=0,$K17244=0),0,1)</f>
        <v>1</v>
      </c>
      <c r="M17244" t="s">
        <v>761</v>
      </c>
    </row>
    <row r="17245" spans="1:13" x14ac:dyDescent="0.2">
      <c r="A17245" t="s">
        <v>759</v>
      </c>
      <c r="B17245" t="s">
        <v>386</v>
      </c>
      <c r="C17245" t="s">
        <v>407</v>
      </c>
      <c r="D17245">
        <v>5932</v>
      </c>
      <c r="E17245">
        <v>2021</v>
      </c>
      <c r="F17245">
        <v>2</v>
      </c>
      <c r="G17245">
        <v>13242</v>
      </c>
      <c r="H17245" s="1" t="s">
        <v>1827</v>
      </c>
      <c r="I17245">
        <v>0</v>
      </c>
      <c r="J17245">
        <f>IF($H17245=0,1,IF($I17245&lt;=1,2,0))</f>
        <v>2</v>
      </c>
      <c r="K17245">
        <v>0</v>
      </c>
      <c r="L17245">
        <f>IF(AND($J17245=0,$K17245=0),0,1)</f>
        <v>1</v>
      </c>
      <c r="M17245" t="s">
        <v>761</v>
      </c>
    </row>
    <row r="17246" spans="1:13" x14ac:dyDescent="0.2">
      <c r="A17246" t="s">
        <v>759</v>
      </c>
      <c r="B17246" t="s">
        <v>386</v>
      </c>
      <c r="C17246" t="s">
        <v>407</v>
      </c>
      <c r="D17246">
        <v>5932</v>
      </c>
      <c r="E17246">
        <v>2021</v>
      </c>
      <c r="F17246">
        <v>4</v>
      </c>
      <c r="G17246">
        <v>13244</v>
      </c>
      <c r="H17246" s="1" t="s">
        <v>1827</v>
      </c>
      <c r="I17246">
        <v>0</v>
      </c>
      <c r="J17246">
        <f>IF($H17246=0,1,IF($I17246&lt;=1,2,0))</f>
        <v>2</v>
      </c>
      <c r="K17246">
        <v>0</v>
      </c>
      <c r="L17246">
        <f>IF(AND($J17246=0,$K17246=0),0,1)</f>
        <v>1</v>
      </c>
      <c r="M17246" t="s">
        <v>761</v>
      </c>
    </row>
    <row r="17247" spans="1:13" x14ac:dyDescent="0.2">
      <c r="A17247" t="s">
        <v>759</v>
      </c>
      <c r="B17247" t="s">
        <v>386</v>
      </c>
      <c r="C17247" t="s">
        <v>407</v>
      </c>
      <c r="D17247">
        <v>5932</v>
      </c>
      <c r="E17247">
        <v>2021</v>
      </c>
      <c r="F17247">
        <v>6</v>
      </c>
      <c r="G17247">
        <v>13246</v>
      </c>
      <c r="H17247" s="1" t="s">
        <v>1827</v>
      </c>
      <c r="I17247">
        <v>0</v>
      </c>
      <c r="J17247">
        <f>IF($H17247=0,1,IF($I17247&lt;=1,2,0))</f>
        <v>2</v>
      </c>
      <c r="K17247">
        <v>0</v>
      </c>
      <c r="L17247">
        <f>IF(AND($J17247=0,$K17247=0),0,1)</f>
        <v>1</v>
      </c>
      <c r="M17247" t="s">
        <v>761</v>
      </c>
    </row>
    <row r="17248" spans="1:13" x14ac:dyDescent="0.2">
      <c r="A17248" t="s">
        <v>759</v>
      </c>
      <c r="B17248" t="s">
        <v>386</v>
      </c>
      <c r="C17248" t="s">
        <v>407</v>
      </c>
      <c r="D17248">
        <v>5932</v>
      </c>
      <c r="E17248">
        <v>2021</v>
      </c>
      <c r="F17248">
        <v>8</v>
      </c>
      <c r="G17248">
        <v>13248</v>
      </c>
      <c r="H17248" s="1" t="s">
        <v>1827</v>
      </c>
      <c r="I17248">
        <v>0</v>
      </c>
      <c r="J17248">
        <f>IF($H17248=0,1,IF($I17248&lt;=1,2,0))</f>
        <v>2</v>
      </c>
      <c r="K17248">
        <v>0</v>
      </c>
      <c r="L17248">
        <f>IF(AND($J17248=0,$K17248=0),0,1)</f>
        <v>1</v>
      </c>
      <c r="M17248" t="s">
        <v>761</v>
      </c>
    </row>
    <row r="17249" spans="1:13" x14ac:dyDescent="0.2">
      <c r="A17249" t="s">
        <v>759</v>
      </c>
      <c r="B17249" t="s">
        <v>386</v>
      </c>
      <c r="C17249" t="s">
        <v>407</v>
      </c>
      <c r="D17249">
        <v>6812</v>
      </c>
      <c r="E17249">
        <v>2021</v>
      </c>
      <c r="F17249">
        <v>1</v>
      </c>
      <c r="G17249">
        <v>13254</v>
      </c>
      <c r="H17249" s="1">
        <v>0</v>
      </c>
      <c r="I17249">
        <v>27</v>
      </c>
      <c r="J17249">
        <f>IF($H17249=0,1,IF($I17249&lt;=1,2,0))</f>
        <v>1</v>
      </c>
      <c r="K17249">
        <v>0</v>
      </c>
      <c r="L17249">
        <f>IF(AND($J17249=0,$K17249=0),0,1)</f>
        <v>1</v>
      </c>
      <c r="M17249" t="s">
        <v>762</v>
      </c>
    </row>
    <row r="17250" spans="1:13" x14ac:dyDescent="0.2">
      <c r="A17250" t="s">
        <v>759</v>
      </c>
      <c r="B17250" t="s">
        <v>386</v>
      </c>
      <c r="C17250" t="s">
        <v>407</v>
      </c>
      <c r="D17250">
        <v>6842</v>
      </c>
      <c r="E17250">
        <v>2021</v>
      </c>
      <c r="F17250">
        <v>1</v>
      </c>
      <c r="G17250">
        <v>13255</v>
      </c>
      <c r="H17250" s="1">
        <v>3</v>
      </c>
      <c r="I17250">
        <v>28</v>
      </c>
      <c r="J17250">
        <f>IF($H17250=0,1,IF($I17250&lt;=1,2,0))</f>
        <v>0</v>
      </c>
      <c r="K17250">
        <v>4</v>
      </c>
      <c r="L17250">
        <f>IF(AND($J17250=0,$K17250=0),0,1)</f>
        <v>1</v>
      </c>
      <c r="M17250" t="s">
        <v>762</v>
      </c>
    </row>
    <row r="17251" spans="1:13" x14ac:dyDescent="0.2">
      <c r="A17251" t="s">
        <v>759</v>
      </c>
      <c r="B17251" t="s">
        <v>386</v>
      </c>
      <c r="C17251" t="s">
        <v>407</v>
      </c>
      <c r="D17251">
        <v>6852</v>
      </c>
      <c r="E17251">
        <v>2021</v>
      </c>
      <c r="F17251">
        <v>1</v>
      </c>
      <c r="G17251">
        <v>13256</v>
      </c>
      <c r="H17251" s="1">
        <v>3</v>
      </c>
      <c r="I17251">
        <v>28</v>
      </c>
      <c r="J17251">
        <f>IF($H17251=0,1,IF($I17251&lt;=1,2,0))</f>
        <v>0</v>
      </c>
      <c r="K17251">
        <v>4</v>
      </c>
      <c r="L17251">
        <f>IF(AND($J17251=0,$K17251=0),0,1)</f>
        <v>1</v>
      </c>
      <c r="M17251" t="s">
        <v>762</v>
      </c>
    </row>
    <row r="17252" spans="1:13" x14ac:dyDescent="0.2">
      <c r="A17252" t="s">
        <v>759</v>
      </c>
      <c r="B17252" t="s">
        <v>386</v>
      </c>
      <c r="C17252" t="s">
        <v>407</v>
      </c>
      <c r="D17252">
        <v>6862</v>
      </c>
      <c r="E17252">
        <v>2021</v>
      </c>
      <c r="F17252">
        <v>1</v>
      </c>
      <c r="G17252">
        <v>13257</v>
      </c>
      <c r="H17252" s="1">
        <v>3</v>
      </c>
      <c r="I17252">
        <v>27</v>
      </c>
      <c r="J17252">
        <f>IF($H17252=0,1,IF($I17252&lt;=1,2,0))</f>
        <v>0</v>
      </c>
      <c r="K17252">
        <v>4</v>
      </c>
      <c r="L17252">
        <f>IF(AND($J17252=0,$K17252=0),0,1)</f>
        <v>1</v>
      </c>
      <c r="M17252" t="s">
        <v>762</v>
      </c>
    </row>
    <row r="17253" spans="1:13" x14ac:dyDescent="0.2">
      <c r="A17253" t="s">
        <v>759</v>
      </c>
      <c r="B17253" t="s">
        <v>386</v>
      </c>
      <c r="C17253" t="s">
        <v>407</v>
      </c>
      <c r="D17253">
        <v>8000</v>
      </c>
      <c r="E17253">
        <v>2021</v>
      </c>
      <c r="F17253">
        <v>1</v>
      </c>
      <c r="G17253">
        <v>13258</v>
      </c>
      <c r="H17253" s="1">
        <v>3</v>
      </c>
      <c r="I17253">
        <v>4</v>
      </c>
      <c r="J17253">
        <f>IF($H17253=0,1,IF($I17253&lt;=1,2,0))</f>
        <v>0</v>
      </c>
      <c r="K17253">
        <v>4</v>
      </c>
      <c r="L17253">
        <f>IF(AND($J17253=0,$K17253=0),0,1)</f>
        <v>1</v>
      </c>
      <c r="M17253" t="s">
        <v>762</v>
      </c>
    </row>
    <row r="17254" spans="1:13" x14ac:dyDescent="0.2">
      <c r="A17254" t="s">
        <v>759</v>
      </c>
      <c r="B17254" t="s">
        <v>386</v>
      </c>
      <c r="C17254" t="s">
        <v>407</v>
      </c>
      <c r="D17254">
        <v>8100</v>
      </c>
      <c r="E17254">
        <v>2021</v>
      </c>
      <c r="F17254">
        <v>1</v>
      </c>
      <c r="G17254">
        <v>13259</v>
      </c>
      <c r="H17254" s="1">
        <v>3</v>
      </c>
      <c r="I17254">
        <v>18</v>
      </c>
      <c r="J17254">
        <f>IF($H17254=0,1,IF($I17254&lt;=1,2,0))</f>
        <v>0</v>
      </c>
      <c r="K17254">
        <v>4</v>
      </c>
      <c r="L17254">
        <f>IF(AND($J17254=0,$K17254=0),0,1)</f>
        <v>1</v>
      </c>
      <c r="M17254" t="s">
        <v>763</v>
      </c>
    </row>
    <row r="17255" spans="1:13" x14ac:dyDescent="0.2">
      <c r="A17255" t="s">
        <v>759</v>
      </c>
      <c r="B17255" t="s">
        <v>386</v>
      </c>
      <c r="C17255" t="s">
        <v>407</v>
      </c>
      <c r="D17255">
        <v>8201</v>
      </c>
      <c r="E17255">
        <v>2021</v>
      </c>
      <c r="F17255">
        <v>1</v>
      </c>
      <c r="G17255">
        <v>13991</v>
      </c>
      <c r="H17255" s="1">
        <v>3</v>
      </c>
      <c r="I17255">
        <v>12</v>
      </c>
      <c r="J17255">
        <f>IF($H17255=0,1,IF($I17255&lt;=1,2,0))</f>
        <v>0</v>
      </c>
      <c r="K17255">
        <v>4</v>
      </c>
      <c r="L17255">
        <f>IF(AND($J17255=0,$K17255=0),0,1)</f>
        <v>1</v>
      </c>
      <c r="M17255" t="s">
        <v>1820</v>
      </c>
    </row>
    <row r="17256" spans="1:13" x14ac:dyDescent="0.2">
      <c r="A17256" t="s">
        <v>759</v>
      </c>
      <c r="B17256" t="s">
        <v>386</v>
      </c>
      <c r="C17256" t="s">
        <v>407</v>
      </c>
      <c r="D17256">
        <v>8300</v>
      </c>
      <c r="E17256">
        <v>2021</v>
      </c>
      <c r="F17256">
        <v>1</v>
      </c>
      <c r="G17256">
        <v>13261</v>
      </c>
      <c r="H17256" s="1">
        <v>3</v>
      </c>
      <c r="I17256">
        <v>7</v>
      </c>
      <c r="J17256">
        <f>IF($H17256=0,1,IF($I17256&lt;=1,2,0))</f>
        <v>0</v>
      </c>
      <c r="K17256">
        <v>4</v>
      </c>
      <c r="L17256">
        <f>IF(AND($J17256=0,$K17256=0),0,1)</f>
        <v>1</v>
      </c>
      <c r="M17256" t="s">
        <v>1821</v>
      </c>
    </row>
    <row r="17257" spans="1:13" x14ac:dyDescent="0.2">
      <c r="A17257" t="s">
        <v>759</v>
      </c>
      <c r="B17257" t="s">
        <v>386</v>
      </c>
      <c r="C17257" t="s">
        <v>407</v>
      </c>
      <c r="D17257">
        <v>8320</v>
      </c>
      <c r="E17257">
        <v>2021</v>
      </c>
      <c r="F17257">
        <v>1</v>
      </c>
      <c r="G17257">
        <v>13262</v>
      </c>
      <c r="H17257" s="1">
        <v>3</v>
      </c>
      <c r="I17257">
        <v>11</v>
      </c>
      <c r="J17257">
        <f>IF($H17257=0,1,IF($I17257&lt;=1,2,0))</f>
        <v>0</v>
      </c>
      <c r="K17257">
        <v>4</v>
      </c>
      <c r="L17257">
        <f>IF(AND($J17257=0,$K17257=0),0,1)</f>
        <v>1</v>
      </c>
      <c r="M17257" t="s">
        <v>1821</v>
      </c>
    </row>
    <row r="17258" spans="1:13" x14ac:dyDescent="0.2">
      <c r="A17258" t="s">
        <v>759</v>
      </c>
      <c r="B17258" t="s">
        <v>386</v>
      </c>
      <c r="C17258" t="s">
        <v>407</v>
      </c>
      <c r="D17258">
        <v>9500</v>
      </c>
      <c r="E17258">
        <v>2021</v>
      </c>
      <c r="F17258" t="s">
        <v>1571</v>
      </c>
      <c r="G17258">
        <v>11873</v>
      </c>
      <c r="H17258" s="1">
        <v>0</v>
      </c>
      <c r="I17258">
        <v>0</v>
      </c>
      <c r="J17258">
        <f>IF($H17258=0,1,IF($I17258&lt;=1,2,0))</f>
        <v>1</v>
      </c>
      <c r="K17258">
        <v>5</v>
      </c>
      <c r="L17258">
        <f>IF(AND($J17258=0,$K17258=0),0,1)</f>
        <v>1</v>
      </c>
    </row>
    <row r="17259" spans="1:13" x14ac:dyDescent="0.2">
      <c r="A17259" t="s">
        <v>759</v>
      </c>
      <c r="B17259" t="s">
        <v>386</v>
      </c>
      <c r="C17259" t="s">
        <v>407</v>
      </c>
      <c r="D17259">
        <v>9600</v>
      </c>
      <c r="E17259">
        <v>2021</v>
      </c>
      <c r="F17259" t="s">
        <v>1571</v>
      </c>
      <c r="G17259">
        <v>11876</v>
      </c>
      <c r="H17259" s="1" t="s">
        <v>1827</v>
      </c>
      <c r="I17259">
        <v>0</v>
      </c>
      <c r="J17259">
        <f>IF($H17259=0,1,IF($I17259&lt;=1,2,0))</f>
        <v>2</v>
      </c>
      <c r="K17259">
        <v>5</v>
      </c>
      <c r="L17259">
        <f>IF(AND($J17259=0,$K17259=0),0,1)</f>
        <v>1</v>
      </c>
    </row>
    <row r="17260" spans="1:13" x14ac:dyDescent="0.2">
      <c r="A17260" t="s">
        <v>764</v>
      </c>
      <c r="B17260" t="s">
        <v>17</v>
      </c>
      <c r="C17260" t="s">
        <v>9</v>
      </c>
      <c r="D17260">
        <v>3101</v>
      </c>
      <c r="E17260">
        <v>2021</v>
      </c>
      <c r="F17260">
        <v>1</v>
      </c>
      <c r="G17260">
        <v>11034</v>
      </c>
      <c r="H17260" s="1">
        <v>3</v>
      </c>
      <c r="I17260">
        <v>0</v>
      </c>
      <c r="J17260">
        <f>IF($H17260=0,1,IF($I17260&lt;=1,2,0))</f>
        <v>2</v>
      </c>
      <c r="K17260">
        <v>0</v>
      </c>
      <c r="L17260">
        <f>IF(AND($J17260=0,$K17260=0),0,1)</f>
        <v>1</v>
      </c>
    </row>
    <row r="17261" spans="1:13" x14ac:dyDescent="0.2">
      <c r="A17261" t="s">
        <v>767</v>
      </c>
      <c r="B17261" t="s">
        <v>6</v>
      </c>
      <c r="C17261" t="s">
        <v>2</v>
      </c>
      <c r="D17261">
        <v>2140</v>
      </c>
      <c r="E17261">
        <v>2021</v>
      </c>
      <c r="F17261">
        <v>1</v>
      </c>
      <c r="G17261">
        <v>675</v>
      </c>
      <c r="H17261" s="1">
        <v>3</v>
      </c>
      <c r="I17261">
        <v>60</v>
      </c>
      <c r="J17261">
        <f>IF($H17261=0,1,IF($I17261&lt;=1,2,0))</f>
        <v>0</v>
      </c>
      <c r="K17261">
        <v>7</v>
      </c>
      <c r="L17261">
        <f>IF(AND($J17261=0,$K17261=0),0,1)</f>
        <v>1</v>
      </c>
    </row>
    <row r="17262" spans="1:13" x14ac:dyDescent="0.2">
      <c r="A17262" t="s">
        <v>767</v>
      </c>
      <c r="B17262" t="s">
        <v>6</v>
      </c>
      <c r="C17262" t="s">
        <v>2</v>
      </c>
      <c r="D17262">
        <v>2150</v>
      </c>
      <c r="E17262">
        <v>2021</v>
      </c>
      <c r="F17262">
        <v>1</v>
      </c>
      <c r="G17262">
        <v>628</v>
      </c>
      <c r="H17262" s="1">
        <v>3</v>
      </c>
      <c r="I17262">
        <v>64</v>
      </c>
      <c r="J17262">
        <f>IF($H17262=0,1,IF($I17262&lt;=1,2,0))</f>
        <v>0</v>
      </c>
      <c r="K17262">
        <v>7</v>
      </c>
      <c r="L17262">
        <f>IF(AND($J17262=0,$K17262=0),0,1)</f>
        <v>1</v>
      </c>
    </row>
    <row r="17263" spans="1:13" x14ac:dyDescent="0.2">
      <c r="A17263" t="s">
        <v>767</v>
      </c>
      <c r="B17263" t="s">
        <v>6</v>
      </c>
      <c r="C17263" t="s">
        <v>2</v>
      </c>
      <c r="D17263">
        <v>2150</v>
      </c>
      <c r="E17263">
        <v>2021</v>
      </c>
      <c r="F17263">
        <v>2</v>
      </c>
      <c r="G17263">
        <v>875</v>
      </c>
      <c r="H17263" s="1">
        <v>3</v>
      </c>
      <c r="I17263">
        <v>0</v>
      </c>
      <c r="J17263">
        <f>IF($H17263=0,1,IF($I17263&lt;=1,2,0))</f>
        <v>2</v>
      </c>
      <c r="K17263">
        <v>7</v>
      </c>
      <c r="L17263">
        <f>IF(AND($J17263=0,$K17263=0),0,1)</f>
        <v>1</v>
      </c>
    </row>
    <row r="17264" spans="1:13" x14ac:dyDescent="0.2">
      <c r="A17264" t="s">
        <v>767</v>
      </c>
      <c r="B17264" t="s">
        <v>6</v>
      </c>
      <c r="C17264" t="s">
        <v>2</v>
      </c>
      <c r="D17264">
        <v>2150</v>
      </c>
      <c r="E17264">
        <v>2021</v>
      </c>
      <c r="F17264">
        <v>3</v>
      </c>
      <c r="G17264">
        <v>876</v>
      </c>
      <c r="H17264" s="1">
        <v>3</v>
      </c>
      <c r="I17264">
        <v>0</v>
      </c>
      <c r="J17264">
        <f>IF($H17264=0,1,IF($I17264&lt;=1,2,0))</f>
        <v>2</v>
      </c>
      <c r="K17264">
        <v>7</v>
      </c>
      <c r="L17264">
        <f>IF(AND($J17264=0,$K17264=0),0,1)</f>
        <v>1</v>
      </c>
    </row>
    <row r="17265" spans="1:13" x14ac:dyDescent="0.2">
      <c r="A17265" t="s">
        <v>767</v>
      </c>
      <c r="B17265" t="s">
        <v>6</v>
      </c>
      <c r="C17265" t="s">
        <v>2</v>
      </c>
      <c r="D17265">
        <v>3131</v>
      </c>
      <c r="E17265">
        <v>2021</v>
      </c>
      <c r="F17265">
        <v>1</v>
      </c>
      <c r="G17265">
        <v>674</v>
      </c>
      <c r="H17265" s="1">
        <v>4</v>
      </c>
      <c r="I17265">
        <v>18</v>
      </c>
      <c r="J17265">
        <f>IF($H17265=0,1,IF($I17265&lt;=1,2,0))</f>
        <v>0</v>
      </c>
      <c r="K17265">
        <v>7</v>
      </c>
      <c r="L17265">
        <f>IF(AND($J17265=0,$K17265=0),0,1)</f>
        <v>1</v>
      </c>
    </row>
    <row r="17266" spans="1:13" x14ac:dyDescent="0.2">
      <c r="A17266" t="s">
        <v>767</v>
      </c>
      <c r="B17266" t="s">
        <v>6</v>
      </c>
      <c r="C17266" t="s">
        <v>2</v>
      </c>
      <c r="D17266">
        <v>3132</v>
      </c>
      <c r="E17266">
        <v>2021</v>
      </c>
      <c r="F17266">
        <v>1</v>
      </c>
      <c r="G17266">
        <v>629</v>
      </c>
      <c r="H17266" s="1">
        <v>4</v>
      </c>
      <c r="I17266">
        <v>17</v>
      </c>
      <c r="J17266">
        <f>IF($H17266=0,1,IF($I17266&lt;=1,2,0))</f>
        <v>0</v>
      </c>
      <c r="K17266">
        <v>7</v>
      </c>
      <c r="L17266">
        <f>IF(AND($J17266=0,$K17266=0),0,1)</f>
        <v>1</v>
      </c>
    </row>
    <row r="17267" spans="1:13" x14ac:dyDescent="0.2">
      <c r="A17267" t="s">
        <v>767</v>
      </c>
      <c r="B17267" t="s">
        <v>6</v>
      </c>
      <c r="C17267" t="s">
        <v>2</v>
      </c>
      <c r="D17267">
        <v>3514</v>
      </c>
      <c r="E17267">
        <v>2021</v>
      </c>
      <c r="F17267">
        <v>1</v>
      </c>
      <c r="G17267">
        <v>630</v>
      </c>
      <c r="H17267" s="1">
        <v>4</v>
      </c>
      <c r="I17267">
        <v>19</v>
      </c>
      <c r="J17267">
        <f>IF($H17267=0,1,IF($I17267&lt;=1,2,0))</f>
        <v>0</v>
      </c>
      <c r="K17267">
        <v>7</v>
      </c>
      <c r="L17267">
        <f>IF(AND($J17267=0,$K17267=0),0,1)</f>
        <v>1</v>
      </c>
    </row>
    <row r="17268" spans="1:13" x14ac:dyDescent="0.2">
      <c r="A17268" t="s">
        <v>767</v>
      </c>
      <c r="B17268" t="s">
        <v>6</v>
      </c>
      <c r="C17268" t="s">
        <v>11</v>
      </c>
      <c r="D17268">
        <v>6999</v>
      </c>
      <c r="E17268">
        <v>2021</v>
      </c>
      <c r="F17268">
        <v>1</v>
      </c>
      <c r="G17268">
        <v>20570</v>
      </c>
      <c r="H17268" s="1">
        <v>3</v>
      </c>
      <c r="I17268">
        <v>1</v>
      </c>
      <c r="J17268">
        <f>IF($H17268=0,1,IF($I17268&lt;=1,2,0))</f>
        <v>2</v>
      </c>
      <c r="K17268">
        <v>9</v>
      </c>
      <c r="L17268">
        <f>IF(AND($J17268=0,$K17268=0),0,1)</f>
        <v>1</v>
      </c>
    </row>
    <row r="17269" spans="1:13" x14ac:dyDescent="0.2">
      <c r="A17269" t="s">
        <v>769</v>
      </c>
      <c r="B17269" t="s">
        <v>386</v>
      </c>
      <c r="C17269" t="s">
        <v>183</v>
      </c>
      <c r="D17269">
        <v>104</v>
      </c>
      <c r="E17269">
        <v>2021</v>
      </c>
      <c r="F17269" t="s">
        <v>87</v>
      </c>
      <c r="G17269">
        <v>17390</v>
      </c>
      <c r="H17269" s="1">
        <v>0</v>
      </c>
      <c r="I17269">
        <v>8</v>
      </c>
      <c r="J17269">
        <f>IF($H17269=0,1,IF($I17269&lt;=1,2,0))</f>
        <v>1</v>
      </c>
      <c r="K17269">
        <v>6</v>
      </c>
      <c r="L17269">
        <f>IF(AND($J17269=0,$K17269=0),0,1)</f>
        <v>1</v>
      </c>
    </row>
    <row r="17270" spans="1:13" x14ac:dyDescent="0.2">
      <c r="A17270" t="s">
        <v>769</v>
      </c>
      <c r="B17270" t="s">
        <v>386</v>
      </c>
      <c r="C17270" t="s">
        <v>183</v>
      </c>
      <c r="D17270">
        <v>110</v>
      </c>
      <c r="E17270">
        <v>2021</v>
      </c>
      <c r="F17270" t="s">
        <v>87</v>
      </c>
      <c r="G17270">
        <v>20650</v>
      </c>
      <c r="H17270" s="1">
        <v>0</v>
      </c>
      <c r="I17270">
        <v>18</v>
      </c>
      <c r="J17270">
        <f>IF($H17270=0,1,IF($I17270&lt;=1,2,0))</f>
        <v>1</v>
      </c>
      <c r="K17270">
        <v>6</v>
      </c>
      <c r="L17270">
        <f>IF(AND($J17270=0,$K17270=0),0,1)</f>
        <v>1</v>
      </c>
    </row>
    <row r="17271" spans="1:13" x14ac:dyDescent="0.2">
      <c r="A17271" t="s">
        <v>769</v>
      </c>
      <c r="B17271" t="s">
        <v>386</v>
      </c>
      <c r="C17271" t="s">
        <v>407</v>
      </c>
      <c r="D17271">
        <v>5700</v>
      </c>
      <c r="E17271">
        <v>2021</v>
      </c>
      <c r="F17271">
        <v>1</v>
      </c>
      <c r="G17271">
        <v>13756</v>
      </c>
      <c r="H17271" s="1" t="s">
        <v>770</v>
      </c>
      <c r="I17271">
        <v>0</v>
      </c>
      <c r="J17271">
        <f>IF($H17271=0,1,IF($I17271&lt;=1,2,0))</f>
        <v>2</v>
      </c>
      <c r="K17271">
        <v>0</v>
      </c>
      <c r="L17271">
        <f>IF(AND($J17271=0,$K17271=0),0,1)</f>
        <v>1</v>
      </c>
    </row>
    <row r="17272" spans="1:13" x14ac:dyDescent="0.2">
      <c r="A17272" t="s">
        <v>769</v>
      </c>
      <c r="B17272" t="s">
        <v>386</v>
      </c>
      <c r="C17272" t="s">
        <v>407</v>
      </c>
      <c r="D17272">
        <v>5800</v>
      </c>
      <c r="E17272">
        <v>2021</v>
      </c>
      <c r="F17272">
        <v>1</v>
      </c>
      <c r="G17272">
        <v>13757</v>
      </c>
      <c r="H17272" s="1" t="s">
        <v>1827</v>
      </c>
      <c r="I17272">
        <v>2</v>
      </c>
      <c r="J17272">
        <f>IF($H17272=0,1,IF($I17272&lt;=1,2,0))</f>
        <v>0</v>
      </c>
      <c r="K17272">
        <v>4</v>
      </c>
      <c r="L17272">
        <f>IF(AND($J17272=0,$K17272=0),0,1)</f>
        <v>1</v>
      </c>
    </row>
    <row r="17273" spans="1:13" x14ac:dyDescent="0.2">
      <c r="A17273" t="s">
        <v>769</v>
      </c>
      <c r="B17273" t="s">
        <v>386</v>
      </c>
      <c r="C17273" t="s">
        <v>34</v>
      </c>
      <c r="D17273">
        <v>9000</v>
      </c>
      <c r="E17273">
        <v>2021</v>
      </c>
      <c r="F17273" t="s">
        <v>1562</v>
      </c>
      <c r="G17273">
        <v>11877</v>
      </c>
      <c r="H17273" s="1">
        <v>0</v>
      </c>
      <c r="I17273">
        <v>72</v>
      </c>
      <c r="J17273">
        <f>IF($H17273=0,1,IF($I17273&lt;=1,2,0))</f>
        <v>1</v>
      </c>
      <c r="K17273">
        <v>5</v>
      </c>
      <c r="L17273">
        <f>IF(AND($J17273=0,$K17273=0),0,1)</f>
        <v>1</v>
      </c>
      <c r="M17273" t="s">
        <v>1306</v>
      </c>
    </row>
    <row r="17274" spans="1:13" x14ac:dyDescent="0.2">
      <c r="A17274" t="s">
        <v>769</v>
      </c>
      <c r="B17274" t="s">
        <v>386</v>
      </c>
      <c r="C17274" t="s">
        <v>34</v>
      </c>
      <c r="D17274">
        <v>9001</v>
      </c>
      <c r="E17274">
        <v>2021</v>
      </c>
      <c r="F17274">
        <v>1</v>
      </c>
      <c r="G17274">
        <v>13796</v>
      </c>
      <c r="H17274" s="1">
        <v>0</v>
      </c>
      <c r="I17274">
        <v>10</v>
      </c>
      <c r="J17274">
        <f>IF($H17274=0,1,IF($I17274&lt;=1,2,0))</f>
        <v>1</v>
      </c>
      <c r="K17274">
        <v>5</v>
      </c>
      <c r="L17274">
        <f>IF(AND($J17274=0,$K17274=0),0,1)</f>
        <v>1</v>
      </c>
    </row>
    <row r="17275" spans="1:13" x14ac:dyDescent="0.2">
      <c r="A17275" t="s">
        <v>769</v>
      </c>
      <c r="B17275" t="s">
        <v>386</v>
      </c>
      <c r="C17275" t="s">
        <v>407</v>
      </c>
      <c r="D17275">
        <v>9800</v>
      </c>
      <c r="E17275">
        <v>2021</v>
      </c>
      <c r="F17275" t="s">
        <v>1816</v>
      </c>
      <c r="G17275">
        <v>11881</v>
      </c>
      <c r="H17275" s="1" t="s">
        <v>1828</v>
      </c>
      <c r="I17275">
        <v>2</v>
      </c>
      <c r="J17275">
        <f>IF($H17275=0,1,IF($I17275&lt;=1,2,0))</f>
        <v>0</v>
      </c>
      <c r="K17275">
        <v>5</v>
      </c>
      <c r="L17275">
        <f>IF(AND($J17275=0,$K17275=0),0,1)</f>
        <v>1</v>
      </c>
      <c r="M17275" t="s">
        <v>1043</v>
      </c>
    </row>
    <row r="17276" spans="1:13" x14ac:dyDescent="0.2">
      <c r="A17276" t="s">
        <v>771</v>
      </c>
      <c r="B17276" t="s">
        <v>17</v>
      </c>
      <c r="C17276" t="s">
        <v>9</v>
      </c>
      <c r="D17276">
        <v>1101</v>
      </c>
      <c r="E17276">
        <v>2021</v>
      </c>
      <c r="F17276" t="s">
        <v>1349</v>
      </c>
      <c r="G17276">
        <v>18978</v>
      </c>
      <c r="H17276" s="1">
        <v>0</v>
      </c>
      <c r="I17276">
        <v>3</v>
      </c>
      <c r="J17276">
        <f>IF($H17276=0,1,IF($I17276&lt;=1,2,0))</f>
        <v>1</v>
      </c>
      <c r="K17276">
        <v>0</v>
      </c>
      <c r="L17276">
        <f>IF(AND($J17276=0,$K17276=0),0,1)</f>
        <v>1</v>
      </c>
    </row>
    <row r="17277" spans="1:13" x14ac:dyDescent="0.2">
      <c r="A17277" t="s">
        <v>771</v>
      </c>
      <c r="B17277" t="s">
        <v>17</v>
      </c>
      <c r="C17277" t="s">
        <v>9</v>
      </c>
      <c r="D17277">
        <v>3333</v>
      </c>
      <c r="E17277">
        <v>2021</v>
      </c>
      <c r="F17277" t="s">
        <v>1349</v>
      </c>
      <c r="G17277">
        <v>18979</v>
      </c>
      <c r="H17277" s="1">
        <v>0</v>
      </c>
      <c r="I17277">
        <v>0</v>
      </c>
      <c r="J17277">
        <f>IF($H17277=0,1,IF($I17277&lt;=1,2,0))</f>
        <v>1</v>
      </c>
      <c r="K17277">
        <v>0</v>
      </c>
      <c r="L17277">
        <f>IF(AND($J17277=0,$K17277=0),0,1)</f>
        <v>1</v>
      </c>
    </row>
    <row r="17278" spans="1:13" x14ac:dyDescent="0.2">
      <c r="A17278" t="s">
        <v>771</v>
      </c>
      <c r="B17278" t="s">
        <v>17</v>
      </c>
      <c r="C17278" t="s">
        <v>11</v>
      </c>
      <c r="D17278">
        <v>4675</v>
      </c>
      <c r="E17278">
        <v>2021</v>
      </c>
      <c r="F17278" t="s">
        <v>1349</v>
      </c>
      <c r="G17278">
        <v>18980</v>
      </c>
      <c r="H17278" s="1">
        <v>0</v>
      </c>
      <c r="I17278">
        <v>2</v>
      </c>
      <c r="J17278">
        <f>IF($H17278=0,1,IF($I17278&lt;=1,2,0))</f>
        <v>1</v>
      </c>
      <c r="K17278">
        <v>0</v>
      </c>
      <c r="L17278">
        <f>IF(AND($J17278=0,$K17278=0),0,1)</f>
        <v>1</v>
      </c>
    </row>
    <row r="17279" spans="1:13" x14ac:dyDescent="0.2">
      <c r="A17279" t="s">
        <v>771</v>
      </c>
      <c r="B17279" t="s">
        <v>17</v>
      </c>
      <c r="C17279" t="s">
        <v>9</v>
      </c>
      <c r="D17279">
        <v>4997</v>
      </c>
      <c r="E17279">
        <v>2021</v>
      </c>
      <c r="F17279">
        <v>1</v>
      </c>
      <c r="G17279">
        <v>15726</v>
      </c>
      <c r="H17279" s="1">
        <v>3</v>
      </c>
      <c r="I17279">
        <v>1</v>
      </c>
      <c r="J17279">
        <f>IF($H17279=0,1,IF($I17279&lt;=1,2,0))</f>
        <v>2</v>
      </c>
      <c r="K17279">
        <v>9</v>
      </c>
      <c r="L17279">
        <f>IF(AND($J17279=0,$K17279=0),0,1)</f>
        <v>1</v>
      </c>
    </row>
    <row r="17280" spans="1:13" x14ac:dyDescent="0.2">
      <c r="A17280" t="s">
        <v>772</v>
      </c>
      <c r="B17280" t="s">
        <v>17</v>
      </c>
      <c r="C17280" t="s">
        <v>9</v>
      </c>
      <c r="D17280">
        <v>3997</v>
      </c>
      <c r="E17280">
        <v>2021</v>
      </c>
      <c r="F17280">
        <v>1</v>
      </c>
      <c r="G17280">
        <v>20733</v>
      </c>
      <c r="H17280" s="1">
        <v>3</v>
      </c>
      <c r="I17280">
        <v>0</v>
      </c>
      <c r="J17280">
        <f>IF($H17280=0,1,IF($I17280&lt;=1,2,0))</f>
        <v>2</v>
      </c>
      <c r="K17280">
        <v>9</v>
      </c>
      <c r="L17280">
        <f>IF(AND($J17280=0,$K17280=0),0,1)</f>
        <v>1</v>
      </c>
    </row>
    <row r="17281" spans="1:13" x14ac:dyDescent="0.2">
      <c r="A17281" t="s">
        <v>772</v>
      </c>
      <c r="B17281" t="s">
        <v>17</v>
      </c>
      <c r="C17281" t="s">
        <v>9</v>
      </c>
      <c r="D17281">
        <v>3997</v>
      </c>
      <c r="E17281">
        <v>2021</v>
      </c>
      <c r="F17281">
        <v>2</v>
      </c>
      <c r="G17281">
        <v>20914</v>
      </c>
      <c r="H17281" s="1">
        <v>2</v>
      </c>
      <c r="I17281">
        <v>0</v>
      </c>
      <c r="J17281">
        <f>IF($H17281=0,1,IF($I17281&lt;=1,2,0))</f>
        <v>2</v>
      </c>
      <c r="K17281">
        <v>9</v>
      </c>
      <c r="L17281">
        <f>IF(AND($J17281=0,$K17281=0),0,1)</f>
        <v>1</v>
      </c>
    </row>
    <row r="17282" spans="1:13" x14ac:dyDescent="0.2">
      <c r="A17282" t="s">
        <v>774</v>
      </c>
      <c r="B17282" t="s">
        <v>17</v>
      </c>
      <c r="C17282" t="s">
        <v>9</v>
      </c>
      <c r="D17282">
        <v>2101</v>
      </c>
      <c r="E17282">
        <v>2021</v>
      </c>
      <c r="F17282">
        <v>1</v>
      </c>
      <c r="G17282">
        <v>11723</v>
      </c>
      <c r="H17282" s="1">
        <v>4</v>
      </c>
      <c r="I17282">
        <v>0</v>
      </c>
      <c r="J17282">
        <f>IF($H17282=0,1,IF($I17282&lt;=1,2,0))</f>
        <v>2</v>
      </c>
      <c r="K17282">
        <v>0</v>
      </c>
      <c r="L17282">
        <f>IF(AND($J17282=0,$K17282=0),0,1)</f>
        <v>1</v>
      </c>
      <c r="M17282" t="s">
        <v>181</v>
      </c>
    </row>
    <row r="17283" spans="1:13" x14ac:dyDescent="0.2">
      <c r="A17283" t="s">
        <v>774</v>
      </c>
      <c r="B17283" t="s">
        <v>17</v>
      </c>
      <c r="C17283" t="s">
        <v>9</v>
      </c>
      <c r="D17283">
        <v>3101</v>
      </c>
      <c r="E17283">
        <v>2021</v>
      </c>
      <c r="F17283">
        <v>1</v>
      </c>
      <c r="G17283">
        <v>11724</v>
      </c>
      <c r="H17283" s="1">
        <v>3</v>
      </c>
      <c r="I17283">
        <v>0</v>
      </c>
      <c r="J17283">
        <f>IF($H17283=0,1,IF($I17283&lt;=1,2,0))</f>
        <v>2</v>
      </c>
      <c r="K17283">
        <v>0</v>
      </c>
      <c r="L17283">
        <f>IF(AND($J17283=0,$K17283=0),0,1)</f>
        <v>1</v>
      </c>
      <c r="M17283" t="s">
        <v>181</v>
      </c>
    </row>
    <row r="17284" spans="1:13" x14ac:dyDescent="0.2">
      <c r="A17284" t="s">
        <v>774</v>
      </c>
      <c r="B17284" t="s">
        <v>17</v>
      </c>
      <c r="C17284" t="s">
        <v>9</v>
      </c>
      <c r="D17284">
        <v>3998</v>
      </c>
      <c r="E17284">
        <v>2021</v>
      </c>
      <c r="F17284">
        <v>1</v>
      </c>
      <c r="G17284">
        <v>11725</v>
      </c>
      <c r="H17284" s="1">
        <v>1</v>
      </c>
      <c r="I17284">
        <v>1</v>
      </c>
      <c r="J17284">
        <f>IF($H17284=0,1,IF($I17284&lt;=1,2,0))</f>
        <v>2</v>
      </c>
      <c r="K17284">
        <v>9</v>
      </c>
      <c r="L17284">
        <f>IF(AND($J17284=0,$K17284=0),0,1)</f>
        <v>1</v>
      </c>
      <c r="M17284" t="s">
        <v>1822</v>
      </c>
    </row>
  </sheetData>
  <sortState xmlns:xlrd2="http://schemas.microsoft.com/office/spreadsheetml/2017/richdata2" ref="A2:M17284">
    <sortCondition ref="L2:L17284"/>
    <sortCondition ref="E2:E17284"/>
    <sortCondition ref="A2:A17284"/>
    <sortCondition ref="D2:D17284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14C11-F152-FC48-BD60-C1EC9866D401}">
  <dimension ref="A1:K56"/>
  <sheetViews>
    <sheetView workbookViewId="0">
      <pane ySplit="1" topLeftCell="A2" activePane="bottomLeft" state="frozen"/>
      <selection pane="bottomLeft" activeCell="I21" sqref="I21"/>
    </sheetView>
  </sheetViews>
  <sheetFormatPr baseColWidth="10" defaultRowHeight="16" x14ac:dyDescent="0.2"/>
  <cols>
    <col min="10" max="11" width="10.83203125" style="3"/>
  </cols>
  <sheetData>
    <row r="1" spans="1:11" x14ac:dyDescent="0.2">
      <c r="A1" t="s">
        <v>2096</v>
      </c>
      <c r="B1" s="2" t="s">
        <v>2152</v>
      </c>
      <c r="C1" s="2" t="s">
        <v>2153</v>
      </c>
      <c r="D1" s="2" t="s">
        <v>2154</v>
      </c>
      <c r="E1" s="2" t="s">
        <v>2155</v>
      </c>
      <c r="F1" s="2" t="s">
        <v>2156</v>
      </c>
      <c r="G1" s="2" t="s">
        <v>2157</v>
      </c>
      <c r="H1" s="2" t="s">
        <v>2158</v>
      </c>
      <c r="I1" t="s">
        <v>2159</v>
      </c>
      <c r="J1" s="3" t="s">
        <v>2160</v>
      </c>
      <c r="K1" s="3" t="s">
        <v>2161</v>
      </c>
    </row>
    <row r="2" spans="1:11" x14ac:dyDescent="0.2">
      <c r="A2" t="s">
        <v>2097</v>
      </c>
      <c r="B2">
        <f>COUNTIFS(Courses!$B$1:'Courses'!$B$20000,"Arts",Courses!$D$1:'Courses'!$D$20000,"&gt;=1000",Courses!$D$1:'Courses'!$D$20000,"&lt;2000",Courses!$E$1:'Courses'!$E$20000,2019,Courses!$I$1:'Courses'!$I$20000,"&gt;=2",Courses!$I$1:'Courses'!$I$20000,"&lt;10",Courses!$L$1:'Courses'!$L$20000,0)</f>
        <v>3</v>
      </c>
      <c r="C2">
        <f>COUNTIFS(Courses!$B$1:'Courses'!$B$20000,"Arts",Courses!$D$1:'Courses'!$D$20000,"&gt;=1000",Courses!$D$1:'Courses'!$D$20000,"&lt;2000",Courses!$E$1:'Courses'!$E$20000,2019,Courses!$I$1:'Courses'!$I$20000,"&gt;=10",Courses!$I$1:'Courses'!$I$20000,"&lt;20",Courses!$L$1:'Courses'!$L$20000,0)</f>
        <v>11</v>
      </c>
      <c r="D2">
        <f>COUNTIFS(Courses!$B$1:'Courses'!$B$20000,"Arts",Courses!$D$1:'Courses'!$D$20000,"&gt;=1000",Courses!$D$1:'Courses'!$D$20000,"&lt;2000",Courses!$E$1:'Courses'!$E$20000,2019,Courses!$I$1:'Courses'!$I$20000,"&gt;=20",Courses!$I$1:'Courses'!$I$20000,"&lt;30",Courses!$L$1:'Courses'!$L$20000,0)</f>
        <v>1</v>
      </c>
      <c r="E2">
        <f>COUNTIFS(Courses!$B$1:'Courses'!$B$20000,"Arts",Courses!$D$1:'Courses'!$D$20000,"&gt;=1000",Courses!$D$1:'Courses'!$D$20000,"&lt;2000",Courses!$E$1:'Courses'!$E$20000,2019,Courses!$I$1:'Courses'!$I$20000,"&gt;=30",Courses!$I$1:'Courses'!$I$20000,"&lt;40",Courses!$L$1:'Courses'!$L$20000,0)</f>
        <v>0</v>
      </c>
      <c r="F2">
        <f>COUNTIFS(Courses!$B$1:'Courses'!$B$20000,"Arts",Courses!$D$1:'Courses'!$D$20000,"&gt;=1000",Courses!$D$1:'Courses'!$D$20000,"&lt;2000",Courses!$E$1:'Courses'!$E$20000,2019,Courses!$I$1:'Courses'!$I$20000,"&gt;=40",Courses!$I$1:'Courses'!$I$20000,"&lt;50",Courses!$L$1:'Courses'!$L$20000,0)</f>
        <v>1</v>
      </c>
      <c r="G2">
        <f>COUNTIFS(Courses!$B$1:'Courses'!$B$20000,"Arts",Courses!$D$1:'Courses'!$D$20000,"&gt;=1000",Courses!$D$1:'Courses'!$D$20000,"&lt;2000",Courses!$E$1:'Courses'!$E$20000,2019,Courses!$I$1:'Courses'!$I$20000,"&gt;=50",Courses!$I$1:'Courses'!$I$20000,"&lt;100",Courses!$L$1:'Courses'!$L$20000,0)</f>
        <v>1</v>
      </c>
      <c r="H2">
        <f>COUNTIFS(Courses!$B$1:'Courses'!$B$20000,"Arts",Courses!$D$1:'Courses'!$D$20000,"&gt;=1000",Courses!$D$1:'Courses'!$D$20000,"&lt;2000",Courses!$E$1:'Courses'!$E$20000,2019,Courses!$I$1:'Courses'!$I$20000,"&gt;=100",Courses!$L$1:'Courses'!$L$20000,0)</f>
        <v>0</v>
      </c>
      <c r="I2">
        <f t="shared" ref="I2:I33" si="0">$B2+$C2+$D2+$E2+$F2+$G2+$H2</f>
        <v>17</v>
      </c>
      <c r="J2" s="3">
        <f>100*($B2+$C2)/$I2</f>
        <v>82.352941176470594</v>
      </c>
      <c r="K2" s="3">
        <f t="shared" ref="K2:K33" si="1">100*($G2+$H2)/$I2</f>
        <v>5.882352941176471</v>
      </c>
    </row>
    <row r="3" spans="1:11" x14ac:dyDescent="0.2">
      <c r="A3" t="s">
        <v>2098</v>
      </c>
      <c r="B3">
        <f>COUNTIFS(Courses!$B$1:'Courses'!$B$20000,"Arts",Courses!$D$1:'Courses'!$D$20000,"&gt;=2000",Courses!$D$1:'Courses'!$D$20000,"&lt;3000",Courses!$E$1:'Courses'!$E$20000,2019,Courses!$I$1:'Courses'!$I$20000,"&gt;=2",Courses!$I$1:'Courses'!$I$20000,"&lt;10",Courses!$L$1:'Courses'!$L$20000,0)</f>
        <v>14</v>
      </c>
      <c r="C3">
        <f>COUNTIFS(Courses!$B$1:'Courses'!$B$20000,"Arts",Courses!$D$1:'Courses'!$D$20000,"&gt;=2000",Courses!$D$1:'Courses'!$D$20000,"&lt;3000",Courses!$E$1:'Courses'!$E$20000,2019,Courses!$I$1:'Courses'!$I$20000,"&gt;=10",Courses!$I$1:'Courses'!$I$20000,"&lt;20",Courses!$L$1:'Courses'!$L$20000,0)</f>
        <v>16</v>
      </c>
      <c r="D3">
        <f>COUNTIFS(Courses!$B$1:'Courses'!$B$20000,"Arts",Courses!$D$1:'Courses'!$D$20000,"&gt;=2000",Courses!$D$1:'Courses'!$D$20000,"&lt;3000",Courses!$E$1:'Courses'!$E$20000,2019,Courses!$I$1:'Courses'!$I$20000,"&gt;=20",Courses!$I$1:'Courses'!$I$20000,"&lt;30",Courses!$L$1:'Courses'!$L$20000,0)</f>
        <v>1</v>
      </c>
      <c r="E3">
        <f>COUNTIFS(Courses!$B$1:'Courses'!$B$20000,"Arts",Courses!$D$1:'Courses'!$D$20000,"&gt;=2000",Courses!$D$1:'Courses'!$D$20000,"&lt;3000",Courses!$E$1:'Courses'!$E$20000,2019,Courses!$I$1:'Courses'!$I$20000,"&gt;=30",Courses!$I$1:'Courses'!$I$20000,"&lt;40",Courses!$L$1:'Courses'!$L$20000,0)</f>
        <v>2</v>
      </c>
      <c r="F3">
        <f>COUNTIFS(Courses!$B$1:'Courses'!$B$20000,"Arts",Courses!$D$1:'Courses'!$D$20000,"&gt;=2000",Courses!$D$1:'Courses'!$D$20000,"&lt;3000",Courses!$E$1:'Courses'!$E$20000,2019,Courses!$I$1:'Courses'!$I$20000,"&gt;=40",Courses!$I$1:'Courses'!$I$20000,"&lt;50",Courses!$L$1:'Courses'!$L$20000,0)</f>
        <v>1</v>
      </c>
      <c r="G3">
        <f>COUNTIFS(Courses!$B$1:'Courses'!$B$20000,"Arts",Courses!$D$1:'Courses'!$D$20000,"&gt;=2000",Courses!$D$1:'Courses'!$D$20000,"&lt;3000",Courses!$E$1:'Courses'!$E$20000,2019,Courses!$I$1:'Courses'!$I$20000,"&gt;=50",Courses!$I$1:'Courses'!$I$20000,"&lt;100",Courses!$L$1:'Courses'!$L$20000,0)</f>
        <v>0</v>
      </c>
      <c r="H3">
        <f>COUNTIFS(Courses!$B$1:'Courses'!$B$20000,"Arts",Courses!$D$1:'Courses'!$D$20000,"&gt;=2000",Courses!$D$1:'Courses'!$D$20000,"&lt;3000",Courses!$E$1:'Courses'!$E$20000,2019,Courses!$I$1:'Courses'!$I$20000,"&gt;=100",Courses!$L$1:'Courses'!$L$20000,0)</f>
        <v>0</v>
      </c>
      <c r="I3">
        <f t="shared" si="0"/>
        <v>34</v>
      </c>
      <c r="J3" s="3">
        <f t="shared" ref="J3:J34" si="2">ROUND(100*($B3+$C3)/$I3,1)</f>
        <v>88.2</v>
      </c>
      <c r="K3" s="3">
        <f t="shared" si="1"/>
        <v>0</v>
      </c>
    </row>
    <row r="4" spans="1:11" x14ac:dyDescent="0.2">
      <c r="A4" t="s">
        <v>2099</v>
      </c>
      <c r="B4">
        <f>COUNTIFS(Courses!$B$1:'Courses'!$B$20000,"Arts",Courses!$D$1:'Courses'!$D$20000,"&gt;=3000",Courses!$D$1:'Courses'!$D$20000,"&lt;4000",Courses!$E$1:'Courses'!$E$20000,2019,Courses!$I$1:'Courses'!$I$20000,"&gt;=2",Courses!$I$1:'Courses'!$I$20000,"&lt;10",Courses!$L$1:'Courses'!$L$20000,0)</f>
        <v>16</v>
      </c>
      <c r="C4">
        <f>COUNTIFS(Courses!$B$1:'Courses'!$B$20000,"Arts",Courses!$D$1:'Courses'!$D$20000,"&gt;=3000",Courses!$D$1:'Courses'!$D$20000,"&lt;4000",Courses!$E$1:'Courses'!$E$20000,2019,Courses!$I$1:'Courses'!$I$20000,"&gt;=10",Courses!$I$1:'Courses'!$I$20000,"&lt;20",Courses!$L$1:'Courses'!$L$20000,0)</f>
        <v>28</v>
      </c>
      <c r="D4">
        <f>COUNTIFS(Courses!$B$1:'Courses'!$B$20000,"Arts",Courses!$D$1:'Courses'!$D$20000,"&gt;=3000",Courses!$D$1:'Courses'!$D$20000,"&lt;4000",Courses!$E$1:'Courses'!$E$20000,2019,Courses!$I$1:'Courses'!$I$20000,"&gt;=20",Courses!$I$1:'Courses'!$I$20000,"&lt;30",Courses!$L$1:'Courses'!$L$20000,0)</f>
        <v>1</v>
      </c>
      <c r="E4">
        <f>COUNTIFS(Courses!$B$1:'Courses'!$B$20000,"Arts",Courses!$D$1:'Courses'!$D$20000,"&gt;=3000",Courses!$D$1:'Courses'!$D$20000,"&lt;4000",Courses!$E$1:'Courses'!$E$20000,2019,Courses!$I$1:'Courses'!$I$20000,"&gt;=30",Courses!$I$1:'Courses'!$I$20000,"&lt;40",Courses!$L$1:'Courses'!$L$20000,0)</f>
        <v>1</v>
      </c>
      <c r="F4">
        <f>COUNTIFS(Courses!$B$1:'Courses'!$B$20000,"Arts",Courses!$D$1:'Courses'!$D$20000,"&gt;=3000",Courses!$D$1:'Courses'!$D$20000,"&lt;4000",Courses!$E$1:'Courses'!$E$20000,2019,Courses!$I$1:'Courses'!$I$20000,"&gt;=40",Courses!$I$1:'Courses'!$I$20000,"&lt;50",Courses!$L$1:'Courses'!$L$20000,0)</f>
        <v>0</v>
      </c>
      <c r="G4">
        <f>COUNTIFS(Courses!$B$1:'Courses'!$B$20000,"Arts",Courses!$D$1:'Courses'!$D$20000,"&gt;=3000",Courses!$D$1:'Courses'!$D$20000,"&lt;4000",Courses!$E$1:'Courses'!$E$20000,2019,Courses!$I$1:'Courses'!$I$20000,"&gt;=50",Courses!$I$1:'Courses'!$I$20000,"&lt;100",Courses!$L$1:'Courses'!$L$20000,0)</f>
        <v>0</v>
      </c>
      <c r="H4">
        <f>COUNTIFS(Courses!$B$1:'Courses'!$B$20000,"Arts",Courses!$D$1:'Courses'!$D$20000,"&gt;=3000",Courses!$D$1:'Courses'!$D$20000,"&lt;4000",Courses!$E$1:'Courses'!$E$20000,2019,Courses!$I$1:'Courses'!$I$20000,"&gt;=100",Courses!$L$1:'Courses'!$L$20000,0)</f>
        <v>0</v>
      </c>
      <c r="I4">
        <f t="shared" si="0"/>
        <v>46</v>
      </c>
      <c r="J4" s="3">
        <f t="shared" si="2"/>
        <v>95.7</v>
      </c>
      <c r="K4" s="3">
        <f t="shared" si="1"/>
        <v>0</v>
      </c>
    </row>
    <row r="5" spans="1:11" x14ac:dyDescent="0.2">
      <c r="A5" t="s">
        <v>2100</v>
      </c>
      <c r="B5">
        <f>COUNTIFS(Courses!$B$1:'Courses'!$B$20000,"Arts",Courses!$D$1:'Courses'!$D$20000,"&gt;=4000",Courses!$D$1:'Courses'!$D$20000,"&lt;5000",Courses!$E$1:'Courses'!$E$20000,2019,Courses!$I$1:'Courses'!$I$20000,"&gt;=2",Courses!$I$1:'Courses'!$I$20000,"&lt;10",Courses!$L$1:'Courses'!$L$20000,0)</f>
        <v>3</v>
      </c>
      <c r="C5">
        <f>COUNTIFS(Courses!$B$1:'Courses'!$B$20000,"Arts",Courses!$D$1:'Courses'!$D$20000,"&gt;=4000",Courses!$D$1:'Courses'!$D$20000,"&lt;5000",Courses!$E$1:'Courses'!$E$20000,2019,Courses!$I$1:'Courses'!$I$20000,"&gt;=10",Courses!$I$1:'Courses'!$I$20000,"&lt;20",Courses!$L$1:'Courses'!$L$20000,0)</f>
        <v>4</v>
      </c>
      <c r="D5">
        <f>COUNTIFS(Courses!$B$1:'Courses'!$B$20000,"Arts",Courses!$D$1:'Courses'!$D$20000,"&gt;=4000",Courses!$D$1:'Courses'!$D$20000,"&lt;5000",Courses!$E$1:'Courses'!$E$20000,2019,Courses!$I$1:'Courses'!$I$20000,"&gt;=20",Courses!$I$1:'Courses'!$I$20000,"&lt;30",Courses!$L$1:'Courses'!$L$20000,0)</f>
        <v>0</v>
      </c>
      <c r="E5">
        <f>COUNTIFS(Courses!$B$1:'Courses'!$B$20000,"Arts",Courses!$D$1:'Courses'!$D$20000,"&gt;=4000",Courses!$D$1:'Courses'!$D$20000,"&lt;5000",Courses!$E$1:'Courses'!$E$20000,2019,Courses!$I$1:'Courses'!$I$20000,"&gt;=30",Courses!$I$1:'Courses'!$I$20000,"&lt;40",Courses!$L$1:'Courses'!$L$20000,0)</f>
        <v>0</v>
      </c>
      <c r="F5">
        <f>COUNTIFS(Courses!$B$1:'Courses'!$B$20000,"Arts",Courses!$D$1:'Courses'!$D$20000,"&gt;=4000",Courses!$D$1:'Courses'!$D$20000,"&lt;5000",Courses!$E$1:'Courses'!$E$20000,2019,Courses!$I$1:'Courses'!$I$20000,"&gt;=40",Courses!$I$1:'Courses'!$I$20000,"&lt;50",Courses!$L$1:'Courses'!$L$20000,0)</f>
        <v>1</v>
      </c>
      <c r="G5">
        <f>COUNTIFS(Courses!$B$1:'Courses'!$B$20000,"Arts",Courses!$D$1:'Courses'!$D$20000,"&gt;=4000",Courses!$D$1:'Courses'!$D$20000,"&lt;5000",Courses!$E$1:'Courses'!$E$20000,2019,Courses!$I$1:'Courses'!$I$20000,"&gt;=50",Courses!$I$1:'Courses'!$I$20000,"&lt;100",Courses!$L$1:'Courses'!$L$20000,0)</f>
        <v>0</v>
      </c>
      <c r="H5">
        <f>COUNTIFS(Courses!$B$1:'Courses'!$B$20000,"Arts",Courses!$D$1:'Courses'!$D$20000,"&gt;=4000",Courses!$D$1:'Courses'!$D$20000,"&lt;5000",Courses!$E$1:'Courses'!$E$20000,2019,Courses!$I$1:'Courses'!$I$20000,"&gt;=100",Courses!$L$1:'Courses'!$L$20000,0)</f>
        <v>0</v>
      </c>
      <c r="I5">
        <f t="shared" si="0"/>
        <v>8</v>
      </c>
      <c r="J5" s="3">
        <f t="shared" si="2"/>
        <v>87.5</v>
      </c>
      <c r="K5" s="3">
        <f t="shared" si="1"/>
        <v>0</v>
      </c>
    </row>
    <row r="6" spans="1:11" x14ac:dyDescent="0.2">
      <c r="A6" t="s">
        <v>2101</v>
      </c>
      <c r="B6">
        <f>COUNTIFS(Courses!$B$1:'Courses'!$B$20000,"Arts",Courses!$D$1:'Courses'!$D$20000,"&gt;=5000",Courses!$D$1:'Courses'!$D$20000,"&lt;6000",Courses!$E$1:'Courses'!$E$20000,2019,Courses!$I$1:'Courses'!$I$20000,"&gt;=2",Courses!$I$1:'Courses'!$I$20000,"&lt;10",Courses!$L$1:'Courses'!$L$20000,0)</f>
        <v>26</v>
      </c>
      <c r="C6">
        <f>COUNTIFS(Courses!$B$1:'Courses'!$B$20000,"Arts",Courses!$D$1:'Courses'!$D$20000,"&gt;=5000",Courses!$D$1:'Courses'!$D$20000,"&lt;6000",Courses!$E$1:'Courses'!$E$20000,2019,Courses!$I$1:'Courses'!$I$20000,"&gt;=10",Courses!$I$1:'Courses'!$I$20000,"&lt;20",Courses!$L$1:'Courses'!$L$20000,0)</f>
        <v>32</v>
      </c>
      <c r="D6">
        <f>COUNTIFS(Courses!$B$1:'Courses'!$B$20000,"Arts",Courses!$D$1:'Courses'!$D$20000,"&gt;=5000",Courses!$D$1:'Courses'!$D$20000,"&lt;6000",Courses!$E$1:'Courses'!$E$20000,2019,Courses!$I$1:'Courses'!$I$20000,"&gt;=20",Courses!$I$1:'Courses'!$I$20000,"&lt;30",Courses!$L$1:'Courses'!$L$20000,0)</f>
        <v>1</v>
      </c>
      <c r="E6">
        <f>COUNTIFS(Courses!$B$1:'Courses'!$B$20000,"Arts",Courses!$D$1:'Courses'!$D$20000,"&gt;=5000",Courses!$D$1:'Courses'!$D$20000,"&lt;6000",Courses!$E$1:'Courses'!$E$20000,2019,Courses!$I$1:'Courses'!$I$20000,"&gt;=30",Courses!$I$1:'Courses'!$I$20000,"&lt;40",Courses!$L$1:'Courses'!$L$20000,0)</f>
        <v>0</v>
      </c>
      <c r="F6">
        <f>COUNTIFS(Courses!$B$1:'Courses'!$B$20000,"Arts",Courses!$D$1:'Courses'!$D$20000,"&gt;=5000",Courses!$D$1:'Courses'!$D$20000,"&lt;6000",Courses!$E$1:'Courses'!$E$20000,2019,Courses!$I$1:'Courses'!$I$20000,"&gt;=40",Courses!$I$1:'Courses'!$I$20000,"&lt;50",Courses!$L$1:'Courses'!$L$20000,0)</f>
        <v>0</v>
      </c>
      <c r="G6">
        <f>COUNTIFS(Courses!$B$1:'Courses'!$B$20000,"Arts",Courses!$D$1:'Courses'!$D$20000,"&gt;=5000",Courses!$D$1:'Courses'!$D$20000,"&lt;6000",Courses!$E$1:'Courses'!$E$20000,2019,Courses!$I$1:'Courses'!$I$20000,"&gt;=50",Courses!$I$1:'Courses'!$I$20000,"&lt;100",Courses!$L$1:'Courses'!$L$20000,0)</f>
        <v>3</v>
      </c>
      <c r="H6">
        <f>COUNTIFS(Courses!$B$1:'Courses'!$B$20000,"Arts",Courses!$D$1:'Courses'!$D$20000,"&gt;=5000",Courses!$D$1:'Courses'!$D$20000,"&lt;6000",Courses!$E$1:'Courses'!$E$20000,2019,Courses!$I$1:'Courses'!$I$20000,"&gt;=100",Courses!$L$1:'Courses'!$L$20000,0)</f>
        <v>0</v>
      </c>
      <c r="I6">
        <f t="shared" si="0"/>
        <v>62</v>
      </c>
      <c r="J6" s="3">
        <f t="shared" si="2"/>
        <v>93.5</v>
      </c>
      <c r="K6" s="3">
        <f t="shared" si="1"/>
        <v>4.838709677419355</v>
      </c>
    </row>
    <row r="7" spans="1:11" x14ac:dyDescent="0.2">
      <c r="A7" t="s">
        <v>2102</v>
      </c>
      <c r="B7">
        <f>COUNTIFS(Courses!$B$1:'Courses'!$B$20000,"Arts",Courses!$D$1:'Courses'!$D$20000,"&gt;=6000",Courses!$D$1:'Courses'!$D$20000,"&lt;7000",Courses!$E$1:'Courses'!$E$20000,2019,Courses!$I$1:'Courses'!$I$20000,"&gt;=2",Courses!$I$1:'Courses'!$I$20000,"&lt;10",Courses!$L$1:'Courses'!$L$20000,0)</f>
        <v>25</v>
      </c>
      <c r="C7">
        <f>COUNTIFS(Courses!$B$1:'Courses'!$B$20000,"Arts",Courses!$D$1:'Courses'!$D$20000,"&gt;=6000",Courses!$D$1:'Courses'!$D$20000,"&lt;7000",Courses!$E$1:'Courses'!$E$20000,2019,Courses!$I$1:'Courses'!$I$20000,"&gt;=10",Courses!$I$1:'Courses'!$I$20000,"&lt;20",Courses!$L$1:'Courses'!$L$20000,0)</f>
        <v>64</v>
      </c>
      <c r="D7">
        <f>COUNTIFS(Courses!$B$1:'Courses'!$B$20000,"Arts",Courses!$D$1:'Courses'!$D$20000,"&gt;=6000",Courses!$D$1:'Courses'!$D$20000,"&lt;7000",Courses!$E$1:'Courses'!$E$20000,2019,Courses!$I$1:'Courses'!$I$20000,"&gt;=20",Courses!$I$1:'Courses'!$I$20000,"&lt;30",Courses!$L$1:'Courses'!$L$20000,0)</f>
        <v>3</v>
      </c>
      <c r="E7">
        <f>COUNTIFS(Courses!$B$1:'Courses'!$B$20000,"Arts",Courses!$D$1:'Courses'!$D$20000,"&gt;=6000",Courses!$D$1:'Courses'!$D$20000,"&lt;7000",Courses!$E$1:'Courses'!$E$20000,2019,Courses!$I$1:'Courses'!$I$20000,"&gt;=30",Courses!$I$1:'Courses'!$I$20000,"&lt;40",Courses!$L$1:'Courses'!$L$20000,0)</f>
        <v>3</v>
      </c>
      <c r="F7">
        <f>COUNTIFS(Courses!$B$1:'Courses'!$B$20000,"Arts",Courses!$D$1:'Courses'!$D$20000,"&gt;=6000",Courses!$D$1:'Courses'!$D$20000,"&lt;7000",Courses!$E$1:'Courses'!$E$20000,2019,Courses!$I$1:'Courses'!$I$20000,"&gt;=40",Courses!$I$1:'Courses'!$I$20000,"&lt;50",Courses!$L$1:'Courses'!$L$20000,0)</f>
        <v>0</v>
      </c>
      <c r="G7">
        <f>COUNTIFS(Courses!$B$1:'Courses'!$B$20000,"Arts",Courses!$D$1:'Courses'!$D$20000,"&gt;=6000",Courses!$D$1:'Courses'!$D$20000,"&lt;7000",Courses!$E$1:'Courses'!$E$20000,2019,Courses!$I$1:'Courses'!$I$20000,"&gt;=50",Courses!$I$1:'Courses'!$I$20000,"&lt;100",Courses!$L$1:'Courses'!$L$20000,0)</f>
        <v>0</v>
      </c>
      <c r="H7">
        <f>COUNTIFS(Courses!$B$1:'Courses'!$B$20000,"Arts",Courses!$D$1:'Courses'!$D$20000,"&gt;=6000",Courses!$D$1:'Courses'!$D$20000,"&lt;7000",Courses!$E$1:'Courses'!$E$20000,2019,Courses!$I$1:'Courses'!$I$20000,"&gt;=100",Courses!$L$1:'Courses'!$L$20000,0)</f>
        <v>0</v>
      </c>
      <c r="I7">
        <f t="shared" si="0"/>
        <v>95</v>
      </c>
      <c r="J7" s="3">
        <f t="shared" si="2"/>
        <v>93.7</v>
      </c>
      <c r="K7" s="3">
        <f t="shared" si="1"/>
        <v>0</v>
      </c>
    </row>
    <row r="8" spans="1:11" x14ac:dyDescent="0.2">
      <c r="A8" t="s">
        <v>2103</v>
      </c>
      <c r="B8">
        <f>COUNTIFS(Courses!$B$1:'Courses'!$B$20000,"Arts",Courses!$D$1:'Courses'!$D$20000,"&gt;=8000",Courses!$D$1:'Courses'!$D$20000,"&lt;9000",Courses!$E$1:'Courses'!$E$20000,2019,Courses!$I$1:'Courses'!$I$20000,"&gt;=2",Courses!$I$1:'Courses'!$I$20000,"&lt;10",Courses!$L$1:'Courses'!$L$20000,0)</f>
        <v>23</v>
      </c>
      <c r="C8">
        <f>COUNTIFS(Courses!$B$1:'Courses'!$B$20000,"Arts",Courses!$D$1:'Courses'!$D$20000,"&gt;=8000",Courses!$D$1:'Courses'!$D$20000,"&lt;9000",Courses!$E$1:'Courses'!$E$20000,2019,Courses!$I$1:'Courses'!$I$20000,"&gt;=10",Courses!$I$1:'Courses'!$I$20000,"&lt;20",Courses!$L$1:'Courses'!$L$20000,0)</f>
        <v>17</v>
      </c>
      <c r="D8">
        <f>COUNTIFS(Courses!$B$1:'Courses'!$B$20000,"Arts",Courses!$D$1:'Courses'!$D$20000,"&gt;=8000",Courses!$D$1:'Courses'!$D$20000,"&lt;9000",Courses!$E$1:'Courses'!$E$20000,2019,Courses!$I$1:'Courses'!$I$20000,"&gt;=20",Courses!$I$1:'Courses'!$I$20000,"&lt;30",Courses!$L$1:'Courses'!$L$20000,0)</f>
        <v>1</v>
      </c>
      <c r="E8">
        <f>COUNTIFS(Courses!$B$1:'Courses'!$B$20000,"Arts",Courses!$D$1:'Courses'!$D$20000,"&gt;=8000",Courses!$D$1:'Courses'!$D$20000,"&lt;9000",Courses!$E$1:'Courses'!$E$20000,2019,Courses!$I$1:'Courses'!$I$20000,"&gt;=30",Courses!$I$1:'Courses'!$I$20000,"&lt;40",Courses!$L$1:'Courses'!$L$20000,0)</f>
        <v>1</v>
      </c>
      <c r="F8">
        <f>COUNTIFS(Courses!$B$1:'Courses'!$B$20000,"Arts",Courses!$D$1:'Courses'!$D$20000,"&gt;=8000",Courses!$D$1:'Courses'!$D$20000,"&lt;9000",Courses!$E$1:'Courses'!$E$20000,2019,Courses!$I$1:'Courses'!$I$20000,"&gt;=40",Courses!$I$1:'Courses'!$I$20000,"&lt;50",Courses!$L$1:'Courses'!$L$20000,0)</f>
        <v>1</v>
      </c>
      <c r="G8">
        <f>COUNTIFS(Courses!$B$1:'Courses'!$B$20000,"Arts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8">
        <f>COUNTIFS(Courses!$B$1:'Courses'!$B$20000,"Arts",Courses!$D$1:'Courses'!$D$20000,"&gt;=8000",Courses!$D$1:'Courses'!$D$20000,"&lt;9000",Courses!$E$1:'Courses'!$E$20000,2019,Courses!$I$1:'Courses'!$I$20000,"&gt;=100",Courses!$L$1:'Courses'!$L$20000,0)</f>
        <v>0</v>
      </c>
      <c r="I8">
        <f t="shared" si="0"/>
        <v>43</v>
      </c>
      <c r="J8" s="3">
        <f t="shared" si="2"/>
        <v>93</v>
      </c>
      <c r="K8" s="3">
        <f t="shared" si="1"/>
        <v>0</v>
      </c>
    </row>
    <row r="9" spans="1:11" x14ac:dyDescent="0.2">
      <c r="A9" t="s">
        <v>2104</v>
      </c>
      <c r="B9">
        <f>COUNTIFS(Courses!$B$1:'Courses'!$B$20000,"Arts",Courses!$D$1:'Courses'!$D$20000,"&gt;=1000",Courses!$D$1:'Courses'!$D$20000,"&lt;9000",Courses!$E$1:'Courses'!$E$20000,2019,Courses!$I$1:'Courses'!$I$20000,"&gt;=2",Courses!$I$1:'Courses'!$I$20000,"&lt;10",Courses!$L$1:'Courses'!$L$20000,0)</f>
        <v>110</v>
      </c>
      <c r="C9">
        <f>COUNTIFS(Courses!$B$1:'Courses'!$B$20000,"Arts",Courses!$D$1:'Courses'!$D$20000,"&gt;=1000",Courses!$D$1:'Courses'!$D$20000,"&lt;9000",Courses!$E$1:'Courses'!$E$20000,2019,Courses!$I$1:'Courses'!$I$20000,"&gt;=10",Courses!$I$1:'Courses'!$I$20000,"&lt;20",Courses!$L$1:'Courses'!$L$20000,0)</f>
        <v>172</v>
      </c>
      <c r="D9">
        <f>COUNTIFS(Courses!$B$1:'Courses'!$B$20000,"Arts",Courses!$D$1:'Courses'!$D$20000,"&gt;=1000",Courses!$D$1:'Courses'!$D$20000,"&lt;9000",Courses!$E$1:'Courses'!$E$20000,2019,Courses!$I$1:'Courses'!$I$20000,"&gt;=20",Courses!$I$1:'Courses'!$I$20000,"&lt;30",Courses!$L$1:'Courses'!$L$20000,0)</f>
        <v>8</v>
      </c>
      <c r="E9">
        <f>COUNTIFS(Courses!$B$1:'Courses'!$B$20000,"Arts",Courses!$D$1:'Courses'!$D$20000,"&gt;=1000",Courses!$D$1:'Courses'!$D$20000,"&lt;9000",Courses!$E$1:'Courses'!$E$20000,2019,Courses!$I$1:'Courses'!$I$20000,"&gt;=30",Courses!$I$1:'Courses'!$I$20000,"&lt;40",Courses!$L$1:'Courses'!$L$20000,0)</f>
        <v>7</v>
      </c>
      <c r="F9">
        <f>COUNTIFS(Courses!$B$1:'Courses'!$B$20000,"Arts",Courses!$D$1:'Courses'!$D$20000,"&gt;=1000",Courses!$D$1:'Courses'!$D$20000,"&lt;9000",Courses!$E$1:'Courses'!$E$20000,2019,Courses!$I$1:'Courses'!$I$20000,"&gt;=40",Courses!$I$1:'Courses'!$I$20000,"&lt;50",Courses!$L$1:'Courses'!$L$20000,0)</f>
        <v>4</v>
      </c>
      <c r="G9">
        <f>COUNTIFS(Courses!$B$1:'Courses'!$B$20000,"Arts",Courses!$D$1:'Courses'!$D$20000,"&gt;=1000",Courses!$D$1:'Courses'!$D$20000,"&lt;9000",Courses!$E$1:'Courses'!$E$20000,2019,Courses!$I$1:'Courses'!$I$20000,"&gt;=50",Courses!$I$1:'Courses'!$I$20000,"&lt;100",Courses!$L$1:'Courses'!$L$20000,0)</f>
        <v>4</v>
      </c>
      <c r="H9">
        <f>COUNTIFS(Courses!$B$1:'Courses'!$B$20000,"Arts",Courses!$D$1:'Courses'!$D$20000,"&gt;=1000",Courses!$D$1:'Courses'!$D$20000,"&lt;9000",Courses!$E$1:'Courses'!$E$20000,2019,Courses!$I$1:'Courses'!$I$20000,"&gt;=100",Courses!$L$1:'Courses'!$L$20000,0)</f>
        <v>0</v>
      </c>
      <c r="I9">
        <f t="shared" si="0"/>
        <v>305</v>
      </c>
      <c r="J9" s="3">
        <f t="shared" si="2"/>
        <v>92.5</v>
      </c>
      <c r="K9" s="3">
        <f t="shared" si="1"/>
        <v>1.3114754098360655</v>
      </c>
    </row>
    <row r="10" spans="1:11" x14ac:dyDescent="0.2">
      <c r="A10" t="s">
        <v>2105</v>
      </c>
      <c r="B10">
        <f>COUNTIFS(Courses!$B$1:'Courses'!$B$20000,"Core",Courses!$D$1:'Courses'!$D$20000,"&gt;=1000",Courses!$D$1:'Courses'!$D$20000,"&lt;2000",Courses!$E$1:'Courses'!$E$20000,2019,Courses!$I$1:'Courses'!$I$20000,"&gt;=2",Courses!$I$1:'Courses'!$I$20000,"&lt;10",Courses!$L$1:'Courses'!$L$20000,0)</f>
        <v>0</v>
      </c>
      <c r="C10">
        <f>COUNTIFS(Courses!$B$1:'Courses'!$B$20000,"Core",Courses!$D$1:'Courses'!$D$20000,"&gt;=1000",Courses!$D$1:'Courses'!$D$20000,"&lt;2000",Courses!$E$1:'Courses'!$E$20000,2019,Courses!$I$1:'Courses'!$I$20000,"&gt;=10",Courses!$I$1:'Courses'!$I$20000,"&lt;20",Courses!$L$1:'Courses'!$L$20000,0)</f>
        <v>120</v>
      </c>
      <c r="D10">
        <f>COUNTIFS(Courses!$B$1:'Courses'!$B$20000,"Core",Courses!$D$1:'Courses'!$D$20000,"&gt;=1000",Courses!$D$1:'Courses'!$D$20000,"&lt;2000",Courses!$E$1:'Courses'!$E$20000,2019,Courses!$I$1:'Courses'!$I$20000,"&gt;=20",Courses!$I$1:'Courses'!$I$20000,"&lt;30",Courses!$L$1:'Courses'!$L$20000,0)</f>
        <v>158</v>
      </c>
      <c r="E10">
        <f>COUNTIFS(Courses!$B$1:'Courses'!$B$20000,"Core",Courses!$D$1:'Courses'!$D$20000,"&gt;=1000",Courses!$D$1:'Courses'!$D$20000,"&lt;2000",Courses!$E$1:'Courses'!$E$20000,2019,Courses!$I$1:'Courses'!$I$20000,"&gt;=30",Courses!$I$1:'Courses'!$I$20000,"&lt;40",Courses!$L$1:'Courses'!$L$20000,0)</f>
        <v>0</v>
      </c>
      <c r="F10">
        <f>COUNTIFS(Courses!$B$1:'Courses'!$B$20000,"Core",Courses!$D$1:'Courses'!$D$20000,"&gt;=1000",Courses!$D$1:'Courses'!$D$20000,"&lt;2000",Courses!$E$1:'Courses'!$E$20000,2019,Courses!$I$1:'Courses'!$I$20000,"&gt;=40",Courses!$I$1:'Courses'!$I$20000,"&lt;50",Courses!$L$1:'Courses'!$L$20000,0)</f>
        <v>0</v>
      </c>
      <c r="G10">
        <f>COUNTIFS(Courses!$B$1:'Courses'!$B$20000,"Core",Courses!$D$1:'Courses'!$D$20000,"&gt;=1000",Courses!$D$1:'Courses'!$D$20000,"&lt;2000",Courses!$E$1:'Courses'!$E$20000,2019,Courses!$I$1:'Courses'!$I$20000,"&gt;=50",Courses!$I$1:'Courses'!$I$20000,"&lt;100",Courses!$L$1:'Courses'!$L$20000,0)</f>
        <v>0</v>
      </c>
      <c r="H10">
        <f>COUNTIFS(Courses!$B$1:'Courses'!$B$20000,"Core",Courses!$D$1:'Courses'!$D$20000,"&gt;=1000",Courses!$D$1:'Courses'!$D$20000,"&lt;2000",Courses!$E$1:'Courses'!$E$20000,2019,Courses!$I$1:'Courses'!$I$20000,"&gt;=100",Courses!$L$1:'Courses'!$L$20000,0)</f>
        <v>1</v>
      </c>
      <c r="I10">
        <f t="shared" si="0"/>
        <v>279</v>
      </c>
      <c r="J10" s="3">
        <f t="shared" si="2"/>
        <v>43</v>
      </c>
      <c r="K10" s="3">
        <f t="shared" si="1"/>
        <v>0.35842293906810035</v>
      </c>
    </row>
    <row r="11" spans="1:11" x14ac:dyDescent="0.2">
      <c r="A11" t="s">
        <v>2106</v>
      </c>
      <c r="B11">
        <f>COUNTIFS(Courses!$B$1:'Courses'!$B$20000,"Core",Courses!$D$1:'Courses'!$D$20000,"&gt;=2000",Courses!$D$1:'Courses'!$D$20000,"&lt;3000",Courses!$E$1:'Courses'!$E$20000,2019,Courses!$I$1:'Courses'!$I$20000,"&gt;=2",Courses!$I$1:'Courses'!$I$20000,"&lt;10",Courses!$L$1:'Courses'!$L$20000,0)</f>
        <v>0</v>
      </c>
      <c r="C11">
        <f>COUNTIFS(Courses!$B$1:'Courses'!$B$20000,"Core",Courses!$D$1:'Courses'!$D$20000,"&gt;=2000",Courses!$D$1:'Courses'!$D$20000,"&lt;3000",Courses!$E$1:'Courses'!$E$20000,2019,Courses!$I$1:'Courses'!$I$20000,"&gt;=10",Courses!$I$1:'Courses'!$I$20000,"&lt;20",Courses!$L$1:'Courses'!$L$20000,0)</f>
        <v>0</v>
      </c>
      <c r="D11">
        <f>COUNTIFS(Courses!$B$1:'Courses'!$B$20000,"Core",Courses!$D$1:'Courses'!$D$20000,"&gt;=2000",Courses!$D$1:'Courses'!$D$20000,"&lt;3000",Courses!$E$1:'Courses'!$E$20000,2019,Courses!$I$1:'Courses'!$I$20000,"&gt;=20",Courses!$I$1:'Courses'!$I$20000,"&lt;30",Courses!$L$1:'Courses'!$L$20000,0)</f>
        <v>0</v>
      </c>
      <c r="E11">
        <f>COUNTIFS(Courses!$B$1:'Courses'!$B$20000,"Core",Courses!$D$1:'Courses'!$D$20000,"&gt;=2000",Courses!$D$1:'Courses'!$D$20000,"&lt;3000",Courses!$E$1:'Courses'!$E$20000,2019,Courses!$I$1:'Courses'!$I$20000,"&gt;=30",Courses!$I$1:'Courses'!$I$20000,"&lt;40",Courses!$L$1:'Courses'!$L$20000,0)</f>
        <v>0</v>
      </c>
      <c r="F11">
        <f>COUNTIFS(Courses!$B$1:'Courses'!$B$20000,"Core",Courses!$D$1:'Courses'!$D$20000,"&gt;=2000",Courses!$D$1:'Courses'!$D$20000,"&lt;3000",Courses!$E$1:'Courses'!$E$20000,2019,Courses!$I$1:'Courses'!$I$20000,"&gt;=40",Courses!$I$1:'Courses'!$I$20000,"&lt;50",Courses!$L$1:'Courses'!$L$20000,0)</f>
        <v>0</v>
      </c>
      <c r="G11">
        <f>COUNTIFS(Courses!$B$1:'Courses'!$B$20000,"Core",Courses!$D$1:'Courses'!$D$20000,"&gt;=2000",Courses!$D$1:'Courses'!$D$20000,"&lt;3000",Courses!$E$1:'Courses'!$E$20000,2019,Courses!$I$1:'Courses'!$I$20000,"&gt;=50",Courses!$I$1:'Courses'!$I$20000,"&lt;100",Courses!$L$1:'Courses'!$L$20000,0)</f>
        <v>0</v>
      </c>
      <c r="H11">
        <f>COUNTIFS(Courses!$B$1:'Courses'!$B$20000,"Core",Courses!$D$1:'Courses'!$D$20000,"&gt;=2000",Courses!$D$1:'Courses'!$D$20000,"&lt;3000",Courses!$E$1:'Courses'!$E$20000,2019,Courses!$I$1:'Courses'!$I$20000,"&gt;=100",Courses!$L$1:'Courses'!$L$20000,0)</f>
        <v>0</v>
      </c>
      <c r="I11">
        <f t="shared" si="0"/>
        <v>0</v>
      </c>
      <c r="J11" s="3" t="e">
        <f t="shared" si="2"/>
        <v>#DIV/0!</v>
      </c>
      <c r="K11" s="3" t="e">
        <f t="shared" si="1"/>
        <v>#DIV/0!</v>
      </c>
    </row>
    <row r="12" spans="1:11" x14ac:dyDescent="0.2">
      <c r="A12" t="s">
        <v>2107</v>
      </c>
      <c r="B12">
        <f>COUNTIFS(Courses!$B$1:'Courses'!$B$20000,"Core",Courses!$D$1:'Courses'!$D$20000,"&gt;=6000",Courses!$D$1:'Courses'!$D$20000,"&lt;7000",Courses!$E$1:'Courses'!$E$20000,2019,Courses!$I$1:'Courses'!$I$20000,"&gt;=2",Courses!$I$1:'Courses'!$I$20000,"&lt;10",Courses!$L$1:'Courses'!$L$20000,0)</f>
        <v>0</v>
      </c>
      <c r="C12">
        <f>COUNTIFS(Courses!$B$1:'Courses'!$B$20000,"Core",Courses!$D$1:'Courses'!$D$20000,"&gt;=6000",Courses!$D$1:'Courses'!$D$20000,"&lt;7000",Courses!$E$1:'Courses'!$E$20000,2019,Courses!$I$1:'Courses'!$I$20000,"&gt;=10",Courses!$I$1:'Courses'!$I$20000,"&lt;20",Courses!$L$1:'Courses'!$L$20000,0)</f>
        <v>2</v>
      </c>
      <c r="D12">
        <f>COUNTIFS(Courses!$B$1:'Courses'!$B$20000,"Core",Courses!$D$1:'Courses'!$D$20000,"&gt;=6000",Courses!$D$1:'Courses'!$D$20000,"&lt;7000",Courses!$E$1:'Courses'!$E$20000,2019,Courses!$I$1:'Courses'!$I$20000,"&gt;=20",Courses!$I$1:'Courses'!$I$20000,"&lt;30",Courses!$L$1:'Courses'!$L$20000,0)</f>
        <v>0</v>
      </c>
      <c r="E12">
        <f>COUNTIFS(Courses!$B$1:'Courses'!$B$20000,"Core",Courses!$D$1:'Courses'!$D$20000,"&gt;=6000",Courses!$D$1:'Courses'!$D$20000,"&lt;7000",Courses!$E$1:'Courses'!$E$20000,2019,Courses!$I$1:'Courses'!$I$20000,"&gt;=30",Courses!$I$1:'Courses'!$I$20000,"&lt;40",Courses!$L$1:'Courses'!$L$20000,0)</f>
        <v>0</v>
      </c>
      <c r="F12">
        <f>COUNTIFS(Courses!$B$1:'Courses'!$B$20000,"Core",Courses!$D$1:'Courses'!$D$20000,"&gt;=6000",Courses!$D$1:'Courses'!$D$20000,"&lt;7000",Courses!$E$1:'Courses'!$E$20000,2019,Courses!$I$1:'Courses'!$I$20000,"&gt;=40",Courses!$I$1:'Courses'!$I$20000,"&lt;50",Courses!$L$1:'Courses'!$L$20000,0)</f>
        <v>0</v>
      </c>
      <c r="G12">
        <f>COUNTIFS(Courses!$B$1:'Courses'!$B$20000,"Core",Courses!$D$1:'Courses'!$D$20000,"&gt;=6000",Courses!$D$1:'Courses'!$D$20000,"&lt;7000",Courses!$E$1:'Courses'!$E$20000,2019,Courses!$I$1:'Courses'!$I$20000,"&gt;=50",Courses!$I$1:'Courses'!$I$20000,"&lt;100",Courses!$L$1:'Courses'!$L$20000,0)</f>
        <v>0</v>
      </c>
      <c r="H12">
        <f>COUNTIFS(Courses!$B$1:'Courses'!$B$20000,"Core",Courses!$D$1:'Courses'!$D$20000,"&gt;=6000",Courses!$D$1:'Courses'!$D$20000,"&lt;7000",Courses!$E$1:'Courses'!$E$20000,2019,Courses!$I$1:'Courses'!$I$20000,"&gt;=100",Courses!$L$1:'Courses'!$L$20000,0)</f>
        <v>0</v>
      </c>
      <c r="I12">
        <f t="shared" si="0"/>
        <v>2</v>
      </c>
      <c r="J12" s="3">
        <f t="shared" si="2"/>
        <v>100</v>
      </c>
      <c r="K12" s="3">
        <f t="shared" si="1"/>
        <v>0</v>
      </c>
    </row>
    <row r="13" spans="1:11" x14ac:dyDescent="0.2">
      <c r="A13" t="s">
        <v>2108</v>
      </c>
      <c r="B13">
        <f>COUNTIFS(Courses!$B$1:'Courses'!$B$20000,"Core",Courses!$D$1:'Courses'!$D$20000,"&gt;=8000",Courses!$D$1:'Courses'!$D$20000,"&lt;9000",Courses!$E$1:'Courses'!$E$20000,2019,Courses!$I$1:'Courses'!$I$20000,"&gt;=2",Courses!$I$1:'Courses'!$I$20000,"&lt;10",Courses!$L$1:'Courses'!$L$20000,0)</f>
        <v>0</v>
      </c>
      <c r="C13">
        <f>COUNTIFS(Courses!$B$1:'Courses'!$B$20000,"Core",Courses!$D$1:'Courses'!$D$20000,"&gt;=8000",Courses!$D$1:'Courses'!$D$20000,"&lt;9000",Courses!$E$1:'Courses'!$E$20000,2019,Courses!$I$1:'Courses'!$I$20000,"&gt;=10",Courses!$I$1:'Courses'!$I$20000,"&lt;20",Courses!$L$1:'Courses'!$L$20000,0)</f>
        <v>1</v>
      </c>
      <c r="D13">
        <f>COUNTIFS(Courses!$B$1:'Courses'!$B$20000,"Core",Courses!$D$1:'Courses'!$D$20000,"&gt;=8000",Courses!$D$1:'Courses'!$D$20000,"&lt;9000",Courses!$E$1:'Courses'!$E$20000,2019,Courses!$I$1:'Courses'!$I$20000,"&gt;=20",Courses!$I$1:'Courses'!$I$20000,"&lt;30",Courses!$L$1:'Courses'!$L$20000,0)</f>
        <v>0</v>
      </c>
      <c r="E13">
        <f>COUNTIFS(Courses!$B$1:'Courses'!$B$20000,"Core",Courses!$D$1:'Courses'!$D$20000,"&gt;=8000",Courses!$D$1:'Courses'!$D$20000,"&lt;9000",Courses!$E$1:'Courses'!$E$20000,2019,Courses!$I$1:'Courses'!$I$20000,"&gt;=30",Courses!$I$1:'Courses'!$I$20000,"&lt;40",Courses!$L$1:'Courses'!$L$20000,0)</f>
        <v>0</v>
      </c>
      <c r="F13">
        <f>COUNTIFS(Courses!$B$1:'Courses'!$B$20000,"Core",Courses!$D$1:'Courses'!$D$20000,"&gt;=8000",Courses!$D$1:'Courses'!$D$20000,"&lt;9000",Courses!$E$1:'Courses'!$E$20000,2019,Courses!$I$1:'Courses'!$I$20000,"&gt;=40",Courses!$I$1:'Courses'!$I$20000,"&lt;50",Courses!$L$1:'Courses'!$L$20000,0)</f>
        <v>0</v>
      </c>
      <c r="G13">
        <f>COUNTIFS(Courses!$B$1:'Courses'!$B$20000,"Core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13">
        <f>COUNTIFS(Courses!$B$1:'Courses'!$B$20000,"Core",Courses!$D$1:'Courses'!$D$20000,"&gt;=8000",Courses!$D$1:'Courses'!$D$20000,"&lt;9000",Courses!$E$1:'Courses'!$E$20000,2019,Courses!$I$1:'Courses'!$I$20000,"&gt;=100",Courses!$L$1:'Courses'!$L$20000,0)</f>
        <v>0</v>
      </c>
      <c r="I13">
        <f t="shared" si="0"/>
        <v>1</v>
      </c>
      <c r="J13" s="3">
        <f t="shared" si="2"/>
        <v>100</v>
      </c>
      <c r="K13" s="3">
        <f t="shared" si="1"/>
        <v>0</v>
      </c>
    </row>
    <row r="14" spans="1:11" x14ac:dyDescent="0.2">
      <c r="A14" t="s">
        <v>2109</v>
      </c>
      <c r="B14">
        <f>COUNTIFS(Courses!$B$1:'Courses'!$B$20000,"Core",Courses!$D$1:'Courses'!$D$20000,"&gt;=1000",Courses!$D$1:'Courses'!$D$20000,"&lt;9000",Courses!$E$1:'Courses'!$E$20000,2019,Courses!$I$1:'Courses'!$I$20000,"&gt;=2",Courses!$I$1:'Courses'!$I$20000,"&lt;10",Courses!$L$1:'Courses'!$L$20000,0)</f>
        <v>0</v>
      </c>
      <c r="C14">
        <f>COUNTIFS(Courses!$B$1:'Courses'!$B$20000,"Core",Courses!$D$1:'Courses'!$D$20000,"&gt;=1000",Courses!$D$1:'Courses'!$D$20000,"&lt;9000",Courses!$E$1:'Courses'!$E$20000,2019,Courses!$I$1:'Courses'!$I$20000,"&gt;=10",Courses!$I$1:'Courses'!$I$20000,"&lt;20",Courses!$L$1:'Courses'!$L$20000,0)</f>
        <v>123</v>
      </c>
      <c r="D14">
        <f>COUNTIFS(Courses!$B$1:'Courses'!$B$20000,"Core",Courses!$D$1:'Courses'!$D$20000,"&gt;=1000",Courses!$D$1:'Courses'!$D$20000,"&lt;9000",Courses!$E$1:'Courses'!$E$20000,2019,Courses!$I$1:'Courses'!$I$20000,"&gt;=20",Courses!$I$1:'Courses'!$I$20000,"&lt;30",Courses!$L$1:'Courses'!$L$20000,0)</f>
        <v>158</v>
      </c>
      <c r="E14">
        <f>COUNTIFS(Courses!$B$1:'Courses'!$B$20000,"Core",Courses!$D$1:'Courses'!$D$20000,"&gt;=1000",Courses!$D$1:'Courses'!$D$20000,"&lt;9000",Courses!$E$1:'Courses'!$E$20000,2019,Courses!$I$1:'Courses'!$I$20000,"&gt;=30",Courses!$I$1:'Courses'!$I$20000,"&lt;40",Courses!$L$1:'Courses'!$L$20000,0)</f>
        <v>0</v>
      </c>
      <c r="F14">
        <f>COUNTIFS(Courses!$B$1:'Courses'!$B$20000,"Core",Courses!$D$1:'Courses'!$D$20000,"&gt;=1000",Courses!$D$1:'Courses'!$D$20000,"&lt;9000",Courses!$E$1:'Courses'!$E$20000,2019,Courses!$I$1:'Courses'!$I$20000,"&gt;=40",Courses!$I$1:'Courses'!$I$20000,"&lt;50",Courses!$L$1:'Courses'!$L$20000,0)</f>
        <v>0</v>
      </c>
      <c r="G14">
        <f>COUNTIFS(Courses!$B$1:'Courses'!$B$20000,"Core",Courses!$D$1:'Courses'!$D$20000,"&gt;=1000",Courses!$D$1:'Courses'!$D$20000,"&lt;9000",Courses!$E$1:'Courses'!$E$20000,2019,Courses!$I$1:'Courses'!$I$20000,"&gt;=50",Courses!$I$1:'Courses'!$I$20000,"&lt;100",Courses!$L$1:'Courses'!$L$20000,0)</f>
        <v>0</v>
      </c>
      <c r="H14">
        <f>COUNTIFS(Courses!$B$1:'Courses'!$B$20000,"Core",Courses!$D$1:'Courses'!$D$20000,"&gt;=1000",Courses!$D$1:'Courses'!$D$20000,"&lt;9000",Courses!$E$1:'Courses'!$E$20000,2019,Courses!$I$1:'Courses'!$I$20000,"&gt;=100",Courses!$L$1:'Courses'!$L$20000,0)</f>
        <v>1</v>
      </c>
      <c r="I14">
        <f t="shared" si="0"/>
        <v>282</v>
      </c>
      <c r="J14" s="3">
        <f t="shared" si="2"/>
        <v>43.6</v>
      </c>
      <c r="K14" s="3">
        <f t="shared" si="1"/>
        <v>0.3546099290780142</v>
      </c>
    </row>
    <row r="15" spans="1:11" x14ac:dyDescent="0.2">
      <c r="A15" t="s">
        <v>2110</v>
      </c>
      <c r="B15">
        <f>COUNTIFS(Courses!$B$1:'Courses'!$B$20000,"Engineering",Courses!$D$1:'Courses'!$D$20000,"&gt;=1000",Courses!$D$1:'Courses'!$D$20000,"&lt;2000",Courses!$E$1:'Courses'!$E$20000,2019,Courses!$I$1:'Courses'!$I$20000,"&gt;=2",Courses!$I$1:'Courses'!$I$20000,"&lt;10",Courses!$L$1:'Courses'!$L$20000,0)</f>
        <v>6</v>
      </c>
      <c r="C15">
        <f>COUNTIFS(Courses!$B$1:'Courses'!$B$20000,"Engineering",Courses!$D$1:'Courses'!$D$20000,"&gt;=1000",Courses!$D$1:'Courses'!$D$20000,"&lt;2000",Courses!$E$1:'Courses'!$E$20000,2019,Courses!$I$1:'Courses'!$I$20000,"&gt;=10",Courses!$I$1:'Courses'!$I$20000,"&lt;20",Courses!$L$1:'Courses'!$L$20000,0)</f>
        <v>0</v>
      </c>
      <c r="D15">
        <f>COUNTIFS(Courses!$B$1:'Courses'!$B$20000,"Engineering",Courses!$D$1:'Courses'!$D$20000,"&gt;=1000",Courses!$D$1:'Courses'!$D$20000,"&lt;2000",Courses!$E$1:'Courses'!$E$20000,2019,Courses!$I$1:'Courses'!$I$20000,"&gt;=20",Courses!$I$1:'Courses'!$I$20000,"&lt;30",Courses!$L$1:'Courses'!$L$20000,0)</f>
        <v>1</v>
      </c>
      <c r="E15">
        <f>COUNTIFS(Courses!$B$1:'Courses'!$B$20000,"Engineering",Courses!$D$1:'Courses'!$D$20000,"&gt;=1000",Courses!$D$1:'Courses'!$D$20000,"&lt;2000",Courses!$E$1:'Courses'!$E$20000,2019,Courses!$I$1:'Courses'!$I$20000,"&gt;=30",Courses!$I$1:'Courses'!$I$20000,"&lt;40",Courses!$L$1:'Courses'!$L$20000,0)</f>
        <v>1</v>
      </c>
      <c r="F15">
        <f>COUNTIFS(Courses!$B$1:'Courses'!$B$20000,"Engineering",Courses!$D$1:'Courses'!$D$20000,"&gt;=1000",Courses!$D$1:'Courses'!$D$20000,"&lt;2000",Courses!$E$1:'Courses'!$E$20000,2019,Courses!$I$1:'Courses'!$I$20000,"&gt;=40",Courses!$I$1:'Courses'!$I$20000,"&lt;50",Courses!$L$1:'Courses'!$L$20000,0)</f>
        <v>2</v>
      </c>
      <c r="G15">
        <f>COUNTIFS(Courses!$B$1:'Courses'!$B$20000,"Engineering",Courses!$D$1:'Courses'!$D$20000,"&gt;=1000",Courses!$D$1:'Courses'!$D$20000,"&lt;2000",Courses!$E$1:'Courses'!$E$20000,2019,Courses!$I$1:'Courses'!$I$20000,"&gt;=50",Courses!$I$1:'Courses'!$I$20000,"&lt;100",Courses!$L$1:'Courses'!$L$20000,0)</f>
        <v>2</v>
      </c>
      <c r="H15">
        <f>COUNTIFS(Courses!$B$1:'Courses'!$B$20000,"Engineering",Courses!$D$1:'Courses'!$D$20000,"&gt;=1000",Courses!$D$1:'Courses'!$D$20000,"&lt;2000",Courses!$E$1:'Courses'!$E$20000,2019,Courses!$I$1:'Courses'!$I$20000,"&gt;=100",Courses!$L$1:'Courses'!$L$20000,0)</f>
        <v>4</v>
      </c>
      <c r="I15">
        <f t="shared" si="0"/>
        <v>16</v>
      </c>
      <c r="J15" s="3">
        <f t="shared" si="2"/>
        <v>37.5</v>
      </c>
      <c r="K15" s="3">
        <f t="shared" si="1"/>
        <v>37.5</v>
      </c>
    </row>
    <row r="16" spans="1:11" x14ac:dyDescent="0.2">
      <c r="A16" t="s">
        <v>2111</v>
      </c>
      <c r="B16">
        <f>COUNTIFS(Courses!$B$1:'Courses'!$B$20000,"Engineering",Courses!$D$1:'Courses'!$D$20000,"&gt;=2000",Courses!$D$1:'Courses'!$D$20000,"&lt;3000",Courses!$E$1:'Courses'!$E$20000,2019,Courses!$I$1:'Courses'!$I$20000,"&gt;=2",Courses!$I$1:'Courses'!$I$20000,"&lt;10",Courses!$L$1:'Courses'!$L$20000,0)</f>
        <v>0</v>
      </c>
      <c r="C16">
        <f>COUNTIFS(Courses!$B$1:'Courses'!$B$20000,"Engineering",Courses!$D$1:'Courses'!$D$20000,"&gt;=2000",Courses!$D$1:'Courses'!$D$20000,"&lt;3000",Courses!$E$1:'Courses'!$E$20000,2019,Courses!$I$1:'Courses'!$I$20000,"&gt;=10",Courses!$I$1:'Courses'!$I$20000,"&lt;20",Courses!$L$1:'Courses'!$L$20000,0)</f>
        <v>0</v>
      </c>
      <c r="D16">
        <f>COUNTIFS(Courses!$B$1:'Courses'!$B$20000,"Engineering",Courses!$D$1:'Courses'!$D$20000,"&gt;=2000",Courses!$D$1:'Courses'!$D$20000,"&lt;3000",Courses!$E$1:'Courses'!$E$20000,2019,Courses!$I$1:'Courses'!$I$20000,"&gt;=20",Courses!$I$1:'Courses'!$I$20000,"&lt;30",Courses!$L$1:'Courses'!$L$20000,0)</f>
        <v>0</v>
      </c>
      <c r="E16">
        <f>COUNTIFS(Courses!$B$1:'Courses'!$B$20000,"Engineering",Courses!$D$1:'Courses'!$D$20000,"&gt;=2000",Courses!$D$1:'Courses'!$D$20000,"&lt;3000",Courses!$E$1:'Courses'!$E$20000,2019,Courses!$I$1:'Courses'!$I$20000,"&gt;=30",Courses!$I$1:'Courses'!$I$20000,"&lt;40",Courses!$L$1:'Courses'!$L$20000,0)</f>
        <v>2</v>
      </c>
      <c r="F16">
        <f>COUNTIFS(Courses!$B$1:'Courses'!$B$20000,"Engineering",Courses!$D$1:'Courses'!$D$20000,"&gt;=2000",Courses!$D$1:'Courses'!$D$20000,"&lt;3000",Courses!$E$1:'Courses'!$E$20000,2019,Courses!$I$1:'Courses'!$I$20000,"&gt;=40",Courses!$I$1:'Courses'!$I$20000,"&lt;50",Courses!$L$1:'Courses'!$L$20000,0)</f>
        <v>1</v>
      </c>
      <c r="G16">
        <f>COUNTIFS(Courses!$B$1:'Courses'!$B$20000,"Engineering",Courses!$D$1:'Courses'!$D$20000,"&gt;=2000",Courses!$D$1:'Courses'!$D$20000,"&lt;3000",Courses!$E$1:'Courses'!$E$20000,2019,Courses!$I$1:'Courses'!$I$20000,"&gt;=50",Courses!$I$1:'Courses'!$I$20000,"&lt;100",Courses!$L$1:'Courses'!$L$20000,0)</f>
        <v>2</v>
      </c>
      <c r="H16">
        <f>COUNTIFS(Courses!$B$1:'Courses'!$B$20000,"Engineering",Courses!$D$1:'Courses'!$D$20000,"&gt;=2000",Courses!$D$1:'Courses'!$D$20000,"&lt;3000",Courses!$E$1:'Courses'!$E$20000,2019,Courses!$I$1:'Courses'!$I$20000,"&gt;=100",Courses!$L$1:'Courses'!$L$20000,0)</f>
        <v>1</v>
      </c>
      <c r="I16">
        <f t="shared" si="0"/>
        <v>6</v>
      </c>
      <c r="J16" s="3">
        <f t="shared" si="2"/>
        <v>0</v>
      </c>
      <c r="K16" s="3">
        <f t="shared" si="1"/>
        <v>50</v>
      </c>
    </row>
    <row r="17" spans="1:11" x14ac:dyDescent="0.2">
      <c r="A17" t="s">
        <v>2112</v>
      </c>
      <c r="B17">
        <f>COUNTIFS(Courses!$B$1:'Courses'!$B$20000,"Engineering",Courses!$D$1:'Courses'!$D$20000,"&gt;=3000",Courses!$D$1:'Courses'!$D$20000,"&lt;4000",Courses!$E$1:'Courses'!$E$20000,2019,Courses!$I$1:'Courses'!$I$20000,"&gt;=2",Courses!$I$1:'Courses'!$I$20000,"&lt;10",Courses!$L$1:'Courses'!$L$20000,0)</f>
        <v>7</v>
      </c>
      <c r="C17">
        <f>COUNTIFS(Courses!$B$1:'Courses'!$B$20000,"Engineering",Courses!$D$1:'Courses'!$D$20000,"&gt;=3000",Courses!$D$1:'Courses'!$D$20000,"&lt;4000",Courses!$E$1:'Courses'!$E$20000,2019,Courses!$I$1:'Courses'!$I$20000,"&gt;=10",Courses!$I$1:'Courses'!$I$20000,"&lt;20",Courses!$L$1:'Courses'!$L$20000,0)</f>
        <v>7</v>
      </c>
      <c r="D17">
        <f>COUNTIFS(Courses!$B$1:'Courses'!$B$20000,"Engineering",Courses!$D$1:'Courses'!$D$20000,"&gt;=3000",Courses!$D$1:'Courses'!$D$20000,"&lt;4000",Courses!$E$1:'Courses'!$E$20000,2019,Courses!$I$1:'Courses'!$I$20000,"&gt;=20",Courses!$I$1:'Courses'!$I$20000,"&lt;30",Courses!$L$1:'Courses'!$L$20000,0)</f>
        <v>13</v>
      </c>
      <c r="E17">
        <f>COUNTIFS(Courses!$B$1:'Courses'!$B$20000,"Engineering",Courses!$D$1:'Courses'!$D$20000,"&gt;=3000",Courses!$D$1:'Courses'!$D$20000,"&lt;4000",Courses!$E$1:'Courses'!$E$20000,2019,Courses!$I$1:'Courses'!$I$20000,"&gt;=30",Courses!$I$1:'Courses'!$I$20000,"&lt;40",Courses!$L$1:'Courses'!$L$20000,0)</f>
        <v>6</v>
      </c>
      <c r="F17">
        <f>COUNTIFS(Courses!$B$1:'Courses'!$B$20000,"Engineering",Courses!$D$1:'Courses'!$D$20000,"&gt;=3000",Courses!$D$1:'Courses'!$D$20000,"&lt;4000",Courses!$E$1:'Courses'!$E$20000,2019,Courses!$I$1:'Courses'!$I$20000,"&gt;=40",Courses!$I$1:'Courses'!$I$20000,"&lt;50",Courses!$L$1:'Courses'!$L$20000,0)</f>
        <v>4</v>
      </c>
      <c r="G17">
        <f>COUNTIFS(Courses!$B$1:'Courses'!$B$20000,"Engineering",Courses!$D$1:'Courses'!$D$20000,"&gt;=3000",Courses!$D$1:'Courses'!$D$20000,"&lt;4000",Courses!$E$1:'Courses'!$E$20000,2019,Courses!$I$1:'Courses'!$I$20000,"&gt;=50",Courses!$I$1:'Courses'!$I$20000,"&lt;100",Courses!$L$1:'Courses'!$L$20000,0)</f>
        <v>17</v>
      </c>
      <c r="H17">
        <f>COUNTIFS(Courses!$B$1:'Courses'!$B$20000,"Engineering",Courses!$D$1:'Courses'!$D$20000,"&gt;=3000",Courses!$D$1:'Courses'!$D$20000,"&lt;4000",Courses!$E$1:'Courses'!$E$20000,2019,Courses!$I$1:'Courses'!$I$20000,"&gt;=100",Courses!$L$1:'Courses'!$L$20000,0)</f>
        <v>5</v>
      </c>
      <c r="I17">
        <f t="shared" si="0"/>
        <v>59</v>
      </c>
      <c r="J17" s="3">
        <f t="shared" si="2"/>
        <v>23.7</v>
      </c>
      <c r="K17" s="3">
        <f t="shared" si="1"/>
        <v>37.288135593220339</v>
      </c>
    </row>
    <row r="18" spans="1:11" x14ac:dyDescent="0.2">
      <c r="A18" t="s">
        <v>2113</v>
      </c>
      <c r="B18">
        <f>COUNTIFS(Courses!$B$1:'Courses'!$B$20000,"Engineering",Courses!$D$1:'Courses'!$D$20000,"&gt;=4000",Courses!$D$1:'Courses'!$D$20000,"&lt;5000",Courses!$E$1:'Courses'!$E$20000,2019,Courses!$I$1:'Courses'!$I$20000,"&gt;=2",Courses!$I$1:'Courses'!$I$20000,"&lt;10",Courses!$L$1:'Courses'!$L$20000,0)</f>
        <v>60</v>
      </c>
      <c r="C18">
        <f>COUNTIFS(Courses!$B$1:'Courses'!$B$20000,"Engineering",Courses!$D$1:'Courses'!$D$20000,"&gt;=4000",Courses!$D$1:'Courses'!$D$20000,"&lt;5000",Courses!$E$1:'Courses'!$E$20000,2019,Courses!$I$1:'Courses'!$I$20000,"&gt;=10",Courses!$I$1:'Courses'!$I$20000,"&lt;20",Courses!$L$1:'Courses'!$L$20000,0)</f>
        <v>42</v>
      </c>
      <c r="D18">
        <f>COUNTIFS(Courses!$B$1:'Courses'!$B$20000,"Engineering",Courses!$D$1:'Courses'!$D$20000,"&gt;=4000",Courses!$D$1:'Courses'!$D$20000,"&lt;5000",Courses!$E$1:'Courses'!$E$20000,2019,Courses!$I$1:'Courses'!$I$20000,"&gt;=20",Courses!$I$1:'Courses'!$I$20000,"&lt;30",Courses!$L$1:'Courses'!$L$20000,0)</f>
        <v>43</v>
      </c>
      <c r="E18">
        <f>COUNTIFS(Courses!$B$1:'Courses'!$B$20000,"Engineering",Courses!$D$1:'Courses'!$D$20000,"&gt;=4000",Courses!$D$1:'Courses'!$D$20000,"&lt;5000",Courses!$E$1:'Courses'!$E$20000,2019,Courses!$I$1:'Courses'!$I$20000,"&gt;=30",Courses!$I$1:'Courses'!$I$20000,"&lt;40",Courses!$L$1:'Courses'!$L$20000,0)</f>
        <v>30</v>
      </c>
      <c r="F18">
        <f>COUNTIFS(Courses!$B$1:'Courses'!$B$20000,"Engineering",Courses!$D$1:'Courses'!$D$20000,"&gt;=4000",Courses!$D$1:'Courses'!$D$20000,"&lt;5000",Courses!$E$1:'Courses'!$E$20000,2019,Courses!$I$1:'Courses'!$I$20000,"&gt;=40",Courses!$I$1:'Courses'!$I$20000,"&lt;50",Courses!$L$1:'Courses'!$L$20000,0)</f>
        <v>21</v>
      </c>
      <c r="G18">
        <f>COUNTIFS(Courses!$B$1:'Courses'!$B$20000,"Engineering",Courses!$D$1:'Courses'!$D$20000,"&gt;=4000",Courses!$D$1:'Courses'!$D$20000,"&lt;5000",Courses!$E$1:'Courses'!$E$20000,2019,Courses!$I$1:'Courses'!$I$20000,"&gt;=50",Courses!$I$1:'Courses'!$I$20000,"&lt;100",Courses!$L$1:'Courses'!$L$20000,0)</f>
        <v>40</v>
      </c>
      <c r="H18">
        <f>COUNTIFS(Courses!$B$1:'Courses'!$B$20000,"Engineering",Courses!$D$1:'Courses'!$D$20000,"&gt;=4000",Courses!$D$1:'Courses'!$D$20000,"&lt;5000",Courses!$E$1:'Courses'!$E$20000,2019,Courses!$I$1:'Courses'!$I$20000,"&gt;=100",Courses!$L$1:'Courses'!$L$20000,0)</f>
        <v>24</v>
      </c>
      <c r="I18">
        <f t="shared" si="0"/>
        <v>260</v>
      </c>
      <c r="J18" s="3">
        <f t="shared" si="2"/>
        <v>39.200000000000003</v>
      </c>
      <c r="K18" s="3">
        <f t="shared" si="1"/>
        <v>24.615384615384617</v>
      </c>
    </row>
    <row r="19" spans="1:11" x14ac:dyDescent="0.2">
      <c r="A19" t="s">
        <v>2114</v>
      </c>
      <c r="B19">
        <f>COUNTIFS(Courses!$B$1:'Courses'!$B$20000,"Engineering",Courses!$D$1:'Courses'!$D$20000,"&gt;=6000",Courses!$D$1:'Courses'!$D$20000,"&lt;7000",Courses!$E$1:'Courses'!$E$20000,2019,Courses!$I$1:'Courses'!$I$20000,"&gt;=2",Courses!$I$1:'Courses'!$I$20000,"&lt;10",Courses!$L$1:'Courses'!$L$20000,0)</f>
        <v>37</v>
      </c>
      <c r="C19">
        <f>COUNTIFS(Courses!$B$1:'Courses'!$B$20000,"Engineering",Courses!$D$1:'Courses'!$D$20000,"&gt;=6000",Courses!$D$1:'Courses'!$D$20000,"&lt;7000",Courses!$E$1:'Courses'!$E$20000,2019,Courses!$I$1:'Courses'!$I$20000,"&gt;=10",Courses!$I$1:'Courses'!$I$20000,"&lt;20",Courses!$L$1:'Courses'!$L$20000,0)</f>
        <v>18</v>
      </c>
      <c r="D19">
        <f>COUNTIFS(Courses!$B$1:'Courses'!$B$20000,"Engineering",Courses!$D$1:'Courses'!$D$20000,"&gt;=6000",Courses!$D$1:'Courses'!$D$20000,"&lt;7000",Courses!$E$1:'Courses'!$E$20000,2019,Courses!$I$1:'Courses'!$I$20000,"&gt;=20",Courses!$I$1:'Courses'!$I$20000,"&lt;30",Courses!$L$1:'Courses'!$L$20000,0)</f>
        <v>15</v>
      </c>
      <c r="E19">
        <f>COUNTIFS(Courses!$B$1:'Courses'!$B$20000,"Engineering",Courses!$D$1:'Courses'!$D$20000,"&gt;=6000",Courses!$D$1:'Courses'!$D$20000,"&lt;7000",Courses!$E$1:'Courses'!$E$20000,2019,Courses!$I$1:'Courses'!$I$20000,"&gt;=30",Courses!$I$1:'Courses'!$I$20000,"&lt;40",Courses!$L$1:'Courses'!$L$20000,0)</f>
        <v>4</v>
      </c>
      <c r="F19">
        <f>COUNTIFS(Courses!$B$1:'Courses'!$B$20000,"Engineering",Courses!$D$1:'Courses'!$D$20000,"&gt;=6000",Courses!$D$1:'Courses'!$D$20000,"&lt;7000",Courses!$E$1:'Courses'!$E$20000,2019,Courses!$I$1:'Courses'!$I$20000,"&gt;=40",Courses!$I$1:'Courses'!$I$20000,"&lt;50",Courses!$L$1:'Courses'!$L$20000,0)</f>
        <v>0</v>
      </c>
      <c r="G19">
        <f>COUNTIFS(Courses!$B$1:'Courses'!$B$20000,"Engineering",Courses!$D$1:'Courses'!$D$20000,"&gt;=6000",Courses!$D$1:'Courses'!$D$20000,"&lt;7000",Courses!$E$1:'Courses'!$E$20000,2019,Courses!$I$1:'Courses'!$I$20000,"&gt;=50",Courses!$I$1:'Courses'!$I$20000,"&lt;100",Courses!$L$1:'Courses'!$L$20000,0)</f>
        <v>2</v>
      </c>
      <c r="H19">
        <f>COUNTIFS(Courses!$B$1:'Courses'!$B$20000,"Engineering",Courses!$D$1:'Courses'!$D$20000,"&gt;=6000",Courses!$D$1:'Courses'!$D$20000,"&lt;7000",Courses!$E$1:'Courses'!$E$20000,2019,Courses!$I$1:'Courses'!$I$20000,"&gt;=100",Courses!$L$1:'Courses'!$L$20000,0)</f>
        <v>4</v>
      </c>
      <c r="I19">
        <f t="shared" si="0"/>
        <v>80</v>
      </c>
      <c r="J19" s="3">
        <f t="shared" si="2"/>
        <v>68.8</v>
      </c>
      <c r="K19" s="3">
        <f t="shared" si="1"/>
        <v>7.5</v>
      </c>
    </row>
    <row r="20" spans="1:11" x14ac:dyDescent="0.2">
      <c r="A20" t="s">
        <v>2115</v>
      </c>
      <c r="B20">
        <f>COUNTIFS(Courses!$B$1:'Courses'!$B$20000,"Engineering",Courses!$D$1:'Courses'!$D$20000,"&gt;=8000",Courses!$D$1:'Courses'!$D$20000,"&lt;9000",Courses!$E$1:'Courses'!$E$20000,2019,Courses!$I$1:'Courses'!$I$20000,"&gt;=2",Courses!$I$1:'Courses'!$I$20000,"&lt;10",Courses!$L$1:'Courses'!$L$20000,0)</f>
        <v>4</v>
      </c>
      <c r="C20">
        <f>COUNTIFS(Courses!$B$1:'Courses'!$B$20000,"Engineering",Courses!$D$1:'Courses'!$D$20000,"&gt;=8000",Courses!$D$1:'Courses'!$D$20000,"&lt;9000",Courses!$E$1:'Courses'!$E$20000,2019,Courses!$I$1:'Courses'!$I$20000,"&gt;=10",Courses!$I$1:'Courses'!$I$20000,"&lt;20",Courses!$L$1:'Courses'!$L$20000,0)</f>
        <v>1</v>
      </c>
      <c r="D20">
        <f>COUNTIFS(Courses!$B$1:'Courses'!$B$20000,"Engineering",Courses!$D$1:'Courses'!$D$20000,"&gt;=8000",Courses!$D$1:'Courses'!$D$20000,"&lt;9000",Courses!$E$1:'Courses'!$E$20000,2019,Courses!$I$1:'Courses'!$I$20000,"&gt;=20",Courses!$I$1:'Courses'!$I$20000,"&lt;30",Courses!$L$1:'Courses'!$L$20000,0)</f>
        <v>0</v>
      </c>
      <c r="E20">
        <f>COUNTIFS(Courses!$B$1:'Courses'!$B$20000,"Engineering",Courses!$D$1:'Courses'!$D$20000,"&gt;=8000",Courses!$D$1:'Courses'!$D$20000,"&lt;9000",Courses!$E$1:'Courses'!$E$20000,2019,Courses!$I$1:'Courses'!$I$20000,"&gt;=30",Courses!$I$1:'Courses'!$I$20000,"&lt;40",Courses!$L$1:'Courses'!$L$20000,0)</f>
        <v>0</v>
      </c>
      <c r="F20">
        <f>COUNTIFS(Courses!$B$1:'Courses'!$B$20000,"Engineering",Courses!$D$1:'Courses'!$D$20000,"&gt;=8000",Courses!$D$1:'Courses'!$D$20000,"&lt;9000",Courses!$E$1:'Courses'!$E$20000,2019,Courses!$I$1:'Courses'!$I$20000,"&gt;=40",Courses!$I$1:'Courses'!$I$20000,"&lt;50",Courses!$L$1:'Courses'!$L$20000,0)</f>
        <v>0</v>
      </c>
      <c r="G20">
        <f>COUNTIFS(Courses!$B$1:'Courses'!$B$20000,"Engineering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20">
        <f>COUNTIFS(Courses!$B$1:'Courses'!$B$20000,"Engineering",Courses!$D$1:'Courses'!$D$20000,"&gt;=8000",Courses!$D$1:'Courses'!$D$20000,"&lt;9000",Courses!$E$1:'Courses'!$E$20000,2019,Courses!$I$1:'Courses'!$I$20000,"&gt;=100",Courses!$L$1:'Courses'!$L$20000,0)</f>
        <v>0</v>
      </c>
      <c r="I20">
        <f t="shared" si="0"/>
        <v>5</v>
      </c>
      <c r="J20" s="3">
        <f t="shared" si="2"/>
        <v>100</v>
      </c>
      <c r="K20" s="3">
        <f t="shared" si="1"/>
        <v>0</v>
      </c>
    </row>
    <row r="21" spans="1:11" x14ac:dyDescent="0.2">
      <c r="A21" t="s">
        <v>2116</v>
      </c>
      <c r="B21">
        <f>COUNTIFS(Courses!$B$1:'Courses'!$B$20000,"Engineering",Courses!$D$1:'Courses'!$D$20000,"&gt;=1000",Courses!$D$1:'Courses'!$D$20000,"&lt;9000",Courses!$E$1:'Courses'!$E$20000,2019,Courses!$I$1:'Courses'!$I$20000,"&gt;=2",Courses!$I$1:'Courses'!$I$20000,"&lt;10",Courses!$L$1:'Courses'!$L$20000,0)</f>
        <v>114</v>
      </c>
      <c r="C21">
        <f>COUNTIFS(Courses!$B$1:'Courses'!$B$20000,"Engineering",Courses!$D$1:'Courses'!$D$20000,"&gt;=1000",Courses!$D$1:'Courses'!$D$20000,"&lt;9000",Courses!$E$1:'Courses'!$E$20000,2019,Courses!$I$1:'Courses'!$I$20000,"&gt;=10",Courses!$I$1:'Courses'!$I$20000,"&lt;20",Courses!$L$1:'Courses'!$L$20000,0)</f>
        <v>68</v>
      </c>
      <c r="D21">
        <f>COUNTIFS(Courses!$B$1:'Courses'!$B$20000,"Engineering",Courses!$D$1:'Courses'!$D$20000,"&gt;=1000",Courses!$D$1:'Courses'!$D$20000,"&lt;9000",Courses!$E$1:'Courses'!$E$20000,2019,Courses!$I$1:'Courses'!$I$20000,"&gt;=20",Courses!$I$1:'Courses'!$I$20000,"&lt;30",Courses!$L$1:'Courses'!$L$20000,0)</f>
        <v>72</v>
      </c>
      <c r="E21">
        <f>COUNTIFS(Courses!$B$1:'Courses'!$B$20000,"Engineering",Courses!$D$1:'Courses'!$D$20000,"&gt;=1000",Courses!$D$1:'Courses'!$D$20000,"&lt;9000",Courses!$E$1:'Courses'!$E$20000,2019,Courses!$I$1:'Courses'!$I$20000,"&gt;=30",Courses!$I$1:'Courses'!$I$20000,"&lt;40",Courses!$L$1:'Courses'!$L$20000,0)</f>
        <v>43</v>
      </c>
      <c r="F21">
        <f>COUNTIFS(Courses!$B$1:'Courses'!$B$20000,"Engineering",Courses!$D$1:'Courses'!$D$20000,"&gt;=1000",Courses!$D$1:'Courses'!$D$20000,"&lt;9000",Courses!$E$1:'Courses'!$E$20000,2019,Courses!$I$1:'Courses'!$I$20000,"&gt;=40",Courses!$I$1:'Courses'!$I$20000,"&lt;50",Courses!$L$1:'Courses'!$L$20000,0)</f>
        <v>28</v>
      </c>
      <c r="G21">
        <f>COUNTIFS(Courses!$B$1:'Courses'!$B$20000,"Engineering",Courses!$D$1:'Courses'!$D$20000,"&gt;=1000",Courses!$D$1:'Courses'!$D$20000,"&lt;9000",Courses!$E$1:'Courses'!$E$20000,2019,Courses!$I$1:'Courses'!$I$20000,"&gt;=50",Courses!$I$1:'Courses'!$I$20000,"&lt;100",Courses!$L$1:'Courses'!$L$20000,0)</f>
        <v>63</v>
      </c>
      <c r="H21">
        <f>COUNTIFS(Courses!$B$1:'Courses'!$B$20000,"Engineering",Courses!$D$1:'Courses'!$D$20000,"&gt;=1000",Courses!$D$1:'Courses'!$D$20000,"&lt;9000",Courses!$E$1:'Courses'!$E$20000,2019,Courses!$I$1:'Courses'!$I$20000,"&gt;=100",Courses!$L$1:'Courses'!$L$20000,0)</f>
        <v>38</v>
      </c>
      <c r="I21">
        <f t="shared" si="0"/>
        <v>426</v>
      </c>
      <c r="J21" s="3">
        <f t="shared" si="2"/>
        <v>42.7</v>
      </c>
      <c r="K21" s="3">
        <f t="shared" si="1"/>
        <v>23.708920187793428</v>
      </c>
    </row>
    <row r="22" spans="1:11" x14ac:dyDescent="0.2">
      <c r="A22" t="s">
        <v>2117</v>
      </c>
      <c r="B22">
        <f>COUNTIFS(Courses!$B$1:'Courses'!$B$20000,"Humanities",Courses!$D$1:'Courses'!$D$20000,"&gt;=1000",Courses!$D$1:'Courses'!$D$20000,"&lt;2000",Courses!$E$1:'Courses'!$E$20000,2019,Courses!$I$1:'Courses'!$I$20000,"&gt;=2",Courses!$I$1:'Courses'!$I$20000,"&lt;10",Courses!$L$1:'Courses'!$L$20000,0)</f>
        <v>84</v>
      </c>
      <c r="C22">
        <f>COUNTIFS(Courses!$B$1:'Courses'!$B$20000,"Humanities",Courses!$D$1:'Courses'!$D$20000,"&gt;=1000",Courses!$D$1:'Courses'!$D$20000,"&lt;2000",Courses!$E$1:'Courses'!$E$20000,2019,Courses!$I$1:'Courses'!$I$20000,"&gt;=10",Courses!$I$1:'Courses'!$I$20000,"&lt;20",Courses!$L$1:'Courses'!$L$20000,0)</f>
        <v>102</v>
      </c>
      <c r="D22">
        <f>COUNTIFS(Courses!$B$1:'Courses'!$B$20000,"Humanities",Courses!$D$1:'Courses'!$D$20000,"&gt;=1000",Courses!$D$1:'Courses'!$D$20000,"&lt;2000",Courses!$E$1:'Courses'!$E$20000,2019,Courses!$I$1:'Courses'!$I$20000,"&gt;=20",Courses!$I$1:'Courses'!$I$20000,"&lt;30",Courses!$L$1:'Courses'!$L$20000,0)</f>
        <v>8</v>
      </c>
      <c r="E22">
        <f>COUNTIFS(Courses!$B$1:'Courses'!$B$20000,"Humanities",Courses!$D$1:'Courses'!$D$20000,"&gt;=1000",Courses!$D$1:'Courses'!$D$20000,"&lt;2000",Courses!$E$1:'Courses'!$E$20000,2019,Courses!$I$1:'Courses'!$I$20000,"&gt;=30",Courses!$I$1:'Courses'!$I$20000,"&lt;40",Courses!$L$1:'Courses'!$L$20000,0)</f>
        <v>1</v>
      </c>
      <c r="F22">
        <f>COUNTIFS(Courses!$B$1:'Courses'!$B$20000,"Humanities",Courses!$D$1:'Courses'!$D$20000,"&gt;=1000",Courses!$D$1:'Courses'!$D$20000,"&lt;2000",Courses!$E$1:'Courses'!$E$20000,2019,Courses!$I$1:'Courses'!$I$20000,"&gt;=40",Courses!$I$1:'Courses'!$I$20000,"&lt;50",Courses!$L$1:'Courses'!$L$20000,0)</f>
        <v>0</v>
      </c>
      <c r="G22">
        <f>COUNTIFS(Courses!$B$1:'Courses'!$B$20000,"Humanities",Courses!$D$1:'Courses'!$D$20000,"&gt;=1000",Courses!$D$1:'Courses'!$D$20000,"&lt;2000",Courses!$E$1:'Courses'!$E$20000,2019,Courses!$I$1:'Courses'!$I$20000,"&gt;=50",Courses!$I$1:'Courses'!$I$20000,"&lt;100",Courses!$L$1:'Courses'!$L$20000,0)</f>
        <v>3</v>
      </c>
      <c r="H22">
        <f>COUNTIFS(Courses!$B$1:'Courses'!$B$20000,"Humanities",Courses!$D$1:'Courses'!$D$20000,"&gt;=1000",Courses!$D$1:'Courses'!$D$20000,"&lt;2000",Courses!$E$1:'Courses'!$E$20000,2019,Courses!$I$1:'Courses'!$I$20000,"&gt;=100",Courses!$L$1:'Courses'!$L$20000,0)</f>
        <v>0</v>
      </c>
      <c r="I22">
        <f t="shared" si="0"/>
        <v>198</v>
      </c>
      <c r="J22" s="3">
        <f t="shared" si="2"/>
        <v>93.9</v>
      </c>
      <c r="K22" s="3">
        <f t="shared" si="1"/>
        <v>1.5151515151515151</v>
      </c>
    </row>
    <row r="23" spans="1:11" x14ac:dyDescent="0.2">
      <c r="A23" t="s">
        <v>2118</v>
      </c>
      <c r="B23">
        <f>COUNTIFS(Courses!$B$1:'Courses'!$B$20000,"Humanities",Courses!$D$1:'Courses'!$D$20000,"&gt;=2000",Courses!$D$1:'Courses'!$D$20000,"&lt;3000",Courses!$E$1:'Courses'!$E$20000,2019,Courses!$I$1:'Courses'!$I$20000,"&gt;=2",Courses!$I$1:'Courses'!$I$20000,"&lt;10",Courses!$L$1:'Courses'!$L$20000,0)</f>
        <v>65</v>
      </c>
      <c r="C23">
        <f>COUNTIFS(Courses!$B$1:'Courses'!$B$20000,"Humanities",Courses!$D$1:'Courses'!$D$20000,"&gt;=2000",Courses!$D$1:'Courses'!$D$20000,"&lt;3000",Courses!$E$1:'Courses'!$E$20000,2019,Courses!$I$1:'Courses'!$I$20000,"&gt;=10",Courses!$I$1:'Courses'!$I$20000,"&lt;20",Courses!$L$1:'Courses'!$L$20000,0)</f>
        <v>74</v>
      </c>
      <c r="D23">
        <f>COUNTIFS(Courses!$B$1:'Courses'!$B$20000,"Humanities",Courses!$D$1:'Courses'!$D$20000,"&gt;=2000",Courses!$D$1:'Courses'!$D$20000,"&lt;3000",Courses!$E$1:'Courses'!$E$20000,2019,Courses!$I$1:'Courses'!$I$20000,"&gt;=20",Courses!$I$1:'Courses'!$I$20000,"&lt;30",Courses!$L$1:'Courses'!$L$20000,0)</f>
        <v>3</v>
      </c>
      <c r="E23">
        <f>COUNTIFS(Courses!$B$1:'Courses'!$B$20000,"Humanities",Courses!$D$1:'Courses'!$D$20000,"&gt;=2000",Courses!$D$1:'Courses'!$D$20000,"&lt;3000",Courses!$E$1:'Courses'!$E$20000,2019,Courses!$I$1:'Courses'!$I$20000,"&gt;=30",Courses!$I$1:'Courses'!$I$20000,"&lt;40",Courses!$L$1:'Courses'!$L$20000,0)</f>
        <v>1</v>
      </c>
      <c r="F23">
        <f>COUNTIFS(Courses!$B$1:'Courses'!$B$20000,"Humanities",Courses!$D$1:'Courses'!$D$20000,"&gt;=2000",Courses!$D$1:'Courses'!$D$20000,"&lt;3000",Courses!$E$1:'Courses'!$E$20000,2019,Courses!$I$1:'Courses'!$I$20000,"&gt;=40",Courses!$I$1:'Courses'!$I$20000,"&lt;50",Courses!$L$1:'Courses'!$L$20000,0)</f>
        <v>1</v>
      </c>
      <c r="G23">
        <f>COUNTIFS(Courses!$B$1:'Courses'!$B$20000,"Humanities",Courses!$D$1:'Courses'!$D$20000,"&gt;=2000",Courses!$D$1:'Courses'!$D$20000,"&lt;3000",Courses!$E$1:'Courses'!$E$20000,2019,Courses!$I$1:'Courses'!$I$20000,"&gt;=50",Courses!$I$1:'Courses'!$I$20000,"&lt;100",Courses!$L$1:'Courses'!$L$20000,0)</f>
        <v>6</v>
      </c>
      <c r="H23">
        <f>COUNTIFS(Courses!$B$1:'Courses'!$B$20000,"Humanities",Courses!$D$1:'Courses'!$D$20000,"&gt;=2000",Courses!$D$1:'Courses'!$D$20000,"&lt;3000",Courses!$E$1:'Courses'!$E$20000,2019,Courses!$I$1:'Courses'!$I$20000,"&gt;=100",Courses!$L$1:'Courses'!$L$20000,0)</f>
        <v>1</v>
      </c>
      <c r="I23">
        <f t="shared" si="0"/>
        <v>151</v>
      </c>
      <c r="J23" s="3">
        <f t="shared" si="2"/>
        <v>92.1</v>
      </c>
      <c r="K23" s="3">
        <f t="shared" si="1"/>
        <v>4.6357615894039732</v>
      </c>
    </row>
    <row r="24" spans="1:11" x14ac:dyDescent="0.2">
      <c r="A24" t="s">
        <v>2119</v>
      </c>
      <c r="B24">
        <f>COUNTIFS(Courses!$B$1:'Courses'!$B$20000,"Humanities",Courses!$D$1:'Courses'!$D$20000,"&gt;=3000",Courses!$D$1:'Courses'!$D$20000,"&lt;4000",Courses!$E$1:'Courses'!$E$20000,2019,Courses!$I$1:'Courses'!$I$20000,"&gt;=2",Courses!$I$1:'Courses'!$I$20000,"&lt;10",Courses!$L$1:'Courses'!$L$20000,0)</f>
        <v>72</v>
      </c>
      <c r="C24">
        <f>COUNTIFS(Courses!$B$1:'Courses'!$B$20000,"Humanities",Courses!$D$1:'Courses'!$D$20000,"&gt;=3000",Courses!$D$1:'Courses'!$D$20000,"&lt;4000",Courses!$E$1:'Courses'!$E$20000,2019,Courses!$I$1:'Courses'!$I$20000,"&gt;=10",Courses!$I$1:'Courses'!$I$20000,"&lt;20",Courses!$L$1:'Courses'!$L$20000,0)</f>
        <v>82</v>
      </c>
      <c r="D24">
        <f>COUNTIFS(Courses!$B$1:'Courses'!$B$20000,"Humanities",Courses!$D$1:'Courses'!$D$20000,"&gt;=3000",Courses!$D$1:'Courses'!$D$20000,"&lt;4000",Courses!$E$1:'Courses'!$E$20000,2019,Courses!$I$1:'Courses'!$I$20000,"&gt;=20",Courses!$I$1:'Courses'!$I$20000,"&lt;30",Courses!$L$1:'Courses'!$L$20000,0)</f>
        <v>12</v>
      </c>
      <c r="E24">
        <f>COUNTIFS(Courses!$B$1:'Courses'!$B$20000,"Humanities",Courses!$D$1:'Courses'!$D$20000,"&gt;=3000",Courses!$D$1:'Courses'!$D$20000,"&lt;4000",Courses!$E$1:'Courses'!$E$20000,2019,Courses!$I$1:'Courses'!$I$20000,"&gt;=30",Courses!$I$1:'Courses'!$I$20000,"&lt;40",Courses!$L$1:'Courses'!$L$20000,0)</f>
        <v>2</v>
      </c>
      <c r="F24">
        <f>COUNTIFS(Courses!$B$1:'Courses'!$B$20000,"Humanities",Courses!$D$1:'Courses'!$D$20000,"&gt;=3000",Courses!$D$1:'Courses'!$D$20000,"&lt;4000",Courses!$E$1:'Courses'!$E$20000,2019,Courses!$I$1:'Courses'!$I$20000,"&gt;=40",Courses!$I$1:'Courses'!$I$20000,"&lt;50",Courses!$L$1:'Courses'!$L$20000,0)</f>
        <v>2</v>
      </c>
      <c r="G24">
        <f>COUNTIFS(Courses!$B$1:'Courses'!$B$20000,"Humanities",Courses!$D$1:'Courses'!$D$20000,"&gt;=3000",Courses!$D$1:'Courses'!$D$20000,"&lt;4000",Courses!$E$1:'Courses'!$E$20000,2019,Courses!$I$1:'Courses'!$I$20000,"&gt;=50",Courses!$I$1:'Courses'!$I$20000,"&lt;100",Courses!$L$1:'Courses'!$L$20000,0)</f>
        <v>6</v>
      </c>
      <c r="H24">
        <f>COUNTIFS(Courses!$B$1:'Courses'!$B$20000,"Humanities",Courses!$D$1:'Courses'!$D$20000,"&gt;=3000",Courses!$D$1:'Courses'!$D$20000,"&lt;4000",Courses!$E$1:'Courses'!$E$20000,2019,Courses!$I$1:'Courses'!$I$20000,"&gt;=100",Courses!$L$1:'Courses'!$L$20000,0)</f>
        <v>0</v>
      </c>
      <c r="I24">
        <f t="shared" si="0"/>
        <v>176</v>
      </c>
      <c r="J24" s="3">
        <f t="shared" si="2"/>
        <v>87.5</v>
      </c>
      <c r="K24" s="3">
        <f t="shared" si="1"/>
        <v>3.4090909090909092</v>
      </c>
    </row>
    <row r="25" spans="1:11" x14ac:dyDescent="0.2">
      <c r="A25" t="s">
        <v>2120</v>
      </c>
      <c r="B25">
        <f>COUNTIFS(Courses!$B$1:'Courses'!$B$20000,"Humanities",Courses!$D$1:'Courses'!$D$20000,"&gt;=4000",Courses!$D$1:'Courses'!$D$20000,"&lt;5000",Courses!$E$1:'Courses'!$E$20000,2019,Courses!$I$1:'Courses'!$I$20000,"&gt;=2",Courses!$I$1:'Courses'!$I$20000,"&lt;10",Courses!$L$1:'Courses'!$L$20000,0)</f>
        <v>56</v>
      </c>
      <c r="C25">
        <f>COUNTIFS(Courses!$B$1:'Courses'!$B$20000,"Humanities",Courses!$D$1:'Courses'!$D$20000,"&gt;=4000",Courses!$D$1:'Courses'!$D$20000,"&lt;5000",Courses!$E$1:'Courses'!$E$20000,2019,Courses!$I$1:'Courses'!$I$20000,"&gt;=10",Courses!$I$1:'Courses'!$I$20000,"&lt;20",Courses!$L$1:'Courses'!$L$20000,0)</f>
        <v>46</v>
      </c>
      <c r="D25">
        <f>COUNTIFS(Courses!$B$1:'Courses'!$B$20000,"Humanities",Courses!$D$1:'Courses'!$D$20000,"&gt;=4000",Courses!$D$1:'Courses'!$D$20000,"&lt;5000",Courses!$E$1:'Courses'!$E$20000,2019,Courses!$I$1:'Courses'!$I$20000,"&gt;=20",Courses!$I$1:'Courses'!$I$20000,"&lt;30",Courses!$L$1:'Courses'!$L$20000,0)</f>
        <v>11</v>
      </c>
      <c r="E25">
        <f>COUNTIFS(Courses!$B$1:'Courses'!$B$20000,"Humanities",Courses!$D$1:'Courses'!$D$20000,"&gt;=4000",Courses!$D$1:'Courses'!$D$20000,"&lt;5000",Courses!$E$1:'Courses'!$E$20000,2019,Courses!$I$1:'Courses'!$I$20000,"&gt;=30",Courses!$I$1:'Courses'!$I$20000,"&lt;40",Courses!$L$1:'Courses'!$L$20000,0)</f>
        <v>2</v>
      </c>
      <c r="F25">
        <f>COUNTIFS(Courses!$B$1:'Courses'!$B$20000,"Humanities",Courses!$D$1:'Courses'!$D$20000,"&gt;=4000",Courses!$D$1:'Courses'!$D$20000,"&lt;5000",Courses!$E$1:'Courses'!$E$20000,2019,Courses!$I$1:'Courses'!$I$20000,"&gt;=40",Courses!$I$1:'Courses'!$I$20000,"&lt;50",Courses!$L$1:'Courses'!$L$20000,0)</f>
        <v>3</v>
      </c>
      <c r="G25">
        <f>COUNTIFS(Courses!$B$1:'Courses'!$B$20000,"Humanities",Courses!$D$1:'Courses'!$D$20000,"&gt;=4000",Courses!$D$1:'Courses'!$D$20000,"&lt;5000",Courses!$E$1:'Courses'!$E$20000,2019,Courses!$I$1:'Courses'!$I$20000,"&gt;=50",Courses!$I$1:'Courses'!$I$20000,"&lt;100",Courses!$L$1:'Courses'!$L$20000,0)</f>
        <v>3</v>
      </c>
      <c r="H25">
        <f>COUNTIFS(Courses!$B$1:'Courses'!$B$20000,"Humanities",Courses!$D$1:'Courses'!$D$20000,"&gt;=4000",Courses!$D$1:'Courses'!$D$20000,"&lt;5000",Courses!$E$1:'Courses'!$E$20000,2019,Courses!$I$1:'Courses'!$I$20000,"&gt;=100",Courses!$L$1:'Courses'!$L$20000,0)</f>
        <v>0</v>
      </c>
      <c r="I25">
        <f t="shared" si="0"/>
        <v>121</v>
      </c>
      <c r="J25" s="3">
        <f t="shared" si="2"/>
        <v>84.3</v>
      </c>
      <c r="K25" s="3">
        <f t="shared" si="1"/>
        <v>2.4793388429752068</v>
      </c>
    </row>
    <row r="26" spans="1:11" x14ac:dyDescent="0.2">
      <c r="A26" t="s">
        <v>2121</v>
      </c>
      <c r="B26">
        <f>COUNTIFS(Courses!$B$1:'Courses'!$B$20000,"Humanities",Courses!$D$1:'Courses'!$D$20000,"&gt;=5000",Courses!$D$1:'Courses'!$D$20000,"&lt;6000",Courses!$E$1:'Courses'!$E$20000,2019,Courses!$I$1:'Courses'!$I$20000,"&gt;=2",Courses!$I$1:'Courses'!$I$20000,"&lt;10",Courses!$L$1:'Courses'!$L$20000,0)</f>
        <v>7</v>
      </c>
      <c r="C26">
        <f>COUNTIFS(Courses!$B$1:'Courses'!$B$20000,"Humanities",Courses!$D$1:'Courses'!$D$20000,"&gt;=5000",Courses!$D$1:'Courses'!$D$20000,"&lt;6000",Courses!$E$1:'Courses'!$E$20000,2019,Courses!$I$1:'Courses'!$I$20000,"&gt;=10",Courses!$I$1:'Courses'!$I$20000,"&lt;20",Courses!$L$1:'Courses'!$L$20000,0)</f>
        <v>1</v>
      </c>
      <c r="D26">
        <f>COUNTIFS(Courses!$B$1:'Courses'!$B$20000,"Humanities",Courses!$D$1:'Courses'!$D$20000,"&gt;=5000",Courses!$D$1:'Courses'!$D$20000,"&lt;6000",Courses!$E$1:'Courses'!$E$20000,2019,Courses!$I$1:'Courses'!$I$20000,"&gt;=20",Courses!$I$1:'Courses'!$I$20000,"&lt;30",Courses!$L$1:'Courses'!$L$20000,0)</f>
        <v>0</v>
      </c>
      <c r="E26">
        <f>COUNTIFS(Courses!$B$1:'Courses'!$B$20000,"Humanities",Courses!$D$1:'Courses'!$D$20000,"&gt;=5000",Courses!$D$1:'Courses'!$D$20000,"&lt;6000",Courses!$E$1:'Courses'!$E$20000,2019,Courses!$I$1:'Courses'!$I$20000,"&gt;=30",Courses!$I$1:'Courses'!$I$20000,"&lt;40",Courses!$L$1:'Courses'!$L$20000,0)</f>
        <v>0</v>
      </c>
      <c r="F26">
        <f>COUNTIFS(Courses!$B$1:'Courses'!$B$20000,"Humanities",Courses!$D$1:'Courses'!$D$20000,"&gt;=5000",Courses!$D$1:'Courses'!$D$20000,"&lt;6000",Courses!$E$1:'Courses'!$E$20000,2019,Courses!$I$1:'Courses'!$I$20000,"&gt;=40",Courses!$I$1:'Courses'!$I$20000,"&lt;50",Courses!$L$1:'Courses'!$L$20000,0)</f>
        <v>0</v>
      </c>
      <c r="G26">
        <f>COUNTIFS(Courses!$B$1:'Courses'!$B$20000,"Humanities",Courses!$D$1:'Courses'!$D$20000,"&gt;=5000",Courses!$D$1:'Courses'!$D$20000,"&lt;6000",Courses!$E$1:'Courses'!$E$20000,2019,Courses!$I$1:'Courses'!$I$20000,"&gt;=50",Courses!$I$1:'Courses'!$I$20000,"&lt;100",Courses!$L$1:'Courses'!$L$20000,0)</f>
        <v>0</v>
      </c>
      <c r="H26">
        <f>COUNTIFS(Courses!$B$1:'Courses'!$B$20000,"Humanities",Courses!$D$1:'Courses'!$D$20000,"&gt;=5000",Courses!$D$1:'Courses'!$D$20000,"&lt;6000",Courses!$E$1:'Courses'!$E$20000,2019,Courses!$I$1:'Courses'!$I$20000,"&gt;=100",Courses!$L$1:'Courses'!$L$20000,0)</f>
        <v>0</v>
      </c>
      <c r="I26">
        <f t="shared" si="0"/>
        <v>8</v>
      </c>
      <c r="J26" s="3">
        <f t="shared" si="2"/>
        <v>100</v>
      </c>
      <c r="K26" s="3">
        <f t="shared" si="1"/>
        <v>0</v>
      </c>
    </row>
    <row r="27" spans="1:11" x14ac:dyDescent="0.2">
      <c r="A27" t="s">
        <v>2122</v>
      </c>
      <c r="B27">
        <f>COUNTIFS(Courses!$B$1:'Courses'!$B$20000,"Humanities",Courses!$D$1:'Courses'!$D$20000,"&gt;=6000",Courses!$D$1:'Courses'!$D$20000,"&lt;7000",Courses!$E$1:'Courses'!$E$20000,2019,Courses!$I$1:'Courses'!$I$20000,"&gt;=2",Courses!$I$1:'Courses'!$I$20000,"&lt;10",Courses!$L$1:'Courses'!$L$20000,0)</f>
        <v>17</v>
      </c>
      <c r="C27">
        <f>COUNTIFS(Courses!$B$1:'Courses'!$B$20000,"Humanities",Courses!$D$1:'Courses'!$D$20000,"&gt;=6000",Courses!$D$1:'Courses'!$D$20000,"&lt;7000",Courses!$E$1:'Courses'!$E$20000,2019,Courses!$I$1:'Courses'!$I$20000,"&gt;=10",Courses!$I$1:'Courses'!$I$20000,"&lt;20",Courses!$L$1:'Courses'!$L$20000,0)</f>
        <v>19</v>
      </c>
      <c r="D27">
        <f>COUNTIFS(Courses!$B$1:'Courses'!$B$20000,"Humanities",Courses!$D$1:'Courses'!$D$20000,"&gt;=6000",Courses!$D$1:'Courses'!$D$20000,"&lt;7000",Courses!$E$1:'Courses'!$E$20000,2019,Courses!$I$1:'Courses'!$I$20000,"&gt;=20",Courses!$I$1:'Courses'!$I$20000,"&lt;30",Courses!$L$1:'Courses'!$L$20000,0)</f>
        <v>1</v>
      </c>
      <c r="E27">
        <f>COUNTIFS(Courses!$B$1:'Courses'!$B$20000,"Humanities",Courses!$D$1:'Courses'!$D$20000,"&gt;=6000",Courses!$D$1:'Courses'!$D$20000,"&lt;7000",Courses!$E$1:'Courses'!$E$20000,2019,Courses!$I$1:'Courses'!$I$20000,"&gt;=30",Courses!$I$1:'Courses'!$I$20000,"&lt;40",Courses!$L$1:'Courses'!$L$20000,0)</f>
        <v>1</v>
      </c>
      <c r="F27">
        <f>COUNTIFS(Courses!$B$1:'Courses'!$B$20000,"Humanities",Courses!$D$1:'Courses'!$D$20000,"&gt;=6000",Courses!$D$1:'Courses'!$D$20000,"&lt;7000",Courses!$E$1:'Courses'!$E$20000,2019,Courses!$I$1:'Courses'!$I$20000,"&gt;=40",Courses!$I$1:'Courses'!$I$20000,"&lt;50",Courses!$L$1:'Courses'!$L$20000,0)</f>
        <v>0</v>
      </c>
      <c r="G27">
        <f>COUNTIFS(Courses!$B$1:'Courses'!$B$20000,"Humanities",Courses!$D$1:'Courses'!$D$20000,"&gt;=6000",Courses!$D$1:'Courses'!$D$20000,"&lt;7000",Courses!$E$1:'Courses'!$E$20000,2019,Courses!$I$1:'Courses'!$I$20000,"&gt;=50",Courses!$I$1:'Courses'!$I$20000,"&lt;100",Courses!$L$1:'Courses'!$L$20000,0)</f>
        <v>0</v>
      </c>
      <c r="H27">
        <f>COUNTIFS(Courses!$B$1:'Courses'!$B$20000,"Humanities",Courses!$D$1:'Courses'!$D$20000,"&gt;=6000",Courses!$D$1:'Courses'!$D$20000,"&lt;7000",Courses!$E$1:'Courses'!$E$20000,2019,Courses!$I$1:'Courses'!$I$20000,"&gt;=100",Courses!$L$1:'Courses'!$L$20000,0)</f>
        <v>0</v>
      </c>
      <c r="I27">
        <f t="shared" si="0"/>
        <v>38</v>
      </c>
      <c r="J27" s="3">
        <f t="shared" si="2"/>
        <v>94.7</v>
      </c>
      <c r="K27" s="3">
        <f t="shared" si="1"/>
        <v>0</v>
      </c>
    </row>
    <row r="28" spans="1:11" x14ac:dyDescent="0.2">
      <c r="A28" t="s">
        <v>2123</v>
      </c>
      <c r="B28">
        <f>COUNTIFS(Courses!$B$1:'Courses'!$B$20000,"Humanities",Courses!$D$1:'Courses'!$D$20000,"&gt;=8000",Courses!$D$1:'Courses'!$D$20000,"&lt;9000",Courses!$E$1:'Courses'!$E$20000,2019,Courses!$I$1:'Courses'!$I$20000,"&gt;=2",Courses!$I$1:'Courses'!$I$20000,"&lt;10",Courses!$L$1:'Courses'!$L$20000,0)</f>
        <v>21</v>
      </c>
      <c r="C28">
        <f>COUNTIFS(Courses!$B$1:'Courses'!$B$20000,"Humanities",Courses!$D$1:'Courses'!$D$20000,"&gt;=8000",Courses!$D$1:'Courses'!$D$20000,"&lt;9000",Courses!$E$1:'Courses'!$E$20000,2019,Courses!$I$1:'Courses'!$I$20000,"&gt;=10",Courses!$I$1:'Courses'!$I$20000,"&lt;20",Courses!$L$1:'Courses'!$L$20000,0)</f>
        <v>10</v>
      </c>
      <c r="D28">
        <f>COUNTIFS(Courses!$B$1:'Courses'!$B$20000,"Humanities",Courses!$D$1:'Courses'!$D$20000,"&gt;=8000",Courses!$D$1:'Courses'!$D$20000,"&lt;9000",Courses!$E$1:'Courses'!$E$20000,2019,Courses!$I$1:'Courses'!$I$20000,"&gt;=20",Courses!$I$1:'Courses'!$I$20000,"&lt;30",Courses!$L$1:'Courses'!$L$20000,0)</f>
        <v>0</v>
      </c>
      <c r="E28">
        <f>COUNTIFS(Courses!$B$1:'Courses'!$B$20000,"Humanities",Courses!$D$1:'Courses'!$D$20000,"&gt;=8000",Courses!$D$1:'Courses'!$D$20000,"&lt;9000",Courses!$E$1:'Courses'!$E$20000,2019,Courses!$I$1:'Courses'!$I$20000,"&gt;=30",Courses!$I$1:'Courses'!$I$20000,"&lt;40",Courses!$L$1:'Courses'!$L$20000,0)</f>
        <v>0</v>
      </c>
      <c r="F28">
        <f>COUNTIFS(Courses!$B$1:'Courses'!$B$20000,"Humanities",Courses!$D$1:'Courses'!$D$20000,"&gt;=8000",Courses!$D$1:'Courses'!$D$20000,"&lt;9000",Courses!$E$1:'Courses'!$E$20000,2019,Courses!$I$1:'Courses'!$I$20000,"&gt;=40",Courses!$I$1:'Courses'!$I$20000,"&lt;50",Courses!$L$1:'Courses'!$L$20000,0)</f>
        <v>0</v>
      </c>
      <c r="G28">
        <f>COUNTIFS(Courses!$B$1:'Courses'!$B$20000,"Humanities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28">
        <f>COUNTIFS(Courses!$B$1:'Courses'!$B$20000,"Humanities",Courses!$D$1:'Courses'!$D$20000,"&gt;=8000",Courses!$D$1:'Courses'!$D$20000,"&lt;9000",Courses!$E$1:'Courses'!$E$20000,2019,Courses!$I$1:'Courses'!$I$20000,"&gt;=100",Courses!$L$1:'Courses'!$L$20000,0)</f>
        <v>0</v>
      </c>
      <c r="I28">
        <f t="shared" si="0"/>
        <v>31</v>
      </c>
      <c r="J28" s="3">
        <f t="shared" si="2"/>
        <v>100</v>
      </c>
      <c r="K28" s="3">
        <f t="shared" si="1"/>
        <v>0</v>
      </c>
    </row>
    <row r="29" spans="1:11" x14ac:dyDescent="0.2">
      <c r="A29" t="s">
        <v>2124</v>
      </c>
      <c r="B29">
        <f>COUNTIFS(Courses!$B$1:'Courses'!$B$20000,"Humanities",Courses!$D$1:'Courses'!$D$20000,"&gt;=1000",Courses!$D$1:'Courses'!$D$20000,"&lt;9000",Courses!$E$1:'Courses'!$E$20000,2019,Courses!$I$1:'Courses'!$I$20000,"&gt;=2",Courses!$I$1:'Courses'!$I$20000,"&lt;10",Courses!$L$1:'Courses'!$L$20000,0)</f>
        <v>322</v>
      </c>
      <c r="C29">
        <f>COUNTIFS(Courses!$B$1:'Courses'!$B$20000,"Humanities",Courses!$D$1:'Courses'!$D$20000,"&gt;=1000",Courses!$D$1:'Courses'!$D$20000,"&lt;9000",Courses!$E$1:'Courses'!$E$20000,2019,Courses!$I$1:'Courses'!$I$20000,"&gt;=10",Courses!$I$1:'Courses'!$I$20000,"&lt;20",Courses!$L$1:'Courses'!$L$20000,0)</f>
        <v>334</v>
      </c>
      <c r="D29">
        <f>COUNTIFS(Courses!$B$1:'Courses'!$B$20000,"Humanities",Courses!$D$1:'Courses'!$D$20000,"&gt;=1000",Courses!$D$1:'Courses'!$D$20000,"&lt;9000",Courses!$E$1:'Courses'!$E$20000,2019,Courses!$I$1:'Courses'!$I$20000,"&gt;=20",Courses!$I$1:'Courses'!$I$20000,"&lt;30",Courses!$L$1:'Courses'!$L$20000,0)</f>
        <v>35</v>
      </c>
      <c r="E29">
        <f>COUNTIFS(Courses!$B$1:'Courses'!$B$20000,"Humanities",Courses!$D$1:'Courses'!$D$20000,"&gt;=1000",Courses!$D$1:'Courses'!$D$20000,"&lt;9000",Courses!$E$1:'Courses'!$E$20000,2019,Courses!$I$1:'Courses'!$I$20000,"&gt;=30",Courses!$I$1:'Courses'!$I$20000,"&lt;40",Courses!$L$1:'Courses'!$L$20000,0)</f>
        <v>7</v>
      </c>
      <c r="F29">
        <f>COUNTIFS(Courses!$B$1:'Courses'!$B$20000,"Humanities",Courses!$D$1:'Courses'!$D$20000,"&gt;=1000",Courses!$D$1:'Courses'!$D$20000,"&lt;9000",Courses!$E$1:'Courses'!$E$20000,2019,Courses!$I$1:'Courses'!$I$20000,"&gt;=40",Courses!$I$1:'Courses'!$I$20000,"&lt;50",Courses!$L$1:'Courses'!$L$20000,0)</f>
        <v>6</v>
      </c>
      <c r="G29">
        <f>COUNTIFS(Courses!$B$1:'Courses'!$B$20000,"Humanities",Courses!$D$1:'Courses'!$D$20000,"&gt;=1000",Courses!$D$1:'Courses'!$D$20000,"&lt;9000",Courses!$E$1:'Courses'!$E$20000,2019,Courses!$I$1:'Courses'!$I$20000,"&gt;=50",Courses!$I$1:'Courses'!$I$20000,"&lt;100",Courses!$L$1:'Courses'!$L$20000,0)</f>
        <v>18</v>
      </c>
      <c r="H29">
        <f>COUNTIFS(Courses!$B$1:'Courses'!$B$20000,"Humanities",Courses!$D$1:'Courses'!$D$20000,"&gt;=1000",Courses!$D$1:'Courses'!$D$20000,"&lt;9000",Courses!$E$1:'Courses'!$E$20000,2019,Courses!$I$1:'Courses'!$I$20000,"&gt;=100",Courses!$L$1:'Courses'!$L$20000,0)</f>
        <v>1</v>
      </c>
      <c r="I29">
        <f t="shared" si="0"/>
        <v>723</v>
      </c>
      <c r="J29" s="3">
        <f t="shared" si="2"/>
        <v>90.7</v>
      </c>
      <c r="K29" s="3">
        <f t="shared" si="1"/>
        <v>2.627939142461964</v>
      </c>
    </row>
    <row r="30" spans="1:11" x14ac:dyDescent="0.2">
      <c r="A30" t="s">
        <v>2125</v>
      </c>
      <c r="B30">
        <f>COUNTIFS(Courses!$B$1:'Courses'!$B$20000,"NatSci",Courses!$D$1:'Courses'!$D$20000,"&gt;=1000",Courses!$D$1:'Courses'!$D$20000,"&lt;2000",Courses!$E$1:'Courses'!$E$20000,2019,Courses!$I$1:'Courses'!$I$20000,"&gt;=2",Courses!$I$1:'Courses'!$I$20000,"&lt;10",Courses!$L$1:'Courses'!$L$20000,0)</f>
        <v>5</v>
      </c>
      <c r="C30">
        <f>COUNTIFS(Courses!$B$1:'Courses'!$B$20000,"NatSci",Courses!$D$1:'Courses'!$D$20000,"&gt;=1000",Courses!$D$1:'Courses'!$D$20000,"&lt;2000",Courses!$E$1:'Courses'!$E$20000,2019,Courses!$I$1:'Courses'!$I$20000,"&gt;=10",Courses!$I$1:'Courses'!$I$20000,"&lt;20",Courses!$L$1:'Courses'!$L$20000,0)</f>
        <v>18</v>
      </c>
      <c r="D30">
        <f>COUNTIFS(Courses!$B$1:'Courses'!$B$20000,"NatSci",Courses!$D$1:'Courses'!$D$20000,"&gt;=1000",Courses!$D$1:'Courses'!$D$20000,"&lt;2000",Courses!$E$1:'Courses'!$E$20000,2019,Courses!$I$1:'Courses'!$I$20000,"&gt;=20",Courses!$I$1:'Courses'!$I$20000,"&lt;30",Courses!$L$1:'Courses'!$L$20000,0)</f>
        <v>7</v>
      </c>
      <c r="E30">
        <f>COUNTIFS(Courses!$B$1:'Courses'!$B$20000,"NatSci",Courses!$D$1:'Courses'!$D$20000,"&gt;=1000",Courses!$D$1:'Courses'!$D$20000,"&lt;2000",Courses!$E$1:'Courses'!$E$20000,2019,Courses!$I$1:'Courses'!$I$20000,"&gt;=30",Courses!$I$1:'Courses'!$I$20000,"&lt;40",Courses!$L$1:'Courses'!$L$20000,0)</f>
        <v>7</v>
      </c>
      <c r="F30">
        <f>COUNTIFS(Courses!$B$1:'Courses'!$B$20000,"NatSci",Courses!$D$1:'Courses'!$D$20000,"&gt;=1000",Courses!$D$1:'Courses'!$D$20000,"&lt;2000",Courses!$E$1:'Courses'!$E$20000,2019,Courses!$I$1:'Courses'!$I$20000,"&gt;=40",Courses!$I$1:'Courses'!$I$20000,"&lt;50",Courses!$L$1:'Courses'!$L$20000,0)</f>
        <v>7</v>
      </c>
      <c r="G30">
        <f>COUNTIFS(Courses!$B$1:'Courses'!$B$20000,"NatSci",Courses!$D$1:'Courses'!$D$20000,"&gt;=1000",Courses!$D$1:'Courses'!$D$20000,"&lt;2000",Courses!$E$1:'Courses'!$E$20000,2019,Courses!$I$1:'Courses'!$I$20000,"&gt;=50",Courses!$I$1:'Courses'!$I$20000,"&lt;100",Courses!$L$1:'Courses'!$L$20000,0)</f>
        <v>28</v>
      </c>
      <c r="H30">
        <f>COUNTIFS(Courses!$B$1:'Courses'!$B$20000,"NatSci",Courses!$D$1:'Courses'!$D$20000,"&gt;=1000",Courses!$D$1:'Courses'!$D$20000,"&lt;2000",Courses!$E$1:'Courses'!$E$20000,2019,Courses!$I$1:'Courses'!$I$20000,"&gt;=100",Courses!$L$1:'Courses'!$L$20000,0)</f>
        <v>15</v>
      </c>
      <c r="I30">
        <f t="shared" si="0"/>
        <v>87</v>
      </c>
      <c r="J30" s="3">
        <f t="shared" si="2"/>
        <v>26.4</v>
      </c>
      <c r="K30" s="3">
        <f t="shared" si="1"/>
        <v>49.425287356321839</v>
      </c>
    </row>
    <row r="31" spans="1:11" x14ac:dyDescent="0.2">
      <c r="A31" t="s">
        <v>2126</v>
      </c>
      <c r="B31">
        <f>COUNTIFS(Courses!$B$1:'Courses'!$B$20000,"NatSci",Courses!$D$1:'Courses'!$D$20000,"&gt;=2000",Courses!$D$1:'Courses'!$D$20000,"&lt;3000",Courses!$E$1:'Courses'!$E$20000,2019,Courses!$I$1:'Courses'!$I$20000,"&gt;=2",Courses!$I$1:'Courses'!$I$20000,"&lt;10",Courses!$L$1:'Courses'!$L$20000,0)</f>
        <v>1</v>
      </c>
      <c r="C31">
        <f>COUNTIFS(Courses!$B$1:'Courses'!$B$20000,"NatSci",Courses!$D$1:'Courses'!$D$20000,"&gt;=2000",Courses!$D$1:'Courses'!$D$20000,"&lt;3000",Courses!$E$1:'Courses'!$E$20000,2019,Courses!$I$1:'Courses'!$I$20000,"&gt;=10",Courses!$I$1:'Courses'!$I$20000,"&lt;20",Courses!$L$1:'Courses'!$L$20000,0)</f>
        <v>2</v>
      </c>
      <c r="D31">
        <f>COUNTIFS(Courses!$B$1:'Courses'!$B$20000,"NatSci",Courses!$D$1:'Courses'!$D$20000,"&gt;=2000",Courses!$D$1:'Courses'!$D$20000,"&lt;3000",Courses!$E$1:'Courses'!$E$20000,2019,Courses!$I$1:'Courses'!$I$20000,"&gt;=20",Courses!$I$1:'Courses'!$I$20000,"&lt;30",Courses!$L$1:'Courses'!$L$20000,0)</f>
        <v>1</v>
      </c>
      <c r="E31">
        <f>COUNTIFS(Courses!$B$1:'Courses'!$B$20000,"NatSci",Courses!$D$1:'Courses'!$D$20000,"&gt;=2000",Courses!$D$1:'Courses'!$D$20000,"&lt;3000",Courses!$E$1:'Courses'!$E$20000,2019,Courses!$I$1:'Courses'!$I$20000,"&gt;=30",Courses!$I$1:'Courses'!$I$20000,"&lt;40",Courses!$L$1:'Courses'!$L$20000,0)</f>
        <v>6</v>
      </c>
      <c r="F31">
        <f>COUNTIFS(Courses!$B$1:'Courses'!$B$20000,"NatSci",Courses!$D$1:'Courses'!$D$20000,"&gt;=2000",Courses!$D$1:'Courses'!$D$20000,"&lt;3000",Courses!$E$1:'Courses'!$E$20000,2019,Courses!$I$1:'Courses'!$I$20000,"&gt;=40",Courses!$I$1:'Courses'!$I$20000,"&lt;50",Courses!$L$1:'Courses'!$L$20000,0)</f>
        <v>6</v>
      </c>
      <c r="G31">
        <f>COUNTIFS(Courses!$B$1:'Courses'!$B$20000,"NatSci",Courses!$D$1:'Courses'!$D$20000,"&gt;=2000",Courses!$D$1:'Courses'!$D$20000,"&lt;3000",Courses!$E$1:'Courses'!$E$20000,2019,Courses!$I$1:'Courses'!$I$20000,"&gt;=50",Courses!$I$1:'Courses'!$I$20000,"&lt;100",Courses!$L$1:'Courses'!$L$20000,0)</f>
        <v>11</v>
      </c>
      <c r="H31">
        <f>COUNTIFS(Courses!$B$1:'Courses'!$B$20000,"NatSci",Courses!$D$1:'Courses'!$D$20000,"&gt;=2000",Courses!$D$1:'Courses'!$D$20000,"&lt;3000",Courses!$E$1:'Courses'!$E$20000,2019,Courses!$I$1:'Courses'!$I$20000,"&gt;=100",Courses!$L$1:'Courses'!$L$20000,0)</f>
        <v>7</v>
      </c>
      <c r="I31">
        <f t="shared" si="0"/>
        <v>34</v>
      </c>
      <c r="J31" s="3">
        <f t="shared" si="2"/>
        <v>8.8000000000000007</v>
      </c>
      <c r="K31" s="3">
        <f t="shared" si="1"/>
        <v>52.941176470588232</v>
      </c>
    </row>
    <row r="32" spans="1:11" x14ac:dyDescent="0.2">
      <c r="A32" t="s">
        <v>2127</v>
      </c>
      <c r="B32">
        <f>COUNTIFS(Courses!$B$1:'Courses'!$B$20000,"NatSci",Courses!$D$1:'Courses'!$D$20000,"&gt;=3000",Courses!$D$1:'Courses'!$D$20000,"&lt;4000",Courses!$E$1:'Courses'!$E$20000,2019,Courses!$I$1:'Courses'!$I$20000,"&gt;=2",Courses!$I$1:'Courses'!$I$20000,"&lt;10",Courses!$L$1:'Courses'!$L$20000,0)</f>
        <v>15</v>
      </c>
      <c r="C32">
        <f>COUNTIFS(Courses!$B$1:'Courses'!$B$20000,"NatSci",Courses!$D$1:'Courses'!$D$20000,"&gt;=3000",Courses!$D$1:'Courses'!$D$20000,"&lt;4000",Courses!$E$1:'Courses'!$E$20000,2019,Courses!$I$1:'Courses'!$I$20000,"&gt;=10",Courses!$I$1:'Courses'!$I$20000,"&lt;20",Courses!$L$1:'Courses'!$L$20000,0)</f>
        <v>9</v>
      </c>
      <c r="D32">
        <f>COUNTIFS(Courses!$B$1:'Courses'!$B$20000,"NatSci",Courses!$D$1:'Courses'!$D$20000,"&gt;=3000",Courses!$D$1:'Courses'!$D$20000,"&lt;4000",Courses!$E$1:'Courses'!$E$20000,2019,Courses!$I$1:'Courses'!$I$20000,"&gt;=20",Courses!$I$1:'Courses'!$I$20000,"&lt;30",Courses!$L$1:'Courses'!$L$20000,0)</f>
        <v>9</v>
      </c>
      <c r="E32">
        <f>COUNTIFS(Courses!$B$1:'Courses'!$B$20000,"NatSci",Courses!$D$1:'Courses'!$D$20000,"&gt;=3000",Courses!$D$1:'Courses'!$D$20000,"&lt;4000",Courses!$E$1:'Courses'!$E$20000,2019,Courses!$I$1:'Courses'!$I$20000,"&gt;=30",Courses!$I$1:'Courses'!$I$20000,"&lt;40",Courses!$L$1:'Courses'!$L$20000,0)</f>
        <v>5</v>
      </c>
      <c r="F32">
        <f>COUNTIFS(Courses!$B$1:'Courses'!$B$20000,"NatSci",Courses!$D$1:'Courses'!$D$20000,"&gt;=3000",Courses!$D$1:'Courses'!$D$20000,"&lt;4000",Courses!$E$1:'Courses'!$E$20000,2019,Courses!$I$1:'Courses'!$I$20000,"&gt;=40",Courses!$I$1:'Courses'!$I$20000,"&lt;50",Courses!$L$1:'Courses'!$L$20000,0)</f>
        <v>2</v>
      </c>
      <c r="G32">
        <f>COUNTIFS(Courses!$B$1:'Courses'!$B$20000,"NatSci",Courses!$D$1:'Courses'!$D$20000,"&gt;=3000",Courses!$D$1:'Courses'!$D$20000,"&lt;4000",Courses!$E$1:'Courses'!$E$20000,2019,Courses!$I$1:'Courses'!$I$20000,"&gt;=50",Courses!$I$1:'Courses'!$I$20000,"&lt;100",Courses!$L$1:'Courses'!$L$20000,0)</f>
        <v>4</v>
      </c>
      <c r="H32">
        <f>COUNTIFS(Courses!$B$1:'Courses'!$B$20000,"NatSci",Courses!$D$1:'Courses'!$D$20000,"&gt;=3000",Courses!$D$1:'Courses'!$D$20000,"&lt;4000",Courses!$E$1:'Courses'!$E$20000,2019,Courses!$I$1:'Courses'!$I$20000,"&gt;=100",Courses!$L$1:'Courses'!$L$20000,0)</f>
        <v>1</v>
      </c>
      <c r="I32">
        <f t="shared" si="0"/>
        <v>45</v>
      </c>
      <c r="J32" s="3">
        <f t="shared" si="2"/>
        <v>53.3</v>
      </c>
      <c r="K32" s="3">
        <f t="shared" si="1"/>
        <v>11.111111111111111</v>
      </c>
    </row>
    <row r="33" spans="1:11" x14ac:dyDescent="0.2">
      <c r="A33" t="s">
        <v>2128</v>
      </c>
      <c r="B33">
        <f>COUNTIFS(Courses!$B$1:'Courses'!$B$20000,"NatSci",Courses!$D$1:'Courses'!$D$20000,"&gt;=4000",Courses!$D$1:'Courses'!$D$20000,"&lt;5000",Courses!$E$1:'Courses'!$E$20000,2019,Courses!$I$1:'Courses'!$I$20000,"&gt;=2",Courses!$I$1:'Courses'!$I$20000,"&lt;10",Courses!$L$1:'Courses'!$L$20000,0)</f>
        <v>35</v>
      </c>
      <c r="C33">
        <f>COUNTIFS(Courses!$B$1:'Courses'!$B$20000,"NatSci",Courses!$D$1:'Courses'!$D$20000,"&gt;=4000",Courses!$D$1:'Courses'!$D$20000,"&lt;5000",Courses!$E$1:'Courses'!$E$20000,2019,Courses!$I$1:'Courses'!$I$20000,"&gt;=10",Courses!$I$1:'Courses'!$I$20000,"&lt;20",Courses!$L$1:'Courses'!$L$20000,0)</f>
        <v>29</v>
      </c>
      <c r="D33">
        <f>COUNTIFS(Courses!$B$1:'Courses'!$B$20000,"NatSci",Courses!$D$1:'Courses'!$D$20000,"&gt;=4000",Courses!$D$1:'Courses'!$D$20000,"&lt;5000",Courses!$E$1:'Courses'!$E$20000,2019,Courses!$I$1:'Courses'!$I$20000,"&gt;=20",Courses!$I$1:'Courses'!$I$20000,"&lt;30",Courses!$L$1:'Courses'!$L$20000,0)</f>
        <v>15</v>
      </c>
      <c r="E33">
        <f>COUNTIFS(Courses!$B$1:'Courses'!$B$20000,"NatSci",Courses!$D$1:'Courses'!$D$20000,"&gt;=4000",Courses!$D$1:'Courses'!$D$20000,"&lt;5000",Courses!$E$1:'Courses'!$E$20000,2019,Courses!$I$1:'Courses'!$I$20000,"&gt;=30",Courses!$I$1:'Courses'!$I$20000,"&lt;40",Courses!$L$1:'Courses'!$L$20000,0)</f>
        <v>9</v>
      </c>
      <c r="F33">
        <f>COUNTIFS(Courses!$B$1:'Courses'!$B$20000,"NatSci",Courses!$D$1:'Courses'!$D$20000,"&gt;=4000",Courses!$D$1:'Courses'!$D$20000,"&lt;5000",Courses!$E$1:'Courses'!$E$20000,2019,Courses!$I$1:'Courses'!$I$20000,"&gt;=40",Courses!$I$1:'Courses'!$I$20000,"&lt;50",Courses!$L$1:'Courses'!$L$20000,0)</f>
        <v>3</v>
      </c>
      <c r="G33">
        <f>COUNTIFS(Courses!$B$1:'Courses'!$B$20000,"NatSci",Courses!$D$1:'Courses'!$D$20000,"&gt;=4000",Courses!$D$1:'Courses'!$D$20000,"&lt;5000",Courses!$E$1:'Courses'!$E$20000,2019,Courses!$I$1:'Courses'!$I$20000,"&gt;=50",Courses!$I$1:'Courses'!$I$20000,"&lt;100",Courses!$L$1:'Courses'!$L$20000,0)</f>
        <v>3</v>
      </c>
      <c r="H33">
        <f>COUNTIFS(Courses!$B$1:'Courses'!$B$20000,"NatSci",Courses!$D$1:'Courses'!$D$20000,"&gt;=4000",Courses!$D$1:'Courses'!$D$20000,"&lt;5000",Courses!$E$1:'Courses'!$E$20000,2019,Courses!$I$1:'Courses'!$I$20000,"&gt;=100",Courses!$L$1:'Courses'!$L$20000,0)</f>
        <v>1</v>
      </c>
      <c r="I33">
        <f t="shared" si="0"/>
        <v>95</v>
      </c>
      <c r="J33" s="3">
        <f t="shared" si="2"/>
        <v>67.400000000000006</v>
      </c>
      <c r="K33" s="3">
        <f t="shared" si="1"/>
        <v>4.2105263157894735</v>
      </c>
    </row>
    <row r="34" spans="1:11" x14ac:dyDescent="0.2">
      <c r="A34" t="s">
        <v>2129</v>
      </c>
      <c r="B34">
        <f>COUNTIFS(Courses!$B$1:'Courses'!$B$20000,"NatSci",Courses!$D$1:'Courses'!$D$20000,"&gt;=5000",Courses!$D$1:'Courses'!$D$20000,"&lt;6000",Courses!$E$1:'Courses'!$E$20000,2019,Courses!$I$1:'Courses'!$I$20000,"&gt;=2",Courses!$I$1:'Courses'!$I$20000,"&lt;10",Courses!$L$1:'Courses'!$L$20000,0)</f>
        <v>0</v>
      </c>
      <c r="C34">
        <f>COUNTIFS(Courses!$B$1:'Courses'!$B$20000,"NatSci",Courses!$D$1:'Courses'!$D$20000,"&gt;=5000",Courses!$D$1:'Courses'!$D$20000,"&lt;6000",Courses!$E$1:'Courses'!$E$20000,2019,Courses!$I$1:'Courses'!$I$20000,"&gt;=10",Courses!$I$1:'Courses'!$I$20000,"&lt;20",Courses!$L$1:'Courses'!$L$20000,0)</f>
        <v>0</v>
      </c>
      <c r="D34">
        <f>COUNTIFS(Courses!$B$1:'Courses'!$B$20000,"NatSci",Courses!$D$1:'Courses'!$D$20000,"&gt;=5000",Courses!$D$1:'Courses'!$D$20000,"&lt;6000",Courses!$E$1:'Courses'!$E$20000,2019,Courses!$I$1:'Courses'!$I$20000,"&gt;=20",Courses!$I$1:'Courses'!$I$20000,"&lt;30",Courses!$L$1:'Courses'!$L$20000,0)</f>
        <v>2</v>
      </c>
      <c r="E34">
        <f>COUNTIFS(Courses!$B$1:'Courses'!$B$20000,"NatSci",Courses!$D$1:'Courses'!$D$20000,"&gt;=5000",Courses!$D$1:'Courses'!$D$20000,"&lt;6000",Courses!$E$1:'Courses'!$E$20000,2019,Courses!$I$1:'Courses'!$I$20000,"&gt;=30",Courses!$I$1:'Courses'!$I$20000,"&lt;40",Courses!$L$1:'Courses'!$L$20000,0)</f>
        <v>1</v>
      </c>
      <c r="F34">
        <f>COUNTIFS(Courses!$B$1:'Courses'!$B$20000,"NatSci",Courses!$D$1:'Courses'!$D$20000,"&gt;=5000",Courses!$D$1:'Courses'!$D$20000,"&lt;6000",Courses!$E$1:'Courses'!$E$20000,2019,Courses!$I$1:'Courses'!$I$20000,"&gt;=40",Courses!$I$1:'Courses'!$I$20000,"&lt;50",Courses!$L$1:'Courses'!$L$20000,0)</f>
        <v>3</v>
      </c>
      <c r="G34">
        <f>COUNTIFS(Courses!$B$1:'Courses'!$B$20000,"NatSci",Courses!$D$1:'Courses'!$D$20000,"&gt;=5000",Courses!$D$1:'Courses'!$D$20000,"&lt;6000",Courses!$E$1:'Courses'!$E$20000,2019,Courses!$I$1:'Courses'!$I$20000,"&gt;=50",Courses!$I$1:'Courses'!$I$20000,"&lt;100",Courses!$L$1:'Courses'!$L$20000,0)</f>
        <v>2</v>
      </c>
      <c r="H34">
        <f>COUNTIFS(Courses!$B$1:'Courses'!$B$20000,"NatSci",Courses!$D$1:'Courses'!$D$20000,"&gt;=5000",Courses!$D$1:'Courses'!$D$20000,"&lt;6000",Courses!$E$1:'Courses'!$E$20000,2019,Courses!$I$1:'Courses'!$I$20000,"&gt;=100",Courses!$L$1:'Courses'!$L$20000,0)</f>
        <v>2</v>
      </c>
      <c r="I34">
        <f t="shared" ref="I34:I56" si="3">$B34+$C34+$D34+$E34+$F34+$G34+$H34</f>
        <v>10</v>
      </c>
      <c r="J34" s="3">
        <f t="shared" si="2"/>
        <v>0</v>
      </c>
      <c r="K34" s="3">
        <f t="shared" ref="K34:K56" si="4">100*($G34+$H34)/$I34</f>
        <v>40</v>
      </c>
    </row>
    <row r="35" spans="1:11" x14ac:dyDescent="0.2">
      <c r="A35" t="s">
        <v>2130</v>
      </c>
      <c r="B35">
        <f>COUNTIFS(Courses!$B$1:'Courses'!$B$20000,"NatSci",Courses!$D$1:'Courses'!$D$20000,"&gt;=6000",Courses!$D$1:'Courses'!$D$20000,"&lt;7000",Courses!$E$1:'Courses'!$E$20000,2019,Courses!$I$1:'Courses'!$I$20000,"&gt;=2",Courses!$I$1:'Courses'!$I$20000,"&lt;10",Courses!$L$1:'Courses'!$L$20000,0)</f>
        <v>19</v>
      </c>
      <c r="C35">
        <f>COUNTIFS(Courses!$B$1:'Courses'!$B$20000,"NatSci",Courses!$D$1:'Courses'!$D$20000,"&gt;=6000",Courses!$D$1:'Courses'!$D$20000,"&lt;7000",Courses!$E$1:'Courses'!$E$20000,2019,Courses!$I$1:'Courses'!$I$20000,"&gt;=10",Courses!$I$1:'Courses'!$I$20000,"&lt;20",Courses!$L$1:'Courses'!$L$20000,0)</f>
        <v>9</v>
      </c>
      <c r="D35">
        <f>COUNTIFS(Courses!$B$1:'Courses'!$B$20000,"NatSci",Courses!$D$1:'Courses'!$D$20000,"&gt;=6000",Courses!$D$1:'Courses'!$D$20000,"&lt;7000",Courses!$E$1:'Courses'!$E$20000,2019,Courses!$I$1:'Courses'!$I$20000,"&gt;=20",Courses!$I$1:'Courses'!$I$20000,"&lt;30",Courses!$L$1:'Courses'!$L$20000,0)</f>
        <v>7</v>
      </c>
      <c r="E35">
        <f>COUNTIFS(Courses!$B$1:'Courses'!$B$20000,"NatSci",Courses!$D$1:'Courses'!$D$20000,"&gt;=6000",Courses!$D$1:'Courses'!$D$20000,"&lt;7000",Courses!$E$1:'Courses'!$E$20000,2019,Courses!$I$1:'Courses'!$I$20000,"&gt;=30",Courses!$I$1:'Courses'!$I$20000,"&lt;40",Courses!$L$1:'Courses'!$L$20000,0)</f>
        <v>2</v>
      </c>
      <c r="F35">
        <f>COUNTIFS(Courses!$B$1:'Courses'!$B$20000,"NatSci",Courses!$D$1:'Courses'!$D$20000,"&gt;=6000",Courses!$D$1:'Courses'!$D$20000,"&lt;7000",Courses!$E$1:'Courses'!$E$20000,2019,Courses!$I$1:'Courses'!$I$20000,"&gt;=40",Courses!$I$1:'Courses'!$I$20000,"&lt;50",Courses!$L$1:'Courses'!$L$20000,0)</f>
        <v>2</v>
      </c>
      <c r="G35">
        <f>COUNTIFS(Courses!$B$1:'Courses'!$B$20000,"NatSci",Courses!$D$1:'Courses'!$D$20000,"&gt;=6000",Courses!$D$1:'Courses'!$D$20000,"&lt;7000",Courses!$E$1:'Courses'!$E$20000,2019,Courses!$I$1:'Courses'!$I$20000,"&gt;=50",Courses!$I$1:'Courses'!$I$20000,"&lt;100",Courses!$L$1:'Courses'!$L$20000,0)</f>
        <v>0</v>
      </c>
      <c r="H35">
        <f>COUNTIFS(Courses!$B$1:'Courses'!$B$20000,"NatSci",Courses!$D$1:'Courses'!$D$20000,"&gt;=6000",Courses!$D$1:'Courses'!$D$20000,"&lt;7000",Courses!$E$1:'Courses'!$E$20000,2019,Courses!$I$1:'Courses'!$I$20000,"&gt;=100",Courses!$L$1:'Courses'!$L$20000,0)</f>
        <v>0</v>
      </c>
      <c r="I35">
        <f t="shared" si="3"/>
        <v>39</v>
      </c>
      <c r="J35" s="3">
        <f t="shared" ref="J35:J56" si="5">ROUND(100*($B35+$C35)/$I35,1)</f>
        <v>71.8</v>
      </c>
      <c r="K35" s="3">
        <f t="shared" si="4"/>
        <v>0</v>
      </c>
    </row>
    <row r="36" spans="1:11" x14ac:dyDescent="0.2">
      <c r="A36" t="s">
        <v>2131</v>
      </c>
      <c r="B36">
        <f>COUNTIFS(Courses!$B$1:'Courses'!$B$20000,"NatSci",Courses!$D$1:'Courses'!$D$20000,"&gt;=8000",Courses!$D$1:'Courses'!$D$20000,"&lt;9000",Courses!$E$1:'Courses'!$E$20000,2019,Courses!$I$1:'Courses'!$I$20000,"&gt;=2",Courses!$I$1:'Courses'!$I$20000,"&lt;10",Courses!$L$1:'Courses'!$L$20000,0)</f>
        <v>12</v>
      </c>
      <c r="C36">
        <f>COUNTIFS(Courses!$B$1:'Courses'!$B$20000,"NatSci",Courses!$D$1:'Courses'!$D$20000,"&gt;=8000",Courses!$D$1:'Courses'!$D$20000,"&lt;9000",Courses!$E$1:'Courses'!$E$20000,2019,Courses!$I$1:'Courses'!$I$20000,"&gt;=10",Courses!$I$1:'Courses'!$I$20000,"&lt;20",Courses!$L$1:'Courses'!$L$20000,0)</f>
        <v>1</v>
      </c>
      <c r="D36">
        <f>COUNTIFS(Courses!$B$1:'Courses'!$B$20000,"NatSci",Courses!$D$1:'Courses'!$D$20000,"&gt;=8000",Courses!$D$1:'Courses'!$D$20000,"&lt;9000",Courses!$E$1:'Courses'!$E$20000,2019,Courses!$I$1:'Courses'!$I$20000,"&gt;=20",Courses!$I$1:'Courses'!$I$20000,"&lt;30",Courses!$L$1:'Courses'!$L$20000,0)</f>
        <v>0</v>
      </c>
      <c r="E36">
        <f>COUNTIFS(Courses!$B$1:'Courses'!$B$20000,"NatSci",Courses!$D$1:'Courses'!$D$20000,"&gt;=8000",Courses!$D$1:'Courses'!$D$20000,"&lt;9000",Courses!$E$1:'Courses'!$E$20000,2019,Courses!$I$1:'Courses'!$I$20000,"&gt;=30",Courses!$I$1:'Courses'!$I$20000,"&lt;40",Courses!$L$1:'Courses'!$L$20000,0)</f>
        <v>0</v>
      </c>
      <c r="F36">
        <f>COUNTIFS(Courses!$B$1:'Courses'!$B$20000,"NatSci",Courses!$D$1:'Courses'!$D$20000,"&gt;=8000",Courses!$D$1:'Courses'!$D$20000,"&lt;9000",Courses!$E$1:'Courses'!$E$20000,2019,Courses!$I$1:'Courses'!$I$20000,"&gt;=40",Courses!$I$1:'Courses'!$I$20000,"&lt;50",Courses!$L$1:'Courses'!$L$20000,0)</f>
        <v>0</v>
      </c>
      <c r="G36">
        <f>COUNTIFS(Courses!$B$1:'Courses'!$B$20000,"NatSci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36">
        <f>COUNTIFS(Courses!$B$1:'Courses'!$B$20000,"NatSci",Courses!$D$1:'Courses'!$D$20000,"&gt;=8000",Courses!$D$1:'Courses'!$D$20000,"&lt;9000",Courses!$E$1:'Courses'!$E$20000,2019,Courses!$I$1:'Courses'!$I$20000,"&gt;=100",Courses!$L$1:'Courses'!$L$20000,0)</f>
        <v>0</v>
      </c>
      <c r="I36">
        <f t="shared" si="3"/>
        <v>13</v>
      </c>
      <c r="J36" s="3">
        <f t="shared" si="5"/>
        <v>100</v>
      </c>
      <c r="K36" s="3">
        <f t="shared" si="4"/>
        <v>0</v>
      </c>
    </row>
    <row r="37" spans="1:11" x14ac:dyDescent="0.2">
      <c r="A37" t="s">
        <v>2132</v>
      </c>
      <c r="B37">
        <f>COUNTIFS(Courses!$B$1:'Courses'!$B$20000,"NatSci",Courses!$D$1:'Courses'!$D$20000,"&gt;=1000",Courses!$D$1:'Courses'!$D$20000,"&lt;9000",Courses!$E$1:'Courses'!$E$20000,2019,Courses!$I$1:'Courses'!$I$20000,"&gt;=2",Courses!$I$1:'Courses'!$I$20000,"&lt;10",Courses!$L$1:'Courses'!$L$20000,0)</f>
        <v>87</v>
      </c>
      <c r="C37">
        <f>COUNTIFS(Courses!$B$1:'Courses'!$B$20000,"NatSci",Courses!$D$1:'Courses'!$D$20000,"&gt;=1000",Courses!$D$1:'Courses'!$D$20000,"&lt;9000",Courses!$E$1:'Courses'!$E$20000,2019,Courses!$I$1:'Courses'!$I$20000,"&gt;=10",Courses!$I$1:'Courses'!$I$20000,"&lt;20",Courses!$L$1:'Courses'!$L$20000,0)</f>
        <v>68</v>
      </c>
      <c r="D37">
        <f>COUNTIFS(Courses!$B$1:'Courses'!$B$20000,"NatSci",Courses!$D$1:'Courses'!$D$20000,"&gt;=1000",Courses!$D$1:'Courses'!$D$20000,"&lt;9000",Courses!$E$1:'Courses'!$E$20000,2019,Courses!$I$1:'Courses'!$I$20000,"&gt;=20",Courses!$I$1:'Courses'!$I$20000,"&lt;30",Courses!$L$1:'Courses'!$L$20000,0)</f>
        <v>41</v>
      </c>
      <c r="E37">
        <f>COUNTIFS(Courses!$B$1:'Courses'!$B$20000,"NatSci",Courses!$D$1:'Courses'!$D$20000,"&gt;=1000",Courses!$D$1:'Courses'!$D$20000,"&lt;9000",Courses!$E$1:'Courses'!$E$20000,2019,Courses!$I$1:'Courses'!$I$20000,"&gt;=30",Courses!$I$1:'Courses'!$I$20000,"&lt;40",Courses!$L$1:'Courses'!$L$20000,0)</f>
        <v>30</v>
      </c>
      <c r="F37">
        <f>COUNTIFS(Courses!$B$1:'Courses'!$B$20000,"NatSci",Courses!$D$1:'Courses'!$D$20000,"&gt;=1000",Courses!$D$1:'Courses'!$D$20000,"&lt;9000",Courses!$E$1:'Courses'!$E$20000,2019,Courses!$I$1:'Courses'!$I$20000,"&gt;=40",Courses!$I$1:'Courses'!$I$20000,"&lt;50",Courses!$L$1:'Courses'!$L$20000,0)</f>
        <v>23</v>
      </c>
      <c r="G37">
        <f>COUNTIFS(Courses!$B$1:'Courses'!$B$20000,"NatSci",Courses!$D$1:'Courses'!$D$20000,"&gt;=1000",Courses!$D$1:'Courses'!$D$20000,"&lt;9000",Courses!$E$1:'Courses'!$E$20000,2019,Courses!$I$1:'Courses'!$I$20000,"&gt;=50",Courses!$I$1:'Courses'!$I$20000,"&lt;100",Courses!$L$1:'Courses'!$L$20000,0)</f>
        <v>48</v>
      </c>
      <c r="H37">
        <f>COUNTIFS(Courses!$B$1:'Courses'!$B$20000,"NatSci",Courses!$D$1:'Courses'!$D$20000,"&gt;=1000",Courses!$D$1:'Courses'!$D$20000,"&lt;9000",Courses!$E$1:'Courses'!$E$20000,2019,Courses!$I$1:'Courses'!$I$20000,"&gt;=100",Courses!$L$1:'Courses'!$L$20000,0)</f>
        <v>26</v>
      </c>
      <c r="I37">
        <f t="shared" si="3"/>
        <v>323</v>
      </c>
      <c r="J37" s="3">
        <f t="shared" si="5"/>
        <v>48</v>
      </c>
      <c r="K37" s="3">
        <f t="shared" si="4"/>
        <v>22.910216718266255</v>
      </c>
    </row>
    <row r="38" spans="1:11" x14ac:dyDescent="0.2">
      <c r="A38" t="s">
        <v>2133</v>
      </c>
      <c r="B38">
        <f>COUNTIFS(Courses!$B$1:'Courses'!$B$20000,"PhysEd",Courses!$D$1:'Courses'!$D$20000,"&gt;=1000",Courses!$D$1:'Courses'!$D$20000,"&lt;2000",Courses!$E$1:'Courses'!$E$20000,2019,Courses!$I$1:'Courses'!$I$20000,"&gt;=2",Courses!$I$1:'Courses'!$I$20000,"&lt;10",Courses!$L$1:'Courses'!$L$20000,0)</f>
        <v>18</v>
      </c>
      <c r="C38">
        <f>COUNTIFS(Courses!$B$1:'Courses'!$B$20000,"PhysEd",Courses!$D$1:'Courses'!$D$20000,"&gt;=1000",Courses!$D$1:'Courses'!$D$20000,"&lt;2000",Courses!$E$1:'Courses'!$E$20000,2019,Courses!$I$1:'Courses'!$I$20000,"&gt;=10",Courses!$I$1:'Courses'!$I$20000,"&lt;20",Courses!$L$1:'Courses'!$L$20000,0)</f>
        <v>40</v>
      </c>
      <c r="D38">
        <f>COUNTIFS(Courses!$B$1:'Courses'!$B$20000,"PhysEd",Courses!$D$1:'Courses'!$D$20000,"&gt;=1000",Courses!$D$1:'Courses'!$D$20000,"&lt;2000",Courses!$E$1:'Courses'!$E$20000,2019,Courses!$I$1:'Courses'!$I$20000,"&gt;=20",Courses!$I$1:'Courses'!$I$20000,"&lt;30",Courses!$L$1:'Courses'!$L$20000,0)</f>
        <v>28</v>
      </c>
      <c r="E38">
        <f>COUNTIFS(Courses!$B$1:'Courses'!$B$20000,"PhysEd",Courses!$D$1:'Courses'!$D$20000,"&gt;=1000",Courses!$D$1:'Courses'!$D$20000,"&lt;2000",Courses!$E$1:'Courses'!$E$20000,2019,Courses!$I$1:'Courses'!$I$20000,"&gt;=30",Courses!$I$1:'Courses'!$I$20000,"&lt;40",Courses!$L$1:'Courses'!$L$20000,0)</f>
        <v>2</v>
      </c>
      <c r="F38">
        <f>COUNTIFS(Courses!$B$1:'Courses'!$B$20000,"PhysEd",Courses!$D$1:'Courses'!$D$20000,"&gt;=1000",Courses!$D$1:'Courses'!$D$20000,"&lt;2000",Courses!$E$1:'Courses'!$E$20000,2019,Courses!$I$1:'Courses'!$I$20000,"&gt;=40",Courses!$I$1:'Courses'!$I$20000,"&lt;50",Courses!$L$1:'Courses'!$L$20000,0)</f>
        <v>1</v>
      </c>
      <c r="G38">
        <f>COUNTIFS(Courses!$B$1:'Courses'!$B$20000,"PhysEd",Courses!$D$1:'Courses'!$D$20000,"&gt;=1000",Courses!$D$1:'Courses'!$D$20000,"&lt;2000",Courses!$E$1:'Courses'!$E$20000,2019,Courses!$I$1:'Courses'!$I$20000,"&gt;=50",Courses!$I$1:'Courses'!$I$20000,"&lt;100",Courses!$L$1:'Courses'!$L$20000,0)</f>
        <v>0</v>
      </c>
      <c r="H38">
        <f>COUNTIFS(Courses!$B$1:'Courses'!$B$20000,"PhysEd",Courses!$D$1:'Courses'!$D$20000,"&gt;=1000",Courses!$D$1:'Courses'!$D$20000,"&lt;2000",Courses!$E$1:'Courses'!$E$20000,2019,Courses!$I$1:'Courses'!$I$20000,"&gt;=100",Courses!$L$1:'Courses'!$L$20000,0)</f>
        <v>0</v>
      </c>
      <c r="I38">
        <f t="shared" si="3"/>
        <v>89</v>
      </c>
      <c r="J38" s="3">
        <f t="shared" si="5"/>
        <v>65.2</v>
      </c>
      <c r="K38" s="3">
        <f t="shared" si="4"/>
        <v>0</v>
      </c>
    </row>
    <row r="39" spans="1:11" x14ac:dyDescent="0.2">
      <c r="A39" t="s">
        <v>2134</v>
      </c>
      <c r="B39">
        <f>COUNTIFS(Courses!$B$1:'Courses'!$B$20000,"SocSci",Courses!$D$1:'Courses'!$D$20000,"&gt;=1000",Courses!$D$1:'Courses'!$D$20000,"&lt;2000",Courses!$E$1:'Courses'!$E$20000,2019,Courses!$I$1:'Courses'!$I$20000,"&gt;=2",Courses!$I$1:'Courses'!$I$20000,"&lt;10",Courses!$L$1:'Courses'!$L$20000,0)</f>
        <v>1</v>
      </c>
      <c r="C39">
        <f>COUNTIFS(Courses!$B$1:'Courses'!$B$20000,"SocSci",Courses!$D$1:'Courses'!$D$20000,"&gt;=1000",Courses!$D$1:'Courses'!$D$20000,"&lt;2000",Courses!$E$1:'Courses'!$E$20000,2019,Courses!$I$1:'Courses'!$I$20000,"&gt;=10",Courses!$I$1:'Courses'!$I$20000,"&lt;20",Courses!$L$1:'Courses'!$L$20000,0)</f>
        <v>1</v>
      </c>
      <c r="D39">
        <f>COUNTIFS(Courses!$B$1:'Courses'!$B$20000,"SocSci",Courses!$D$1:'Courses'!$D$20000,"&gt;=1000",Courses!$D$1:'Courses'!$D$20000,"&lt;2000",Courses!$E$1:'Courses'!$E$20000,2019,Courses!$I$1:'Courses'!$I$20000,"&gt;=20",Courses!$I$1:'Courses'!$I$20000,"&lt;30",Courses!$L$1:'Courses'!$L$20000,0)</f>
        <v>2</v>
      </c>
      <c r="E39">
        <f>COUNTIFS(Courses!$B$1:'Courses'!$B$20000,"SocSci",Courses!$D$1:'Courses'!$D$20000,"&gt;=1000",Courses!$D$1:'Courses'!$D$20000,"&lt;2000",Courses!$E$1:'Courses'!$E$20000,2019,Courses!$I$1:'Courses'!$I$20000,"&gt;=30",Courses!$I$1:'Courses'!$I$20000,"&lt;40",Courses!$L$1:'Courses'!$L$20000,0)</f>
        <v>2</v>
      </c>
      <c r="F39">
        <f>COUNTIFS(Courses!$B$1:'Courses'!$B$20000,"SocSci",Courses!$D$1:'Courses'!$D$20000,"&gt;=1000",Courses!$D$1:'Courses'!$D$20000,"&lt;2000",Courses!$E$1:'Courses'!$E$20000,2019,Courses!$I$1:'Courses'!$I$20000,"&gt;=40",Courses!$I$1:'Courses'!$I$20000,"&lt;50",Courses!$L$1:'Courses'!$L$20000,0)</f>
        <v>1</v>
      </c>
      <c r="G39">
        <f>COUNTIFS(Courses!$B$1:'Courses'!$B$20000,"SocSci",Courses!$D$1:'Courses'!$D$20000,"&gt;=1000",Courses!$D$1:'Courses'!$D$20000,"&lt;2000",Courses!$E$1:'Courses'!$E$20000,2019,Courses!$I$1:'Courses'!$I$20000,"&gt;=50",Courses!$I$1:'Courses'!$I$20000,"&lt;100",Courses!$L$1:'Courses'!$L$20000,0)</f>
        <v>11</v>
      </c>
      <c r="H39">
        <f>COUNTIFS(Courses!$B$1:'Courses'!$B$20000,"SocSci",Courses!$D$1:'Courses'!$D$20000,"&gt;=1000",Courses!$D$1:'Courses'!$D$20000,"&lt;2000",Courses!$E$1:'Courses'!$E$20000,2019,Courses!$I$1:'Courses'!$I$20000,"&gt;=100",Courses!$L$1:'Courses'!$L$20000,0)</f>
        <v>8</v>
      </c>
      <c r="I39">
        <f t="shared" si="3"/>
        <v>26</v>
      </c>
      <c r="J39" s="3">
        <f t="shared" si="5"/>
        <v>7.7</v>
      </c>
      <c r="K39" s="3">
        <f t="shared" si="4"/>
        <v>73.07692307692308</v>
      </c>
    </row>
    <row r="40" spans="1:11" x14ac:dyDescent="0.2">
      <c r="A40" t="s">
        <v>2135</v>
      </c>
      <c r="B40">
        <f>COUNTIFS(Courses!$B$1:'Courses'!$B$20000,"SocSci",Courses!$D$1:'Courses'!$D$20000,"&gt;=2000",Courses!$D$1:'Courses'!$D$20000,"&lt;3000",Courses!$E$1:'Courses'!$E$20000,2019,Courses!$I$1:'Courses'!$I$20000,"&gt;=2",Courses!$I$1:'Courses'!$I$20000,"&lt;10",Courses!$L$1:'Courses'!$L$20000,0)</f>
        <v>0</v>
      </c>
      <c r="C40">
        <f>COUNTIFS(Courses!$B$1:'Courses'!$B$20000,"SocSci",Courses!$D$1:'Courses'!$D$20000,"&gt;=2000",Courses!$D$1:'Courses'!$D$20000,"&lt;3000",Courses!$E$1:'Courses'!$E$20000,2019,Courses!$I$1:'Courses'!$I$20000,"&gt;=10",Courses!$I$1:'Courses'!$I$20000,"&lt;20",Courses!$L$1:'Courses'!$L$20000,0)</f>
        <v>3</v>
      </c>
      <c r="D40">
        <f>COUNTIFS(Courses!$B$1:'Courses'!$B$20000,"SocSci",Courses!$D$1:'Courses'!$D$20000,"&gt;=2000",Courses!$D$1:'Courses'!$D$20000,"&lt;3000",Courses!$E$1:'Courses'!$E$20000,2019,Courses!$I$1:'Courses'!$I$20000,"&gt;=20",Courses!$I$1:'Courses'!$I$20000,"&lt;30",Courses!$L$1:'Courses'!$L$20000,0)</f>
        <v>7</v>
      </c>
      <c r="E40">
        <f>COUNTIFS(Courses!$B$1:'Courses'!$B$20000,"SocSci",Courses!$D$1:'Courses'!$D$20000,"&gt;=2000",Courses!$D$1:'Courses'!$D$20000,"&lt;3000",Courses!$E$1:'Courses'!$E$20000,2019,Courses!$I$1:'Courses'!$I$20000,"&gt;=30",Courses!$I$1:'Courses'!$I$20000,"&lt;40",Courses!$L$1:'Courses'!$L$20000,0)</f>
        <v>2</v>
      </c>
      <c r="F40">
        <f>COUNTIFS(Courses!$B$1:'Courses'!$B$20000,"SocSci",Courses!$D$1:'Courses'!$D$20000,"&gt;=2000",Courses!$D$1:'Courses'!$D$20000,"&lt;3000",Courses!$E$1:'Courses'!$E$20000,2019,Courses!$I$1:'Courses'!$I$20000,"&gt;=40",Courses!$I$1:'Courses'!$I$20000,"&lt;50",Courses!$L$1:'Courses'!$L$20000,0)</f>
        <v>0</v>
      </c>
      <c r="G40">
        <f>COUNTIFS(Courses!$B$1:'Courses'!$B$20000,"SocSci",Courses!$D$1:'Courses'!$D$20000,"&gt;=2000",Courses!$D$1:'Courses'!$D$20000,"&lt;3000",Courses!$E$1:'Courses'!$E$20000,2019,Courses!$I$1:'Courses'!$I$20000,"&gt;=50",Courses!$I$1:'Courses'!$I$20000,"&lt;100",Courses!$L$1:'Courses'!$L$20000,0)</f>
        <v>8</v>
      </c>
      <c r="H40">
        <f>COUNTIFS(Courses!$B$1:'Courses'!$B$20000,"SocSci",Courses!$D$1:'Courses'!$D$20000,"&gt;=2000",Courses!$D$1:'Courses'!$D$20000,"&lt;3000",Courses!$E$1:'Courses'!$E$20000,2019,Courses!$I$1:'Courses'!$I$20000,"&gt;=100",Courses!$L$1:'Courses'!$L$20000,0)</f>
        <v>4</v>
      </c>
      <c r="I40">
        <f t="shared" si="3"/>
        <v>24</v>
      </c>
      <c r="J40" s="3">
        <f t="shared" si="5"/>
        <v>12.5</v>
      </c>
      <c r="K40" s="3">
        <f t="shared" si="4"/>
        <v>50</v>
      </c>
    </row>
    <row r="41" spans="1:11" x14ac:dyDescent="0.2">
      <c r="A41" t="s">
        <v>2136</v>
      </c>
      <c r="B41">
        <f>COUNTIFS(Courses!$B$1:'Courses'!$B$20000,"SocSci",Courses!$D$1:'Courses'!$D$20000,"&gt;=3000",Courses!$D$1:'Courses'!$D$20000,"&lt;4000",Courses!$E$1:'Courses'!$E$20000,2019,Courses!$I$1:'Courses'!$I$20000,"&gt;=2",Courses!$I$1:'Courses'!$I$20000,"&lt;10",Courses!$L$1:'Courses'!$L$20000,0)</f>
        <v>33</v>
      </c>
      <c r="C41">
        <f>COUNTIFS(Courses!$B$1:'Courses'!$B$20000,"SocSci",Courses!$D$1:'Courses'!$D$20000,"&gt;=3000",Courses!$D$1:'Courses'!$D$20000,"&lt;4000",Courses!$E$1:'Courses'!$E$20000,2019,Courses!$I$1:'Courses'!$I$20000,"&gt;=10",Courses!$I$1:'Courses'!$I$20000,"&lt;20",Courses!$L$1:'Courses'!$L$20000,0)</f>
        <v>71</v>
      </c>
      <c r="D41">
        <f>COUNTIFS(Courses!$B$1:'Courses'!$B$20000,"SocSci",Courses!$D$1:'Courses'!$D$20000,"&gt;=3000",Courses!$D$1:'Courses'!$D$20000,"&lt;4000",Courses!$E$1:'Courses'!$E$20000,2019,Courses!$I$1:'Courses'!$I$20000,"&gt;=20",Courses!$I$1:'Courses'!$I$20000,"&lt;30",Courses!$L$1:'Courses'!$L$20000,0)</f>
        <v>20</v>
      </c>
      <c r="E41">
        <f>COUNTIFS(Courses!$B$1:'Courses'!$B$20000,"SocSci",Courses!$D$1:'Courses'!$D$20000,"&gt;=3000",Courses!$D$1:'Courses'!$D$20000,"&lt;4000",Courses!$E$1:'Courses'!$E$20000,2019,Courses!$I$1:'Courses'!$I$20000,"&gt;=30",Courses!$I$1:'Courses'!$I$20000,"&lt;40",Courses!$L$1:'Courses'!$L$20000,0)</f>
        <v>4</v>
      </c>
      <c r="F41">
        <f>COUNTIFS(Courses!$B$1:'Courses'!$B$20000,"SocSci",Courses!$D$1:'Courses'!$D$20000,"&gt;=3000",Courses!$D$1:'Courses'!$D$20000,"&lt;4000",Courses!$E$1:'Courses'!$E$20000,2019,Courses!$I$1:'Courses'!$I$20000,"&gt;=40",Courses!$I$1:'Courses'!$I$20000,"&lt;50",Courses!$L$1:'Courses'!$L$20000,0)</f>
        <v>7</v>
      </c>
      <c r="G41">
        <f>COUNTIFS(Courses!$B$1:'Courses'!$B$20000,"SocSci",Courses!$D$1:'Courses'!$D$20000,"&gt;=3000",Courses!$D$1:'Courses'!$D$20000,"&lt;4000",Courses!$E$1:'Courses'!$E$20000,2019,Courses!$I$1:'Courses'!$I$20000,"&gt;=50",Courses!$I$1:'Courses'!$I$20000,"&lt;100",Courses!$L$1:'Courses'!$L$20000,0)</f>
        <v>11</v>
      </c>
      <c r="H41">
        <f>COUNTIFS(Courses!$B$1:'Courses'!$B$20000,"SocSci",Courses!$D$1:'Courses'!$D$20000,"&gt;=3000",Courses!$D$1:'Courses'!$D$20000,"&lt;4000",Courses!$E$1:'Courses'!$E$20000,2019,Courses!$I$1:'Courses'!$I$20000,"&gt;=100",Courses!$L$1:'Courses'!$L$20000,0)</f>
        <v>7</v>
      </c>
      <c r="I41">
        <f t="shared" si="3"/>
        <v>153</v>
      </c>
      <c r="J41" s="3">
        <f t="shared" si="5"/>
        <v>68</v>
      </c>
      <c r="K41" s="3">
        <f t="shared" si="4"/>
        <v>11.764705882352942</v>
      </c>
    </row>
    <row r="42" spans="1:11" x14ac:dyDescent="0.2">
      <c r="A42" t="s">
        <v>2137</v>
      </c>
      <c r="B42">
        <f>COUNTIFS(Courses!$B$1:'Courses'!$B$20000,"SocSci",Courses!$D$1:'Courses'!$D$20000,"&gt;=4000",Courses!$D$1:'Courses'!$D$20000,"&lt;5000",Courses!$E$1:'Courses'!$E$20000,2019,Courses!$I$1:'Courses'!$I$20000,"&gt;=2",Courses!$I$1:'Courses'!$I$20000,"&lt;10",Courses!$L$1:'Courses'!$L$20000,0)</f>
        <v>25</v>
      </c>
      <c r="C42">
        <f>COUNTIFS(Courses!$B$1:'Courses'!$B$20000,"SocSci",Courses!$D$1:'Courses'!$D$20000,"&gt;=4000",Courses!$D$1:'Courses'!$D$20000,"&lt;5000",Courses!$E$1:'Courses'!$E$20000,2019,Courses!$I$1:'Courses'!$I$20000,"&gt;=10",Courses!$I$1:'Courses'!$I$20000,"&lt;20",Courses!$L$1:'Courses'!$L$20000,0)</f>
        <v>40</v>
      </c>
      <c r="D42">
        <f>COUNTIFS(Courses!$B$1:'Courses'!$B$20000,"SocSci",Courses!$D$1:'Courses'!$D$20000,"&gt;=4000",Courses!$D$1:'Courses'!$D$20000,"&lt;5000",Courses!$E$1:'Courses'!$E$20000,2019,Courses!$I$1:'Courses'!$I$20000,"&gt;=20",Courses!$I$1:'Courses'!$I$20000,"&lt;30",Courses!$L$1:'Courses'!$L$20000,0)</f>
        <v>12</v>
      </c>
      <c r="E42">
        <f>COUNTIFS(Courses!$B$1:'Courses'!$B$20000,"SocSci",Courses!$D$1:'Courses'!$D$20000,"&gt;=4000",Courses!$D$1:'Courses'!$D$20000,"&lt;5000",Courses!$E$1:'Courses'!$E$20000,2019,Courses!$I$1:'Courses'!$I$20000,"&gt;=30",Courses!$I$1:'Courses'!$I$20000,"&lt;40",Courses!$L$1:'Courses'!$L$20000,0)</f>
        <v>2</v>
      </c>
      <c r="F42">
        <f>COUNTIFS(Courses!$B$1:'Courses'!$B$20000,"SocSci",Courses!$D$1:'Courses'!$D$20000,"&gt;=4000",Courses!$D$1:'Courses'!$D$20000,"&lt;5000",Courses!$E$1:'Courses'!$E$20000,2019,Courses!$I$1:'Courses'!$I$20000,"&gt;=40",Courses!$I$1:'Courses'!$I$20000,"&lt;50",Courses!$L$1:'Courses'!$L$20000,0)</f>
        <v>4</v>
      </c>
      <c r="G42">
        <f>COUNTIFS(Courses!$B$1:'Courses'!$B$20000,"SocSci",Courses!$D$1:'Courses'!$D$20000,"&gt;=4000",Courses!$D$1:'Courses'!$D$20000,"&lt;5000",Courses!$E$1:'Courses'!$E$20000,2019,Courses!$I$1:'Courses'!$I$20000,"&gt;=50",Courses!$I$1:'Courses'!$I$20000,"&lt;100",Courses!$L$1:'Courses'!$L$20000,0)</f>
        <v>8</v>
      </c>
      <c r="H42">
        <f>COUNTIFS(Courses!$B$1:'Courses'!$B$20000,"SocSci",Courses!$D$1:'Courses'!$D$20000,"&gt;=4000",Courses!$D$1:'Courses'!$D$20000,"&lt;5000",Courses!$E$1:'Courses'!$E$20000,2019,Courses!$I$1:'Courses'!$I$20000,"&gt;=100",Courses!$L$1:'Courses'!$L$20000,0)</f>
        <v>0</v>
      </c>
      <c r="I42">
        <f t="shared" si="3"/>
        <v>91</v>
      </c>
      <c r="J42" s="3">
        <f t="shared" si="5"/>
        <v>71.400000000000006</v>
      </c>
      <c r="K42" s="3">
        <f t="shared" si="4"/>
        <v>8.791208791208792</v>
      </c>
    </row>
    <row r="43" spans="1:11" x14ac:dyDescent="0.2">
      <c r="A43" t="s">
        <v>2138</v>
      </c>
      <c r="B43">
        <f>COUNTIFS(Courses!$B$1:'Courses'!$B$20000,"SocSci",Courses!$D$1:'Courses'!$D$20000,"&gt;=5000",Courses!$D$1:'Courses'!$D$20000,"&lt;6000",Courses!$E$1:'Courses'!$E$20000,2019,Courses!$I$1:'Courses'!$I$20000,"&gt;=2",Courses!$I$1:'Courses'!$I$20000,"&lt;10",Courses!$L$1:'Courses'!$L$20000,0)</f>
        <v>3</v>
      </c>
      <c r="C43">
        <f>COUNTIFS(Courses!$B$1:'Courses'!$B$20000,"SocSci",Courses!$D$1:'Courses'!$D$20000,"&gt;=5000",Courses!$D$1:'Courses'!$D$20000,"&lt;6000",Courses!$E$1:'Courses'!$E$20000,2019,Courses!$I$1:'Courses'!$I$20000,"&gt;=10",Courses!$I$1:'Courses'!$I$20000,"&lt;20",Courses!$L$1:'Courses'!$L$20000,0)</f>
        <v>7</v>
      </c>
      <c r="D43">
        <f>COUNTIFS(Courses!$B$1:'Courses'!$B$20000,"SocSci",Courses!$D$1:'Courses'!$D$20000,"&gt;=5000",Courses!$D$1:'Courses'!$D$20000,"&lt;6000",Courses!$E$1:'Courses'!$E$20000,2019,Courses!$I$1:'Courses'!$I$20000,"&gt;=20",Courses!$I$1:'Courses'!$I$20000,"&lt;30",Courses!$L$1:'Courses'!$L$20000,0)</f>
        <v>3</v>
      </c>
      <c r="E43">
        <f>COUNTIFS(Courses!$B$1:'Courses'!$B$20000,"SocSci",Courses!$D$1:'Courses'!$D$20000,"&gt;=5000",Courses!$D$1:'Courses'!$D$20000,"&lt;6000",Courses!$E$1:'Courses'!$E$20000,2019,Courses!$I$1:'Courses'!$I$20000,"&gt;=30",Courses!$I$1:'Courses'!$I$20000,"&lt;40",Courses!$L$1:'Courses'!$L$20000,0)</f>
        <v>1</v>
      </c>
      <c r="F43">
        <f>COUNTIFS(Courses!$B$1:'Courses'!$B$20000,"SocSci",Courses!$D$1:'Courses'!$D$20000,"&gt;=5000",Courses!$D$1:'Courses'!$D$20000,"&lt;6000",Courses!$E$1:'Courses'!$E$20000,2019,Courses!$I$1:'Courses'!$I$20000,"&gt;=40",Courses!$I$1:'Courses'!$I$20000,"&lt;50",Courses!$L$1:'Courses'!$L$20000,0)</f>
        <v>4</v>
      </c>
      <c r="G43">
        <f>COUNTIFS(Courses!$B$1:'Courses'!$B$20000,"SocSci",Courses!$D$1:'Courses'!$D$20000,"&gt;=5000",Courses!$D$1:'Courses'!$D$20000,"&lt;6000",Courses!$E$1:'Courses'!$E$20000,2019,Courses!$I$1:'Courses'!$I$20000,"&gt;=50",Courses!$I$1:'Courses'!$I$20000,"&lt;100",Courses!$L$1:'Courses'!$L$20000,0)</f>
        <v>7</v>
      </c>
      <c r="H43">
        <f>COUNTIFS(Courses!$B$1:'Courses'!$B$20000,"SocSci",Courses!$D$1:'Courses'!$D$20000,"&gt;=5000",Courses!$D$1:'Courses'!$D$20000,"&lt;6000",Courses!$E$1:'Courses'!$E$20000,2019,Courses!$I$1:'Courses'!$I$20000,"&gt;=100",Courses!$L$1:'Courses'!$L$20000,0)</f>
        <v>1</v>
      </c>
      <c r="I43">
        <f t="shared" si="3"/>
        <v>26</v>
      </c>
      <c r="J43" s="3">
        <f t="shared" si="5"/>
        <v>38.5</v>
      </c>
      <c r="K43" s="3">
        <f t="shared" si="4"/>
        <v>30.76923076923077</v>
      </c>
    </row>
    <row r="44" spans="1:11" x14ac:dyDescent="0.2">
      <c r="A44" t="s">
        <v>2139</v>
      </c>
      <c r="B44">
        <f>COUNTIFS(Courses!$B$1:'Courses'!$B$20000,"SocSci",Courses!$D$1:'Courses'!$D$20000,"&gt;=6000",Courses!$D$1:'Courses'!$D$20000,"&lt;7000",Courses!$E$1:'Courses'!$E$20000,2019,Courses!$I$1:'Courses'!$I$20000,"&gt;=2",Courses!$I$1:'Courses'!$I$20000,"&lt;10",Courses!$L$1:'Courses'!$L$20000,0)</f>
        <v>16</v>
      </c>
      <c r="C44">
        <f>COUNTIFS(Courses!$B$1:'Courses'!$B$20000,"SocSci",Courses!$D$1:'Courses'!$D$20000,"&gt;=6000",Courses!$D$1:'Courses'!$D$20000,"&lt;7000",Courses!$E$1:'Courses'!$E$20000,2019,Courses!$I$1:'Courses'!$I$20000,"&gt;=10",Courses!$I$1:'Courses'!$I$20000,"&lt;20",Courses!$L$1:'Courses'!$L$20000,0)</f>
        <v>18</v>
      </c>
      <c r="D44">
        <f>COUNTIFS(Courses!$B$1:'Courses'!$B$20000,"SocSci",Courses!$D$1:'Courses'!$D$20000,"&gt;=6000",Courses!$D$1:'Courses'!$D$20000,"&lt;7000",Courses!$E$1:'Courses'!$E$20000,2019,Courses!$I$1:'Courses'!$I$20000,"&gt;=20",Courses!$I$1:'Courses'!$I$20000,"&lt;30",Courses!$L$1:'Courses'!$L$20000,0)</f>
        <v>4</v>
      </c>
      <c r="E44">
        <f>COUNTIFS(Courses!$B$1:'Courses'!$B$20000,"SocSci",Courses!$D$1:'Courses'!$D$20000,"&gt;=6000",Courses!$D$1:'Courses'!$D$20000,"&lt;7000",Courses!$E$1:'Courses'!$E$20000,2019,Courses!$I$1:'Courses'!$I$20000,"&gt;=30",Courses!$I$1:'Courses'!$I$20000,"&lt;40",Courses!$L$1:'Courses'!$L$20000,0)</f>
        <v>3</v>
      </c>
      <c r="F44">
        <f>COUNTIFS(Courses!$B$1:'Courses'!$B$20000,"SocSci",Courses!$D$1:'Courses'!$D$20000,"&gt;=6000",Courses!$D$1:'Courses'!$D$20000,"&lt;7000",Courses!$E$1:'Courses'!$E$20000,2019,Courses!$I$1:'Courses'!$I$20000,"&gt;=40",Courses!$I$1:'Courses'!$I$20000,"&lt;50",Courses!$L$1:'Courses'!$L$20000,0)</f>
        <v>0</v>
      </c>
      <c r="G44">
        <f>COUNTIFS(Courses!$B$1:'Courses'!$B$20000,"SocSci",Courses!$D$1:'Courses'!$D$20000,"&gt;=6000",Courses!$D$1:'Courses'!$D$20000,"&lt;7000",Courses!$E$1:'Courses'!$E$20000,2019,Courses!$I$1:'Courses'!$I$20000,"&gt;=50",Courses!$I$1:'Courses'!$I$20000,"&lt;100",Courses!$L$1:'Courses'!$L$20000,0)</f>
        <v>0</v>
      </c>
      <c r="H44">
        <f>COUNTIFS(Courses!$B$1:'Courses'!$B$20000,"SocSci",Courses!$D$1:'Courses'!$D$20000,"&gt;=6000",Courses!$D$1:'Courses'!$D$20000,"&lt;7000",Courses!$E$1:'Courses'!$E$20000,2019,Courses!$I$1:'Courses'!$I$20000,"&gt;=100",Courses!$L$1:'Courses'!$L$20000,0)</f>
        <v>0</v>
      </c>
      <c r="I44">
        <f t="shared" si="3"/>
        <v>41</v>
      </c>
      <c r="J44" s="3">
        <f t="shared" si="5"/>
        <v>82.9</v>
      </c>
      <c r="K44" s="3">
        <f t="shared" si="4"/>
        <v>0</v>
      </c>
    </row>
    <row r="45" spans="1:11" x14ac:dyDescent="0.2">
      <c r="A45" t="s">
        <v>2140</v>
      </c>
      <c r="B45">
        <f>COUNTIFS(Courses!$B$1:'Courses'!$B$20000,"SocSci",Courses!$D$1:'Courses'!$D$20000,"&gt;=8000",Courses!$D$1:'Courses'!$D$20000,"&lt;9000",Courses!$E$1:'Courses'!$E$20000,2019,Courses!$I$1:'Courses'!$I$20000,"&gt;=2",Courses!$I$1:'Courses'!$I$20000,"&lt;10",Courses!$L$1:'Courses'!$L$20000,0)</f>
        <v>23</v>
      </c>
      <c r="C45">
        <f>COUNTIFS(Courses!$B$1:'Courses'!$B$20000,"SocSci",Courses!$D$1:'Courses'!$D$20000,"&gt;=8000",Courses!$D$1:'Courses'!$D$20000,"&lt;9000",Courses!$E$1:'Courses'!$E$20000,2019,Courses!$I$1:'Courses'!$I$20000,"&gt;=10",Courses!$I$1:'Courses'!$I$20000,"&lt;20",Courses!$L$1:'Courses'!$L$20000,0)</f>
        <v>19</v>
      </c>
      <c r="D45">
        <f>COUNTIFS(Courses!$B$1:'Courses'!$B$20000,"SocSci",Courses!$D$1:'Courses'!$D$20000,"&gt;=8000",Courses!$D$1:'Courses'!$D$20000,"&lt;9000",Courses!$E$1:'Courses'!$E$20000,2019,Courses!$I$1:'Courses'!$I$20000,"&gt;=20",Courses!$I$1:'Courses'!$I$20000,"&lt;30",Courses!$L$1:'Courses'!$L$20000,0)</f>
        <v>3</v>
      </c>
      <c r="E45">
        <f>COUNTIFS(Courses!$B$1:'Courses'!$B$20000,"SocSci",Courses!$D$1:'Courses'!$D$20000,"&gt;=8000",Courses!$D$1:'Courses'!$D$20000,"&lt;9000",Courses!$E$1:'Courses'!$E$20000,2019,Courses!$I$1:'Courses'!$I$20000,"&gt;=30",Courses!$I$1:'Courses'!$I$20000,"&lt;40",Courses!$L$1:'Courses'!$L$20000,0)</f>
        <v>0</v>
      </c>
      <c r="F45">
        <f>COUNTIFS(Courses!$B$1:'Courses'!$B$20000,"SocSci",Courses!$D$1:'Courses'!$D$20000,"&gt;=8000",Courses!$D$1:'Courses'!$D$20000,"&lt;9000",Courses!$E$1:'Courses'!$E$20000,2019,Courses!$I$1:'Courses'!$I$20000,"&gt;=40",Courses!$I$1:'Courses'!$I$20000,"&lt;50",Courses!$L$1:'Courses'!$L$20000,0)</f>
        <v>0</v>
      </c>
      <c r="G45">
        <f>COUNTIFS(Courses!$B$1:'Courses'!$B$20000,"SocSci",Courses!$D$1:'Courses'!$D$20000,"&gt;=8000",Courses!$D$1:'Courses'!$D$20000,"&lt;9000",Courses!$E$1:'Courses'!$E$20000,2019,Courses!$I$1:'Courses'!$I$20000,"&gt;=50",Courses!$I$1:'Courses'!$I$20000,"&lt;100",Courses!$L$1:'Courses'!$L$20000,0)</f>
        <v>0</v>
      </c>
      <c r="H45">
        <f>COUNTIFS(Courses!$B$1:'Courses'!$B$20000,"SocSci",Courses!$D$1:'Courses'!$D$20000,"&gt;=8000",Courses!$D$1:'Courses'!$D$20000,"&lt;9000",Courses!$E$1:'Courses'!$E$20000,2019,Courses!$I$1:'Courses'!$I$20000,"&gt;=100",Courses!$L$1:'Courses'!$L$20000,0)</f>
        <v>0</v>
      </c>
      <c r="I45">
        <f t="shared" si="3"/>
        <v>45</v>
      </c>
      <c r="J45" s="3">
        <f t="shared" si="5"/>
        <v>93.3</v>
      </c>
      <c r="K45" s="3">
        <f t="shared" si="4"/>
        <v>0</v>
      </c>
    </row>
    <row r="46" spans="1:11" x14ac:dyDescent="0.2">
      <c r="A46" t="s">
        <v>2141</v>
      </c>
      <c r="B46">
        <f>COUNTIFS(Courses!$B$1:'Courses'!$B$20000,"SocSci",Courses!$D$1:'Courses'!$D$20000,"&gt;=1000",Courses!$D$1:'Courses'!$D$20000,"&lt;9000",Courses!$E$1:'Courses'!$E$20000,2019,Courses!$I$1:'Courses'!$I$20000,"&gt;=2",Courses!$I$1:'Courses'!$I$20000,"&lt;10",Courses!$L$1:'Courses'!$L$20000,0)</f>
        <v>101</v>
      </c>
      <c r="C46">
        <f>COUNTIFS(Courses!$B$1:'Courses'!$B$20000,"SocSci",Courses!$D$1:'Courses'!$D$20000,"&gt;=1000",Courses!$D$1:'Courses'!$D$20000,"&lt;9000",Courses!$E$1:'Courses'!$E$20000,2019,Courses!$I$1:'Courses'!$I$20000,"&gt;=10",Courses!$I$1:'Courses'!$I$20000,"&lt;20",Courses!$L$1:'Courses'!$L$20000,0)</f>
        <v>159</v>
      </c>
      <c r="D46">
        <f>COUNTIFS(Courses!$B$1:'Courses'!$B$20000,"SocSci",Courses!$D$1:'Courses'!$D$20000,"&gt;=1000",Courses!$D$1:'Courses'!$D$20000,"&lt;9000",Courses!$E$1:'Courses'!$E$20000,2019,Courses!$I$1:'Courses'!$I$20000,"&gt;=20",Courses!$I$1:'Courses'!$I$20000,"&lt;30",Courses!$L$1:'Courses'!$L$20000,0)</f>
        <v>51</v>
      </c>
      <c r="E46">
        <f>COUNTIFS(Courses!$B$1:'Courses'!$B$20000,"SocSci",Courses!$D$1:'Courses'!$D$20000,"&gt;=1000",Courses!$D$1:'Courses'!$D$20000,"&lt;9000",Courses!$E$1:'Courses'!$E$20000,2019,Courses!$I$1:'Courses'!$I$20000,"&gt;=30",Courses!$I$1:'Courses'!$I$20000,"&lt;40",Courses!$L$1:'Courses'!$L$20000,0)</f>
        <v>14</v>
      </c>
      <c r="F46">
        <f>COUNTIFS(Courses!$B$1:'Courses'!$B$20000,"SocSci",Courses!$D$1:'Courses'!$D$20000,"&gt;=1000",Courses!$D$1:'Courses'!$D$20000,"&lt;9000",Courses!$E$1:'Courses'!$E$20000,2019,Courses!$I$1:'Courses'!$I$20000,"&gt;=40",Courses!$I$1:'Courses'!$I$20000,"&lt;50",Courses!$L$1:'Courses'!$L$20000,0)</f>
        <v>16</v>
      </c>
      <c r="G46">
        <f>COUNTIFS(Courses!$B$1:'Courses'!$B$20000,"SocSci",Courses!$D$1:'Courses'!$D$20000,"&gt;=1000",Courses!$D$1:'Courses'!$D$20000,"&lt;9000",Courses!$E$1:'Courses'!$E$20000,2019,Courses!$I$1:'Courses'!$I$20000,"&gt;=50",Courses!$I$1:'Courses'!$I$20000,"&lt;100",Courses!$L$1:'Courses'!$L$20000,0)</f>
        <v>45</v>
      </c>
      <c r="H46">
        <f>COUNTIFS(Courses!$B$1:'Courses'!$B$20000,"SocSci",Courses!$D$1:'Courses'!$D$20000,"&gt;=1000",Courses!$D$1:'Courses'!$D$20000,"&lt;9000",Courses!$E$1:'Courses'!$E$20000,2019,Courses!$I$1:'Courses'!$I$20000,"&gt;=100",Courses!$L$1:'Courses'!$L$20000,0)</f>
        <v>20</v>
      </c>
      <c r="I46">
        <f t="shared" si="3"/>
        <v>406</v>
      </c>
      <c r="J46" s="3">
        <f t="shared" si="5"/>
        <v>64</v>
      </c>
      <c r="K46" s="3">
        <f t="shared" si="4"/>
        <v>16.009852216748769</v>
      </c>
    </row>
    <row r="47" spans="1:11" x14ac:dyDescent="0.2">
      <c r="A47" t="s">
        <v>2142</v>
      </c>
      <c r="B47">
        <f t="shared" ref="B47:H47" si="6">B$2+B$10+B$15+B$22+B$30+B$38+B$39</f>
        <v>117</v>
      </c>
      <c r="C47">
        <f t="shared" si="6"/>
        <v>292</v>
      </c>
      <c r="D47">
        <f t="shared" si="6"/>
        <v>205</v>
      </c>
      <c r="E47">
        <f t="shared" si="6"/>
        <v>13</v>
      </c>
      <c r="F47">
        <f t="shared" si="6"/>
        <v>12</v>
      </c>
      <c r="G47">
        <f t="shared" si="6"/>
        <v>45</v>
      </c>
      <c r="H47">
        <f t="shared" si="6"/>
        <v>28</v>
      </c>
      <c r="I47">
        <f t="shared" si="3"/>
        <v>712</v>
      </c>
      <c r="J47" s="3">
        <f t="shared" si="5"/>
        <v>57.4</v>
      </c>
      <c r="K47" s="3">
        <f t="shared" si="4"/>
        <v>10.252808988764045</v>
      </c>
    </row>
    <row r="48" spans="1:11" x14ac:dyDescent="0.2">
      <c r="A48" t="s">
        <v>2143</v>
      </c>
      <c r="B48">
        <f t="shared" ref="B48:H48" si="7">B$3+B$11+B$16+B$23+B$31+B$40</f>
        <v>80</v>
      </c>
      <c r="C48">
        <f t="shared" si="7"/>
        <v>95</v>
      </c>
      <c r="D48">
        <f t="shared" si="7"/>
        <v>12</v>
      </c>
      <c r="E48">
        <f t="shared" si="7"/>
        <v>13</v>
      </c>
      <c r="F48">
        <f t="shared" si="7"/>
        <v>9</v>
      </c>
      <c r="G48">
        <f t="shared" si="7"/>
        <v>27</v>
      </c>
      <c r="H48">
        <f t="shared" si="7"/>
        <v>13</v>
      </c>
      <c r="I48">
        <f t="shared" si="3"/>
        <v>249</v>
      </c>
      <c r="J48" s="3">
        <f t="shared" si="5"/>
        <v>70.3</v>
      </c>
      <c r="K48" s="3">
        <f t="shared" si="4"/>
        <v>16.064257028112451</v>
      </c>
    </row>
    <row r="49" spans="1:11" x14ac:dyDescent="0.2">
      <c r="A49" t="s">
        <v>2144</v>
      </c>
      <c r="B49">
        <f t="shared" ref="B49:H49" si="8">B$4+B$17+B$24+B$32+B$41</f>
        <v>143</v>
      </c>
      <c r="C49">
        <f t="shared" si="8"/>
        <v>197</v>
      </c>
      <c r="D49">
        <f t="shared" si="8"/>
        <v>55</v>
      </c>
      <c r="E49">
        <f t="shared" si="8"/>
        <v>18</v>
      </c>
      <c r="F49">
        <f t="shared" si="8"/>
        <v>15</v>
      </c>
      <c r="G49">
        <f t="shared" si="8"/>
        <v>38</v>
      </c>
      <c r="H49">
        <f t="shared" si="8"/>
        <v>13</v>
      </c>
      <c r="I49">
        <f t="shared" si="3"/>
        <v>479</v>
      </c>
      <c r="J49" s="3">
        <f t="shared" si="5"/>
        <v>71</v>
      </c>
      <c r="K49" s="3">
        <f t="shared" si="4"/>
        <v>10.647181628392484</v>
      </c>
    </row>
    <row r="50" spans="1:11" x14ac:dyDescent="0.2">
      <c r="A50" t="s">
        <v>2145</v>
      </c>
      <c r="B50">
        <f t="shared" ref="B50:H50" si="9">B$5+B$18+B$25+B$33+B$42</f>
        <v>179</v>
      </c>
      <c r="C50">
        <f t="shared" si="9"/>
        <v>161</v>
      </c>
      <c r="D50">
        <f t="shared" si="9"/>
        <v>81</v>
      </c>
      <c r="E50">
        <f t="shared" si="9"/>
        <v>43</v>
      </c>
      <c r="F50">
        <f t="shared" si="9"/>
        <v>32</v>
      </c>
      <c r="G50">
        <f t="shared" si="9"/>
        <v>54</v>
      </c>
      <c r="H50">
        <f t="shared" si="9"/>
        <v>25</v>
      </c>
      <c r="I50">
        <f t="shared" si="3"/>
        <v>575</v>
      </c>
      <c r="J50" s="3">
        <f t="shared" si="5"/>
        <v>59.1</v>
      </c>
      <c r="K50" s="3">
        <f t="shared" si="4"/>
        <v>13.739130434782609</v>
      </c>
    </row>
    <row r="51" spans="1:11" x14ac:dyDescent="0.2">
      <c r="A51" t="s">
        <v>2146</v>
      </c>
      <c r="B51">
        <f t="shared" ref="B51:H51" si="10">B$47+B$48+B$49+B$50</f>
        <v>519</v>
      </c>
      <c r="C51">
        <f t="shared" si="10"/>
        <v>745</v>
      </c>
      <c r="D51">
        <f t="shared" si="10"/>
        <v>353</v>
      </c>
      <c r="E51">
        <f t="shared" si="10"/>
        <v>87</v>
      </c>
      <c r="F51">
        <f t="shared" si="10"/>
        <v>68</v>
      </c>
      <c r="G51">
        <f t="shared" si="10"/>
        <v>164</v>
      </c>
      <c r="H51">
        <f t="shared" si="10"/>
        <v>79</v>
      </c>
      <c r="I51">
        <f t="shared" si="3"/>
        <v>2015</v>
      </c>
      <c r="J51" s="3">
        <f t="shared" si="5"/>
        <v>62.7</v>
      </c>
      <c r="K51" s="3">
        <f t="shared" si="4"/>
        <v>12.05955334987593</v>
      </c>
    </row>
    <row r="52" spans="1:11" x14ac:dyDescent="0.2">
      <c r="A52" t="s">
        <v>2147</v>
      </c>
      <c r="B52">
        <f t="shared" ref="B52:H52" si="11">B$6+B$26+B$34+B$43</f>
        <v>36</v>
      </c>
      <c r="C52">
        <f t="shared" si="11"/>
        <v>40</v>
      </c>
      <c r="D52">
        <f t="shared" si="11"/>
        <v>6</v>
      </c>
      <c r="E52">
        <f t="shared" si="11"/>
        <v>2</v>
      </c>
      <c r="F52">
        <f t="shared" si="11"/>
        <v>7</v>
      </c>
      <c r="G52">
        <f t="shared" si="11"/>
        <v>12</v>
      </c>
      <c r="H52">
        <f t="shared" si="11"/>
        <v>3</v>
      </c>
      <c r="I52">
        <f t="shared" si="3"/>
        <v>106</v>
      </c>
      <c r="J52" s="3">
        <f t="shared" si="5"/>
        <v>71.7</v>
      </c>
      <c r="K52" s="3">
        <f t="shared" si="4"/>
        <v>14.150943396226415</v>
      </c>
    </row>
    <row r="53" spans="1:11" x14ac:dyDescent="0.2">
      <c r="A53" t="s">
        <v>2148</v>
      </c>
      <c r="B53">
        <f t="shared" ref="B53:H53" si="12">B$7+B$12+B$19+B$27+B$35+B$44</f>
        <v>114</v>
      </c>
      <c r="C53">
        <f t="shared" si="12"/>
        <v>130</v>
      </c>
      <c r="D53">
        <f t="shared" si="12"/>
        <v>30</v>
      </c>
      <c r="E53">
        <f t="shared" si="12"/>
        <v>13</v>
      </c>
      <c r="F53">
        <f t="shared" si="12"/>
        <v>2</v>
      </c>
      <c r="G53">
        <f t="shared" si="12"/>
        <v>2</v>
      </c>
      <c r="H53">
        <f t="shared" si="12"/>
        <v>4</v>
      </c>
      <c r="I53">
        <f t="shared" si="3"/>
        <v>295</v>
      </c>
      <c r="J53" s="3">
        <f t="shared" si="5"/>
        <v>82.7</v>
      </c>
      <c r="K53" s="3">
        <f t="shared" si="4"/>
        <v>2.0338983050847457</v>
      </c>
    </row>
    <row r="54" spans="1:11" x14ac:dyDescent="0.2">
      <c r="A54" t="s">
        <v>2149</v>
      </c>
      <c r="B54">
        <f t="shared" ref="B54:H54" si="13">B$8+B$13+B$20+B$28+B$36+B$45</f>
        <v>83</v>
      </c>
      <c r="C54">
        <f t="shared" si="13"/>
        <v>49</v>
      </c>
      <c r="D54">
        <f t="shared" si="13"/>
        <v>4</v>
      </c>
      <c r="E54">
        <f t="shared" si="13"/>
        <v>1</v>
      </c>
      <c r="F54">
        <f t="shared" si="13"/>
        <v>1</v>
      </c>
      <c r="G54">
        <f t="shared" si="13"/>
        <v>0</v>
      </c>
      <c r="H54">
        <f t="shared" si="13"/>
        <v>0</v>
      </c>
      <c r="I54">
        <f t="shared" si="3"/>
        <v>138</v>
      </c>
      <c r="J54" s="3">
        <f t="shared" si="5"/>
        <v>95.7</v>
      </c>
      <c r="K54" s="3">
        <f t="shared" si="4"/>
        <v>0</v>
      </c>
    </row>
    <row r="55" spans="1:11" x14ac:dyDescent="0.2">
      <c r="A55" t="s">
        <v>2150</v>
      </c>
      <c r="B55">
        <f t="shared" ref="B55:H55" si="14">B$52+B$53+B$54</f>
        <v>233</v>
      </c>
      <c r="C55">
        <f t="shared" si="14"/>
        <v>219</v>
      </c>
      <c r="D55">
        <f t="shared" si="14"/>
        <v>40</v>
      </c>
      <c r="E55">
        <f t="shared" si="14"/>
        <v>16</v>
      </c>
      <c r="F55">
        <f t="shared" si="14"/>
        <v>10</v>
      </c>
      <c r="G55">
        <f t="shared" si="14"/>
        <v>14</v>
      </c>
      <c r="H55">
        <f t="shared" si="14"/>
        <v>7</v>
      </c>
      <c r="I55">
        <f t="shared" si="3"/>
        <v>539</v>
      </c>
      <c r="J55" s="3">
        <f t="shared" si="5"/>
        <v>83.9</v>
      </c>
      <c r="K55" s="3">
        <f t="shared" si="4"/>
        <v>3.8961038961038961</v>
      </c>
    </row>
    <row r="56" spans="1:11" x14ac:dyDescent="0.2">
      <c r="A56" t="s">
        <v>2151</v>
      </c>
      <c r="B56">
        <f t="shared" ref="B56:H56" si="15">B$51+B$55</f>
        <v>752</v>
      </c>
      <c r="C56">
        <f t="shared" si="15"/>
        <v>964</v>
      </c>
      <c r="D56">
        <f t="shared" si="15"/>
        <v>393</v>
      </c>
      <c r="E56">
        <f t="shared" si="15"/>
        <v>103</v>
      </c>
      <c r="F56">
        <f t="shared" si="15"/>
        <v>78</v>
      </c>
      <c r="G56">
        <f t="shared" si="15"/>
        <v>178</v>
      </c>
      <c r="H56">
        <f t="shared" si="15"/>
        <v>86</v>
      </c>
      <c r="I56">
        <f t="shared" si="3"/>
        <v>2554</v>
      </c>
      <c r="J56" s="3">
        <f t="shared" si="5"/>
        <v>67.2</v>
      </c>
      <c r="K56" s="3">
        <f t="shared" si="4"/>
        <v>10.336726703210649</v>
      </c>
    </row>
  </sheetData>
  <pageMargins left="0.7" right="0.7" top="0.75" bottom="0.75" header="0.3" footer="0.3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62D30-CFDE-3F4A-BF72-BC6E9132B649}">
  <dimension ref="A1:K56"/>
  <sheetViews>
    <sheetView workbookViewId="0">
      <pane ySplit="1" topLeftCell="A2" activePane="bottomLeft" state="frozen"/>
      <selection pane="bottomLeft" activeCell="I21" sqref="I21"/>
    </sheetView>
  </sheetViews>
  <sheetFormatPr baseColWidth="10" defaultRowHeight="16" x14ac:dyDescent="0.2"/>
  <sheetData>
    <row r="1" spans="1:11" x14ac:dyDescent="0.2">
      <c r="A1" t="s">
        <v>2096</v>
      </c>
      <c r="B1" s="2" t="s">
        <v>2152</v>
      </c>
      <c r="C1" s="2" t="s">
        <v>2153</v>
      </c>
      <c r="D1" s="2" t="s">
        <v>2154</v>
      </c>
      <c r="E1" s="2" t="s">
        <v>2155</v>
      </c>
      <c r="F1" s="2" t="s">
        <v>2156</v>
      </c>
      <c r="G1" s="2" t="s">
        <v>2157</v>
      </c>
      <c r="H1" s="2" t="s">
        <v>2158</v>
      </c>
      <c r="I1" t="s">
        <v>2159</v>
      </c>
      <c r="J1" s="3" t="s">
        <v>2160</v>
      </c>
      <c r="K1" s="3" t="s">
        <v>2161</v>
      </c>
    </row>
    <row r="2" spans="1:11" x14ac:dyDescent="0.2">
      <c r="A2" t="s">
        <v>2097</v>
      </c>
      <c r="B2">
        <f>COUNTIFS(Courses!$B$1:'Courses'!$B$20000,"Arts",Courses!$D$1:'Courses'!$D$20000,"&gt;=1000",Courses!$D$1:'Courses'!$D$20000,"&lt;2000",Courses!$E$1:'Courses'!$E$20000,2020,Courses!$I$1:'Courses'!$I$20000,"&gt;=2",Courses!$I$1:'Courses'!$I$20000,"&lt;10",Courses!$L$1:'Courses'!$L$20000,0)</f>
        <v>2</v>
      </c>
      <c r="C2">
        <f>COUNTIFS(Courses!$B$1:'Courses'!$B$20000,"Arts",Courses!$D$1:'Courses'!$D$20000,"&gt;=1000",Courses!$D$1:'Courses'!$D$20000,"&lt;2000",Courses!$E$1:'Courses'!$E$20000,2020,Courses!$I$1:'Courses'!$I$20000,"&gt;=10",Courses!$I$1:'Courses'!$I$20000,"&lt;20",Courses!$L$1:'Courses'!$L$20000,0)</f>
        <v>8</v>
      </c>
      <c r="D2">
        <f>COUNTIFS(Courses!$B$1:'Courses'!$B$20000,"Arts",Courses!$D$1:'Courses'!$D$20000,"&gt;=1000",Courses!$D$1:'Courses'!$D$20000,"&lt;2000",Courses!$E$1:'Courses'!$E$20000,2020,Courses!$I$1:'Courses'!$I$20000,"&gt;=20",Courses!$I$1:'Courses'!$I$20000,"&lt;30",Courses!$L$1:'Courses'!$L$20000,0)</f>
        <v>0</v>
      </c>
      <c r="E2">
        <f>COUNTIFS(Courses!$B$1:'Courses'!$B$20000,"Arts",Courses!$D$1:'Courses'!$D$20000,"&gt;=1000",Courses!$D$1:'Courses'!$D$20000,"&lt;2000",Courses!$E$1:'Courses'!$E$20000,2020,Courses!$I$1:'Courses'!$I$20000,"&gt;=30",Courses!$I$1:'Courses'!$I$20000,"&lt;40",Courses!$L$1:'Courses'!$L$20000,0)</f>
        <v>0</v>
      </c>
      <c r="F2">
        <f>COUNTIFS(Courses!$B$1:'Courses'!$B$20000,"Arts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2">
        <f>COUNTIFS(Courses!$B$1:'Courses'!$B$20000,"Arts",Courses!$D$1:'Courses'!$D$20000,"&gt;=1000",Courses!$D$1:'Courses'!$D$20000,"&lt;2000",Courses!$E$1:'Courses'!$E$20000,2020,Courses!$I$1:'Courses'!$I$20000,"&gt;=50",Courses!$I$1:'Courses'!$I$20000,"&lt;100",Courses!$L$1:'Courses'!$L$20000,0)</f>
        <v>1</v>
      </c>
      <c r="H2">
        <f>COUNTIFS(Courses!$B$1:'Courses'!$B$20000,"Arts",Courses!$D$1:'Courses'!$D$20000,"&gt;=1000",Courses!$D$1:'Courses'!$D$20000,"&lt;2000",Courses!$E$1:'Courses'!$E$20000,2020,Courses!$I$1:'Courses'!$I$20000,"&gt;=100",Courses!$L$1:'Courses'!$L$20000,0)</f>
        <v>0</v>
      </c>
      <c r="I2">
        <f>$B2+$C2+$D2+$E2+$F2+$G2+$H2</f>
        <v>11</v>
      </c>
      <c r="J2" s="3">
        <f>100*($B2+$C2)/$I2</f>
        <v>90.909090909090907</v>
      </c>
      <c r="K2" s="3">
        <f>100*($G2+$H2)/$I2</f>
        <v>9.0909090909090917</v>
      </c>
    </row>
    <row r="3" spans="1:11" x14ac:dyDescent="0.2">
      <c r="A3" t="s">
        <v>2098</v>
      </c>
      <c r="B3">
        <f>COUNTIFS(Courses!$B$1:'Courses'!$B$20000,"Arts",Courses!$D$1:'Courses'!$D$20000,"&gt;=2000",Courses!$D$1:'Courses'!$D$20000,"&lt;3000",Courses!$E$1:'Courses'!$E$20000,2020,Courses!$I$1:'Courses'!$I$20000,"&gt;=2",Courses!$I$1:'Courses'!$I$20000,"&lt;10",Courses!$L$1:'Courses'!$L$20000,0)</f>
        <v>8</v>
      </c>
      <c r="C3">
        <f>COUNTIFS(Courses!$B$1:'Courses'!$B$20000,"Arts",Courses!$D$1:'Courses'!$D$20000,"&gt;=2000",Courses!$D$1:'Courses'!$D$20000,"&lt;3000",Courses!$E$1:'Courses'!$E$20000,2020,Courses!$I$1:'Courses'!$I$20000,"&gt;=10",Courses!$I$1:'Courses'!$I$20000,"&lt;20",Courses!$L$1:'Courses'!$L$20000,0)</f>
        <v>10</v>
      </c>
      <c r="D3">
        <f>COUNTIFS(Courses!$B$1:'Courses'!$B$20000,"Arts",Courses!$D$1:'Courses'!$D$20000,"&gt;=2000",Courses!$D$1:'Courses'!$D$20000,"&lt;3000",Courses!$E$1:'Courses'!$E$20000,2020,Courses!$I$1:'Courses'!$I$20000,"&gt;=20",Courses!$I$1:'Courses'!$I$20000,"&lt;30",Courses!$L$1:'Courses'!$L$20000,0)</f>
        <v>0</v>
      </c>
      <c r="E3">
        <f>COUNTIFS(Courses!$B$1:'Courses'!$B$20000,"Arts",Courses!$D$1:'Courses'!$D$20000,"&gt;=2000",Courses!$D$1:'Courses'!$D$20000,"&lt;3000",Courses!$E$1:'Courses'!$E$20000,2020,Courses!$I$1:'Courses'!$I$20000,"&gt;=30",Courses!$I$1:'Courses'!$I$20000,"&lt;40",Courses!$L$1:'Courses'!$L$20000,0)</f>
        <v>0</v>
      </c>
      <c r="F3">
        <f>COUNTIFS(Courses!$B$1:'Courses'!$B$20000,"Arts",Courses!$D$1:'Courses'!$D$20000,"&gt;=2000",Courses!$D$1:'Courses'!$D$20000,"&lt;3000",Courses!$E$1:'Courses'!$E$20000,2020,Courses!$I$1:'Courses'!$I$20000,"&gt;=40",Courses!$I$1:'Courses'!$I$20000,"&lt;50",Courses!$L$1:'Courses'!$L$20000,0)</f>
        <v>1</v>
      </c>
      <c r="G3">
        <f>COUNTIFS(Courses!$B$1:'Courses'!$B$20000,"Arts",Courses!$D$1:'Courses'!$D$20000,"&gt;=2000",Courses!$D$1:'Courses'!$D$20000,"&lt;3000",Courses!$E$1:'Courses'!$E$20000,2020,Courses!$I$1:'Courses'!$I$20000,"&gt;=50",Courses!$I$1:'Courses'!$I$20000,"&lt;100",Courses!$L$1:'Courses'!$L$20000,0)</f>
        <v>2</v>
      </c>
      <c r="H3">
        <f>COUNTIFS(Courses!$B$1:'Courses'!$B$20000,"Arts",Courses!$D$1:'Courses'!$D$20000,"&gt;=2000",Courses!$D$1:'Courses'!$D$20000,"&lt;3000",Courses!$E$1:'Courses'!$E$20000,2020,Courses!$I$1:'Courses'!$I$20000,"&gt;=100",Courses!$L$1:'Courses'!$L$20000,0)</f>
        <v>0</v>
      </c>
      <c r="I3">
        <f t="shared" ref="I3:I56" si="0">$B3+$C3+$D3+$E3+$F3+$G3+$H3</f>
        <v>21</v>
      </c>
      <c r="J3" s="3">
        <f t="shared" ref="J3:J56" si="1">ROUND(100*($B3+$C3)/$I3,1)</f>
        <v>85.7</v>
      </c>
      <c r="K3" s="3">
        <f t="shared" ref="K3:K56" si="2">100*($G3+$H3)/$I3</f>
        <v>9.5238095238095237</v>
      </c>
    </row>
    <row r="4" spans="1:11" x14ac:dyDescent="0.2">
      <c r="A4" t="s">
        <v>2099</v>
      </c>
      <c r="B4">
        <f>COUNTIFS(Courses!$B$1:'Courses'!$B$20000,"Arts",Courses!$D$1:'Courses'!$D$20000,"&gt;=3000",Courses!$D$1:'Courses'!$D$20000,"&lt;4000",Courses!$E$1:'Courses'!$E$20000,2020,Courses!$I$1:'Courses'!$I$20000,"&gt;=2",Courses!$I$1:'Courses'!$I$20000,"&lt;10",Courses!$L$1:'Courses'!$L$20000,0)</f>
        <v>19</v>
      </c>
      <c r="C4">
        <f>COUNTIFS(Courses!$B$1:'Courses'!$B$20000,"Arts",Courses!$D$1:'Courses'!$D$20000,"&gt;=3000",Courses!$D$1:'Courses'!$D$20000,"&lt;4000",Courses!$E$1:'Courses'!$E$20000,2020,Courses!$I$1:'Courses'!$I$20000,"&gt;=10",Courses!$I$1:'Courses'!$I$20000,"&lt;20",Courses!$L$1:'Courses'!$L$20000,0)</f>
        <v>17</v>
      </c>
      <c r="D4">
        <f>COUNTIFS(Courses!$B$1:'Courses'!$B$20000,"Arts",Courses!$D$1:'Courses'!$D$20000,"&gt;=3000",Courses!$D$1:'Courses'!$D$20000,"&lt;4000",Courses!$E$1:'Courses'!$E$20000,2020,Courses!$I$1:'Courses'!$I$20000,"&gt;=20",Courses!$I$1:'Courses'!$I$20000,"&lt;30",Courses!$L$1:'Courses'!$L$20000,0)</f>
        <v>2</v>
      </c>
      <c r="E4">
        <f>COUNTIFS(Courses!$B$1:'Courses'!$B$20000,"Arts",Courses!$D$1:'Courses'!$D$20000,"&gt;=3000",Courses!$D$1:'Courses'!$D$20000,"&lt;4000",Courses!$E$1:'Courses'!$E$20000,2020,Courses!$I$1:'Courses'!$I$20000,"&gt;=30",Courses!$I$1:'Courses'!$I$20000,"&lt;40",Courses!$L$1:'Courses'!$L$20000,0)</f>
        <v>0</v>
      </c>
      <c r="F4">
        <f>COUNTIFS(Courses!$B$1:'Courses'!$B$20000,"Arts",Courses!$D$1:'Courses'!$D$20000,"&gt;=3000",Courses!$D$1:'Courses'!$D$20000,"&lt;4000",Courses!$E$1:'Courses'!$E$20000,2020,Courses!$I$1:'Courses'!$I$20000,"&gt;=40",Courses!$I$1:'Courses'!$I$20000,"&lt;50",Courses!$L$1:'Courses'!$L$20000,0)</f>
        <v>1</v>
      </c>
      <c r="G4">
        <f>COUNTIFS(Courses!$B$1:'Courses'!$B$20000,"Arts",Courses!$D$1:'Courses'!$D$20000,"&gt;=3000",Courses!$D$1:'Courses'!$D$20000,"&lt;4000",Courses!$E$1:'Courses'!$E$20000,2020,Courses!$I$1:'Courses'!$I$20000,"&gt;=50",Courses!$I$1:'Courses'!$I$20000,"&lt;100",Courses!$L$1:'Courses'!$L$20000,0)</f>
        <v>0</v>
      </c>
      <c r="H4">
        <f>COUNTIFS(Courses!$B$1:'Courses'!$B$20000,"Arts",Courses!$D$1:'Courses'!$D$20000,"&gt;=3000",Courses!$D$1:'Courses'!$D$20000,"&lt;4000",Courses!$E$1:'Courses'!$E$20000,2020,Courses!$I$1:'Courses'!$I$20000,"&gt;=100",Courses!$L$1:'Courses'!$L$20000,0)</f>
        <v>0</v>
      </c>
      <c r="I4">
        <f t="shared" si="0"/>
        <v>39</v>
      </c>
      <c r="J4" s="3">
        <f t="shared" si="1"/>
        <v>92.3</v>
      </c>
      <c r="K4" s="3">
        <f t="shared" si="2"/>
        <v>0</v>
      </c>
    </row>
    <row r="5" spans="1:11" x14ac:dyDescent="0.2">
      <c r="A5" t="s">
        <v>2100</v>
      </c>
      <c r="B5">
        <f>COUNTIFS(Courses!$B$1:'Courses'!$B$20000,"Arts",Courses!$D$1:'Courses'!$D$20000,"&gt;=4000",Courses!$D$1:'Courses'!$D$20000,"&lt;5000",Courses!$E$1:'Courses'!$E$20000,2020,Courses!$I$1:'Courses'!$I$20000,"&gt;=2",Courses!$I$1:'Courses'!$I$20000,"&lt;10",Courses!$L$1:'Courses'!$L$20000,0)</f>
        <v>1</v>
      </c>
      <c r="C5">
        <f>COUNTIFS(Courses!$B$1:'Courses'!$B$20000,"Arts",Courses!$D$1:'Courses'!$D$20000,"&gt;=4000",Courses!$D$1:'Courses'!$D$20000,"&lt;5000",Courses!$E$1:'Courses'!$E$20000,2020,Courses!$I$1:'Courses'!$I$20000,"&gt;=10",Courses!$I$1:'Courses'!$I$20000,"&lt;20",Courses!$L$1:'Courses'!$L$20000,0)</f>
        <v>3</v>
      </c>
      <c r="D5">
        <f>COUNTIFS(Courses!$B$1:'Courses'!$B$20000,"Arts",Courses!$D$1:'Courses'!$D$20000,"&gt;=4000",Courses!$D$1:'Courses'!$D$20000,"&lt;5000",Courses!$E$1:'Courses'!$E$20000,2020,Courses!$I$1:'Courses'!$I$20000,"&gt;=20",Courses!$I$1:'Courses'!$I$20000,"&lt;30",Courses!$L$1:'Courses'!$L$20000,0)</f>
        <v>0</v>
      </c>
      <c r="E5">
        <f>COUNTIFS(Courses!$B$1:'Courses'!$B$20000,"Arts",Courses!$D$1:'Courses'!$D$20000,"&gt;=4000",Courses!$D$1:'Courses'!$D$20000,"&lt;5000",Courses!$E$1:'Courses'!$E$20000,2020,Courses!$I$1:'Courses'!$I$20000,"&gt;=30",Courses!$I$1:'Courses'!$I$20000,"&lt;40",Courses!$L$1:'Courses'!$L$20000,0)</f>
        <v>0</v>
      </c>
      <c r="F5">
        <f>COUNTIFS(Courses!$B$1:'Courses'!$B$20000,"Arts",Courses!$D$1:'Courses'!$D$20000,"&gt;=4000",Courses!$D$1:'Courses'!$D$20000,"&lt;5000",Courses!$E$1:'Courses'!$E$20000,2020,Courses!$I$1:'Courses'!$I$20000,"&gt;=40",Courses!$I$1:'Courses'!$I$20000,"&lt;50",Courses!$L$1:'Courses'!$L$20000,0)</f>
        <v>0</v>
      </c>
      <c r="G5">
        <f>COUNTIFS(Courses!$B$1:'Courses'!$B$20000,"Arts",Courses!$D$1:'Courses'!$D$20000,"&gt;=4000",Courses!$D$1:'Courses'!$D$20000,"&lt;5000",Courses!$E$1:'Courses'!$E$20000,2020,Courses!$I$1:'Courses'!$I$20000,"&gt;=50",Courses!$I$1:'Courses'!$I$20000,"&lt;100",Courses!$L$1:'Courses'!$L$20000,0)</f>
        <v>1</v>
      </c>
      <c r="H5">
        <f>COUNTIFS(Courses!$B$1:'Courses'!$B$20000,"Arts",Courses!$D$1:'Courses'!$D$20000,"&gt;=4000",Courses!$D$1:'Courses'!$D$20000,"&lt;5000",Courses!$E$1:'Courses'!$E$20000,2020,Courses!$I$1:'Courses'!$I$20000,"&gt;=100",Courses!$L$1:'Courses'!$L$20000,0)</f>
        <v>0</v>
      </c>
      <c r="I5">
        <f t="shared" si="0"/>
        <v>5</v>
      </c>
      <c r="J5" s="3">
        <f t="shared" si="1"/>
        <v>80</v>
      </c>
      <c r="K5" s="3">
        <f t="shared" si="2"/>
        <v>20</v>
      </c>
    </row>
    <row r="6" spans="1:11" x14ac:dyDescent="0.2">
      <c r="A6" t="s">
        <v>2101</v>
      </c>
      <c r="B6">
        <f>COUNTIFS(Courses!$B$1:'Courses'!$B$20000,"Arts",Courses!$D$1:'Courses'!$D$20000,"&gt;=5000",Courses!$D$1:'Courses'!$D$20000,"&lt;6000",Courses!$E$1:'Courses'!$E$20000,2020,Courses!$I$1:'Courses'!$I$20000,"&gt;=2",Courses!$I$1:'Courses'!$I$20000,"&lt;10",Courses!$L$1:'Courses'!$L$20000,0)</f>
        <v>11</v>
      </c>
      <c r="C6">
        <f>COUNTIFS(Courses!$B$1:'Courses'!$B$20000,"Arts",Courses!$D$1:'Courses'!$D$20000,"&gt;=5000",Courses!$D$1:'Courses'!$D$20000,"&lt;6000",Courses!$E$1:'Courses'!$E$20000,2020,Courses!$I$1:'Courses'!$I$20000,"&gt;=10",Courses!$I$1:'Courses'!$I$20000,"&lt;20",Courses!$L$1:'Courses'!$L$20000,0)</f>
        <v>31</v>
      </c>
      <c r="D6">
        <f>COUNTIFS(Courses!$B$1:'Courses'!$B$20000,"Arts",Courses!$D$1:'Courses'!$D$20000,"&gt;=5000",Courses!$D$1:'Courses'!$D$20000,"&lt;6000",Courses!$E$1:'Courses'!$E$20000,2020,Courses!$I$1:'Courses'!$I$20000,"&gt;=20",Courses!$I$1:'Courses'!$I$20000,"&lt;30",Courses!$L$1:'Courses'!$L$20000,0)</f>
        <v>0</v>
      </c>
      <c r="E6">
        <f>COUNTIFS(Courses!$B$1:'Courses'!$B$20000,"Arts",Courses!$D$1:'Courses'!$D$20000,"&gt;=5000",Courses!$D$1:'Courses'!$D$20000,"&lt;6000",Courses!$E$1:'Courses'!$E$20000,2020,Courses!$I$1:'Courses'!$I$20000,"&gt;=30",Courses!$I$1:'Courses'!$I$20000,"&lt;40",Courses!$L$1:'Courses'!$L$20000,0)</f>
        <v>0</v>
      </c>
      <c r="F6">
        <f>COUNTIFS(Courses!$B$1:'Courses'!$B$20000,"Arts",Courses!$D$1:'Courses'!$D$20000,"&gt;=5000",Courses!$D$1:'Courses'!$D$20000,"&lt;6000",Courses!$E$1:'Courses'!$E$20000,2020,Courses!$I$1:'Courses'!$I$20000,"&gt;=40",Courses!$I$1:'Courses'!$I$20000,"&lt;50",Courses!$L$1:'Courses'!$L$20000,0)</f>
        <v>0</v>
      </c>
      <c r="G6">
        <f>COUNTIFS(Courses!$B$1:'Courses'!$B$20000,"Arts",Courses!$D$1:'Courses'!$D$20000,"&gt;=5000",Courses!$D$1:'Courses'!$D$20000,"&lt;6000",Courses!$E$1:'Courses'!$E$20000,2020,Courses!$I$1:'Courses'!$I$20000,"&gt;=50",Courses!$I$1:'Courses'!$I$20000,"&lt;100",Courses!$L$1:'Courses'!$L$20000,0)</f>
        <v>0</v>
      </c>
      <c r="H6">
        <f>COUNTIFS(Courses!$B$1:'Courses'!$B$20000,"Arts",Courses!$D$1:'Courses'!$D$20000,"&gt;=5000",Courses!$D$1:'Courses'!$D$20000,"&lt;6000",Courses!$E$1:'Courses'!$E$20000,2020,Courses!$I$1:'Courses'!$I$20000,"&gt;=100",Courses!$L$1:'Courses'!$L$20000,0)</f>
        <v>0</v>
      </c>
      <c r="I6">
        <f t="shared" si="0"/>
        <v>42</v>
      </c>
      <c r="J6" s="3">
        <f t="shared" si="1"/>
        <v>100</v>
      </c>
      <c r="K6" s="3">
        <f t="shared" si="2"/>
        <v>0</v>
      </c>
    </row>
    <row r="7" spans="1:11" x14ac:dyDescent="0.2">
      <c r="A7" t="s">
        <v>2102</v>
      </c>
      <c r="B7">
        <f>COUNTIFS(Courses!$B$1:'Courses'!$B$20000,"Arts",Courses!$D$1:'Courses'!$D$20000,"&gt;=6000",Courses!$D$1:'Courses'!$D$20000,"&lt;7000",Courses!$E$1:'Courses'!$E$20000,2020,Courses!$I$1:'Courses'!$I$20000,"&gt;=2",Courses!$I$1:'Courses'!$I$20000,"&lt;10",Courses!$L$1:'Courses'!$L$20000,0)</f>
        <v>4</v>
      </c>
      <c r="C7">
        <f>COUNTIFS(Courses!$B$1:'Courses'!$B$20000,"Arts",Courses!$D$1:'Courses'!$D$20000,"&gt;=6000",Courses!$D$1:'Courses'!$D$20000,"&lt;7000",Courses!$E$1:'Courses'!$E$20000,2020,Courses!$I$1:'Courses'!$I$20000,"&gt;=10",Courses!$I$1:'Courses'!$I$20000,"&lt;20",Courses!$L$1:'Courses'!$L$20000,0)</f>
        <v>43</v>
      </c>
      <c r="D7">
        <f>COUNTIFS(Courses!$B$1:'Courses'!$B$20000,"Arts",Courses!$D$1:'Courses'!$D$20000,"&gt;=6000",Courses!$D$1:'Courses'!$D$20000,"&lt;7000",Courses!$E$1:'Courses'!$E$20000,2020,Courses!$I$1:'Courses'!$I$20000,"&gt;=20",Courses!$I$1:'Courses'!$I$20000,"&lt;30",Courses!$L$1:'Courses'!$L$20000,0)</f>
        <v>5</v>
      </c>
      <c r="E7">
        <f>COUNTIFS(Courses!$B$1:'Courses'!$B$20000,"Arts",Courses!$D$1:'Courses'!$D$20000,"&gt;=6000",Courses!$D$1:'Courses'!$D$20000,"&lt;7000",Courses!$E$1:'Courses'!$E$20000,2020,Courses!$I$1:'Courses'!$I$20000,"&gt;=30",Courses!$I$1:'Courses'!$I$20000,"&lt;40",Courses!$L$1:'Courses'!$L$20000,0)</f>
        <v>3</v>
      </c>
      <c r="F7">
        <f>COUNTIFS(Courses!$B$1:'Courses'!$B$20000,"Arts",Courses!$D$1:'Courses'!$D$20000,"&gt;=6000",Courses!$D$1:'Courses'!$D$20000,"&lt;7000",Courses!$E$1:'Courses'!$E$20000,2020,Courses!$I$1:'Courses'!$I$20000,"&gt;=40",Courses!$I$1:'Courses'!$I$20000,"&lt;50",Courses!$L$1:'Courses'!$L$20000,0)</f>
        <v>1</v>
      </c>
      <c r="G7">
        <f>COUNTIFS(Courses!$B$1:'Courses'!$B$20000,"Arts",Courses!$D$1:'Courses'!$D$20000,"&gt;=6000",Courses!$D$1:'Courses'!$D$20000,"&lt;7000",Courses!$E$1:'Courses'!$E$20000,2020,Courses!$I$1:'Courses'!$I$20000,"&gt;=50",Courses!$I$1:'Courses'!$I$20000,"&lt;100",Courses!$L$1:'Courses'!$L$20000,0)</f>
        <v>0</v>
      </c>
      <c r="H7">
        <f>COUNTIFS(Courses!$B$1:'Courses'!$B$20000,"Arts",Courses!$D$1:'Courses'!$D$20000,"&gt;=6000",Courses!$D$1:'Courses'!$D$20000,"&lt;7000",Courses!$E$1:'Courses'!$E$20000,2020,Courses!$I$1:'Courses'!$I$20000,"&gt;=100",Courses!$L$1:'Courses'!$L$20000,0)</f>
        <v>0</v>
      </c>
      <c r="I7">
        <f t="shared" si="0"/>
        <v>56</v>
      </c>
      <c r="J7" s="3">
        <f t="shared" si="1"/>
        <v>83.9</v>
      </c>
      <c r="K7" s="3">
        <f t="shared" si="2"/>
        <v>0</v>
      </c>
    </row>
    <row r="8" spans="1:11" x14ac:dyDescent="0.2">
      <c r="A8" t="s">
        <v>2103</v>
      </c>
      <c r="B8">
        <f>COUNTIFS(Courses!$B$1:'Courses'!$B$20000,"Arts",Courses!$D$1:'Courses'!$D$20000,"&gt;=8000",Courses!$D$1:'Courses'!$D$20000,"&lt;9000",Courses!$E$1:'Courses'!$E$20000,2020,Courses!$I$1:'Courses'!$I$20000,"&gt;=2",Courses!$I$1:'Courses'!$I$20000,"&lt;10",Courses!$L$1:'Courses'!$L$20000,0)</f>
        <v>3</v>
      </c>
      <c r="C8">
        <f>COUNTIFS(Courses!$B$1:'Courses'!$B$20000,"Arts",Courses!$D$1:'Courses'!$D$20000,"&gt;=8000",Courses!$D$1:'Courses'!$D$20000,"&lt;9000",Courses!$E$1:'Courses'!$E$20000,2020,Courses!$I$1:'Courses'!$I$20000,"&gt;=10",Courses!$I$1:'Courses'!$I$20000,"&lt;20",Courses!$L$1:'Courses'!$L$20000,0)</f>
        <v>10</v>
      </c>
      <c r="D8">
        <f>COUNTIFS(Courses!$B$1:'Courses'!$B$20000,"Arts",Courses!$D$1:'Courses'!$D$20000,"&gt;=8000",Courses!$D$1:'Courses'!$D$20000,"&lt;9000",Courses!$E$1:'Courses'!$E$20000,2020,Courses!$I$1:'Courses'!$I$20000,"&gt;=20",Courses!$I$1:'Courses'!$I$20000,"&lt;30",Courses!$L$1:'Courses'!$L$20000,0)</f>
        <v>0</v>
      </c>
      <c r="E8">
        <f>COUNTIFS(Courses!$B$1:'Courses'!$B$20000,"Arts",Courses!$D$1:'Courses'!$D$20000,"&gt;=8000",Courses!$D$1:'Courses'!$D$20000,"&lt;9000",Courses!$E$1:'Courses'!$E$20000,2020,Courses!$I$1:'Courses'!$I$20000,"&gt;=30",Courses!$I$1:'Courses'!$I$20000,"&lt;40",Courses!$L$1:'Courses'!$L$20000,0)</f>
        <v>0</v>
      </c>
      <c r="F8">
        <f>COUNTIFS(Courses!$B$1:'Courses'!$B$20000,"Arts",Courses!$D$1:'Courses'!$D$20000,"&gt;=8000",Courses!$D$1:'Courses'!$D$20000,"&lt;9000",Courses!$E$1:'Courses'!$E$20000,2020,Courses!$I$1:'Courses'!$I$20000,"&gt;=40",Courses!$I$1:'Courses'!$I$20000,"&lt;50",Courses!$L$1:'Courses'!$L$20000,0)</f>
        <v>1</v>
      </c>
      <c r="G8">
        <f>COUNTIFS(Courses!$B$1:'Courses'!$B$20000,"Arts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8">
        <f>COUNTIFS(Courses!$B$1:'Courses'!$B$20000,"Arts",Courses!$D$1:'Courses'!$D$20000,"&gt;=8000",Courses!$D$1:'Courses'!$D$20000,"&lt;9000",Courses!$E$1:'Courses'!$E$20000,2020,Courses!$I$1:'Courses'!$I$20000,"&gt;=100",Courses!$L$1:'Courses'!$L$20000,0)</f>
        <v>0</v>
      </c>
      <c r="I8">
        <f t="shared" si="0"/>
        <v>14</v>
      </c>
      <c r="J8" s="3">
        <f t="shared" si="1"/>
        <v>92.9</v>
      </c>
      <c r="K8" s="3">
        <f t="shared" si="2"/>
        <v>0</v>
      </c>
    </row>
    <row r="9" spans="1:11" x14ac:dyDescent="0.2">
      <c r="A9" t="s">
        <v>2104</v>
      </c>
      <c r="B9">
        <f>COUNTIFS(Courses!$B$1:'Courses'!$B$20000,"Arts",Courses!$D$1:'Courses'!$D$20000,"&gt;=1000",Courses!$D$1:'Courses'!$D$20000,"&lt;9000",Courses!$E$1:'Courses'!$E$20000,2020,Courses!$I$1:'Courses'!$I$20000,"&gt;=2",Courses!$I$1:'Courses'!$I$20000,"&lt;10",Courses!$L$1:'Courses'!$L$20000,0)</f>
        <v>48</v>
      </c>
      <c r="C9">
        <f>COUNTIFS(Courses!$B$1:'Courses'!$B$20000,"Arts",Courses!$D$1:'Courses'!$D$20000,"&gt;=1000",Courses!$D$1:'Courses'!$D$20000,"&lt;9000",Courses!$E$1:'Courses'!$E$20000,2020,Courses!$I$1:'Courses'!$I$20000,"&gt;=10",Courses!$I$1:'Courses'!$I$20000,"&lt;20",Courses!$L$1:'Courses'!$L$20000,0)</f>
        <v>122</v>
      </c>
      <c r="D9">
        <f>COUNTIFS(Courses!$B$1:'Courses'!$B$20000,"Arts",Courses!$D$1:'Courses'!$D$20000,"&gt;=1000",Courses!$D$1:'Courses'!$D$20000,"&lt;9000",Courses!$E$1:'Courses'!$E$20000,2020,Courses!$I$1:'Courses'!$I$20000,"&gt;=20",Courses!$I$1:'Courses'!$I$20000,"&lt;30",Courses!$L$1:'Courses'!$L$20000,0)</f>
        <v>7</v>
      </c>
      <c r="E9">
        <f>COUNTIFS(Courses!$B$1:'Courses'!$B$20000,"Arts",Courses!$D$1:'Courses'!$D$20000,"&gt;=1000",Courses!$D$1:'Courses'!$D$20000,"&lt;9000",Courses!$E$1:'Courses'!$E$20000,2020,Courses!$I$1:'Courses'!$I$20000,"&gt;=30",Courses!$I$1:'Courses'!$I$20000,"&lt;40",Courses!$L$1:'Courses'!$L$20000,0)</f>
        <v>3</v>
      </c>
      <c r="F9">
        <f>COUNTIFS(Courses!$B$1:'Courses'!$B$20000,"Arts",Courses!$D$1:'Courses'!$D$20000,"&gt;=1000",Courses!$D$1:'Courses'!$D$20000,"&lt;9000",Courses!$E$1:'Courses'!$E$20000,2020,Courses!$I$1:'Courses'!$I$20000,"&gt;=40",Courses!$I$1:'Courses'!$I$20000,"&lt;50",Courses!$L$1:'Courses'!$L$20000,0)</f>
        <v>4</v>
      </c>
      <c r="G9">
        <f>COUNTIFS(Courses!$B$1:'Courses'!$B$20000,"Arts",Courses!$D$1:'Courses'!$D$20000,"&gt;=1000",Courses!$D$1:'Courses'!$D$20000,"&lt;9000",Courses!$E$1:'Courses'!$E$20000,2020,Courses!$I$1:'Courses'!$I$20000,"&gt;=50",Courses!$I$1:'Courses'!$I$20000,"&lt;100",Courses!$L$1:'Courses'!$L$20000,0)</f>
        <v>4</v>
      </c>
      <c r="H9">
        <f>COUNTIFS(Courses!$B$1:'Courses'!$B$20000,"Arts",Courses!$D$1:'Courses'!$D$20000,"&gt;=1000",Courses!$D$1:'Courses'!$D$20000,"&lt;9000",Courses!$E$1:'Courses'!$E$20000,2020,Courses!$I$1:'Courses'!$I$20000,"&gt;=100",Courses!$L$1:'Courses'!$L$20000,0)</f>
        <v>0</v>
      </c>
      <c r="I9">
        <f t="shared" si="0"/>
        <v>188</v>
      </c>
      <c r="J9" s="3">
        <f t="shared" si="1"/>
        <v>90.4</v>
      </c>
      <c r="K9" s="3">
        <f t="shared" si="2"/>
        <v>2.1276595744680851</v>
      </c>
    </row>
    <row r="10" spans="1:11" x14ac:dyDescent="0.2">
      <c r="A10" t="s">
        <v>2105</v>
      </c>
      <c r="B10">
        <f>COUNTIFS(Courses!$B$1:'Courses'!$B$20000,"Core",Courses!$D$1:'Courses'!$D$20000,"&gt;=1000",Courses!$D$1:'Courses'!$D$20000,"&lt;2000",Courses!$E$1:'Courses'!$E$20000,2020,Courses!$I$1:'Courses'!$I$20000,"&gt;=2",Courses!$I$1:'Courses'!$I$20000,"&lt;10",Courses!$L$1:'Courses'!$L$20000,0)</f>
        <v>9</v>
      </c>
      <c r="C10">
        <f>COUNTIFS(Courses!$B$1:'Courses'!$B$20000,"Core",Courses!$D$1:'Courses'!$D$20000,"&gt;=1000",Courses!$D$1:'Courses'!$D$20000,"&lt;2000",Courses!$E$1:'Courses'!$E$20000,2020,Courses!$I$1:'Courses'!$I$20000,"&gt;=10",Courses!$I$1:'Courses'!$I$20000,"&lt;20",Courses!$L$1:'Courses'!$L$20000,0)</f>
        <v>118</v>
      </c>
      <c r="D10">
        <f>COUNTIFS(Courses!$B$1:'Courses'!$B$20000,"Core",Courses!$D$1:'Courses'!$D$20000,"&gt;=1000",Courses!$D$1:'Courses'!$D$20000,"&lt;2000",Courses!$E$1:'Courses'!$E$20000,2020,Courses!$I$1:'Courses'!$I$20000,"&gt;=20",Courses!$I$1:'Courses'!$I$20000,"&lt;30",Courses!$L$1:'Courses'!$L$20000,0)</f>
        <v>152</v>
      </c>
      <c r="E10">
        <f>COUNTIFS(Courses!$B$1:'Courses'!$B$20000,"Core",Courses!$D$1:'Courses'!$D$20000,"&gt;=1000",Courses!$D$1:'Courses'!$D$20000,"&lt;2000",Courses!$E$1:'Courses'!$E$20000,2020,Courses!$I$1:'Courses'!$I$20000,"&gt;=30",Courses!$I$1:'Courses'!$I$20000,"&lt;40",Courses!$L$1:'Courses'!$L$20000,0)</f>
        <v>0</v>
      </c>
      <c r="F10">
        <f>COUNTIFS(Courses!$B$1:'Courses'!$B$20000,"Core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10">
        <f>COUNTIFS(Courses!$B$1:'Courses'!$B$20000,"Core",Courses!$D$1:'Courses'!$D$20000,"&gt;=1000",Courses!$D$1:'Courses'!$D$20000,"&lt;2000",Courses!$E$1:'Courses'!$E$20000,2020,Courses!$I$1:'Courses'!$I$20000,"&gt;=50",Courses!$I$1:'Courses'!$I$20000,"&lt;100",Courses!$L$1:'Courses'!$L$20000,0)</f>
        <v>0</v>
      </c>
      <c r="H10">
        <f>COUNTIFS(Courses!$B$1:'Courses'!$B$20000,"Core",Courses!$D$1:'Courses'!$D$20000,"&gt;=1000",Courses!$D$1:'Courses'!$D$20000,"&lt;2000",Courses!$E$1:'Courses'!$E$20000,2020,Courses!$I$1:'Courses'!$I$20000,"&gt;=100",Courses!$L$1:'Courses'!$L$20000,0)</f>
        <v>1</v>
      </c>
      <c r="I10">
        <f t="shared" si="0"/>
        <v>280</v>
      </c>
      <c r="J10" s="3">
        <f t="shared" si="1"/>
        <v>45.4</v>
      </c>
      <c r="K10" s="3">
        <f t="shared" si="2"/>
        <v>0.35714285714285715</v>
      </c>
    </row>
    <row r="11" spans="1:11" x14ac:dyDescent="0.2">
      <c r="A11" t="s">
        <v>2106</v>
      </c>
      <c r="B11">
        <f>COUNTIFS(Courses!$B$1:'Courses'!$B$20000,"Core",Courses!$D$1:'Courses'!$D$20000,"&gt;=2000",Courses!$D$1:'Courses'!$D$20000,"&lt;3000",Courses!$E$1:'Courses'!$E$20000,2020,Courses!$I$1:'Courses'!$I$20000,"&gt;=2",Courses!$I$1:'Courses'!$I$20000,"&lt;10",Courses!$L$1:'Courses'!$L$20000,0)</f>
        <v>2</v>
      </c>
      <c r="C11">
        <f>COUNTIFS(Courses!$B$1:'Courses'!$B$20000,"Core",Courses!$D$1:'Courses'!$D$20000,"&gt;=2000",Courses!$D$1:'Courses'!$D$20000,"&lt;3000",Courses!$E$1:'Courses'!$E$20000,2020,Courses!$I$1:'Courses'!$I$20000,"&gt;=10",Courses!$I$1:'Courses'!$I$20000,"&lt;20",Courses!$L$1:'Courses'!$L$20000,0)</f>
        <v>0</v>
      </c>
      <c r="D11">
        <f>COUNTIFS(Courses!$B$1:'Courses'!$B$20000,"Core",Courses!$D$1:'Courses'!$D$20000,"&gt;=2000",Courses!$D$1:'Courses'!$D$20000,"&lt;3000",Courses!$E$1:'Courses'!$E$20000,2020,Courses!$I$1:'Courses'!$I$20000,"&gt;=20",Courses!$I$1:'Courses'!$I$20000,"&lt;30",Courses!$L$1:'Courses'!$L$20000,0)</f>
        <v>0</v>
      </c>
      <c r="E11">
        <f>COUNTIFS(Courses!$B$1:'Courses'!$B$20000,"Core",Courses!$D$1:'Courses'!$D$20000,"&gt;=2000",Courses!$D$1:'Courses'!$D$20000,"&lt;3000",Courses!$E$1:'Courses'!$E$20000,2020,Courses!$I$1:'Courses'!$I$20000,"&gt;=30",Courses!$I$1:'Courses'!$I$20000,"&lt;40",Courses!$L$1:'Courses'!$L$20000,0)</f>
        <v>0</v>
      </c>
      <c r="F11">
        <f>COUNTIFS(Courses!$B$1:'Courses'!$B$20000,"Core",Courses!$D$1:'Courses'!$D$20000,"&gt;=2000",Courses!$D$1:'Courses'!$D$20000,"&lt;3000",Courses!$E$1:'Courses'!$E$20000,2020,Courses!$I$1:'Courses'!$I$20000,"&gt;=40",Courses!$I$1:'Courses'!$I$20000,"&lt;50",Courses!$L$1:'Courses'!$L$20000,0)</f>
        <v>0</v>
      </c>
      <c r="G11">
        <f>COUNTIFS(Courses!$B$1:'Courses'!$B$20000,"Core",Courses!$D$1:'Courses'!$D$20000,"&gt;=2000",Courses!$D$1:'Courses'!$D$20000,"&lt;3000",Courses!$E$1:'Courses'!$E$20000,2020,Courses!$I$1:'Courses'!$I$20000,"&gt;=50",Courses!$I$1:'Courses'!$I$20000,"&lt;100",Courses!$L$1:'Courses'!$L$20000,0)</f>
        <v>0</v>
      </c>
      <c r="H11">
        <f>COUNTIFS(Courses!$B$1:'Courses'!$B$20000,"Core",Courses!$D$1:'Courses'!$D$20000,"&gt;=2000",Courses!$D$1:'Courses'!$D$20000,"&lt;3000",Courses!$E$1:'Courses'!$E$20000,2020,Courses!$I$1:'Courses'!$I$20000,"&gt;=100",Courses!$L$1:'Courses'!$L$20000,0)</f>
        <v>0</v>
      </c>
      <c r="I11">
        <f t="shared" si="0"/>
        <v>2</v>
      </c>
      <c r="J11" s="3">
        <f t="shared" si="1"/>
        <v>100</v>
      </c>
      <c r="K11" s="3">
        <f t="shared" si="2"/>
        <v>0</v>
      </c>
    </row>
    <row r="12" spans="1:11" x14ac:dyDescent="0.2">
      <c r="A12" t="s">
        <v>2107</v>
      </c>
      <c r="B12">
        <f>COUNTIFS(Courses!$B$1:'Courses'!$B$20000,"Core",Courses!$D$1:'Courses'!$D$20000,"&gt;=6000",Courses!$D$1:'Courses'!$D$20000,"&lt;7000",Courses!$E$1:'Courses'!$E$20000,2020,Courses!$I$1:'Courses'!$I$20000,"&gt;=2",Courses!$I$1:'Courses'!$I$20000,"&lt;10",Courses!$L$1:'Courses'!$L$20000,0)</f>
        <v>0</v>
      </c>
      <c r="C12">
        <f>COUNTIFS(Courses!$B$1:'Courses'!$B$20000,"Core",Courses!$D$1:'Courses'!$D$20000,"&gt;=6000",Courses!$D$1:'Courses'!$D$20000,"&lt;7000",Courses!$E$1:'Courses'!$E$20000,2020,Courses!$I$1:'Courses'!$I$20000,"&gt;=10",Courses!$I$1:'Courses'!$I$20000,"&lt;20",Courses!$L$1:'Courses'!$L$20000,0)</f>
        <v>2</v>
      </c>
      <c r="D12">
        <f>COUNTIFS(Courses!$B$1:'Courses'!$B$20000,"Core",Courses!$D$1:'Courses'!$D$20000,"&gt;=6000",Courses!$D$1:'Courses'!$D$20000,"&lt;7000",Courses!$E$1:'Courses'!$E$20000,2020,Courses!$I$1:'Courses'!$I$20000,"&gt;=20",Courses!$I$1:'Courses'!$I$20000,"&lt;30",Courses!$L$1:'Courses'!$L$20000,0)</f>
        <v>0</v>
      </c>
      <c r="E12">
        <f>COUNTIFS(Courses!$B$1:'Courses'!$B$20000,"Core",Courses!$D$1:'Courses'!$D$20000,"&gt;=6000",Courses!$D$1:'Courses'!$D$20000,"&lt;7000",Courses!$E$1:'Courses'!$E$20000,2020,Courses!$I$1:'Courses'!$I$20000,"&gt;=30",Courses!$I$1:'Courses'!$I$20000,"&lt;40",Courses!$L$1:'Courses'!$L$20000,0)</f>
        <v>0</v>
      </c>
      <c r="F12">
        <f>COUNTIFS(Courses!$B$1:'Courses'!$B$20000,"Core",Courses!$D$1:'Courses'!$D$20000,"&gt;=6000",Courses!$D$1:'Courses'!$D$20000,"&lt;7000",Courses!$E$1:'Courses'!$E$20000,2020,Courses!$I$1:'Courses'!$I$20000,"&gt;=40",Courses!$I$1:'Courses'!$I$20000,"&lt;50",Courses!$L$1:'Courses'!$L$20000,0)</f>
        <v>0</v>
      </c>
      <c r="G12">
        <f>COUNTIFS(Courses!$B$1:'Courses'!$B$20000,"Core",Courses!$D$1:'Courses'!$D$20000,"&gt;=6000",Courses!$D$1:'Courses'!$D$20000,"&lt;7000",Courses!$E$1:'Courses'!$E$20000,2020,Courses!$I$1:'Courses'!$I$20000,"&gt;=50",Courses!$I$1:'Courses'!$I$20000,"&lt;100",Courses!$L$1:'Courses'!$L$20000,0)</f>
        <v>0</v>
      </c>
      <c r="H12">
        <f>COUNTIFS(Courses!$B$1:'Courses'!$B$20000,"Core",Courses!$D$1:'Courses'!$D$20000,"&gt;=6000",Courses!$D$1:'Courses'!$D$20000,"&lt;7000",Courses!$E$1:'Courses'!$E$20000,2020,Courses!$I$1:'Courses'!$I$20000,"&gt;=100",Courses!$L$1:'Courses'!$L$20000,0)</f>
        <v>0</v>
      </c>
      <c r="I12">
        <f t="shared" si="0"/>
        <v>2</v>
      </c>
      <c r="J12" s="3">
        <f t="shared" si="1"/>
        <v>100</v>
      </c>
      <c r="K12" s="3">
        <f t="shared" si="2"/>
        <v>0</v>
      </c>
    </row>
    <row r="13" spans="1:11" x14ac:dyDescent="0.2">
      <c r="A13" t="s">
        <v>2108</v>
      </c>
      <c r="B13">
        <f>COUNTIFS(Courses!$B$1:'Courses'!$B$20000,"Core",Courses!$D$1:'Courses'!$D$20000,"&gt;=8000",Courses!$D$1:'Courses'!$D$20000,"&lt;9000",Courses!$E$1:'Courses'!$E$20000,2020,Courses!$I$1:'Courses'!$I$20000,"&gt;=2",Courses!$I$1:'Courses'!$I$20000,"&lt;10",Courses!$L$1:'Courses'!$L$20000,0)</f>
        <v>0</v>
      </c>
      <c r="C13">
        <f>COUNTIFS(Courses!$B$1:'Courses'!$B$20000,"Core",Courses!$D$1:'Courses'!$D$20000,"&gt;=8000",Courses!$D$1:'Courses'!$D$20000,"&lt;9000",Courses!$E$1:'Courses'!$E$20000,2020,Courses!$I$1:'Courses'!$I$20000,"&gt;=10",Courses!$I$1:'Courses'!$I$20000,"&lt;20",Courses!$L$1:'Courses'!$L$20000,0)</f>
        <v>1</v>
      </c>
      <c r="D13">
        <f>COUNTIFS(Courses!$B$1:'Courses'!$B$20000,"Core",Courses!$D$1:'Courses'!$D$20000,"&gt;=8000",Courses!$D$1:'Courses'!$D$20000,"&lt;9000",Courses!$E$1:'Courses'!$E$20000,2020,Courses!$I$1:'Courses'!$I$20000,"&gt;=20",Courses!$I$1:'Courses'!$I$20000,"&lt;30",Courses!$L$1:'Courses'!$L$20000,0)</f>
        <v>0</v>
      </c>
      <c r="E13">
        <f>COUNTIFS(Courses!$B$1:'Courses'!$B$20000,"Core",Courses!$D$1:'Courses'!$D$20000,"&gt;=8000",Courses!$D$1:'Courses'!$D$20000,"&lt;9000",Courses!$E$1:'Courses'!$E$20000,2020,Courses!$I$1:'Courses'!$I$20000,"&gt;=30",Courses!$I$1:'Courses'!$I$20000,"&lt;40",Courses!$L$1:'Courses'!$L$20000,0)</f>
        <v>0</v>
      </c>
      <c r="F13">
        <f>COUNTIFS(Courses!$B$1:'Courses'!$B$20000,"Core",Courses!$D$1:'Courses'!$D$20000,"&gt;=8000",Courses!$D$1:'Courses'!$D$20000,"&lt;9000",Courses!$E$1:'Courses'!$E$20000,2020,Courses!$I$1:'Courses'!$I$20000,"&gt;=40",Courses!$I$1:'Courses'!$I$20000,"&lt;50",Courses!$L$1:'Courses'!$L$20000,0)</f>
        <v>0</v>
      </c>
      <c r="G13">
        <f>COUNTIFS(Courses!$B$1:'Courses'!$B$20000,"Core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13">
        <f>COUNTIFS(Courses!$B$1:'Courses'!$B$20000,"Core",Courses!$D$1:'Courses'!$D$20000,"&gt;=8000",Courses!$D$1:'Courses'!$D$20000,"&lt;9000",Courses!$E$1:'Courses'!$E$20000,2020,Courses!$I$1:'Courses'!$I$20000,"&gt;=100",Courses!$L$1:'Courses'!$L$20000,0)</f>
        <v>0</v>
      </c>
      <c r="I13">
        <f t="shared" si="0"/>
        <v>1</v>
      </c>
      <c r="J13" s="3">
        <f t="shared" si="1"/>
        <v>100</v>
      </c>
      <c r="K13" s="3">
        <f t="shared" si="2"/>
        <v>0</v>
      </c>
    </row>
    <row r="14" spans="1:11" x14ac:dyDescent="0.2">
      <c r="A14" t="s">
        <v>2109</v>
      </c>
      <c r="B14">
        <f>COUNTIFS(Courses!$B$1:'Courses'!$B$20000,"Core",Courses!$D$1:'Courses'!$D$20000,"&gt;=1000",Courses!$D$1:'Courses'!$D$20000,"&lt;9000",Courses!$E$1:'Courses'!$E$20000,2020,Courses!$I$1:'Courses'!$I$20000,"&gt;=2",Courses!$I$1:'Courses'!$I$20000,"&lt;10",Courses!$L$1:'Courses'!$L$20000,0)</f>
        <v>11</v>
      </c>
      <c r="C14">
        <f>COUNTIFS(Courses!$B$1:'Courses'!$B$20000,"Core",Courses!$D$1:'Courses'!$D$20000,"&gt;=1000",Courses!$D$1:'Courses'!$D$20000,"&lt;9000",Courses!$E$1:'Courses'!$E$20000,2020,Courses!$I$1:'Courses'!$I$20000,"&gt;=10",Courses!$I$1:'Courses'!$I$20000,"&lt;20",Courses!$L$1:'Courses'!$L$20000,0)</f>
        <v>121</v>
      </c>
      <c r="D14">
        <f>COUNTIFS(Courses!$B$1:'Courses'!$B$20000,"Core",Courses!$D$1:'Courses'!$D$20000,"&gt;=1000",Courses!$D$1:'Courses'!$D$20000,"&lt;9000",Courses!$E$1:'Courses'!$E$20000,2020,Courses!$I$1:'Courses'!$I$20000,"&gt;=20",Courses!$I$1:'Courses'!$I$20000,"&lt;30",Courses!$L$1:'Courses'!$L$20000,0)</f>
        <v>152</v>
      </c>
      <c r="E14">
        <f>COUNTIFS(Courses!$B$1:'Courses'!$B$20000,"Core",Courses!$D$1:'Courses'!$D$20000,"&gt;=1000",Courses!$D$1:'Courses'!$D$20000,"&lt;9000",Courses!$E$1:'Courses'!$E$20000,2020,Courses!$I$1:'Courses'!$I$20000,"&gt;=30",Courses!$I$1:'Courses'!$I$20000,"&lt;40",Courses!$L$1:'Courses'!$L$20000,0)</f>
        <v>0</v>
      </c>
      <c r="F14">
        <f>COUNTIFS(Courses!$B$1:'Courses'!$B$20000,"Core",Courses!$D$1:'Courses'!$D$20000,"&gt;=1000",Courses!$D$1:'Courses'!$D$20000,"&lt;9000",Courses!$E$1:'Courses'!$E$20000,2020,Courses!$I$1:'Courses'!$I$20000,"&gt;=40",Courses!$I$1:'Courses'!$I$20000,"&lt;50",Courses!$L$1:'Courses'!$L$20000,0)</f>
        <v>0</v>
      </c>
      <c r="G14">
        <f>COUNTIFS(Courses!$B$1:'Courses'!$B$20000,"Core",Courses!$D$1:'Courses'!$D$20000,"&gt;=1000",Courses!$D$1:'Courses'!$D$20000,"&lt;9000",Courses!$E$1:'Courses'!$E$20000,2020,Courses!$I$1:'Courses'!$I$20000,"&gt;=50",Courses!$I$1:'Courses'!$I$20000,"&lt;100",Courses!$L$1:'Courses'!$L$20000,0)</f>
        <v>0</v>
      </c>
      <c r="H14">
        <f>COUNTIFS(Courses!$B$1:'Courses'!$B$20000,"Core",Courses!$D$1:'Courses'!$D$20000,"&gt;=1000",Courses!$D$1:'Courses'!$D$20000,"&lt;9000",Courses!$E$1:'Courses'!$E$20000,2020,Courses!$I$1:'Courses'!$I$20000,"&gt;=100",Courses!$L$1:'Courses'!$L$20000,0)</f>
        <v>1</v>
      </c>
      <c r="I14">
        <f t="shared" si="0"/>
        <v>285</v>
      </c>
      <c r="J14" s="3">
        <f t="shared" si="1"/>
        <v>46.3</v>
      </c>
      <c r="K14" s="3">
        <f t="shared" si="2"/>
        <v>0.35087719298245612</v>
      </c>
    </row>
    <row r="15" spans="1:11" x14ac:dyDescent="0.2">
      <c r="A15" t="s">
        <v>2110</v>
      </c>
      <c r="B15">
        <f>COUNTIFS(Courses!$B$1:'Courses'!$B$20000,"Engineering",Courses!$D$1:'Courses'!$D$20000,"&gt;=1000",Courses!$D$1:'Courses'!$D$20000,"&lt;2000",Courses!$E$1:'Courses'!$E$20000,2020,Courses!$I$1:'Courses'!$I$20000,"&gt;=2",Courses!$I$1:'Courses'!$I$20000,"&lt;10",Courses!$L$1:'Courses'!$L$20000,0)</f>
        <v>6</v>
      </c>
      <c r="C15">
        <f>COUNTIFS(Courses!$B$1:'Courses'!$B$20000,"Engineering",Courses!$D$1:'Courses'!$D$20000,"&gt;=1000",Courses!$D$1:'Courses'!$D$20000,"&lt;2000",Courses!$E$1:'Courses'!$E$20000,2020,Courses!$I$1:'Courses'!$I$20000,"&gt;=10",Courses!$I$1:'Courses'!$I$20000,"&lt;20",Courses!$L$1:'Courses'!$L$20000,0)</f>
        <v>6</v>
      </c>
      <c r="D15">
        <f>COUNTIFS(Courses!$B$1:'Courses'!$B$20000,"Engineering",Courses!$D$1:'Courses'!$D$20000,"&gt;=1000",Courses!$D$1:'Courses'!$D$20000,"&lt;2000",Courses!$E$1:'Courses'!$E$20000,2020,Courses!$I$1:'Courses'!$I$20000,"&gt;=20",Courses!$I$1:'Courses'!$I$20000,"&lt;30",Courses!$L$1:'Courses'!$L$20000,0)</f>
        <v>0</v>
      </c>
      <c r="E15">
        <f>COUNTIFS(Courses!$B$1:'Courses'!$B$20000,"Engineering",Courses!$D$1:'Courses'!$D$20000,"&gt;=1000",Courses!$D$1:'Courses'!$D$20000,"&lt;2000",Courses!$E$1:'Courses'!$E$20000,2020,Courses!$I$1:'Courses'!$I$20000,"&gt;=30",Courses!$I$1:'Courses'!$I$20000,"&lt;40",Courses!$L$1:'Courses'!$L$20000,0)</f>
        <v>0</v>
      </c>
      <c r="F15">
        <f>COUNTIFS(Courses!$B$1:'Courses'!$B$20000,"Engineering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15">
        <f>COUNTIFS(Courses!$B$1:'Courses'!$B$20000,"Engineering",Courses!$D$1:'Courses'!$D$20000,"&gt;=1000",Courses!$D$1:'Courses'!$D$20000,"&lt;2000",Courses!$E$1:'Courses'!$E$20000,2020,Courses!$I$1:'Courses'!$I$20000,"&gt;=50",Courses!$I$1:'Courses'!$I$20000,"&lt;100",Courses!$L$1:'Courses'!$L$20000,0)</f>
        <v>2</v>
      </c>
      <c r="H15">
        <f>COUNTIFS(Courses!$B$1:'Courses'!$B$20000,"Engineering",Courses!$D$1:'Courses'!$D$20000,"&gt;=1000",Courses!$D$1:'Courses'!$D$20000,"&lt;2000",Courses!$E$1:'Courses'!$E$20000,2020,Courses!$I$1:'Courses'!$I$20000,"&gt;=100",Courses!$L$1:'Courses'!$L$20000,0)</f>
        <v>4</v>
      </c>
      <c r="I15">
        <f t="shared" si="0"/>
        <v>18</v>
      </c>
      <c r="J15" s="3">
        <f t="shared" si="1"/>
        <v>66.7</v>
      </c>
      <c r="K15" s="3">
        <f t="shared" si="2"/>
        <v>33.333333333333336</v>
      </c>
    </row>
    <row r="16" spans="1:11" x14ac:dyDescent="0.2">
      <c r="A16" t="s">
        <v>2111</v>
      </c>
      <c r="B16">
        <f>COUNTIFS(Courses!$B$1:'Courses'!$B$20000,"Engineering",Courses!$D$1:'Courses'!$D$20000,"&gt;=2000",Courses!$D$1:'Courses'!$D$20000,"&lt;3000",Courses!$E$1:'Courses'!$E$20000,2020,Courses!$I$1:'Courses'!$I$20000,"&gt;=2",Courses!$I$1:'Courses'!$I$20000,"&lt;10",Courses!$L$1:'Courses'!$L$20000,0)</f>
        <v>0</v>
      </c>
      <c r="C16">
        <f>COUNTIFS(Courses!$B$1:'Courses'!$B$20000,"Engineering",Courses!$D$1:'Courses'!$D$20000,"&gt;=2000",Courses!$D$1:'Courses'!$D$20000,"&lt;3000",Courses!$E$1:'Courses'!$E$20000,2020,Courses!$I$1:'Courses'!$I$20000,"&gt;=10",Courses!$I$1:'Courses'!$I$20000,"&lt;20",Courses!$L$1:'Courses'!$L$20000,0)</f>
        <v>0</v>
      </c>
      <c r="D16">
        <f>COUNTIFS(Courses!$B$1:'Courses'!$B$20000,"Engineering",Courses!$D$1:'Courses'!$D$20000,"&gt;=2000",Courses!$D$1:'Courses'!$D$20000,"&lt;3000",Courses!$E$1:'Courses'!$E$20000,2020,Courses!$I$1:'Courses'!$I$20000,"&gt;=20",Courses!$I$1:'Courses'!$I$20000,"&lt;30",Courses!$L$1:'Courses'!$L$20000,0)</f>
        <v>1</v>
      </c>
      <c r="E16">
        <f>COUNTIFS(Courses!$B$1:'Courses'!$B$20000,"Engineering",Courses!$D$1:'Courses'!$D$20000,"&gt;=2000",Courses!$D$1:'Courses'!$D$20000,"&lt;3000",Courses!$E$1:'Courses'!$E$20000,2020,Courses!$I$1:'Courses'!$I$20000,"&gt;=30",Courses!$I$1:'Courses'!$I$20000,"&lt;40",Courses!$L$1:'Courses'!$L$20000,0)</f>
        <v>0</v>
      </c>
      <c r="F16">
        <f>COUNTIFS(Courses!$B$1:'Courses'!$B$20000,"Engineering",Courses!$D$1:'Courses'!$D$20000,"&gt;=2000",Courses!$D$1:'Courses'!$D$20000,"&lt;3000",Courses!$E$1:'Courses'!$E$20000,2020,Courses!$I$1:'Courses'!$I$20000,"&gt;=40",Courses!$I$1:'Courses'!$I$20000,"&lt;50",Courses!$L$1:'Courses'!$L$20000,0)</f>
        <v>1</v>
      </c>
      <c r="G16">
        <f>COUNTIFS(Courses!$B$1:'Courses'!$B$20000,"Engineering",Courses!$D$1:'Courses'!$D$20000,"&gt;=2000",Courses!$D$1:'Courses'!$D$20000,"&lt;3000",Courses!$E$1:'Courses'!$E$20000,2020,Courses!$I$1:'Courses'!$I$20000,"&gt;=50",Courses!$I$1:'Courses'!$I$20000,"&lt;100",Courses!$L$1:'Courses'!$L$20000,0)</f>
        <v>4</v>
      </c>
      <c r="H16">
        <f>COUNTIFS(Courses!$B$1:'Courses'!$B$20000,"Engineering",Courses!$D$1:'Courses'!$D$20000,"&gt;=2000",Courses!$D$1:'Courses'!$D$20000,"&lt;3000",Courses!$E$1:'Courses'!$E$20000,2020,Courses!$I$1:'Courses'!$I$20000,"&gt;=100",Courses!$L$1:'Courses'!$L$20000,0)</f>
        <v>1</v>
      </c>
      <c r="I16">
        <f t="shared" si="0"/>
        <v>7</v>
      </c>
      <c r="J16" s="3">
        <f t="shared" si="1"/>
        <v>0</v>
      </c>
      <c r="K16" s="3">
        <f t="shared" si="2"/>
        <v>71.428571428571431</v>
      </c>
    </row>
    <row r="17" spans="1:11" x14ac:dyDescent="0.2">
      <c r="A17" t="s">
        <v>2112</v>
      </c>
      <c r="B17">
        <f>COUNTIFS(Courses!$B$1:'Courses'!$B$20000,"Engineering",Courses!$D$1:'Courses'!$D$20000,"&gt;=3000",Courses!$D$1:'Courses'!$D$20000,"&lt;4000",Courses!$E$1:'Courses'!$E$20000,2020,Courses!$I$1:'Courses'!$I$20000,"&gt;=2",Courses!$I$1:'Courses'!$I$20000,"&lt;10",Courses!$L$1:'Courses'!$L$20000,0)</f>
        <v>7</v>
      </c>
      <c r="C17">
        <f>COUNTIFS(Courses!$B$1:'Courses'!$B$20000,"Engineering",Courses!$D$1:'Courses'!$D$20000,"&gt;=3000",Courses!$D$1:'Courses'!$D$20000,"&lt;4000",Courses!$E$1:'Courses'!$E$20000,2020,Courses!$I$1:'Courses'!$I$20000,"&gt;=10",Courses!$I$1:'Courses'!$I$20000,"&lt;20",Courses!$L$1:'Courses'!$L$20000,0)</f>
        <v>8</v>
      </c>
      <c r="D17">
        <f>COUNTIFS(Courses!$B$1:'Courses'!$B$20000,"Engineering",Courses!$D$1:'Courses'!$D$20000,"&gt;=3000",Courses!$D$1:'Courses'!$D$20000,"&lt;4000",Courses!$E$1:'Courses'!$E$20000,2020,Courses!$I$1:'Courses'!$I$20000,"&gt;=20",Courses!$I$1:'Courses'!$I$20000,"&lt;30",Courses!$L$1:'Courses'!$L$20000,0)</f>
        <v>8</v>
      </c>
      <c r="E17">
        <f>COUNTIFS(Courses!$B$1:'Courses'!$B$20000,"Engineering",Courses!$D$1:'Courses'!$D$20000,"&gt;=3000",Courses!$D$1:'Courses'!$D$20000,"&lt;4000",Courses!$E$1:'Courses'!$E$20000,2020,Courses!$I$1:'Courses'!$I$20000,"&gt;=30",Courses!$I$1:'Courses'!$I$20000,"&lt;40",Courses!$L$1:'Courses'!$L$20000,0)</f>
        <v>5</v>
      </c>
      <c r="F17">
        <f>COUNTIFS(Courses!$B$1:'Courses'!$B$20000,"Engineering",Courses!$D$1:'Courses'!$D$20000,"&gt;=3000",Courses!$D$1:'Courses'!$D$20000,"&lt;4000",Courses!$E$1:'Courses'!$E$20000,2020,Courses!$I$1:'Courses'!$I$20000,"&gt;=40",Courses!$I$1:'Courses'!$I$20000,"&lt;50",Courses!$L$1:'Courses'!$L$20000,0)</f>
        <v>3</v>
      </c>
      <c r="G17">
        <f>COUNTIFS(Courses!$B$1:'Courses'!$B$20000,"Engineering",Courses!$D$1:'Courses'!$D$20000,"&gt;=3000",Courses!$D$1:'Courses'!$D$20000,"&lt;4000",Courses!$E$1:'Courses'!$E$20000,2020,Courses!$I$1:'Courses'!$I$20000,"&gt;=50",Courses!$I$1:'Courses'!$I$20000,"&lt;100",Courses!$L$1:'Courses'!$L$20000,0)</f>
        <v>13</v>
      </c>
      <c r="H17">
        <f>COUNTIFS(Courses!$B$1:'Courses'!$B$20000,"Engineering",Courses!$D$1:'Courses'!$D$20000,"&gt;=3000",Courses!$D$1:'Courses'!$D$20000,"&lt;4000",Courses!$E$1:'Courses'!$E$20000,2020,Courses!$I$1:'Courses'!$I$20000,"&gt;=100",Courses!$L$1:'Courses'!$L$20000,0)</f>
        <v>8</v>
      </c>
      <c r="I17">
        <f t="shared" si="0"/>
        <v>52</v>
      </c>
      <c r="J17" s="3">
        <f t="shared" si="1"/>
        <v>28.8</v>
      </c>
      <c r="K17" s="3">
        <f t="shared" si="2"/>
        <v>40.384615384615387</v>
      </c>
    </row>
    <row r="18" spans="1:11" x14ac:dyDescent="0.2">
      <c r="A18" t="s">
        <v>2113</v>
      </c>
      <c r="B18">
        <f>COUNTIFS(Courses!$B$1:'Courses'!$B$20000,"Engineering",Courses!$D$1:'Courses'!$D$20000,"&gt;=4000",Courses!$D$1:'Courses'!$D$20000,"&lt;5000",Courses!$E$1:'Courses'!$E$20000,2020,Courses!$I$1:'Courses'!$I$20000,"&gt;=2",Courses!$I$1:'Courses'!$I$20000,"&lt;10",Courses!$L$1:'Courses'!$L$20000,0)</f>
        <v>56</v>
      </c>
      <c r="C18">
        <f>COUNTIFS(Courses!$B$1:'Courses'!$B$20000,"Engineering",Courses!$D$1:'Courses'!$D$20000,"&gt;=4000",Courses!$D$1:'Courses'!$D$20000,"&lt;5000",Courses!$E$1:'Courses'!$E$20000,2020,Courses!$I$1:'Courses'!$I$20000,"&gt;=10",Courses!$I$1:'Courses'!$I$20000,"&lt;20",Courses!$L$1:'Courses'!$L$20000,0)</f>
        <v>44</v>
      </c>
      <c r="D18">
        <f>COUNTIFS(Courses!$B$1:'Courses'!$B$20000,"Engineering",Courses!$D$1:'Courses'!$D$20000,"&gt;=4000",Courses!$D$1:'Courses'!$D$20000,"&lt;5000",Courses!$E$1:'Courses'!$E$20000,2020,Courses!$I$1:'Courses'!$I$20000,"&gt;=20",Courses!$I$1:'Courses'!$I$20000,"&lt;30",Courses!$L$1:'Courses'!$L$20000,0)</f>
        <v>36</v>
      </c>
      <c r="E18">
        <f>COUNTIFS(Courses!$B$1:'Courses'!$B$20000,"Engineering",Courses!$D$1:'Courses'!$D$20000,"&gt;=4000",Courses!$D$1:'Courses'!$D$20000,"&lt;5000",Courses!$E$1:'Courses'!$E$20000,2020,Courses!$I$1:'Courses'!$I$20000,"&gt;=30",Courses!$I$1:'Courses'!$I$20000,"&lt;40",Courses!$L$1:'Courses'!$L$20000,0)</f>
        <v>25</v>
      </c>
      <c r="F18">
        <f>COUNTIFS(Courses!$B$1:'Courses'!$B$20000,"Engineering",Courses!$D$1:'Courses'!$D$20000,"&gt;=4000",Courses!$D$1:'Courses'!$D$20000,"&lt;5000",Courses!$E$1:'Courses'!$E$20000,2020,Courses!$I$1:'Courses'!$I$20000,"&gt;=40",Courses!$I$1:'Courses'!$I$20000,"&lt;50",Courses!$L$1:'Courses'!$L$20000,0)</f>
        <v>17</v>
      </c>
      <c r="G18">
        <f>COUNTIFS(Courses!$B$1:'Courses'!$B$20000,"Engineering",Courses!$D$1:'Courses'!$D$20000,"&gt;=4000",Courses!$D$1:'Courses'!$D$20000,"&lt;5000",Courses!$E$1:'Courses'!$E$20000,2020,Courses!$I$1:'Courses'!$I$20000,"&gt;=50",Courses!$I$1:'Courses'!$I$20000,"&lt;100",Courses!$L$1:'Courses'!$L$20000,0)</f>
        <v>32</v>
      </c>
      <c r="H18">
        <f>COUNTIFS(Courses!$B$1:'Courses'!$B$20000,"Engineering",Courses!$D$1:'Courses'!$D$20000,"&gt;=4000",Courses!$D$1:'Courses'!$D$20000,"&lt;5000",Courses!$E$1:'Courses'!$E$20000,2020,Courses!$I$1:'Courses'!$I$20000,"&gt;=100",Courses!$L$1:'Courses'!$L$20000,0)</f>
        <v>20</v>
      </c>
      <c r="I18">
        <f t="shared" si="0"/>
        <v>230</v>
      </c>
      <c r="J18" s="3">
        <f t="shared" si="1"/>
        <v>43.5</v>
      </c>
      <c r="K18" s="3">
        <f t="shared" si="2"/>
        <v>22.608695652173914</v>
      </c>
    </row>
    <row r="19" spans="1:11" x14ac:dyDescent="0.2">
      <c r="A19" t="s">
        <v>2114</v>
      </c>
      <c r="B19">
        <f>COUNTIFS(Courses!$B$1:'Courses'!$B$20000,"Engineering",Courses!$D$1:'Courses'!$D$20000,"&gt;=6000",Courses!$D$1:'Courses'!$D$20000,"&lt;7000",Courses!$E$1:'Courses'!$E$20000,2020,Courses!$I$1:'Courses'!$I$20000,"&gt;=2",Courses!$I$1:'Courses'!$I$20000,"&lt;10",Courses!$L$1:'Courses'!$L$20000,0)</f>
        <v>40</v>
      </c>
      <c r="C19">
        <f>COUNTIFS(Courses!$B$1:'Courses'!$B$20000,"Engineering",Courses!$D$1:'Courses'!$D$20000,"&gt;=6000",Courses!$D$1:'Courses'!$D$20000,"&lt;7000",Courses!$E$1:'Courses'!$E$20000,2020,Courses!$I$1:'Courses'!$I$20000,"&gt;=10",Courses!$I$1:'Courses'!$I$20000,"&lt;20",Courses!$L$1:'Courses'!$L$20000,0)</f>
        <v>13</v>
      </c>
      <c r="D19">
        <f>COUNTIFS(Courses!$B$1:'Courses'!$B$20000,"Engineering",Courses!$D$1:'Courses'!$D$20000,"&gt;=6000",Courses!$D$1:'Courses'!$D$20000,"&lt;7000",Courses!$E$1:'Courses'!$E$20000,2020,Courses!$I$1:'Courses'!$I$20000,"&gt;=20",Courses!$I$1:'Courses'!$I$20000,"&lt;30",Courses!$L$1:'Courses'!$L$20000,0)</f>
        <v>7</v>
      </c>
      <c r="E19">
        <f>COUNTIFS(Courses!$B$1:'Courses'!$B$20000,"Engineering",Courses!$D$1:'Courses'!$D$20000,"&gt;=6000",Courses!$D$1:'Courses'!$D$20000,"&lt;7000",Courses!$E$1:'Courses'!$E$20000,2020,Courses!$I$1:'Courses'!$I$20000,"&gt;=30",Courses!$I$1:'Courses'!$I$20000,"&lt;40",Courses!$L$1:'Courses'!$L$20000,0)</f>
        <v>5</v>
      </c>
      <c r="F19">
        <f>COUNTIFS(Courses!$B$1:'Courses'!$B$20000,"Engineering",Courses!$D$1:'Courses'!$D$20000,"&gt;=6000",Courses!$D$1:'Courses'!$D$20000,"&lt;7000",Courses!$E$1:'Courses'!$E$20000,2020,Courses!$I$1:'Courses'!$I$20000,"&gt;=40",Courses!$I$1:'Courses'!$I$20000,"&lt;50",Courses!$L$1:'Courses'!$L$20000,0)</f>
        <v>2</v>
      </c>
      <c r="G19">
        <f>COUNTIFS(Courses!$B$1:'Courses'!$B$20000,"Engineering",Courses!$D$1:'Courses'!$D$20000,"&gt;=6000",Courses!$D$1:'Courses'!$D$20000,"&lt;7000",Courses!$E$1:'Courses'!$E$20000,2020,Courses!$I$1:'Courses'!$I$20000,"&gt;=50",Courses!$I$1:'Courses'!$I$20000,"&lt;100",Courses!$L$1:'Courses'!$L$20000,0)</f>
        <v>4</v>
      </c>
      <c r="H19">
        <f>COUNTIFS(Courses!$B$1:'Courses'!$B$20000,"Engineering",Courses!$D$1:'Courses'!$D$20000,"&gt;=6000",Courses!$D$1:'Courses'!$D$20000,"&lt;7000",Courses!$E$1:'Courses'!$E$20000,2020,Courses!$I$1:'Courses'!$I$20000,"&gt;=100",Courses!$L$1:'Courses'!$L$20000,0)</f>
        <v>1</v>
      </c>
      <c r="I19">
        <f t="shared" si="0"/>
        <v>72</v>
      </c>
      <c r="J19" s="3">
        <f t="shared" si="1"/>
        <v>73.599999999999994</v>
      </c>
      <c r="K19" s="3">
        <f t="shared" si="2"/>
        <v>6.9444444444444446</v>
      </c>
    </row>
    <row r="20" spans="1:11" x14ac:dyDescent="0.2">
      <c r="A20" t="s">
        <v>2115</v>
      </c>
      <c r="B20">
        <f>COUNTIFS(Courses!$B$1:'Courses'!$B$20000,"Engineering",Courses!$D$1:'Courses'!$D$20000,"&gt;=8000",Courses!$D$1:'Courses'!$D$20000,"&lt;9000",Courses!$E$1:'Courses'!$E$20000,2020,Courses!$I$1:'Courses'!$I$20000,"&gt;=2",Courses!$I$1:'Courses'!$I$20000,"&lt;10",Courses!$L$1:'Courses'!$L$20000,0)</f>
        <v>1</v>
      </c>
      <c r="C20">
        <f>COUNTIFS(Courses!$B$1:'Courses'!$B$20000,"Engineering",Courses!$D$1:'Courses'!$D$20000,"&gt;=8000",Courses!$D$1:'Courses'!$D$20000,"&lt;9000",Courses!$E$1:'Courses'!$E$20000,2020,Courses!$I$1:'Courses'!$I$20000,"&gt;=10",Courses!$I$1:'Courses'!$I$20000,"&lt;20",Courses!$L$1:'Courses'!$L$20000,0)</f>
        <v>1</v>
      </c>
      <c r="D20">
        <f>COUNTIFS(Courses!$B$1:'Courses'!$B$20000,"Engineering",Courses!$D$1:'Courses'!$D$20000,"&gt;=8000",Courses!$D$1:'Courses'!$D$20000,"&lt;9000",Courses!$E$1:'Courses'!$E$20000,2020,Courses!$I$1:'Courses'!$I$20000,"&gt;=20",Courses!$I$1:'Courses'!$I$20000,"&lt;30",Courses!$L$1:'Courses'!$L$20000,0)</f>
        <v>0</v>
      </c>
      <c r="E20">
        <f>COUNTIFS(Courses!$B$1:'Courses'!$B$20000,"Engineering",Courses!$D$1:'Courses'!$D$20000,"&gt;=8000",Courses!$D$1:'Courses'!$D$20000,"&lt;9000",Courses!$E$1:'Courses'!$E$20000,2020,Courses!$I$1:'Courses'!$I$20000,"&gt;=30",Courses!$I$1:'Courses'!$I$20000,"&lt;40",Courses!$L$1:'Courses'!$L$20000,0)</f>
        <v>1</v>
      </c>
      <c r="F20">
        <f>COUNTIFS(Courses!$B$1:'Courses'!$B$20000,"Engineering",Courses!$D$1:'Courses'!$D$20000,"&gt;=8000",Courses!$D$1:'Courses'!$D$20000,"&lt;9000",Courses!$E$1:'Courses'!$E$20000,2020,Courses!$I$1:'Courses'!$I$20000,"&gt;=40",Courses!$I$1:'Courses'!$I$20000,"&lt;50",Courses!$L$1:'Courses'!$L$20000,0)</f>
        <v>0</v>
      </c>
      <c r="G20">
        <f>COUNTIFS(Courses!$B$1:'Courses'!$B$20000,"Engineering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20">
        <f>COUNTIFS(Courses!$B$1:'Courses'!$B$20000,"Engineering",Courses!$D$1:'Courses'!$D$20000,"&gt;=8000",Courses!$D$1:'Courses'!$D$20000,"&lt;9000",Courses!$E$1:'Courses'!$E$20000,2020,Courses!$I$1:'Courses'!$I$20000,"&gt;=100",Courses!$L$1:'Courses'!$L$20000,0)</f>
        <v>0</v>
      </c>
      <c r="I20">
        <f t="shared" si="0"/>
        <v>3</v>
      </c>
      <c r="J20" s="3">
        <f t="shared" si="1"/>
        <v>66.7</v>
      </c>
      <c r="K20" s="3">
        <f t="shared" si="2"/>
        <v>0</v>
      </c>
    </row>
    <row r="21" spans="1:11" x14ac:dyDescent="0.2">
      <c r="A21" t="s">
        <v>2116</v>
      </c>
      <c r="B21">
        <f>COUNTIFS(Courses!$B$1:'Courses'!$B$20000,"Engineering",Courses!$D$1:'Courses'!$D$20000,"&gt;=1000",Courses!$D$1:'Courses'!$D$20000,"&lt;9000",Courses!$E$1:'Courses'!$E$20000,2020,Courses!$I$1:'Courses'!$I$20000,"&gt;=2",Courses!$I$1:'Courses'!$I$20000,"&lt;10",Courses!$L$1:'Courses'!$L$20000,0)</f>
        <v>110</v>
      </c>
      <c r="C21">
        <f>COUNTIFS(Courses!$B$1:'Courses'!$B$20000,"Engineering",Courses!$D$1:'Courses'!$D$20000,"&gt;=1000",Courses!$D$1:'Courses'!$D$20000,"&lt;9000",Courses!$E$1:'Courses'!$E$20000,2020,Courses!$I$1:'Courses'!$I$20000,"&gt;=10",Courses!$I$1:'Courses'!$I$20000,"&lt;20",Courses!$L$1:'Courses'!$L$20000,0)</f>
        <v>72</v>
      </c>
      <c r="D21">
        <f>COUNTIFS(Courses!$B$1:'Courses'!$B$20000,"Engineering",Courses!$D$1:'Courses'!$D$20000,"&gt;=1000",Courses!$D$1:'Courses'!$D$20000,"&lt;9000",Courses!$E$1:'Courses'!$E$20000,2020,Courses!$I$1:'Courses'!$I$20000,"&gt;=20",Courses!$I$1:'Courses'!$I$20000,"&lt;30",Courses!$L$1:'Courses'!$L$20000,0)</f>
        <v>52</v>
      </c>
      <c r="E21">
        <f>COUNTIFS(Courses!$B$1:'Courses'!$B$20000,"Engineering",Courses!$D$1:'Courses'!$D$20000,"&gt;=1000",Courses!$D$1:'Courses'!$D$20000,"&lt;9000",Courses!$E$1:'Courses'!$E$20000,2020,Courses!$I$1:'Courses'!$I$20000,"&gt;=30",Courses!$I$1:'Courses'!$I$20000,"&lt;40",Courses!$L$1:'Courses'!$L$20000,0)</f>
        <v>36</v>
      </c>
      <c r="F21">
        <f>COUNTIFS(Courses!$B$1:'Courses'!$B$20000,"Engineering",Courses!$D$1:'Courses'!$D$20000,"&gt;=1000",Courses!$D$1:'Courses'!$D$20000,"&lt;9000",Courses!$E$1:'Courses'!$E$20000,2020,Courses!$I$1:'Courses'!$I$20000,"&gt;=40",Courses!$I$1:'Courses'!$I$20000,"&lt;50",Courses!$L$1:'Courses'!$L$20000,0)</f>
        <v>23</v>
      </c>
      <c r="G21">
        <f>COUNTIFS(Courses!$B$1:'Courses'!$B$20000,"Engineering",Courses!$D$1:'Courses'!$D$20000,"&gt;=1000",Courses!$D$1:'Courses'!$D$20000,"&lt;9000",Courses!$E$1:'Courses'!$E$20000,2020,Courses!$I$1:'Courses'!$I$20000,"&gt;=50",Courses!$I$1:'Courses'!$I$20000,"&lt;100",Courses!$L$1:'Courses'!$L$20000,0)</f>
        <v>55</v>
      </c>
      <c r="H21">
        <f>COUNTIFS(Courses!$B$1:'Courses'!$B$20000,"Engineering",Courses!$D$1:'Courses'!$D$20000,"&gt;=1000",Courses!$D$1:'Courses'!$D$20000,"&lt;9000",Courses!$E$1:'Courses'!$E$20000,2020,Courses!$I$1:'Courses'!$I$20000,"&gt;=100",Courses!$L$1:'Courses'!$L$20000,0)</f>
        <v>34</v>
      </c>
      <c r="I21">
        <f t="shared" si="0"/>
        <v>382</v>
      </c>
      <c r="J21" s="3">
        <f t="shared" si="1"/>
        <v>47.6</v>
      </c>
      <c r="K21" s="3">
        <f t="shared" si="2"/>
        <v>23.298429319371728</v>
      </c>
    </row>
    <row r="22" spans="1:11" x14ac:dyDescent="0.2">
      <c r="A22" t="s">
        <v>2117</v>
      </c>
      <c r="B22">
        <f>COUNTIFS(Courses!$B$1:'Courses'!$B$20000,"Humanities",Courses!$D$1:'Courses'!$D$20000,"&gt;=1000",Courses!$D$1:'Courses'!$D$20000,"&lt;2000",Courses!$E$1:'Courses'!$E$20000,2020,Courses!$I$1:'Courses'!$I$20000,"&gt;=2",Courses!$I$1:'Courses'!$I$20000,"&lt;10",Courses!$L$1:'Courses'!$L$20000,0)</f>
        <v>57</v>
      </c>
      <c r="C22">
        <f>COUNTIFS(Courses!$B$1:'Courses'!$B$20000,"Humanities",Courses!$D$1:'Courses'!$D$20000,"&gt;=1000",Courses!$D$1:'Courses'!$D$20000,"&lt;2000",Courses!$E$1:'Courses'!$E$20000,2020,Courses!$I$1:'Courses'!$I$20000,"&gt;=10",Courses!$I$1:'Courses'!$I$20000,"&lt;20",Courses!$L$1:'Courses'!$L$20000,0)</f>
        <v>100</v>
      </c>
      <c r="D22">
        <f>COUNTIFS(Courses!$B$1:'Courses'!$B$20000,"Humanities",Courses!$D$1:'Courses'!$D$20000,"&gt;=1000",Courses!$D$1:'Courses'!$D$20000,"&lt;2000",Courses!$E$1:'Courses'!$E$20000,2020,Courses!$I$1:'Courses'!$I$20000,"&gt;=20",Courses!$I$1:'Courses'!$I$20000,"&lt;30",Courses!$L$1:'Courses'!$L$20000,0)</f>
        <v>6</v>
      </c>
      <c r="E22">
        <f>COUNTIFS(Courses!$B$1:'Courses'!$B$20000,"Humanities",Courses!$D$1:'Courses'!$D$20000,"&gt;=1000",Courses!$D$1:'Courses'!$D$20000,"&lt;2000",Courses!$E$1:'Courses'!$E$20000,2020,Courses!$I$1:'Courses'!$I$20000,"&gt;=30",Courses!$I$1:'Courses'!$I$20000,"&lt;40",Courses!$L$1:'Courses'!$L$20000,0)</f>
        <v>2</v>
      </c>
      <c r="F22">
        <f>COUNTIFS(Courses!$B$1:'Courses'!$B$20000,"Humanities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22">
        <f>COUNTIFS(Courses!$B$1:'Courses'!$B$20000,"Humanities",Courses!$D$1:'Courses'!$D$20000,"&gt;=1000",Courses!$D$1:'Courses'!$D$20000,"&lt;2000",Courses!$E$1:'Courses'!$E$20000,2020,Courses!$I$1:'Courses'!$I$20000,"&gt;=50",Courses!$I$1:'Courses'!$I$20000,"&lt;100",Courses!$L$1:'Courses'!$L$20000,0)</f>
        <v>3</v>
      </c>
      <c r="H22">
        <f>COUNTIFS(Courses!$B$1:'Courses'!$B$20000,"Humanities",Courses!$D$1:'Courses'!$D$20000,"&gt;=1000",Courses!$D$1:'Courses'!$D$20000,"&lt;2000",Courses!$E$1:'Courses'!$E$20000,2020,Courses!$I$1:'Courses'!$I$20000,"&gt;=100",Courses!$L$1:'Courses'!$L$20000,0)</f>
        <v>0</v>
      </c>
      <c r="I22">
        <f t="shared" si="0"/>
        <v>168</v>
      </c>
      <c r="J22" s="3">
        <f t="shared" si="1"/>
        <v>93.5</v>
      </c>
      <c r="K22" s="3">
        <f t="shared" si="2"/>
        <v>1.7857142857142858</v>
      </c>
    </row>
    <row r="23" spans="1:11" x14ac:dyDescent="0.2">
      <c r="A23" t="s">
        <v>2118</v>
      </c>
      <c r="B23">
        <f>COUNTIFS(Courses!$B$1:'Courses'!$B$20000,"Humanities",Courses!$D$1:'Courses'!$D$20000,"&gt;=2000",Courses!$D$1:'Courses'!$D$20000,"&lt;3000",Courses!$E$1:'Courses'!$E$20000,2020,Courses!$I$1:'Courses'!$I$20000,"&gt;=2",Courses!$I$1:'Courses'!$I$20000,"&lt;10",Courses!$L$1:'Courses'!$L$20000,0)</f>
        <v>49</v>
      </c>
      <c r="C23">
        <f>COUNTIFS(Courses!$B$1:'Courses'!$B$20000,"Humanities",Courses!$D$1:'Courses'!$D$20000,"&gt;=2000",Courses!$D$1:'Courses'!$D$20000,"&lt;3000",Courses!$E$1:'Courses'!$E$20000,2020,Courses!$I$1:'Courses'!$I$20000,"&gt;=10",Courses!$I$1:'Courses'!$I$20000,"&lt;20",Courses!$L$1:'Courses'!$L$20000,0)</f>
        <v>73</v>
      </c>
      <c r="D23">
        <f>COUNTIFS(Courses!$B$1:'Courses'!$B$20000,"Humanities",Courses!$D$1:'Courses'!$D$20000,"&gt;=2000",Courses!$D$1:'Courses'!$D$20000,"&lt;3000",Courses!$E$1:'Courses'!$E$20000,2020,Courses!$I$1:'Courses'!$I$20000,"&gt;=20",Courses!$I$1:'Courses'!$I$20000,"&lt;30",Courses!$L$1:'Courses'!$L$20000,0)</f>
        <v>3</v>
      </c>
      <c r="E23">
        <f>COUNTIFS(Courses!$B$1:'Courses'!$B$20000,"Humanities",Courses!$D$1:'Courses'!$D$20000,"&gt;=2000",Courses!$D$1:'Courses'!$D$20000,"&lt;3000",Courses!$E$1:'Courses'!$E$20000,2020,Courses!$I$1:'Courses'!$I$20000,"&gt;=30",Courses!$I$1:'Courses'!$I$20000,"&lt;40",Courses!$L$1:'Courses'!$L$20000,0)</f>
        <v>2</v>
      </c>
      <c r="F23">
        <f>COUNTIFS(Courses!$B$1:'Courses'!$B$20000,"Humanities",Courses!$D$1:'Courses'!$D$20000,"&gt;=2000",Courses!$D$1:'Courses'!$D$20000,"&lt;3000",Courses!$E$1:'Courses'!$E$20000,2020,Courses!$I$1:'Courses'!$I$20000,"&gt;=40",Courses!$I$1:'Courses'!$I$20000,"&lt;50",Courses!$L$1:'Courses'!$L$20000,0)</f>
        <v>1</v>
      </c>
      <c r="G23">
        <f>COUNTIFS(Courses!$B$1:'Courses'!$B$20000,"Humanities",Courses!$D$1:'Courses'!$D$20000,"&gt;=2000",Courses!$D$1:'Courses'!$D$20000,"&lt;3000",Courses!$E$1:'Courses'!$E$20000,2020,Courses!$I$1:'Courses'!$I$20000,"&gt;=50",Courses!$I$1:'Courses'!$I$20000,"&lt;100",Courses!$L$1:'Courses'!$L$20000,0)</f>
        <v>4</v>
      </c>
      <c r="H23">
        <f>COUNTIFS(Courses!$B$1:'Courses'!$B$20000,"Humanities",Courses!$D$1:'Courses'!$D$20000,"&gt;=2000",Courses!$D$1:'Courses'!$D$20000,"&lt;3000",Courses!$E$1:'Courses'!$E$20000,2020,Courses!$I$1:'Courses'!$I$20000,"&gt;=100",Courses!$L$1:'Courses'!$L$20000,0)</f>
        <v>1</v>
      </c>
      <c r="I23">
        <f t="shared" si="0"/>
        <v>133</v>
      </c>
      <c r="J23" s="3">
        <f t="shared" si="1"/>
        <v>91.7</v>
      </c>
      <c r="K23" s="3">
        <f t="shared" si="2"/>
        <v>3.7593984962406015</v>
      </c>
    </row>
    <row r="24" spans="1:11" x14ac:dyDescent="0.2">
      <c r="A24" t="s">
        <v>2119</v>
      </c>
      <c r="B24">
        <f>COUNTIFS(Courses!$B$1:'Courses'!$B$20000,"Humanities",Courses!$D$1:'Courses'!$D$20000,"&gt;=3000",Courses!$D$1:'Courses'!$D$20000,"&lt;4000",Courses!$E$1:'Courses'!$E$20000,2020,Courses!$I$1:'Courses'!$I$20000,"&gt;=2",Courses!$I$1:'Courses'!$I$20000,"&lt;10",Courses!$L$1:'Courses'!$L$20000,0)</f>
        <v>55</v>
      </c>
      <c r="C24">
        <f>COUNTIFS(Courses!$B$1:'Courses'!$B$20000,"Humanities",Courses!$D$1:'Courses'!$D$20000,"&gt;=3000",Courses!$D$1:'Courses'!$D$20000,"&lt;4000",Courses!$E$1:'Courses'!$E$20000,2020,Courses!$I$1:'Courses'!$I$20000,"&gt;=10",Courses!$I$1:'Courses'!$I$20000,"&lt;20",Courses!$L$1:'Courses'!$L$20000,0)</f>
        <v>68</v>
      </c>
      <c r="D24">
        <f>COUNTIFS(Courses!$B$1:'Courses'!$B$20000,"Humanities",Courses!$D$1:'Courses'!$D$20000,"&gt;=3000",Courses!$D$1:'Courses'!$D$20000,"&lt;4000",Courses!$E$1:'Courses'!$E$20000,2020,Courses!$I$1:'Courses'!$I$20000,"&gt;=20",Courses!$I$1:'Courses'!$I$20000,"&lt;30",Courses!$L$1:'Courses'!$L$20000,0)</f>
        <v>10</v>
      </c>
      <c r="E24">
        <f>COUNTIFS(Courses!$B$1:'Courses'!$B$20000,"Humanities",Courses!$D$1:'Courses'!$D$20000,"&gt;=3000",Courses!$D$1:'Courses'!$D$20000,"&lt;4000",Courses!$E$1:'Courses'!$E$20000,2020,Courses!$I$1:'Courses'!$I$20000,"&gt;=30",Courses!$I$1:'Courses'!$I$20000,"&lt;40",Courses!$L$1:'Courses'!$L$20000,0)</f>
        <v>5</v>
      </c>
      <c r="F24">
        <f>COUNTIFS(Courses!$B$1:'Courses'!$B$20000,"Humanities",Courses!$D$1:'Courses'!$D$20000,"&gt;=3000",Courses!$D$1:'Courses'!$D$20000,"&lt;4000",Courses!$E$1:'Courses'!$E$20000,2020,Courses!$I$1:'Courses'!$I$20000,"&gt;=40",Courses!$I$1:'Courses'!$I$20000,"&lt;50",Courses!$L$1:'Courses'!$L$20000,0)</f>
        <v>5</v>
      </c>
      <c r="G24">
        <f>COUNTIFS(Courses!$B$1:'Courses'!$B$20000,"Humanities",Courses!$D$1:'Courses'!$D$20000,"&gt;=3000",Courses!$D$1:'Courses'!$D$20000,"&lt;4000",Courses!$E$1:'Courses'!$E$20000,2020,Courses!$I$1:'Courses'!$I$20000,"&gt;=50",Courses!$I$1:'Courses'!$I$20000,"&lt;100",Courses!$L$1:'Courses'!$L$20000,0)</f>
        <v>3</v>
      </c>
      <c r="H24">
        <f>COUNTIFS(Courses!$B$1:'Courses'!$B$20000,"Humanities",Courses!$D$1:'Courses'!$D$20000,"&gt;=3000",Courses!$D$1:'Courses'!$D$20000,"&lt;4000",Courses!$E$1:'Courses'!$E$20000,2020,Courses!$I$1:'Courses'!$I$20000,"&gt;=100",Courses!$L$1:'Courses'!$L$20000,0)</f>
        <v>2</v>
      </c>
      <c r="I24">
        <f t="shared" si="0"/>
        <v>148</v>
      </c>
      <c r="J24" s="3">
        <f t="shared" si="1"/>
        <v>83.1</v>
      </c>
      <c r="K24" s="3">
        <f t="shared" si="2"/>
        <v>3.3783783783783785</v>
      </c>
    </row>
    <row r="25" spans="1:11" x14ac:dyDescent="0.2">
      <c r="A25" t="s">
        <v>2120</v>
      </c>
      <c r="B25">
        <f>COUNTIFS(Courses!$B$1:'Courses'!$B$20000,"Humanities",Courses!$D$1:'Courses'!$D$20000,"&gt;=4000",Courses!$D$1:'Courses'!$D$20000,"&lt;5000",Courses!$E$1:'Courses'!$E$20000,2020,Courses!$I$1:'Courses'!$I$20000,"&gt;=2",Courses!$I$1:'Courses'!$I$20000,"&lt;10",Courses!$L$1:'Courses'!$L$20000,0)</f>
        <v>51</v>
      </c>
      <c r="C25">
        <f>COUNTIFS(Courses!$B$1:'Courses'!$B$20000,"Humanities",Courses!$D$1:'Courses'!$D$20000,"&gt;=4000",Courses!$D$1:'Courses'!$D$20000,"&lt;5000",Courses!$E$1:'Courses'!$E$20000,2020,Courses!$I$1:'Courses'!$I$20000,"&gt;=10",Courses!$I$1:'Courses'!$I$20000,"&lt;20",Courses!$L$1:'Courses'!$L$20000,0)</f>
        <v>44</v>
      </c>
      <c r="D25">
        <f>COUNTIFS(Courses!$B$1:'Courses'!$B$20000,"Humanities",Courses!$D$1:'Courses'!$D$20000,"&gt;=4000",Courses!$D$1:'Courses'!$D$20000,"&lt;5000",Courses!$E$1:'Courses'!$E$20000,2020,Courses!$I$1:'Courses'!$I$20000,"&gt;=20",Courses!$I$1:'Courses'!$I$20000,"&lt;30",Courses!$L$1:'Courses'!$L$20000,0)</f>
        <v>8</v>
      </c>
      <c r="E25">
        <f>COUNTIFS(Courses!$B$1:'Courses'!$B$20000,"Humanities",Courses!$D$1:'Courses'!$D$20000,"&gt;=4000",Courses!$D$1:'Courses'!$D$20000,"&lt;5000",Courses!$E$1:'Courses'!$E$20000,2020,Courses!$I$1:'Courses'!$I$20000,"&gt;=30",Courses!$I$1:'Courses'!$I$20000,"&lt;40",Courses!$L$1:'Courses'!$L$20000,0)</f>
        <v>3</v>
      </c>
      <c r="F25">
        <f>COUNTIFS(Courses!$B$1:'Courses'!$B$20000,"Humanities",Courses!$D$1:'Courses'!$D$20000,"&gt;=4000",Courses!$D$1:'Courses'!$D$20000,"&lt;5000",Courses!$E$1:'Courses'!$E$20000,2020,Courses!$I$1:'Courses'!$I$20000,"&gt;=40",Courses!$I$1:'Courses'!$I$20000,"&lt;50",Courses!$L$1:'Courses'!$L$20000,0)</f>
        <v>3</v>
      </c>
      <c r="G25">
        <f>COUNTIFS(Courses!$B$1:'Courses'!$B$20000,"Humanities",Courses!$D$1:'Courses'!$D$20000,"&gt;=4000",Courses!$D$1:'Courses'!$D$20000,"&lt;5000",Courses!$E$1:'Courses'!$E$20000,2020,Courses!$I$1:'Courses'!$I$20000,"&gt;=50",Courses!$I$1:'Courses'!$I$20000,"&lt;100",Courses!$L$1:'Courses'!$L$20000,0)</f>
        <v>3</v>
      </c>
      <c r="H25">
        <f>COUNTIFS(Courses!$B$1:'Courses'!$B$20000,"Humanities",Courses!$D$1:'Courses'!$D$20000,"&gt;=4000",Courses!$D$1:'Courses'!$D$20000,"&lt;5000",Courses!$E$1:'Courses'!$E$20000,2020,Courses!$I$1:'Courses'!$I$20000,"&gt;=100",Courses!$L$1:'Courses'!$L$20000,0)</f>
        <v>0</v>
      </c>
      <c r="I25">
        <f t="shared" si="0"/>
        <v>112</v>
      </c>
      <c r="J25" s="3">
        <f t="shared" si="1"/>
        <v>84.8</v>
      </c>
      <c r="K25" s="3">
        <f t="shared" si="2"/>
        <v>2.6785714285714284</v>
      </c>
    </row>
    <row r="26" spans="1:11" x14ac:dyDescent="0.2">
      <c r="A26" t="s">
        <v>2121</v>
      </c>
      <c r="B26">
        <f>COUNTIFS(Courses!$B$1:'Courses'!$B$20000,"Humanities",Courses!$D$1:'Courses'!$D$20000,"&gt;=5000",Courses!$D$1:'Courses'!$D$20000,"&lt;6000",Courses!$E$1:'Courses'!$E$20000,2020,Courses!$I$1:'Courses'!$I$20000,"&gt;=2",Courses!$I$1:'Courses'!$I$20000,"&lt;10",Courses!$L$1:'Courses'!$L$20000,0)</f>
        <v>5</v>
      </c>
      <c r="C26">
        <f>COUNTIFS(Courses!$B$1:'Courses'!$B$20000,"Humanities",Courses!$D$1:'Courses'!$D$20000,"&gt;=5000",Courses!$D$1:'Courses'!$D$20000,"&lt;6000",Courses!$E$1:'Courses'!$E$20000,2020,Courses!$I$1:'Courses'!$I$20000,"&gt;=10",Courses!$I$1:'Courses'!$I$20000,"&lt;20",Courses!$L$1:'Courses'!$L$20000,0)</f>
        <v>1</v>
      </c>
      <c r="D26">
        <f>COUNTIFS(Courses!$B$1:'Courses'!$B$20000,"Humanities",Courses!$D$1:'Courses'!$D$20000,"&gt;=5000",Courses!$D$1:'Courses'!$D$20000,"&lt;6000",Courses!$E$1:'Courses'!$E$20000,2020,Courses!$I$1:'Courses'!$I$20000,"&gt;=20",Courses!$I$1:'Courses'!$I$20000,"&lt;30",Courses!$L$1:'Courses'!$L$20000,0)</f>
        <v>0</v>
      </c>
      <c r="E26">
        <f>COUNTIFS(Courses!$B$1:'Courses'!$B$20000,"Humanities",Courses!$D$1:'Courses'!$D$20000,"&gt;=5000",Courses!$D$1:'Courses'!$D$20000,"&lt;6000",Courses!$E$1:'Courses'!$E$20000,2020,Courses!$I$1:'Courses'!$I$20000,"&gt;=30",Courses!$I$1:'Courses'!$I$20000,"&lt;40",Courses!$L$1:'Courses'!$L$20000,0)</f>
        <v>0</v>
      </c>
      <c r="F26">
        <f>COUNTIFS(Courses!$B$1:'Courses'!$B$20000,"Humanities",Courses!$D$1:'Courses'!$D$20000,"&gt;=5000",Courses!$D$1:'Courses'!$D$20000,"&lt;6000",Courses!$E$1:'Courses'!$E$20000,2020,Courses!$I$1:'Courses'!$I$20000,"&gt;=40",Courses!$I$1:'Courses'!$I$20000,"&lt;50",Courses!$L$1:'Courses'!$L$20000,0)</f>
        <v>0</v>
      </c>
      <c r="G26">
        <f>COUNTIFS(Courses!$B$1:'Courses'!$B$20000,"Humanities",Courses!$D$1:'Courses'!$D$20000,"&gt;=5000",Courses!$D$1:'Courses'!$D$20000,"&lt;6000",Courses!$E$1:'Courses'!$E$20000,2020,Courses!$I$1:'Courses'!$I$20000,"&gt;=50",Courses!$I$1:'Courses'!$I$20000,"&lt;100",Courses!$L$1:'Courses'!$L$20000,0)</f>
        <v>0</v>
      </c>
      <c r="H26">
        <f>COUNTIFS(Courses!$B$1:'Courses'!$B$20000,"Humanities",Courses!$D$1:'Courses'!$D$20000,"&gt;=5000",Courses!$D$1:'Courses'!$D$20000,"&lt;6000",Courses!$E$1:'Courses'!$E$20000,2020,Courses!$I$1:'Courses'!$I$20000,"&gt;=100",Courses!$L$1:'Courses'!$L$20000,0)</f>
        <v>0</v>
      </c>
      <c r="I26">
        <f t="shared" si="0"/>
        <v>6</v>
      </c>
      <c r="J26" s="3">
        <f t="shared" si="1"/>
        <v>100</v>
      </c>
      <c r="K26" s="3">
        <f t="shared" si="2"/>
        <v>0</v>
      </c>
    </row>
    <row r="27" spans="1:11" x14ac:dyDescent="0.2">
      <c r="A27" t="s">
        <v>2122</v>
      </c>
      <c r="B27">
        <f>COUNTIFS(Courses!$B$1:'Courses'!$B$20000,"Humanities",Courses!$D$1:'Courses'!$D$20000,"&gt;=6000",Courses!$D$1:'Courses'!$D$20000,"&lt;7000",Courses!$E$1:'Courses'!$E$20000,2020,Courses!$I$1:'Courses'!$I$20000,"&gt;=2",Courses!$I$1:'Courses'!$I$20000,"&lt;10",Courses!$L$1:'Courses'!$L$20000,0)</f>
        <v>19</v>
      </c>
      <c r="C27">
        <f>COUNTIFS(Courses!$B$1:'Courses'!$B$20000,"Humanities",Courses!$D$1:'Courses'!$D$20000,"&gt;=6000",Courses!$D$1:'Courses'!$D$20000,"&lt;7000",Courses!$E$1:'Courses'!$E$20000,2020,Courses!$I$1:'Courses'!$I$20000,"&gt;=10",Courses!$I$1:'Courses'!$I$20000,"&lt;20",Courses!$L$1:'Courses'!$L$20000,0)</f>
        <v>12</v>
      </c>
      <c r="D27">
        <f>COUNTIFS(Courses!$B$1:'Courses'!$B$20000,"Humanities",Courses!$D$1:'Courses'!$D$20000,"&gt;=6000",Courses!$D$1:'Courses'!$D$20000,"&lt;7000",Courses!$E$1:'Courses'!$E$20000,2020,Courses!$I$1:'Courses'!$I$20000,"&gt;=20",Courses!$I$1:'Courses'!$I$20000,"&lt;30",Courses!$L$1:'Courses'!$L$20000,0)</f>
        <v>1</v>
      </c>
      <c r="E27">
        <f>COUNTIFS(Courses!$B$1:'Courses'!$B$20000,"Humanities",Courses!$D$1:'Courses'!$D$20000,"&gt;=6000",Courses!$D$1:'Courses'!$D$20000,"&lt;7000",Courses!$E$1:'Courses'!$E$20000,2020,Courses!$I$1:'Courses'!$I$20000,"&gt;=30",Courses!$I$1:'Courses'!$I$20000,"&lt;40",Courses!$L$1:'Courses'!$L$20000,0)</f>
        <v>0</v>
      </c>
      <c r="F27">
        <f>COUNTIFS(Courses!$B$1:'Courses'!$B$20000,"Humanities",Courses!$D$1:'Courses'!$D$20000,"&gt;=6000",Courses!$D$1:'Courses'!$D$20000,"&lt;7000",Courses!$E$1:'Courses'!$E$20000,2020,Courses!$I$1:'Courses'!$I$20000,"&gt;=40",Courses!$I$1:'Courses'!$I$20000,"&lt;50",Courses!$L$1:'Courses'!$L$20000,0)</f>
        <v>0</v>
      </c>
      <c r="G27">
        <f>COUNTIFS(Courses!$B$1:'Courses'!$B$20000,"Humanities",Courses!$D$1:'Courses'!$D$20000,"&gt;=6000",Courses!$D$1:'Courses'!$D$20000,"&lt;7000",Courses!$E$1:'Courses'!$E$20000,2020,Courses!$I$1:'Courses'!$I$20000,"&gt;=50",Courses!$I$1:'Courses'!$I$20000,"&lt;100",Courses!$L$1:'Courses'!$L$20000,0)</f>
        <v>0</v>
      </c>
      <c r="H27">
        <f>COUNTIFS(Courses!$B$1:'Courses'!$B$20000,"Humanities",Courses!$D$1:'Courses'!$D$20000,"&gt;=6000",Courses!$D$1:'Courses'!$D$20000,"&lt;7000",Courses!$E$1:'Courses'!$E$20000,2020,Courses!$I$1:'Courses'!$I$20000,"&gt;=100",Courses!$L$1:'Courses'!$L$20000,0)</f>
        <v>0</v>
      </c>
      <c r="I27">
        <f t="shared" si="0"/>
        <v>32</v>
      </c>
      <c r="J27" s="3">
        <f t="shared" si="1"/>
        <v>96.9</v>
      </c>
      <c r="K27" s="3">
        <f t="shared" si="2"/>
        <v>0</v>
      </c>
    </row>
    <row r="28" spans="1:11" x14ac:dyDescent="0.2">
      <c r="A28" t="s">
        <v>2123</v>
      </c>
      <c r="B28">
        <f>COUNTIFS(Courses!$B$1:'Courses'!$B$20000,"Humanities",Courses!$D$1:'Courses'!$D$20000,"&gt;=8000",Courses!$D$1:'Courses'!$D$20000,"&lt;9000",Courses!$E$1:'Courses'!$E$20000,2020,Courses!$I$1:'Courses'!$I$20000,"&gt;=2",Courses!$I$1:'Courses'!$I$20000,"&lt;10",Courses!$L$1:'Courses'!$L$20000,0)</f>
        <v>20</v>
      </c>
      <c r="C28">
        <f>COUNTIFS(Courses!$B$1:'Courses'!$B$20000,"Humanities",Courses!$D$1:'Courses'!$D$20000,"&gt;=8000",Courses!$D$1:'Courses'!$D$20000,"&lt;9000",Courses!$E$1:'Courses'!$E$20000,2020,Courses!$I$1:'Courses'!$I$20000,"&gt;=10",Courses!$I$1:'Courses'!$I$20000,"&lt;20",Courses!$L$1:'Courses'!$L$20000,0)</f>
        <v>12</v>
      </c>
      <c r="D28">
        <f>COUNTIFS(Courses!$B$1:'Courses'!$B$20000,"Humanities",Courses!$D$1:'Courses'!$D$20000,"&gt;=8000",Courses!$D$1:'Courses'!$D$20000,"&lt;9000",Courses!$E$1:'Courses'!$E$20000,2020,Courses!$I$1:'Courses'!$I$20000,"&gt;=20",Courses!$I$1:'Courses'!$I$20000,"&lt;30",Courses!$L$1:'Courses'!$L$20000,0)</f>
        <v>0</v>
      </c>
      <c r="E28">
        <f>COUNTIFS(Courses!$B$1:'Courses'!$B$20000,"Humanities",Courses!$D$1:'Courses'!$D$20000,"&gt;=8000",Courses!$D$1:'Courses'!$D$20000,"&lt;9000",Courses!$E$1:'Courses'!$E$20000,2020,Courses!$I$1:'Courses'!$I$20000,"&gt;=30",Courses!$I$1:'Courses'!$I$20000,"&lt;40",Courses!$L$1:'Courses'!$L$20000,0)</f>
        <v>0</v>
      </c>
      <c r="F28">
        <f>COUNTIFS(Courses!$B$1:'Courses'!$B$20000,"Humanities",Courses!$D$1:'Courses'!$D$20000,"&gt;=8000",Courses!$D$1:'Courses'!$D$20000,"&lt;9000",Courses!$E$1:'Courses'!$E$20000,2020,Courses!$I$1:'Courses'!$I$20000,"&gt;=40",Courses!$I$1:'Courses'!$I$20000,"&lt;50",Courses!$L$1:'Courses'!$L$20000,0)</f>
        <v>0</v>
      </c>
      <c r="G28">
        <f>COUNTIFS(Courses!$B$1:'Courses'!$B$20000,"Humanities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28">
        <f>COUNTIFS(Courses!$B$1:'Courses'!$B$20000,"Humanities",Courses!$D$1:'Courses'!$D$20000,"&gt;=8000",Courses!$D$1:'Courses'!$D$20000,"&lt;9000",Courses!$E$1:'Courses'!$E$20000,2020,Courses!$I$1:'Courses'!$I$20000,"&gt;=100",Courses!$L$1:'Courses'!$L$20000,0)</f>
        <v>0</v>
      </c>
      <c r="I28">
        <f t="shared" si="0"/>
        <v>32</v>
      </c>
      <c r="J28" s="3">
        <f t="shared" si="1"/>
        <v>100</v>
      </c>
      <c r="K28" s="3">
        <f t="shared" si="2"/>
        <v>0</v>
      </c>
    </row>
    <row r="29" spans="1:11" x14ac:dyDescent="0.2">
      <c r="A29" t="s">
        <v>2124</v>
      </c>
      <c r="B29">
        <f>COUNTIFS(Courses!$B$1:'Courses'!$B$20000,"Humanities",Courses!$D$1:'Courses'!$D$20000,"&gt;=1000",Courses!$D$1:'Courses'!$D$20000,"&lt;9000",Courses!$E$1:'Courses'!$E$20000,2020,Courses!$I$1:'Courses'!$I$20000,"&gt;=2",Courses!$I$1:'Courses'!$I$20000,"&lt;10",Courses!$L$1:'Courses'!$L$20000,0)</f>
        <v>256</v>
      </c>
      <c r="C29">
        <f>COUNTIFS(Courses!$B$1:'Courses'!$B$20000,"Humanities",Courses!$D$1:'Courses'!$D$20000,"&gt;=1000",Courses!$D$1:'Courses'!$D$20000,"&lt;9000",Courses!$E$1:'Courses'!$E$20000,2020,Courses!$I$1:'Courses'!$I$20000,"&gt;=10",Courses!$I$1:'Courses'!$I$20000,"&lt;20",Courses!$L$1:'Courses'!$L$20000,0)</f>
        <v>310</v>
      </c>
      <c r="D29">
        <f>COUNTIFS(Courses!$B$1:'Courses'!$B$20000,"Humanities",Courses!$D$1:'Courses'!$D$20000,"&gt;=1000",Courses!$D$1:'Courses'!$D$20000,"&lt;9000",Courses!$E$1:'Courses'!$E$20000,2020,Courses!$I$1:'Courses'!$I$20000,"&gt;=20",Courses!$I$1:'Courses'!$I$20000,"&lt;30",Courses!$L$1:'Courses'!$L$20000,0)</f>
        <v>28</v>
      </c>
      <c r="E29">
        <f>COUNTIFS(Courses!$B$1:'Courses'!$B$20000,"Humanities",Courses!$D$1:'Courses'!$D$20000,"&gt;=1000",Courses!$D$1:'Courses'!$D$20000,"&lt;9000",Courses!$E$1:'Courses'!$E$20000,2020,Courses!$I$1:'Courses'!$I$20000,"&gt;=30",Courses!$I$1:'Courses'!$I$20000,"&lt;40",Courses!$L$1:'Courses'!$L$20000,0)</f>
        <v>12</v>
      </c>
      <c r="F29">
        <f>COUNTIFS(Courses!$B$1:'Courses'!$B$20000,"Humanities",Courses!$D$1:'Courses'!$D$20000,"&gt;=1000",Courses!$D$1:'Courses'!$D$20000,"&lt;9000",Courses!$E$1:'Courses'!$E$20000,2020,Courses!$I$1:'Courses'!$I$20000,"&gt;=40",Courses!$I$1:'Courses'!$I$20000,"&lt;50",Courses!$L$1:'Courses'!$L$20000,0)</f>
        <v>9</v>
      </c>
      <c r="G29">
        <f>COUNTIFS(Courses!$B$1:'Courses'!$B$20000,"Humanities",Courses!$D$1:'Courses'!$D$20000,"&gt;=1000",Courses!$D$1:'Courses'!$D$20000,"&lt;9000",Courses!$E$1:'Courses'!$E$20000,2020,Courses!$I$1:'Courses'!$I$20000,"&gt;=50",Courses!$I$1:'Courses'!$I$20000,"&lt;100",Courses!$L$1:'Courses'!$L$20000,0)</f>
        <v>13</v>
      </c>
      <c r="H29">
        <f>COUNTIFS(Courses!$B$1:'Courses'!$B$20000,"Humanities",Courses!$D$1:'Courses'!$D$20000,"&gt;=1000",Courses!$D$1:'Courses'!$D$20000,"&lt;9000",Courses!$E$1:'Courses'!$E$20000,2020,Courses!$I$1:'Courses'!$I$20000,"&gt;=100",Courses!$L$1:'Courses'!$L$20000,0)</f>
        <v>3</v>
      </c>
      <c r="I29">
        <f t="shared" si="0"/>
        <v>631</v>
      </c>
      <c r="J29" s="3">
        <f t="shared" si="1"/>
        <v>89.7</v>
      </c>
      <c r="K29" s="3">
        <f t="shared" si="2"/>
        <v>2.5356576862123612</v>
      </c>
    </row>
    <row r="30" spans="1:11" x14ac:dyDescent="0.2">
      <c r="A30" t="s">
        <v>2125</v>
      </c>
      <c r="B30">
        <f>COUNTIFS(Courses!$B$1:'Courses'!$B$20000,"NatSci",Courses!$D$1:'Courses'!$D$20000,"&gt;=1000",Courses!$D$1:'Courses'!$D$20000,"&lt;2000",Courses!$E$1:'Courses'!$E$20000,2020,Courses!$I$1:'Courses'!$I$20000,"&gt;=2",Courses!$I$1:'Courses'!$I$20000,"&lt;10",Courses!$L$1:'Courses'!$L$20000,0)</f>
        <v>8</v>
      </c>
      <c r="C30">
        <f>COUNTIFS(Courses!$B$1:'Courses'!$B$20000,"NatSci",Courses!$D$1:'Courses'!$D$20000,"&gt;=1000",Courses!$D$1:'Courses'!$D$20000,"&lt;2000",Courses!$E$1:'Courses'!$E$20000,2020,Courses!$I$1:'Courses'!$I$20000,"&gt;=10",Courses!$I$1:'Courses'!$I$20000,"&lt;20",Courses!$L$1:'Courses'!$L$20000,0)</f>
        <v>12</v>
      </c>
      <c r="D30">
        <f>COUNTIFS(Courses!$B$1:'Courses'!$B$20000,"NatSci",Courses!$D$1:'Courses'!$D$20000,"&gt;=1000",Courses!$D$1:'Courses'!$D$20000,"&lt;2000",Courses!$E$1:'Courses'!$E$20000,2020,Courses!$I$1:'Courses'!$I$20000,"&gt;=20",Courses!$I$1:'Courses'!$I$20000,"&lt;30",Courses!$L$1:'Courses'!$L$20000,0)</f>
        <v>5</v>
      </c>
      <c r="E30">
        <f>COUNTIFS(Courses!$B$1:'Courses'!$B$20000,"NatSci",Courses!$D$1:'Courses'!$D$20000,"&gt;=1000",Courses!$D$1:'Courses'!$D$20000,"&lt;2000",Courses!$E$1:'Courses'!$E$20000,2020,Courses!$I$1:'Courses'!$I$20000,"&gt;=30",Courses!$I$1:'Courses'!$I$20000,"&lt;40",Courses!$L$1:'Courses'!$L$20000,0)</f>
        <v>7</v>
      </c>
      <c r="F30">
        <f>COUNTIFS(Courses!$B$1:'Courses'!$B$20000,"NatSci",Courses!$D$1:'Courses'!$D$20000,"&gt;=1000",Courses!$D$1:'Courses'!$D$20000,"&lt;2000",Courses!$E$1:'Courses'!$E$20000,2020,Courses!$I$1:'Courses'!$I$20000,"&gt;=40",Courses!$I$1:'Courses'!$I$20000,"&lt;50",Courses!$L$1:'Courses'!$L$20000,0)</f>
        <v>5</v>
      </c>
      <c r="G30">
        <f>COUNTIFS(Courses!$B$1:'Courses'!$B$20000,"NatSci",Courses!$D$1:'Courses'!$D$20000,"&gt;=1000",Courses!$D$1:'Courses'!$D$20000,"&lt;2000",Courses!$E$1:'Courses'!$E$20000,2020,Courses!$I$1:'Courses'!$I$20000,"&gt;=50",Courses!$I$1:'Courses'!$I$20000,"&lt;100",Courses!$L$1:'Courses'!$L$20000,0)</f>
        <v>26</v>
      </c>
      <c r="H30">
        <f>COUNTIFS(Courses!$B$1:'Courses'!$B$20000,"NatSci",Courses!$D$1:'Courses'!$D$20000,"&gt;=1000",Courses!$D$1:'Courses'!$D$20000,"&lt;2000",Courses!$E$1:'Courses'!$E$20000,2020,Courses!$I$1:'Courses'!$I$20000,"&gt;=100",Courses!$L$1:'Courses'!$L$20000,0)</f>
        <v>17</v>
      </c>
      <c r="I30">
        <f t="shared" si="0"/>
        <v>80</v>
      </c>
      <c r="J30" s="3">
        <f t="shared" si="1"/>
        <v>25</v>
      </c>
      <c r="K30" s="3">
        <f t="shared" si="2"/>
        <v>53.75</v>
      </c>
    </row>
    <row r="31" spans="1:11" x14ac:dyDescent="0.2">
      <c r="A31" t="s">
        <v>2126</v>
      </c>
      <c r="B31">
        <f>COUNTIFS(Courses!$B$1:'Courses'!$B$20000,"NatSci",Courses!$D$1:'Courses'!$D$20000,"&gt;=2000",Courses!$D$1:'Courses'!$D$20000,"&lt;3000",Courses!$E$1:'Courses'!$E$20000,2020,Courses!$I$1:'Courses'!$I$20000,"&gt;=2",Courses!$I$1:'Courses'!$I$20000,"&lt;10",Courses!$L$1:'Courses'!$L$20000,0)</f>
        <v>3</v>
      </c>
      <c r="C31">
        <f>COUNTIFS(Courses!$B$1:'Courses'!$B$20000,"NatSci",Courses!$D$1:'Courses'!$D$20000,"&gt;=2000",Courses!$D$1:'Courses'!$D$20000,"&lt;3000",Courses!$E$1:'Courses'!$E$20000,2020,Courses!$I$1:'Courses'!$I$20000,"&gt;=10",Courses!$I$1:'Courses'!$I$20000,"&lt;20",Courses!$L$1:'Courses'!$L$20000,0)</f>
        <v>2</v>
      </c>
      <c r="D31">
        <f>COUNTIFS(Courses!$B$1:'Courses'!$B$20000,"NatSci",Courses!$D$1:'Courses'!$D$20000,"&gt;=2000",Courses!$D$1:'Courses'!$D$20000,"&lt;3000",Courses!$E$1:'Courses'!$E$20000,2020,Courses!$I$1:'Courses'!$I$20000,"&gt;=20",Courses!$I$1:'Courses'!$I$20000,"&lt;30",Courses!$L$1:'Courses'!$L$20000,0)</f>
        <v>3</v>
      </c>
      <c r="E31">
        <f>COUNTIFS(Courses!$B$1:'Courses'!$B$20000,"NatSci",Courses!$D$1:'Courses'!$D$20000,"&gt;=2000",Courses!$D$1:'Courses'!$D$20000,"&lt;3000",Courses!$E$1:'Courses'!$E$20000,2020,Courses!$I$1:'Courses'!$I$20000,"&gt;=30",Courses!$I$1:'Courses'!$I$20000,"&lt;40",Courses!$L$1:'Courses'!$L$20000,0)</f>
        <v>5</v>
      </c>
      <c r="F31">
        <f>COUNTIFS(Courses!$B$1:'Courses'!$B$20000,"NatSci",Courses!$D$1:'Courses'!$D$20000,"&gt;=2000",Courses!$D$1:'Courses'!$D$20000,"&lt;3000",Courses!$E$1:'Courses'!$E$20000,2020,Courses!$I$1:'Courses'!$I$20000,"&gt;=40",Courses!$I$1:'Courses'!$I$20000,"&lt;50",Courses!$L$1:'Courses'!$L$20000,0)</f>
        <v>6</v>
      </c>
      <c r="G31">
        <f>COUNTIFS(Courses!$B$1:'Courses'!$B$20000,"NatSci",Courses!$D$1:'Courses'!$D$20000,"&gt;=2000",Courses!$D$1:'Courses'!$D$20000,"&lt;3000",Courses!$E$1:'Courses'!$E$20000,2020,Courses!$I$1:'Courses'!$I$20000,"&gt;=50",Courses!$I$1:'Courses'!$I$20000,"&lt;100",Courses!$L$1:'Courses'!$L$20000,0)</f>
        <v>8</v>
      </c>
      <c r="H31">
        <f>COUNTIFS(Courses!$B$1:'Courses'!$B$20000,"NatSci",Courses!$D$1:'Courses'!$D$20000,"&gt;=2000",Courses!$D$1:'Courses'!$D$20000,"&lt;3000",Courses!$E$1:'Courses'!$E$20000,2020,Courses!$I$1:'Courses'!$I$20000,"&gt;=100",Courses!$L$1:'Courses'!$L$20000,0)</f>
        <v>7</v>
      </c>
      <c r="I31">
        <f t="shared" si="0"/>
        <v>34</v>
      </c>
      <c r="J31" s="3">
        <f t="shared" si="1"/>
        <v>14.7</v>
      </c>
      <c r="K31" s="3">
        <f t="shared" si="2"/>
        <v>44.117647058823529</v>
      </c>
    </row>
    <row r="32" spans="1:11" x14ac:dyDescent="0.2">
      <c r="A32" t="s">
        <v>2127</v>
      </c>
      <c r="B32">
        <f>COUNTIFS(Courses!$B$1:'Courses'!$B$20000,"NatSci",Courses!$D$1:'Courses'!$D$20000,"&gt;=3000",Courses!$D$1:'Courses'!$D$20000,"&lt;4000",Courses!$E$1:'Courses'!$E$20000,2020,Courses!$I$1:'Courses'!$I$20000,"&gt;=2",Courses!$I$1:'Courses'!$I$20000,"&lt;10",Courses!$L$1:'Courses'!$L$20000,0)</f>
        <v>6</v>
      </c>
      <c r="C32">
        <f>COUNTIFS(Courses!$B$1:'Courses'!$B$20000,"NatSci",Courses!$D$1:'Courses'!$D$20000,"&gt;=3000",Courses!$D$1:'Courses'!$D$20000,"&lt;4000",Courses!$E$1:'Courses'!$E$20000,2020,Courses!$I$1:'Courses'!$I$20000,"&gt;=10",Courses!$I$1:'Courses'!$I$20000,"&lt;20",Courses!$L$1:'Courses'!$L$20000,0)</f>
        <v>8</v>
      </c>
      <c r="D32">
        <f>COUNTIFS(Courses!$B$1:'Courses'!$B$20000,"NatSci",Courses!$D$1:'Courses'!$D$20000,"&gt;=3000",Courses!$D$1:'Courses'!$D$20000,"&lt;4000",Courses!$E$1:'Courses'!$E$20000,2020,Courses!$I$1:'Courses'!$I$20000,"&gt;=20",Courses!$I$1:'Courses'!$I$20000,"&lt;30",Courses!$L$1:'Courses'!$L$20000,0)</f>
        <v>10</v>
      </c>
      <c r="E32">
        <f>COUNTIFS(Courses!$B$1:'Courses'!$B$20000,"NatSci",Courses!$D$1:'Courses'!$D$20000,"&gt;=3000",Courses!$D$1:'Courses'!$D$20000,"&lt;4000",Courses!$E$1:'Courses'!$E$20000,2020,Courses!$I$1:'Courses'!$I$20000,"&gt;=30",Courses!$I$1:'Courses'!$I$20000,"&lt;40",Courses!$L$1:'Courses'!$L$20000,0)</f>
        <v>4</v>
      </c>
      <c r="F32">
        <f>COUNTIFS(Courses!$B$1:'Courses'!$B$20000,"NatSci",Courses!$D$1:'Courses'!$D$20000,"&gt;=3000",Courses!$D$1:'Courses'!$D$20000,"&lt;4000",Courses!$E$1:'Courses'!$E$20000,2020,Courses!$I$1:'Courses'!$I$20000,"&gt;=40",Courses!$I$1:'Courses'!$I$20000,"&lt;50",Courses!$L$1:'Courses'!$L$20000,0)</f>
        <v>1</v>
      </c>
      <c r="G32">
        <f>COUNTIFS(Courses!$B$1:'Courses'!$B$20000,"NatSci",Courses!$D$1:'Courses'!$D$20000,"&gt;=3000",Courses!$D$1:'Courses'!$D$20000,"&lt;4000",Courses!$E$1:'Courses'!$E$20000,2020,Courses!$I$1:'Courses'!$I$20000,"&gt;=50",Courses!$I$1:'Courses'!$I$20000,"&lt;100",Courses!$L$1:'Courses'!$L$20000,0)</f>
        <v>5</v>
      </c>
      <c r="H32">
        <f>COUNTIFS(Courses!$B$1:'Courses'!$B$20000,"NatSci",Courses!$D$1:'Courses'!$D$20000,"&gt;=3000",Courses!$D$1:'Courses'!$D$20000,"&lt;4000",Courses!$E$1:'Courses'!$E$20000,2020,Courses!$I$1:'Courses'!$I$20000,"&gt;=100",Courses!$L$1:'Courses'!$L$20000,0)</f>
        <v>1</v>
      </c>
      <c r="I32">
        <f t="shared" si="0"/>
        <v>35</v>
      </c>
      <c r="J32" s="3">
        <f t="shared" si="1"/>
        <v>40</v>
      </c>
      <c r="K32" s="3">
        <f t="shared" si="2"/>
        <v>17.142857142857142</v>
      </c>
    </row>
    <row r="33" spans="1:11" x14ac:dyDescent="0.2">
      <c r="A33" t="s">
        <v>2128</v>
      </c>
      <c r="B33">
        <f>COUNTIFS(Courses!$B$1:'Courses'!$B$20000,"NatSci",Courses!$D$1:'Courses'!$D$20000,"&gt;=4000",Courses!$D$1:'Courses'!$D$20000,"&lt;5000",Courses!$E$1:'Courses'!$E$20000,2020,Courses!$I$1:'Courses'!$I$20000,"&gt;=2",Courses!$I$1:'Courses'!$I$20000,"&lt;10",Courses!$L$1:'Courses'!$L$20000,0)</f>
        <v>18</v>
      </c>
      <c r="C33">
        <f>COUNTIFS(Courses!$B$1:'Courses'!$B$20000,"NatSci",Courses!$D$1:'Courses'!$D$20000,"&gt;=4000",Courses!$D$1:'Courses'!$D$20000,"&lt;5000",Courses!$E$1:'Courses'!$E$20000,2020,Courses!$I$1:'Courses'!$I$20000,"&gt;=10",Courses!$I$1:'Courses'!$I$20000,"&lt;20",Courses!$L$1:'Courses'!$L$20000,0)</f>
        <v>39</v>
      </c>
      <c r="D33">
        <f>COUNTIFS(Courses!$B$1:'Courses'!$B$20000,"NatSci",Courses!$D$1:'Courses'!$D$20000,"&gt;=4000",Courses!$D$1:'Courses'!$D$20000,"&lt;5000",Courses!$E$1:'Courses'!$E$20000,2020,Courses!$I$1:'Courses'!$I$20000,"&gt;=20",Courses!$I$1:'Courses'!$I$20000,"&lt;30",Courses!$L$1:'Courses'!$L$20000,0)</f>
        <v>16</v>
      </c>
      <c r="E33">
        <f>COUNTIFS(Courses!$B$1:'Courses'!$B$20000,"NatSci",Courses!$D$1:'Courses'!$D$20000,"&gt;=4000",Courses!$D$1:'Courses'!$D$20000,"&lt;5000",Courses!$E$1:'Courses'!$E$20000,2020,Courses!$I$1:'Courses'!$I$20000,"&gt;=30",Courses!$I$1:'Courses'!$I$20000,"&lt;40",Courses!$L$1:'Courses'!$L$20000,0)</f>
        <v>6</v>
      </c>
      <c r="F33">
        <f>COUNTIFS(Courses!$B$1:'Courses'!$B$20000,"NatSci",Courses!$D$1:'Courses'!$D$20000,"&gt;=4000",Courses!$D$1:'Courses'!$D$20000,"&lt;5000",Courses!$E$1:'Courses'!$E$20000,2020,Courses!$I$1:'Courses'!$I$20000,"&gt;=40",Courses!$I$1:'Courses'!$I$20000,"&lt;50",Courses!$L$1:'Courses'!$L$20000,0)</f>
        <v>1</v>
      </c>
      <c r="G33">
        <f>COUNTIFS(Courses!$B$1:'Courses'!$B$20000,"NatSci",Courses!$D$1:'Courses'!$D$20000,"&gt;=4000",Courses!$D$1:'Courses'!$D$20000,"&lt;5000",Courses!$E$1:'Courses'!$E$20000,2020,Courses!$I$1:'Courses'!$I$20000,"&gt;=50",Courses!$I$1:'Courses'!$I$20000,"&lt;100",Courses!$L$1:'Courses'!$L$20000,0)</f>
        <v>3</v>
      </c>
      <c r="H33">
        <f>COUNTIFS(Courses!$B$1:'Courses'!$B$20000,"NatSci",Courses!$D$1:'Courses'!$D$20000,"&gt;=4000",Courses!$D$1:'Courses'!$D$20000,"&lt;5000",Courses!$E$1:'Courses'!$E$20000,2020,Courses!$I$1:'Courses'!$I$20000,"&gt;=100",Courses!$L$1:'Courses'!$L$20000,0)</f>
        <v>2</v>
      </c>
      <c r="I33">
        <f t="shared" si="0"/>
        <v>85</v>
      </c>
      <c r="J33" s="3">
        <f t="shared" si="1"/>
        <v>67.099999999999994</v>
      </c>
      <c r="K33" s="3">
        <f t="shared" si="2"/>
        <v>5.882352941176471</v>
      </c>
    </row>
    <row r="34" spans="1:11" x14ac:dyDescent="0.2">
      <c r="A34" t="s">
        <v>2129</v>
      </c>
      <c r="B34">
        <f>COUNTIFS(Courses!$B$1:'Courses'!$B$20000,"NatSci",Courses!$D$1:'Courses'!$D$20000,"&gt;=5000",Courses!$D$1:'Courses'!$D$20000,"&lt;6000",Courses!$E$1:'Courses'!$E$20000,2020,Courses!$I$1:'Courses'!$I$20000,"&gt;=2",Courses!$I$1:'Courses'!$I$20000,"&lt;10",Courses!$L$1:'Courses'!$L$20000,0)</f>
        <v>2</v>
      </c>
      <c r="C34">
        <f>COUNTIFS(Courses!$B$1:'Courses'!$B$20000,"NatSci",Courses!$D$1:'Courses'!$D$20000,"&gt;=5000",Courses!$D$1:'Courses'!$D$20000,"&lt;6000",Courses!$E$1:'Courses'!$E$20000,2020,Courses!$I$1:'Courses'!$I$20000,"&gt;=10",Courses!$I$1:'Courses'!$I$20000,"&lt;20",Courses!$L$1:'Courses'!$L$20000,0)</f>
        <v>4</v>
      </c>
      <c r="D34">
        <f>COUNTIFS(Courses!$B$1:'Courses'!$B$20000,"NatSci",Courses!$D$1:'Courses'!$D$20000,"&gt;=5000",Courses!$D$1:'Courses'!$D$20000,"&lt;6000",Courses!$E$1:'Courses'!$E$20000,2020,Courses!$I$1:'Courses'!$I$20000,"&gt;=20",Courses!$I$1:'Courses'!$I$20000,"&lt;30",Courses!$L$1:'Courses'!$L$20000,0)</f>
        <v>3</v>
      </c>
      <c r="E34">
        <f>COUNTIFS(Courses!$B$1:'Courses'!$B$20000,"NatSci",Courses!$D$1:'Courses'!$D$20000,"&gt;=5000",Courses!$D$1:'Courses'!$D$20000,"&lt;6000",Courses!$E$1:'Courses'!$E$20000,2020,Courses!$I$1:'Courses'!$I$20000,"&gt;=30",Courses!$I$1:'Courses'!$I$20000,"&lt;40",Courses!$L$1:'Courses'!$L$20000,0)</f>
        <v>1</v>
      </c>
      <c r="F34">
        <f>COUNTIFS(Courses!$B$1:'Courses'!$B$20000,"NatSci",Courses!$D$1:'Courses'!$D$20000,"&gt;=5000",Courses!$D$1:'Courses'!$D$20000,"&lt;6000",Courses!$E$1:'Courses'!$E$20000,2020,Courses!$I$1:'Courses'!$I$20000,"&gt;=40",Courses!$I$1:'Courses'!$I$20000,"&lt;50",Courses!$L$1:'Courses'!$L$20000,0)</f>
        <v>2</v>
      </c>
      <c r="G34">
        <f>COUNTIFS(Courses!$B$1:'Courses'!$B$20000,"NatSci",Courses!$D$1:'Courses'!$D$20000,"&gt;=5000",Courses!$D$1:'Courses'!$D$20000,"&lt;6000",Courses!$E$1:'Courses'!$E$20000,2020,Courses!$I$1:'Courses'!$I$20000,"&gt;=50",Courses!$I$1:'Courses'!$I$20000,"&lt;100",Courses!$L$1:'Courses'!$L$20000,0)</f>
        <v>1</v>
      </c>
      <c r="H34">
        <f>COUNTIFS(Courses!$B$1:'Courses'!$B$20000,"NatSci",Courses!$D$1:'Courses'!$D$20000,"&gt;=5000",Courses!$D$1:'Courses'!$D$20000,"&lt;6000",Courses!$E$1:'Courses'!$E$20000,2020,Courses!$I$1:'Courses'!$I$20000,"&gt;=100",Courses!$L$1:'Courses'!$L$20000,0)</f>
        <v>3</v>
      </c>
      <c r="I34">
        <f t="shared" si="0"/>
        <v>16</v>
      </c>
      <c r="J34" s="3">
        <f t="shared" si="1"/>
        <v>37.5</v>
      </c>
      <c r="K34" s="3">
        <f t="shared" si="2"/>
        <v>25</v>
      </c>
    </row>
    <row r="35" spans="1:11" x14ac:dyDescent="0.2">
      <c r="A35" t="s">
        <v>2130</v>
      </c>
      <c r="B35">
        <f>COUNTIFS(Courses!$B$1:'Courses'!$B$20000,"NatSci",Courses!$D$1:'Courses'!$D$20000,"&gt;=6000",Courses!$D$1:'Courses'!$D$20000,"&lt;7000",Courses!$E$1:'Courses'!$E$20000,2020,Courses!$I$1:'Courses'!$I$20000,"&gt;=2",Courses!$I$1:'Courses'!$I$20000,"&lt;10",Courses!$L$1:'Courses'!$L$20000,0)</f>
        <v>15</v>
      </c>
      <c r="C35">
        <f>COUNTIFS(Courses!$B$1:'Courses'!$B$20000,"NatSci",Courses!$D$1:'Courses'!$D$20000,"&gt;=6000",Courses!$D$1:'Courses'!$D$20000,"&lt;7000",Courses!$E$1:'Courses'!$E$20000,2020,Courses!$I$1:'Courses'!$I$20000,"&gt;=10",Courses!$I$1:'Courses'!$I$20000,"&lt;20",Courses!$L$1:'Courses'!$L$20000,0)</f>
        <v>13</v>
      </c>
      <c r="D35">
        <f>COUNTIFS(Courses!$B$1:'Courses'!$B$20000,"NatSci",Courses!$D$1:'Courses'!$D$20000,"&gt;=6000",Courses!$D$1:'Courses'!$D$20000,"&lt;7000",Courses!$E$1:'Courses'!$E$20000,2020,Courses!$I$1:'Courses'!$I$20000,"&gt;=20",Courses!$I$1:'Courses'!$I$20000,"&lt;30",Courses!$L$1:'Courses'!$L$20000,0)</f>
        <v>3</v>
      </c>
      <c r="E35">
        <f>COUNTIFS(Courses!$B$1:'Courses'!$B$20000,"NatSci",Courses!$D$1:'Courses'!$D$20000,"&gt;=6000",Courses!$D$1:'Courses'!$D$20000,"&lt;7000",Courses!$E$1:'Courses'!$E$20000,2020,Courses!$I$1:'Courses'!$I$20000,"&gt;=30",Courses!$I$1:'Courses'!$I$20000,"&lt;40",Courses!$L$1:'Courses'!$L$20000,0)</f>
        <v>4</v>
      </c>
      <c r="F35">
        <f>COUNTIFS(Courses!$B$1:'Courses'!$B$20000,"NatSci",Courses!$D$1:'Courses'!$D$20000,"&gt;=6000",Courses!$D$1:'Courses'!$D$20000,"&lt;7000",Courses!$E$1:'Courses'!$E$20000,2020,Courses!$I$1:'Courses'!$I$20000,"&gt;=40",Courses!$I$1:'Courses'!$I$20000,"&lt;50",Courses!$L$1:'Courses'!$L$20000,0)</f>
        <v>1</v>
      </c>
      <c r="G35">
        <f>COUNTIFS(Courses!$B$1:'Courses'!$B$20000,"NatSci",Courses!$D$1:'Courses'!$D$20000,"&gt;=6000",Courses!$D$1:'Courses'!$D$20000,"&lt;7000",Courses!$E$1:'Courses'!$E$20000,2020,Courses!$I$1:'Courses'!$I$20000,"&gt;=50",Courses!$I$1:'Courses'!$I$20000,"&lt;100",Courses!$L$1:'Courses'!$L$20000,0)</f>
        <v>0</v>
      </c>
      <c r="H35">
        <f>COUNTIFS(Courses!$B$1:'Courses'!$B$20000,"NatSci",Courses!$D$1:'Courses'!$D$20000,"&gt;=6000",Courses!$D$1:'Courses'!$D$20000,"&lt;7000",Courses!$E$1:'Courses'!$E$20000,2020,Courses!$I$1:'Courses'!$I$20000,"&gt;=100",Courses!$L$1:'Courses'!$L$20000,0)</f>
        <v>0</v>
      </c>
      <c r="I35">
        <f t="shared" si="0"/>
        <v>36</v>
      </c>
      <c r="J35" s="3">
        <f t="shared" si="1"/>
        <v>77.8</v>
      </c>
      <c r="K35" s="3">
        <f t="shared" si="2"/>
        <v>0</v>
      </c>
    </row>
    <row r="36" spans="1:11" x14ac:dyDescent="0.2">
      <c r="A36" t="s">
        <v>2131</v>
      </c>
      <c r="B36">
        <f>COUNTIFS(Courses!$B$1:'Courses'!$B$20000,"NatSci",Courses!$D$1:'Courses'!$D$20000,"&gt;=8000",Courses!$D$1:'Courses'!$D$20000,"&lt;9000",Courses!$E$1:'Courses'!$E$20000,2020,Courses!$I$1:'Courses'!$I$20000,"&gt;=2",Courses!$I$1:'Courses'!$I$20000,"&lt;10",Courses!$L$1:'Courses'!$L$20000,0)</f>
        <v>2</v>
      </c>
      <c r="C36">
        <f>COUNTIFS(Courses!$B$1:'Courses'!$B$20000,"NatSci",Courses!$D$1:'Courses'!$D$20000,"&gt;=8000",Courses!$D$1:'Courses'!$D$20000,"&lt;9000",Courses!$E$1:'Courses'!$E$20000,2020,Courses!$I$1:'Courses'!$I$20000,"&gt;=10",Courses!$I$1:'Courses'!$I$20000,"&lt;20",Courses!$L$1:'Courses'!$L$20000,0)</f>
        <v>0</v>
      </c>
      <c r="D36">
        <f>COUNTIFS(Courses!$B$1:'Courses'!$B$20000,"NatSci",Courses!$D$1:'Courses'!$D$20000,"&gt;=8000",Courses!$D$1:'Courses'!$D$20000,"&lt;9000",Courses!$E$1:'Courses'!$E$20000,2020,Courses!$I$1:'Courses'!$I$20000,"&gt;=20",Courses!$I$1:'Courses'!$I$20000,"&lt;30",Courses!$L$1:'Courses'!$L$20000,0)</f>
        <v>0</v>
      </c>
      <c r="E36">
        <f>COUNTIFS(Courses!$B$1:'Courses'!$B$20000,"NatSci",Courses!$D$1:'Courses'!$D$20000,"&gt;=8000",Courses!$D$1:'Courses'!$D$20000,"&lt;9000",Courses!$E$1:'Courses'!$E$20000,2020,Courses!$I$1:'Courses'!$I$20000,"&gt;=30",Courses!$I$1:'Courses'!$I$20000,"&lt;40",Courses!$L$1:'Courses'!$L$20000,0)</f>
        <v>0</v>
      </c>
      <c r="F36">
        <f>COUNTIFS(Courses!$B$1:'Courses'!$B$20000,"NatSci",Courses!$D$1:'Courses'!$D$20000,"&gt;=8000",Courses!$D$1:'Courses'!$D$20000,"&lt;9000",Courses!$E$1:'Courses'!$E$20000,2020,Courses!$I$1:'Courses'!$I$20000,"&gt;=40",Courses!$I$1:'Courses'!$I$20000,"&lt;50",Courses!$L$1:'Courses'!$L$20000,0)</f>
        <v>0</v>
      </c>
      <c r="G36">
        <f>COUNTIFS(Courses!$B$1:'Courses'!$B$20000,"NatSci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36">
        <f>COUNTIFS(Courses!$B$1:'Courses'!$B$20000,"NatSci",Courses!$D$1:'Courses'!$D$20000,"&gt;=8000",Courses!$D$1:'Courses'!$D$20000,"&lt;9000",Courses!$E$1:'Courses'!$E$20000,2020,Courses!$I$1:'Courses'!$I$20000,"&gt;=100",Courses!$L$1:'Courses'!$L$20000,0)</f>
        <v>0</v>
      </c>
      <c r="I36">
        <f t="shared" si="0"/>
        <v>2</v>
      </c>
      <c r="J36" s="3">
        <f t="shared" si="1"/>
        <v>100</v>
      </c>
      <c r="K36" s="3">
        <f t="shared" si="2"/>
        <v>0</v>
      </c>
    </row>
    <row r="37" spans="1:11" x14ac:dyDescent="0.2">
      <c r="A37" t="s">
        <v>2132</v>
      </c>
      <c r="B37">
        <f>COUNTIFS(Courses!$B$1:'Courses'!$B$20000,"NatSci",Courses!$D$1:'Courses'!$D$20000,"&gt;=1000",Courses!$D$1:'Courses'!$D$20000,"&lt;9000",Courses!$E$1:'Courses'!$E$20000,2020,Courses!$I$1:'Courses'!$I$20000,"&gt;=2",Courses!$I$1:'Courses'!$I$20000,"&lt;10",Courses!$L$1:'Courses'!$L$20000,0)</f>
        <v>54</v>
      </c>
      <c r="C37">
        <f>COUNTIFS(Courses!$B$1:'Courses'!$B$20000,"NatSci",Courses!$D$1:'Courses'!$D$20000,"&gt;=1000",Courses!$D$1:'Courses'!$D$20000,"&lt;9000",Courses!$E$1:'Courses'!$E$20000,2020,Courses!$I$1:'Courses'!$I$20000,"&gt;=10",Courses!$I$1:'Courses'!$I$20000,"&lt;20",Courses!$L$1:'Courses'!$L$20000,0)</f>
        <v>78</v>
      </c>
      <c r="D37">
        <f>COUNTIFS(Courses!$B$1:'Courses'!$B$20000,"NatSci",Courses!$D$1:'Courses'!$D$20000,"&gt;=1000",Courses!$D$1:'Courses'!$D$20000,"&lt;9000",Courses!$E$1:'Courses'!$E$20000,2020,Courses!$I$1:'Courses'!$I$20000,"&gt;=20",Courses!$I$1:'Courses'!$I$20000,"&lt;30",Courses!$L$1:'Courses'!$L$20000,0)</f>
        <v>40</v>
      </c>
      <c r="E37">
        <f>COUNTIFS(Courses!$B$1:'Courses'!$B$20000,"NatSci",Courses!$D$1:'Courses'!$D$20000,"&gt;=1000",Courses!$D$1:'Courses'!$D$20000,"&lt;9000",Courses!$E$1:'Courses'!$E$20000,2020,Courses!$I$1:'Courses'!$I$20000,"&gt;=30",Courses!$I$1:'Courses'!$I$20000,"&lt;40",Courses!$L$1:'Courses'!$L$20000,0)</f>
        <v>27</v>
      </c>
      <c r="F37">
        <f>COUNTIFS(Courses!$B$1:'Courses'!$B$20000,"NatSci",Courses!$D$1:'Courses'!$D$20000,"&gt;=1000",Courses!$D$1:'Courses'!$D$20000,"&lt;9000",Courses!$E$1:'Courses'!$E$20000,2020,Courses!$I$1:'Courses'!$I$20000,"&gt;=40",Courses!$I$1:'Courses'!$I$20000,"&lt;50",Courses!$L$1:'Courses'!$L$20000,0)</f>
        <v>16</v>
      </c>
      <c r="G37">
        <f>COUNTIFS(Courses!$B$1:'Courses'!$B$20000,"NatSci",Courses!$D$1:'Courses'!$D$20000,"&gt;=1000",Courses!$D$1:'Courses'!$D$20000,"&lt;9000",Courses!$E$1:'Courses'!$E$20000,2020,Courses!$I$1:'Courses'!$I$20000,"&gt;=50",Courses!$I$1:'Courses'!$I$20000,"&lt;100",Courses!$L$1:'Courses'!$L$20000,0)</f>
        <v>43</v>
      </c>
      <c r="H37">
        <f>COUNTIFS(Courses!$B$1:'Courses'!$B$20000,"NatSci",Courses!$D$1:'Courses'!$D$20000,"&gt;=1000",Courses!$D$1:'Courses'!$D$20000,"&lt;9000",Courses!$E$1:'Courses'!$E$20000,2020,Courses!$I$1:'Courses'!$I$20000,"&gt;=100",Courses!$L$1:'Courses'!$L$20000,0)</f>
        <v>30</v>
      </c>
      <c r="I37">
        <f t="shared" si="0"/>
        <v>288</v>
      </c>
      <c r="J37" s="3">
        <f t="shared" si="1"/>
        <v>45.8</v>
      </c>
      <c r="K37" s="3">
        <f t="shared" si="2"/>
        <v>25.347222222222221</v>
      </c>
    </row>
    <row r="38" spans="1:11" x14ac:dyDescent="0.2">
      <c r="A38" t="s">
        <v>2133</v>
      </c>
      <c r="B38">
        <f>COUNTIFS(Courses!$B$1:'Courses'!$B$20000,"PhysEd",Courses!$D$1:'Courses'!$D$20000,"&gt;=1000",Courses!$D$1:'Courses'!$D$20000,"&lt;2000",Courses!$E$1:'Courses'!$E$20000,2020,Courses!$I$1:'Courses'!$I$20000,"&gt;=2",Courses!$I$1:'Courses'!$I$20000,"&lt;10",Courses!$L$1:'Courses'!$L$20000,0)</f>
        <v>27</v>
      </c>
      <c r="C38">
        <f>COUNTIFS(Courses!$B$1:'Courses'!$B$20000,"PhysEd",Courses!$D$1:'Courses'!$D$20000,"&gt;=1000",Courses!$D$1:'Courses'!$D$20000,"&lt;2000",Courses!$E$1:'Courses'!$E$20000,2020,Courses!$I$1:'Courses'!$I$20000,"&gt;=10",Courses!$I$1:'Courses'!$I$20000,"&lt;20",Courses!$L$1:'Courses'!$L$20000,0)</f>
        <v>35</v>
      </c>
      <c r="D38">
        <f>COUNTIFS(Courses!$B$1:'Courses'!$B$20000,"PhysEd",Courses!$D$1:'Courses'!$D$20000,"&gt;=1000",Courses!$D$1:'Courses'!$D$20000,"&lt;2000",Courses!$E$1:'Courses'!$E$20000,2020,Courses!$I$1:'Courses'!$I$20000,"&gt;=20",Courses!$I$1:'Courses'!$I$20000,"&lt;30",Courses!$L$1:'Courses'!$L$20000,0)</f>
        <v>16</v>
      </c>
      <c r="E38">
        <f>COUNTIFS(Courses!$B$1:'Courses'!$B$20000,"PhysEd",Courses!$D$1:'Courses'!$D$20000,"&gt;=1000",Courses!$D$1:'Courses'!$D$20000,"&lt;2000",Courses!$E$1:'Courses'!$E$20000,2020,Courses!$I$1:'Courses'!$I$20000,"&gt;=30",Courses!$I$1:'Courses'!$I$20000,"&lt;40",Courses!$L$1:'Courses'!$L$20000,0)</f>
        <v>2</v>
      </c>
      <c r="F38">
        <f>COUNTIFS(Courses!$B$1:'Courses'!$B$20000,"PhysEd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38">
        <f>COUNTIFS(Courses!$B$1:'Courses'!$B$20000,"PhysEd",Courses!$D$1:'Courses'!$D$20000,"&gt;=1000",Courses!$D$1:'Courses'!$D$20000,"&lt;2000",Courses!$E$1:'Courses'!$E$20000,2020,Courses!$I$1:'Courses'!$I$20000,"&gt;=50",Courses!$I$1:'Courses'!$I$20000,"&lt;100",Courses!$L$1:'Courses'!$L$20000,0)</f>
        <v>0</v>
      </c>
      <c r="H38">
        <f>COUNTIFS(Courses!$B$1:'Courses'!$B$20000,"PhysEd",Courses!$D$1:'Courses'!$D$20000,"&gt;=1000",Courses!$D$1:'Courses'!$D$20000,"&lt;2000",Courses!$E$1:'Courses'!$E$20000,2020,Courses!$I$1:'Courses'!$I$20000,"&gt;=100",Courses!$L$1:'Courses'!$L$20000,0)</f>
        <v>0</v>
      </c>
      <c r="I38">
        <f t="shared" si="0"/>
        <v>80</v>
      </c>
      <c r="J38" s="3">
        <f t="shared" si="1"/>
        <v>77.5</v>
      </c>
      <c r="K38" s="3">
        <f t="shared" si="2"/>
        <v>0</v>
      </c>
    </row>
    <row r="39" spans="1:11" x14ac:dyDescent="0.2">
      <c r="A39" t="s">
        <v>2134</v>
      </c>
      <c r="B39">
        <f>COUNTIFS(Courses!$B$1:'Courses'!$B$20000,"SocSci",Courses!$D$1:'Courses'!$D$20000,"&gt;=1000",Courses!$D$1:'Courses'!$D$20000,"&lt;2000",Courses!$E$1:'Courses'!$E$20000,2020,Courses!$I$1:'Courses'!$I$20000,"&gt;=2",Courses!$I$1:'Courses'!$I$20000,"&lt;10",Courses!$L$1:'Courses'!$L$20000,0)</f>
        <v>0</v>
      </c>
      <c r="C39">
        <f>COUNTIFS(Courses!$B$1:'Courses'!$B$20000,"SocSci",Courses!$D$1:'Courses'!$D$20000,"&gt;=1000",Courses!$D$1:'Courses'!$D$20000,"&lt;2000",Courses!$E$1:'Courses'!$E$20000,2020,Courses!$I$1:'Courses'!$I$20000,"&gt;=10",Courses!$I$1:'Courses'!$I$20000,"&lt;20",Courses!$L$1:'Courses'!$L$20000,0)</f>
        <v>2</v>
      </c>
      <c r="D39">
        <f>COUNTIFS(Courses!$B$1:'Courses'!$B$20000,"SocSci",Courses!$D$1:'Courses'!$D$20000,"&gt;=1000",Courses!$D$1:'Courses'!$D$20000,"&lt;2000",Courses!$E$1:'Courses'!$E$20000,2020,Courses!$I$1:'Courses'!$I$20000,"&gt;=20",Courses!$I$1:'Courses'!$I$20000,"&lt;30",Courses!$L$1:'Courses'!$L$20000,0)</f>
        <v>2</v>
      </c>
      <c r="E39">
        <f>COUNTIFS(Courses!$B$1:'Courses'!$B$20000,"SocSci",Courses!$D$1:'Courses'!$D$20000,"&gt;=1000",Courses!$D$1:'Courses'!$D$20000,"&lt;2000",Courses!$E$1:'Courses'!$E$20000,2020,Courses!$I$1:'Courses'!$I$20000,"&gt;=30",Courses!$I$1:'Courses'!$I$20000,"&lt;40",Courses!$L$1:'Courses'!$L$20000,0)</f>
        <v>1</v>
      </c>
      <c r="F39">
        <f>COUNTIFS(Courses!$B$1:'Courses'!$B$20000,"SocSci",Courses!$D$1:'Courses'!$D$20000,"&gt;=1000",Courses!$D$1:'Courses'!$D$20000,"&lt;2000",Courses!$E$1:'Courses'!$E$20000,2020,Courses!$I$1:'Courses'!$I$20000,"&gt;=40",Courses!$I$1:'Courses'!$I$20000,"&lt;50",Courses!$L$1:'Courses'!$L$20000,0)</f>
        <v>0</v>
      </c>
      <c r="G39">
        <f>COUNTIFS(Courses!$B$1:'Courses'!$B$20000,"SocSci",Courses!$D$1:'Courses'!$D$20000,"&gt;=1000",Courses!$D$1:'Courses'!$D$20000,"&lt;2000",Courses!$E$1:'Courses'!$E$20000,2020,Courses!$I$1:'Courses'!$I$20000,"&gt;=50",Courses!$I$1:'Courses'!$I$20000,"&lt;100",Courses!$L$1:'Courses'!$L$20000,0)</f>
        <v>9</v>
      </c>
      <c r="H39">
        <f>COUNTIFS(Courses!$B$1:'Courses'!$B$20000,"SocSci",Courses!$D$1:'Courses'!$D$20000,"&gt;=1000",Courses!$D$1:'Courses'!$D$20000,"&lt;2000",Courses!$E$1:'Courses'!$E$20000,2020,Courses!$I$1:'Courses'!$I$20000,"&gt;=100",Courses!$L$1:'Courses'!$L$20000,0)</f>
        <v>7</v>
      </c>
      <c r="I39">
        <f t="shared" si="0"/>
        <v>21</v>
      </c>
      <c r="J39" s="3">
        <f t="shared" si="1"/>
        <v>9.5</v>
      </c>
      <c r="K39" s="3">
        <f t="shared" si="2"/>
        <v>76.19047619047619</v>
      </c>
    </row>
    <row r="40" spans="1:11" x14ac:dyDescent="0.2">
      <c r="A40" t="s">
        <v>2135</v>
      </c>
      <c r="B40">
        <f>COUNTIFS(Courses!$B$1:'Courses'!$B$20000,"SocSci",Courses!$D$1:'Courses'!$D$20000,"&gt;=2000",Courses!$D$1:'Courses'!$D$20000,"&lt;3000",Courses!$E$1:'Courses'!$E$20000,2020,Courses!$I$1:'Courses'!$I$20000,"&gt;=2",Courses!$I$1:'Courses'!$I$20000,"&lt;10",Courses!$L$1:'Courses'!$L$20000,0)</f>
        <v>0</v>
      </c>
      <c r="C40">
        <f>COUNTIFS(Courses!$B$1:'Courses'!$B$20000,"SocSci",Courses!$D$1:'Courses'!$D$20000,"&gt;=2000",Courses!$D$1:'Courses'!$D$20000,"&lt;3000",Courses!$E$1:'Courses'!$E$20000,2020,Courses!$I$1:'Courses'!$I$20000,"&gt;=10",Courses!$I$1:'Courses'!$I$20000,"&lt;20",Courses!$L$1:'Courses'!$L$20000,0)</f>
        <v>6</v>
      </c>
      <c r="D40">
        <f>COUNTIFS(Courses!$B$1:'Courses'!$B$20000,"SocSci",Courses!$D$1:'Courses'!$D$20000,"&gt;=2000",Courses!$D$1:'Courses'!$D$20000,"&lt;3000",Courses!$E$1:'Courses'!$E$20000,2020,Courses!$I$1:'Courses'!$I$20000,"&gt;=20",Courses!$I$1:'Courses'!$I$20000,"&lt;30",Courses!$L$1:'Courses'!$L$20000,0)</f>
        <v>4</v>
      </c>
      <c r="E40">
        <f>COUNTIFS(Courses!$B$1:'Courses'!$B$20000,"SocSci",Courses!$D$1:'Courses'!$D$20000,"&gt;=2000",Courses!$D$1:'Courses'!$D$20000,"&lt;3000",Courses!$E$1:'Courses'!$E$20000,2020,Courses!$I$1:'Courses'!$I$20000,"&gt;=30",Courses!$I$1:'Courses'!$I$20000,"&lt;40",Courses!$L$1:'Courses'!$L$20000,0)</f>
        <v>3</v>
      </c>
      <c r="F40">
        <f>COUNTIFS(Courses!$B$1:'Courses'!$B$20000,"SocSci",Courses!$D$1:'Courses'!$D$20000,"&gt;=2000",Courses!$D$1:'Courses'!$D$20000,"&lt;3000",Courses!$E$1:'Courses'!$E$20000,2020,Courses!$I$1:'Courses'!$I$20000,"&gt;=40",Courses!$I$1:'Courses'!$I$20000,"&lt;50",Courses!$L$1:'Courses'!$L$20000,0)</f>
        <v>1</v>
      </c>
      <c r="G40">
        <f>COUNTIFS(Courses!$B$1:'Courses'!$B$20000,"SocSci",Courses!$D$1:'Courses'!$D$20000,"&gt;=2000",Courses!$D$1:'Courses'!$D$20000,"&lt;3000",Courses!$E$1:'Courses'!$E$20000,2020,Courses!$I$1:'Courses'!$I$20000,"&gt;=50",Courses!$I$1:'Courses'!$I$20000,"&lt;100",Courses!$L$1:'Courses'!$L$20000,0)</f>
        <v>6</v>
      </c>
      <c r="H40">
        <f>COUNTIFS(Courses!$B$1:'Courses'!$B$20000,"SocSci",Courses!$D$1:'Courses'!$D$20000,"&gt;=2000",Courses!$D$1:'Courses'!$D$20000,"&lt;3000",Courses!$E$1:'Courses'!$E$20000,2020,Courses!$I$1:'Courses'!$I$20000,"&gt;=100",Courses!$L$1:'Courses'!$L$20000,0)</f>
        <v>3</v>
      </c>
      <c r="I40">
        <f t="shared" si="0"/>
        <v>23</v>
      </c>
      <c r="J40" s="3">
        <f t="shared" si="1"/>
        <v>26.1</v>
      </c>
      <c r="K40" s="3">
        <f t="shared" si="2"/>
        <v>39.130434782608695</v>
      </c>
    </row>
    <row r="41" spans="1:11" x14ac:dyDescent="0.2">
      <c r="A41" t="s">
        <v>2136</v>
      </c>
      <c r="B41">
        <f>COUNTIFS(Courses!$B$1:'Courses'!$B$20000,"SocSci",Courses!$D$1:'Courses'!$D$20000,"&gt;=3000",Courses!$D$1:'Courses'!$D$20000,"&lt;4000",Courses!$E$1:'Courses'!$E$20000,2020,Courses!$I$1:'Courses'!$I$20000,"&gt;=2",Courses!$I$1:'Courses'!$I$20000,"&lt;10",Courses!$L$1:'Courses'!$L$20000,0)</f>
        <v>15</v>
      </c>
      <c r="C41">
        <f>COUNTIFS(Courses!$B$1:'Courses'!$B$20000,"SocSci",Courses!$D$1:'Courses'!$D$20000,"&gt;=3000",Courses!$D$1:'Courses'!$D$20000,"&lt;4000",Courses!$E$1:'Courses'!$E$20000,2020,Courses!$I$1:'Courses'!$I$20000,"&gt;=10",Courses!$I$1:'Courses'!$I$20000,"&lt;20",Courses!$L$1:'Courses'!$L$20000,0)</f>
        <v>65</v>
      </c>
      <c r="D41">
        <f>COUNTIFS(Courses!$B$1:'Courses'!$B$20000,"SocSci",Courses!$D$1:'Courses'!$D$20000,"&gt;=3000",Courses!$D$1:'Courses'!$D$20000,"&lt;4000",Courses!$E$1:'Courses'!$E$20000,2020,Courses!$I$1:'Courses'!$I$20000,"&gt;=20",Courses!$I$1:'Courses'!$I$20000,"&lt;30",Courses!$L$1:'Courses'!$L$20000,0)</f>
        <v>13</v>
      </c>
      <c r="E41">
        <f>COUNTIFS(Courses!$B$1:'Courses'!$B$20000,"SocSci",Courses!$D$1:'Courses'!$D$20000,"&gt;=3000",Courses!$D$1:'Courses'!$D$20000,"&lt;4000",Courses!$E$1:'Courses'!$E$20000,2020,Courses!$I$1:'Courses'!$I$20000,"&gt;=30",Courses!$I$1:'Courses'!$I$20000,"&lt;40",Courses!$L$1:'Courses'!$L$20000,0)</f>
        <v>3</v>
      </c>
      <c r="F41">
        <f>COUNTIFS(Courses!$B$1:'Courses'!$B$20000,"SocSci",Courses!$D$1:'Courses'!$D$20000,"&gt;=3000",Courses!$D$1:'Courses'!$D$20000,"&lt;4000",Courses!$E$1:'Courses'!$E$20000,2020,Courses!$I$1:'Courses'!$I$20000,"&gt;=40",Courses!$I$1:'Courses'!$I$20000,"&lt;50",Courses!$L$1:'Courses'!$L$20000,0)</f>
        <v>5</v>
      </c>
      <c r="G41">
        <f>COUNTIFS(Courses!$B$1:'Courses'!$B$20000,"SocSci",Courses!$D$1:'Courses'!$D$20000,"&gt;=3000",Courses!$D$1:'Courses'!$D$20000,"&lt;4000",Courses!$E$1:'Courses'!$E$20000,2020,Courses!$I$1:'Courses'!$I$20000,"&gt;=50",Courses!$I$1:'Courses'!$I$20000,"&lt;100",Courses!$L$1:'Courses'!$L$20000,0)</f>
        <v>19</v>
      </c>
      <c r="H41">
        <f>COUNTIFS(Courses!$B$1:'Courses'!$B$20000,"SocSci",Courses!$D$1:'Courses'!$D$20000,"&gt;=3000",Courses!$D$1:'Courses'!$D$20000,"&lt;4000",Courses!$E$1:'Courses'!$E$20000,2020,Courses!$I$1:'Courses'!$I$20000,"&gt;=100",Courses!$L$1:'Courses'!$L$20000,0)</f>
        <v>4</v>
      </c>
      <c r="I41">
        <f t="shared" si="0"/>
        <v>124</v>
      </c>
      <c r="J41" s="3">
        <f t="shared" si="1"/>
        <v>64.5</v>
      </c>
      <c r="K41" s="3">
        <f t="shared" si="2"/>
        <v>18.548387096774192</v>
      </c>
    </row>
    <row r="42" spans="1:11" x14ac:dyDescent="0.2">
      <c r="A42" t="s">
        <v>2137</v>
      </c>
      <c r="B42">
        <f>COUNTIFS(Courses!$B$1:'Courses'!$B$20000,"SocSci",Courses!$D$1:'Courses'!$D$20000,"&gt;=4000",Courses!$D$1:'Courses'!$D$20000,"&lt;5000",Courses!$E$1:'Courses'!$E$20000,2020,Courses!$I$1:'Courses'!$I$20000,"&gt;=2",Courses!$I$1:'Courses'!$I$20000,"&lt;10",Courses!$L$1:'Courses'!$L$20000,0)</f>
        <v>14</v>
      </c>
      <c r="C42">
        <f>COUNTIFS(Courses!$B$1:'Courses'!$B$20000,"SocSci",Courses!$D$1:'Courses'!$D$20000,"&gt;=4000",Courses!$D$1:'Courses'!$D$20000,"&lt;5000",Courses!$E$1:'Courses'!$E$20000,2020,Courses!$I$1:'Courses'!$I$20000,"&gt;=10",Courses!$I$1:'Courses'!$I$20000,"&lt;20",Courses!$L$1:'Courses'!$L$20000,0)</f>
        <v>38</v>
      </c>
      <c r="D42">
        <f>COUNTIFS(Courses!$B$1:'Courses'!$B$20000,"SocSci",Courses!$D$1:'Courses'!$D$20000,"&gt;=4000",Courses!$D$1:'Courses'!$D$20000,"&lt;5000",Courses!$E$1:'Courses'!$E$20000,2020,Courses!$I$1:'Courses'!$I$20000,"&gt;=20",Courses!$I$1:'Courses'!$I$20000,"&lt;30",Courses!$L$1:'Courses'!$L$20000,0)</f>
        <v>7</v>
      </c>
      <c r="E42">
        <f>COUNTIFS(Courses!$B$1:'Courses'!$B$20000,"SocSci",Courses!$D$1:'Courses'!$D$20000,"&gt;=4000",Courses!$D$1:'Courses'!$D$20000,"&lt;5000",Courses!$E$1:'Courses'!$E$20000,2020,Courses!$I$1:'Courses'!$I$20000,"&gt;=30",Courses!$I$1:'Courses'!$I$20000,"&lt;40",Courses!$L$1:'Courses'!$L$20000,0)</f>
        <v>3</v>
      </c>
      <c r="F42">
        <f>COUNTIFS(Courses!$B$1:'Courses'!$B$20000,"SocSci",Courses!$D$1:'Courses'!$D$20000,"&gt;=4000",Courses!$D$1:'Courses'!$D$20000,"&lt;5000",Courses!$E$1:'Courses'!$E$20000,2020,Courses!$I$1:'Courses'!$I$20000,"&gt;=40",Courses!$I$1:'Courses'!$I$20000,"&lt;50",Courses!$L$1:'Courses'!$L$20000,0)</f>
        <v>6</v>
      </c>
      <c r="G42">
        <f>COUNTIFS(Courses!$B$1:'Courses'!$B$20000,"SocSci",Courses!$D$1:'Courses'!$D$20000,"&gt;=4000",Courses!$D$1:'Courses'!$D$20000,"&lt;5000",Courses!$E$1:'Courses'!$E$20000,2020,Courses!$I$1:'Courses'!$I$20000,"&gt;=50",Courses!$I$1:'Courses'!$I$20000,"&lt;100",Courses!$L$1:'Courses'!$L$20000,0)</f>
        <v>7</v>
      </c>
      <c r="H42">
        <f>COUNTIFS(Courses!$B$1:'Courses'!$B$20000,"SocSci",Courses!$D$1:'Courses'!$D$20000,"&gt;=4000",Courses!$D$1:'Courses'!$D$20000,"&lt;5000",Courses!$E$1:'Courses'!$E$20000,2020,Courses!$I$1:'Courses'!$I$20000,"&gt;=100",Courses!$L$1:'Courses'!$L$20000,0)</f>
        <v>0</v>
      </c>
      <c r="I42">
        <f t="shared" si="0"/>
        <v>75</v>
      </c>
      <c r="J42" s="3">
        <f t="shared" si="1"/>
        <v>69.3</v>
      </c>
      <c r="K42" s="3">
        <f t="shared" si="2"/>
        <v>9.3333333333333339</v>
      </c>
    </row>
    <row r="43" spans="1:11" x14ac:dyDescent="0.2">
      <c r="A43" t="s">
        <v>2138</v>
      </c>
      <c r="B43">
        <f>COUNTIFS(Courses!$B$1:'Courses'!$B$20000,"SocSci",Courses!$D$1:'Courses'!$D$20000,"&gt;=5000",Courses!$D$1:'Courses'!$D$20000,"&lt;6000",Courses!$E$1:'Courses'!$E$20000,2020,Courses!$I$1:'Courses'!$I$20000,"&gt;=2",Courses!$I$1:'Courses'!$I$20000,"&lt;10",Courses!$L$1:'Courses'!$L$20000,0)</f>
        <v>6</v>
      </c>
      <c r="C43">
        <f>COUNTIFS(Courses!$B$1:'Courses'!$B$20000,"SocSci",Courses!$D$1:'Courses'!$D$20000,"&gt;=5000",Courses!$D$1:'Courses'!$D$20000,"&lt;6000",Courses!$E$1:'Courses'!$E$20000,2020,Courses!$I$1:'Courses'!$I$20000,"&gt;=10",Courses!$I$1:'Courses'!$I$20000,"&lt;20",Courses!$L$1:'Courses'!$L$20000,0)</f>
        <v>6</v>
      </c>
      <c r="D43">
        <f>COUNTIFS(Courses!$B$1:'Courses'!$B$20000,"SocSci",Courses!$D$1:'Courses'!$D$20000,"&gt;=5000",Courses!$D$1:'Courses'!$D$20000,"&lt;6000",Courses!$E$1:'Courses'!$E$20000,2020,Courses!$I$1:'Courses'!$I$20000,"&gt;=20",Courses!$I$1:'Courses'!$I$20000,"&lt;30",Courses!$L$1:'Courses'!$L$20000,0)</f>
        <v>2</v>
      </c>
      <c r="E43">
        <f>COUNTIFS(Courses!$B$1:'Courses'!$B$20000,"SocSci",Courses!$D$1:'Courses'!$D$20000,"&gt;=5000",Courses!$D$1:'Courses'!$D$20000,"&lt;6000",Courses!$E$1:'Courses'!$E$20000,2020,Courses!$I$1:'Courses'!$I$20000,"&gt;=30",Courses!$I$1:'Courses'!$I$20000,"&lt;40",Courses!$L$1:'Courses'!$L$20000,0)</f>
        <v>2</v>
      </c>
      <c r="F43">
        <f>COUNTIFS(Courses!$B$1:'Courses'!$B$20000,"SocSci",Courses!$D$1:'Courses'!$D$20000,"&gt;=5000",Courses!$D$1:'Courses'!$D$20000,"&lt;6000",Courses!$E$1:'Courses'!$E$20000,2020,Courses!$I$1:'Courses'!$I$20000,"&gt;=40",Courses!$I$1:'Courses'!$I$20000,"&lt;50",Courses!$L$1:'Courses'!$L$20000,0)</f>
        <v>1</v>
      </c>
      <c r="G43">
        <f>COUNTIFS(Courses!$B$1:'Courses'!$B$20000,"SocSci",Courses!$D$1:'Courses'!$D$20000,"&gt;=5000",Courses!$D$1:'Courses'!$D$20000,"&lt;6000",Courses!$E$1:'Courses'!$E$20000,2020,Courses!$I$1:'Courses'!$I$20000,"&gt;=50",Courses!$I$1:'Courses'!$I$20000,"&lt;100",Courses!$L$1:'Courses'!$L$20000,0)</f>
        <v>1</v>
      </c>
      <c r="H43">
        <f>COUNTIFS(Courses!$B$1:'Courses'!$B$20000,"SocSci",Courses!$D$1:'Courses'!$D$20000,"&gt;=5000",Courses!$D$1:'Courses'!$D$20000,"&lt;6000",Courses!$E$1:'Courses'!$E$20000,2020,Courses!$I$1:'Courses'!$I$20000,"&gt;=100",Courses!$L$1:'Courses'!$L$20000,0)</f>
        <v>0</v>
      </c>
      <c r="I43">
        <f t="shared" si="0"/>
        <v>18</v>
      </c>
      <c r="J43" s="3">
        <f t="shared" si="1"/>
        <v>66.7</v>
      </c>
      <c r="K43" s="3">
        <f t="shared" si="2"/>
        <v>5.5555555555555554</v>
      </c>
    </row>
    <row r="44" spans="1:11" x14ac:dyDescent="0.2">
      <c r="A44" t="s">
        <v>2139</v>
      </c>
      <c r="B44">
        <f>COUNTIFS(Courses!$B$1:'Courses'!$B$20000,"SocSci",Courses!$D$1:'Courses'!$D$20000,"&gt;=6000",Courses!$D$1:'Courses'!$D$20000,"&lt;7000",Courses!$E$1:'Courses'!$E$20000,2020,Courses!$I$1:'Courses'!$I$20000,"&gt;=2",Courses!$I$1:'Courses'!$I$20000,"&lt;10",Courses!$L$1:'Courses'!$L$20000,0)</f>
        <v>16</v>
      </c>
      <c r="C44">
        <f>COUNTIFS(Courses!$B$1:'Courses'!$B$20000,"SocSci",Courses!$D$1:'Courses'!$D$20000,"&gt;=6000",Courses!$D$1:'Courses'!$D$20000,"&lt;7000",Courses!$E$1:'Courses'!$E$20000,2020,Courses!$I$1:'Courses'!$I$20000,"&gt;=10",Courses!$I$1:'Courses'!$I$20000,"&lt;20",Courses!$L$1:'Courses'!$L$20000,0)</f>
        <v>17</v>
      </c>
      <c r="D44">
        <f>COUNTIFS(Courses!$B$1:'Courses'!$B$20000,"SocSci",Courses!$D$1:'Courses'!$D$20000,"&gt;=6000",Courses!$D$1:'Courses'!$D$20000,"&lt;7000",Courses!$E$1:'Courses'!$E$20000,2020,Courses!$I$1:'Courses'!$I$20000,"&gt;=20",Courses!$I$1:'Courses'!$I$20000,"&lt;30",Courses!$L$1:'Courses'!$L$20000,0)</f>
        <v>3</v>
      </c>
      <c r="E44">
        <f>COUNTIFS(Courses!$B$1:'Courses'!$B$20000,"SocSci",Courses!$D$1:'Courses'!$D$20000,"&gt;=6000",Courses!$D$1:'Courses'!$D$20000,"&lt;7000",Courses!$E$1:'Courses'!$E$20000,2020,Courses!$I$1:'Courses'!$I$20000,"&gt;=30",Courses!$I$1:'Courses'!$I$20000,"&lt;40",Courses!$L$1:'Courses'!$L$20000,0)</f>
        <v>3</v>
      </c>
      <c r="F44">
        <f>COUNTIFS(Courses!$B$1:'Courses'!$B$20000,"SocSci",Courses!$D$1:'Courses'!$D$20000,"&gt;=6000",Courses!$D$1:'Courses'!$D$20000,"&lt;7000",Courses!$E$1:'Courses'!$E$20000,2020,Courses!$I$1:'Courses'!$I$20000,"&gt;=40",Courses!$I$1:'Courses'!$I$20000,"&lt;50",Courses!$L$1:'Courses'!$L$20000,0)</f>
        <v>0</v>
      </c>
      <c r="G44">
        <f>COUNTIFS(Courses!$B$1:'Courses'!$B$20000,"SocSci",Courses!$D$1:'Courses'!$D$20000,"&gt;=6000",Courses!$D$1:'Courses'!$D$20000,"&lt;7000",Courses!$E$1:'Courses'!$E$20000,2020,Courses!$I$1:'Courses'!$I$20000,"&gt;=50",Courses!$I$1:'Courses'!$I$20000,"&lt;100",Courses!$L$1:'Courses'!$L$20000,0)</f>
        <v>0</v>
      </c>
      <c r="H44">
        <f>COUNTIFS(Courses!$B$1:'Courses'!$B$20000,"SocSci",Courses!$D$1:'Courses'!$D$20000,"&gt;=6000",Courses!$D$1:'Courses'!$D$20000,"&lt;7000",Courses!$E$1:'Courses'!$E$20000,2020,Courses!$I$1:'Courses'!$I$20000,"&gt;=100",Courses!$L$1:'Courses'!$L$20000,0)</f>
        <v>0</v>
      </c>
      <c r="I44">
        <f t="shared" si="0"/>
        <v>39</v>
      </c>
      <c r="J44" s="3">
        <f t="shared" si="1"/>
        <v>84.6</v>
      </c>
      <c r="K44" s="3">
        <f t="shared" si="2"/>
        <v>0</v>
      </c>
    </row>
    <row r="45" spans="1:11" x14ac:dyDescent="0.2">
      <c r="A45" t="s">
        <v>2140</v>
      </c>
      <c r="B45">
        <f>COUNTIFS(Courses!$B$1:'Courses'!$B$20000,"SocSci",Courses!$D$1:'Courses'!$D$20000,"&gt;=8000",Courses!$D$1:'Courses'!$D$20000,"&lt;9000",Courses!$E$1:'Courses'!$E$20000,2020,Courses!$I$1:'Courses'!$I$20000,"&gt;=2",Courses!$I$1:'Courses'!$I$20000,"&lt;10",Courses!$L$1:'Courses'!$L$20000,0)</f>
        <v>13</v>
      </c>
      <c r="C45">
        <f>COUNTIFS(Courses!$B$1:'Courses'!$B$20000,"SocSci",Courses!$D$1:'Courses'!$D$20000,"&gt;=8000",Courses!$D$1:'Courses'!$D$20000,"&lt;9000",Courses!$E$1:'Courses'!$E$20000,2020,Courses!$I$1:'Courses'!$I$20000,"&gt;=10",Courses!$I$1:'Courses'!$I$20000,"&lt;20",Courses!$L$1:'Courses'!$L$20000,0)</f>
        <v>12</v>
      </c>
      <c r="D45">
        <f>COUNTIFS(Courses!$B$1:'Courses'!$B$20000,"SocSci",Courses!$D$1:'Courses'!$D$20000,"&gt;=8000",Courses!$D$1:'Courses'!$D$20000,"&lt;9000",Courses!$E$1:'Courses'!$E$20000,2020,Courses!$I$1:'Courses'!$I$20000,"&gt;=20",Courses!$I$1:'Courses'!$I$20000,"&lt;30",Courses!$L$1:'Courses'!$L$20000,0)</f>
        <v>3</v>
      </c>
      <c r="E45">
        <f>COUNTIFS(Courses!$B$1:'Courses'!$B$20000,"SocSci",Courses!$D$1:'Courses'!$D$20000,"&gt;=8000",Courses!$D$1:'Courses'!$D$20000,"&lt;9000",Courses!$E$1:'Courses'!$E$20000,2020,Courses!$I$1:'Courses'!$I$20000,"&gt;=30",Courses!$I$1:'Courses'!$I$20000,"&lt;40",Courses!$L$1:'Courses'!$L$20000,0)</f>
        <v>1</v>
      </c>
      <c r="F45">
        <f>COUNTIFS(Courses!$B$1:'Courses'!$B$20000,"SocSci",Courses!$D$1:'Courses'!$D$20000,"&gt;=8000",Courses!$D$1:'Courses'!$D$20000,"&lt;9000",Courses!$E$1:'Courses'!$E$20000,2020,Courses!$I$1:'Courses'!$I$20000,"&gt;=40",Courses!$I$1:'Courses'!$I$20000,"&lt;50",Courses!$L$1:'Courses'!$L$20000,0)</f>
        <v>0</v>
      </c>
      <c r="G45">
        <f>COUNTIFS(Courses!$B$1:'Courses'!$B$20000,"SocSci",Courses!$D$1:'Courses'!$D$20000,"&gt;=8000",Courses!$D$1:'Courses'!$D$20000,"&lt;9000",Courses!$E$1:'Courses'!$E$20000,2020,Courses!$I$1:'Courses'!$I$20000,"&gt;=50",Courses!$I$1:'Courses'!$I$20000,"&lt;100",Courses!$L$1:'Courses'!$L$20000,0)</f>
        <v>0</v>
      </c>
      <c r="H45">
        <f>COUNTIFS(Courses!$B$1:'Courses'!$B$20000,"SocSci",Courses!$D$1:'Courses'!$D$20000,"&gt;=8000",Courses!$D$1:'Courses'!$D$20000,"&lt;9000",Courses!$E$1:'Courses'!$E$20000,2020,Courses!$I$1:'Courses'!$I$20000,"&gt;=100",Courses!$L$1:'Courses'!$L$20000,0)</f>
        <v>0</v>
      </c>
      <c r="I45">
        <f t="shared" si="0"/>
        <v>29</v>
      </c>
      <c r="J45" s="3">
        <f t="shared" si="1"/>
        <v>86.2</v>
      </c>
      <c r="K45" s="3">
        <f t="shared" si="2"/>
        <v>0</v>
      </c>
    </row>
    <row r="46" spans="1:11" x14ac:dyDescent="0.2">
      <c r="A46" t="s">
        <v>2141</v>
      </c>
      <c r="B46">
        <f>COUNTIFS(Courses!$B$1:'Courses'!$B$20000,"SocSci",Courses!$D$1:'Courses'!$D$20000,"&gt;=1000",Courses!$D$1:'Courses'!$D$20000,"&lt;9000",Courses!$E$1:'Courses'!$E$20000,2020,Courses!$I$1:'Courses'!$I$20000,"&gt;=2",Courses!$I$1:'Courses'!$I$20000,"&lt;10",Courses!$L$1:'Courses'!$L$20000,0)</f>
        <v>64</v>
      </c>
      <c r="C46">
        <f>COUNTIFS(Courses!$B$1:'Courses'!$B$20000,"SocSci",Courses!$D$1:'Courses'!$D$20000,"&gt;=1000",Courses!$D$1:'Courses'!$D$20000,"&lt;9000",Courses!$E$1:'Courses'!$E$20000,2020,Courses!$I$1:'Courses'!$I$20000,"&gt;=10",Courses!$I$1:'Courses'!$I$20000,"&lt;20",Courses!$L$1:'Courses'!$L$20000,0)</f>
        <v>146</v>
      </c>
      <c r="D46">
        <f>COUNTIFS(Courses!$B$1:'Courses'!$B$20000,"SocSci",Courses!$D$1:'Courses'!$D$20000,"&gt;=1000",Courses!$D$1:'Courses'!$D$20000,"&lt;9000",Courses!$E$1:'Courses'!$E$20000,2020,Courses!$I$1:'Courses'!$I$20000,"&gt;=20",Courses!$I$1:'Courses'!$I$20000,"&lt;30",Courses!$L$1:'Courses'!$L$20000,0)</f>
        <v>34</v>
      </c>
      <c r="E46">
        <f>COUNTIFS(Courses!$B$1:'Courses'!$B$20000,"SocSci",Courses!$D$1:'Courses'!$D$20000,"&gt;=1000",Courses!$D$1:'Courses'!$D$20000,"&lt;9000",Courses!$E$1:'Courses'!$E$20000,2020,Courses!$I$1:'Courses'!$I$20000,"&gt;=30",Courses!$I$1:'Courses'!$I$20000,"&lt;40",Courses!$L$1:'Courses'!$L$20000,0)</f>
        <v>16</v>
      </c>
      <c r="F46">
        <f>COUNTIFS(Courses!$B$1:'Courses'!$B$20000,"SocSci",Courses!$D$1:'Courses'!$D$20000,"&gt;=1000",Courses!$D$1:'Courses'!$D$20000,"&lt;9000",Courses!$E$1:'Courses'!$E$20000,2020,Courses!$I$1:'Courses'!$I$20000,"&gt;=40",Courses!$I$1:'Courses'!$I$20000,"&lt;50",Courses!$L$1:'Courses'!$L$20000,0)</f>
        <v>13</v>
      </c>
      <c r="G46">
        <f>COUNTIFS(Courses!$B$1:'Courses'!$B$20000,"SocSci",Courses!$D$1:'Courses'!$D$20000,"&gt;=1000",Courses!$D$1:'Courses'!$D$20000,"&lt;9000",Courses!$E$1:'Courses'!$E$20000,2020,Courses!$I$1:'Courses'!$I$20000,"&gt;=50",Courses!$I$1:'Courses'!$I$20000,"&lt;100",Courses!$L$1:'Courses'!$L$20000,0)</f>
        <v>42</v>
      </c>
      <c r="H46">
        <f>COUNTIFS(Courses!$B$1:'Courses'!$B$20000,"SocSci",Courses!$D$1:'Courses'!$D$20000,"&gt;=1000",Courses!$D$1:'Courses'!$D$20000,"&lt;9000",Courses!$E$1:'Courses'!$E$20000,2020,Courses!$I$1:'Courses'!$I$20000,"&gt;=100",Courses!$L$1:'Courses'!$L$20000,0)</f>
        <v>14</v>
      </c>
      <c r="I46">
        <f t="shared" si="0"/>
        <v>329</v>
      </c>
      <c r="J46" s="3">
        <f t="shared" si="1"/>
        <v>63.8</v>
      </c>
      <c r="K46" s="3">
        <f t="shared" si="2"/>
        <v>17.021276595744681</v>
      </c>
    </row>
    <row r="47" spans="1:11" x14ac:dyDescent="0.2">
      <c r="A47" t="s">
        <v>2142</v>
      </c>
      <c r="B47">
        <f t="shared" ref="B47:H47" si="3">B$2+B$10+B$15+B$22+B$30+B$38+B$39</f>
        <v>109</v>
      </c>
      <c r="C47">
        <f t="shared" si="3"/>
        <v>281</v>
      </c>
      <c r="D47">
        <f t="shared" si="3"/>
        <v>181</v>
      </c>
      <c r="E47">
        <f t="shared" si="3"/>
        <v>12</v>
      </c>
      <c r="F47">
        <f t="shared" si="3"/>
        <v>5</v>
      </c>
      <c r="G47">
        <f t="shared" si="3"/>
        <v>41</v>
      </c>
      <c r="H47">
        <f t="shared" si="3"/>
        <v>29</v>
      </c>
      <c r="I47">
        <f t="shared" si="0"/>
        <v>658</v>
      </c>
      <c r="J47" s="3">
        <f t="shared" si="1"/>
        <v>59.3</v>
      </c>
      <c r="K47" s="3">
        <f t="shared" si="2"/>
        <v>10.638297872340425</v>
      </c>
    </row>
    <row r="48" spans="1:11" x14ac:dyDescent="0.2">
      <c r="A48" t="s">
        <v>2143</v>
      </c>
      <c r="B48">
        <f t="shared" ref="B48:H48" si="4">B$3+B$11+B$16+B$23+B$31+B$40</f>
        <v>62</v>
      </c>
      <c r="C48">
        <f t="shared" si="4"/>
        <v>91</v>
      </c>
      <c r="D48">
        <f t="shared" si="4"/>
        <v>11</v>
      </c>
      <c r="E48">
        <f t="shared" si="4"/>
        <v>10</v>
      </c>
      <c r="F48">
        <f t="shared" si="4"/>
        <v>10</v>
      </c>
      <c r="G48">
        <f t="shared" si="4"/>
        <v>24</v>
      </c>
      <c r="H48">
        <f t="shared" si="4"/>
        <v>12</v>
      </c>
      <c r="I48">
        <f t="shared" si="0"/>
        <v>220</v>
      </c>
      <c r="J48" s="3">
        <f t="shared" si="1"/>
        <v>69.5</v>
      </c>
      <c r="K48" s="3">
        <f t="shared" si="2"/>
        <v>16.363636363636363</v>
      </c>
    </row>
    <row r="49" spans="1:11" x14ac:dyDescent="0.2">
      <c r="A49" t="s">
        <v>2144</v>
      </c>
      <c r="B49">
        <f t="shared" ref="B49:H49" si="5">B$4+B$17+B$24+B$32+B$41</f>
        <v>102</v>
      </c>
      <c r="C49">
        <f t="shared" si="5"/>
        <v>166</v>
      </c>
      <c r="D49">
        <f t="shared" si="5"/>
        <v>43</v>
      </c>
      <c r="E49">
        <f t="shared" si="5"/>
        <v>17</v>
      </c>
      <c r="F49">
        <f t="shared" si="5"/>
        <v>15</v>
      </c>
      <c r="G49">
        <f t="shared" si="5"/>
        <v>40</v>
      </c>
      <c r="H49">
        <f t="shared" si="5"/>
        <v>15</v>
      </c>
      <c r="I49">
        <f t="shared" si="0"/>
        <v>398</v>
      </c>
      <c r="J49" s="3">
        <f t="shared" si="1"/>
        <v>67.3</v>
      </c>
      <c r="K49" s="3">
        <f t="shared" si="2"/>
        <v>13.819095477386934</v>
      </c>
    </row>
    <row r="50" spans="1:11" x14ac:dyDescent="0.2">
      <c r="A50" t="s">
        <v>2145</v>
      </c>
      <c r="B50">
        <f t="shared" ref="B50:H50" si="6">B$5+B$18+B$25+B$33+B$42</f>
        <v>140</v>
      </c>
      <c r="C50">
        <f t="shared" si="6"/>
        <v>168</v>
      </c>
      <c r="D50">
        <f t="shared" si="6"/>
        <v>67</v>
      </c>
      <c r="E50">
        <f t="shared" si="6"/>
        <v>37</v>
      </c>
      <c r="F50">
        <f t="shared" si="6"/>
        <v>27</v>
      </c>
      <c r="G50">
        <f t="shared" si="6"/>
        <v>46</v>
      </c>
      <c r="H50">
        <f t="shared" si="6"/>
        <v>22</v>
      </c>
      <c r="I50">
        <f t="shared" si="0"/>
        <v>507</v>
      </c>
      <c r="J50" s="3">
        <f t="shared" si="1"/>
        <v>60.7</v>
      </c>
      <c r="K50" s="3">
        <f t="shared" si="2"/>
        <v>13.412228796844181</v>
      </c>
    </row>
    <row r="51" spans="1:11" x14ac:dyDescent="0.2">
      <c r="A51" t="s">
        <v>2146</v>
      </c>
      <c r="B51">
        <f t="shared" ref="B51:H51" si="7">B$47+B$48+B$49+B$50</f>
        <v>413</v>
      </c>
      <c r="C51">
        <f t="shared" si="7"/>
        <v>706</v>
      </c>
      <c r="D51">
        <f t="shared" si="7"/>
        <v>302</v>
      </c>
      <c r="E51">
        <f t="shared" si="7"/>
        <v>76</v>
      </c>
      <c r="F51">
        <f t="shared" si="7"/>
        <v>57</v>
      </c>
      <c r="G51">
        <f t="shared" si="7"/>
        <v>151</v>
      </c>
      <c r="H51">
        <f t="shared" si="7"/>
        <v>78</v>
      </c>
      <c r="I51">
        <f t="shared" si="0"/>
        <v>1783</v>
      </c>
      <c r="J51" s="3">
        <f t="shared" si="1"/>
        <v>62.8</v>
      </c>
      <c r="K51" s="3">
        <f t="shared" si="2"/>
        <v>12.843522153673584</v>
      </c>
    </row>
    <row r="52" spans="1:11" x14ac:dyDescent="0.2">
      <c r="A52" t="s">
        <v>2147</v>
      </c>
      <c r="B52">
        <f t="shared" ref="B52:H52" si="8">B$6+B$26+B$34+B$43</f>
        <v>24</v>
      </c>
      <c r="C52">
        <f t="shared" si="8"/>
        <v>42</v>
      </c>
      <c r="D52">
        <f t="shared" si="8"/>
        <v>5</v>
      </c>
      <c r="E52">
        <f t="shared" si="8"/>
        <v>3</v>
      </c>
      <c r="F52">
        <f t="shared" si="8"/>
        <v>3</v>
      </c>
      <c r="G52">
        <f t="shared" si="8"/>
        <v>2</v>
      </c>
      <c r="H52">
        <f t="shared" si="8"/>
        <v>3</v>
      </c>
      <c r="I52">
        <f t="shared" si="0"/>
        <v>82</v>
      </c>
      <c r="J52" s="3">
        <f t="shared" si="1"/>
        <v>80.5</v>
      </c>
      <c r="K52" s="3">
        <f t="shared" si="2"/>
        <v>6.0975609756097562</v>
      </c>
    </row>
    <row r="53" spans="1:11" x14ac:dyDescent="0.2">
      <c r="A53" t="s">
        <v>2148</v>
      </c>
      <c r="B53">
        <f t="shared" ref="B53:H53" si="9">B$7+B$12+B$19+B$27+B$35+B$44</f>
        <v>94</v>
      </c>
      <c r="C53">
        <f t="shared" si="9"/>
        <v>100</v>
      </c>
      <c r="D53">
        <f t="shared" si="9"/>
        <v>19</v>
      </c>
      <c r="E53">
        <f t="shared" si="9"/>
        <v>15</v>
      </c>
      <c r="F53">
        <f t="shared" si="9"/>
        <v>4</v>
      </c>
      <c r="G53">
        <f t="shared" si="9"/>
        <v>4</v>
      </c>
      <c r="H53">
        <f t="shared" si="9"/>
        <v>1</v>
      </c>
      <c r="I53">
        <f t="shared" si="0"/>
        <v>237</v>
      </c>
      <c r="J53" s="3">
        <f t="shared" si="1"/>
        <v>81.900000000000006</v>
      </c>
      <c r="K53" s="3">
        <f t="shared" si="2"/>
        <v>2.109704641350211</v>
      </c>
    </row>
    <row r="54" spans="1:11" x14ac:dyDescent="0.2">
      <c r="A54" t="s">
        <v>2149</v>
      </c>
      <c r="B54">
        <f t="shared" ref="B54:H54" si="10">B$8+B$13+B$20+B$28+B$36+B$45</f>
        <v>39</v>
      </c>
      <c r="C54">
        <f t="shared" si="10"/>
        <v>36</v>
      </c>
      <c r="D54">
        <f t="shared" si="10"/>
        <v>3</v>
      </c>
      <c r="E54">
        <f t="shared" si="10"/>
        <v>2</v>
      </c>
      <c r="F54">
        <f t="shared" si="10"/>
        <v>1</v>
      </c>
      <c r="G54">
        <f t="shared" si="10"/>
        <v>0</v>
      </c>
      <c r="H54">
        <f t="shared" si="10"/>
        <v>0</v>
      </c>
      <c r="I54">
        <f t="shared" si="0"/>
        <v>81</v>
      </c>
      <c r="J54" s="3">
        <f t="shared" si="1"/>
        <v>92.6</v>
      </c>
      <c r="K54" s="3">
        <f t="shared" si="2"/>
        <v>0</v>
      </c>
    </row>
    <row r="55" spans="1:11" x14ac:dyDescent="0.2">
      <c r="A55" t="s">
        <v>2150</v>
      </c>
      <c r="B55">
        <f t="shared" ref="B55:H55" si="11">B$52+B$53+B$54</f>
        <v>157</v>
      </c>
      <c r="C55">
        <f t="shared" si="11"/>
        <v>178</v>
      </c>
      <c r="D55">
        <f t="shared" si="11"/>
        <v>27</v>
      </c>
      <c r="E55">
        <f t="shared" si="11"/>
        <v>20</v>
      </c>
      <c r="F55">
        <f t="shared" si="11"/>
        <v>8</v>
      </c>
      <c r="G55">
        <f t="shared" si="11"/>
        <v>6</v>
      </c>
      <c r="H55">
        <f t="shared" si="11"/>
        <v>4</v>
      </c>
      <c r="I55">
        <f t="shared" si="0"/>
        <v>400</v>
      </c>
      <c r="J55" s="3">
        <f t="shared" si="1"/>
        <v>83.8</v>
      </c>
      <c r="K55" s="3">
        <f t="shared" si="2"/>
        <v>2.5</v>
      </c>
    </row>
    <row r="56" spans="1:11" x14ac:dyDescent="0.2">
      <c r="A56" t="s">
        <v>2151</v>
      </c>
      <c r="B56">
        <f t="shared" ref="B56:H56" si="12">B$51+B$55</f>
        <v>570</v>
      </c>
      <c r="C56">
        <f t="shared" si="12"/>
        <v>884</v>
      </c>
      <c r="D56">
        <f t="shared" si="12"/>
        <v>329</v>
      </c>
      <c r="E56">
        <f t="shared" si="12"/>
        <v>96</v>
      </c>
      <c r="F56">
        <f t="shared" si="12"/>
        <v>65</v>
      </c>
      <c r="G56">
        <f t="shared" si="12"/>
        <v>157</v>
      </c>
      <c r="H56">
        <f t="shared" si="12"/>
        <v>82</v>
      </c>
      <c r="I56">
        <f t="shared" si="0"/>
        <v>2183</v>
      </c>
      <c r="J56" s="3">
        <f t="shared" si="1"/>
        <v>66.599999999999994</v>
      </c>
      <c r="K56" s="3">
        <f t="shared" si="2"/>
        <v>10.948236371965185</v>
      </c>
    </row>
  </sheetData>
  <pageMargins left="0.7" right="0.7" top="0.75" bottom="0.75" header="0.3" footer="0.3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12B51-A4B5-AD43-9CD7-F053D7D12356}">
  <dimension ref="A1:K56"/>
  <sheetViews>
    <sheetView workbookViewId="0">
      <pane ySplit="1" topLeftCell="A31" activePane="bottomLeft" state="frozen"/>
      <selection pane="bottomLeft" activeCell="I61" sqref="I61"/>
    </sheetView>
  </sheetViews>
  <sheetFormatPr baseColWidth="10" defaultRowHeight="16" x14ac:dyDescent="0.2"/>
  <sheetData>
    <row r="1" spans="1:11" x14ac:dyDescent="0.2">
      <c r="A1" t="s">
        <v>2096</v>
      </c>
      <c r="B1" s="2" t="s">
        <v>2152</v>
      </c>
      <c r="C1" s="2" t="s">
        <v>2153</v>
      </c>
      <c r="D1" s="2" t="s">
        <v>2154</v>
      </c>
      <c r="E1" s="2" t="s">
        <v>2155</v>
      </c>
      <c r="F1" s="2" t="s">
        <v>2156</v>
      </c>
      <c r="G1" s="2" t="s">
        <v>2157</v>
      </c>
      <c r="H1" s="2" t="s">
        <v>2158</v>
      </c>
      <c r="I1" t="s">
        <v>2159</v>
      </c>
      <c r="J1" s="3" t="s">
        <v>2160</v>
      </c>
      <c r="K1" s="3" t="s">
        <v>2161</v>
      </c>
    </row>
    <row r="2" spans="1:11" x14ac:dyDescent="0.2">
      <c r="A2" t="s">
        <v>2097</v>
      </c>
      <c r="B2">
        <f>COUNTIFS(Courses!$B$1:'Courses'!$B$20000,"Arts",Courses!$D$1:'Courses'!$D$20000,"&gt;=1000",Courses!$D$1:'Courses'!$D$20000,"&lt;2000",Courses!$E$1:'Courses'!$E$20000,2021,Courses!$I$1:'Courses'!$I$20000,"&gt;=2",Courses!$I$1:'Courses'!$I$20000,"&lt;10",Courses!$L$1:'Courses'!$L$20000,0)</f>
        <v>0</v>
      </c>
      <c r="C2">
        <f>COUNTIFS(Courses!$B$1:'Courses'!$B$20000,"Arts",Courses!$D$1:'Courses'!$D$20000,"&gt;=1000",Courses!$D$1:'Courses'!$D$20000,"&lt;2000",Courses!$E$1:'Courses'!$E$20000,2021,Courses!$I$1:'Courses'!$I$20000,"&gt;=10",Courses!$I$1:'Courses'!$I$20000,"&lt;20",Courses!$L$1:'Courses'!$L$20000,0)</f>
        <v>15</v>
      </c>
      <c r="D2">
        <f>COUNTIFS(Courses!$B$1:'Courses'!$B$20000,"Arts",Courses!$D$1:'Courses'!$D$20000,"&gt;=1000",Courses!$D$1:'Courses'!$D$20000,"&lt;2000",Courses!$E$1:'Courses'!$E$20000,2021,Courses!$I$1:'Courses'!$I$20000,"&gt;=20",Courses!$I$1:'Courses'!$I$20000,"&lt;30",Courses!$L$1:'Courses'!$L$20000,0)</f>
        <v>1</v>
      </c>
      <c r="E2">
        <f>COUNTIFS(Courses!$B$1:'Courses'!$B$20000,"Arts",Courses!$D$1:'Courses'!$D$20000,"&gt;=1000",Courses!$D$1:'Courses'!$D$20000,"&lt;2000",Courses!$E$1:'Courses'!$E$20000,2021,Courses!$I$1:'Courses'!$I$20000,"&gt;=30",Courses!$I$1:'Courses'!$I$20000,"&lt;40",Courses!$L$1:'Courses'!$L$20000,0)</f>
        <v>0</v>
      </c>
      <c r="F2">
        <f>COUNTIFS(Courses!$B$1:'Courses'!$B$20000,"Arts",Courses!$D$1:'Courses'!$D$20000,"&gt;=1000",Courses!$D$1:'Courses'!$D$20000,"&lt;2000",Courses!$E$1:'Courses'!$E$20000,2021,Courses!$I$1:'Courses'!$I$20000,"&gt;=40",Courses!$I$1:'Courses'!$I$20000,"&lt;50",Courses!$L$1:'Courses'!$L$20000,0)</f>
        <v>0</v>
      </c>
      <c r="G2">
        <f>COUNTIFS(Courses!$B$1:'Courses'!$B$20000,"Arts",Courses!$D$1:'Courses'!$D$20000,"&gt;=1000",Courses!$D$1:'Courses'!$D$20000,"&lt;2000",Courses!$E$1:'Courses'!$E$20000,2021,Courses!$I$1:'Courses'!$I$20000,"&gt;=50",Courses!$I$1:'Courses'!$I$20000,"&lt;100",Courses!$L$1:'Courses'!$L$20000,0)</f>
        <v>1</v>
      </c>
      <c r="H2">
        <f>COUNTIFS(Courses!$B$1:'Courses'!$B$20000,"Arts",Courses!$D$1:'Courses'!$D$20000,"&gt;=1000",Courses!$D$1:'Courses'!$D$20000,"&lt;2000",Courses!$E$1:'Courses'!$E$20000,2021,Courses!$I$1:'Courses'!$I$20000,"&gt;=100",Courses!$L$1:'Courses'!$L$20000,0)</f>
        <v>0</v>
      </c>
      <c r="I2">
        <f>$B2+$C2+$D2+$E2+$F2+$G2+$H2</f>
        <v>17</v>
      </c>
      <c r="J2" s="3">
        <f>100*($B2+$C2)/$I2</f>
        <v>88.235294117647058</v>
      </c>
      <c r="K2" s="3">
        <f>100*($G2+$H2)/$I2</f>
        <v>5.882352941176471</v>
      </c>
    </row>
    <row r="3" spans="1:11" x14ac:dyDescent="0.2">
      <c r="A3" t="s">
        <v>2098</v>
      </c>
      <c r="B3">
        <f>COUNTIFS(Courses!$B$1:'Courses'!$B$20000,"Arts",Courses!$D$1:'Courses'!$D$20000,"&gt;=2000",Courses!$D$1:'Courses'!$D$20000,"&lt;3000",Courses!$E$1:'Courses'!$E$20000,2021,Courses!$I$1:'Courses'!$I$20000,"&gt;=2",Courses!$I$1:'Courses'!$I$20000,"&lt;10",Courses!$L$1:'Courses'!$L$20000,0)</f>
        <v>13</v>
      </c>
      <c r="C3">
        <f>COUNTIFS(Courses!$B$1:'Courses'!$B$20000,"Arts",Courses!$D$1:'Courses'!$D$20000,"&gt;=2000",Courses!$D$1:'Courses'!$D$20000,"&lt;3000",Courses!$E$1:'Courses'!$E$20000,2021,Courses!$I$1:'Courses'!$I$20000,"&gt;=10",Courses!$I$1:'Courses'!$I$20000,"&lt;20",Courses!$L$1:'Courses'!$L$20000,0)</f>
        <v>13</v>
      </c>
      <c r="D3">
        <f>COUNTIFS(Courses!$B$1:'Courses'!$B$20000,"Arts",Courses!$D$1:'Courses'!$D$20000,"&gt;=2000",Courses!$D$1:'Courses'!$D$20000,"&lt;3000",Courses!$E$1:'Courses'!$E$20000,2021,Courses!$I$1:'Courses'!$I$20000,"&gt;=20",Courses!$I$1:'Courses'!$I$20000,"&lt;30",Courses!$L$1:'Courses'!$L$20000,0)</f>
        <v>0</v>
      </c>
      <c r="E3">
        <f>COUNTIFS(Courses!$B$1:'Courses'!$B$20000,"Arts",Courses!$D$1:'Courses'!$D$20000,"&gt;=2000",Courses!$D$1:'Courses'!$D$20000,"&lt;3000",Courses!$E$1:'Courses'!$E$20000,2021,Courses!$I$1:'Courses'!$I$20000,"&gt;=30",Courses!$I$1:'Courses'!$I$20000,"&lt;40",Courses!$L$1:'Courses'!$L$20000,0)</f>
        <v>1</v>
      </c>
      <c r="F3">
        <f>COUNTIFS(Courses!$B$1:'Courses'!$B$20000,"Arts",Courses!$D$1:'Courses'!$D$20000,"&gt;=2000",Courses!$D$1:'Courses'!$D$20000,"&lt;3000",Courses!$E$1:'Courses'!$E$20000,2021,Courses!$I$1:'Courses'!$I$20000,"&gt;=40",Courses!$I$1:'Courses'!$I$20000,"&lt;50",Courses!$L$1:'Courses'!$L$20000,0)</f>
        <v>1</v>
      </c>
      <c r="G3">
        <f>COUNTIFS(Courses!$B$1:'Courses'!$B$20000,"Arts",Courses!$D$1:'Courses'!$D$20000,"&gt;=2000",Courses!$D$1:'Courses'!$D$20000,"&lt;3000",Courses!$E$1:'Courses'!$E$20000,2021,Courses!$I$1:'Courses'!$I$20000,"&gt;=50",Courses!$I$1:'Courses'!$I$20000,"&lt;100",Courses!$L$1:'Courses'!$L$20000,0)</f>
        <v>1</v>
      </c>
      <c r="H3">
        <f>COUNTIFS(Courses!$B$1:'Courses'!$B$20000,"Arts",Courses!$D$1:'Courses'!$D$20000,"&gt;=2000",Courses!$D$1:'Courses'!$D$20000,"&lt;3000",Courses!$E$1:'Courses'!$E$20000,2021,Courses!$I$1:'Courses'!$I$20000,"&gt;=100",Courses!$L$1:'Courses'!$L$20000,0)</f>
        <v>0</v>
      </c>
      <c r="I3">
        <f t="shared" ref="I3:I56" si="0">$B3+$C3+$D3+$E3+$F3+$G3+$H3</f>
        <v>29</v>
      </c>
      <c r="J3" s="3">
        <f t="shared" ref="J3:J56" si="1">ROUND(100*($B3+$C3)/$I3,1)</f>
        <v>89.7</v>
      </c>
      <c r="K3" s="3">
        <f t="shared" ref="K3:K56" si="2">100*($G3+$H3)/$I3</f>
        <v>3.4482758620689653</v>
      </c>
    </row>
    <row r="4" spans="1:11" x14ac:dyDescent="0.2">
      <c r="A4" t="s">
        <v>2099</v>
      </c>
      <c r="B4">
        <f>COUNTIFS(Courses!$B$1:'Courses'!$B$20000,"Arts",Courses!$D$1:'Courses'!$D$20000,"&gt;=3000",Courses!$D$1:'Courses'!$D$20000,"&lt;4000",Courses!$E$1:'Courses'!$E$20000,2021,Courses!$I$1:'Courses'!$I$20000,"&gt;=2",Courses!$I$1:'Courses'!$I$20000,"&lt;10",Courses!$L$1:'Courses'!$L$20000,0)</f>
        <v>11</v>
      </c>
      <c r="C4">
        <f>COUNTIFS(Courses!$B$1:'Courses'!$B$20000,"Arts",Courses!$D$1:'Courses'!$D$20000,"&gt;=3000",Courses!$D$1:'Courses'!$D$20000,"&lt;4000",Courses!$E$1:'Courses'!$E$20000,2021,Courses!$I$1:'Courses'!$I$20000,"&gt;=10",Courses!$I$1:'Courses'!$I$20000,"&lt;20",Courses!$L$1:'Courses'!$L$20000,0)</f>
        <v>33</v>
      </c>
      <c r="D4">
        <f>COUNTIFS(Courses!$B$1:'Courses'!$B$20000,"Arts",Courses!$D$1:'Courses'!$D$20000,"&gt;=3000",Courses!$D$1:'Courses'!$D$20000,"&lt;4000",Courses!$E$1:'Courses'!$E$20000,2021,Courses!$I$1:'Courses'!$I$20000,"&gt;=20",Courses!$I$1:'Courses'!$I$20000,"&lt;30",Courses!$L$1:'Courses'!$L$20000,0)</f>
        <v>2</v>
      </c>
      <c r="E4">
        <f>COUNTIFS(Courses!$B$1:'Courses'!$B$20000,"Arts",Courses!$D$1:'Courses'!$D$20000,"&gt;=3000",Courses!$D$1:'Courses'!$D$20000,"&lt;4000",Courses!$E$1:'Courses'!$E$20000,2021,Courses!$I$1:'Courses'!$I$20000,"&gt;=30",Courses!$I$1:'Courses'!$I$20000,"&lt;40",Courses!$L$1:'Courses'!$L$20000,0)</f>
        <v>0</v>
      </c>
      <c r="F4">
        <f>COUNTIFS(Courses!$B$1:'Courses'!$B$20000,"Arts",Courses!$D$1:'Courses'!$D$20000,"&gt;=3000",Courses!$D$1:'Courses'!$D$20000,"&lt;4000",Courses!$E$1:'Courses'!$E$20000,2021,Courses!$I$1:'Courses'!$I$20000,"&gt;=40",Courses!$I$1:'Courses'!$I$20000,"&lt;50",Courses!$L$1:'Courses'!$L$20000,0)</f>
        <v>1</v>
      </c>
      <c r="G4">
        <f>COUNTIFS(Courses!$B$1:'Courses'!$B$20000,"Arts",Courses!$D$1:'Courses'!$D$20000,"&gt;=3000",Courses!$D$1:'Courses'!$D$20000,"&lt;4000",Courses!$E$1:'Courses'!$E$20000,2021,Courses!$I$1:'Courses'!$I$20000,"&gt;=50",Courses!$I$1:'Courses'!$I$20000,"&lt;100",Courses!$L$1:'Courses'!$L$20000,0)</f>
        <v>0</v>
      </c>
      <c r="H4">
        <f>COUNTIFS(Courses!$B$1:'Courses'!$B$20000,"Arts",Courses!$D$1:'Courses'!$D$20000,"&gt;=3000",Courses!$D$1:'Courses'!$D$20000,"&lt;4000",Courses!$E$1:'Courses'!$E$20000,2021,Courses!$I$1:'Courses'!$I$20000,"&gt;=100",Courses!$L$1:'Courses'!$L$20000,0)</f>
        <v>0</v>
      </c>
      <c r="I4">
        <f t="shared" si="0"/>
        <v>47</v>
      </c>
      <c r="J4" s="3">
        <f t="shared" si="1"/>
        <v>93.6</v>
      </c>
      <c r="K4" s="3">
        <f t="shared" si="2"/>
        <v>0</v>
      </c>
    </row>
    <row r="5" spans="1:11" x14ac:dyDescent="0.2">
      <c r="A5" t="s">
        <v>2100</v>
      </c>
      <c r="B5">
        <f>COUNTIFS(Courses!$B$1:'Courses'!$B$20000,"Arts",Courses!$D$1:'Courses'!$D$20000,"&gt;=4000",Courses!$D$1:'Courses'!$D$20000,"&lt;5000",Courses!$E$1:'Courses'!$E$20000,2021,Courses!$I$1:'Courses'!$I$20000,"&gt;=2",Courses!$I$1:'Courses'!$I$20000,"&lt;10",Courses!$L$1:'Courses'!$L$20000,0)</f>
        <v>1</v>
      </c>
      <c r="C5">
        <f>COUNTIFS(Courses!$B$1:'Courses'!$B$20000,"Arts",Courses!$D$1:'Courses'!$D$20000,"&gt;=4000",Courses!$D$1:'Courses'!$D$20000,"&lt;5000",Courses!$E$1:'Courses'!$E$20000,2021,Courses!$I$1:'Courses'!$I$20000,"&gt;=10",Courses!$I$1:'Courses'!$I$20000,"&lt;20",Courses!$L$1:'Courses'!$L$20000,0)</f>
        <v>3</v>
      </c>
      <c r="D5">
        <f>COUNTIFS(Courses!$B$1:'Courses'!$B$20000,"Arts",Courses!$D$1:'Courses'!$D$20000,"&gt;=4000",Courses!$D$1:'Courses'!$D$20000,"&lt;5000",Courses!$E$1:'Courses'!$E$20000,2021,Courses!$I$1:'Courses'!$I$20000,"&gt;=20",Courses!$I$1:'Courses'!$I$20000,"&lt;30",Courses!$L$1:'Courses'!$L$20000,0)</f>
        <v>2</v>
      </c>
      <c r="E5">
        <f>COUNTIFS(Courses!$B$1:'Courses'!$B$20000,"Arts",Courses!$D$1:'Courses'!$D$20000,"&gt;=4000",Courses!$D$1:'Courses'!$D$20000,"&lt;5000",Courses!$E$1:'Courses'!$E$20000,2021,Courses!$I$1:'Courses'!$I$20000,"&gt;=30",Courses!$I$1:'Courses'!$I$20000,"&lt;40",Courses!$L$1:'Courses'!$L$20000,0)</f>
        <v>0</v>
      </c>
      <c r="F5">
        <f>COUNTIFS(Courses!$B$1:'Courses'!$B$20000,"Arts",Courses!$D$1:'Courses'!$D$20000,"&gt;=4000",Courses!$D$1:'Courses'!$D$20000,"&lt;5000",Courses!$E$1:'Courses'!$E$20000,2021,Courses!$I$1:'Courses'!$I$20000,"&gt;=40",Courses!$I$1:'Courses'!$I$20000,"&lt;50",Courses!$L$1:'Courses'!$L$20000,0)</f>
        <v>0</v>
      </c>
      <c r="G5">
        <f>COUNTIFS(Courses!$B$1:'Courses'!$B$20000,"Arts",Courses!$D$1:'Courses'!$D$20000,"&gt;=4000",Courses!$D$1:'Courses'!$D$20000,"&lt;5000",Courses!$E$1:'Courses'!$E$20000,2021,Courses!$I$1:'Courses'!$I$20000,"&gt;=50",Courses!$I$1:'Courses'!$I$20000,"&lt;100",Courses!$L$1:'Courses'!$L$20000,0)</f>
        <v>1</v>
      </c>
      <c r="H5">
        <f>COUNTIFS(Courses!$B$1:'Courses'!$B$20000,"Arts",Courses!$D$1:'Courses'!$D$20000,"&gt;=4000",Courses!$D$1:'Courses'!$D$20000,"&lt;5000",Courses!$E$1:'Courses'!$E$20000,2021,Courses!$I$1:'Courses'!$I$20000,"&gt;=100",Courses!$L$1:'Courses'!$L$20000,0)</f>
        <v>0</v>
      </c>
      <c r="I5">
        <f t="shared" si="0"/>
        <v>7</v>
      </c>
      <c r="J5" s="3">
        <f t="shared" si="1"/>
        <v>57.1</v>
      </c>
      <c r="K5" s="3">
        <f t="shared" si="2"/>
        <v>14.285714285714286</v>
      </c>
    </row>
    <row r="6" spans="1:11" x14ac:dyDescent="0.2">
      <c r="A6" t="s">
        <v>2101</v>
      </c>
      <c r="B6">
        <f>COUNTIFS(Courses!$B$1:'Courses'!$B$20000,"Arts",Courses!$D$1:'Courses'!$D$20000,"&gt;=5000",Courses!$D$1:'Courses'!$D$20000,"&lt;6000",Courses!$E$1:'Courses'!$E$20000,2021,Courses!$I$1:'Courses'!$I$20000,"&gt;=2",Courses!$I$1:'Courses'!$I$20000,"&lt;10",Courses!$L$1:'Courses'!$L$20000,0)</f>
        <v>25</v>
      </c>
      <c r="C6">
        <f>COUNTIFS(Courses!$B$1:'Courses'!$B$20000,"Arts",Courses!$D$1:'Courses'!$D$20000,"&gt;=5000",Courses!$D$1:'Courses'!$D$20000,"&lt;6000",Courses!$E$1:'Courses'!$E$20000,2021,Courses!$I$1:'Courses'!$I$20000,"&gt;=10",Courses!$I$1:'Courses'!$I$20000,"&lt;20",Courses!$L$1:'Courses'!$L$20000,0)</f>
        <v>29</v>
      </c>
      <c r="D6">
        <f>COUNTIFS(Courses!$B$1:'Courses'!$B$20000,"Arts",Courses!$D$1:'Courses'!$D$20000,"&gt;=5000",Courses!$D$1:'Courses'!$D$20000,"&lt;6000",Courses!$E$1:'Courses'!$E$20000,2021,Courses!$I$1:'Courses'!$I$20000,"&gt;=20",Courses!$I$1:'Courses'!$I$20000,"&lt;30",Courses!$L$1:'Courses'!$L$20000,0)</f>
        <v>0</v>
      </c>
      <c r="E6">
        <f>COUNTIFS(Courses!$B$1:'Courses'!$B$20000,"Arts",Courses!$D$1:'Courses'!$D$20000,"&gt;=5000",Courses!$D$1:'Courses'!$D$20000,"&lt;6000",Courses!$E$1:'Courses'!$E$20000,2021,Courses!$I$1:'Courses'!$I$20000,"&gt;=30",Courses!$I$1:'Courses'!$I$20000,"&lt;40",Courses!$L$1:'Courses'!$L$20000,0)</f>
        <v>1</v>
      </c>
      <c r="F6">
        <f>COUNTIFS(Courses!$B$1:'Courses'!$B$20000,"Arts",Courses!$D$1:'Courses'!$D$20000,"&gt;=5000",Courses!$D$1:'Courses'!$D$20000,"&lt;6000",Courses!$E$1:'Courses'!$E$20000,2021,Courses!$I$1:'Courses'!$I$20000,"&gt;=40",Courses!$I$1:'Courses'!$I$20000,"&lt;50",Courses!$L$1:'Courses'!$L$20000,0)</f>
        <v>0</v>
      </c>
      <c r="G6">
        <f>COUNTIFS(Courses!$B$1:'Courses'!$B$20000,"Arts",Courses!$D$1:'Courses'!$D$20000,"&gt;=5000",Courses!$D$1:'Courses'!$D$20000,"&lt;6000",Courses!$E$1:'Courses'!$E$20000,2021,Courses!$I$1:'Courses'!$I$20000,"&gt;=50",Courses!$I$1:'Courses'!$I$20000,"&lt;100",Courses!$L$1:'Courses'!$L$20000,0)</f>
        <v>0</v>
      </c>
      <c r="H6">
        <f>COUNTIFS(Courses!$B$1:'Courses'!$B$20000,"Arts",Courses!$D$1:'Courses'!$D$20000,"&gt;=5000",Courses!$D$1:'Courses'!$D$20000,"&lt;6000",Courses!$E$1:'Courses'!$E$20000,2021,Courses!$I$1:'Courses'!$I$20000,"&gt;=100",Courses!$L$1:'Courses'!$L$20000,0)</f>
        <v>0</v>
      </c>
      <c r="I6">
        <f t="shared" si="0"/>
        <v>55</v>
      </c>
      <c r="J6" s="3">
        <f t="shared" si="1"/>
        <v>98.2</v>
      </c>
      <c r="K6" s="3">
        <f t="shared" si="2"/>
        <v>0</v>
      </c>
    </row>
    <row r="7" spans="1:11" x14ac:dyDescent="0.2">
      <c r="A7" t="s">
        <v>2102</v>
      </c>
      <c r="B7">
        <f>COUNTIFS(Courses!$B$1:'Courses'!$B$20000,"Arts",Courses!$D$1:'Courses'!$D$20000,"&gt;=6000",Courses!$D$1:'Courses'!$D$20000,"&lt;7000",Courses!$E$1:'Courses'!$E$20000,2021,Courses!$I$1:'Courses'!$I$20000,"&gt;=2",Courses!$I$1:'Courses'!$I$20000,"&lt;10",Courses!$L$1:'Courses'!$L$20000,0)</f>
        <v>20</v>
      </c>
      <c r="C7">
        <f>COUNTIFS(Courses!$B$1:'Courses'!$B$20000,"Arts",Courses!$D$1:'Courses'!$D$20000,"&gt;=6000",Courses!$D$1:'Courses'!$D$20000,"&lt;7000",Courses!$E$1:'Courses'!$E$20000,2021,Courses!$I$1:'Courses'!$I$20000,"&gt;=10",Courses!$I$1:'Courses'!$I$20000,"&lt;20",Courses!$L$1:'Courses'!$L$20000,0)</f>
        <v>64</v>
      </c>
      <c r="D7">
        <f>COUNTIFS(Courses!$B$1:'Courses'!$B$20000,"Arts",Courses!$D$1:'Courses'!$D$20000,"&gt;=6000",Courses!$D$1:'Courses'!$D$20000,"&lt;7000",Courses!$E$1:'Courses'!$E$20000,2021,Courses!$I$1:'Courses'!$I$20000,"&gt;=20",Courses!$I$1:'Courses'!$I$20000,"&lt;30",Courses!$L$1:'Courses'!$L$20000,0)</f>
        <v>6</v>
      </c>
      <c r="E7">
        <f>COUNTIFS(Courses!$B$1:'Courses'!$B$20000,"Arts",Courses!$D$1:'Courses'!$D$20000,"&gt;=6000",Courses!$D$1:'Courses'!$D$20000,"&lt;7000",Courses!$E$1:'Courses'!$E$20000,2021,Courses!$I$1:'Courses'!$I$20000,"&gt;=30",Courses!$I$1:'Courses'!$I$20000,"&lt;40",Courses!$L$1:'Courses'!$L$20000,0)</f>
        <v>3</v>
      </c>
      <c r="F7">
        <f>COUNTIFS(Courses!$B$1:'Courses'!$B$20000,"Arts",Courses!$D$1:'Courses'!$D$20000,"&gt;=6000",Courses!$D$1:'Courses'!$D$20000,"&lt;7000",Courses!$E$1:'Courses'!$E$20000,2021,Courses!$I$1:'Courses'!$I$20000,"&gt;=40",Courses!$I$1:'Courses'!$I$20000,"&lt;50",Courses!$L$1:'Courses'!$L$20000,0)</f>
        <v>1</v>
      </c>
      <c r="G7">
        <f>COUNTIFS(Courses!$B$1:'Courses'!$B$20000,"Arts",Courses!$D$1:'Courses'!$D$20000,"&gt;=6000",Courses!$D$1:'Courses'!$D$20000,"&lt;7000",Courses!$E$1:'Courses'!$E$20000,2021,Courses!$I$1:'Courses'!$I$20000,"&gt;=50",Courses!$I$1:'Courses'!$I$20000,"&lt;100",Courses!$L$1:'Courses'!$L$20000,0)</f>
        <v>0</v>
      </c>
      <c r="H7">
        <f>COUNTIFS(Courses!$B$1:'Courses'!$B$20000,"Arts",Courses!$D$1:'Courses'!$D$20000,"&gt;=6000",Courses!$D$1:'Courses'!$D$20000,"&lt;7000",Courses!$E$1:'Courses'!$E$20000,2021,Courses!$I$1:'Courses'!$I$20000,"&gt;=100",Courses!$L$1:'Courses'!$L$20000,0)</f>
        <v>0</v>
      </c>
      <c r="I7">
        <f t="shared" si="0"/>
        <v>94</v>
      </c>
      <c r="J7" s="3">
        <f t="shared" si="1"/>
        <v>89.4</v>
      </c>
      <c r="K7" s="3">
        <f t="shared" si="2"/>
        <v>0</v>
      </c>
    </row>
    <row r="8" spans="1:11" x14ac:dyDescent="0.2">
      <c r="A8" t="s">
        <v>2103</v>
      </c>
      <c r="B8">
        <f>COUNTIFS(Courses!$B$1:'Courses'!$B$20000,"Arts",Courses!$D$1:'Courses'!$D$20000,"&gt;=8000",Courses!$D$1:'Courses'!$D$20000,"&lt;9000",Courses!$E$1:'Courses'!$E$20000,2021,Courses!$I$1:'Courses'!$I$20000,"&gt;=2",Courses!$I$1:'Courses'!$I$20000,"&lt;10",Courses!$L$1:'Courses'!$L$20000,0)</f>
        <v>20</v>
      </c>
      <c r="C8">
        <f>COUNTIFS(Courses!$B$1:'Courses'!$B$20000,"Arts",Courses!$D$1:'Courses'!$D$20000,"&gt;=8000",Courses!$D$1:'Courses'!$D$20000,"&lt;9000",Courses!$E$1:'Courses'!$E$20000,2021,Courses!$I$1:'Courses'!$I$20000,"&gt;=10",Courses!$I$1:'Courses'!$I$20000,"&lt;20",Courses!$L$1:'Courses'!$L$20000,0)</f>
        <v>20</v>
      </c>
      <c r="D8">
        <f>COUNTIFS(Courses!$B$1:'Courses'!$B$20000,"Arts",Courses!$D$1:'Courses'!$D$20000,"&gt;=8000",Courses!$D$1:'Courses'!$D$20000,"&lt;9000",Courses!$E$1:'Courses'!$E$20000,2021,Courses!$I$1:'Courses'!$I$20000,"&gt;=20",Courses!$I$1:'Courses'!$I$20000,"&lt;30",Courses!$L$1:'Courses'!$L$20000,0)</f>
        <v>1</v>
      </c>
      <c r="E8">
        <f>COUNTIFS(Courses!$B$1:'Courses'!$B$20000,"Arts",Courses!$D$1:'Courses'!$D$20000,"&gt;=8000",Courses!$D$1:'Courses'!$D$20000,"&lt;9000",Courses!$E$1:'Courses'!$E$20000,2021,Courses!$I$1:'Courses'!$I$20000,"&gt;=30",Courses!$I$1:'Courses'!$I$20000,"&lt;40",Courses!$L$1:'Courses'!$L$20000,0)</f>
        <v>1</v>
      </c>
      <c r="F8">
        <f>COUNTIFS(Courses!$B$1:'Courses'!$B$20000,"Arts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8">
        <f>COUNTIFS(Courses!$B$1:'Courses'!$B$20000,"Arts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8">
        <f>COUNTIFS(Courses!$B$1:'Courses'!$B$20000,"Arts",Courses!$D$1:'Courses'!$D$20000,"&gt;=8000",Courses!$D$1:'Courses'!$D$20000,"&lt;9000",Courses!$E$1:'Courses'!$E$20000,2021,Courses!$I$1:'Courses'!$I$20000,"&gt;=100",Courses!$L$1:'Courses'!$L$20000,0)</f>
        <v>0</v>
      </c>
      <c r="I8">
        <f t="shared" si="0"/>
        <v>42</v>
      </c>
      <c r="J8" s="3">
        <f t="shared" si="1"/>
        <v>95.2</v>
      </c>
      <c r="K8" s="3">
        <f t="shared" si="2"/>
        <v>0</v>
      </c>
    </row>
    <row r="9" spans="1:11" x14ac:dyDescent="0.2">
      <c r="A9" t="s">
        <v>2104</v>
      </c>
      <c r="B9">
        <f>COUNTIFS(Courses!$B$1:'Courses'!$B$20000,"Arts",Courses!$D$1:'Courses'!$D$20000,"&gt;=1000",Courses!$D$1:'Courses'!$D$20000,"&lt;9000",Courses!$E$1:'Courses'!$E$20000,2021,Courses!$I$1:'Courses'!$I$20000,"&gt;=2",Courses!$I$1:'Courses'!$I$20000,"&lt;10",Courses!$L$1:'Courses'!$L$20000,0)</f>
        <v>90</v>
      </c>
      <c r="C9">
        <f>COUNTIFS(Courses!$B$1:'Courses'!$B$20000,"Arts",Courses!$D$1:'Courses'!$D$20000,"&gt;=1000",Courses!$D$1:'Courses'!$D$20000,"&lt;9000",Courses!$E$1:'Courses'!$E$20000,2021,Courses!$I$1:'Courses'!$I$20000,"&gt;=10",Courses!$I$1:'Courses'!$I$20000,"&lt;20",Courses!$L$1:'Courses'!$L$20000,0)</f>
        <v>177</v>
      </c>
      <c r="D9">
        <f>COUNTIFS(Courses!$B$1:'Courses'!$B$20000,"Arts",Courses!$D$1:'Courses'!$D$20000,"&gt;=1000",Courses!$D$1:'Courses'!$D$20000,"&lt;9000",Courses!$E$1:'Courses'!$E$20000,2021,Courses!$I$1:'Courses'!$I$20000,"&gt;=20",Courses!$I$1:'Courses'!$I$20000,"&lt;30",Courses!$L$1:'Courses'!$L$20000,0)</f>
        <v>12</v>
      </c>
      <c r="E9">
        <f>COUNTIFS(Courses!$B$1:'Courses'!$B$20000,"Arts",Courses!$D$1:'Courses'!$D$20000,"&gt;=1000",Courses!$D$1:'Courses'!$D$20000,"&lt;9000",Courses!$E$1:'Courses'!$E$20000,2021,Courses!$I$1:'Courses'!$I$20000,"&gt;=30",Courses!$I$1:'Courses'!$I$20000,"&lt;40",Courses!$L$1:'Courses'!$L$20000,0)</f>
        <v>6</v>
      </c>
      <c r="F9">
        <f>COUNTIFS(Courses!$B$1:'Courses'!$B$20000,"Arts",Courses!$D$1:'Courses'!$D$20000,"&gt;=1000",Courses!$D$1:'Courses'!$D$20000,"&lt;9000",Courses!$E$1:'Courses'!$E$20000,2021,Courses!$I$1:'Courses'!$I$20000,"&gt;=40",Courses!$I$1:'Courses'!$I$20000,"&lt;50",Courses!$L$1:'Courses'!$L$20000,0)</f>
        <v>3</v>
      </c>
      <c r="G9">
        <f>COUNTIFS(Courses!$B$1:'Courses'!$B$20000,"Arts",Courses!$D$1:'Courses'!$D$20000,"&gt;=1000",Courses!$D$1:'Courses'!$D$20000,"&lt;9000",Courses!$E$1:'Courses'!$E$20000,2021,Courses!$I$1:'Courses'!$I$20000,"&gt;=50",Courses!$I$1:'Courses'!$I$20000,"&lt;100",Courses!$L$1:'Courses'!$L$20000,0)</f>
        <v>3</v>
      </c>
      <c r="H9">
        <f>COUNTIFS(Courses!$B$1:'Courses'!$B$20000,"Arts",Courses!$D$1:'Courses'!$D$20000,"&gt;=1000",Courses!$D$1:'Courses'!$D$20000,"&lt;9000",Courses!$E$1:'Courses'!$E$20000,2021,Courses!$I$1:'Courses'!$I$20000,"&gt;=100",Courses!$L$1:'Courses'!$L$20000,0)</f>
        <v>0</v>
      </c>
      <c r="I9">
        <f t="shared" si="0"/>
        <v>291</v>
      </c>
      <c r="J9" s="3">
        <f t="shared" si="1"/>
        <v>91.8</v>
      </c>
      <c r="K9" s="3">
        <f t="shared" si="2"/>
        <v>1.0309278350515463</v>
      </c>
    </row>
    <row r="10" spans="1:11" x14ac:dyDescent="0.2">
      <c r="A10" t="s">
        <v>2105</v>
      </c>
      <c r="B10">
        <f>COUNTIFS(Courses!$B$1:'Courses'!$B$20000,"Core",Courses!$D$1:'Courses'!$D$20000,"&gt;=1000",Courses!$D$1:'Courses'!$D$20000,"&lt;2000",Courses!$E$1:'Courses'!$E$20000,2021,Courses!$I$1:'Courses'!$I$20000,"&gt;=2",Courses!$I$1:'Courses'!$I$20000,"&lt;10",Courses!$L$1:'Courses'!$L$20000,0)</f>
        <v>2</v>
      </c>
      <c r="C10">
        <f>COUNTIFS(Courses!$B$1:'Courses'!$B$20000,"Core",Courses!$D$1:'Courses'!$D$20000,"&gt;=1000",Courses!$D$1:'Courses'!$D$20000,"&lt;2000",Courses!$E$1:'Courses'!$E$20000,2021,Courses!$I$1:'Courses'!$I$20000,"&gt;=10",Courses!$I$1:'Courses'!$I$20000,"&lt;20",Courses!$L$1:'Courses'!$L$20000,0)</f>
        <v>117</v>
      </c>
      <c r="D10">
        <f>COUNTIFS(Courses!$B$1:'Courses'!$B$20000,"Core",Courses!$D$1:'Courses'!$D$20000,"&gt;=1000",Courses!$D$1:'Courses'!$D$20000,"&lt;2000",Courses!$E$1:'Courses'!$E$20000,2021,Courses!$I$1:'Courses'!$I$20000,"&gt;=20",Courses!$I$1:'Courses'!$I$20000,"&lt;30",Courses!$L$1:'Courses'!$L$20000,0)</f>
        <v>183</v>
      </c>
      <c r="E10">
        <f>COUNTIFS(Courses!$B$1:'Courses'!$B$20000,"Core",Courses!$D$1:'Courses'!$D$20000,"&gt;=1000",Courses!$D$1:'Courses'!$D$20000,"&lt;2000",Courses!$E$1:'Courses'!$E$20000,2021,Courses!$I$1:'Courses'!$I$20000,"&gt;=30",Courses!$I$1:'Courses'!$I$20000,"&lt;40",Courses!$L$1:'Courses'!$L$20000,0)</f>
        <v>0</v>
      </c>
      <c r="F10">
        <f>COUNTIFS(Courses!$B$1:'Courses'!$B$20000,"Core",Courses!$D$1:'Courses'!$D$20000,"&gt;=1000",Courses!$D$1:'Courses'!$D$20000,"&lt;2000",Courses!$E$1:'Courses'!$E$20000,2021,Courses!$I$1:'Courses'!$I$20000,"&gt;=40",Courses!$I$1:'Courses'!$I$20000,"&lt;50",Courses!$L$1:'Courses'!$L$20000,0)</f>
        <v>0</v>
      </c>
      <c r="G10">
        <f>COUNTIFS(Courses!$B$1:'Courses'!$B$20000,"Core",Courses!$D$1:'Courses'!$D$20000,"&gt;=1000",Courses!$D$1:'Courses'!$D$20000,"&lt;2000",Courses!$E$1:'Courses'!$E$20000,2021,Courses!$I$1:'Courses'!$I$20000,"&gt;=50",Courses!$I$1:'Courses'!$I$20000,"&lt;100",Courses!$L$1:'Courses'!$L$20000,0)</f>
        <v>0</v>
      </c>
      <c r="H10">
        <f>COUNTIFS(Courses!$B$1:'Courses'!$B$20000,"Core",Courses!$D$1:'Courses'!$D$20000,"&gt;=1000",Courses!$D$1:'Courses'!$D$20000,"&lt;2000",Courses!$E$1:'Courses'!$E$20000,2021,Courses!$I$1:'Courses'!$I$20000,"&gt;=100",Courses!$L$1:'Courses'!$L$20000,0)</f>
        <v>1</v>
      </c>
      <c r="I10">
        <f t="shared" si="0"/>
        <v>303</v>
      </c>
      <c r="J10" s="3">
        <f t="shared" si="1"/>
        <v>39.299999999999997</v>
      </c>
      <c r="K10" s="3">
        <f t="shared" si="2"/>
        <v>0.33003300330033003</v>
      </c>
    </row>
    <row r="11" spans="1:11" x14ac:dyDescent="0.2">
      <c r="A11" t="s">
        <v>2106</v>
      </c>
      <c r="B11">
        <f>COUNTIFS(Courses!$B$1:'Courses'!$B$20000,"Core",Courses!$D$1:'Courses'!$D$20000,"&gt;=2000",Courses!$D$1:'Courses'!$D$20000,"&lt;3000",Courses!$E$1:'Courses'!$E$20000,2021,Courses!$I$1:'Courses'!$I$20000,"&gt;=2",Courses!$I$1:'Courses'!$I$20000,"&lt;10",Courses!$L$1:'Courses'!$L$20000,0)</f>
        <v>1</v>
      </c>
      <c r="C11">
        <f>COUNTIFS(Courses!$B$1:'Courses'!$B$20000,"Core",Courses!$D$1:'Courses'!$D$20000,"&gt;=2000",Courses!$D$1:'Courses'!$D$20000,"&lt;3000",Courses!$E$1:'Courses'!$E$20000,2021,Courses!$I$1:'Courses'!$I$20000,"&gt;=10",Courses!$I$1:'Courses'!$I$20000,"&lt;20",Courses!$L$1:'Courses'!$L$20000,0)</f>
        <v>1</v>
      </c>
      <c r="D11">
        <f>COUNTIFS(Courses!$B$1:'Courses'!$B$20000,"Core",Courses!$D$1:'Courses'!$D$20000,"&gt;=2000",Courses!$D$1:'Courses'!$D$20000,"&lt;3000",Courses!$E$1:'Courses'!$E$20000,2021,Courses!$I$1:'Courses'!$I$20000,"&gt;=20",Courses!$I$1:'Courses'!$I$20000,"&lt;30",Courses!$L$1:'Courses'!$L$20000,0)</f>
        <v>0</v>
      </c>
      <c r="E11">
        <f>COUNTIFS(Courses!$B$1:'Courses'!$B$20000,"Core",Courses!$D$1:'Courses'!$D$20000,"&gt;=2000",Courses!$D$1:'Courses'!$D$20000,"&lt;3000",Courses!$E$1:'Courses'!$E$20000,2021,Courses!$I$1:'Courses'!$I$20000,"&gt;=30",Courses!$I$1:'Courses'!$I$20000,"&lt;40",Courses!$L$1:'Courses'!$L$20000,0)</f>
        <v>0</v>
      </c>
      <c r="F11">
        <f>COUNTIFS(Courses!$B$1:'Courses'!$B$20000,"Core",Courses!$D$1:'Courses'!$D$20000,"&gt;=2000",Courses!$D$1:'Courses'!$D$20000,"&lt;3000",Courses!$E$1:'Courses'!$E$20000,2021,Courses!$I$1:'Courses'!$I$20000,"&gt;=40",Courses!$I$1:'Courses'!$I$20000,"&lt;50",Courses!$L$1:'Courses'!$L$20000,0)</f>
        <v>0</v>
      </c>
      <c r="G11">
        <f>COUNTIFS(Courses!$B$1:'Courses'!$B$20000,"Core",Courses!$D$1:'Courses'!$D$20000,"&gt;=2000",Courses!$D$1:'Courses'!$D$20000,"&lt;3000",Courses!$E$1:'Courses'!$E$20000,2021,Courses!$I$1:'Courses'!$I$20000,"&gt;=50",Courses!$I$1:'Courses'!$I$20000,"&lt;100",Courses!$L$1:'Courses'!$L$20000,0)</f>
        <v>0</v>
      </c>
      <c r="H11">
        <f>COUNTIFS(Courses!$B$1:'Courses'!$B$20000,"Core",Courses!$D$1:'Courses'!$D$20000,"&gt;=2000",Courses!$D$1:'Courses'!$D$20000,"&lt;3000",Courses!$E$1:'Courses'!$E$20000,2021,Courses!$I$1:'Courses'!$I$20000,"&gt;=100",Courses!$L$1:'Courses'!$L$20000,0)</f>
        <v>0</v>
      </c>
      <c r="I11">
        <f t="shared" si="0"/>
        <v>2</v>
      </c>
      <c r="J11" s="3">
        <f t="shared" si="1"/>
        <v>100</v>
      </c>
      <c r="K11" s="3">
        <f t="shared" si="2"/>
        <v>0</v>
      </c>
    </row>
    <row r="12" spans="1:11" x14ac:dyDescent="0.2">
      <c r="A12" t="s">
        <v>2107</v>
      </c>
      <c r="B12">
        <f>COUNTIFS(Courses!$B$1:'Courses'!$B$20000,"Core",Courses!$D$1:'Courses'!$D$20000,"&gt;=6000",Courses!$D$1:'Courses'!$D$20000,"&lt;7000",Courses!$E$1:'Courses'!$E$20000,2021,Courses!$I$1:'Courses'!$I$20000,"&gt;=2",Courses!$I$1:'Courses'!$I$20000,"&lt;10",Courses!$L$1:'Courses'!$L$20000,0)</f>
        <v>1</v>
      </c>
      <c r="C12">
        <f>COUNTIFS(Courses!$B$1:'Courses'!$B$20000,"Core",Courses!$D$1:'Courses'!$D$20000,"&gt;=6000",Courses!$D$1:'Courses'!$D$20000,"&lt;7000",Courses!$E$1:'Courses'!$E$20000,2021,Courses!$I$1:'Courses'!$I$20000,"&gt;=10",Courses!$I$1:'Courses'!$I$20000,"&lt;20",Courses!$L$1:'Courses'!$L$20000,0)</f>
        <v>1</v>
      </c>
      <c r="D12">
        <f>COUNTIFS(Courses!$B$1:'Courses'!$B$20000,"Core",Courses!$D$1:'Courses'!$D$20000,"&gt;=6000",Courses!$D$1:'Courses'!$D$20000,"&lt;7000",Courses!$E$1:'Courses'!$E$20000,2021,Courses!$I$1:'Courses'!$I$20000,"&gt;=20",Courses!$I$1:'Courses'!$I$20000,"&lt;30",Courses!$L$1:'Courses'!$L$20000,0)</f>
        <v>0</v>
      </c>
      <c r="E12">
        <f>COUNTIFS(Courses!$B$1:'Courses'!$B$20000,"Core",Courses!$D$1:'Courses'!$D$20000,"&gt;=6000",Courses!$D$1:'Courses'!$D$20000,"&lt;7000",Courses!$E$1:'Courses'!$E$20000,2021,Courses!$I$1:'Courses'!$I$20000,"&gt;=30",Courses!$I$1:'Courses'!$I$20000,"&lt;40",Courses!$L$1:'Courses'!$L$20000,0)</f>
        <v>0</v>
      </c>
      <c r="F12">
        <f>COUNTIFS(Courses!$B$1:'Courses'!$B$20000,"Core",Courses!$D$1:'Courses'!$D$20000,"&gt;=6000",Courses!$D$1:'Courses'!$D$20000,"&lt;7000",Courses!$E$1:'Courses'!$E$20000,2021,Courses!$I$1:'Courses'!$I$20000,"&gt;=40",Courses!$I$1:'Courses'!$I$20000,"&lt;50",Courses!$L$1:'Courses'!$L$20000,0)</f>
        <v>0</v>
      </c>
      <c r="G12">
        <f>COUNTIFS(Courses!$B$1:'Courses'!$B$20000,"Core",Courses!$D$1:'Courses'!$D$20000,"&gt;=6000",Courses!$D$1:'Courses'!$D$20000,"&lt;7000",Courses!$E$1:'Courses'!$E$20000,2021,Courses!$I$1:'Courses'!$I$20000,"&gt;=50",Courses!$I$1:'Courses'!$I$20000,"&lt;100",Courses!$L$1:'Courses'!$L$20000,0)</f>
        <v>0</v>
      </c>
      <c r="H12">
        <f>COUNTIFS(Courses!$B$1:'Courses'!$B$20000,"Core",Courses!$D$1:'Courses'!$D$20000,"&gt;=6000",Courses!$D$1:'Courses'!$D$20000,"&lt;7000",Courses!$E$1:'Courses'!$E$20000,2021,Courses!$I$1:'Courses'!$I$20000,"&gt;=100",Courses!$L$1:'Courses'!$L$20000,0)</f>
        <v>0</v>
      </c>
      <c r="I12">
        <f t="shared" si="0"/>
        <v>2</v>
      </c>
      <c r="J12" s="3">
        <f t="shared" si="1"/>
        <v>100</v>
      </c>
      <c r="K12" s="3">
        <f t="shared" si="2"/>
        <v>0</v>
      </c>
    </row>
    <row r="13" spans="1:11" x14ac:dyDescent="0.2">
      <c r="A13" t="s">
        <v>2108</v>
      </c>
      <c r="B13">
        <f>COUNTIFS(Courses!$B$1:'Courses'!$B$20000,"Core",Courses!$D$1:'Courses'!$D$20000,"&gt;=8000",Courses!$D$1:'Courses'!$D$20000,"&lt;9000",Courses!$E$1:'Courses'!$E$20000,2021,Courses!$I$1:'Courses'!$I$20000,"&gt;=2",Courses!$I$1:'Courses'!$I$20000,"&lt;10",Courses!$L$1:'Courses'!$L$20000,0)</f>
        <v>0</v>
      </c>
      <c r="C13">
        <f>COUNTIFS(Courses!$B$1:'Courses'!$B$20000,"Core",Courses!$D$1:'Courses'!$D$20000,"&gt;=8000",Courses!$D$1:'Courses'!$D$20000,"&lt;9000",Courses!$E$1:'Courses'!$E$20000,2021,Courses!$I$1:'Courses'!$I$20000,"&gt;=10",Courses!$I$1:'Courses'!$I$20000,"&lt;20",Courses!$L$1:'Courses'!$L$20000,0)</f>
        <v>1</v>
      </c>
      <c r="D13">
        <f>COUNTIFS(Courses!$B$1:'Courses'!$B$20000,"Core",Courses!$D$1:'Courses'!$D$20000,"&gt;=8000",Courses!$D$1:'Courses'!$D$20000,"&lt;9000",Courses!$E$1:'Courses'!$E$20000,2021,Courses!$I$1:'Courses'!$I$20000,"&gt;=20",Courses!$I$1:'Courses'!$I$20000,"&lt;30",Courses!$L$1:'Courses'!$L$20000,0)</f>
        <v>0</v>
      </c>
      <c r="E13">
        <f>COUNTIFS(Courses!$B$1:'Courses'!$B$20000,"Core",Courses!$D$1:'Courses'!$D$20000,"&gt;=8000",Courses!$D$1:'Courses'!$D$20000,"&lt;9000",Courses!$E$1:'Courses'!$E$20000,2021,Courses!$I$1:'Courses'!$I$20000,"&gt;=30",Courses!$I$1:'Courses'!$I$20000,"&lt;40",Courses!$L$1:'Courses'!$L$20000,0)</f>
        <v>0</v>
      </c>
      <c r="F13">
        <f>COUNTIFS(Courses!$B$1:'Courses'!$B$20000,"Core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13">
        <f>COUNTIFS(Courses!$B$1:'Courses'!$B$20000,"Core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13">
        <f>COUNTIFS(Courses!$B$1:'Courses'!$B$20000,"Core",Courses!$D$1:'Courses'!$D$20000,"&gt;=8000",Courses!$D$1:'Courses'!$D$20000,"&lt;9000",Courses!$E$1:'Courses'!$E$20000,2021,Courses!$I$1:'Courses'!$I$20000,"&gt;=100",Courses!$L$1:'Courses'!$L$20000,0)</f>
        <v>0</v>
      </c>
      <c r="I13">
        <f t="shared" si="0"/>
        <v>1</v>
      </c>
      <c r="J13" s="3">
        <f t="shared" si="1"/>
        <v>100</v>
      </c>
      <c r="K13" s="3">
        <f t="shared" si="2"/>
        <v>0</v>
      </c>
    </row>
    <row r="14" spans="1:11" x14ac:dyDescent="0.2">
      <c r="A14" t="s">
        <v>2109</v>
      </c>
      <c r="B14">
        <f>COUNTIFS(Courses!$B$1:'Courses'!$B$20000,"Core",Courses!$D$1:'Courses'!$D$20000,"&gt;=1000",Courses!$D$1:'Courses'!$D$20000,"&lt;9000",Courses!$E$1:'Courses'!$E$20000,2021,Courses!$I$1:'Courses'!$I$20000,"&gt;=2",Courses!$I$1:'Courses'!$I$20000,"&lt;10",Courses!$L$1:'Courses'!$L$20000,0)</f>
        <v>4</v>
      </c>
      <c r="C14">
        <f>COUNTIFS(Courses!$B$1:'Courses'!$B$20000,"Core",Courses!$D$1:'Courses'!$D$20000,"&gt;=1000",Courses!$D$1:'Courses'!$D$20000,"&lt;9000",Courses!$E$1:'Courses'!$E$20000,2021,Courses!$I$1:'Courses'!$I$20000,"&gt;=10",Courses!$I$1:'Courses'!$I$20000,"&lt;20",Courses!$L$1:'Courses'!$L$20000,0)</f>
        <v>120</v>
      </c>
      <c r="D14">
        <f>COUNTIFS(Courses!$B$1:'Courses'!$B$20000,"Core",Courses!$D$1:'Courses'!$D$20000,"&gt;=1000",Courses!$D$1:'Courses'!$D$20000,"&lt;9000",Courses!$E$1:'Courses'!$E$20000,2021,Courses!$I$1:'Courses'!$I$20000,"&gt;=20",Courses!$I$1:'Courses'!$I$20000,"&lt;30",Courses!$L$1:'Courses'!$L$20000,0)</f>
        <v>183</v>
      </c>
      <c r="E14">
        <f>COUNTIFS(Courses!$B$1:'Courses'!$B$20000,"Core",Courses!$D$1:'Courses'!$D$20000,"&gt;=1000",Courses!$D$1:'Courses'!$D$20000,"&lt;9000",Courses!$E$1:'Courses'!$E$20000,2021,Courses!$I$1:'Courses'!$I$20000,"&gt;=30",Courses!$I$1:'Courses'!$I$20000,"&lt;40",Courses!$L$1:'Courses'!$L$20000,0)</f>
        <v>0</v>
      </c>
      <c r="F14">
        <f>COUNTIFS(Courses!$B$1:'Courses'!$B$20000,"Core",Courses!$D$1:'Courses'!$D$20000,"&gt;=1000",Courses!$D$1:'Courses'!$D$20000,"&lt;9000",Courses!$E$1:'Courses'!$E$20000,2021,Courses!$I$1:'Courses'!$I$20000,"&gt;=40",Courses!$I$1:'Courses'!$I$20000,"&lt;50",Courses!$L$1:'Courses'!$L$20000,0)</f>
        <v>0</v>
      </c>
      <c r="G14">
        <f>COUNTIFS(Courses!$B$1:'Courses'!$B$20000,"Core",Courses!$D$1:'Courses'!$D$20000,"&gt;=1000",Courses!$D$1:'Courses'!$D$20000,"&lt;9000",Courses!$E$1:'Courses'!$E$20000,2021,Courses!$I$1:'Courses'!$I$20000,"&gt;=50",Courses!$I$1:'Courses'!$I$20000,"&lt;100",Courses!$L$1:'Courses'!$L$20000,0)</f>
        <v>0</v>
      </c>
      <c r="H14">
        <f>COUNTIFS(Courses!$B$1:'Courses'!$B$20000,"Core",Courses!$D$1:'Courses'!$D$20000,"&gt;=1000",Courses!$D$1:'Courses'!$D$20000,"&lt;9000",Courses!$E$1:'Courses'!$E$20000,2021,Courses!$I$1:'Courses'!$I$20000,"&gt;=100",Courses!$L$1:'Courses'!$L$20000,0)</f>
        <v>1</v>
      </c>
      <c r="I14">
        <f t="shared" si="0"/>
        <v>308</v>
      </c>
      <c r="J14" s="3">
        <f t="shared" si="1"/>
        <v>40.299999999999997</v>
      </c>
      <c r="K14" s="3">
        <f t="shared" si="2"/>
        <v>0.32467532467532467</v>
      </c>
    </row>
    <row r="15" spans="1:11" x14ac:dyDescent="0.2">
      <c r="A15" t="s">
        <v>2110</v>
      </c>
      <c r="B15">
        <f>COUNTIFS(Courses!$B$1:'Courses'!$B$20000,"Engineering",Courses!$D$1:'Courses'!$D$20000,"&gt;=1000",Courses!$D$1:'Courses'!$D$20000,"&lt;2000",Courses!$E$1:'Courses'!$E$20000,2021,Courses!$I$1:'Courses'!$I$20000,"&gt;=2",Courses!$I$1:'Courses'!$I$20000,"&lt;10",Courses!$L$1:'Courses'!$L$20000,0)</f>
        <v>13</v>
      </c>
      <c r="C15">
        <f>COUNTIFS(Courses!$B$1:'Courses'!$B$20000,"Engineering",Courses!$D$1:'Courses'!$D$20000,"&gt;=1000",Courses!$D$1:'Courses'!$D$20000,"&lt;2000",Courses!$E$1:'Courses'!$E$20000,2021,Courses!$I$1:'Courses'!$I$20000,"&gt;=10",Courses!$I$1:'Courses'!$I$20000,"&lt;20",Courses!$L$1:'Courses'!$L$20000,0)</f>
        <v>4</v>
      </c>
      <c r="D15">
        <f>COUNTIFS(Courses!$B$1:'Courses'!$B$20000,"Engineering",Courses!$D$1:'Courses'!$D$20000,"&gt;=1000",Courses!$D$1:'Courses'!$D$20000,"&lt;2000",Courses!$E$1:'Courses'!$E$20000,2021,Courses!$I$1:'Courses'!$I$20000,"&gt;=20",Courses!$I$1:'Courses'!$I$20000,"&lt;30",Courses!$L$1:'Courses'!$L$20000,0)</f>
        <v>0</v>
      </c>
      <c r="E15">
        <f>COUNTIFS(Courses!$B$1:'Courses'!$B$20000,"Engineering",Courses!$D$1:'Courses'!$D$20000,"&gt;=1000",Courses!$D$1:'Courses'!$D$20000,"&lt;2000",Courses!$E$1:'Courses'!$E$20000,2021,Courses!$I$1:'Courses'!$I$20000,"&gt;=30",Courses!$I$1:'Courses'!$I$20000,"&lt;40",Courses!$L$1:'Courses'!$L$20000,0)</f>
        <v>0</v>
      </c>
      <c r="F15">
        <f>COUNTIFS(Courses!$B$1:'Courses'!$B$20000,"Engineering",Courses!$D$1:'Courses'!$D$20000,"&gt;=1000",Courses!$D$1:'Courses'!$D$20000,"&lt;2000",Courses!$E$1:'Courses'!$E$20000,2021,Courses!$I$1:'Courses'!$I$20000,"&gt;=40",Courses!$I$1:'Courses'!$I$20000,"&lt;50",Courses!$L$1:'Courses'!$L$20000,0)</f>
        <v>1</v>
      </c>
      <c r="G15">
        <f>COUNTIFS(Courses!$B$1:'Courses'!$B$20000,"Engineering",Courses!$D$1:'Courses'!$D$20000,"&gt;=1000",Courses!$D$1:'Courses'!$D$20000,"&lt;2000",Courses!$E$1:'Courses'!$E$20000,2021,Courses!$I$1:'Courses'!$I$20000,"&gt;=50",Courses!$I$1:'Courses'!$I$20000,"&lt;100",Courses!$L$1:'Courses'!$L$20000,0)</f>
        <v>2</v>
      </c>
      <c r="H15">
        <f>COUNTIFS(Courses!$B$1:'Courses'!$B$20000,"Engineering",Courses!$D$1:'Courses'!$D$20000,"&gt;=1000",Courses!$D$1:'Courses'!$D$20000,"&lt;2000",Courses!$E$1:'Courses'!$E$20000,2021,Courses!$I$1:'Courses'!$I$20000,"&gt;=100",Courses!$L$1:'Courses'!$L$20000,0)</f>
        <v>5</v>
      </c>
      <c r="I15">
        <f t="shared" si="0"/>
        <v>25</v>
      </c>
      <c r="J15" s="3">
        <f t="shared" si="1"/>
        <v>68</v>
      </c>
      <c r="K15" s="3">
        <f t="shared" si="2"/>
        <v>28</v>
      </c>
    </row>
    <row r="16" spans="1:11" x14ac:dyDescent="0.2">
      <c r="A16" t="s">
        <v>2111</v>
      </c>
      <c r="B16">
        <f>COUNTIFS(Courses!$B$1:'Courses'!$B$20000,"Engineering",Courses!$D$1:'Courses'!$D$20000,"&gt;=2000",Courses!$D$1:'Courses'!$D$20000,"&lt;3000",Courses!$E$1:'Courses'!$E$20000,2021,Courses!$I$1:'Courses'!$I$20000,"&gt;=2",Courses!$I$1:'Courses'!$I$20000,"&lt;10",Courses!$L$1:'Courses'!$L$20000,0)</f>
        <v>0</v>
      </c>
      <c r="C16">
        <f>COUNTIFS(Courses!$B$1:'Courses'!$B$20000,"Engineering",Courses!$D$1:'Courses'!$D$20000,"&gt;=2000",Courses!$D$1:'Courses'!$D$20000,"&lt;3000",Courses!$E$1:'Courses'!$E$20000,2021,Courses!$I$1:'Courses'!$I$20000,"&gt;=10",Courses!$I$1:'Courses'!$I$20000,"&lt;20",Courses!$L$1:'Courses'!$L$20000,0)</f>
        <v>0</v>
      </c>
      <c r="D16">
        <f>COUNTIFS(Courses!$B$1:'Courses'!$B$20000,"Engineering",Courses!$D$1:'Courses'!$D$20000,"&gt;=2000",Courses!$D$1:'Courses'!$D$20000,"&lt;3000",Courses!$E$1:'Courses'!$E$20000,2021,Courses!$I$1:'Courses'!$I$20000,"&gt;=20",Courses!$I$1:'Courses'!$I$20000,"&lt;30",Courses!$L$1:'Courses'!$L$20000,0)</f>
        <v>0</v>
      </c>
      <c r="E16">
        <f>COUNTIFS(Courses!$B$1:'Courses'!$B$20000,"Engineering",Courses!$D$1:'Courses'!$D$20000,"&gt;=2000",Courses!$D$1:'Courses'!$D$20000,"&lt;3000",Courses!$E$1:'Courses'!$E$20000,2021,Courses!$I$1:'Courses'!$I$20000,"&gt;=30",Courses!$I$1:'Courses'!$I$20000,"&lt;40",Courses!$L$1:'Courses'!$L$20000,0)</f>
        <v>5</v>
      </c>
      <c r="F16">
        <f>COUNTIFS(Courses!$B$1:'Courses'!$B$20000,"Engineering",Courses!$D$1:'Courses'!$D$20000,"&gt;=2000",Courses!$D$1:'Courses'!$D$20000,"&lt;3000",Courses!$E$1:'Courses'!$E$20000,2021,Courses!$I$1:'Courses'!$I$20000,"&gt;=40",Courses!$I$1:'Courses'!$I$20000,"&lt;50",Courses!$L$1:'Courses'!$L$20000,0)</f>
        <v>0</v>
      </c>
      <c r="G16">
        <f>COUNTIFS(Courses!$B$1:'Courses'!$B$20000,"Engineering",Courses!$D$1:'Courses'!$D$20000,"&gt;=2000",Courses!$D$1:'Courses'!$D$20000,"&lt;3000",Courses!$E$1:'Courses'!$E$20000,2021,Courses!$I$1:'Courses'!$I$20000,"&gt;=50",Courses!$I$1:'Courses'!$I$20000,"&lt;100",Courses!$L$1:'Courses'!$L$20000,0)</f>
        <v>1</v>
      </c>
      <c r="H16">
        <f>COUNTIFS(Courses!$B$1:'Courses'!$B$20000,"Engineering",Courses!$D$1:'Courses'!$D$20000,"&gt;=2000",Courses!$D$1:'Courses'!$D$20000,"&lt;3000",Courses!$E$1:'Courses'!$E$20000,2021,Courses!$I$1:'Courses'!$I$20000,"&gt;=100",Courses!$L$1:'Courses'!$L$20000,0)</f>
        <v>2</v>
      </c>
      <c r="I16">
        <f t="shared" si="0"/>
        <v>8</v>
      </c>
      <c r="J16" s="3">
        <f t="shared" si="1"/>
        <v>0</v>
      </c>
      <c r="K16" s="3">
        <f t="shared" si="2"/>
        <v>37.5</v>
      </c>
    </row>
    <row r="17" spans="1:11" x14ac:dyDescent="0.2">
      <c r="A17" t="s">
        <v>2112</v>
      </c>
      <c r="B17">
        <f>COUNTIFS(Courses!$B$1:'Courses'!$B$20000,"Engineering",Courses!$D$1:'Courses'!$D$20000,"&gt;=3000",Courses!$D$1:'Courses'!$D$20000,"&lt;4000",Courses!$E$1:'Courses'!$E$20000,2021,Courses!$I$1:'Courses'!$I$20000,"&gt;=2",Courses!$I$1:'Courses'!$I$20000,"&lt;10",Courses!$L$1:'Courses'!$L$20000,0)</f>
        <v>8</v>
      </c>
      <c r="C17">
        <f>COUNTIFS(Courses!$B$1:'Courses'!$B$20000,"Engineering",Courses!$D$1:'Courses'!$D$20000,"&gt;=3000",Courses!$D$1:'Courses'!$D$20000,"&lt;4000",Courses!$E$1:'Courses'!$E$20000,2021,Courses!$I$1:'Courses'!$I$20000,"&gt;=10",Courses!$I$1:'Courses'!$I$20000,"&lt;20",Courses!$L$1:'Courses'!$L$20000,0)</f>
        <v>5</v>
      </c>
      <c r="D17">
        <f>COUNTIFS(Courses!$B$1:'Courses'!$B$20000,"Engineering",Courses!$D$1:'Courses'!$D$20000,"&gt;=3000",Courses!$D$1:'Courses'!$D$20000,"&lt;4000",Courses!$E$1:'Courses'!$E$20000,2021,Courses!$I$1:'Courses'!$I$20000,"&gt;=20",Courses!$I$1:'Courses'!$I$20000,"&lt;30",Courses!$L$1:'Courses'!$L$20000,0)</f>
        <v>9</v>
      </c>
      <c r="E17">
        <f>COUNTIFS(Courses!$B$1:'Courses'!$B$20000,"Engineering",Courses!$D$1:'Courses'!$D$20000,"&gt;=3000",Courses!$D$1:'Courses'!$D$20000,"&lt;4000",Courses!$E$1:'Courses'!$E$20000,2021,Courses!$I$1:'Courses'!$I$20000,"&gt;=30",Courses!$I$1:'Courses'!$I$20000,"&lt;40",Courses!$L$1:'Courses'!$L$20000,0)</f>
        <v>7</v>
      </c>
      <c r="F17">
        <f>COUNTIFS(Courses!$B$1:'Courses'!$B$20000,"Engineering",Courses!$D$1:'Courses'!$D$20000,"&gt;=3000",Courses!$D$1:'Courses'!$D$20000,"&lt;4000",Courses!$E$1:'Courses'!$E$20000,2021,Courses!$I$1:'Courses'!$I$20000,"&gt;=40",Courses!$I$1:'Courses'!$I$20000,"&lt;50",Courses!$L$1:'Courses'!$L$20000,0)</f>
        <v>2</v>
      </c>
      <c r="G17">
        <f>COUNTIFS(Courses!$B$1:'Courses'!$B$20000,"Engineering",Courses!$D$1:'Courses'!$D$20000,"&gt;=3000",Courses!$D$1:'Courses'!$D$20000,"&lt;4000",Courses!$E$1:'Courses'!$E$20000,2021,Courses!$I$1:'Courses'!$I$20000,"&gt;=50",Courses!$I$1:'Courses'!$I$20000,"&lt;100",Courses!$L$1:'Courses'!$L$20000,0)</f>
        <v>13</v>
      </c>
      <c r="H17">
        <f>COUNTIFS(Courses!$B$1:'Courses'!$B$20000,"Engineering",Courses!$D$1:'Courses'!$D$20000,"&gt;=3000",Courses!$D$1:'Courses'!$D$20000,"&lt;4000",Courses!$E$1:'Courses'!$E$20000,2021,Courses!$I$1:'Courses'!$I$20000,"&gt;=100",Courses!$L$1:'Courses'!$L$20000,0)</f>
        <v>11</v>
      </c>
      <c r="I17">
        <f t="shared" si="0"/>
        <v>55</v>
      </c>
      <c r="J17" s="3">
        <f t="shared" si="1"/>
        <v>23.6</v>
      </c>
      <c r="K17" s="3">
        <f t="shared" si="2"/>
        <v>43.636363636363633</v>
      </c>
    </row>
    <row r="18" spans="1:11" x14ac:dyDescent="0.2">
      <c r="A18" t="s">
        <v>2113</v>
      </c>
      <c r="B18">
        <f>COUNTIFS(Courses!$B$1:'Courses'!$B$20000,"Engineering",Courses!$D$1:'Courses'!$D$20000,"&gt;=4000",Courses!$D$1:'Courses'!$D$20000,"&lt;5000",Courses!$E$1:'Courses'!$E$20000,2021,Courses!$I$1:'Courses'!$I$20000,"&gt;=2",Courses!$I$1:'Courses'!$I$20000,"&lt;10",Courses!$L$1:'Courses'!$L$20000,0)</f>
        <v>64</v>
      </c>
      <c r="C18">
        <f>COUNTIFS(Courses!$B$1:'Courses'!$B$20000,"Engineering",Courses!$D$1:'Courses'!$D$20000,"&gt;=4000",Courses!$D$1:'Courses'!$D$20000,"&lt;5000",Courses!$E$1:'Courses'!$E$20000,2021,Courses!$I$1:'Courses'!$I$20000,"&gt;=10",Courses!$I$1:'Courses'!$I$20000,"&lt;20",Courses!$L$1:'Courses'!$L$20000,0)</f>
        <v>30</v>
      </c>
      <c r="D18">
        <f>COUNTIFS(Courses!$B$1:'Courses'!$B$20000,"Engineering",Courses!$D$1:'Courses'!$D$20000,"&gt;=4000",Courses!$D$1:'Courses'!$D$20000,"&lt;5000",Courses!$E$1:'Courses'!$E$20000,2021,Courses!$I$1:'Courses'!$I$20000,"&gt;=20",Courses!$I$1:'Courses'!$I$20000,"&lt;30",Courses!$L$1:'Courses'!$L$20000,0)</f>
        <v>39</v>
      </c>
      <c r="E18">
        <f>COUNTIFS(Courses!$B$1:'Courses'!$B$20000,"Engineering",Courses!$D$1:'Courses'!$D$20000,"&gt;=4000",Courses!$D$1:'Courses'!$D$20000,"&lt;5000",Courses!$E$1:'Courses'!$E$20000,2021,Courses!$I$1:'Courses'!$I$20000,"&gt;=30",Courses!$I$1:'Courses'!$I$20000,"&lt;40",Courses!$L$1:'Courses'!$L$20000,0)</f>
        <v>32</v>
      </c>
      <c r="F18">
        <f>COUNTIFS(Courses!$B$1:'Courses'!$B$20000,"Engineering",Courses!$D$1:'Courses'!$D$20000,"&gt;=4000",Courses!$D$1:'Courses'!$D$20000,"&lt;5000",Courses!$E$1:'Courses'!$E$20000,2021,Courses!$I$1:'Courses'!$I$20000,"&gt;=40",Courses!$I$1:'Courses'!$I$20000,"&lt;50",Courses!$L$1:'Courses'!$L$20000,0)</f>
        <v>27</v>
      </c>
      <c r="G18">
        <f>COUNTIFS(Courses!$B$1:'Courses'!$B$20000,"Engineering",Courses!$D$1:'Courses'!$D$20000,"&gt;=4000",Courses!$D$1:'Courses'!$D$20000,"&lt;5000",Courses!$E$1:'Courses'!$E$20000,2021,Courses!$I$1:'Courses'!$I$20000,"&gt;=50",Courses!$I$1:'Courses'!$I$20000,"&lt;100",Courses!$L$1:'Courses'!$L$20000,0)</f>
        <v>60</v>
      </c>
      <c r="H18">
        <f>COUNTIFS(Courses!$B$1:'Courses'!$B$20000,"Engineering",Courses!$D$1:'Courses'!$D$20000,"&gt;=4000",Courses!$D$1:'Courses'!$D$20000,"&lt;5000",Courses!$E$1:'Courses'!$E$20000,2021,Courses!$I$1:'Courses'!$I$20000,"&gt;=100",Courses!$L$1:'Courses'!$L$20000,0)</f>
        <v>34</v>
      </c>
      <c r="I18">
        <f t="shared" si="0"/>
        <v>286</v>
      </c>
      <c r="J18" s="3">
        <f t="shared" si="1"/>
        <v>32.9</v>
      </c>
      <c r="K18" s="3">
        <f t="shared" si="2"/>
        <v>32.867132867132867</v>
      </c>
    </row>
    <row r="19" spans="1:11" x14ac:dyDescent="0.2">
      <c r="A19" t="s">
        <v>2114</v>
      </c>
      <c r="B19">
        <f>COUNTIFS(Courses!$B$1:'Courses'!$B$20000,"Engineering",Courses!$D$1:'Courses'!$D$20000,"&gt;=6000",Courses!$D$1:'Courses'!$D$20000,"&lt;7000",Courses!$E$1:'Courses'!$E$20000,2021,Courses!$I$1:'Courses'!$I$20000,"&gt;=2",Courses!$I$1:'Courses'!$I$20000,"&lt;10",Courses!$L$1:'Courses'!$L$20000,0)</f>
        <v>31</v>
      </c>
      <c r="C19">
        <f>COUNTIFS(Courses!$B$1:'Courses'!$B$20000,"Engineering",Courses!$D$1:'Courses'!$D$20000,"&gt;=6000",Courses!$D$1:'Courses'!$D$20000,"&lt;7000",Courses!$E$1:'Courses'!$E$20000,2021,Courses!$I$1:'Courses'!$I$20000,"&gt;=10",Courses!$I$1:'Courses'!$I$20000,"&lt;20",Courses!$L$1:'Courses'!$L$20000,0)</f>
        <v>15</v>
      </c>
      <c r="D19">
        <f>COUNTIFS(Courses!$B$1:'Courses'!$B$20000,"Engineering",Courses!$D$1:'Courses'!$D$20000,"&gt;=6000",Courses!$D$1:'Courses'!$D$20000,"&lt;7000",Courses!$E$1:'Courses'!$E$20000,2021,Courses!$I$1:'Courses'!$I$20000,"&gt;=20",Courses!$I$1:'Courses'!$I$20000,"&lt;30",Courses!$L$1:'Courses'!$L$20000,0)</f>
        <v>9</v>
      </c>
      <c r="E19">
        <f>COUNTIFS(Courses!$B$1:'Courses'!$B$20000,"Engineering",Courses!$D$1:'Courses'!$D$20000,"&gt;=6000",Courses!$D$1:'Courses'!$D$20000,"&lt;7000",Courses!$E$1:'Courses'!$E$20000,2021,Courses!$I$1:'Courses'!$I$20000,"&gt;=30",Courses!$I$1:'Courses'!$I$20000,"&lt;40",Courses!$L$1:'Courses'!$L$20000,0)</f>
        <v>11</v>
      </c>
      <c r="F19">
        <f>COUNTIFS(Courses!$B$1:'Courses'!$B$20000,"Engineering",Courses!$D$1:'Courses'!$D$20000,"&gt;=6000",Courses!$D$1:'Courses'!$D$20000,"&lt;7000",Courses!$E$1:'Courses'!$E$20000,2021,Courses!$I$1:'Courses'!$I$20000,"&gt;=40",Courses!$I$1:'Courses'!$I$20000,"&lt;50",Courses!$L$1:'Courses'!$L$20000,0)</f>
        <v>6</v>
      </c>
      <c r="G19">
        <f>COUNTIFS(Courses!$B$1:'Courses'!$B$20000,"Engineering",Courses!$D$1:'Courses'!$D$20000,"&gt;=6000",Courses!$D$1:'Courses'!$D$20000,"&lt;7000",Courses!$E$1:'Courses'!$E$20000,2021,Courses!$I$1:'Courses'!$I$20000,"&gt;=50",Courses!$I$1:'Courses'!$I$20000,"&lt;100",Courses!$L$1:'Courses'!$L$20000,0)</f>
        <v>2</v>
      </c>
      <c r="H19">
        <f>COUNTIFS(Courses!$B$1:'Courses'!$B$20000,"Engineering",Courses!$D$1:'Courses'!$D$20000,"&gt;=6000",Courses!$D$1:'Courses'!$D$20000,"&lt;7000",Courses!$E$1:'Courses'!$E$20000,2021,Courses!$I$1:'Courses'!$I$20000,"&gt;=100",Courses!$L$1:'Courses'!$L$20000,0)</f>
        <v>5</v>
      </c>
      <c r="I19">
        <f t="shared" si="0"/>
        <v>79</v>
      </c>
      <c r="J19" s="3">
        <f t="shared" si="1"/>
        <v>58.2</v>
      </c>
      <c r="K19" s="3">
        <f t="shared" si="2"/>
        <v>8.8607594936708853</v>
      </c>
    </row>
    <row r="20" spans="1:11" x14ac:dyDescent="0.2">
      <c r="A20" t="s">
        <v>2115</v>
      </c>
      <c r="B20">
        <f>COUNTIFS(Courses!$B$1:'Courses'!$B$20000,"Engineering",Courses!$D$1:'Courses'!$D$20000,"&gt;=8000",Courses!$D$1:'Courses'!$D$20000,"&lt;9000",Courses!$E$1:'Courses'!$E$20000,2021,Courses!$I$1:'Courses'!$I$20000,"&gt;=2",Courses!$I$1:'Courses'!$I$20000,"&lt;10",Courses!$L$1:'Courses'!$L$20000,0)</f>
        <v>1</v>
      </c>
      <c r="C20">
        <f>COUNTIFS(Courses!$B$1:'Courses'!$B$20000,"Engineering",Courses!$D$1:'Courses'!$D$20000,"&gt;=8000",Courses!$D$1:'Courses'!$D$20000,"&lt;9000",Courses!$E$1:'Courses'!$E$20000,2021,Courses!$I$1:'Courses'!$I$20000,"&gt;=10",Courses!$I$1:'Courses'!$I$20000,"&lt;20",Courses!$L$1:'Courses'!$L$20000,0)</f>
        <v>1</v>
      </c>
      <c r="D20">
        <f>COUNTIFS(Courses!$B$1:'Courses'!$B$20000,"Engineering",Courses!$D$1:'Courses'!$D$20000,"&gt;=8000",Courses!$D$1:'Courses'!$D$20000,"&lt;9000",Courses!$E$1:'Courses'!$E$20000,2021,Courses!$I$1:'Courses'!$I$20000,"&gt;=20",Courses!$I$1:'Courses'!$I$20000,"&lt;30",Courses!$L$1:'Courses'!$L$20000,0)</f>
        <v>0</v>
      </c>
      <c r="E20">
        <f>COUNTIFS(Courses!$B$1:'Courses'!$B$20000,"Engineering",Courses!$D$1:'Courses'!$D$20000,"&gt;=8000",Courses!$D$1:'Courses'!$D$20000,"&lt;9000",Courses!$E$1:'Courses'!$E$20000,2021,Courses!$I$1:'Courses'!$I$20000,"&gt;=30",Courses!$I$1:'Courses'!$I$20000,"&lt;40",Courses!$L$1:'Courses'!$L$20000,0)</f>
        <v>0</v>
      </c>
      <c r="F20">
        <f>COUNTIFS(Courses!$B$1:'Courses'!$B$20000,"Engineering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20">
        <f>COUNTIFS(Courses!$B$1:'Courses'!$B$20000,"Engineering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20">
        <f>COUNTIFS(Courses!$B$1:'Courses'!$B$20000,"Engineering",Courses!$D$1:'Courses'!$D$20000,"&gt;=8000",Courses!$D$1:'Courses'!$D$20000,"&lt;9000",Courses!$E$1:'Courses'!$E$20000,2021,Courses!$I$1:'Courses'!$I$20000,"&gt;=100",Courses!$L$1:'Courses'!$L$20000,0)</f>
        <v>0</v>
      </c>
      <c r="I20">
        <f t="shared" si="0"/>
        <v>2</v>
      </c>
      <c r="J20" s="3">
        <f t="shared" si="1"/>
        <v>100</v>
      </c>
      <c r="K20" s="3">
        <f t="shared" si="2"/>
        <v>0</v>
      </c>
    </row>
    <row r="21" spans="1:11" x14ac:dyDescent="0.2">
      <c r="A21" t="s">
        <v>2116</v>
      </c>
      <c r="B21">
        <f>COUNTIFS(Courses!$B$1:'Courses'!$B$20000,"Engineering",Courses!$D$1:'Courses'!$D$20000,"&gt;=1000",Courses!$D$1:'Courses'!$D$20000,"&lt;9000",Courses!$E$1:'Courses'!$E$20000,2021,Courses!$I$1:'Courses'!$I$20000,"&gt;=2",Courses!$I$1:'Courses'!$I$20000,"&lt;10",Courses!$L$1:'Courses'!$L$20000,0)</f>
        <v>117</v>
      </c>
      <c r="C21">
        <f>COUNTIFS(Courses!$B$1:'Courses'!$B$20000,"Engineering",Courses!$D$1:'Courses'!$D$20000,"&gt;=1000",Courses!$D$1:'Courses'!$D$20000,"&lt;9000",Courses!$E$1:'Courses'!$E$20000,2021,Courses!$I$1:'Courses'!$I$20000,"&gt;=10",Courses!$I$1:'Courses'!$I$20000,"&lt;20",Courses!$L$1:'Courses'!$L$20000,0)</f>
        <v>55</v>
      </c>
      <c r="D21">
        <f>COUNTIFS(Courses!$B$1:'Courses'!$B$20000,"Engineering",Courses!$D$1:'Courses'!$D$20000,"&gt;=1000",Courses!$D$1:'Courses'!$D$20000,"&lt;9000",Courses!$E$1:'Courses'!$E$20000,2021,Courses!$I$1:'Courses'!$I$20000,"&gt;=20",Courses!$I$1:'Courses'!$I$20000,"&lt;30",Courses!$L$1:'Courses'!$L$20000,0)</f>
        <v>57</v>
      </c>
      <c r="E21">
        <f>COUNTIFS(Courses!$B$1:'Courses'!$B$20000,"Engineering",Courses!$D$1:'Courses'!$D$20000,"&gt;=1000",Courses!$D$1:'Courses'!$D$20000,"&lt;9000",Courses!$E$1:'Courses'!$E$20000,2021,Courses!$I$1:'Courses'!$I$20000,"&gt;=30",Courses!$I$1:'Courses'!$I$20000,"&lt;40",Courses!$L$1:'Courses'!$L$20000,0)</f>
        <v>55</v>
      </c>
      <c r="F21">
        <f>COUNTIFS(Courses!$B$1:'Courses'!$B$20000,"Engineering",Courses!$D$1:'Courses'!$D$20000,"&gt;=1000",Courses!$D$1:'Courses'!$D$20000,"&lt;9000",Courses!$E$1:'Courses'!$E$20000,2021,Courses!$I$1:'Courses'!$I$20000,"&gt;=40",Courses!$I$1:'Courses'!$I$20000,"&lt;50",Courses!$L$1:'Courses'!$L$20000,0)</f>
        <v>36</v>
      </c>
      <c r="G21">
        <f>COUNTIFS(Courses!$B$1:'Courses'!$B$20000,"Engineering",Courses!$D$1:'Courses'!$D$20000,"&gt;=1000",Courses!$D$1:'Courses'!$D$20000,"&lt;9000",Courses!$E$1:'Courses'!$E$20000,2021,Courses!$I$1:'Courses'!$I$20000,"&gt;=50",Courses!$I$1:'Courses'!$I$20000,"&lt;100",Courses!$L$1:'Courses'!$L$20000,0)</f>
        <v>78</v>
      </c>
      <c r="H21">
        <f>COUNTIFS(Courses!$B$1:'Courses'!$B$20000,"Engineering",Courses!$D$1:'Courses'!$D$20000,"&gt;=1000",Courses!$D$1:'Courses'!$D$20000,"&lt;9000",Courses!$E$1:'Courses'!$E$20000,2021,Courses!$I$1:'Courses'!$I$20000,"&gt;=100",Courses!$L$1:'Courses'!$L$20000,0)</f>
        <v>57</v>
      </c>
      <c r="I21">
        <f>$B21+$C21+$D21+$E21+$F21+$G21+$H21</f>
        <v>455</v>
      </c>
      <c r="J21" s="3">
        <f t="shared" si="1"/>
        <v>37.799999999999997</v>
      </c>
      <c r="K21" s="3">
        <f t="shared" si="2"/>
        <v>29.670329670329672</v>
      </c>
    </row>
    <row r="22" spans="1:11" x14ac:dyDescent="0.2">
      <c r="A22" t="s">
        <v>2117</v>
      </c>
      <c r="B22">
        <f>COUNTIFS(Courses!$B$1:'Courses'!$B$20000,"Humanities",Courses!$D$1:'Courses'!$D$20000,"&gt;=1000",Courses!$D$1:'Courses'!$D$20000,"&lt;2000",Courses!$E$1:'Courses'!$E$20000,2021,Courses!$I$1:'Courses'!$I$20000,"&gt;=2",Courses!$I$1:'Courses'!$I$20000,"&lt;10",Courses!$L$1:'Courses'!$L$20000,0)</f>
        <v>69</v>
      </c>
      <c r="C22">
        <f>COUNTIFS(Courses!$B$1:'Courses'!$B$20000,"Humanities",Courses!$D$1:'Courses'!$D$20000,"&gt;=1000",Courses!$D$1:'Courses'!$D$20000,"&lt;2000",Courses!$E$1:'Courses'!$E$20000,2021,Courses!$I$1:'Courses'!$I$20000,"&gt;=10",Courses!$I$1:'Courses'!$I$20000,"&lt;20",Courses!$L$1:'Courses'!$L$20000,0)</f>
        <v>105</v>
      </c>
      <c r="D22">
        <f>COUNTIFS(Courses!$B$1:'Courses'!$B$20000,"Humanities",Courses!$D$1:'Courses'!$D$20000,"&gt;=1000",Courses!$D$1:'Courses'!$D$20000,"&lt;2000",Courses!$E$1:'Courses'!$E$20000,2021,Courses!$I$1:'Courses'!$I$20000,"&gt;=20",Courses!$I$1:'Courses'!$I$20000,"&lt;30",Courses!$L$1:'Courses'!$L$20000,0)</f>
        <v>11</v>
      </c>
      <c r="E22">
        <f>COUNTIFS(Courses!$B$1:'Courses'!$B$20000,"Humanities",Courses!$D$1:'Courses'!$D$20000,"&gt;=1000",Courses!$D$1:'Courses'!$D$20000,"&lt;2000",Courses!$E$1:'Courses'!$E$20000,2021,Courses!$I$1:'Courses'!$I$20000,"&gt;=30",Courses!$I$1:'Courses'!$I$20000,"&lt;40",Courses!$L$1:'Courses'!$L$20000,0)</f>
        <v>2</v>
      </c>
      <c r="F22">
        <f>COUNTIFS(Courses!$B$1:'Courses'!$B$20000,"Humanities",Courses!$D$1:'Courses'!$D$20000,"&gt;=1000",Courses!$D$1:'Courses'!$D$20000,"&lt;2000",Courses!$E$1:'Courses'!$E$20000,2021,Courses!$I$1:'Courses'!$I$20000,"&gt;=40",Courses!$I$1:'Courses'!$I$20000,"&lt;50",Courses!$L$1:'Courses'!$L$20000,0)</f>
        <v>1</v>
      </c>
      <c r="G22">
        <f>COUNTIFS(Courses!$B$1:'Courses'!$B$20000,"Humanities",Courses!$D$1:'Courses'!$D$20000,"&gt;=1000",Courses!$D$1:'Courses'!$D$20000,"&lt;2000",Courses!$E$1:'Courses'!$E$20000,2021,Courses!$I$1:'Courses'!$I$20000,"&gt;=50",Courses!$I$1:'Courses'!$I$20000,"&lt;100",Courses!$L$1:'Courses'!$L$20000,0)</f>
        <v>2</v>
      </c>
      <c r="H22">
        <f>COUNTIFS(Courses!$B$1:'Courses'!$B$20000,"Humanities",Courses!$D$1:'Courses'!$D$20000,"&gt;=1000",Courses!$D$1:'Courses'!$D$20000,"&lt;2000",Courses!$E$1:'Courses'!$E$20000,2021,Courses!$I$1:'Courses'!$I$20000,"&gt;=100",Courses!$L$1:'Courses'!$L$20000,0)</f>
        <v>1</v>
      </c>
      <c r="I22">
        <f t="shared" si="0"/>
        <v>191</v>
      </c>
      <c r="J22" s="3">
        <f t="shared" si="1"/>
        <v>91.1</v>
      </c>
      <c r="K22" s="3">
        <f t="shared" si="2"/>
        <v>1.5706806282722514</v>
      </c>
    </row>
    <row r="23" spans="1:11" x14ac:dyDescent="0.2">
      <c r="A23" t="s">
        <v>2118</v>
      </c>
      <c r="B23">
        <f>COUNTIFS(Courses!$B$1:'Courses'!$B$20000,"Humanities",Courses!$D$1:'Courses'!$D$20000,"&gt;=2000",Courses!$D$1:'Courses'!$D$20000,"&lt;3000",Courses!$E$1:'Courses'!$E$20000,2021,Courses!$I$1:'Courses'!$I$20000,"&gt;=2",Courses!$I$1:'Courses'!$I$20000,"&lt;10",Courses!$L$1:'Courses'!$L$20000,0)</f>
        <v>56</v>
      </c>
      <c r="C23">
        <f>COUNTIFS(Courses!$B$1:'Courses'!$B$20000,"Humanities",Courses!$D$1:'Courses'!$D$20000,"&gt;=2000",Courses!$D$1:'Courses'!$D$20000,"&lt;3000",Courses!$E$1:'Courses'!$E$20000,2021,Courses!$I$1:'Courses'!$I$20000,"&gt;=10",Courses!$I$1:'Courses'!$I$20000,"&lt;20",Courses!$L$1:'Courses'!$L$20000,0)</f>
        <v>83</v>
      </c>
      <c r="D23">
        <f>COUNTIFS(Courses!$B$1:'Courses'!$B$20000,"Humanities",Courses!$D$1:'Courses'!$D$20000,"&gt;=2000",Courses!$D$1:'Courses'!$D$20000,"&lt;3000",Courses!$E$1:'Courses'!$E$20000,2021,Courses!$I$1:'Courses'!$I$20000,"&gt;=20",Courses!$I$1:'Courses'!$I$20000,"&lt;30",Courses!$L$1:'Courses'!$L$20000,0)</f>
        <v>6</v>
      </c>
      <c r="E23">
        <f>COUNTIFS(Courses!$B$1:'Courses'!$B$20000,"Humanities",Courses!$D$1:'Courses'!$D$20000,"&gt;=2000",Courses!$D$1:'Courses'!$D$20000,"&lt;3000",Courses!$E$1:'Courses'!$E$20000,2021,Courses!$I$1:'Courses'!$I$20000,"&gt;=30",Courses!$I$1:'Courses'!$I$20000,"&lt;40",Courses!$L$1:'Courses'!$L$20000,0)</f>
        <v>1</v>
      </c>
      <c r="F23">
        <f>COUNTIFS(Courses!$B$1:'Courses'!$B$20000,"Humanities",Courses!$D$1:'Courses'!$D$20000,"&gt;=2000",Courses!$D$1:'Courses'!$D$20000,"&lt;3000",Courses!$E$1:'Courses'!$E$20000,2021,Courses!$I$1:'Courses'!$I$20000,"&gt;=40",Courses!$I$1:'Courses'!$I$20000,"&lt;50",Courses!$L$1:'Courses'!$L$20000,0)</f>
        <v>1</v>
      </c>
      <c r="G23">
        <f>COUNTIFS(Courses!$B$1:'Courses'!$B$20000,"Humanities",Courses!$D$1:'Courses'!$D$20000,"&gt;=2000",Courses!$D$1:'Courses'!$D$20000,"&lt;3000",Courses!$E$1:'Courses'!$E$20000,2021,Courses!$I$1:'Courses'!$I$20000,"&gt;=50",Courses!$I$1:'Courses'!$I$20000,"&lt;100",Courses!$L$1:'Courses'!$L$20000,0)</f>
        <v>6</v>
      </c>
      <c r="H23">
        <f>COUNTIFS(Courses!$B$1:'Courses'!$B$20000,"Humanities",Courses!$D$1:'Courses'!$D$20000,"&gt;=2000",Courses!$D$1:'Courses'!$D$20000,"&lt;3000",Courses!$E$1:'Courses'!$E$20000,2021,Courses!$I$1:'Courses'!$I$20000,"&gt;=100",Courses!$L$1:'Courses'!$L$20000,0)</f>
        <v>0</v>
      </c>
      <c r="I23">
        <f t="shared" si="0"/>
        <v>153</v>
      </c>
      <c r="J23" s="3">
        <f t="shared" si="1"/>
        <v>90.8</v>
      </c>
      <c r="K23" s="3">
        <f t="shared" si="2"/>
        <v>3.9215686274509802</v>
      </c>
    </row>
    <row r="24" spans="1:11" x14ac:dyDescent="0.2">
      <c r="A24" t="s">
        <v>2119</v>
      </c>
      <c r="B24">
        <f>COUNTIFS(Courses!$B$1:'Courses'!$B$20000,"Humanities",Courses!$D$1:'Courses'!$D$20000,"&gt;=3000",Courses!$D$1:'Courses'!$D$20000,"&lt;4000",Courses!$E$1:'Courses'!$E$20000,2021,Courses!$I$1:'Courses'!$I$20000,"&gt;=2",Courses!$I$1:'Courses'!$I$20000,"&lt;10",Courses!$L$1:'Courses'!$L$20000,0)</f>
        <v>58</v>
      </c>
      <c r="C24">
        <f>COUNTIFS(Courses!$B$1:'Courses'!$B$20000,"Humanities",Courses!$D$1:'Courses'!$D$20000,"&gt;=3000",Courses!$D$1:'Courses'!$D$20000,"&lt;4000",Courses!$E$1:'Courses'!$E$20000,2021,Courses!$I$1:'Courses'!$I$20000,"&gt;=10",Courses!$I$1:'Courses'!$I$20000,"&lt;20",Courses!$L$1:'Courses'!$L$20000,0)</f>
        <v>74</v>
      </c>
      <c r="D24">
        <f>COUNTIFS(Courses!$B$1:'Courses'!$B$20000,"Humanities",Courses!$D$1:'Courses'!$D$20000,"&gt;=3000",Courses!$D$1:'Courses'!$D$20000,"&lt;4000",Courses!$E$1:'Courses'!$E$20000,2021,Courses!$I$1:'Courses'!$I$20000,"&gt;=20",Courses!$I$1:'Courses'!$I$20000,"&lt;30",Courses!$L$1:'Courses'!$L$20000,0)</f>
        <v>18</v>
      </c>
      <c r="E24">
        <f>COUNTIFS(Courses!$B$1:'Courses'!$B$20000,"Humanities",Courses!$D$1:'Courses'!$D$20000,"&gt;=3000",Courses!$D$1:'Courses'!$D$20000,"&lt;4000",Courses!$E$1:'Courses'!$E$20000,2021,Courses!$I$1:'Courses'!$I$20000,"&gt;=30",Courses!$I$1:'Courses'!$I$20000,"&lt;40",Courses!$L$1:'Courses'!$L$20000,0)</f>
        <v>6</v>
      </c>
      <c r="F24">
        <f>COUNTIFS(Courses!$B$1:'Courses'!$B$20000,"Humanities",Courses!$D$1:'Courses'!$D$20000,"&gt;=3000",Courses!$D$1:'Courses'!$D$20000,"&lt;4000",Courses!$E$1:'Courses'!$E$20000,2021,Courses!$I$1:'Courses'!$I$20000,"&gt;=40",Courses!$I$1:'Courses'!$I$20000,"&lt;50",Courses!$L$1:'Courses'!$L$20000,0)</f>
        <v>2</v>
      </c>
      <c r="G24">
        <f>COUNTIFS(Courses!$B$1:'Courses'!$B$20000,"Humanities",Courses!$D$1:'Courses'!$D$20000,"&gt;=3000",Courses!$D$1:'Courses'!$D$20000,"&lt;4000",Courses!$E$1:'Courses'!$E$20000,2021,Courses!$I$1:'Courses'!$I$20000,"&gt;=50",Courses!$I$1:'Courses'!$I$20000,"&lt;100",Courses!$L$1:'Courses'!$L$20000,0)</f>
        <v>5</v>
      </c>
      <c r="H24">
        <f>COUNTIFS(Courses!$B$1:'Courses'!$B$20000,"Humanities",Courses!$D$1:'Courses'!$D$20000,"&gt;=3000",Courses!$D$1:'Courses'!$D$20000,"&lt;4000",Courses!$E$1:'Courses'!$E$20000,2021,Courses!$I$1:'Courses'!$I$20000,"&gt;=100",Courses!$L$1:'Courses'!$L$20000,0)</f>
        <v>1</v>
      </c>
      <c r="I24">
        <f t="shared" si="0"/>
        <v>164</v>
      </c>
      <c r="J24" s="3">
        <f t="shared" si="1"/>
        <v>80.5</v>
      </c>
      <c r="K24" s="3">
        <f t="shared" si="2"/>
        <v>3.6585365853658538</v>
      </c>
    </row>
    <row r="25" spans="1:11" x14ac:dyDescent="0.2">
      <c r="A25" t="s">
        <v>2120</v>
      </c>
      <c r="B25">
        <f>COUNTIFS(Courses!$B$1:'Courses'!$B$20000,"Humanities",Courses!$D$1:'Courses'!$D$20000,"&gt;=4000",Courses!$D$1:'Courses'!$D$20000,"&lt;5000",Courses!$E$1:'Courses'!$E$20000,2021,Courses!$I$1:'Courses'!$I$20000,"&gt;=2",Courses!$I$1:'Courses'!$I$20000,"&lt;10",Courses!$L$1:'Courses'!$L$20000,0)</f>
        <v>61</v>
      </c>
      <c r="C25">
        <f>COUNTIFS(Courses!$B$1:'Courses'!$B$20000,"Humanities",Courses!$D$1:'Courses'!$D$20000,"&gt;=4000",Courses!$D$1:'Courses'!$D$20000,"&lt;5000",Courses!$E$1:'Courses'!$E$20000,2021,Courses!$I$1:'Courses'!$I$20000,"&gt;=10",Courses!$I$1:'Courses'!$I$20000,"&lt;20",Courses!$L$1:'Courses'!$L$20000,0)</f>
        <v>44</v>
      </c>
      <c r="D25">
        <f>COUNTIFS(Courses!$B$1:'Courses'!$B$20000,"Humanities",Courses!$D$1:'Courses'!$D$20000,"&gt;=4000",Courses!$D$1:'Courses'!$D$20000,"&lt;5000",Courses!$E$1:'Courses'!$E$20000,2021,Courses!$I$1:'Courses'!$I$20000,"&gt;=20",Courses!$I$1:'Courses'!$I$20000,"&lt;30",Courses!$L$1:'Courses'!$L$20000,0)</f>
        <v>12</v>
      </c>
      <c r="E25">
        <f>COUNTIFS(Courses!$B$1:'Courses'!$B$20000,"Humanities",Courses!$D$1:'Courses'!$D$20000,"&gt;=4000",Courses!$D$1:'Courses'!$D$20000,"&lt;5000",Courses!$E$1:'Courses'!$E$20000,2021,Courses!$I$1:'Courses'!$I$20000,"&gt;=30",Courses!$I$1:'Courses'!$I$20000,"&lt;40",Courses!$L$1:'Courses'!$L$20000,0)</f>
        <v>3</v>
      </c>
      <c r="F25">
        <f>COUNTIFS(Courses!$B$1:'Courses'!$B$20000,"Humanities",Courses!$D$1:'Courses'!$D$20000,"&gt;=4000",Courses!$D$1:'Courses'!$D$20000,"&lt;5000",Courses!$E$1:'Courses'!$E$20000,2021,Courses!$I$1:'Courses'!$I$20000,"&gt;=40",Courses!$I$1:'Courses'!$I$20000,"&lt;50",Courses!$L$1:'Courses'!$L$20000,0)</f>
        <v>4</v>
      </c>
      <c r="G25">
        <f>COUNTIFS(Courses!$B$1:'Courses'!$B$20000,"Humanities",Courses!$D$1:'Courses'!$D$20000,"&gt;=4000",Courses!$D$1:'Courses'!$D$20000,"&lt;5000",Courses!$E$1:'Courses'!$E$20000,2021,Courses!$I$1:'Courses'!$I$20000,"&gt;=50",Courses!$I$1:'Courses'!$I$20000,"&lt;100",Courses!$L$1:'Courses'!$L$20000,0)</f>
        <v>0</v>
      </c>
      <c r="H25">
        <f>COUNTIFS(Courses!$B$1:'Courses'!$B$20000,"Humanities",Courses!$D$1:'Courses'!$D$20000,"&gt;=4000",Courses!$D$1:'Courses'!$D$20000,"&lt;5000",Courses!$E$1:'Courses'!$E$20000,2021,Courses!$I$1:'Courses'!$I$20000,"&gt;=100",Courses!$L$1:'Courses'!$L$20000,0)</f>
        <v>0</v>
      </c>
      <c r="I25">
        <f t="shared" si="0"/>
        <v>124</v>
      </c>
      <c r="J25" s="3">
        <f t="shared" si="1"/>
        <v>84.7</v>
      </c>
      <c r="K25" s="3">
        <f t="shared" si="2"/>
        <v>0</v>
      </c>
    </row>
    <row r="26" spans="1:11" x14ac:dyDescent="0.2">
      <c r="A26" t="s">
        <v>2121</v>
      </c>
      <c r="B26">
        <f>COUNTIFS(Courses!$B$1:'Courses'!$B$20000,"Humanities",Courses!$D$1:'Courses'!$D$20000,"&gt;=5000",Courses!$D$1:'Courses'!$D$20000,"&lt;6000",Courses!$E$1:'Courses'!$E$20000,2021,Courses!$I$1:'Courses'!$I$20000,"&gt;=2",Courses!$I$1:'Courses'!$I$20000,"&lt;10",Courses!$L$1:'Courses'!$L$20000,0)</f>
        <v>3</v>
      </c>
      <c r="C26">
        <f>COUNTIFS(Courses!$B$1:'Courses'!$B$20000,"Humanities",Courses!$D$1:'Courses'!$D$20000,"&gt;=5000",Courses!$D$1:'Courses'!$D$20000,"&lt;6000",Courses!$E$1:'Courses'!$E$20000,2021,Courses!$I$1:'Courses'!$I$20000,"&gt;=10",Courses!$I$1:'Courses'!$I$20000,"&lt;20",Courses!$L$1:'Courses'!$L$20000,0)</f>
        <v>1</v>
      </c>
      <c r="D26">
        <f>COUNTIFS(Courses!$B$1:'Courses'!$B$20000,"Humanities",Courses!$D$1:'Courses'!$D$20000,"&gt;=5000",Courses!$D$1:'Courses'!$D$20000,"&lt;6000",Courses!$E$1:'Courses'!$E$20000,2021,Courses!$I$1:'Courses'!$I$20000,"&gt;=20",Courses!$I$1:'Courses'!$I$20000,"&lt;30",Courses!$L$1:'Courses'!$L$20000,0)</f>
        <v>0</v>
      </c>
      <c r="E26">
        <f>COUNTIFS(Courses!$B$1:'Courses'!$B$20000,"Humanities",Courses!$D$1:'Courses'!$D$20000,"&gt;=5000",Courses!$D$1:'Courses'!$D$20000,"&lt;6000",Courses!$E$1:'Courses'!$E$20000,2021,Courses!$I$1:'Courses'!$I$20000,"&gt;=30",Courses!$I$1:'Courses'!$I$20000,"&lt;40",Courses!$L$1:'Courses'!$L$20000,0)</f>
        <v>0</v>
      </c>
      <c r="F26">
        <f>COUNTIFS(Courses!$B$1:'Courses'!$B$20000,"Humanities",Courses!$D$1:'Courses'!$D$20000,"&gt;=5000",Courses!$D$1:'Courses'!$D$20000,"&lt;6000",Courses!$E$1:'Courses'!$E$20000,2021,Courses!$I$1:'Courses'!$I$20000,"&gt;=40",Courses!$I$1:'Courses'!$I$20000,"&lt;50",Courses!$L$1:'Courses'!$L$20000,0)</f>
        <v>0</v>
      </c>
      <c r="G26">
        <f>COUNTIFS(Courses!$B$1:'Courses'!$B$20000,"Humanities",Courses!$D$1:'Courses'!$D$20000,"&gt;=5000",Courses!$D$1:'Courses'!$D$20000,"&lt;6000",Courses!$E$1:'Courses'!$E$20000,2021,Courses!$I$1:'Courses'!$I$20000,"&gt;=50",Courses!$I$1:'Courses'!$I$20000,"&lt;100",Courses!$L$1:'Courses'!$L$20000,0)</f>
        <v>0</v>
      </c>
      <c r="H26">
        <f>COUNTIFS(Courses!$B$1:'Courses'!$B$20000,"Humanities",Courses!$D$1:'Courses'!$D$20000,"&gt;=5000",Courses!$D$1:'Courses'!$D$20000,"&lt;6000",Courses!$E$1:'Courses'!$E$20000,2021,Courses!$I$1:'Courses'!$I$20000,"&gt;=100",Courses!$L$1:'Courses'!$L$20000,0)</f>
        <v>0</v>
      </c>
      <c r="I26">
        <f t="shared" si="0"/>
        <v>4</v>
      </c>
      <c r="J26" s="3">
        <f t="shared" si="1"/>
        <v>100</v>
      </c>
      <c r="K26" s="3">
        <f t="shared" si="2"/>
        <v>0</v>
      </c>
    </row>
    <row r="27" spans="1:11" x14ac:dyDescent="0.2">
      <c r="A27" t="s">
        <v>2122</v>
      </c>
      <c r="B27">
        <f>COUNTIFS(Courses!$B$1:'Courses'!$B$20000,"Humanities",Courses!$D$1:'Courses'!$D$20000,"&gt;=6000",Courses!$D$1:'Courses'!$D$20000,"&lt;7000",Courses!$E$1:'Courses'!$E$20000,2021,Courses!$I$1:'Courses'!$I$20000,"&gt;=2",Courses!$I$1:'Courses'!$I$20000,"&lt;10",Courses!$L$1:'Courses'!$L$20000,0)</f>
        <v>17</v>
      </c>
      <c r="C27">
        <f>COUNTIFS(Courses!$B$1:'Courses'!$B$20000,"Humanities",Courses!$D$1:'Courses'!$D$20000,"&gt;=6000",Courses!$D$1:'Courses'!$D$20000,"&lt;7000",Courses!$E$1:'Courses'!$E$20000,2021,Courses!$I$1:'Courses'!$I$20000,"&gt;=10",Courses!$I$1:'Courses'!$I$20000,"&lt;20",Courses!$L$1:'Courses'!$L$20000,0)</f>
        <v>5</v>
      </c>
      <c r="D27">
        <f>COUNTIFS(Courses!$B$1:'Courses'!$B$20000,"Humanities",Courses!$D$1:'Courses'!$D$20000,"&gt;=6000",Courses!$D$1:'Courses'!$D$20000,"&lt;7000",Courses!$E$1:'Courses'!$E$20000,2021,Courses!$I$1:'Courses'!$I$20000,"&gt;=20",Courses!$I$1:'Courses'!$I$20000,"&lt;30",Courses!$L$1:'Courses'!$L$20000,0)</f>
        <v>1</v>
      </c>
      <c r="E27">
        <f>COUNTIFS(Courses!$B$1:'Courses'!$B$20000,"Humanities",Courses!$D$1:'Courses'!$D$20000,"&gt;=6000",Courses!$D$1:'Courses'!$D$20000,"&lt;7000",Courses!$E$1:'Courses'!$E$20000,2021,Courses!$I$1:'Courses'!$I$20000,"&gt;=30",Courses!$I$1:'Courses'!$I$20000,"&lt;40",Courses!$L$1:'Courses'!$L$20000,0)</f>
        <v>1</v>
      </c>
      <c r="F27">
        <f>COUNTIFS(Courses!$B$1:'Courses'!$B$20000,"Humanities",Courses!$D$1:'Courses'!$D$20000,"&gt;=6000",Courses!$D$1:'Courses'!$D$20000,"&lt;7000",Courses!$E$1:'Courses'!$E$20000,2021,Courses!$I$1:'Courses'!$I$20000,"&gt;=40",Courses!$I$1:'Courses'!$I$20000,"&lt;50",Courses!$L$1:'Courses'!$L$20000,0)</f>
        <v>0</v>
      </c>
      <c r="G27">
        <f>COUNTIFS(Courses!$B$1:'Courses'!$B$20000,"Humanities",Courses!$D$1:'Courses'!$D$20000,"&gt;=6000",Courses!$D$1:'Courses'!$D$20000,"&lt;7000",Courses!$E$1:'Courses'!$E$20000,2021,Courses!$I$1:'Courses'!$I$20000,"&gt;=50",Courses!$I$1:'Courses'!$I$20000,"&lt;100",Courses!$L$1:'Courses'!$L$20000,0)</f>
        <v>0</v>
      </c>
      <c r="H27">
        <f>COUNTIFS(Courses!$B$1:'Courses'!$B$20000,"Humanities",Courses!$D$1:'Courses'!$D$20000,"&gt;=6000",Courses!$D$1:'Courses'!$D$20000,"&lt;7000",Courses!$E$1:'Courses'!$E$20000,2021,Courses!$I$1:'Courses'!$I$20000,"&gt;=100",Courses!$L$1:'Courses'!$L$20000,0)</f>
        <v>0</v>
      </c>
      <c r="I27">
        <f t="shared" si="0"/>
        <v>24</v>
      </c>
      <c r="J27" s="3">
        <f t="shared" si="1"/>
        <v>91.7</v>
      </c>
      <c r="K27" s="3">
        <f t="shared" si="2"/>
        <v>0</v>
      </c>
    </row>
    <row r="28" spans="1:11" x14ac:dyDescent="0.2">
      <c r="A28" t="s">
        <v>2123</v>
      </c>
      <c r="B28">
        <f>COUNTIFS(Courses!$B$1:'Courses'!$B$20000,"Humanities",Courses!$D$1:'Courses'!$D$20000,"&gt;=8000",Courses!$D$1:'Courses'!$D$20000,"&lt;9000",Courses!$E$1:'Courses'!$E$20000,2021,Courses!$I$1:'Courses'!$I$20000,"&gt;=2",Courses!$I$1:'Courses'!$I$20000,"&lt;10",Courses!$L$1:'Courses'!$L$20000,0)</f>
        <v>17</v>
      </c>
      <c r="C28">
        <f>COUNTIFS(Courses!$B$1:'Courses'!$B$20000,"Humanities",Courses!$D$1:'Courses'!$D$20000,"&gt;=8000",Courses!$D$1:'Courses'!$D$20000,"&lt;9000",Courses!$E$1:'Courses'!$E$20000,2021,Courses!$I$1:'Courses'!$I$20000,"&gt;=10",Courses!$I$1:'Courses'!$I$20000,"&lt;20",Courses!$L$1:'Courses'!$L$20000,0)</f>
        <v>2</v>
      </c>
      <c r="D28">
        <f>COUNTIFS(Courses!$B$1:'Courses'!$B$20000,"Humanities",Courses!$D$1:'Courses'!$D$20000,"&gt;=8000",Courses!$D$1:'Courses'!$D$20000,"&lt;9000",Courses!$E$1:'Courses'!$E$20000,2021,Courses!$I$1:'Courses'!$I$20000,"&gt;=20",Courses!$I$1:'Courses'!$I$20000,"&lt;30",Courses!$L$1:'Courses'!$L$20000,0)</f>
        <v>2</v>
      </c>
      <c r="E28">
        <f>COUNTIFS(Courses!$B$1:'Courses'!$B$20000,"Humanities",Courses!$D$1:'Courses'!$D$20000,"&gt;=8000",Courses!$D$1:'Courses'!$D$20000,"&lt;9000",Courses!$E$1:'Courses'!$E$20000,2021,Courses!$I$1:'Courses'!$I$20000,"&gt;=30",Courses!$I$1:'Courses'!$I$20000,"&lt;40",Courses!$L$1:'Courses'!$L$20000,0)</f>
        <v>0</v>
      </c>
      <c r="F28">
        <f>COUNTIFS(Courses!$B$1:'Courses'!$B$20000,"Humanities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28">
        <f>COUNTIFS(Courses!$B$1:'Courses'!$B$20000,"Humanities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28">
        <f>COUNTIFS(Courses!$B$1:'Courses'!$B$20000,"Humanities",Courses!$D$1:'Courses'!$D$20000,"&gt;=8000",Courses!$D$1:'Courses'!$D$20000,"&lt;9000",Courses!$E$1:'Courses'!$E$20000,2021,Courses!$I$1:'Courses'!$I$20000,"&gt;=100",Courses!$L$1:'Courses'!$L$20000,0)</f>
        <v>0</v>
      </c>
      <c r="I28">
        <f t="shared" si="0"/>
        <v>21</v>
      </c>
      <c r="J28" s="3">
        <f t="shared" si="1"/>
        <v>90.5</v>
      </c>
      <c r="K28" s="3">
        <f t="shared" si="2"/>
        <v>0</v>
      </c>
    </row>
    <row r="29" spans="1:11" x14ac:dyDescent="0.2">
      <c r="A29" t="s">
        <v>2124</v>
      </c>
      <c r="B29">
        <f>COUNTIFS(Courses!$B$1:'Courses'!$B$20000,"Humanities",Courses!$D$1:'Courses'!$D$20000,"&gt;=1000",Courses!$D$1:'Courses'!$D$20000,"&lt;9000",Courses!$E$1:'Courses'!$E$20000,2021,Courses!$I$1:'Courses'!$I$20000,"&gt;=2",Courses!$I$1:'Courses'!$I$20000,"&lt;10",Courses!$L$1:'Courses'!$L$20000,0)</f>
        <v>281</v>
      </c>
      <c r="C29">
        <f>COUNTIFS(Courses!$B$1:'Courses'!$B$20000,"Humanities",Courses!$D$1:'Courses'!$D$20000,"&gt;=1000",Courses!$D$1:'Courses'!$D$20000,"&lt;9000",Courses!$E$1:'Courses'!$E$20000,2021,Courses!$I$1:'Courses'!$I$20000,"&gt;=10",Courses!$I$1:'Courses'!$I$20000,"&lt;20",Courses!$L$1:'Courses'!$L$20000,0)</f>
        <v>314</v>
      </c>
      <c r="D29">
        <f>COUNTIFS(Courses!$B$1:'Courses'!$B$20000,"Humanities",Courses!$D$1:'Courses'!$D$20000,"&gt;=1000",Courses!$D$1:'Courses'!$D$20000,"&lt;9000",Courses!$E$1:'Courses'!$E$20000,2021,Courses!$I$1:'Courses'!$I$20000,"&gt;=20",Courses!$I$1:'Courses'!$I$20000,"&lt;30",Courses!$L$1:'Courses'!$L$20000,0)</f>
        <v>50</v>
      </c>
      <c r="E29">
        <f>COUNTIFS(Courses!$B$1:'Courses'!$B$20000,"Humanities",Courses!$D$1:'Courses'!$D$20000,"&gt;=1000",Courses!$D$1:'Courses'!$D$20000,"&lt;9000",Courses!$E$1:'Courses'!$E$20000,2021,Courses!$I$1:'Courses'!$I$20000,"&gt;=30",Courses!$I$1:'Courses'!$I$20000,"&lt;40",Courses!$L$1:'Courses'!$L$20000,0)</f>
        <v>13</v>
      </c>
      <c r="F29">
        <f>COUNTIFS(Courses!$B$1:'Courses'!$B$20000,"Humanities",Courses!$D$1:'Courses'!$D$20000,"&gt;=1000",Courses!$D$1:'Courses'!$D$20000,"&lt;9000",Courses!$E$1:'Courses'!$E$20000,2021,Courses!$I$1:'Courses'!$I$20000,"&gt;=40",Courses!$I$1:'Courses'!$I$20000,"&lt;50",Courses!$L$1:'Courses'!$L$20000,0)</f>
        <v>8</v>
      </c>
      <c r="G29">
        <f>COUNTIFS(Courses!$B$1:'Courses'!$B$20000,"Humanities",Courses!$D$1:'Courses'!$D$20000,"&gt;=1000",Courses!$D$1:'Courses'!$D$20000,"&lt;9000",Courses!$E$1:'Courses'!$E$20000,2021,Courses!$I$1:'Courses'!$I$20000,"&gt;=50",Courses!$I$1:'Courses'!$I$20000,"&lt;100",Courses!$L$1:'Courses'!$L$20000,0)</f>
        <v>13</v>
      </c>
      <c r="H29">
        <f>COUNTIFS(Courses!$B$1:'Courses'!$B$20000,"Humanities",Courses!$D$1:'Courses'!$D$20000,"&gt;=1000",Courses!$D$1:'Courses'!$D$20000,"&lt;9000",Courses!$E$1:'Courses'!$E$20000,2021,Courses!$I$1:'Courses'!$I$20000,"&gt;=100",Courses!$L$1:'Courses'!$L$20000,0)</f>
        <v>2</v>
      </c>
      <c r="I29">
        <f t="shared" si="0"/>
        <v>681</v>
      </c>
      <c r="J29" s="3">
        <f t="shared" si="1"/>
        <v>87.4</v>
      </c>
      <c r="K29" s="3">
        <f t="shared" si="2"/>
        <v>2.2026431718061672</v>
      </c>
    </row>
    <row r="30" spans="1:11" x14ac:dyDescent="0.2">
      <c r="A30" t="s">
        <v>2125</v>
      </c>
      <c r="B30">
        <f>COUNTIFS(Courses!$B$1:'Courses'!$B$20000,"NatSci",Courses!$D$1:'Courses'!$D$20000,"&gt;=1000",Courses!$D$1:'Courses'!$D$20000,"&lt;2000",Courses!$E$1:'Courses'!$E$20000,2021,Courses!$I$1:'Courses'!$I$20000,"&gt;=2",Courses!$I$1:'Courses'!$I$20000,"&lt;10",Courses!$L$1:'Courses'!$L$20000,0)</f>
        <v>4</v>
      </c>
      <c r="C30">
        <f>COUNTIFS(Courses!$B$1:'Courses'!$B$20000,"NatSci",Courses!$D$1:'Courses'!$D$20000,"&gt;=1000",Courses!$D$1:'Courses'!$D$20000,"&lt;2000",Courses!$E$1:'Courses'!$E$20000,2021,Courses!$I$1:'Courses'!$I$20000,"&gt;=10",Courses!$I$1:'Courses'!$I$20000,"&lt;20",Courses!$L$1:'Courses'!$L$20000,0)</f>
        <v>16</v>
      </c>
      <c r="D30">
        <f>COUNTIFS(Courses!$B$1:'Courses'!$B$20000,"NatSci",Courses!$D$1:'Courses'!$D$20000,"&gt;=1000",Courses!$D$1:'Courses'!$D$20000,"&lt;2000",Courses!$E$1:'Courses'!$E$20000,2021,Courses!$I$1:'Courses'!$I$20000,"&gt;=20",Courses!$I$1:'Courses'!$I$20000,"&lt;30",Courses!$L$1:'Courses'!$L$20000,0)</f>
        <v>10</v>
      </c>
      <c r="E30">
        <f>COUNTIFS(Courses!$B$1:'Courses'!$B$20000,"NatSci",Courses!$D$1:'Courses'!$D$20000,"&gt;=1000",Courses!$D$1:'Courses'!$D$20000,"&lt;2000",Courses!$E$1:'Courses'!$E$20000,2021,Courses!$I$1:'Courses'!$I$20000,"&gt;=30",Courses!$I$1:'Courses'!$I$20000,"&lt;40",Courses!$L$1:'Courses'!$L$20000,0)</f>
        <v>6</v>
      </c>
      <c r="F30">
        <f>COUNTIFS(Courses!$B$1:'Courses'!$B$20000,"NatSci",Courses!$D$1:'Courses'!$D$20000,"&gt;=1000",Courses!$D$1:'Courses'!$D$20000,"&lt;2000",Courses!$E$1:'Courses'!$E$20000,2021,Courses!$I$1:'Courses'!$I$20000,"&gt;=40",Courses!$I$1:'Courses'!$I$20000,"&lt;50",Courses!$L$1:'Courses'!$L$20000,0)</f>
        <v>9</v>
      </c>
      <c r="G30">
        <f>COUNTIFS(Courses!$B$1:'Courses'!$B$20000,"NatSci",Courses!$D$1:'Courses'!$D$20000,"&gt;=1000",Courses!$D$1:'Courses'!$D$20000,"&lt;2000",Courses!$E$1:'Courses'!$E$20000,2021,Courses!$I$1:'Courses'!$I$20000,"&gt;=50",Courses!$I$1:'Courses'!$I$20000,"&lt;100",Courses!$L$1:'Courses'!$L$20000,0)</f>
        <v>24</v>
      </c>
      <c r="H30">
        <f>COUNTIFS(Courses!$B$1:'Courses'!$B$20000,"NatSci",Courses!$D$1:'Courses'!$D$20000,"&gt;=1000",Courses!$D$1:'Courses'!$D$20000,"&lt;2000",Courses!$E$1:'Courses'!$E$20000,2021,Courses!$I$1:'Courses'!$I$20000,"&gt;=100",Courses!$L$1:'Courses'!$L$20000,0)</f>
        <v>19</v>
      </c>
      <c r="I30">
        <f t="shared" si="0"/>
        <v>88</v>
      </c>
      <c r="J30" s="3">
        <f t="shared" si="1"/>
        <v>22.7</v>
      </c>
      <c r="K30" s="3">
        <f t="shared" si="2"/>
        <v>48.863636363636367</v>
      </c>
    </row>
    <row r="31" spans="1:11" x14ac:dyDescent="0.2">
      <c r="A31" t="s">
        <v>2126</v>
      </c>
      <c r="B31">
        <f>COUNTIFS(Courses!$B$1:'Courses'!$B$20000,"NatSci",Courses!$D$1:'Courses'!$D$20000,"&gt;=2000",Courses!$D$1:'Courses'!$D$20000,"&lt;3000",Courses!$E$1:'Courses'!$E$20000,2021,Courses!$I$1:'Courses'!$I$20000,"&gt;=2",Courses!$I$1:'Courses'!$I$20000,"&lt;10",Courses!$L$1:'Courses'!$L$20000,0)</f>
        <v>0</v>
      </c>
      <c r="C31">
        <f>COUNTIFS(Courses!$B$1:'Courses'!$B$20000,"NatSci",Courses!$D$1:'Courses'!$D$20000,"&gt;=2000",Courses!$D$1:'Courses'!$D$20000,"&lt;3000",Courses!$E$1:'Courses'!$E$20000,2021,Courses!$I$1:'Courses'!$I$20000,"&gt;=10",Courses!$I$1:'Courses'!$I$20000,"&lt;20",Courses!$L$1:'Courses'!$L$20000,0)</f>
        <v>3</v>
      </c>
      <c r="D31">
        <f>COUNTIFS(Courses!$B$1:'Courses'!$B$20000,"NatSci",Courses!$D$1:'Courses'!$D$20000,"&gt;=2000",Courses!$D$1:'Courses'!$D$20000,"&lt;3000",Courses!$E$1:'Courses'!$E$20000,2021,Courses!$I$1:'Courses'!$I$20000,"&gt;=20",Courses!$I$1:'Courses'!$I$20000,"&lt;30",Courses!$L$1:'Courses'!$L$20000,0)</f>
        <v>3</v>
      </c>
      <c r="E31">
        <f>COUNTIFS(Courses!$B$1:'Courses'!$B$20000,"NatSci",Courses!$D$1:'Courses'!$D$20000,"&gt;=2000",Courses!$D$1:'Courses'!$D$20000,"&lt;3000",Courses!$E$1:'Courses'!$E$20000,2021,Courses!$I$1:'Courses'!$I$20000,"&gt;=30",Courses!$I$1:'Courses'!$I$20000,"&lt;40",Courses!$L$1:'Courses'!$L$20000,0)</f>
        <v>8</v>
      </c>
      <c r="F31">
        <f>COUNTIFS(Courses!$B$1:'Courses'!$B$20000,"NatSci",Courses!$D$1:'Courses'!$D$20000,"&gt;=2000",Courses!$D$1:'Courses'!$D$20000,"&lt;3000",Courses!$E$1:'Courses'!$E$20000,2021,Courses!$I$1:'Courses'!$I$20000,"&gt;=40",Courses!$I$1:'Courses'!$I$20000,"&lt;50",Courses!$L$1:'Courses'!$L$20000,0)</f>
        <v>5</v>
      </c>
      <c r="G31">
        <f>COUNTIFS(Courses!$B$1:'Courses'!$B$20000,"NatSci",Courses!$D$1:'Courses'!$D$20000,"&gt;=2000",Courses!$D$1:'Courses'!$D$20000,"&lt;3000",Courses!$E$1:'Courses'!$E$20000,2021,Courses!$I$1:'Courses'!$I$20000,"&gt;=50",Courses!$I$1:'Courses'!$I$20000,"&lt;100",Courses!$L$1:'Courses'!$L$20000,0)</f>
        <v>9</v>
      </c>
      <c r="H31">
        <f>COUNTIFS(Courses!$B$1:'Courses'!$B$20000,"NatSci",Courses!$D$1:'Courses'!$D$20000,"&gt;=2000",Courses!$D$1:'Courses'!$D$20000,"&lt;3000",Courses!$E$1:'Courses'!$E$20000,2021,Courses!$I$1:'Courses'!$I$20000,"&gt;=100",Courses!$L$1:'Courses'!$L$20000,0)</f>
        <v>9</v>
      </c>
      <c r="I31">
        <f t="shared" si="0"/>
        <v>37</v>
      </c>
      <c r="J31" s="3">
        <f t="shared" si="1"/>
        <v>8.1</v>
      </c>
      <c r="K31" s="3">
        <f t="shared" si="2"/>
        <v>48.648648648648646</v>
      </c>
    </row>
    <row r="32" spans="1:11" x14ac:dyDescent="0.2">
      <c r="A32" t="s">
        <v>2127</v>
      </c>
      <c r="B32">
        <f>COUNTIFS(Courses!$B$1:'Courses'!$B$20000,"NatSci",Courses!$D$1:'Courses'!$D$20000,"&gt;=3000",Courses!$D$1:'Courses'!$D$20000,"&lt;4000",Courses!$E$1:'Courses'!$E$20000,2021,Courses!$I$1:'Courses'!$I$20000,"&gt;=2",Courses!$I$1:'Courses'!$I$20000,"&lt;10",Courses!$L$1:'Courses'!$L$20000,0)</f>
        <v>9</v>
      </c>
      <c r="C32">
        <f>COUNTIFS(Courses!$B$1:'Courses'!$B$20000,"NatSci",Courses!$D$1:'Courses'!$D$20000,"&gt;=3000",Courses!$D$1:'Courses'!$D$20000,"&lt;4000",Courses!$E$1:'Courses'!$E$20000,2021,Courses!$I$1:'Courses'!$I$20000,"&gt;=10",Courses!$I$1:'Courses'!$I$20000,"&lt;20",Courses!$L$1:'Courses'!$L$20000,0)</f>
        <v>15</v>
      </c>
      <c r="D32">
        <f>COUNTIFS(Courses!$B$1:'Courses'!$B$20000,"NatSci",Courses!$D$1:'Courses'!$D$20000,"&gt;=3000",Courses!$D$1:'Courses'!$D$20000,"&lt;4000",Courses!$E$1:'Courses'!$E$20000,2021,Courses!$I$1:'Courses'!$I$20000,"&gt;=20",Courses!$I$1:'Courses'!$I$20000,"&lt;30",Courses!$L$1:'Courses'!$L$20000,0)</f>
        <v>5</v>
      </c>
      <c r="E32">
        <f>COUNTIFS(Courses!$B$1:'Courses'!$B$20000,"NatSci",Courses!$D$1:'Courses'!$D$20000,"&gt;=3000",Courses!$D$1:'Courses'!$D$20000,"&lt;4000",Courses!$E$1:'Courses'!$E$20000,2021,Courses!$I$1:'Courses'!$I$20000,"&gt;=30",Courses!$I$1:'Courses'!$I$20000,"&lt;40",Courses!$L$1:'Courses'!$L$20000,0)</f>
        <v>4</v>
      </c>
      <c r="F32">
        <f>COUNTIFS(Courses!$B$1:'Courses'!$B$20000,"NatSci",Courses!$D$1:'Courses'!$D$20000,"&gt;=3000",Courses!$D$1:'Courses'!$D$20000,"&lt;4000",Courses!$E$1:'Courses'!$E$20000,2021,Courses!$I$1:'Courses'!$I$20000,"&gt;=40",Courses!$I$1:'Courses'!$I$20000,"&lt;50",Courses!$L$1:'Courses'!$L$20000,0)</f>
        <v>3</v>
      </c>
      <c r="G32">
        <f>COUNTIFS(Courses!$B$1:'Courses'!$B$20000,"NatSci",Courses!$D$1:'Courses'!$D$20000,"&gt;=3000",Courses!$D$1:'Courses'!$D$20000,"&lt;4000",Courses!$E$1:'Courses'!$E$20000,2021,Courses!$I$1:'Courses'!$I$20000,"&gt;=50",Courses!$I$1:'Courses'!$I$20000,"&lt;100",Courses!$L$1:'Courses'!$L$20000,0)</f>
        <v>6</v>
      </c>
      <c r="H32">
        <f>COUNTIFS(Courses!$B$1:'Courses'!$B$20000,"NatSci",Courses!$D$1:'Courses'!$D$20000,"&gt;=3000",Courses!$D$1:'Courses'!$D$20000,"&lt;4000",Courses!$E$1:'Courses'!$E$20000,2021,Courses!$I$1:'Courses'!$I$20000,"&gt;=100",Courses!$L$1:'Courses'!$L$20000,0)</f>
        <v>0</v>
      </c>
      <c r="I32">
        <f t="shared" si="0"/>
        <v>42</v>
      </c>
      <c r="J32" s="3">
        <f t="shared" si="1"/>
        <v>57.1</v>
      </c>
      <c r="K32" s="3">
        <f t="shared" si="2"/>
        <v>14.285714285714286</v>
      </c>
    </row>
    <row r="33" spans="1:11" x14ac:dyDescent="0.2">
      <c r="A33" t="s">
        <v>2128</v>
      </c>
      <c r="B33">
        <f>COUNTIFS(Courses!$B$1:'Courses'!$B$20000,"NatSci",Courses!$D$1:'Courses'!$D$20000,"&gt;=4000",Courses!$D$1:'Courses'!$D$20000,"&lt;5000",Courses!$E$1:'Courses'!$E$20000,2021,Courses!$I$1:'Courses'!$I$20000,"&gt;=2",Courses!$I$1:'Courses'!$I$20000,"&lt;10",Courses!$L$1:'Courses'!$L$20000,0)</f>
        <v>23</v>
      </c>
      <c r="C33">
        <f>COUNTIFS(Courses!$B$1:'Courses'!$B$20000,"NatSci",Courses!$D$1:'Courses'!$D$20000,"&gt;=4000",Courses!$D$1:'Courses'!$D$20000,"&lt;5000",Courses!$E$1:'Courses'!$E$20000,2021,Courses!$I$1:'Courses'!$I$20000,"&gt;=10",Courses!$I$1:'Courses'!$I$20000,"&lt;20",Courses!$L$1:'Courses'!$L$20000,0)</f>
        <v>40</v>
      </c>
      <c r="D33">
        <f>COUNTIFS(Courses!$B$1:'Courses'!$B$20000,"NatSci",Courses!$D$1:'Courses'!$D$20000,"&gt;=4000",Courses!$D$1:'Courses'!$D$20000,"&lt;5000",Courses!$E$1:'Courses'!$E$20000,2021,Courses!$I$1:'Courses'!$I$20000,"&gt;=20",Courses!$I$1:'Courses'!$I$20000,"&lt;30",Courses!$L$1:'Courses'!$L$20000,0)</f>
        <v>10</v>
      </c>
      <c r="E33">
        <f>COUNTIFS(Courses!$B$1:'Courses'!$B$20000,"NatSci",Courses!$D$1:'Courses'!$D$20000,"&gt;=4000",Courses!$D$1:'Courses'!$D$20000,"&lt;5000",Courses!$E$1:'Courses'!$E$20000,2021,Courses!$I$1:'Courses'!$I$20000,"&gt;=30",Courses!$I$1:'Courses'!$I$20000,"&lt;40",Courses!$L$1:'Courses'!$L$20000,0)</f>
        <v>6</v>
      </c>
      <c r="F33">
        <f>COUNTIFS(Courses!$B$1:'Courses'!$B$20000,"NatSci",Courses!$D$1:'Courses'!$D$20000,"&gt;=4000",Courses!$D$1:'Courses'!$D$20000,"&lt;5000",Courses!$E$1:'Courses'!$E$20000,2021,Courses!$I$1:'Courses'!$I$20000,"&gt;=40",Courses!$I$1:'Courses'!$I$20000,"&lt;50",Courses!$L$1:'Courses'!$L$20000,0)</f>
        <v>1</v>
      </c>
      <c r="G33">
        <f>COUNTIFS(Courses!$B$1:'Courses'!$B$20000,"NatSci",Courses!$D$1:'Courses'!$D$20000,"&gt;=4000",Courses!$D$1:'Courses'!$D$20000,"&lt;5000",Courses!$E$1:'Courses'!$E$20000,2021,Courses!$I$1:'Courses'!$I$20000,"&gt;=50",Courses!$I$1:'Courses'!$I$20000,"&lt;100",Courses!$L$1:'Courses'!$L$20000,0)</f>
        <v>5</v>
      </c>
      <c r="H33">
        <f>COUNTIFS(Courses!$B$1:'Courses'!$B$20000,"NatSci",Courses!$D$1:'Courses'!$D$20000,"&gt;=4000",Courses!$D$1:'Courses'!$D$20000,"&lt;5000",Courses!$E$1:'Courses'!$E$20000,2021,Courses!$I$1:'Courses'!$I$20000,"&gt;=100",Courses!$L$1:'Courses'!$L$20000,0)</f>
        <v>1</v>
      </c>
      <c r="I33">
        <f t="shared" si="0"/>
        <v>86</v>
      </c>
      <c r="J33" s="3">
        <f t="shared" si="1"/>
        <v>73.3</v>
      </c>
      <c r="K33" s="3">
        <f t="shared" si="2"/>
        <v>6.9767441860465116</v>
      </c>
    </row>
    <row r="34" spans="1:11" x14ac:dyDescent="0.2">
      <c r="A34" t="s">
        <v>2129</v>
      </c>
      <c r="B34">
        <f>COUNTIFS(Courses!$B$1:'Courses'!$B$20000,"NatSci",Courses!$D$1:'Courses'!$D$20000,"&gt;=5000",Courses!$D$1:'Courses'!$D$20000,"&lt;6000",Courses!$E$1:'Courses'!$E$20000,2021,Courses!$I$1:'Courses'!$I$20000,"&gt;=2",Courses!$I$1:'Courses'!$I$20000,"&lt;10",Courses!$L$1:'Courses'!$L$20000,0)</f>
        <v>6</v>
      </c>
      <c r="C34">
        <f>COUNTIFS(Courses!$B$1:'Courses'!$B$20000,"NatSci",Courses!$D$1:'Courses'!$D$20000,"&gt;=5000",Courses!$D$1:'Courses'!$D$20000,"&lt;6000",Courses!$E$1:'Courses'!$E$20000,2021,Courses!$I$1:'Courses'!$I$20000,"&gt;=10",Courses!$I$1:'Courses'!$I$20000,"&lt;20",Courses!$L$1:'Courses'!$L$20000,0)</f>
        <v>1</v>
      </c>
      <c r="D34">
        <f>COUNTIFS(Courses!$B$1:'Courses'!$B$20000,"NatSci",Courses!$D$1:'Courses'!$D$20000,"&gt;=5000",Courses!$D$1:'Courses'!$D$20000,"&lt;6000",Courses!$E$1:'Courses'!$E$20000,2021,Courses!$I$1:'Courses'!$I$20000,"&gt;=20",Courses!$I$1:'Courses'!$I$20000,"&lt;30",Courses!$L$1:'Courses'!$L$20000,0)</f>
        <v>1</v>
      </c>
      <c r="E34">
        <f>COUNTIFS(Courses!$B$1:'Courses'!$B$20000,"NatSci",Courses!$D$1:'Courses'!$D$20000,"&gt;=5000",Courses!$D$1:'Courses'!$D$20000,"&lt;6000",Courses!$E$1:'Courses'!$E$20000,2021,Courses!$I$1:'Courses'!$I$20000,"&gt;=30",Courses!$I$1:'Courses'!$I$20000,"&lt;40",Courses!$L$1:'Courses'!$L$20000,0)</f>
        <v>1</v>
      </c>
      <c r="F34">
        <f>COUNTIFS(Courses!$B$1:'Courses'!$B$20000,"NatSci",Courses!$D$1:'Courses'!$D$20000,"&gt;=5000",Courses!$D$1:'Courses'!$D$20000,"&lt;6000",Courses!$E$1:'Courses'!$E$20000,2021,Courses!$I$1:'Courses'!$I$20000,"&gt;=40",Courses!$I$1:'Courses'!$I$20000,"&lt;50",Courses!$L$1:'Courses'!$L$20000,0)</f>
        <v>8</v>
      </c>
      <c r="G34">
        <f>COUNTIFS(Courses!$B$1:'Courses'!$B$20000,"NatSci",Courses!$D$1:'Courses'!$D$20000,"&gt;=5000",Courses!$D$1:'Courses'!$D$20000,"&lt;6000",Courses!$E$1:'Courses'!$E$20000,2021,Courses!$I$1:'Courses'!$I$20000,"&gt;=50",Courses!$I$1:'Courses'!$I$20000,"&lt;100",Courses!$L$1:'Courses'!$L$20000,0)</f>
        <v>1</v>
      </c>
      <c r="H34">
        <f>COUNTIFS(Courses!$B$1:'Courses'!$B$20000,"NatSci",Courses!$D$1:'Courses'!$D$20000,"&gt;=5000",Courses!$D$1:'Courses'!$D$20000,"&lt;6000",Courses!$E$1:'Courses'!$E$20000,2021,Courses!$I$1:'Courses'!$I$20000,"&gt;=100",Courses!$L$1:'Courses'!$L$20000,0)</f>
        <v>2</v>
      </c>
      <c r="I34">
        <f t="shared" si="0"/>
        <v>20</v>
      </c>
      <c r="J34" s="3">
        <f t="shared" si="1"/>
        <v>35</v>
      </c>
      <c r="K34" s="3">
        <f t="shared" si="2"/>
        <v>15</v>
      </c>
    </row>
    <row r="35" spans="1:11" x14ac:dyDescent="0.2">
      <c r="A35" t="s">
        <v>2130</v>
      </c>
      <c r="B35">
        <f>COUNTIFS(Courses!$B$1:'Courses'!$B$20000,"NatSci",Courses!$D$1:'Courses'!$D$20000,"&gt;=6000",Courses!$D$1:'Courses'!$D$20000,"&lt;7000",Courses!$E$1:'Courses'!$E$20000,2021,Courses!$I$1:'Courses'!$I$20000,"&gt;=2",Courses!$I$1:'Courses'!$I$20000,"&lt;10",Courses!$L$1:'Courses'!$L$20000,0)</f>
        <v>18</v>
      </c>
      <c r="C35">
        <f>COUNTIFS(Courses!$B$1:'Courses'!$B$20000,"NatSci",Courses!$D$1:'Courses'!$D$20000,"&gt;=6000",Courses!$D$1:'Courses'!$D$20000,"&lt;7000",Courses!$E$1:'Courses'!$E$20000,2021,Courses!$I$1:'Courses'!$I$20000,"&gt;=10",Courses!$I$1:'Courses'!$I$20000,"&lt;20",Courses!$L$1:'Courses'!$L$20000,0)</f>
        <v>11</v>
      </c>
      <c r="D35">
        <f>COUNTIFS(Courses!$B$1:'Courses'!$B$20000,"NatSci",Courses!$D$1:'Courses'!$D$20000,"&gt;=6000",Courses!$D$1:'Courses'!$D$20000,"&lt;7000",Courses!$E$1:'Courses'!$E$20000,2021,Courses!$I$1:'Courses'!$I$20000,"&gt;=20",Courses!$I$1:'Courses'!$I$20000,"&lt;30",Courses!$L$1:'Courses'!$L$20000,0)</f>
        <v>6</v>
      </c>
      <c r="E35">
        <f>COUNTIFS(Courses!$B$1:'Courses'!$B$20000,"NatSci",Courses!$D$1:'Courses'!$D$20000,"&gt;=6000",Courses!$D$1:'Courses'!$D$20000,"&lt;7000",Courses!$E$1:'Courses'!$E$20000,2021,Courses!$I$1:'Courses'!$I$20000,"&gt;=30",Courses!$I$1:'Courses'!$I$20000,"&lt;40",Courses!$L$1:'Courses'!$L$20000,0)</f>
        <v>1</v>
      </c>
      <c r="F35">
        <f>COUNTIFS(Courses!$B$1:'Courses'!$B$20000,"NatSci",Courses!$D$1:'Courses'!$D$20000,"&gt;=6000",Courses!$D$1:'Courses'!$D$20000,"&lt;7000",Courses!$E$1:'Courses'!$E$20000,2021,Courses!$I$1:'Courses'!$I$20000,"&gt;=40",Courses!$I$1:'Courses'!$I$20000,"&lt;50",Courses!$L$1:'Courses'!$L$20000,0)</f>
        <v>2</v>
      </c>
      <c r="G35">
        <f>COUNTIFS(Courses!$B$1:'Courses'!$B$20000,"NatSci",Courses!$D$1:'Courses'!$D$20000,"&gt;=6000",Courses!$D$1:'Courses'!$D$20000,"&lt;7000",Courses!$E$1:'Courses'!$E$20000,2021,Courses!$I$1:'Courses'!$I$20000,"&gt;=50",Courses!$I$1:'Courses'!$I$20000,"&lt;100",Courses!$L$1:'Courses'!$L$20000,0)</f>
        <v>0</v>
      </c>
      <c r="H35">
        <f>COUNTIFS(Courses!$B$1:'Courses'!$B$20000,"NatSci",Courses!$D$1:'Courses'!$D$20000,"&gt;=6000",Courses!$D$1:'Courses'!$D$20000,"&lt;7000",Courses!$E$1:'Courses'!$E$20000,2021,Courses!$I$1:'Courses'!$I$20000,"&gt;=100",Courses!$L$1:'Courses'!$L$20000,0)</f>
        <v>0</v>
      </c>
      <c r="I35">
        <f t="shared" si="0"/>
        <v>38</v>
      </c>
      <c r="J35" s="3">
        <f t="shared" si="1"/>
        <v>76.3</v>
      </c>
      <c r="K35" s="3">
        <f t="shared" si="2"/>
        <v>0</v>
      </c>
    </row>
    <row r="36" spans="1:11" x14ac:dyDescent="0.2">
      <c r="A36" t="s">
        <v>2131</v>
      </c>
      <c r="B36">
        <f>COUNTIFS(Courses!$B$1:'Courses'!$B$20000,"NatSci",Courses!$D$1:'Courses'!$D$20000,"&gt;=8000",Courses!$D$1:'Courses'!$D$20000,"&lt;9000",Courses!$E$1:'Courses'!$E$20000,2021,Courses!$I$1:'Courses'!$I$20000,"&gt;=2",Courses!$I$1:'Courses'!$I$20000,"&lt;10",Courses!$L$1:'Courses'!$L$20000,0)</f>
        <v>1</v>
      </c>
      <c r="C36">
        <f>COUNTIFS(Courses!$B$1:'Courses'!$B$20000,"NatSci",Courses!$D$1:'Courses'!$D$20000,"&gt;=8000",Courses!$D$1:'Courses'!$D$20000,"&lt;9000",Courses!$E$1:'Courses'!$E$20000,2021,Courses!$I$1:'Courses'!$I$20000,"&gt;=10",Courses!$I$1:'Courses'!$I$20000,"&lt;20",Courses!$L$1:'Courses'!$L$20000,0)</f>
        <v>2</v>
      </c>
      <c r="D36">
        <f>COUNTIFS(Courses!$B$1:'Courses'!$B$20000,"NatSci",Courses!$D$1:'Courses'!$D$20000,"&gt;=8000",Courses!$D$1:'Courses'!$D$20000,"&lt;9000",Courses!$E$1:'Courses'!$E$20000,2021,Courses!$I$1:'Courses'!$I$20000,"&gt;=20",Courses!$I$1:'Courses'!$I$20000,"&lt;30",Courses!$L$1:'Courses'!$L$20000,0)</f>
        <v>0</v>
      </c>
      <c r="E36">
        <f>COUNTIFS(Courses!$B$1:'Courses'!$B$20000,"NatSci",Courses!$D$1:'Courses'!$D$20000,"&gt;=8000",Courses!$D$1:'Courses'!$D$20000,"&lt;9000",Courses!$E$1:'Courses'!$E$20000,2021,Courses!$I$1:'Courses'!$I$20000,"&gt;=30",Courses!$I$1:'Courses'!$I$20000,"&lt;40",Courses!$L$1:'Courses'!$L$20000,0)</f>
        <v>0</v>
      </c>
      <c r="F36">
        <f>COUNTIFS(Courses!$B$1:'Courses'!$B$20000,"NatSci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36">
        <f>COUNTIFS(Courses!$B$1:'Courses'!$B$20000,"NatSci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36">
        <f>COUNTIFS(Courses!$B$1:'Courses'!$B$20000,"NatSci",Courses!$D$1:'Courses'!$D$20000,"&gt;=8000",Courses!$D$1:'Courses'!$D$20000,"&lt;9000",Courses!$E$1:'Courses'!$E$20000,2021,Courses!$I$1:'Courses'!$I$20000,"&gt;=100",Courses!$L$1:'Courses'!$L$20000,0)</f>
        <v>0</v>
      </c>
      <c r="I36">
        <f t="shared" si="0"/>
        <v>3</v>
      </c>
      <c r="J36" s="3">
        <f t="shared" si="1"/>
        <v>100</v>
      </c>
      <c r="K36" s="3">
        <f t="shared" si="2"/>
        <v>0</v>
      </c>
    </row>
    <row r="37" spans="1:11" x14ac:dyDescent="0.2">
      <c r="A37" t="s">
        <v>2132</v>
      </c>
      <c r="B37">
        <f>COUNTIFS(Courses!$B$1:'Courses'!$B$20000,"NatSci",Courses!$D$1:'Courses'!$D$20000,"&gt;=1000",Courses!$D$1:'Courses'!$D$20000,"&lt;9000",Courses!$E$1:'Courses'!$E$20000,2021,Courses!$I$1:'Courses'!$I$20000,"&gt;=2",Courses!$I$1:'Courses'!$I$20000,"&lt;10",Courses!$L$1:'Courses'!$L$20000,0)</f>
        <v>61</v>
      </c>
      <c r="C37">
        <f>COUNTIFS(Courses!$B$1:'Courses'!$B$20000,"NatSci",Courses!$D$1:'Courses'!$D$20000,"&gt;=1000",Courses!$D$1:'Courses'!$D$20000,"&lt;9000",Courses!$E$1:'Courses'!$E$20000,2021,Courses!$I$1:'Courses'!$I$20000,"&gt;=10",Courses!$I$1:'Courses'!$I$20000,"&lt;20",Courses!$L$1:'Courses'!$L$20000,0)</f>
        <v>88</v>
      </c>
      <c r="D37">
        <f>COUNTIFS(Courses!$B$1:'Courses'!$B$20000,"NatSci",Courses!$D$1:'Courses'!$D$20000,"&gt;=1000",Courses!$D$1:'Courses'!$D$20000,"&lt;9000",Courses!$E$1:'Courses'!$E$20000,2021,Courses!$I$1:'Courses'!$I$20000,"&gt;=20",Courses!$I$1:'Courses'!$I$20000,"&lt;30",Courses!$L$1:'Courses'!$L$20000,0)</f>
        <v>35</v>
      </c>
      <c r="E37">
        <f>COUNTIFS(Courses!$B$1:'Courses'!$B$20000,"NatSci",Courses!$D$1:'Courses'!$D$20000,"&gt;=1000",Courses!$D$1:'Courses'!$D$20000,"&lt;9000",Courses!$E$1:'Courses'!$E$20000,2021,Courses!$I$1:'Courses'!$I$20000,"&gt;=30",Courses!$I$1:'Courses'!$I$20000,"&lt;40",Courses!$L$1:'Courses'!$L$20000,0)</f>
        <v>26</v>
      </c>
      <c r="F37">
        <f>COUNTIFS(Courses!$B$1:'Courses'!$B$20000,"NatSci",Courses!$D$1:'Courses'!$D$20000,"&gt;=1000",Courses!$D$1:'Courses'!$D$20000,"&lt;9000",Courses!$E$1:'Courses'!$E$20000,2021,Courses!$I$1:'Courses'!$I$20000,"&gt;=40",Courses!$I$1:'Courses'!$I$20000,"&lt;50",Courses!$L$1:'Courses'!$L$20000,0)</f>
        <v>28</v>
      </c>
      <c r="G37">
        <f>COUNTIFS(Courses!$B$1:'Courses'!$B$20000,"NatSci",Courses!$D$1:'Courses'!$D$20000,"&gt;=1000",Courses!$D$1:'Courses'!$D$20000,"&lt;9000",Courses!$E$1:'Courses'!$E$20000,2021,Courses!$I$1:'Courses'!$I$20000,"&gt;=50",Courses!$I$1:'Courses'!$I$20000,"&lt;100",Courses!$L$1:'Courses'!$L$20000,0)</f>
        <v>45</v>
      </c>
      <c r="H37">
        <f>COUNTIFS(Courses!$B$1:'Courses'!$B$20000,"NatSci",Courses!$D$1:'Courses'!$D$20000,"&gt;=1000",Courses!$D$1:'Courses'!$D$20000,"&lt;9000",Courses!$E$1:'Courses'!$E$20000,2021,Courses!$I$1:'Courses'!$I$20000,"&gt;=100",Courses!$L$1:'Courses'!$L$20000,0)</f>
        <v>31</v>
      </c>
      <c r="I37">
        <f t="shared" si="0"/>
        <v>314</v>
      </c>
      <c r="J37" s="3">
        <f t="shared" si="1"/>
        <v>47.5</v>
      </c>
      <c r="K37" s="3">
        <f t="shared" si="2"/>
        <v>24.203821656050955</v>
      </c>
    </row>
    <row r="38" spans="1:11" x14ac:dyDescent="0.2">
      <c r="A38" t="s">
        <v>2133</v>
      </c>
      <c r="B38">
        <f>COUNTIFS(Courses!$B$1:'Courses'!$B$20000,"PhysEd",Courses!$D$1:'Courses'!$D$20000,"&gt;=1000",Courses!$D$1:'Courses'!$D$20000,"&lt;2000",Courses!$E$1:'Courses'!$E$20000,2021,Courses!$I$1:'Courses'!$I$20000,"&gt;=2",Courses!$I$1:'Courses'!$I$20000,"&lt;10",Courses!$L$1:'Courses'!$L$20000,0)</f>
        <v>17</v>
      </c>
      <c r="C38">
        <f>COUNTIFS(Courses!$B$1:'Courses'!$B$20000,"PhysEd",Courses!$D$1:'Courses'!$D$20000,"&gt;=1000",Courses!$D$1:'Courses'!$D$20000,"&lt;2000",Courses!$E$1:'Courses'!$E$20000,2021,Courses!$I$1:'Courses'!$I$20000,"&gt;=10",Courses!$I$1:'Courses'!$I$20000,"&lt;20",Courses!$L$1:'Courses'!$L$20000,0)</f>
        <v>33</v>
      </c>
      <c r="D38">
        <f>COUNTIFS(Courses!$B$1:'Courses'!$B$20000,"PhysEd",Courses!$D$1:'Courses'!$D$20000,"&gt;=1000",Courses!$D$1:'Courses'!$D$20000,"&lt;2000",Courses!$E$1:'Courses'!$E$20000,2021,Courses!$I$1:'Courses'!$I$20000,"&gt;=20",Courses!$I$1:'Courses'!$I$20000,"&lt;30",Courses!$L$1:'Courses'!$L$20000,0)</f>
        <v>25</v>
      </c>
      <c r="E38">
        <f>COUNTIFS(Courses!$B$1:'Courses'!$B$20000,"PhysEd",Courses!$D$1:'Courses'!$D$20000,"&gt;=1000",Courses!$D$1:'Courses'!$D$20000,"&lt;2000",Courses!$E$1:'Courses'!$E$20000,2021,Courses!$I$1:'Courses'!$I$20000,"&gt;=30",Courses!$I$1:'Courses'!$I$20000,"&lt;40",Courses!$L$1:'Courses'!$L$20000,0)</f>
        <v>2</v>
      </c>
      <c r="F38">
        <f>COUNTIFS(Courses!$B$1:'Courses'!$B$20000,"PhysEd",Courses!$D$1:'Courses'!$D$20000,"&gt;=1000",Courses!$D$1:'Courses'!$D$20000,"&lt;2000",Courses!$E$1:'Courses'!$E$20000,2021,Courses!$I$1:'Courses'!$I$20000,"&gt;=40",Courses!$I$1:'Courses'!$I$20000,"&lt;50",Courses!$L$1:'Courses'!$L$20000,0)</f>
        <v>0</v>
      </c>
      <c r="G38">
        <f>COUNTIFS(Courses!$B$1:'Courses'!$B$20000,"PhysEd",Courses!$D$1:'Courses'!$D$20000,"&gt;=1000",Courses!$D$1:'Courses'!$D$20000,"&lt;2000",Courses!$E$1:'Courses'!$E$20000,2021,Courses!$I$1:'Courses'!$I$20000,"&gt;=50",Courses!$I$1:'Courses'!$I$20000,"&lt;100",Courses!$L$1:'Courses'!$L$20000,0)</f>
        <v>0</v>
      </c>
      <c r="H38">
        <f>COUNTIFS(Courses!$B$1:'Courses'!$B$20000,"PhysEd",Courses!$D$1:'Courses'!$D$20000,"&gt;=1000",Courses!$D$1:'Courses'!$D$20000,"&lt;2000",Courses!$E$1:'Courses'!$E$20000,2021,Courses!$I$1:'Courses'!$I$20000,"&gt;=100",Courses!$L$1:'Courses'!$L$20000,0)</f>
        <v>0</v>
      </c>
      <c r="I38">
        <f t="shared" si="0"/>
        <v>77</v>
      </c>
      <c r="J38" s="3">
        <f t="shared" si="1"/>
        <v>64.900000000000006</v>
      </c>
      <c r="K38" s="3">
        <f t="shared" si="2"/>
        <v>0</v>
      </c>
    </row>
    <row r="39" spans="1:11" x14ac:dyDescent="0.2">
      <c r="A39" t="s">
        <v>2134</v>
      </c>
      <c r="B39">
        <f>COUNTIFS(Courses!$B$1:'Courses'!$B$20000,"SocSci",Courses!$D$1:'Courses'!$D$20000,"&gt;=1000",Courses!$D$1:'Courses'!$D$20000,"&lt;2000",Courses!$E$1:'Courses'!$E$20000,2021,Courses!$I$1:'Courses'!$I$20000,"&gt;=2",Courses!$I$1:'Courses'!$I$20000,"&lt;10",Courses!$L$1:'Courses'!$L$20000,0)</f>
        <v>0</v>
      </c>
      <c r="C39">
        <f>COUNTIFS(Courses!$B$1:'Courses'!$B$20000,"SocSci",Courses!$D$1:'Courses'!$D$20000,"&gt;=1000",Courses!$D$1:'Courses'!$D$20000,"&lt;2000",Courses!$E$1:'Courses'!$E$20000,2021,Courses!$I$1:'Courses'!$I$20000,"&gt;=10",Courses!$I$1:'Courses'!$I$20000,"&lt;20",Courses!$L$1:'Courses'!$L$20000,0)</f>
        <v>0</v>
      </c>
      <c r="D39">
        <f>COUNTIFS(Courses!$B$1:'Courses'!$B$20000,"SocSci",Courses!$D$1:'Courses'!$D$20000,"&gt;=1000",Courses!$D$1:'Courses'!$D$20000,"&lt;2000",Courses!$E$1:'Courses'!$E$20000,2021,Courses!$I$1:'Courses'!$I$20000,"&gt;=20",Courses!$I$1:'Courses'!$I$20000,"&lt;30",Courses!$L$1:'Courses'!$L$20000,0)</f>
        <v>3</v>
      </c>
      <c r="E39">
        <f>COUNTIFS(Courses!$B$1:'Courses'!$B$20000,"SocSci",Courses!$D$1:'Courses'!$D$20000,"&gt;=1000",Courses!$D$1:'Courses'!$D$20000,"&lt;2000",Courses!$E$1:'Courses'!$E$20000,2021,Courses!$I$1:'Courses'!$I$20000,"&gt;=30",Courses!$I$1:'Courses'!$I$20000,"&lt;40",Courses!$L$1:'Courses'!$L$20000,0)</f>
        <v>2</v>
      </c>
      <c r="F39">
        <f>COUNTIFS(Courses!$B$1:'Courses'!$B$20000,"SocSci",Courses!$D$1:'Courses'!$D$20000,"&gt;=1000",Courses!$D$1:'Courses'!$D$20000,"&lt;2000",Courses!$E$1:'Courses'!$E$20000,2021,Courses!$I$1:'Courses'!$I$20000,"&gt;=40",Courses!$I$1:'Courses'!$I$20000,"&lt;50",Courses!$L$1:'Courses'!$L$20000,0)</f>
        <v>2</v>
      </c>
      <c r="G39">
        <f>COUNTIFS(Courses!$B$1:'Courses'!$B$20000,"SocSci",Courses!$D$1:'Courses'!$D$20000,"&gt;=1000",Courses!$D$1:'Courses'!$D$20000,"&lt;2000",Courses!$E$1:'Courses'!$E$20000,2021,Courses!$I$1:'Courses'!$I$20000,"&gt;=50",Courses!$I$1:'Courses'!$I$20000,"&lt;100",Courses!$L$1:'Courses'!$L$20000,0)</f>
        <v>8</v>
      </c>
      <c r="H39">
        <f>COUNTIFS(Courses!$B$1:'Courses'!$B$20000,"SocSci",Courses!$D$1:'Courses'!$D$20000,"&gt;=1000",Courses!$D$1:'Courses'!$D$20000,"&lt;2000",Courses!$E$1:'Courses'!$E$20000,2021,Courses!$I$1:'Courses'!$I$20000,"&gt;=100",Courses!$L$1:'Courses'!$L$20000,0)</f>
        <v>8</v>
      </c>
      <c r="I39">
        <f t="shared" si="0"/>
        <v>23</v>
      </c>
      <c r="J39" s="3">
        <f t="shared" si="1"/>
        <v>0</v>
      </c>
      <c r="K39" s="3">
        <f t="shared" si="2"/>
        <v>69.565217391304344</v>
      </c>
    </row>
    <row r="40" spans="1:11" x14ac:dyDescent="0.2">
      <c r="A40" t="s">
        <v>2135</v>
      </c>
      <c r="B40">
        <f>COUNTIFS(Courses!$B$1:'Courses'!$B$20000,"SocSci",Courses!$D$1:'Courses'!$D$20000,"&gt;=2000",Courses!$D$1:'Courses'!$D$20000,"&lt;3000",Courses!$E$1:'Courses'!$E$20000,2021,Courses!$I$1:'Courses'!$I$20000,"&gt;=2",Courses!$I$1:'Courses'!$I$20000,"&lt;10",Courses!$L$1:'Courses'!$L$20000,0)</f>
        <v>0</v>
      </c>
      <c r="C40">
        <f>COUNTIFS(Courses!$B$1:'Courses'!$B$20000,"SocSci",Courses!$D$1:'Courses'!$D$20000,"&gt;=2000",Courses!$D$1:'Courses'!$D$20000,"&lt;3000",Courses!$E$1:'Courses'!$E$20000,2021,Courses!$I$1:'Courses'!$I$20000,"&gt;=10",Courses!$I$1:'Courses'!$I$20000,"&lt;20",Courses!$L$1:'Courses'!$L$20000,0)</f>
        <v>1</v>
      </c>
      <c r="D40">
        <f>COUNTIFS(Courses!$B$1:'Courses'!$B$20000,"SocSci",Courses!$D$1:'Courses'!$D$20000,"&gt;=2000",Courses!$D$1:'Courses'!$D$20000,"&lt;3000",Courses!$E$1:'Courses'!$E$20000,2021,Courses!$I$1:'Courses'!$I$20000,"&gt;=20",Courses!$I$1:'Courses'!$I$20000,"&lt;30",Courses!$L$1:'Courses'!$L$20000,0)</f>
        <v>5</v>
      </c>
      <c r="E40">
        <f>COUNTIFS(Courses!$B$1:'Courses'!$B$20000,"SocSci",Courses!$D$1:'Courses'!$D$20000,"&gt;=2000",Courses!$D$1:'Courses'!$D$20000,"&lt;3000",Courses!$E$1:'Courses'!$E$20000,2021,Courses!$I$1:'Courses'!$I$20000,"&gt;=30",Courses!$I$1:'Courses'!$I$20000,"&lt;40",Courses!$L$1:'Courses'!$L$20000,0)</f>
        <v>4</v>
      </c>
      <c r="F40">
        <f>COUNTIFS(Courses!$B$1:'Courses'!$B$20000,"SocSci",Courses!$D$1:'Courses'!$D$20000,"&gt;=2000",Courses!$D$1:'Courses'!$D$20000,"&lt;3000",Courses!$E$1:'Courses'!$E$20000,2021,Courses!$I$1:'Courses'!$I$20000,"&gt;=40",Courses!$I$1:'Courses'!$I$20000,"&lt;50",Courses!$L$1:'Courses'!$L$20000,0)</f>
        <v>2</v>
      </c>
      <c r="G40">
        <f>COUNTIFS(Courses!$B$1:'Courses'!$B$20000,"SocSci",Courses!$D$1:'Courses'!$D$20000,"&gt;=2000",Courses!$D$1:'Courses'!$D$20000,"&lt;3000",Courses!$E$1:'Courses'!$E$20000,2021,Courses!$I$1:'Courses'!$I$20000,"&gt;=50",Courses!$I$1:'Courses'!$I$20000,"&lt;100",Courses!$L$1:'Courses'!$L$20000,0)</f>
        <v>6</v>
      </c>
      <c r="H40">
        <f>COUNTIFS(Courses!$B$1:'Courses'!$B$20000,"SocSci",Courses!$D$1:'Courses'!$D$20000,"&gt;=2000",Courses!$D$1:'Courses'!$D$20000,"&lt;3000",Courses!$E$1:'Courses'!$E$20000,2021,Courses!$I$1:'Courses'!$I$20000,"&gt;=100",Courses!$L$1:'Courses'!$L$20000,0)</f>
        <v>4</v>
      </c>
      <c r="I40">
        <f t="shared" si="0"/>
        <v>22</v>
      </c>
      <c r="J40" s="3">
        <f t="shared" si="1"/>
        <v>4.5</v>
      </c>
      <c r="K40" s="3">
        <f t="shared" si="2"/>
        <v>45.454545454545453</v>
      </c>
    </row>
    <row r="41" spans="1:11" x14ac:dyDescent="0.2">
      <c r="A41" t="s">
        <v>2136</v>
      </c>
      <c r="B41">
        <f>COUNTIFS(Courses!$B$1:'Courses'!$B$20000,"SocSci",Courses!$D$1:'Courses'!$D$20000,"&gt;=3000",Courses!$D$1:'Courses'!$D$20000,"&lt;4000",Courses!$E$1:'Courses'!$E$20000,2021,Courses!$I$1:'Courses'!$I$20000,"&gt;=2",Courses!$I$1:'Courses'!$I$20000,"&lt;10",Courses!$L$1:'Courses'!$L$20000,0)</f>
        <v>29</v>
      </c>
      <c r="C41">
        <f>COUNTIFS(Courses!$B$1:'Courses'!$B$20000,"SocSci",Courses!$D$1:'Courses'!$D$20000,"&gt;=3000",Courses!$D$1:'Courses'!$D$20000,"&lt;4000",Courses!$E$1:'Courses'!$E$20000,2021,Courses!$I$1:'Courses'!$I$20000,"&gt;=10",Courses!$I$1:'Courses'!$I$20000,"&lt;20",Courses!$L$1:'Courses'!$L$20000,0)</f>
        <v>58</v>
      </c>
      <c r="D41">
        <f>COUNTIFS(Courses!$B$1:'Courses'!$B$20000,"SocSci",Courses!$D$1:'Courses'!$D$20000,"&gt;=3000",Courses!$D$1:'Courses'!$D$20000,"&lt;4000",Courses!$E$1:'Courses'!$E$20000,2021,Courses!$I$1:'Courses'!$I$20000,"&gt;=20",Courses!$I$1:'Courses'!$I$20000,"&lt;30",Courses!$L$1:'Courses'!$L$20000,0)</f>
        <v>14</v>
      </c>
      <c r="E41">
        <f>COUNTIFS(Courses!$B$1:'Courses'!$B$20000,"SocSci",Courses!$D$1:'Courses'!$D$20000,"&gt;=3000",Courses!$D$1:'Courses'!$D$20000,"&lt;4000",Courses!$E$1:'Courses'!$E$20000,2021,Courses!$I$1:'Courses'!$I$20000,"&gt;=30",Courses!$I$1:'Courses'!$I$20000,"&lt;40",Courses!$L$1:'Courses'!$L$20000,0)</f>
        <v>10</v>
      </c>
      <c r="F41">
        <f>COUNTIFS(Courses!$B$1:'Courses'!$B$20000,"SocSci",Courses!$D$1:'Courses'!$D$20000,"&gt;=3000",Courses!$D$1:'Courses'!$D$20000,"&lt;4000",Courses!$E$1:'Courses'!$E$20000,2021,Courses!$I$1:'Courses'!$I$20000,"&gt;=40",Courses!$I$1:'Courses'!$I$20000,"&lt;50",Courses!$L$1:'Courses'!$L$20000,0)</f>
        <v>3</v>
      </c>
      <c r="G41">
        <f>COUNTIFS(Courses!$B$1:'Courses'!$B$20000,"SocSci",Courses!$D$1:'Courses'!$D$20000,"&gt;=3000",Courses!$D$1:'Courses'!$D$20000,"&lt;4000",Courses!$E$1:'Courses'!$E$20000,2021,Courses!$I$1:'Courses'!$I$20000,"&gt;=50",Courses!$I$1:'Courses'!$I$20000,"&lt;100",Courses!$L$1:'Courses'!$L$20000,0)</f>
        <v>20</v>
      </c>
      <c r="H41">
        <f>COUNTIFS(Courses!$B$1:'Courses'!$B$20000,"SocSci",Courses!$D$1:'Courses'!$D$20000,"&gt;=3000",Courses!$D$1:'Courses'!$D$20000,"&lt;4000",Courses!$E$1:'Courses'!$E$20000,2021,Courses!$I$1:'Courses'!$I$20000,"&gt;=100",Courses!$L$1:'Courses'!$L$20000,0)</f>
        <v>6</v>
      </c>
      <c r="I41">
        <f t="shared" si="0"/>
        <v>140</v>
      </c>
      <c r="J41" s="3">
        <f t="shared" si="1"/>
        <v>62.1</v>
      </c>
      <c r="K41" s="3">
        <f t="shared" si="2"/>
        <v>18.571428571428573</v>
      </c>
    </row>
    <row r="42" spans="1:11" x14ac:dyDescent="0.2">
      <c r="A42" t="s">
        <v>2137</v>
      </c>
      <c r="B42">
        <f>COUNTIFS(Courses!$B$1:'Courses'!$B$20000,"SocSci",Courses!$D$1:'Courses'!$D$20000,"&gt;=4000",Courses!$D$1:'Courses'!$D$20000,"&lt;5000",Courses!$E$1:'Courses'!$E$20000,2021,Courses!$I$1:'Courses'!$I$20000,"&gt;=2",Courses!$I$1:'Courses'!$I$20000,"&lt;10",Courses!$L$1:'Courses'!$L$20000,0)</f>
        <v>22</v>
      </c>
      <c r="C42">
        <f>COUNTIFS(Courses!$B$1:'Courses'!$B$20000,"SocSci",Courses!$D$1:'Courses'!$D$20000,"&gt;=4000",Courses!$D$1:'Courses'!$D$20000,"&lt;5000",Courses!$E$1:'Courses'!$E$20000,2021,Courses!$I$1:'Courses'!$I$20000,"&gt;=10",Courses!$I$1:'Courses'!$I$20000,"&lt;20",Courses!$L$1:'Courses'!$L$20000,0)</f>
        <v>52</v>
      </c>
      <c r="D42">
        <f>COUNTIFS(Courses!$B$1:'Courses'!$B$20000,"SocSci",Courses!$D$1:'Courses'!$D$20000,"&gt;=4000",Courses!$D$1:'Courses'!$D$20000,"&lt;5000",Courses!$E$1:'Courses'!$E$20000,2021,Courses!$I$1:'Courses'!$I$20000,"&gt;=20",Courses!$I$1:'Courses'!$I$20000,"&lt;30",Courses!$L$1:'Courses'!$L$20000,0)</f>
        <v>8</v>
      </c>
      <c r="E42">
        <f>COUNTIFS(Courses!$B$1:'Courses'!$B$20000,"SocSci",Courses!$D$1:'Courses'!$D$20000,"&gt;=4000",Courses!$D$1:'Courses'!$D$20000,"&lt;5000",Courses!$E$1:'Courses'!$E$20000,2021,Courses!$I$1:'Courses'!$I$20000,"&gt;=30",Courses!$I$1:'Courses'!$I$20000,"&lt;40",Courses!$L$1:'Courses'!$L$20000,0)</f>
        <v>7</v>
      </c>
      <c r="F42">
        <f>COUNTIFS(Courses!$B$1:'Courses'!$B$20000,"SocSci",Courses!$D$1:'Courses'!$D$20000,"&gt;=4000",Courses!$D$1:'Courses'!$D$20000,"&lt;5000",Courses!$E$1:'Courses'!$E$20000,2021,Courses!$I$1:'Courses'!$I$20000,"&gt;=40",Courses!$I$1:'Courses'!$I$20000,"&lt;50",Courses!$L$1:'Courses'!$L$20000,0)</f>
        <v>3</v>
      </c>
      <c r="G42">
        <f>COUNTIFS(Courses!$B$1:'Courses'!$B$20000,"SocSci",Courses!$D$1:'Courses'!$D$20000,"&gt;=4000",Courses!$D$1:'Courses'!$D$20000,"&lt;5000",Courses!$E$1:'Courses'!$E$20000,2021,Courses!$I$1:'Courses'!$I$20000,"&gt;=50",Courses!$I$1:'Courses'!$I$20000,"&lt;100",Courses!$L$1:'Courses'!$L$20000,0)</f>
        <v>5</v>
      </c>
      <c r="H42">
        <f>COUNTIFS(Courses!$B$1:'Courses'!$B$20000,"SocSci",Courses!$D$1:'Courses'!$D$20000,"&gt;=4000",Courses!$D$1:'Courses'!$D$20000,"&lt;5000",Courses!$E$1:'Courses'!$E$20000,2021,Courses!$I$1:'Courses'!$I$20000,"&gt;=100",Courses!$L$1:'Courses'!$L$20000,0)</f>
        <v>0</v>
      </c>
      <c r="I42">
        <f t="shared" si="0"/>
        <v>97</v>
      </c>
      <c r="J42" s="3">
        <f t="shared" si="1"/>
        <v>76.3</v>
      </c>
      <c r="K42" s="3">
        <f t="shared" si="2"/>
        <v>5.1546391752577323</v>
      </c>
    </row>
    <row r="43" spans="1:11" x14ac:dyDescent="0.2">
      <c r="A43" t="s">
        <v>2138</v>
      </c>
      <c r="B43">
        <f>COUNTIFS(Courses!$B$1:'Courses'!$B$20000,"SocSci",Courses!$D$1:'Courses'!$D$20000,"&gt;=5000",Courses!$D$1:'Courses'!$D$20000,"&lt;6000",Courses!$E$1:'Courses'!$E$20000,2021,Courses!$I$1:'Courses'!$I$20000,"&gt;=2",Courses!$I$1:'Courses'!$I$20000,"&lt;10",Courses!$L$1:'Courses'!$L$20000,0)</f>
        <v>7</v>
      </c>
      <c r="C43">
        <f>COUNTIFS(Courses!$B$1:'Courses'!$B$20000,"SocSci",Courses!$D$1:'Courses'!$D$20000,"&gt;=5000",Courses!$D$1:'Courses'!$D$20000,"&lt;6000",Courses!$E$1:'Courses'!$E$20000,2021,Courses!$I$1:'Courses'!$I$20000,"&gt;=10",Courses!$I$1:'Courses'!$I$20000,"&lt;20",Courses!$L$1:'Courses'!$L$20000,0)</f>
        <v>4</v>
      </c>
      <c r="D43">
        <f>COUNTIFS(Courses!$B$1:'Courses'!$B$20000,"SocSci",Courses!$D$1:'Courses'!$D$20000,"&gt;=5000",Courses!$D$1:'Courses'!$D$20000,"&lt;6000",Courses!$E$1:'Courses'!$E$20000,2021,Courses!$I$1:'Courses'!$I$20000,"&gt;=20",Courses!$I$1:'Courses'!$I$20000,"&lt;30",Courses!$L$1:'Courses'!$L$20000,0)</f>
        <v>6</v>
      </c>
      <c r="E43">
        <f>COUNTIFS(Courses!$B$1:'Courses'!$B$20000,"SocSci",Courses!$D$1:'Courses'!$D$20000,"&gt;=5000",Courses!$D$1:'Courses'!$D$20000,"&lt;6000",Courses!$E$1:'Courses'!$E$20000,2021,Courses!$I$1:'Courses'!$I$20000,"&gt;=30",Courses!$I$1:'Courses'!$I$20000,"&lt;40",Courses!$L$1:'Courses'!$L$20000,0)</f>
        <v>1</v>
      </c>
      <c r="F43">
        <f>COUNTIFS(Courses!$B$1:'Courses'!$B$20000,"SocSci",Courses!$D$1:'Courses'!$D$20000,"&gt;=5000",Courses!$D$1:'Courses'!$D$20000,"&lt;6000",Courses!$E$1:'Courses'!$E$20000,2021,Courses!$I$1:'Courses'!$I$20000,"&gt;=40",Courses!$I$1:'Courses'!$I$20000,"&lt;50",Courses!$L$1:'Courses'!$L$20000,0)</f>
        <v>2</v>
      </c>
      <c r="G43">
        <f>COUNTIFS(Courses!$B$1:'Courses'!$B$20000,"SocSci",Courses!$D$1:'Courses'!$D$20000,"&gt;=5000",Courses!$D$1:'Courses'!$D$20000,"&lt;6000",Courses!$E$1:'Courses'!$E$20000,2021,Courses!$I$1:'Courses'!$I$20000,"&gt;=50",Courses!$I$1:'Courses'!$I$20000,"&lt;100",Courses!$L$1:'Courses'!$L$20000,0)</f>
        <v>3</v>
      </c>
      <c r="H43">
        <f>COUNTIFS(Courses!$B$1:'Courses'!$B$20000,"SocSci",Courses!$D$1:'Courses'!$D$20000,"&gt;=5000",Courses!$D$1:'Courses'!$D$20000,"&lt;6000",Courses!$E$1:'Courses'!$E$20000,2021,Courses!$I$1:'Courses'!$I$20000,"&gt;=100",Courses!$L$1:'Courses'!$L$20000,0)</f>
        <v>2</v>
      </c>
      <c r="I43">
        <f t="shared" si="0"/>
        <v>25</v>
      </c>
      <c r="J43" s="3">
        <f t="shared" si="1"/>
        <v>44</v>
      </c>
      <c r="K43" s="3">
        <f t="shared" si="2"/>
        <v>20</v>
      </c>
    </row>
    <row r="44" spans="1:11" x14ac:dyDescent="0.2">
      <c r="A44" t="s">
        <v>2139</v>
      </c>
      <c r="B44">
        <f>COUNTIFS(Courses!$B$1:'Courses'!$B$20000,"SocSci",Courses!$D$1:'Courses'!$D$20000,"&gt;=6000",Courses!$D$1:'Courses'!$D$20000,"&lt;7000",Courses!$E$1:'Courses'!$E$20000,2021,Courses!$I$1:'Courses'!$I$20000,"&gt;=2",Courses!$I$1:'Courses'!$I$20000,"&lt;10",Courses!$L$1:'Courses'!$L$20000,0)</f>
        <v>14</v>
      </c>
      <c r="C44">
        <f>COUNTIFS(Courses!$B$1:'Courses'!$B$20000,"SocSci",Courses!$D$1:'Courses'!$D$20000,"&gt;=6000",Courses!$D$1:'Courses'!$D$20000,"&lt;7000",Courses!$E$1:'Courses'!$E$20000,2021,Courses!$I$1:'Courses'!$I$20000,"&gt;=10",Courses!$I$1:'Courses'!$I$20000,"&lt;20",Courses!$L$1:'Courses'!$L$20000,0)</f>
        <v>18</v>
      </c>
      <c r="D44">
        <f>COUNTIFS(Courses!$B$1:'Courses'!$B$20000,"SocSci",Courses!$D$1:'Courses'!$D$20000,"&gt;=6000",Courses!$D$1:'Courses'!$D$20000,"&lt;7000",Courses!$E$1:'Courses'!$E$20000,2021,Courses!$I$1:'Courses'!$I$20000,"&gt;=20",Courses!$I$1:'Courses'!$I$20000,"&lt;30",Courses!$L$1:'Courses'!$L$20000,0)</f>
        <v>8</v>
      </c>
      <c r="E44">
        <f>COUNTIFS(Courses!$B$1:'Courses'!$B$20000,"SocSci",Courses!$D$1:'Courses'!$D$20000,"&gt;=6000",Courses!$D$1:'Courses'!$D$20000,"&lt;7000",Courses!$E$1:'Courses'!$E$20000,2021,Courses!$I$1:'Courses'!$I$20000,"&gt;=30",Courses!$I$1:'Courses'!$I$20000,"&lt;40",Courses!$L$1:'Courses'!$L$20000,0)</f>
        <v>0</v>
      </c>
      <c r="F44">
        <f>COUNTIFS(Courses!$B$1:'Courses'!$B$20000,"SocSci",Courses!$D$1:'Courses'!$D$20000,"&gt;=6000",Courses!$D$1:'Courses'!$D$20000,"&lt;7000",Courses!$E$1:'Courses'!$E$20000,2021,Courses!$I$1:'Courses'!$I$20000,"&gt;=40",Courses!$I$1:'Courses'!$I$20000,"&lt;50",Courses!$L$1:'Courses'!$L$20000,0)</f>
        <v>0</v>
      </c>
      <c r="G44">
        <f>COUNTIFS(Courses!$B$1:'Courses'!$B$20000,"SocSci",Courses!$D$1:'Courses'!$D$20000,"&gt;=6000",Courses!$D$1:'Courses'!$D$20000,"&lt;7000",Courses!$E$1:'Courses'!$E$20000,2021,Courses!$I$1:'Courses'!$I$20000,"&gt;=50",Courses!$I$1:'Courses'!$I$20000,"&lt;100",Courses!$L$1:'Courses'!$L$20000,0)</f>
        <v>0</v>
      </c>
      <c r="H44">
        <f>COUNTIFS(Courses!$B$1:'Courses'!$B$20000,"SocSci",Courses!$D$1:'Courses'!$D$20000,"&gt;=6000",Courses!$D$1:'Courses'!$D$20000,"&lt;7000",Courses!$E$1:'Courses'!$E$20000,2021,Courses!$I$1:'Courses'!$I$20000,"&gt;=100",Courses!$L$1:'Courses'!$L$20000,0)</f>
        <v>0</v>
      </c>
      <c r="I44">
        <f t="shared" si="0"/>
        <v>40</v>
      </c>
      <c r="J44" s="3">
        <f t="shared" si="1"/>
        <v>80</v>
      </c>
      <c r="K44" s="3">
        <f t="shared" si="2"/>
        <v>0</v>
      </c>
    </row>
    <row r="45" spans="1:11" x14ac:dyDescent="0.2">
      <c r="A45" t="s">
        <v>2140</v>
      </c>
      <c r="B45">
        <f>COUNTIFS(Courses!$B$1:'Courses'!$B$20000,"SocSci",Courses!$D$1:'Courses'!$D$20000,"&gt;=8000",Courses!$D$1:'Courses'!$D$20000,"&lt;9000",Courses!$E$1:'Courses'!$E$20000,2021,Courses!$I$1:'Courses'!$I$20000,"&gt;=2",Courses!$I$1:'Courses'!$I$20000,"&lt;10",Courses!$L$1:'Courses'!$L$20000,0)</f>
        <v>13</v>
      </c>
      <c r="C45">
        <f>COUNTIFS(Courses!$B$1:'Courses'!$B$20000,"SocSci",Courses!$D$1:'Courses'!$D$20000,"&gt;=8000",Courses!$D$1:'Courses'!$D$20000,"&lt;9000",Courses!$E$1:'Courses'!$E$20000,2021,Courses!$I$1:'Courses'!$I$20000,"&gt;=10",Courses!$I$1:'Courses'!$I$20000,"&lt;20",Courses!$L$1:'Courses'!$L$20000,0)</f>
        <v>14</v>
      </c>
      <c r="D45">
        <f>COUNTIFS(Courses!$B$1:'Courses'!$B$20000,"SocSci",Courses!$D$1:'Courses'!$D$20000,"&gt;=8000",Courses!$D$1:'Courses'!$D$20000,"&lt;9000",Courses!$E$1:'Courses'!$E$20000,2021,Courses!$I$1:'Courses'!$I$20000,"&gt;=20",Courses!$I$1:'Courses'!$I$20000,"&lt;30",Courses!$L$1:'Courses'!$L$20000,0)</f>
        <v>5</v>
      </c>
      <c r="E45">
        <f>COUNTIFS(Courses!$B$1:'Courses'!$B$20000,"SocSci",Courses!$D$1:'Courses'!$D$20000,"&gt;=8000",Courses!$D$1:'Courses'!$D$20000,"&lt;9000",Courses!$E$1:'Courses'!$E$20000,2021,Courses!$I$1:'Courses'!$I$20000,"&gt;=30",Courses!$I$1:'Courses'!$I$20000,"&lt;40",Courses!$L$1:'Courses'!$L$20000,0)</f>
        <v>0</v>
      </c>
      <c r="F45">
        <f>COUNTIFS(Courses!$B$1:'Courses'!$B$20000,"SocSci",Courses!$D$1:'Courses'!$D$20000,"&gt;=8000",Courses!$D$1:'Courses'!$D$20000,"&lt;9000",Courses!$E$1:'Courses'!$E$20000,2021,Courses!$I$1:'Courses'!$I$20000,"&gt;=40",Courses!$I$1:'Courses'!$I$20000,"&lt;50",Courses!$L$1:'Courses'!$L$20000,0)</f>
        <v>0</v>
      </c>
      <c r="G45">
        <f>COUNTIFS(Courses!$B$1:'Courses'!$B$20000,"SocSci",Courses!$D$1:'Courses'!$D$20000,"&gt;=8000",Courses!$D$1:'Courses'!$D$20000,"&lt;9000",Courses!$E$1:'Courses'!$E$20000,2021,Courses!$I$1:'Courses'!$I$20000,"&gt;=50",Courses!$I$1:'Courses'!$I$20000,"&lt;100",Courses!$L$1:'Courses'!$L$20000,0)</f>
        <v>0</v>
      </c>
      <c r="H45">
        <f>COUNTIFS(Courses!$B$1:'Courses'!$B$20000,"SocSci",Courses!$D$1:'Courses'!$D$20000,"&gt;=8000",Courses!$D$1:'Courses'!$D$20000,"&lt;9000",Courses!$E$1:'Courses'!$E$20000,2021,Courses!$I$1:'Courses'!$I$20000,"&gt;=100",Courses!$L$1:'Courses'!$L$20000,0)</f>
        <v>0</v>
      </c>
      <c r="I45">
        <f t="shared" si="0"/>
        <v>32</v>
      </c>
      <c r="J45" s="3">
        <f t="shared" si="1"/>
        <v>84.4</v>
      </c>
      <c r="K45" s="3">
        <f t="shared" si="2"/>
        <v>0</v>
      </c>
    </row>
    <row r="46" spans="1:11" x14ac:dyDescent="0.2">
      <c r="A46" t="s">
        <v>2141</v>
      </c>
      <c r="B46">
        <f>COUNTIFS(Courses!$B$1:'Courses'!$B$20000,"SocSci",Courses!$D$1:'Courses'!$D$20000,"&gt;=1000",Courses!$D$1:'Courses'!$D$20000,"&lt;9000",Courses!$E$1:'Courses'!$E$20000,2021,Courses!$I$1:'Courses'!$I$20000,"&gt;=2",Courses!$I$1:'Courses'!$I$20000,"&lt;10",Courses!$L$1:'Courses'!$L$20000,0)</f>
        <v>85</v>
      </c>
      <c r="C46">
        <f>COUNTIFS(Courses!$B$1:'Courses'!$B$20000,"SocSci",Courses!$D$1:'Courses'!$D$20000,"&gt;=1000",Courses!$D$1:'Courses'!$D$20000,"&lt;9000",Courses!$E$1:'Courses'!$E$20000,2021,Courses!$I$1:'Courses'!$I$20000,"&gt;=10",Courses!$I$1:'Courses'!$I$20000,"&lt;20",Courses!$L$1:'Courses'!$L$20000,0)</f>
        <v>147</v>
      </c>
      <c r="D46">
        <f>COUNTIFS(Courses!$B$1:'Courses'!$B$20000,"SocSci",Courses!$D$1:'Courses'!$D$20000,"&gt;=1000",Courses!$D$1:'Courses'!$D$20000,"&lt;9000",Courses!$E$1:'Courses'!$E$20000,2021,Courses!$I$1:'Courses'!$I$20000,"&gt;=20",Courses!$I$1:'Courses'!$I$20000,"&lt;30",Courses!$L$1:'Courses'!$L$20000,0)</f>
        <v>49</v>
      </c>
      <c r="E46">
        <f>COUNTIFS(Courses!$B$1:'Courses'!$B$20000,"SocSci",Courses!$D$1:'Courses'!$D$20000,"&gt;=1000",Courses!$D$1:'Courses'!$D$20000,"&lt;9000",Courses!$E$1:'Courses'!$E$20000,2021,Courses!$I$1:'Courses'!$I$20000,"&gt;=30",Courses!$I$1:'Courses'!$I$20000,"&lt;40",Courses!$L$1:'Courses'!$L$20000,0)</f>
        <v>24</v>
      </c>
      <c r="F46">
        <f>COUNTIFS(Courses!$B$1:'Courses'!$B$20000,"SocSci",Courses!$D$1:'Courses'!$D$20000,"&gt;=1000",Courses!$D$1:'Courses'!$D$20000,"&lt;9000",Courses!$E$1:'Courses'!$E$20000,2021,Courses!$I$1:'Courses'!$I$20000,"&gt;=40",Courses!$I$1:'Courses'!$I$20000,"&lt;50",Courses!$L$1:'Courses'!$L$20000,0)</f>
        <v>12</v>
      </c>
      <c r="G46">
        <f>COUNTIFS(Courses!$B$1:'Courses'!$B$20000,"SocSci",Courses!$D$1:'Courses'!$D$20000,"&gt;=1000",Courses!$D$1:'Courses'!$D$20000,"&lt;9000",Courses!$E$1:'Courses'!$E$20000,2021,Courses!$I$1:'Courses'!$I$20000,"&gt;=50",Courses!$I$1:'Courses'!$I$20000,"&lt;100",Courses!$L$1:'Courses'!$L$20000,0)</f>
        <v>42</v>
      </c>
      <c r="H46">
        <f>COUNTIFS(Courses!$B$1:'Courses'!$B$20000,"SocSci",Courses!$D$1:'Courses'!$D$20000,"&gt;=1000",Courses!$D$1:'Courses'!$D$20000,"&lt;9000",Courses!$E$1:'Courses'!$E$20000,2021,Courses!$I$1:'Courses'!$I$20000,"&gt;=100",Courses!$L$1:'Courses'!$L$20000,0)</f>
        <v>20</v>
      </c>
      <c r="I46">
        <f t="shared" si="0"/>
        <v>379</v>
      </c>
      <c r="J46" s="3">
        <f t="shared" si="1"/>
        <v>61.2</v>
      </c>
      <c r="K46" s="3">
        <f t="shared" si="2"/>
        <v>16.358839050131927</v>
      </c>
    </row>
    <row r="47" spans="1:11" x14ac:dyDescent="0.2">
      <c r="A47" t="s">
        <v>2142</v>
      </c>
      <c r="B47">
        <f t="shared" ref="B47:H47" si="3">B$2+B$10+B$15+B$22+B$30+B$38+B$39</f>
        <v>105</v>
      </c>
      <c r="C47">
        <f t="shared" si="3"/>
        <v>290</v>
      </c>
      <c r="D47">
        <f t="shared" si="3"/>
        <v>233</v>
      </c>
      <c r="E47">
        <f t="shared" si="3"/>
        <v>12</v>
      </c>
      <c r="F47">
        <f t="shared" si="3"/>
        <v>13</v>
      </c>
      <c r="G47">
        <f t="shared" si="3"/>
        <v>37</v>
      </c>
      <c r="H47">
        <f t="shared" si="3"/>
        <v>34</v>
      </c>
      <c r="I47">
        <f t="shared" si="0"/>
        <v>724</v>
      </c>
      <c r="J47" s="3">
        <f t="shared" si="1"/>
        <v>54.6</v>
      </c>
      <c r="K47" s="3">
        <f t="shared" si="2"/>
        <v>9.806629834254144</v>
      </c>
    </row>
    <row r="48" spans="1:11" x14ac:dyDescent="0.2">
      <c r="A48" t="s">
        <v>2143</v>
      </c>
      <c r="B48">
        <f t="shared" ref="B48:H48" si="4">B$3+B$11+B$16+B$23+B$31+B$40</f>
        <v>70</v>
      </c>
      <c r="C48">
        <f t="shared" si="4"/>
        <v>101</v>
      </c>
      <c r="D48">
        <f t="shared" si="4"/>
        <v>14</v>
      </c>
      <c r="E48">
        <f t="shared" si="4"/>
        <v>19</v>
      </c>
      <c r="F48">
        <f t="shared" si="4"/>
        <v>9</v>
      </c>
      <c r="G48">
        <f t="shared" si="4"/>
        <v>23</v>
      </c>
      <c r="H48">
        <f t="shared" si="4"/>
        <v>15</v>
      </c>
      <c r="I48">
        <f t="shared" si="0"/>
        <v>251</v>
      </c>
      <c r="J48" s="3">
        <f t="shared" si="1"/>
        <v>68.099999999999994</v>
      </c>
      <c r="K48" s="3">
        <f t="shared" si="2"/>
        <v>15.139442231075698</v>
      </c>
    </row>
    <row r="49" spans="1:11" x14ac:dyDescent="0.2">
      <c r="A49" t="s">
        <v>2144</v>
      </c>
      <c r="B49">
        <f t="shared" ref="B49:H49" si="5">B$4+B$17+B$24+B$32+B$41</f>
        <v>115</v>
      </c>
      <c r="C49">
        <f t="shared" si="5"/>
        <v>185</v>
      </c>
      <c r="D49">
        <f t="shared" si="5"/>
        <v>48</v>
      </c>
      <c r="E49">
        <f t="shared" si="5"/>
        <v>27</v>
      </c>
      <c r="F49">
        <f t="shared" si="5"/>
        <v>11</v>
      </c>
      <c r="G49">
        <f t="shared" si="5"/>
        <v>44</v>
      </c>
      <c r="H49">
        <f t="shared" si="5"/>
        <v>18</v>
      </c>
      <c r="I49">
        <f t="shared" si="0"/>
        <v>448</v>
      </c>
      <c r="J49" s="3">
        <f t="shared" si="1"/>
        <v>67</v>
      </c>
      <c r="K49" s="3">
        <f t="shared" si="2"/>
        <v>13.839285714285714</v>
      </c>
    </row>
    <row r="50" spans="1:11" x14ac:dyDescent="0.2">
      <c r="A50" t="s">
        <v>2145</v>
      </c>
      <c r="B50">
        <f t="shared" ref="B50:H50" si="6">B$5+B$18+B$25+B$33+B$42</f>
        <v>171</v>
      </c>
      <c r="C50">
        <f t="shared" si="6"/>
        <v>169</v>
      </c>
      <c r="D50">
        <f t="shared" si="6"/>
        <v>71</v>
      </c>
      <c r="E50">
        <f t="shared" si="6"/>
        <v>48</v>
      </c>
      <c r="F50">
        <f t="shared" si="6"/>
        <v>35</v>
      </c>
      <c r="G50">
        <f t="shared" si="6"/>
        <v>71</v>
      </c>
      <c r="H50">
        <f t="shared" si="6"/>
        <v>35</v>
      </c>
      <c r="I50">
        <f t="shared" si="0"/>
        <v>600</v>
      </c>
      <c r="J50" s="3">
        <f t="shared" si="1"/>
        <v>56.7</v>
      </c>
      <c r="K50" s="3">
        <f t="shared" si="2"/>
        <v>17.666666666666668</v>
      </c>
    </row>
    <row r="51" spans="1:11" x14ac:dyDescent="0.2">
      <c r="A51" t="s">
        <v>2146</v>
      </c>
      <c r="B51">
        <f t="shared" ref="B51:H51" si="7">B$47+B$48+B$49+B$50</f>
        <v>461</v>
      </c>
      <c r="C51">
        <f t="shared" si="7"/>
        <v>745</v>
      </c>
      <c r="D51">
        <f t="shared" si="7"/>
        <v>366</v>
      </c>
      <c r="E51">
        <f t="shared" si="7"/>
        <v>106</v>
      </c>
      <c r="F51">
        <f t="shared" si="7"/>
        <v>68</v>
      </c>
      <c r="G51">
        <f t="shared" si="7"/>
        <v>175</v>
      </c>
      <c r="H51">
        <f t="shared" si="7"/>
        <v>102</v>
      </c>
      <c r="I51">
        <f t="shared" si="0"/>
        <v>2023</v>
      </c>
      <c r="J51" s="3">
        <f t="shared" si="1"/>
        <v>59.6</v>
      </c>
      <c r="K51" s="3">
        <f t="shared" si="2"/>
        <v>13.692535837864558</v>
      </c>
    </row>
    <row r="52" spans="1:11" x14ac:dyDescent="0.2">
      <c r="A52" t="s">
        <v>2147</v>
      </c>
      <c r="B52">
        <f t="shared" ref="B52:H52" si="8">B$6+B$26+B$34+B$43</f>
        <v>41</v>
      </c>
      <c r="C52">
        <f t="shared" si="8"/>
        <v>35</v>
      </c>
      <c r="D52">
        <f t="shared" si="8"/>
        <v>7</v>
      </c>
      <c r="E52">
        <f t="shared" si="8"/>
        <v>3</v>
      </c>
      <c r="F52">
        <f t="shared" si="8"/>
        <v>10</v>
      </c>
      <c r="G52">
        <f t="shared" si="8"/>
        <v>4</v>
      </c>
      <c r="H52">
        <f t="shared" si="8"/>
        <v>4</v>
      </c>
      <c r="I52">
        <f t="shared" si="0"/>
        <v>104</v>
      </c>
      <c r="J52" s="3">
        <f t="shared" si="1"/>
        <v>73.099999999999994</v>
      </c>
      <c r="K52" s="3">
        <f t="shared" si="2"/>
        <v>7.6923076923076925</v>
      </c>
    </row>
    <row r="53" spans="1:11" x14ac:dyDescent="0.2">
      <c r="A53" t="s">
        <v>2148</v>
      </c>
      <c r="B53">
        <f t="shared" ref="B53:H53" si="9">B$7+B$12+B$19+B$27+B$35+B$44</f>
        <v>101</v>
      </c>
      <c r="C53">
        <f t="shared" si="9"/>
        <v>114</v>
      </c>
      <c r="D53">
        <f t="shared" si="9"/>
        <v>30</v>
      </c>
      <c r="E53">
        <f t="shared" si="9"/>
        <v>16</v>
      </c>
      <c r="F53">
        <f t="shared" si="9"/>
        <v>9</v>
      </c>
      <c r="G53">
        <f t="shared" si="9"/>
        <v>2</v>
      </c>
      <c r="H53">
        <f t="shared" si="9"/>
        <v>5</v>
      </c>
      <c r="I53">
        <f t="shared" si="0"/>
        <v>277</v>
      </c>
      <c r="J53" s="3">
        <f t="shared" si="1"/>
        <v>77.599999999999994</v>
      </c>
      <c r="K53" s="3">
        <f t="shared" si="2"/>
        <v>2.5270758122743682</v>
      </c>
    </row>
    <row r="54" spans="1:11" x14ac:dyDescent="0.2">
      <c r="A54" t="s">
        <v>2149</v>
      </c>
      <c r="B54">
        <f t="shared" ref="B54:H54" si="10">B$8+B$13+B$20+B$28+B$36+B$45</f>
        <v>52</v>
      </c>
      <c r="C54">
        <f t="shared" si="10"/>
        <v>40</v>
      </c>
      <c r="D54">
        <f t="shared" si="10"/>
        <v>8</v>
      </c>
      <c r="E54">
        <f t="shared" si="10"/>
        <v>1</v>
      </c>
      <c r="F54">
        <f t="shared" si="10"/>
        <v>0</v>
      </c>
      <c r="G54">
        <f t="shared" si="10"/>
        <v>0</v>
      </c>
      <c r="H54">
        <f t="shared" si="10"/>
        <v>0</v>
      </c>
      <c r="I54">
        <f t="shared" si="0"/>
        <v>101</v>
      </c>
      <c r="J54" s="3">
        <f t="shared" si="1"/>
        <v>91.1</v>
      </c>
      <c r="K54" s="3">
        <f t="shared" si="2"/>
        <v>0</v>
      </c>
    </row>
    <row r="55" spans="1:11" x14ac:dyDescent="0.2">
      <c r="A55" t="s">
        <v>2150</v>
      </c>
      <c r="B55">
        <f t="shared" ref="B55:H55" si="11">B$52+B$53+B$54</f>
        <v>194</v>
      </c>
      <c r="C55">
        <f t="shared" si="11"/>
        <v>189</v>
      </c>
      <c r="D55">
        <f t="shared" si="11"/>
        <v>45</v>
      </c>
      <c r="E55">
        <f t="shared" si="11"/>
        <v>20</v>
      </c>
      <c r="F55">
        <f t="shared" si="11"/>
        <v>19</v>
      </c>
      <c r="G55">
        <f t="shared" si="11"/>
        <v>6</v>
      </c>
      <c r="H55">
        <f t="shared" si="11"/>
        <v>9</v>
      </c>
      <c r="I55">
        <f t="shared" si="0"/>
        <v>482</v>
      </c>
      <c r="J55" s="3">
        <f t="shared" si="1"/>
        <v>79.5</v>
      </c>
      <c r="K55" s="3">
        <f t="shared" si="2"/>
        <v>3.1120331950207469</v>
      </c>
    </row>
    <row r="56" spans="1:11" x14ac:dyDescent="0.2">
      <c r="A56" t="s">
        <v>2151</v>
      </c>
      <c r="B56">
        <f t="shared" ref="B56:H56" si="12">B$51+B$55</f>
        <v>655</v>
      </c>
      <c r="C56">
        <f t="shared" si="12"/>
        <v>934</v>
      </c>
      <c r="D56">
        <f t="shared" si="12"/>
        <v>411</v>
      </c>
      <c r="E56">
        <f t="shared" si="12"/>
        <v>126</v>
      </c>
      <c r="F56">
        <f t="shared" si="12"/>
        <v>87</v>
      </c>
      <c r="G56">
        <f t="shared" si="12"/>
        <v>181</v>
      </c>
      <c r="H56">
        <f t="shared" si="12"/>
        <v>111</v>
      </c>
      <c r="I56">
        <f t="shared" si="0"/>
        <v>2505</v>
      </c>
      <c r="J56" s="3">
        <f t="shared" si="1"/>
        <v>63.4</v>
      </c>
      <c r="K56" s="3">
        <f t="shared" si="2"/>
        <v>11.656686626746508</v>
      </c>
    </row>
  </sheetData>
  <pageMargins left="0.7" right="0.7" top="0.75" bottom="0.75" header="0.3" footer="0.3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B075A-C98B-9A4F-817A-4CB8F924018B}">
  <dimension ref="A1:K56"/>
  <sheetViews>
    <sheetView workbookViewId="0">
      <pane ySplit="1" topLeftCell="A39" activePane="bottomLeft" state="frozen"/>
      <selection pane="bottomLeft" activeCell="J5" sqref="J5"/>
    </sheetView>
  </sheetViews>
  <sheetFormatPr baseColWidth="10" defaultRowHeight="16" x14ac:dyDescent="0.2"/>
  <sheetData>
    <row r="1" spans="1:11" x14ac:dyDescent="0.2">
      <c r="A1" t="s">
        <v>2096</v>
      </c>
      <c r="B1" s="2" t="s">
        <v>2152</v>
      </c>
      <c r="C1" s="2" t="s">
        <v>2153</v>
      </c>
      <c r="D1" s="2" t="s">
        <v>2154</v>
      </c>
      <c r="E1" s="2" t="s">
        <v>2155</v>
      </c>
      <c r="F1" s="2" t="s">
        <v>2156</v>
      </c>
      <c r="G1" s="2" t="s">
        <v>2157</v>
      </c>
      <c r="H1" s="2" t="s">
        <v>2158</v>
      </c>
      <c r="I1" t="s">
        <v>2159</v>
      </c>
      <c r="J1" s="3" t="s">
        <v>2160</v>
      </c>
      <c r="K1" s="3" t="s">
        <v>2161</v>
      </c>
    </row>
    <row r="2" spans="1:11" x14ac:dyDescent="0.2">
      <c r="A2" t="s">
        <v>2097</v>
      </c>
      <c r="B2">
        <f>'2019'!B2+'2020'!B2</f>
        <v>5</v>
      </c>
      <c r="C2">
        <f>'2019'!C2+'2020'!C2</f>
        <v>19</v>
      </c>
      <c r="D2">
        <f>'2019'!D2+'2020'!D2</f>
        <v>1</v>
      </c>
      <c r="E2">
        <f>'2019'!E2+'2020'!E2</f>
        <v>0</v>
      </c>
      <c r="F2">
        <f>'2019'!F2+'2020'!F2</f>
        <v>1</v>
      </c>
      <c r="G2">
        <f>'2019'!G2+'2020'!G2</f>
        <v>2</v>
      </c>
      <c r="H2">
        <f>'2019'!H2+'2020'!H2</f>
        <v>0</v>
      </c>
      <c r="I2">
        <f>'2019'!I2+'2020'!I2</f>
        <v>28</v>
      </c>
      <c r="J2" s="3">
        <f>100*($B2+$C2)/$I2</f>
        <v>85.714285714285708</v>
      </c>
      <c r="K2" s="3">
        <f>100*($G2+$H2)/$I2</f>
        <v>7.1428571428571432</v>
      </c>
    </row>
    <row r="3" spans="1:11" x14ac:dyDescent="0.2">
      <c r="A3" t="s">
        <v>2098</v>
      </c>
      <c r="B3">
        <f>'2019'!B3+'2020'!B3</f>
        <v>22</v>
      </c>
      <c r="C3">
        <f>'2019'!C3+'2020'!C3</f>
        <v>26</v>
      </c>
      <c r="D3">
        <f>'2019'!D3+'2020'!D3</f>
        <v>1</v>
      </c>
      <c r="E3">
        <f>'2019'!E3+'2020'!E3</f>
        <v>2</v>
      </c>
      <c r="F3">
        <f>'2019'!F3+'2020'!F3</f>
        <v>2</v>
      </c>
      <c r="G3">
        <f>'2019'!G3+'2020'!G3</f>
        <v>2</v>
      </c>
      <c r="H3">
        <f>'2019'!H3+'2020'!H3</f>
        <v>0</v>
      </c>
      <c r="I3">
        <f>'2019'!I3+'2020'!I3</f>
        <v>55</v>
      </c>
      <c r="J3" s="3">
        <f t="shared" ref="J3:J56" si="0">ROUND(100*($B3+$C3)/$I3,1)</f>
        <v>87.3</v>
      </c>
      <c r="K3" s="3">
        <f t="shared" ref="K3:K56" si="1">100*($G3+$H3)/$I3</f>
        <v>3.6363636363636362</v>
      </c>
    </row>
    <row r="4" spans="1:11" x14ac:dyDescent="0.2">
      <c r="A4" t="s">
        <v>2099</v>
      </c>
      <c r="B4">
        <f>'2019'!B4+'2020'!B4</f>
        <v>35</v>
      </c>
      <c r="C4">
        <f>'2019'!C4+'2020'!C4</f>
        <v>45</v>
      </c>
      <c r="D4">
        <f>'2019'!D4+'2020'!D4</f>
        <v>3</v>
      </c>
      <c r="E4">
        <f>'2019'!E4+'2020'!E4</f>
        <v>1</v>
      </c>
      <c r="F4">
        <f>'2019'!F4+'2020'!F4</f>
        <v>1</v>
      </c>
      <c r="G4">
        <f>'2019'!G4+'2020'!G4</f>
        <v>0</v>
      </c>
      <c r="H4">
        <f>'2019'!H4+'2020'!H4</f>
        <v>0</v>
      </c>
      <c r="I4">
        <f>'2019'!I4+'2020'!I4</f>
        <v>85</v>
      </c>
      <c r="J4" s="3">
        <f t="shared" si="0"/>
        <v>94.1</v>
      </c>
      <c r="K4" s="3">
        <f t="shared" si="1"/>
        <v>0</v>
      </c>
    </row>
    <row r="5" spans="1:11" x14ac:dyDescent="0.2">
      <c r="A5" t="s">
        <v>2100</v>
      </c>
      <c r="B5">
        <f>'2019'!B5+'2020'!B5</f>
        <v>4</v>
      </c>
      <c r="C5">
        <f>'2019'!C5+'2020'!C5</f>
        <v>7</v>
      </c>
      <c r="D5">
        <f>'2019'!D5+'2020'!D5</f>
        <v>0</v>
      </c>
      <c r="E5">
        <f>'2019'!E5+'2020'!E5</f>
        <v>0</v>
      </c>
      <c r="F5">
        <f>'2019'!F5+'2020'!F5</f>
        <v>1</v>
      </c>
      <c r="G5">
        <f>'2019'!G5+'2020'!G5</f>
        <v>1</v>
      </c>
      <c r="H5">
        <f>'2019'!H5+'2020'!H5</f>
        <v>0</v>
      </c>
      <c r="I5">
        <f>'2019'!I5+'2020'!I5</f>
        <v>13</v>
      </c>
      <c r="J5" s="3">
        <f t="shared" si="0"/>
        <v>84.6</v>
      </c>
      <c r="K5" s="3">
        <f t="shared" si="1"/>
        <v>7.6923076923076925</v>
      </c>
    </row>
    <row r="6" spans="1:11" x14ac:dyDescent="0.2">
      <c r="A6" t="s">
        <v>2101</v>
      </c>
      <c r="B6">
        <f>'2019'!B6+'2020'!B6</f>
        <v>37</v>
      </c>
      <c r="C6">
        <f>'2019'!C6+'2020'!C6</f>
        <v>63</v>
      </c>
      <c r="D6">
        <f>'2019'!D6+'2020'!D6</f>
        <v>1</v>
      </c>
      <c r="E6">
        <f>'2019'!E6+'2020'!E6</f>
        <v>0</v>
      </c>
      <c r="F6">
        <f>'2019'!F6+'2020'!F6</f>
        <v>0</v>
      </c>
      <c r="G6">
        <f>'2019'!G6+'2020'!G6</f>
        <v>3</v>
      </c>
      <c r="H6">
        <f>'2019'!H6+'2020'!H6</f>
        <v>0</v>
      </c>
      <c r="I6">
        <f>'2019'!I6+'2020'!I6</f>
        <v>104</v>
      </c>
      <c r="J6" s="3">
        <f t="shared" si="0"/>
        <v>96.2</v>
      </c>
      <c r="K6" s="3">
        <f t="shared" si="1"/>
        <v>2.8846153846153846</v>
      </c>
    </row>
    <row r="7" spans="1:11" x14ac:dyDescent="0.2">
      <c r="A7" t="s">
        <v>2102</v>
      </c>
      <c r="B7">
        <f>'2019'!B7+'2020'!B7</f>
        <v>29</v>
      </c>
      <c r="C7">
        <f>'2019'!C7+'2020'!C7</f>
        <v>107</v>
      </c>
      <c r="D7">
        <f>'2019'!D7+'2020'!D7</f>
        <v>8</v>
      </c>
      <c r="E7">
        <f>'2019'!E7+'2020'!E7</f>
        <v>6</v>
      </c>
      <c r="F7">
        <f>'2019'!F7+'2020'!F7</f>
        <v>1</v>
      </c>
      <c r="G7">
        <f>'2019'!G7+'2020'!G7</f>
        <v>0</v>
      </c>
      <c r="H7">
        <f>'2019'!H7+'2020'!H7</f>
        <v>0</v>
      </c>
      <c r="I7">
        <f>'2019'!I7+'2020'!I7</f>
        <v>151</v>
      </c>
      <c r="J7" s="3">
        <f t="shared" si="0"/>
        <v>90.1</v>
      </c>
      <c r="K7" s="3">
        <f t="shared" si="1"/>
        <v>0</v>
      </c>
    </row>
    <row r="8" spans="1:11" x14ac:dyDescent="0.2">
      <c r="A8" t="s">
        <v>2103</v>
      </c>
      <c r="B8">
        <f>'2019'!B8+'2020'!B8</f>
        <v>26</v>
      </c>
      <c r="C8">
        <f>'2019'!C8+'2020'!C8</f>
        <v>27</v>
      </c>
      <c r="D8">
        <f>'2019'!D8+'2020'!D8</f>
        <v>1</v>
      </c>
      <c r="E8">
        <f>'2019'!E8+'2020'!E8</f>
        <v>1</v>
      </c>
      <c r="F8">
        <f>'2019'!F8+'2020'!F8</f>
        <v>2</v>
      </c>
      <c r="G8">
        <f>'2019'!G8+'2020'!G8</f>
        <v>0</v>
      </c>
      <c r="H8">
        <f>'2019'!H8+'2020'!H8</f>
        <v>0</v>
      </c>
      <c r="I8">
        <f>'2019'!I8+'2020'!I8</f>
        <v>57</v>
      </c>
      <c r="J8" s="3">
        <f t="shared" si="0"/>
        <v>93</v>
      </c>
      <c r="K8" s="3">
        <f t="shared" si="1"/>
        <v>0</v>
      </c>
    </row>
    <row r="9" spans="1:11" x14ac:dyDescent="0.2">
      <c r="A9" t="s">
        <v>2104</v>
      </c>
      <c r="B9">
        <f>'2019'!B9+'2020'!B9</f>
        <v>158</v>
      </c>
      <c r="C9">
        <f>'2019'!C9+'2020'!C9</f>
        <v>294</v>
      </c>
      <c r="D9">
        <f>'2019'!D9+'2020'!D9</f>
        <v>15</v>
      </c>
      <c r="E9">
        <f>'2019'!E9+'2020'!E9</f>
        <v>10</v>
      </c>
      <c r="F9">
        <f>'2019'!F9+'2020'!F9</f>
        <v>8</v>
      </c>
      <c r="G9">
        <f>'2019'!G9+'2020'!G9</f>
        <v>8</v>
      </c>
      <c r="H9">
        <f>'2019'!H9+'2020'!H9</f>
        <v>0</v>
      </c>
      <c r="I9">
        <f>'2019'!I9+'2020'!I9</f>
        <v>493</v>
      </c>
      <c r="J9" s="3">
        <f t="shared" si="0"/>
        <v>91.7</v>
      </c>
      <c r="K9" s="3">
        <f t="shared" si="1"/>
        <v>1.6227180527383367</v>
      </c>
    </row>
    <row r="10" spans="1:11" x14ac:dyDescent="0.2">
      <c r="A10" t="s">
        <v>2105</v>
      </c>
      <c r="B10">
        <f>'2019'!B10+'2020'!B10</f>
        <v>9</v>
      </c>
      <c r="C10">
        <f>'2019'!C10+'2020'!C10</f>
        <v>238</v>
      </c>
      <c r="D10">
        <f>'2019'!D10+'2020'!D10</f>
        <v>310</v>
      </c>
      <c r="E10">
        <f>'2019'!E10+'2020'!E10</f>
        <v>0</v>
      </c>
      <c r="F10">
        <f>'2019'!F10+'2020'!F10</f>
        <v>0</v>
      </c>
      <c r="G10">
        <f>'2019'!G10+'2020'!G10</f>
        <v>0</v>
      </c>
      <c r="H10">
        <f>'2019'!H10+'2020'!H10</f>
        <v>2</v>
      </c>
      <c r="I10">
        <f>'2019'!I10+'2020'!I10</f>
        <v>559</v>
      </c>
      <c r="J10" s="3">
        <f t="shared" si="0"/>
        <v>44.2</v>
      </c>
      <c r="K10" s="3">
        <f t="shared" si="1"/>
        <v>0.35778175313059035</v>
      </c>
    </row>
    <row r="11" spans="1:11" x14ac:dyDescent="0.2">
      <c r="A11" t="s">
        <v>2106</v>
      </c>
      <c r="B11">
        <f>'2019'!B11+'2020'!B11</f>
        <v>2</v>
      </c>
      <c r="C11">
        <f>'2019'!C11+'2020'!C11</f>
        <v>0</v>
      </c>
      <c r="D11">
        <f>'2019'!D11+'2020'!D11</f>
        <v>0</v>
      </c>
      <c r="E11">
        <f>'2019'!E11+'2020'!E11</f>
        <v>0</v>
      </c>
      <c r="F11">
        <f>'2019'!F11+'2020'!F11</f>
        <v>0</v>
      </c>
      <c r="G11">
        <f>'2019'!G11+'2020'!G11</f>
        <v>0</v>
      </c>
      <c r="H11">
        <f>'2019'!H11+'2020'!H11</f>
        <v>0</v>
      </c>
      <c r="I11">
        <f>'2019'!I11+'2020'!I11</f>
        <v>2</v>
      </c>
      <c r="J11" s="3">
        <f t="shared" si="0"/>
        <v>100</v>
      </c>
      <c r="K11" s="3">
        <f t="shared" si="1"/>
        <v>0</v>
      </c>
    </row>
    <row r="12" spans="1:11" x14ac:dyDescent="0.2">
      <c r="A12" t="s">
        <v>2107</v>
      </c>
      <c r="B12">
        <f>'2019'!B12+'2020'!B12</f>
        <v>0</v>
      </c>
      <c r="C12">
        <f>'2019'!C12+'2020'!C12</f>
        <v>4</v>
      </c>
      <c r="D12">
        <f>'2019'!D12+'2020'!D12</f>
        <v>0</v>
      </c>
      <c r="E12">
        <f>'2019'!E12+'2020'!E12</f>
        <v>0</v>
      </c>
      <c r="F12">
        <f>'2019'!F12+'2020'!F12</f>
        <v>0</v>
      </c>
      <c r="G12">
        <f>'2019'!G12+'2020'!G12</f>
        <v>0</v>
      </c>
      <c r="H12">
        <f>'2019'!H12+'2020'!H12</f>
        <v>0</v>
      </c>
      <c r="I12">
        <f>'2019'!I12+'2020'!I12</f>
        <v>4</v>
      </c>
      <c r="J12" s="3">
        <f t="shared" si="0"/>
        <v>100</v>
      </c>
      <c r="K12" s="3">
        <f t="shared" si="1"/>
        <v>0</v>
      </c>
    </row>
    <row r="13" spans="1:11" x14ac:dyDescent="0.2">
      <c r="A13" t="s">
        <v>2108</v>
      </c>
      <c r="B13">
        <f>'2019'!B13+'2020'!B13</f>
        <v>0</v>
      </c>
      <c r="C13">
        <f>'2019'!C13+'2020'!C13</f>
        <v>2</v>
      </c>
      <c r="D13">
        <f>'2019'!D13+'2020'!D13</f>
        <v>0</v>
      </c>
      <c r="E13">
        <f>'2019'!E13+'2020'!E13</f>
        <v>0</v>
      </c>
      <c r="F13">
        <f>'2019'!F13+'2020'!F13</f>
        <v>0</v>
      </c>
      <c r="G13">
        <f>'2019'!G13+'2020'!G13</f>
        <v>0</v>
      </c>
      <c r="H13">
        <f>'2019'!H13+'2020'!H13</f>
        <v>0</v>
      </c>
      <c r="I13">
        <f>'2019'!I13+'2020'!I13</f>
        <v>2</v>
      </c>
      <c r="J13" s="3">
        <f t="shared" si="0"/>
        <v>100</v>
      </c>
      <c r="K13" s="3">
        <f t="shared" si="1"/>
        <v>0</v>
      </c>
    </row>
    <row r="14" spans="1:11" x14ac:dyDescent="0.2">
      <c r="A14" t="s">
        <v>2109</v>
      </c>
      <c r="B14">
        <f>'2019'!B14+'2020'!B14</f>
        <v>11</v>
      </c>
      <c r="C14">
        <f>'2019'!C14+'2020'!C14</f>
        <v>244</v>
      </c>
      <c r="D14">
        <f>'2019'!D14+'2020'!D14</f>
        <v>310</v>
      </c>
      <c r="E14">
        <f>'2019'!E14+'2020'!E14</f>
        <v>0</v>
      </c>
      <c r="F14">
        <f>'2019'!F14+'2020'!F14</f>
        <v>0</v>
      </c>
      <c r="G14">
        <f>'2019'!G14+'2020'!G14</f>
        <v>0</v>
      </c>
      <c r="H14">
        <f>'2019'!H14+'2020'!H14</f>
        <v>2</v>
      </c>
      <c r="I14">
        <f>'2019'!I14+'2020'!I14</f>
        <v>567</v>
      </c>
      <c r="J14" s="3">
        <f t="shared" si="0"/>
        <v>45</v>
      </c>
      <c r="K14" s="3">
        <f t="shared" si="1"/>
        <v>0.35273368606701938</v>
      </c>
    </row>
    <row r="15" spans="1:11" x14ac:dyDescent="0.2">
      <c r="A15" t="s">
        <v>2110</v>
      </c>
      <c r="B15">
        <f>'2019'!B15+'2020'!B15</f>
        <v>12</v>
      </c>
      <c r="C15">
        <f>'2019'!C15+'2020'!C15</f>
        <v>6</v>
      </c>
      <c r="D15">
        <f>'2019'!D15+'2020'!D15</f>
        <v>1</v>
      </c>
      <c r="E15">
        <f>'2019'!E15+'2020'!E15</f>
        <v>1</v>
      </c>
      <c r="F15">
        <f>'2019'!F15+'2020'!F15</f>
        <v>2</v>
      </c>
      <c r="G15">
        <f>'2019'!G15+'2020'!G15</f>
        <v>4</v>
      </c>
      <c r="H15">
        <f>'2019'!H15+'2020'!H15</f>
        <v>8</v>
      </c>
      <c r="I15">
        <f>'2019'!I15+'2020'!I15</f>
        <v>34</v>
      </c>
      <c r="J15" s="3">
        <f t="shared" si="0"/>
        <v>52.9</v>
      </c>
      <c r="K15" s="3">
        <f t="shared" si="1"/>
        <v>35.294117647058826</v>
      </c>
    </row>
    <row r="16" spans="1:11" x14ac:dyDescent="0.2">
      <c r="A16" t="s">
        <v>2111</v>
      </c>
      <c r="B16">
        <f>'2019'!B16+'2020'!B16</f>
        <v>0</v>
      </c>
      <c r="C16">
        <f>'2019'!C16+'2020'!C16</f>
        <v>0</v>
      </c>
      <c r="D16">
        <f>'2019'!D16+'2020'!D16</f>
        <v>1</v>
      </c>
      <c r="E16">
        <f>'2019'!E16+'2020'!E16</f>
        <v>2</v>
      </c>
      <c r="F16">
        <f>'2019'!F16+'2020'!F16</f>
        <v>2</v>
      </c>
      <c r="G16">
        <f>'2019'!G16+'2020'!G16</f>
        <v>6</v>
      </c>
      <c r="H16">
        <f>'2019'!H16+'2020'!H16</f>
        <v>2</v>
      </c>
      <c r="I16">
        <f>'2019'!I16+'2020'!I16</f>
        <v>13</v>
      </c>
      <c r="J16" s="3">
        <f t="shared" si="0"/>
        <v>0</v>
      </c>
      <c r="K16" s="3">
        <f t="shared" si="1"/>
        <v>61.53846153846154</v>
      </c>
    </row>
    <row r="17" spans="1:11" x14ac:dyDescent="0.2">
      <c r="A17" t="s">
        <v>2112</v>
      </c>
      <c r="B17">
        <f>'2019'!B17+'2020'!B17</f>
        <v>14</v>
      </c>
      <c r="C17">
        <f>'2019'!C17+'2020'!C17</f>
        <v>15</v>
      </c>
      <c r="D17">
        <f>'2019'!D17+'2020'!D17</f>
        <v>21</v>
      </c>
      <c r="E17">
        <f>'2019'!E17+'2020'!E17</f>
        <v>11</v>
      </c>
      <c r="F17">
        <f>'2019'!F17+'2020'!F17</f>
        <v>7</v>
      </c>
      <c r="G17">
        <f>'2019'!G17+'2020'!G17</f>
        <v>30</v>
      </c>
      <c r="H17">
        <f>'2019'!H17+'2020'!H17</f>
        <v>13</v>
      </c>
      <c r="I17">
        <f>'2019'!I17+'2020'!I17</f>
        <v>111</v>
      </c>
      <c r="J17" s="3">
        <f t="shared" si="0"/>
        <v>26.1</v>
      </c>
      <c r="K17" s="3">
        <f t="shared" si="1"/>
        <v>38.738738738738739</v>
      </c>
    </row>
    <row r="18" spans="1:11" x14ac:dyDescent="0.2">
      <c r="A18" t="s">
        <v>2113</v>
      </c>
      <c r="B18">
        <f>'2019'!B18+'2020'!B18</f>
        <v>116</v>
      </c>
      <c r="C18">
        <f>'2019'!C18+'2020'!C18</f>
        <v>86</v>
      </c>
      <c r="D18">
        <f>'2019'!D18+'2020'!D18</f>
        <v>79</v>
      </c>
      <c r="E18">
        <f>'2019'!E18+'2020'!E18</f>
        <v>55</v>
      </c>
      <c r="F18">
        <f>'2019'!F18+'2020'!F18</f>
        <v>38</v>
      </c>
      <c r="G18">
        <f>'2019'!G18+'2020'!G18</f>
        <v>72</v>
      </c>
      <c r="H18">
        <f>'2019'!H18+'2020'!H18</f>
        <v>44</v>
      </c>
      <c r="I18">
        <f>'2019'!I18+'2020'!I18</f>
        <v>490</v>
      </c>
      <c r="J18" s="3">
        <f t="shared" si="0"/>
        <v>41.2</v>
      </c>
      <c r="K18" s="3">
        <f t="shared" si="1"/>
        <v>23.673469387755102</v>
      </c>
    </row>
    <row r="19" spans="1:11" x14ac:dyDescent="0.2">
      <c r="A19" t="s">
        <v>2114</v>
      </c>
      <c r="B19">
        <f>'2019'!B19+'2020'!B19</f>
        <v>77</v>
      </c>
      <c r="C19">
        <f>'2019'!C19+'2020'!C19</f>
        <v>31</v>
      </c>
      <c r="D19">
        <f>'2019'!D19+'2020'!D19</f>
        <v>22</v>
      </c>
      <c r="E19">
        <f>'2019'!E19+'2020'!E19</f>
        <v>9</v>
      </c>
      <c r="F19">
        <f>'2019'!F19+'2020'!F19</f>
        <v>2</v>
      </c>
      <c r="G19">
        <f>'2019'!G19+'2020'!G19</f>
        <v>6</v>
      </c>
      <c r="H19">
        <f>'2019'!H19+'2020'!H19</f>
        <v>5</v>
      </c>
      <c r="I19">
        <f>'2019'!I19+'2020'!I19</f>
        <v>152</v>
      </c>
      <c r="J19" s="3">
        <f t="shared" si="0"/>
        <v>71.099999999999994</v>
      </c>
      <c r="K19" s="3">
        <f t="shared" si="1"/>
        <v>7.2368421052631575</v>
      </c>
    </row>
    <row r="20" spans="1:11" x14ac:dyDescent="0.2">
      <c r="A20" t="s">
        <v>2115</v>
      </c>
      <c r="B20">
        <f>'2019'!B20+'2020'!B20</f>
        <v>5</v>
      </c>
      <c r="C20">
        <f>'2019'!C20+'2020'!C20</f>
        <v>2</v>
      </c>
      <c r="D20">
        <f>'2019'!D20+'2020'!D20</f>
        <v>0</v>
      </c>
      <c r="E20">
        <f>'2019'!E20+'2020'!E20</f>
        <v>1</v>
      </c>
      <c r="F20">
        <f>'2019'!F20+'2020'!F20</f>
        <v>0</v>
      </c>
      <c r="G20">
        <f>'2019'!G20+'2020'!G20</f>
        <v>0</v>
      </c>
      <c r="H20">
        <f>'2019'!H20+'2020'!H20</f>
        <v>0</v>
      </c>
      <c r="I20">
        <f>'2019'!I20+'2020'!I20</f>
        <v>8</v>
      </c>
      <c r="J20" s="3">
        <f t="shared" si="0"/>
        <v>87.5</v>
      </c>
      <c r="K20" s="3">
        <f t="shared" si="1"/>
        <v>0</v>
      </c>
    </row>
    <row r="21" spans="1:11" x14ac:dyDescent="0.2">
      <c r="A21" t="s">
        <v>2116</v>
      </c>
      <c r="B21">
        <f>'2019'!B21+'2020'!B21</f>
        <v>224</v>
      </c>
      <c r="C21">
        <f>'2019'!C21+'2020'!C21</f>
        <v>140</v>
      </c>
      <c r="D21">
        <f>'2019'!D21+'2020'!D21</f>
        <v>124</v>
      </c>
      <c r="E21">
        <f>'2019'!E21+'2020'!E21</f>
        <v>79</v>
      </c>
      <c r="F21">
        <f>'2019'!F21+'2020'!F21</f>
        <v>51</v>
      </c>
      <c r="G21">
        <f>'2019'!G21+'2020'!G21</f>
        <v>118</v>
      </c>
      <c r="H21">
        <f>'2019'!H21+'2020'!H21</f>
        <v>72</v>
      </c>
      <c r="I21">
        <f>'2019'!I21+'2020'!I21</f>
        <v>808</v>
      </c>
      <c r="J21" s="3">
        <f t="shared" si="0"/>
        <v>45</v>
      </c>
      <c r="K21" s="3">
        <f t="shared" si="1"/>
        <v>23.514851485148515</v>
      </c>
    </row>
    <row r="22" spans="1:11" x14ac:dyDescent="0.2">
      <c r="A22" t="s">
        <v>2117</v>
      </c>
      <c r="B22">
        <f>'2019'!B22+'2020'!B22</f>
        <v>141</v>
      </c>
      <c r="C22">
        <f>'2019'!C22+'2020'!C22</f>
        <v>202</v>
      </c>
      <c r="D22">
        <f>'2019'!D22+'2020'!D22</f>
        <v>14</v>
      </c>
      <c r="E22">
        <f>'2019'!E22+'2020'!E22</f>
        <v>3</v>
      </c>
      <c r="F22">
        <f>'2019'!F22+'2020'!F22</f>
        <v>0</v>
      </c>
      <c r="G22">
        <f>'2019'!G22+'2020'!G22</f>
        <v>6</v>
      </c>
      <c r="H22">
        <f>'2019'!H22+'2020'!H22</f>
        <v>0</v>
      </c>
      <c r="I22">
        <f>'2019'!I22+'2020'!I22</f>
        <v>366</v>
      </c>
      <c r="J22" s="3">
        <f t="shared" si="0"/>
        <v>93.7</v>
      </c>
      <c r="K22" s="3">
        <f t="shared" si="1"/>
        <v>1.639344262295082</v>
      </c>
    </row>
    <row r="23" spans="1:11" x14ac:dyDescent="0.2">
      <c r="A23" t="s">
        <v>2118</v>
      </c>
      <c r="B23">
        <f>'2019'!B23+'2020'!B23</f>
        <v>114</v>
      </c>
      <c r="C23">
        <f>'2019'!C23+'2020'!C23</f>
        <v>147</v>
      </c>
      <c r="D23">
        <f>'2019'!D23+'2020'!D23</f>
        <v>6</v>
      </c>
      <c r="E23">
        <f>'2019'!E23+'2020'!E23</f>
        <v>3</v>
      </c>
      <c r="F23">
        <f>'2019'!F23+'2020'!F23</f>
        <v>2</v>
      </c>
      <c r="G23">
        <f>'2019'!G23+'2020'!G23</f>
        <v>10</v>
      </c>
      <c r="H23">
        <f>'2019'!H23+'2020'!H23</f>
        <v>2</v>
      </c>
      <c r="I23">
        <f>'2019'!I23+'2020'!I23</f>
        <v>284</v>
      </c>
      <c r="J23" s="3">
        <f t="shared" si="0"/>
        <v>91.9</v>
      </c>
      <c r="K23" s="3">
        <f t="shared" si="1"/>
        <v>4.225352112676056</v>
      </c>
    </row>
    <row r="24" spans="1:11" x14ac:dyDescent="0.2">
      <c r="A24" t="s">
        <v>2119</v>
      </c>
      <c r="B24">
        <f>'2019'!B24+'2020'!B24</f>
        <v>127</v>
      </c>
      <c r="C24">
        <f>'2019'!C24+'2020'!C24</f>
        <v>150</v>
      </c>
      <c r="D24">
        <f>'2019'!D24+'2020'!D24</f>
        <v>22</v>
      </c>
      <c r="E24">
        <f>'2019'!E24+'2020'!E24</f>
        <v>7</v>
      </c>
      <c r="F24">
        <f>'2019'!F24+'2020'!F24</f>
        <v>7</v>
      </c>
      <c r="G24">
        <f>'2019'!G24+'2020'!G24</f>
        <v>9</v>
      </c>
      <c r="H24">
        <f>'2019'!H24+'2020'!H24</f>
        <v>2</v>
      </c>
      <c r="I24">
        <f>'2019'!I24+'2020'!I24</f>
        <v>324</v>
      </c>
      <c r="J24" s="3">
        <f t="shared" si="0"/>
        <v>85.5</v>
      </c>
      <c r="K24" s="3">
        <f t="shared" si="1"/>
        <v>3.3950617283950617</v>
      </c>
    </row>
    <row r="25" spans="1:11" x14ac:dyDescent="0.2">
      <c r="A25" t="s">
        <v>2120</v>
      </c>
      <c r="B25">
        <f>'2019'!B25+'2020'!B25</f>
        <v>107</v>
      </c>
      <c r="C25">
        <f>'2019'!C25+'2020'!C25</f>
        <v>90</v>
      </c>
      <c r="D25">
        <f>'2019'!D25+'2020'!D25</f>
        <v>19</v>
      </c>
      <c r="E25">
        <f>'2019'!E25+'2020'!E25</f>
        <v>5</v>
      </c>
      <c r="F25">
        <f>'2019'!F25+'2020'!F25</f>
        <v>6</v>
      </c>
      <c r="G25">
        <f>'2019'!G25+'2020'!G25</f>
        <v>6</v>
      </c>
      <c r="H25">
        <f>'2019'!H25+'2020'!H25</f>
        <v>0</v>
      </c>
      <c r="I25">
        <f>'2019'!I25+'2020'!I25</f>
        <v>233</v>
      </c>
      <c r="J25" s="3">
        <f t="shared" si="0"/>
        <v>84.5</v>
      </c>
      <c r="K25" s="3">
        <f t="shared" si="1"/>
        <v>2.5751072961373391</v>
      </c>
    </row>
    <row r="26" spans="1:11" x14ac:dyDescent="0.2">
      <c r="A26" t="s">
        <v>2121</v>
      </c>
      <c r="B26">
        <f>'2019'!B26+'2020'!B26</f>
        <v>12</v>
      </c>
      <c r="C26">
        <f>'2019'!C26+'2020'!C26</f>
        <v>2</v>
      </c>
      <c r="D26">
        <f>'2019'!D26+'2020'!D26</f>
        <v>0</v>
      </c>
      <c r="E26">
        <f>'2019'!E26+'2020'!E26</f>
        <v>0</v>
      </c>
      <c r="F26">
        <f>'2019'!F26+'2020'!F26</f>
        <v>0</v>
      </c>
      <c r="G26">
        <f>'2019'!G26+'2020'!G26</f>
        <v>0</v>
      </c>
      <c r="H26">
        <f>'2019'!H26+'2020'!H26</f>
        <v>0</v>
      </c>
      <c r="I26">
        <f>'2019'!I26+'2020'!I26</f>
        <v>14</v>
      </c>
      <c r="J26" s="3">
        <f t="shared" si="0"/>
        <v>100</v>
      </c>
      <c r="K26" s="3">
        <f t="shared" si="1"/>
        <v>0</v>
      </c>
    </row>
    <row r="27" spans="1:11" x14ac:dyDescent="0.2">
      <c r="A27" t="s">
        <v>2122</v>
      </c>
      <c r="B27">
        <f>'2019'!B27+'2020'!B27</f>
        <v>36</v>
      </c>
      <c r="C27">
        <f>'2019'!C27+'2020'!C27</f>
        <v>31</v>
      </c>
      <c r="D27">
        <f>'2019'!D27+'2020'!D27</f>
        <v>2</v>
      </c>
      <c r="E27">
        <f>'2019'!E27+'2020'!E27</f>
        <v>1</v>
      </c>
      <c r="F27">
        <f>'2019'!F27+'2020'!F27</f>
        <v>0</v>
      </c>
      <c r="G27">
        <f>'2019'!G27+'2020'!G27</f>
        <v>0</v>
      </c>
      <c r="H27">
        <f>'2019'!H27+'2020'!H27</f>
        <v>0</v>
      </c>
      <c r="I27">
        <f>'2019'!I27+'2020'!I27</f>
        <v>70</v>
      </c>
      <c r="J27" s="3">
        <f t="shared" si="0"/>
        <v>95.7</v>
      </c>
      <c r="K27" s="3">
        <f t="shared" si="1"/>
        <v>0</v>
      </c>
    </row>
    <row r="28" spans="1:11" x14ac:dyDescent="0.2">
      <c r="A28" t="s">
        <v>2123</v>
      </c>
      <c r="B28">
        <f>'2019'!B28+'2020'!B28</f>
        <v>41</v>
      </c>
      <c r="C28">
        <f>'2019'!C28+'2020'!C28</f>
        <v>22</v>
      </c>
      <c r="D28">
        <f>'2019'!D28+'2020'!D28</f>
        <v>0</v>
      </c>
      <c r="E28">
        <f>'2019'!E28+'2020'!E28</f>
        <v>0</v>
      </c>
      <c r="F28">
        <f>'2019'!F28+'2020'!F28</f>
        <v>0</v>
      </c>
      <c r="G28">
        <f>'2019'!G28+'2020'!G28</f>
        <v>0</v>
      </c>
      <c r="H28">
        <f>'2019'!H28+'2020'!H28</f>
        <v>0</v>
      </c>
      <c r="I28">
        <f>'2019'!I28+'2020'!I28</f>
        <v>63</v>
      </c>
      <c r="J28" s="3">
        <f t="shared" si="0"/>
        <v>100</v>
      </c>
      <c r="K28" s="3">
        <f t="shared" si="1"/>
        <v>0</v>
      </c>
    </row>
    <row r="29" spans="1:11" x14ac:dyDescent="0.2">
      <c r="A29" t="s">
        <v>2124</v>
      </c>
      <c r="B29">
        <f>'2019'!B29+'2020'!B29</f>
        <v>578</v>
      </c>
      <c r="C29">
        <f>'2019'!C29+'2020'!C29</f>
        <v>644</v>
      </c>
      <c r="D29">
        <f>'2019'!D29+'2020'!D29</f>
        <v>63</v>
      </c>
      <c r="E29">
        <f>'2019'!E29+'2020'!E29</f>
        <v>19</v>
      </c>
      <c r="F29">
        <f>'2019'!F29+'2020'!F29</f>
        <v>15</v>
      </c>
      <c r="G29">
        <f>'2019'!G29+'2020'!G29</f>
        <v>31</v>
      </c>
      <c r="H29">
        <f>'2019'!H29+'2020'!H29</f>
        <v>4</v>
      </c>
      <c r="I29">
        <f>'2019'!I29+'2020'!I29</f>
        <v>1354</v>
      </c>
      <c r="J29" s="3">
        <f t="shared" si="0"/>
        <v>90.3</v>
      </c>
      <c r="K29" s="3">
        <f t="shared" si="1"/>
        <v>2.58493353028065</v>
      </c>
    </row>
    <row r="30" spans="1:11" x14ac:dyDescent="0.2">
      <c r="A30" t="s">
        <v>2125</v>
      </c>
      <c r="B30">
        <f>'2019'!B30+'2020'!B30</f>
        <v>13</v>
      </c>
      <c r="C30">
        <f>'2019'!C30+'2020'!C30</f>
        <v>30</v>
      </c>
      <c r="D30">
        <f>'2019'!D30+'2020'!D30</f>
        <v>12</v>
      </c>
      <c r="E30">
        <f>'2019'!E30+'2020'!E30</f>
        <v>14</v>
      </c>
      <c r="F30">
        <f>'2019'!F30+'2020'!F30</f>
        <v>12</v>
      </c>
      <c r="G30">
        <f>'2019'!G30+'2020'!G30</f>
        <v>54</v>
      </c>
      <c r="H30">
        <f>'2019'!H30+'2020'!H30</f>
        <v>32</v>
      </c>
      <c r="I30">
        <f>'2019'!I30+'2020'!I30</f>
        <v>167</v>
      </c>
      <c r="J30" s="3">
        <f t="shared" si="0"/>
        <v>25.7</v>
      </c>
      <c r="K30" s="3">
        <f t="shared" si="1"/>
        <v>51.49700598802395</v>
      </c>
    </row>
    <row r="31" spans="1:11" x14ac:dyDescent="0.2">
      <c r="A31" t="s">
        <v>2126</v>
      </c>
      <c r="B31">
        <f>'2019'!B31+'2020'!B31</f>
        <v>4</v>
      </c>
      <c r="C31">
        <f>'2019'!C31+'2020'!C31</f>
        <v>4</v>
      </c>
      <c r="D31">
        <f>'2019'!D31+'2020'!D31</f>
        <v>4</v>
      </c>
      <c r="E31">
        <f>'2019'!E31+'2020'!E31</f>
        <v>11</v>
      </c>
      <c r="F31">
        <f>'2019'!F31+'2020'!F31</f>
        <v>12</v>
      </c>
      <c r="G31">
        <f>'2019'!G31+'2020'!G31</f>
        <v>19</v>
      </c>
      <c r="H31">
        <f>'2019'!H31+'2020'!H31</f>
        <v>14</v>
      </c>
      <c r="I31">
        <f>'2019'!I31+'2020'!I31</f>
        <v>68</v>
      </c>
      <c r="J31" s="3">
        <f t="shared" si="0"/>
        <v>11.8</v>
      </c>
      <c r="K31" s="3">
        <f t="shared" si="1"/>
        <v>48.529411764705884</v>
      </c>
    </row>
    <row r="32" spans="1:11" x14ac:dyDescent="0.2">
      <c r="A32" t="s">
        <v>2127</v>
      </c>
      <c r="B32">
        <f>'2019'!B32+'2020'!B32</f>
        <v>21</v>
      </c>
      <c r="C32">
        <f>'2019'!C32+'2020'!C32</f>
        <v>17</v>
      </c>
      <c r="D32">
        <f>'2019'!D32+'2020'!D32</f>
        <v>19</v>
      </c>
      <c r="E32">
        <f>'2019'!E32+'2020'!E32</f>
        <v>9</v>
      </c>
      <c r="F32">
        <f>'2019'!F32+'2020'!F32</f>
        <v>3</v>
      </c>
      <c r="G32">
        <f>'2019'!G32+'2020'!G32</f>
        <v>9</v>
      </c>
      <c r="H32">
        <f>'2019'!H32+'2020'!H32</f>
        <v>2</v>
      </c>
      <c r="I32">
        <f>'2019'!I32+'2020'!I32</f>
        <v>80</v>
      </c>
      <c r="J32" s="3">
        <f t="shared" si="0"/>
        <v>47.5</v>
      </c>
      <c r="K32" s="3">
        <f t="shared" si="1"/>
        <v>13.75</v>
      </c>
    </row>
    <row r="33" spans="1:11" x14ac:dyDescent="0.2">
      <c r="A33" t="s">
        <v>2128</v>
      </c>
      <c r="B33">
        <f>'2019'!B33+'2020'!B33</f>
        <v>53</v>
      </c>
      <c r="C33">
        <f>'2019'!C33+'2020'!C33</f>
        <v>68</v>
      </c>
      <c r="D33">
        <f>'2019'!D33+'2020'!D33</f>
        <v>31</v>
      </c>
      <c r="E33">
        <f>'2019'!E33+'2020'!E33</f>
        <v>15</v>
      </c>
      <c r="F33">
        <f>'2019'!F33+'2020'!F33</f>
        <v>4</v>
      </c>
      <c r="G33">
        <f>'2019'!G33+'2020'!G33</f>
        <v>6</v>
      </c>
      <c r="H33">
        <f>'2019'!H33+'2020'!H33</f>
        <v>3</v>
      </c>
      <c r="I33">
        <f>'2019'!I33+'2020'!I33</f>
        <v>180</v>
      </c>
      <c r="J33" s="3">
        <f t="shared" si="0"/>
        <v>67.2</v>
      </c>
      <c r="K33" s="3">
        <f t="shared" si="1"/>
        <v>5</v>
      </c>
    </row>
    <row r="34" spans="1:11" x14ac:dyDescent="0.2">
      <c r="A34" t="s">
        <v>2129</v>
      </c>
      <c r="B34">
        <f>'2019'!B34+'2020'!B34</f>
        <v>2</v>
      </c>
      <c r="C34">
        <f>'2019'!C34+'2020'!C34</f>
        <v>4</v>
      </c>
      <c r="D34">
        <f>'2019'!D34+'2020'!D34</f>
        <v>5</v>
      </c>
      <c r="E34">
        <f>'2019'!E34+'2020'!E34</f>
        <v>2</v>
      </c>
      <c r="F34">
        <f>'2019'!F34+'2020'!F34</f>
        <v>5</v>
      </c>
      <c r="G34">
        <f>'2019'!G34+'2020'!G34</f>
        <v>3</v>
      </c>
      <c r="H34">
        <f>'2019'!H34+'2020'!H34</f>
        <v>5</v>
      </c>
      <c r="I34">
        <f>'2019'!I34+'2020'!I34</f>
        <v>26</v>
      </c>
      <c r="J34" s="3">
        <f t="shared" si="0"/>
        <v>23.1</v>
      </c>
      <c r="K34" s="3">
        <f t="shared" si="1"/>
        <v>30.76923076923077</v>
      </c>
    </row>
    <row r="35" spans="1:11" x14ac:dyDescent="0.2">
      <c r="A35" t="s">
        <v>2130</v>
      </c>
      <c r="B35">
        <f>'2019'!B35+'2020'!B35</f>
        <v>34</v>
      </c>
      <c r="C35">
        <f>'2019'!C35+'2020'!C35</f>
        <v>22</v>
      </c>
      <c r="D35">
        <f>'2019'!D35+'2020'!D35</f>
        <v>10</v>
      </c>
      <c r="E35">
        <f>'2019'!E35+'2020'!E35</f>
        <v>6</v>
      </c>
      <c r="F35">
        <f>'2019'!F35+'2020'!F35</f>
        <v>3</v>
      </c>
      <c r="G35">
        <f>'2019'!G35+'2020'!G35</f>
        <v>0</v>
      </c>
      <c r="H35">
        <f>'2019'!H35+'2020'!H35</f>
        <v>0</v>
      </c>
      <c r="I35">
        <f>'2019'!I35+'2020'!I35</f>
        <v>75</v>
      </c>
      <c r="J35" s="3">
        <f t="shared" si="0"/>
        <v>74.7</v>
      </c>
      <c r="K35" s="3">
        <f t="shared" si="1"/>
        <v>0</v>
      </c>
    </row>
    <row r="36" spans="1:11" x14ac:dyDescent="0.2">
      <c r="A36" t="s">
        <v>2131</v>
      </c>
      <c r="B36">
        <f>'2019'!B36+'2020'!B36</f>
        <v>14</v>
      </c>
      <c r="C36">
        <f>'2019'!C36+'2020'!C36</f>
        <v>1</v>
      </c>
      <c r="D36">
        <f>'2019'!D36+'2020'!D36</f>
        <v>0</v>
      </c>
      <c r="E36">
        <f>'2019'!E36+'2020'!E36</f>
        <v>0</v>
      </c>
      <c r="F36">
        <f>'2019'!F36+'2020'!F36</f>
        <v>0</v>
      </c>
      <c r="G36">
        <f>'2019'!G36+'2020'!G36</f>
        <v>0</v>
      </c>
      <c r="H36">
        <f>'2019'!H36+'2020'!H36</f>
        <v>0</v>
      </c>
      <c r="I36">
        <f>'2019'!I36+'2020'!I36</f>
        <v>15</v>
      </c>
      <c r="J36" s="3">
        <f t="shared" si="0"/>
        <v>100</v>
      </c>
      <c r="K36" s="3">
        <f t="shared" si="1"/>
        <v>0</v>
      </c>
    </row>
    <row r="37" spans="1:11" x14ac:dyDescent="0.2">
      <c r="A37" t="s">
        <v>2132</v>
      </c>
      <c r="B37">
        <f>'2019'!B37+'2020'!B37</f>
        <v>141</v>
      </c>
      <c r="C37">
        <f>'2019'!C37+'2020'!C37</f>
        <v>146</v>
      </c>
      <c r="D37">
        <f>'2019'!D37+'2020'!D37</f>
        <v>81</v>
      </c>
      <c r="E37">
        <f>'2019'!E37+'2020'!E37</f>
        <v>57</v>
      </c>
      <c r="F37">
        <f>'2019'!F37+'2020'!F37</f>
        <v>39</v>
      </c>
      <c r="G37">
        <f>'2019'!G37+'2020'!G37</f>
        <v>91</v>
      </c>
      <c r="H37">
        <f>'2019'!H37+'2020'!H37</f>
        <v>56</v>
      </c>
      <c r="I37">
        <f>'2019'!I37+'2020'!I37</f>
        <v>611</v>
      </c>
      <c r="J37" s="3">
        <f t="shared" si="0"/>
        <v>47</v>
      </c>
      <c r="K37" s="3">
        <f t="shared" si="1"/>
        <v>24.058919803600656</v>
      </c>
    </row>
    <row r="38" spans="1:11" x14ac:dyDescent="0.2">
      <c r="A38" t="s">
        <v>2133</v>
      </c>
      <c r="B38">
        <f>'2019'!B38+'2020'!B38</f>
        <v>45</v>
      </c>
      <c r="C38">
        <f>'2019'!C38+'2020'!C38</f>
        <v>75</v>
      </c>
      <c r="D38">
        <f>'2019'!D38+'2020'!D38</f>
        <v>44</v>
      </c>
      <c r="E38">
        <f>'2019'!E38+'2020'!E38</f>
        <v>4</v>
      </c>
      <c r="F38">
        <f>'2019'!F38+'2020'!F38</f>
        <v>1</v>
      </c>
      <c r="G38">
        <f>'2019'!G38+'2020'!G38</f>
        <v>0</v>
      </c>
      <c r="H38">
        <f>'2019'!H38+'2020'!H38</f>
        <v>0</v>
      </c>
      <c r="I38">
        <f>'2019'!I38+'2020'!I38</f>
        <v>169</v>
      </c>
      <c r="J38" s="3">
        <f t="shared" si="0"/>
        <v>71</v>
      </c>
      <c r="K38" s="3">
        <f t="shared" si="1"/>
        <v>0</v>
      </c>
    </row>
    <row r="39" spans="1:11" x14ac:dyDescent="0.2">
      <c r="A39" t="s">
        <v>2134</v>
      </c>
      <c r="B39">
        <f>'2019'!B39+'2020'!B39</f>
        <v>1</v>
      </c>
      <c r="C39">
        <f>'2019'!C39+'2020'!C39</f>
        <v>3</v>
      </c>
      <c r="D39">
        <f>'2019'!D39+'2020'!D39</f>
        <v>4</v>
      </c>
      <c r="E39">
        <f>'2019'!E39+'2020'!E39</f>
        <v>3</v>
      </c>
      <c r="F39">
        <f>'2019'!F39+'2020'!F39</f>
        <v>1</v>
      </c>
      <c r="G39">
        <f>'2019'!G39+'2020'!G39</f>
        <v>20</v>
      </c>
      <c r="H39">
        <f>'2019'!H39+'2020'!H39</f>
        <v>15</v>
      </c>
      <c r="I39">
        <f>'2019'!I39+'2020'!I39</f>
        <v>47</v>
      </c>
      <c r="J39" s="3">
        <f t="shared" si="0"/>
        <v>8.5</v>
      </c>
      <c r="K39" s="3">
        <f t="shared" si="1"/>
        <v>74.468085106382972</v>
      </c>
    </row>
    <row r="40" spans="1:11" x14ac:dyDescent="0.2">
      <c r="A40" t="s">
        <v>2135</v>
      </c>
      <c r="B40">
        <f>'2019'!B40+'2020'!B40</f>
        <v>0</v>
      </c>
      <c r="C40">
        <f>'2019'!C40+'2020'!C40</f>
        <v>9</v>
      </c>
      <c r="D40">
        <f>'2019'!D40+'2020'!D40</f>
        <v>11</v>
      </c>
      <c r="E40">
        <f>'2019'!E40+'2020'!E40</f>
        <v>5</v>
      </c>
      <c r="F40">
        <f>'2019'!F40+'2020'!F40</f>
        <v>1</v>
      </c>
      <c r="G40">
        <f>'2019'!G40+'2020'!G40</f>
        <v>14</v>
      </c>
      <c r="H40">
        <f>'2019'!H40+'2020'!H40</f>
        <v>7</v>
      </c>
      <c r="I40">
        <f>'2019'!I40+'2020'!I40</f>
        <v>47</v>
      </c>
      <c r="J40" s="3">
        <f t="shared" si="0"/>
        <v>19.100000000000001</v>
      </c>
      <c r="K40" s="3">
        <f t="shared" si="1"/>
        <v>44.680851063829785</v>
      </c>
    </row>
    <row r="41" spans="1:11" x14ac:dyDescent="0.2">
      <c r="A41" t="s">
        <v>2136</v>
      </c>
      <c r="B41">
        <f>'2019'!B41+'2020'!B41</f>
        <v>48</v>
      </c>
      <c r="C41">
        <f>'2019'!C41+'2020'!C41</f>
        <v>136</v>
      </c>
      <c r="D41">
        <f>'2019'!D41+'2020'!D41</f>
        <v>33</v>
      </c>
      <c r="E41">
        <f>'2019'!E41+'2020'!E41</f>
        <v>7</v>
      </c>
      <c r="F41">
        <f>'2019'!F41+'2020'!F41</f>
        <v>12</v>
      </c>
      <c r="G41">
        <f>'2019'!G41+'2020'!G41</f>
        <v>30</v>
      </c>
      <c r="H41">
        <f>'2019'!H41+'2020'!H41</f>
        <v>11</v>
      </c>
      <c r="I41">
        <f>'2019'!I41+'2020'!I41</f>
        <v>277</v>
      </c>
      <c r="J41" s="3">
        <f t="shared" si="0"/>
        <v>66.400000000000006</v>
      </c>
      <c r="K41" s="3">
        <f t="shared" si="1"/>
        <v>14.8014440433213</v>
      </c>
    </row>
    <row r="42" spans="1:11" x14ac:dyDescent="0.2">
      <c r="A42" t="s">
        <v>2137</v>
      </c>
      <c r="B42">
        <f>'2019'!B42+'2020'!B42</f>
        <v>39</v>
      </c>
      <c r="C42">
        <f>'2019'!C42+'2020'!C42</f>
        <v>78</v>
      </c>
      <c r="D42">
        <f>'2019'!D42+'2020'!D42</f>
        <v>19</v>
      </c>
      <c r="E42">
        <f>'2019'!E42+'2020'!E42</f>
        <v>5</v>
      </c>
      <c r="F42">
        <f>'2019'!F42+'2020'!F42</f>
        <v>10</v>
      </c>
      <c r="G42">
        <f>'2019'!G42+'2020'!G42</f>
        <v>15</v>
      </c>
      <c r="H42">
        <f>'2019'!H42+'2020'!H42</f>
        <v>0</v>
      </c>
      <c r="I42">
        <f>'2019'!I42+'2020'!I42</f>
        <v>166</v>
      </c>
      <c r="J42" s="3">
        <f t="shared" si="0"/>
        <v>70.5</v>
      </c>
      <c r="K42" s="3">
        <f t="shared" si="1"/>
        <v>9.0361445783132535</v>
      </c>
    </row>
    <row r="43" spans="1:11" x14ac:dyDescent="0.2">
      <c r="A43" t="s">
        <v>2138</v>
      </c>
      <c r="B43">
        <f>'2019'!B43+'2020'!B43</f>
        <v>9</v>
      </c>
      <c r="C43">
        <f>'2019'!C43+'2020'!C43</f>
        <v>13</v>
      </c>
      <c r="D43">
        <f>'2019'!D43+'2020'!D43</f>
        <v>5</v>
      </c>
      <c r="E43">
        <f>'2019'!E43+'2020'!E43</f>
        <v>3</v>
      </c>
      <c r="F43">
        <f>'2019'!F43+'2020'!F43</f>
        <v>5</v>
      </c>
      <c r="G43">
        <f>'2019'!G43+'2020'!G43</f>
        <v>8</v>
      </c>
      <c r="H43">
        <f>'2019'!H43+'2020'!H43</f>
        <v>1</v>
      </c>
      <c r="I43">
        <f>'2019'!I43+'2020'!I43</f>
        <v>44</v>
      </c>
      <c r="J43" s="3">
        <f t="shared" si="0"/>
        <v>50</v>
      </c>
      <c r="K43" s="3">
        <f t="shared" si="1"/>
        <v>20.454545454545453</v>
      </c>
    </row>
    <row r="44" spans="1:11" x14ac:dyDescent="0.2">
      <c r="A44" t="s">
        <v>2139</v>
      </c>
      <c r="B44">
        <f>'2019'!B44+'2020'!B44</f>
        <v>32</v>
      </c>
      <c r="C44">
        <f>'2019'!C44+'2020'!C44</f>
        <v>35</v>
      </c>
      <c r="D44">
        <f>'2019'!D44+'2020'!D44</f>
        <v>7</v>
      </c>
      <c r="E44">
        <f>'2019'!E44+'2020'!E44</f>
        <v>6</v>
      </c>
      <c r="F44">
        <f>'2019'!F44+'2020'!F44</f>
        <v>0</v>
      </c>
      <c r="G44">
        <f>'2019'!G44+'2020'!G44</f>
        <v>0</v>
      </c>
      <c r="H44">
        <f>'2019'!H44+'2020'!H44</f>
        <v>0</v>
      </c>
      <c r="I44">
        <f>'2019'!I44+'2020'!I44</f>
        <v>80</v>
      </c>
      <c r="J44" s="3">
        <f t="shared" si="0"/>
        <v>83.8</v>
      </c>
      <c r="K44" s="3">
        <f t="shared" si="1"/>
        <v>0</v>
      </c>
    </row>
    <row r="45" spans="1:11" x14ac:dyDescent="0.2">
      <c r="A45" t="s">
        <v>2140</v>
      </c>
      <c r="B45">
        <f>'2019'!B45+'2020'!B45</f>
        <v>36</v>
      </c>
      <c r="C45">
        <f>'2019'!C45+'2020'!C45</f>
        <v>31</v>
      </c>
      <c r="D45">
        <f>'2019'!D45+'2020'!D45</f>
        <v>6</v>
      </c>
      <c r="E45">
        <f>'2019'!E45+'2020'!E45</f>
        <v>1</v>
      </c>
      <c r="F45">
        <f>'2019'!F45+'2020'!F45</f>
        <v>0</v>
      </c>
      <c r="G45">
        <f>'2019'!G45+'2020'!G45</f>
        <v>0</v>
      </c>
      <c r="H45">
        <f>'2019'!H45+'2020'!H45</f>
        <v>0</v>
      </c>
      <c r="I45">
        <f>'2019'!I45+'2020'!I45</f>
        <v>74</v>
      </c>
      <c r="J45" s="3">
        <f t="shared" si="0"/>
        <v>90.5</v>
      </c>
      <c r="K45" s="3">
        <f t="shared" si="1"/>
        <v>0</v>
      </c>
    </row>
    <row r="46" spans="1:11" x14ac:dyDescent="0.2">
      <c r="A46" t="s">
        <v>2141</v>
      </c>
      <c r="B46">
        <f>'2019'!B46+'2020'!B46</f>
        <v>165</v>
      </c>
      <c r="C46">
        <f>'2019'!C46+'2020'!C46</f>
        <v>305</v>
      </c>
      <c r="D46">
        <f>'2019'!D46+'2020'!D46</f>
        <v>85</v>
      </c>
      <c r="E46">
        <f>'2019'!E46+'2020'!E46</f>
        <v>30</v>
      </c>
      <c r="F46">
        <f>'2019'!F46+'2020'!F46</f>
        <v>29</v>
      </c>
      <c r="G46">
        <f>'2019'!G46+'2020'!G46</f>
        <v>87</v>
      </c>
      <c r="H46">
        <f>'2019'!H46+'2020'!H46</f>
        <v>34</v>
      </c>
      <c r="I46">
        <f>'2019'!I46+'2020'!I46</f>
        <v>735</v>
      </c>
      <c r="J46" s="3">
        <f t="shared" si="0"/>
        <v>63.9</v>
      </c>
      <c r="K46" s="3">
        <f t="shared" si="1"/>
        <v>16.462585034013607</v>
      </c>
    </row>
    <row r="47" spans="1:11" x14ac:dyDescent="0.2">
      <c r="A47" t="s">
        <v>2142</v>
      </c>
      <c r="B47">
        <f>'2019'!B47+'2020'!B47</f>
        <v>226</v>
      </c>
      <c r="C47">
        <f>'2019'!C47+'2020'!C47</f>
        <v>573</v>
      </c>
      <c r="D47">
        <f>'2019'!D47+'2020'!D47</f>
        <v>386</v>
      </c>
      <c r="E47">
        <f>'2019'!E47+'2020'!E47</f>
        <v>25</v>
      </c>
      <c r="F47">
        <f>'2019'!F47+'2020'!F47</f>
        <v>17</v>
      </c>
      <c r="G47">
        <f>'2019'!G47+'2020'!G47</f>
        <v>86</v>
      </c>
      <c r="H47">
        <f>'2019'!H47+'2020'!H47</f>
        <v>57</v>
      </c>
      <c r="I47">
        <f>'2019'!I47+'2020'!I47</f>
        <v>1370</v>
      </c>
      <c r="J47" s="3">
        <f t="shared" si="0"/>
        <v>58.3</v>
      </c>
      <c r="K47" s="3">
        <f t="shared" si="1"/>
        <v>10.437956204379562</v>
      </c>
    </row>
    <row r="48" spans="1:11" x14ac:dyDescent="0.2">
      <c r="A48" t="s">
        <v>2143</v>
      </c>
      <c r="B48">
        <f>'2019'!B48+'2020'!B48</f>
        <v>142</v>
      </c>
      <c r="C48">
        <f>'2019'!C48+'2020'!C48</f>
        <v>186</v>
      </c>
      <c r="D48">
        <f>'2019'!D48+'2020'!D48</f>
        <v>23</v>
      </c>
      <c r="E48">
        <f>'2019'!E48+'2020'!E48</f>
        <v>23</v>
      </c>
      <c r="F48">
        <f>'2019'!F48+'2020'!F48</f>
        <v>19</v>
      </c>
      <c r="G48">
        <f>'2019'!G48+'2020'!G48</f>
        <v>51</v>
      </c>
      <c r="H48">
        <f>'2019'!H48+'2020'!H48</f>
        <v>25</v>
      </c>
      <c r="I48">
        <f>'2019'!I48+'2020'!I48</f>
        <v>469</v>
      </c>
      <c r="J48" s="3">
        <f t="shared" si="0"/>
        <v>69.900000000000006</v>
      </c>
      <c r="K48" s="3">
        <f t="shared" si="1"/>
        <v>16.204690831556505</v>
      </c>
    </row>
    <row r="49" spans="1:11" x14ac:dyDescent="0.2">
      <c r="A49" t="s">
        <v>2144</v>
      </c>
      <c r="B49">
        <f>'2019'!B49+'2020'!B49</f>
        <v>245</v>
      </c>
      <c r="C49">
        <f>'2019'!C49+'2020'!C49</f>
        <v>363</v>
      </c>
      <c r="D49">
        <f>'2019'!D49+'2020'!D49</f>
        <v>98</v>
      </c>
      <c r="E49">
        <f>'2019'!E49+'2020'!E49</f>
        <v>35</v>
      </c>
      <c r="F49">
        <f>'2019'!F49+'2020'!F49</f>
        <v>30</v>
      </c>
      <c r="G49">
        <f>'2019'!G49+'2020'!G49</f>
        <v>78</v>
      </c>
      <c r="H49">
        <f>'2019'!H49+'2020'!H49</f>
        <v>28</v>
      </c>
      <c r="I49">
        <f>'2019'!I49+'2020'!I49</f>
        <v>877</v>
      </c>
      <c r="J49" s="3">
        <f t="shared" si="0"/>
        <v>69.3</v>
      </c>
      <c r="K49" s="3">
        <f t="shared" si="1"/>
        <v>12.086659064994299</v>
      </c>
    </row>
    <row r="50" spans="1:11" x14ac:dyDescent="0.2">
      <c r="A50" t="s">
        <v>2145</v>
      </c>
      <c r="B50">
        <f>'2019'!B50+'2020'!B50</f>
        <v>319</v>
      </c>
      <c r="C50">
        <f>'2019'!C50+'2020'!C50</f>
        <v>329</v>
      </c>
      <c r="D50">
        <f>'2019'!D50+'2020'!D50</f>
        <v>148</v>
      </c>
      <c r="E50">
        <f>'2019'!E50+'2020'!E50</f>
        <v>80</v>
      </c>
      <c r="F50">
        <f>'2019'!F50+'2020'!F50</f>
        <v>59</v>
      </c>
      <c r="G50">
        <f>'2019'!G50+'2020'!G50</f>
        <v>100</v>
      </c>
      <c r="H50">
        <f>'2019'!H50+'2020'!H50</f>
        <v>47</v>
      </c>
      <c r="I50">
        <f>'2019'!I50+'2020'!I50</f>
        <v>1082</v>
      </c>
      <c r="J50" s="3">
        <f t="shared" si="0"/>
        <v>59.9</v>
      </c>
      <c r="K50" s="3">
        <f t="shared" si="1"/>
        <v>13.585951940850277</v>
      </c>
    </row>
    <row r="51" spans="1:11" x14ac:dyDescent="0.2">
      <c r="A51" t="s">
        <v>2146</v>
      </c>
      <c r="B51">
        <f>'2019'!B51+'2020'!B51</f>
        <v>932</v>
      </c>
      <c r="C51">
        <f>'2019'!C51+'2020'!C51</f>
        <v>1451</v>
      </c>
      <c r="D51">
        <f>'2019'!D51+'2020'!D51</f>
        <v>655</v>
      </c>
      <c r="E51">
        <f>'2019'!E51+'2020'!E51</f>
        <v>163</v>
      </c>
      <c r="F51">
        <f>'2019'!F51+'2020'!F51</f>
        <v>125</v>
      </c>
      <c r="G51">
        <f>'2019'!G51+'2020'!G51</f>
        <v>315</v>
      </c>
      <c r="H51">
        <f>'2019'!H51+'2020'!H51</f>
        <v>157</v>
      </c>
      <c r="I51">
        <f>'2019'!I51+'2020'!I51</f>
        <v>3798</v>
      </c>
      <c r="J51" s="3">
        <f t="shared" si="0"/>
        <v>62.7</v>
      </c>
      <c r="K51" s="3">
        <f t="shared" si="1"/>
        <v>12.427593470247499</v>
      </c>
    </row>
    <row r="52" spans="1:11" x14ac:dyDescent="0.2">
      <c r="A52" t="s">
        <v>2147</v>
      </c>
      <c r="B52">
        <f>'2019'!B52+'2020'!B52</f>
        <v>60</v>
      </c>
      <c r="C52">
        <f>'2019'!C52+'2020'!C52</f>
        <v>82</v>
      </c>
      <c r="D52">
        <f>'2019'!D52+'2020'!D52</f>
        <v>11</v>
      </c>
      <c r="E52">
        <f>'2019'!E52+'2020'!E52</f>
        <v>5</v>
      </c>
      <c r="F52">
        <f>'2019'!F52+'2020'!F52</f>
        <v>10</v>
      </c>
      <c r="G52">
        <f>'2019'!G52+'2020'!G52</f>
        <v>14</v>
      </c>
      <c r="H52">
        <f>'2019'!H52+'2020'!H52</f>
        <v>6</v>
      </c>
      <c r="I52">
        <f>'2019'!I52+'2020'!I52</f>
        <v>188</v>
      </c>
      <c r="J52" s="3">
        <f t="shared" si="0"/>
        <v>75.5</v>
      </c>
      <c r="K52" s="3">
        <f t="shared" si="1"/>
        <v>10.638297872340425</v>
      </c>
    </row>
    <row r="53" spans="1:11" x14ac:dyDescent="0.2">
      <c r="A53" t="s">
        <v>2148</v>
      </c>
      <c r="B53">
        <f>'2019'!B53+'2020'!B53</f>
        <v>208</v>
      </c>
      <c r="C53">
        <f>'2019'!C53+'2020'!C53</f>
        <v>230</v>
      </c>
      <c r="D53">
        <f>'2019'!D53+'2020'!D53</f>
        <v>49</v>
      </c>
      <c r="E53">
        <f>'2019'!E53+'2020'!E53</f>
        <v>28</v>
      </c>
      <c r="F53">
        <f>'2019'!F53+'2020'!F53</f>
        <v>6</v>
      </c>
      <c r="G53">
        <f>'2019'!G53+'2020'!G53</f>
        <v>6</v>
      </c>
      <c r="H53">
        <f>'2019'!H53+'2020'!H53</f>
        <v>5</v>
      </c>
      <c r="I53">
        <f>'2019'!I53+'2020'!I53</f>
        <v>532</v>
      </c>
      <c r="J53" s="3">
        <f t="shared" si="0"/>
        <v>82.3</v>
      </c>
      <c r="K53" s="3">
        <f t="shared" si="1"/>
        <v>2.0676691729323307</v>
      </c>
    </row>
    <row r="54" spans="1:11" x14ac:dyDescent="0.2">
      <c r="A54" t="s">
        <v>2149</v>
      </c>
      <c r="B54">
        <f>'2019'!B54+'2020'!B54</f>
        <v>122</v>
      </c>
      <c r="C54">
        <f>'2019'!C54+'2020'!C54</f>
        <v>85</v>
      </c>
      <c r="D54">
        <f>'2019'!D54+'2020'!D54</f>
        <v>7</v>
      </c>
      <c r="E54">
        <f>'2019'!E54+'2020'!E54</f>
        <v>3</v>
      </c>
      <c r="F54">
        <f>'2019'!F54+'2020'!F54</f>
        <v>2</v>
      </c>
      <c r="G54">
        <f>'2019'!G54+'2020'!G54</f>
        <v>0</v>
      </c>
      <c r="H54">
        <f>'2019'!H54+'2020'!H54</f>
        <v>0</v>
      </c>
      <c r="I54">
        <f>'2019'!I54+'2020'!I54</f>
        <v>219</v>
      </c>
      <c r="J54" s="3">
        <f t="shared" si="0"/>
        <v>94.5</v>
      </c>
      <c r="K54" s="3">
        <f t="shared" si="1"/>
        <v>0</v>
      </c>
    </row>
    <row r="55" spans="1:11" x14ac:dyDescent="0.2">
      <c r="A55" t="s">
        <v>2150</v>
      </c>
      <c r="B55">
        <f>'2019'!B55+'2020'!B55</f>
        <v>390</v>
      </c>
      <c r="C55">
        <f>'2019'!C55+'2020'!C55</f>
        <v>397</v>
      </c>
      <c r="D55">
        <f>'2019'!D55+'2020'!D55</f>
        <v>67</v>
      </c>
      <c r="E55">
        <f>'2019'!E55+'2020'!E55</f>
        <v>36</v>
      </c>
      <c r="F55">
        <f>'2019'!F55+'2020'!F55</f>
        <v>18</v>
      </c>
      <c r="G55">
        <f>'2019'!G55+'2020'!G55</f>
        <v>20</v>
      </c>
      <c r="H55">
        <f>'2019'!H55+'2020'!H55</f>
        <v>11</v>
      </c>
      <c r="I55">
        <f>'2019'!I55+'2020'!I55</f>
        <v>939</v>
      </c>
      <c r="J55" s="3">
        <f t="shared" si="0"/>
        <v>83.8</v>
      </c>
      <c r="K55" s="3">
        <f t="shared" si="1"/>
        <v>3.3013844515441959</v>
      </c>
    </row>
    <row r="56" spans="1:11" x14ac:dyDescent="0.2">
      <c r="A56" t="s">
        <v>2151</v>
      </c>
      <c r="B56">
        <f>'2019'!B56+'2020'!B56</f>
        <v>1322</v>
      </c>
      <c r="C56">
        <f>'2019'!C56+'2020'!C56</f>
        <v>1848</v>
      </c>
      <c r="D56">
        <f>'2019'!D56+'2020'!D56</f>
        <v>722</v>
      </c>
      <c r="E56">
        <f>'2019'!E56+'2020'!E56</f>
        <v>199</v>
      </c>
      <c r="F56">
        <f>'2019'!F56+'2020'!F56</f>
        <v>143</v>
      </c>
      <c r="G56">
        <f>'2019'!G56+'2020'!G56</f>
        <v>335</v>
      </c>
      <c r="H56">
        <f>'2019'!H56+'2020'!H56</f>
        <v>168</v>
      </c>
      <c r="I56">
        <f>'2019'!I56+'2020'!I56</f>
        <v>4737</v>
      </c>
      <c r="J56" s="3">
        <f t="shared" si="0"/>
        <v>66.900000000000006</v>
      </c>
      <c r="K56" s="3">
        <f t="shared" si="1"/>
        <v>10.618534937724299</v>
      </c>
    </row>
  </sheetData>
  <pageMargins left="0.7" right="0.7" top="0.75" bottom="0.75" header="0.3" footer="0.3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1AD35-D9A9-DF4E-BD49-4FF47CBDD243}">
  <dimension ref="A1:K56"/>
  <sheetViews>
    <sheetView workbookViewId="0">
      <pane ySplit="1" topLeftCell="A27" activePane="bottomLeft" state="frozen"/>
      <selection pane="bottomLeft" activeCell="I21" sqref="I21"/>
    </sheetView>
  </sheetViews>
  <sheetFormatPr baseColWidth="10" defaultRowHeight="16" x14ac:dyDescent="0.2"/>
  <sheetData>
    <row r="1" spans="1:11" x14ac:dyDescent="0.2">
      <c r="A1" t="s">
        <v>2096</v>
      </c>
      <c r="B1" s="2" t="s">
        <v>2152</v>
      </c>
      <c r="C1" s="2" t="s">
        <v>2153</v>
      </c>
      <c r="D1" s="2" t="s">
        <v>2154</v>
      </c>
      <c r="E1" s="2" t="s">
        <v>2155</v>
      </c>
      <c r="F1" s="2" t="s">
        <v>2156</v>
      </c>
      <c r="G1" s="2" t="s">
        <v>2157</v>
      </c>
      <c r="H1" s="2" t="s">
        <v>2158</v>
      </c>
      <c r="I1" t="s">
        <v>2159</v>
      </c>
      <c r="J1" s="3" t="s">
        <v>2160</v>
      </c>
      <c r="K1" s="3" t="s">
        <v>2161</v>
      </c>
    </row>
    <row r="2" spans="1:11" x14ac:dyDescent="0.2">
      <c r="A2" t="s">
        <v>2097</v>
      </c>
      <c r="B2">
        <f>'2019'!B2+'2020'!B2+'2021'!B2</f>
        <v>5</v>
      </c>
      <c r="C2">
        <f>'2019'!C2+'2020'!C2+'2021'!C2</f>
        <v>34</v>
      </c>
      <c r="D2">
        <f>'2019'!D2+'2020'!D2+'2021'!D2</f>
        <v>2</v>
      </c>
      <c r="E2">
        <f>'2019'!E2+'2020'!E2+'2021'!E2</f>
        <v>0</v>
      </c>
      <c r="F2">
        <f>'2019'!F2+'2020'!F2+'2021'!F2</f>
        <v>1</v>
      </c>
      <c r="G2">
        <f>'2019'!G2+'2020'!G2+'2021'!G2</f>
        <v>3</v>
      </c>
      <c r="H2">
        <f>'2019'!H2+'2020'!H2+'2021'!H2</f>
        <v>0</v>
      </c>
      <c r="I2">
        <f>'2019'!I2+'2020'!I2+'2021'!I2</f>
        <v>45</v>
      </c>
      <c r="J2" s="3">
        <f>100*($B2+$C2)/$I2</f>
        <v>86.666666666666671</v>
      </c>
      <c r="K2" s="3">
        <f>100*($G2+$H2)/$I2</f>
        <v>6.666666666666667</v>
      </c>
    </row>
    <row r="3" spans="1:11" x14ac:dyDescent="0.2">
      <c r="A3" t="s">
        <v>2098</v>
      </c>
      <c r="B3">
        <f>'2019'!B3+'2020'!B3+'2021'!B3</f>
        <v>35</v>
      </c>
      <c r="C3">
        <f>'2019'!C3+'2020'!C3+'2021'!C3</f>
        <v>39</v>
      </c>
      <c r="D3">
        <f>'2019'!D3+'2020'!D3+'2021'!D3</f>
        <v>1</v>
      </c>
      <c r="E3">
        <f>'2019'!E3+'2020'!E3+'2021'!E3</f>
        <v>3</v>
      </c>
      <c r="F3">
        <f>'2019'!F3+'2020'!F3+'2021'!F3</f>
        <v>3</v>
      </c>
      <c r="G3">
        <f>'2019'!G3+'2020'!G3+'2021'!G3</f>
        <v>3</v>
      </c>
      <c r="H3">
        <f>'2019'!H3+'2020'!H3+'2021'!H3</f>
        <v>0</v>
      </c>
      <c r="I3">
        <f>'2019'!I3+'2020'!I3+'2021'!I3</f>
        <v>84</v>
      </c>
      <c r="J3" s="3">
        <f t="shared" ref="J3:J56" si="0">ROUND(100*($B3+$C3)/$I3,1)</f>
        <v>88.1</v>
      </c>
      <c r="K3" s="3">
        <f t="shared" ref="K3:K56" si="1">100*($G3+$H3)/$I3</f>
        <v>3.5714285714285716</v>
      </c>
    </row>
    <row r="4" spans="1:11" x14ac:dyDescent="0.2">
      <c r="A4" t="s">
        <v>2099</v>
      </c>
      <c r="B4">
        <f>'2019'!B4+'2020'!B4+'2021'!B4</f>
        <v>46</v>
      </c>
      <c r="C4">
        <f>'2019'!C4+'2020'!C4+'2021'!C4</f>
        <v>78</v>
      </c>
      <c r="D4">
        <f>'2019'!D4+'2020'!D4+'2021'!D4</f>
        <v>5</v>
      </c>
      <c r="E4">
        <f>'2019'!E4+'2020'!E4+'2021'!E4</f>
        <v>1</v>
      </c>
      <c r="F4">
        <f>'2019'!F4+'2020'!F4+'2021'!F4</f>
        <v>2</v>
      </c>
      <c r="G4">
        <f>'2019'!G4+'2020'!G4+'2021'!G4</f>
        <v>0</v>
      </c>
      <c r="H4">
        <f>'2019'!H4+'2020'!H4+'2021'!H4</f>
        <v>0</v>
      </c>
      <c r="I4">
        <f>'2019'!I4+'2020'!I4+'2021'!I4</f>
        <v>132</v>
      </c>
      <c r="J4" s="3">
        <f t="shared" si="0"/>
        <v>93.9</v>
      </c>
      <c r="K4" s="3">
        <f t="shared" si="1"/>
        <v>0</v>
      </c>
    </row>
    <row r="5" spans="1:11" x14ac:dyDescent="0.2">
      <c r="A5" t="s">
        <v>2100</v>
      </c>
      <c r="B5">
        <f>'2019'!B5+'2020'!B5+'2021'!B5</f>
        <v>5</v>
      </c>
      <c r="C5">
        <f>'2019'!C5+'2020'!C5+'2021'!C5</f>
        <v>10</v>
      </c>
      <c r="D5">
        <f>'2019'!D5+'2020'!D5+'2021'!D5</f>
        <v>2</v>
      </c>
      <c r="E5">
        <f>'2019'!E5+'2020'!E5+'2021'!E5</f>
        <v>0</v>
      </c>
      <c r="F5">
        <f>'2019'!F5+'2020'!F5+'2021'!F5</f>
        <v>1</v>
      </c>
      <c r="G5">
        <f>'2019'!G5+'2020'!G5+'2021'!G5</f>
        <v>2</v>
      </c>
      <c r="H5">
        <f>'2019'!H5+'2020'!H5+'2021'!H5</f>
        <v>0</v>
      </c>
      <c r="I5">
        <f>'2019'!I5+'2020'!I5+'2021'!I5</f>
        <v>20</v>
      </c>
      <c r="J5" s="3">
        <f t="shared" si="0"/>
        <v>75</v>
      </c>
      <c r="K5" s="3">
        <f t="shared" si="1"/>
        <v>10</v>
      </c>
    </row>
    <row r="6" spans="1:11" x14ac:dyDescent="0.2">
      <c r="A6" t="s">
        <v>2101</v>
      </c>
      <c r="B6">
        <f>'2019'!B6+'2020'!B6+'2021'!B6</f>
        <v>62</v>
      </c>
      <c r="C6">
        <f>'2019'!C6+'2020'!C6+'2021'!C6</f>
        <v>92</v>
      </c>
      <c r="D6">
        <f>'2019'!D6+'2020'!D6+'2021'!D6</f>
        <v>1</v>
      </c>
      <c r="E6">
        <f>'2019'!E6+'2020'!E6+'2021'!E6</f>
        <v>1</v>
      </c>
      <c r="F6">
        <f>'2019'!F6+'2020'!F6+'2021'!F6</f>
        <v>0</v>
      </c>
      <c r="G6">
        <f>'2019'!G6+'2020'!G6+'2021'!G6</f>
        <v>3</v>
      </c>
      <c r="H6">
        <f>'2019'!H6+'2020'!H6+'2021'!H6</f>
        <v>0</v>
      </c>
      <c r="I6">
        <f>'2019'!I6+'2020'!I6+'2021'!I6</f>
        <v>159</v>
      </c>
      <c r="J6" s="3">
        <f t="shared" si="0"/>
        <v>96.9</v>
      </c>
      <c r="K6" s="3">
        <f t="shared" si="1"/>
        <v>1.8867924528301887</v>
      </c>
    </row>
    <row r="7" spans="1:11" x14ac:dyDescent="0.2">
      <c r="A7" t="s">
        <v>2102</v>
      </c>
      <c r="B7">
        <f>'2019'!B7+'2020'!B7+'2021'!B7</f>
        <v>49</v>
      </c>
      <c r="C7">
        <f>'2019'!C7+'2020'!C7+'2021'!C7</f>
        <v>171</v>
      </c>
      <c r="D7">
        <f>'2019'!D7+'2020'!D7+'2021'!D7</f>
        <v>14</v>
      </c>
      <c r="E7">
        <f>'2019'!E7+'2020'!E7+'2021'!E7</f>
        <v>9</v>
      </c>
      <c r="F7">
        <f>'2019'!F7+'2020'!F7+'2021'!F7</f>
        <v>2</v>
      </c>
      <c r="G7">
        <f>'2019'!G7+'2020'!G7+'2021'!G7</f>
        <v>0</v>
      </c>
      <c r="H7">
        <f>'2019'!H7+'2020'!H7+'2021'!H7</f>
        <v>0</v>
      </c>
      <c r="I7">
        <f>'2019'!I7+'2020'!I7+'2021'!I7</f>
        <v>245</v>
      </c>
      <c r="J7" s="3">
        <f t="shared" si="0"/>
        <v>89.8</v>
      </c>
      <c r="K7" s="3">
        <f t="shared" si="1"/>
        <v>0</v>
      </c>
    </row>
    <row r="8" spans="1:11" x14ac:dyDescent="0.2">
      <c r="A8" t="s">
        <v>2103</v>
      </c>
      <c r="B8">
        <f>'2019'!B8+'2020'!B8+'2021'!B8</f>
        <v>46</v>
      </c>
      <c r="C8">
        <f>'2019'!C8+'2020'!C8+'2021'!C8</f>
        <v>47</v>
      </c>
      <c r="D8">
        <f>'2019'!D8+'2020'!D8+'2021'!D8</f>
        <v>2</v>
      </c>
      <c r="E8">
        <f>'2019'!E8+'2020'!E8+'2021'!E8</f>
        <v>2</v>
      </c>
      <c r="F8">
        <f>'2019'!F8+'2020'!F8+'2021'!F8</f>
        <v>2</v>
      </c>
      <c r="G8">
        <f>'2019'!G8+'2020'!G8+'2021'!G8</f>
        <v>0</v>
      </c>
      <c r="H8">
        <f>'2019'!H8+'2020'!H8+'2021'!H8</f>
        <v>0</v>
      </c>
      <c r="I8">
        <f>'2019'!I8+'2020'!I8+'2021'!I8</f>
        <v>99</v>
      </c>
      <c r="J8" s="3">
        <f t="shared" si="0"/>
        <v>93.9</v>
      </c>
      <c r="K8" s="3">
        <f t="shared" si="1"/>
        <v>0</v>
      </c>
    </row>
    <row r="9" spans="1:11" x14ac:dyDescent="0.2">
      <c r="A9" t="s">
        <v>2104</v>
      </c>
      <c r="B9">
        <f>'2019'!B9+'2020'!B9+'2021'!B9</f>
        <v>248</v>
      </c>
      <c r="C9">
        <f>'2019'!C9+'2020'!C9+'2021'!C9</f>
        <v>471</v>
      </c>
      <c r="D9">
        <f>'2019'!D9+'2020'!D9+'2021'!D9</f>
        <v>27</v>
      </c>
      <c r="E9">
        <f>'2019'!E9+'2020'!E9+'2021'!E9</f>
        <v>16</v>
      </c>
      <c r="F9">
        <f>'2019'!F9+'2020'!F9+'2021'!F9</f>
        <v>11</v>
      </c>
      <c r="G9">
        <f>'2019'!G9+'2020'!G9+'2021'!G9</f>
        <v>11</v>
      </c>
      <c r="H9">
        <f>'2019'!H9+'2020'!H9+'2021'!H9</f>
        <v>0</v>
      </c>
      <c r="I9">
        <f>'2019'!I9+'2020'!I9+'2021'!I9</f>
        <v>784</v>
      </c>
      <c r="J9" s="3">
        <f t="shared" si="0"/>
        <v>91.7</v>
      </c>
      <c r="K9" s="3">
        <f t="shared" si="1"/>
        <v>1.403061224489796</v>
      </c>
    </row>
    <row r="10" spans="1:11" x14ac:dyDescent="0.2">
      <c r="A10" t="s">
        <v>2105</v>
      </c>
      <c r="B10">
        <f>'2019'!B10+'2020'!B10+'2021'!B10</f>
        <v>11</v>
      </c>
      <c r="C10">
        <f>'2019'!C10+'2020'!C10+'2021'!C10</f>
        <v>355</v>
      </c>
      <c r="D10">
        <f>'2019'!D10+'2020'!D10+'2021'!D10</f>
        <v>493</v>
      </c>
      <c r="E10">
        <f>'2019'!E10+'2020'!E10+'2021'!E10</f>
        <v>0</v>
      </c>
      <c r="F10">
        <f>'2019'!F10+'2020'!F10+'2021'!F10</f>
        <v>0</v>
      </c>
      <c r="G10">
        <f>'2019'!G10+'2020'!G10+'2021'!G10</f>
        <v>0</v>
      </c>
      <c r="H10">
        <f>'2019'!H10+'2020'!H10+'2021'!H10</f>
        <v>3</v>
      </c>
      <c r="I10">
        <f>'2019'!I10+'2020'!I10+'2021'!I10</f>
        <v>862</v>
      </c>
      <c r="J10" s="3">
        <f t="shared" si="0"/>
        <v>42.5</v>
      </c>
      <c r="K10" s="3">
        <f t="shared" si="1"/>
        <v>0.3480278422273782</v>
      </c>
    </row>
    <row r="11" spans="1:11" x14ac:dyDescent="0.2">
      <c r="A11" t="s">
        <v>2106</v>
      </c>
      <c r="B11">
        <f>'2019'!B11+'2020'!B11+'2021'!B11</f>
        <v>3</v>
      </c>
      <c r="C11">
        <f>'2019'!C11+'2020'!C11+'2021'!C11</f>
        <v>1</v>
      </c>
      <c r="D11">
        <f>'2019'!D11+'2020'!D11+'2021'!D11</f>
        <v>0</v>
      </c>
      <c r="E11">
        <f>'2019'!E11+'2020'!E11+'2021'!E11</f>
        <v>0</v>
      </c>
      <c r="F11">
        <f>'2019'!F11+'2020'!F11+'2021'!F11</f>
        <v>0</v>
      </c>
      <c r="G11">
        <f>'2019'!G11+'2020'!G11+'2021'!G11</f>
        <v>0</v>
      </c>
      <c r="H11">
        <f>'2019'!H11+'2020'!H11+'2021'!H11</f>
        <v>0</v>
      </c>
      <c r="I11">
        <f>'2019'!I11+'2020'!I11+'2021'!I11</f>
        <v>4</v>
      </c>
      <c r="J11" s="3">
        <f t="shared" si="0"/>
        <v>100</v>
      </c>
      <c r="K11" s="3">
        <f t="shared" si="1"/>
        <v>0</v>
      </c>
    </row>
    <row r="12" spans="1:11" x14ac:dyDescent="0.2">
      <c r="A12" t="s">
        <v>2107</v>
      </c>
      <c r="B12">
        <f>'2019'!B12+'2020'!B12+'2021'!B12</f>
        <v>1</v>
      </c>
      <c r="C12">
        <f>'2019'!C12+'2020'!C12+'2021'!C12</f>
        <v>5</v>
      </c>
      <c r="D12">
        <f>'2019'!D12+'2020'!D12+'2021'!D12</f>
        <v>0</v>
      </c>
      <c r="E12">
        <f>'2019'!E12+'2020'!E12+'2021'!E12</f>
        <v>0</v>
      </c>
      <c r="F12">
        <f>'2019'!F12+'2020'!F12+'2021'!F12</f>
        <v>0</v>
      </c>
      <c r="G12">
        <f>'2019'!G12+'2020'!G12+'2021'!G12</f>
        <v>0</v>
      </c>
      <c r="H12">
        <f>'2019'!H12+'2020'!H12+'2021'!H12</f>
        <v>0</v>
      </c>
      <c r="I12">
        <f>'2019'!I12+'2020'!I12+'2021'!I12</f>
        <v>6</v>
      </c>
      <c r="J12" s="3">
        <f t="shared" si="0"/>
        <v>100</v>
      </c>
      <c r="K12" s="3">
        <f t="shared" si="1"/>
        <v>0</v>
      </c>
    </row>
    <row r="13" spans="1:11" x14ac:dyDescent="0.2">
      <c r="A13" t="s">
        <v>2108</v>
      </c>
      <c r="B13">
        <f>'2019'!B13+'2020'!B13+'2021'!B13</f>
        <v>0</v>
      </c>
      <c r="C13">
        <f>'2019'!C13+'2020'!C13+'2021'!C13</f>
        <v>3</v>
      </c>
      <c r="D13">
        <f>'2019'!D13+'2020'!D13+'2021'!D13</f>
        <v>0</v>
      </c>
      <c r="E13">
        <f>'2019'!E13+'2020'!E13+'2021'!E13</f>
        <v>0</v>
      </c>
      <c r="F13">
        <f>'2019'!F13+'2020'!F13+'2021'!F13</f>
        <v>0</v>
      </c>
      <c r="G13">
        <f>'2019'!G13+'2020'!G13+'2021'!G13</f>
        <v>0</v>
      </c>
      <c r="H13">
        <f>'2019'!H13+'2020'!H13+'2021'!H13</f>
        <v>0</v>
      </c>
      <c r="I13">
        <f>'2019'!I13+'2020'!I13+'2021'!I13</f>
        <v>3</v>
      </c>
      <c r="J13" s="3">
        <f t="shared" si="0"/>
        <v>100</v>
      </c>
      <c r="K13" s="3">
        <f t="shared" si="1"/>
        <v>0</v>
      </c>
    </row>
    <row r="14" spans="1:11" x14ac:dyDescent="0.2">
      <c r="A14" t="s">
        <v>2109</v>
      </c>
      <c r="B14">
        <f>'2019'!B14+'2020'!B14+'2021'!B14</f>
        <v>15</v>
      </c>
      <c r="C14">
        <f>'2019'!C14+'2020'!C14+'2021'!C14</f>
        <v>364</v>
      </c>
      <c r="D14">
        <f>'2019'!D14+'2020'!D14+'2021'!D14</f>
        <v>493</v>
      </c>
      <c r="E14">
        <f>'2019'!E14+'2020'!E14+'2021'!E14</f>
        <v>0</v>
      </c>
      <c r="F14">
        <f>'2019'!F14+'2020'!F14+'2021'!F14</f>
        <v>0</v>
      </c>
      <c r="G14">
        <f>'2019'!G14+'2020'!G14+'2021'!G14</f>
        <v>0</v>
      </c>
      <c r="H14">
        <f>'2019'!H14+'2020'!H14+'2021'!H14</f>
        <v>3</v>
      </c>
      <c r="I14">
        <f>'2019'!I14+'2020'!I14+'2021'!I14</f>
        <v>875</v>
      </c>
      <c r="J14" s="3">
        <f t="shared" si="0"/>
        <v>43.3</v>
      </c>
      <c r="K14" s="3">
        <f t="shared" si="1"/>
        <v>0.34285714285714286</v>
      </c>
    </row>
    <row r="15" spans="1:11" x14ac:dyDescent="0.2">
      <c r="A15" t="s">
        <v>2110</v>
      </c>
      <c r="B15">
        <f>'2019'!B15+'2020'!B15+'2021'!B15</f>
        <v>25</v>
      </c>
      <c r="C15">
        <f>'2019'!C15+'2020'!C15+'2021'!C15</f>
        <v>10</v>
      </c>
      <c r="D15">
        <f>'2019'!D15+'2020'!D15+'2021'!D15</f>
        <v>1</v>
      </c>
      <c r="E15">
        <f>'2019'!E15+'2020'!E15+'2021'!E15</f>
        <v>1</v>
      </c>
      <c r="F15">
        <f>'2019'!F15+'2020'!F15+'2021'!F15</f>
        <v>3</v>
      </c>
      <c r="G15">
        <f>'2019'!G15+'2020'!G15+'2021'!G15</f>
        <v>6</v>
      </c>
      <c r="H15">
        <f>'2019'!H15+'2020'!H15+'2021'!H15</f>
        <v>13</v>
      </c>
      <c r="I15">
        <f>'2019'!I15+'2020'!I15+'2021'!I15</f>
        <v>59</v>
      </c>
      <c r="J15" s="3">
        <f t="shared" si="0"/>
        <v>59.3</v>
      </c>
      <c r="K15" s="3">
        <f t="shared" si="1"/>
        <v>32.203389830508478</v>
      </c>
    </row>
    <row r="16" spans="1:11" x14ac:dyDescent="0.2">
      <c r="A16" t="s">
        <v>2111</v>
      </c>
      <c r="B16">
        <f>'2019'!B16+'2020'!B16+'2021'!B16</f>
        <v>0</v>
      </c>
      <c r="C16">
        <f>'2019'!C16+'2020'!C16+'2021'!C16</f>
        <v>0</v>
      </c>
      <c r="D16">
        <f>'2019'!D16+'2020'!D16+'2021'!D16</f>
        <v>1</v>
      </c>
      <c r="E16">
        <f>'2019'!E16+'2020'!E16+'2021'!E16</f>
        <v>7</v>
      </c>
      <c r="F16">
        <f>'2019'!F16+'2020'!F16+'2021'!F16</f>
        <v>2</v>
      </c>
      <c r="G16">
        <f>'2019'!G16+'2020'!G16+'2021'!G16</f>
        <v>7</v>
      </c>
      <c r="H16">
        <f>'2019'!H16+'2020'!H16+'2021'!H16</f>
        <v>4</v>
      </c>
      <c r="I16">
        <f>'2019'!I16+'2020'!I16+'2021'!I16</f>
        <v>21</v>
      </c>
      <c r="J16" s="3">
        <f t="shared" si="0"/>
        <v>0</v>
      </c>
      <c r="K16" s="3">
        <f t="shared" si="1"/>
        <v>52.38095238095238</v>
      </c>
    </row>
    <row r="17" spans="1:11" x14ac:dyDescent="0.2">
      <c r="A17" t="s">
        <v>2112</v>
      </c>
      <c r="B17">
        <f>'2019'!B17+'2020'!B17+'2021'!B17</f>
        <v>22</v>
      </c>
      <c r="C17">
        <f>'2019'!C17+'2020'!C17+'2021'!C17</f>
        <v>20</v>
      </c>
      <c r="D17">
        <f>'2019'!D17+'2020'!D17+'2021'!D17</f>
        <v>30</v>
      </c>
      <c r="E17">
        <f>'2019'!E17+'2020'!E17+'2021'!E17</f>
        <v>18</v>
      </c>
      <c r="F17">
        <f>'2019'!F17+'2020'!F17+'2021'!F17</f>
        <v>9</v>
      </c>
      <c r="G17">
        <f>'2019'!G17+'2020'!G17+'2021'!G17</f>
        <v>43</v>
      </c>
      <c r="H17">
        <f>'2019'!H17+'2020'!H17+'2021'!H17</f>
        <v>24</v>
      </c>
      <c r="I17">
        <f>'2019'!I17+'2020'!I17+'2021'!I17</f>
        <v>166</v>
      </c>
      <c r="J17" s="3">
        <f t="shared" si="0"/>
        <v>25.3</v>
      </c>
      <c r="K17" s="3">
        <f t="shared" si="1"/>
        <v>40.361445783132531</v>
      </c>
    </row>
    <row r="18" spans="1:11" x14ac:dyDescent="0.2">
      <c r="A18" t="s">
        <v>2113</v>
      </c>
      <c r="B18">
        <f>'2019'!B18+'2020'!B18+'2021'!B18</f>
        <v>180</v>
      </c>
      <c r="C18">
        <f>'2019'!C18+'2020'!C18+'2021'!C18</f>
        <v>116</v>
      </c>
      <c r="D18">
        <f>'2019'!D18+'2020'!D18+'2021'!D18</f>
        <v>118</v>
      </c>
      <c r="E18">
        <f>'2019'!E18+'2020'!E18+'2021'!E18</f>
        <v>87</v>
      </c>
      <c r="F18">
        <f>'2019'!F18+'2020'!F18+'2021'!F18</f>
        <v>65</v>
      </c>
      <c r="G18">
        <f>'2019'!G18+'2020'!G18+'2021'!G18</f>
        <v>132</v>
      </c>
      <c r="H18">
        <f>'2019'!H18+'2020'!H18+'2021'!H18</f>
        <v>78</v>
      </c>
      <c r="I18">
        <f>'2019'!I18+'2020'!I18+'2021'!I18</f>
        <v>776</v>
      </c>
      <c r="J18" s="3">
        <f t="shared" si="0"/>
        <v>38.1</v>
      </c>
      <c r="K18" s="3">
        <f t="shared" si="1"/>
        <v>27.061855670103093</v>
      </c>
    </row>
    <row r="19" spans="1:11" x14ac:dyDescent="0.2">
      <c r="A19" t="s">
        <v>2114</v>
      </c>
      <c r="B19">
        <f>'2019'!B19+'2020'!B19+'2021'!B19</f>
        <v>108</v>
      </c>
      <c r="C19">
        <f>'2019'!C19+'2020'!C19+'2021'!C19</f>
        <v>46</v>
      </c>
      <c r="D19">
        <f>'2019'!D19+'2020'!D19+'2021'!D19</f>
        <v>31</v>
      </c>
      <c r="E19">
        <f>'2019'!E19+'2020'!E19+'2021'!E19</f>
        <v>20</v>
      </c>
      <c r="F19">
        <f>'2019'!F19+'2020'!F19+'2021'!F19</f>
        <v>8</v>
      </c>
      <c r="G19">
        <f>'2019'!G19+'2020'!G19+'2021'!G19</f>
        <v>8</v>
      </c>
      <c r="H19">
        <f>'2019'!H19+'2020'!H19+'2021'!H19</f>
        <v>10</v>
      </c>
      <c r="I19">
        <f>'2019'!I19+'2020'!I19+'2021'!I19</f>
        <v>231</v>
      </c>
      <c r="J19" s="3">
        <f t="shared" si="0"/>
        <v>66.7</v>
      </c>
      <c r="K19" s="3">
        <f t="shared" si="1"/>
        <v>7.7922077922077921</v>
      </c>
    </row>
    <row r="20" spans="1:11" x14ac:dyDescent="0.2">
      <c r="A20" t="s">
        <v>2115</v>
      </c>
      <c r="B20">
        <f>'2019'!B20+'2020'!B20+'2021'!B20</f>
        <v>6</v>
      </c>
      <c r="C20">
        <f>'2019'!C20+'2020'!C20+'2021'!C20</f>
        <v>3</v>
      </c>
      <c r="D20">
        <f>'2019'!D20+'2020'!D20+'2021'!D20</f>
        <v>0</v>
      </c>
      <c r="E20">
        <f>'2019'!E20+'2020'!E20+'2021'!E20</f>
        <v>1</v>
      </c>
      <c r="F20">
        <f>'2019'!F20+'2020'!F20+'2021'!F20</f>
        <v>0</v>
      </c>
      <c r="G20">
        <f>'2019'!G20+'2020'!G20+'2021'!G20</f>
        <v>0</v>
      </c>
      <c r="H20">
        <f>'2019'!H20+'2020'!H20+'2021'!H20</f>
        <v>0</v>
      </c>
      <c r="I20">
        <f>'2019'!I20+'2020'!I20+'2021'!I20</f>
        <v>10</v>
      </c>
      <c r="J20" s="3">
        <f t="shared" si="0"/>
        <v>90</v>
      </c>
      <c r="K20" s="3">
        <f t="shared" si="1"/>
        <v>0</v>
      </c>
    </row>
    <row r="21" spans="1:11" x14ac:dyDescent="0.2">
      <c r="A21" t="s">
        <v>2116</v>
      </c>
      <c r="B21">
        <f>'2019'!B21+'2020'!B21+'2021'!B21</f>
        <v>341</v>
      </c>
      <c r="C21">
        <f>'2019'!C21+'2020'!C21+'2021'!C21</f>
        <v>195</v>
      </c>
      <c r="D21">
        <f>'2019'!D21+'2020'!D21+'2021'!D21</f>
        <v>181</v>
      </c>
      <c r="E21">
        <f>'2019'!E21+'2020'!E21+'2021'!E21</f>
        <v>134</v>
      </c>
      <c r="F21">
        <f>'2019'!F21+'2020'!F21+'2021'!F21</f>
        <v>87</v>
      </c>
      <c r="G21">
        <f>'2019'!G21+'2020'!G21+'2021'!G21</f>
        <v>196</v>
      </c>
      <c r="H21">
        <f>'2019'!H21+'2020'!H21+'2021'!H21</f>
        <v>129</v>
      </c>
      <c r="I21">
        <f>'2019'!I21+'2020'!I21+'2021'!I21</f>
        <v>1263</v>
      </c>
      <c r="J21" s="3">
        <f t="shared" si="0"/>
        <v>42.4</v>
      </c>
      <c r="K21" s="3">
        <f t="shared" si="1"/>
        <v>25.732383214568486</v>
      </c>
    </row>
    <row r="22" spans="1:11" x14ac:dyDescent="0.2">
      <c r="A22" t="s">
        <v>2117</v>
      </c>
      <c r="B22">
        <f>'2019'!B22+'2020'!B22+'2021'!B22</f>
        <v>210</v>
      </c>
      <c r="C22">
        <f>'2019'!C22+'2020'!C22+'2021'!C22</f>
        <v>307</v>
      </c>
      <c r="D22">
        <f>'2019'!D22+'2020'!D22+'2021'!D22</f>
        <v>25</v>
      </c>
      <c r="E22">
        <f>'2019'!E22+'2020'!E22+'2021'!E22</f>
        <v>5</v>
      </c>
      <c r="F22">
        <f>'2019'!F22+'2020'!F22+'2021'!F22</f>
        <v>1</v>
      </c>
      <c r="G22">
        <f>'2019'!G22+'2020'!G22+'2021'!G22</f>
        <v>8</v>
      </c>
      <c r="H22">
        <f>'2019'!H22+'2020'!H22+'2021'!H22</f>
        <v>1</v>
      </c>
      <c r="I22">
        <f>'2019'!I22+'2020'!I22+'2021'!I22</f>
        <v>557</v>
      </c>
      <c r="J22" s="3">
        <f t="shared" si="0"/>
        <v>92.8</v>
      </c>
      <c r="K22" s="3">
        <f t="shared" si="1"/>
        <v>1.6157989228007181</v>
      </c>
    </row>
    <row r="23" spans="1:11" x14ac:dyDescent="0.2">
      <c r="A23" t="s">
        <v>2118</v>
      </c>
      <c r="B23">
        <f>'2019'!B23+'2020'!B23+'2021'!B23</f>
        <v>170</v>
      </c>
      <c r="C23">
        <f>'2019'!C23+'2020'!C23+'2021'!C23</f>
        <v>230</v>
      </c>
      <c r="D23">
        <f>'2019'!D23+'2020'!D23+'2021'!D23</f>
        <v>12</v>
      </c>
      <c r="E23">
        <f>'2019'!E23+'2020'!E23+'2021'!E23</f>
        <v>4</v>
      </c>
      <c r="F23">
        <f>'2019'!F23+'2020'!F23+'2021'!F23</f>
        <v>3</v>
      </c>
      <c r="G23">
        <f>'2019'!G23+'2020'!G23+'2021'!G23</f>
        <v>16</v>
      </c>
      <c r="H23">
        <f>'2019'!H23+'2020'!H23+'2021'!H23</f>
        <v>2</v>
      </c>
      <c r="I23">
        <f>'2019'!I23+'2020'!I23+'2021'!I23</f>
        <v>437</v>
      </c>
      <c r="J23" s="3">
        <f t="shared" si="0"/>
        <v>91.5</v>
      </c>
      <c r="K23" s="3">
        <f t="shared" si="1"/>
        <v>4.1189931350114417</v>
      </c>
    </row>
    <row r="24" spans="1:11" x14ac:dyDescent="0.2">
      <c r="A24" t="s">
        <v>2119</v>
      </c>
      <c r="B24">
        <f>'2019'!B24+'2020'!B24+'2021'!B24</f>
        <v>185</v>
      </c>
      <c r="C24">
        <f>'2019'!C24+'2020'!C24+'2021'!C24</f>
        <v>224</v>
      </c>
      <c r="D24">
        <f>'2019'!D24+'2020'!D24+'2021'!D24</f>
        <v>40</v>
      </c>
      <c r="E24">
        <f>'2019'!E24+'2020'!E24+'2021'!E24</f>
        <v>13</v>
      </c>
      <c r="F24">
        <f>'2019'!F24+'2020'!F24+'2021'!F24</f>
        <v>9</v>
      </c>
      <c r="G24">
        <f>'2019'!G24+'2020'!G24+'2021'!G24</f>
        <v>14</v>
      </c>
      <c r="H24">
        <f>'2019'!H24+'2020'!H24+'2021'!H24</f>
        <v>3</v>
      </c>
      <c r="I24">
        <f>'2019'!I24+'2020'!I24+'2021'!I24</f>
        <v>488</v>
      </c>
      <c r="J24" s="3">
        <f t="shared" si="0"/>
        <v>83.8</v>
      </c>
      <c r="K24" s="3">
        <f t="shared" si="1"/>
        <v>3.4836065573770494</v>
      </c>
    </row>
    <row r="25" spans="1:11" x14ac:dyDescent="0.2">
      <c r="A25" t="s">
        <v>2120</v>
      </c>
      <c r="B25">
        <f>'2019'!B25+'2020'!B25+'2021'!B25</f>
        <v>168</v>
      </c>
      <c r="C25">
        <f>'2019'!C25+'2020'!C25+'2021'!C25</f>
        <v>134</v>
      </c>
      <c r="D25">
        <f>'2019'!D25+'2020'!D25+'2021'!D25</f>
        <v>31</v>
      </c>
      <c r="E25">
        <f>'2019'!E25+'2020'!E25+'2021'!E25</f>
        <v>8</v>
      </c>
      <c r="F25">
        <f>'2019'!F25+'2020'!F25+'2021'!F25</f>
        <v>10</v>
      </c>
      <c r="G25">
        <f>'2019'!G25+'2020'!G25+'2021'!G25</f>
        <v>6</v>
      </c>
      <c r="H25">
        <f>'2019'!H25+'2020'!H25+'2021'!H25</f>
        <v>0</v>
      </c>
      <c r="I25">
        <f>'2019'!I25+'2020'!I25+'2021'!I25</f>
        <v>357</v>
      </c>
      <c r="J25" s="3">
        <f t="shared" si="0"/>
        <v>84.6</v>
      </c>
      <c r="K25" s="3">
        <f t="shared" si="1"/>
        <v>1.680672268907563</v>
      </c>
    </row>
    <row r="26" spans="1:11" x14ac:dyDescent="0.2">
      <c r="A26" t="s">
        <v>2121</v>
      </c>
      <c r="B26">
        <f>'2019'!B26+'2020'!B26+'2021'!B26</f>
        <v>15</v>
      </c>
      <c r="C26">
        <f>'2019'!C26+'2020'!C26+'2021'!C26</f>
        <v>3</v>
      </c>
      <c r="D26">
        <f>'2019'!D26+'2020'!D26+'2021'!D26</f>
        <v>0</v>
      </c>
      <c r="E26">
        <f>'2019'!E26+'2020'!E26+'2021'!E26</f>
        <v>0</v>
      </c>
      <c r="F26">
        <f>'2019'!F26+'2020'!F26+'2021'!F26</f>
        <v>0</v>
      </c>
      <c r="G26">
        <f>'2019'!G26+'2020'!G26+'2021'!G26</f>
        <v>0</v>
      </c>
      <c r="H26">
        <f>'2019'!H26+'2020'!H26+'2021'!H26</f>
        <v>0</v>
      </c>
      <c r="I26">
        <f>'2019'!I26+'2020'!I26+'2021'!I26</f>
        <v>18</v>
      </c>
      <c r="J26" s="3">
        <f t="shared" si="0"/>
        <v>100</v>
      </c>
      <c r="K26" s="3">
        <f t="shared" si="1"/>
        <v>0</v>
      </c>
    </row>
    <row r="27" spans="1:11" x14ac:dyDescent="0.2">
      <c r="A27" t="s">
        <v>2122</v>
      </c>
      <c r="B27">
        <f>'2019'!B27+'2020'!B27+'2021'!B27</f>
        <v>53</v>
      </c>
      <c r="C27">
        <f>'2019'!C27+'2020'!C27+'2021'!C27</f>
        <v>36</v>
      </c>
      <c r="D27">
        <f>'2019'!D27+'2020'!D27+'2021'!D27</f>
        <v>3</v>
      </c>
      <c r="E27">
        <f>'2019'!E27+'2020'!E27+'2021'!E27</f>
        <v>2</v>
      </c>
      <c r="F27">
        <f>'2019'!F27+'2020'!F27+'2021'!F27</f>
        <v>0</v>
      </c>
      <c r="G27">
        <f>'2019'!G27+'2020'!G27+'2021'!G27</f>
        <v>0</v>
      </c>
      <c r="H27">
        <f>'2019'!H27+'2020'!H27+'2021'!H27</f>
        <v>0</v>
      </c>
      <c r="I27">
        <f>'2019'!I27+'2020'!I27+'2021'!I27</f>
        <v>94</v>
      </c>
      <c r="J27" s="3">
        <f t="shared" si="0"/>
        <v>94.7</v>
      </c>
      <c r="K27" s="3">
        <f t="shared" si="1"/>
        <v>0</v>
      </c>
    </row>
    <row r="28" spans="1:11" x14ac:dyDescent="0.2">
      <c r="A28" t="s">
        <v>2123</v>
      </c>
      <c r="B28">
        <f>'2019'!B28+'2020'!B28+'2021'!B28</f>
        <v>58</v>
      </c>
      <c r="C28">
        <f>'2019'!C28+'2020'!C28+'2021'!C28</f>
        <v>24</v>
      </c>
      <c r="D28">
        <f>'2019'!D28+'2020'!D28+'2021'!D28</f>
        <v>2</v>
      </c>
      <c r="E28">
        <f>'2019'!E28+'2020'!E28+'2021'!E28</f>
        <v>0</v>
      </c>
      <c r="F28">
        <f>'2019'!F28+'2020'!F28+'2021'!F28</f>
        <v>0</v>
      </c>
      <c r="G28">
        <f>'2019'!G28+'2020'!G28+'2021'!G28</f>
        <v>0</v>
      </c>
      <c r="H28">
        <f>'2019'!H28+'2020'!H28+'2021'!H28</f>
        <v>0</v>
      </c>
      <c r="I28">
        <f>'2019'!I28+'2020'!I28+'2021'!I28</f>
        <v>84</v>
      </c>
      <c r="J28" s="3">
        <f t="shared" si="0"/>
        <v>97.6</v>
      </c>
      <c r="K28" s="3">
        <f t="shared" si="1"/>
        <v>0</v>
      </c>
    </row>
    <row r="29" spans="1:11" x14ac:dyDescent="0.2">
      <c r="A29" t="s">
        <v>2124</v>
      </c>
      <c r="B29">
        <f>'2019'!B29+'2020'!B29+'2021'!B29</f>
        <v>859</v>
      </c>
      <c r="C29">
        <f>'2019'!C29+'2020'!C29+'2021'!C29</f>
        <v>958</v>
      </c>
      <c r="D29">
        <f>'2019'!D29+'2020'!D29+'2021'!D29</f>
        <v>113</v>
      </c>
      <c r="E29">
        <f>'2019'!E29+'2020'!E29+'2021'!E29</f>
        <v>32</v>
      </c>
      <c r="F29">
        <f>'2019'!F29+'2020'!F29+'2021'!F29</f>
        <v>23</v>
      </c>
      <c r="G29">
        <f>'2019'!G29+'2020'!G29+'2021'!G29</f>
        <v>44</v>
      </c>
      <c r="H29">
        <f>'2019'!H29+'2020'!H29+'2021'!H29</f>
        <v>6</v>
      </c>
      <c r="I29">
        <f>'2019'!I29+'2020'!I29+'2021'!I29</f>
        <v>2035</v>
      </c>
      <c r="J29" s="3">
        <f t="shared" si="0"/>
        <v>89.3</v>
      </c>
      <c r="K29" s="3">
        <f t="shared" si="1"/>
        <v>2.4570024570024569</v>
      </c>
    </row>
    <row r="30" spans="1:11" x14ac:dyDescent="0.2">
      <c r="A30" t="s">
        <v>2125</v>
      </c>
      <c r="B30">
        <f>'2019'!B30+'2020'!B30+'2021'!B30</f>
        <v>17</v>
      </c>
      <c r="C30">
        <f>'2019'!C30+'2020'!C30+'2021'!C30</f>
        <v>46</v>
      </c>
      <c r="D30">
        <f>'2019'!D30+'2020'!D30+'2021'!D30</f>
        <v>22</v>
      </c>
      <c r="E30">
        <f>'2019'!E30+'2020'!E30+'2021'!E30</f>
        <v>20</v>
      </c>
      <c r="F30">
        <f>'2019'!F30+'2020'!F30+'2021'!F30</f>
        <v>21</v>
      </c>
      <c r="G30">
        <f>'2019'!G30+'2020'!G30+'2021'!G30</f>
        <v>78</v>
      </c>
      <c r="H30">
        <f>'2019'!H30+'2020'!H30+'2021'!H30</f>
        <v>51</v>
      </c>
      <c r="I30">
        <f>'2019'!I30+'2020'!I30+'2021'!I30</f>
        <v>255</v>
      </c>
      <c r="J30" s="3">
        <f t="shared" si="0"/>
        <v>24.7</v>
      </c>
      <c r="K30" s="3">
        <f t="shared" si="1"/>
        <v>50.588235294117645</v>
      </c>
    </row>
    <row r="31" spans="1:11" x14ac:dyDescent="0.2">
      <c r="A31" t="s">
        <v>2126</v>
      </c>
      <c r="B31">
        <f>'2019'!B31+'2020'!B31+'2021'!B31</f>
        <v>4</v>
      </c>
      <c r="C31">
        <f>'2019'!C31+'2020'!C31+'2021'!C31</f>
        <v>7</v>
      </c>
      <c r="D31">
        <f>'2019'!D31+'2020'!D31+'2021'!D31</f>
        <v>7</v>
      </c>
      <c r="E31">
        <f>'2019'!E31+'2020'!E31+'2021'!E31</f>
        <v>19</v>
      </c>
      <c r="F31">
        <f>'2019'!F31+'2020'!F31+'2021'!F31</f>
        <v>17</v>
      </c>
      <c r="G31">
        <f>'2019'!G31+'2020'!G31+'2021'!G31</f>
        <v>28</v>
      </c>
      <c r="H31">
        <f>'2019'!H31+'2020'!H31+'2021'!H31</f>
        <v>23</v>
      </c>
      <c r="I31">
        <f>'2019'!I31+'2020'!I31+'2021'!I31</f>
        <v>105</v>
      </c>
      <c r="J31" s="3">
        <f t="shared" si="0"/>
        <v>10.5</v>
      </c>
      <c r="K31" s="3">
        <f t="shared" si="1"/>
        <v>48.571428571428569</v>
      </c>
    </row>
    <row r="32" spans="1:11" x14ac:dyDescent="0.2">
      <c r="A32" t="s">
        <v>2127</v>
      </c>
      <c r="B32">
        <f>'2019'!B32+'2020'!B32+'2021'!B32</f>
        <v>30</v>
      </c>
      <c r="C32">
        <f>'2019'!C32+'2020'!C32+'2021'!C32</f>
        <v>32</v>
      </c>
      <c r="D32">
        <f>'2019'!D32+'2020'!D32+'2021'!D32</f>
        <v>24</v>
      </c>
      <c r="E32">
        <f>'2019'!E32+'2020'!E32+'2021'!E32</f>
        <v>13</v>
      </c>
      <c r="F32">
        <f>'2019'!F32+'2020'!F32+'2021'!F32</f>
        <v>6</v>
      </c>
      <c r="G32">
        <f>'2019'!G32+'2020'!G32+'2021'!G32</f>
        <v>15</v>
      </c>
      <c r="H32">
        <f>'2019'!H32+'2020'!H32+'2021'!H32</f>
        <v>2</v>
      </c>
      <c r="I32">
        <f>'2019'!I32+'2020'!I32+'2021'!I32</f>
        <v>122</v>
      </c>
      <c r="J32" s="3">
        <f t="shared" si="0"/>
        <v>50.8</v>
      </c>
      <c r="K32" s="3">
        <f t="shared" si="1"/>
        <v>13.934426229508198</v>
      </c>
    </row>
    <row r="33" spans="1:11" x14ac:dyDescent="0.2">
      <c r="A33" t="s">
        <v>2128</v>
      </c>
      <c r="B33">
        <f>'2019'!B33+'2020'!B33+'2021'!B33</f>
        <v>76</v>
      </c>
      <c r="C33">
        <f>'2019'!C33+'2020'!C33+'2021'!C33</f>
        <v>108</v>
      </c>
      <c r="D33">
        <f>'2019'!D33+'2020'!D33+'2021'!D33</f>
        <v>41</v>
      </c>
      <c r="E33">
        <f>'2019'!E33+'2020'!E33+'2021'!E33</f>
        <v>21</v>
      </c>
      <c r="F33">
        <f>'2019'!F33+'2020'!F33+'2021'!F33</f>
        <v>5</v>
      </c>
      <c r="G33">
        <f>'2019'!G33+'2020'!G33+'2021'!G33</f>
        <v>11</v>
      </c>
      <c r="H33">
        <f>'2019'!H33+'2020'!H33+'2021'!H33</f>
        <v>4</v>
      </c>
      <c r="I33">
        <f>'2019'!I33+'2020'!I33+'2021'!I33</f>
        <v>266</v>
      </c>
      <c r="J33" s="3">
        <f t="shared" si="0"/>
        <v>69.2</v>
      </c>
      <c r="K33" s="3">
        <f t="shared" si="1"/>
        <v>5.6390977443609023</v>
      </c>
    </row>
    <row r="34" spans="1:11" x14ac:dyDescent="0.2">
      <c r="A34" t="s">
        <v>2129</v>
      </c>
      <c r="B34">
        <f>'2019'!B34+'2020'!B34+'2021'!B34</f>
        <v>8</v>
      </c>
      <c r="C34">
        <f>'2019'!C34+'2020'!C34+'2021'!C34</f>
        <v>5</v>
      </c>
      <c r="D34">
        <f>'2019'!D34+'2020'!D34+'2021'!D34</f>
        <v>6</v>
      </c>
      <c r="E34">
        <f>'2019'!E34+'2020'!E34+'2021'!E34</f>
        <v>3</v>
      </c>
      <c r="F34">
        <f>'2019'!F34+'2020'!F34+'2021'!F34</f>
        <v>13</v>
      </c>
      <c r="G34">
        <f>'2019'!G34+'2020'!G34+'2021'!G34</f>
        <v>4</v>
      </c>
      <c r="H34">
        <f>'2019'!H34+'2020'!H34+'2021'!H34</f>
        <v>7</v>
      </c>
      <c r="I34">
        <f>'2019'!I34+'2020'!I34+'2021'!I34</f>
        <v>46</v>
      </c>
      <c r="J34" s="3">
        <f t="shared" si="0"/>
        <v>28.3</v>
      </c>
      <c r="K34" s="3">
        <f t="shared" si="1"/>
        <v>23.913043478260871</v>
      </c>
    </row>
    <row r="35" spans="1:11" x14ac:dyDescent="0.2">
      <c r="A35" t="s">
        <v>2130</v>
      </c>
      <c r="B35">
        <f>'2019'!B35+'2020'!B35+'2021'!B35</f>
        <v>52</v>
      </c>
      <c r="C35">
        <f>'2019'!C35+'2020'!C35+'2021'!C35</f>
        <v>33</v>
      </c>
      <c r="D35">
        <f>'2019'!D35+'2020'!D35+'2021'!D35</f>
        <v>16</v>
      </c>
      <c r="E35">
        <f>'2019'!E35+'2020'!E35+'2021'!E35</f>
        <v>7</v>
      </c>
      <c r="F35">
        <f>'2019'!F35+'2020'!F35+'2021'!F35</f>
        <v>5</v>
      </c>
      <c r="G35">
        <f>'2019'!G35+'2020'!G35+'2021'!G35</f>
        <v>0</v>
      </c>
      <c r="H35">
        <f>'2019'!H35+'2020'!H35+'2021'!H35</f>
        <v>0</v>
      </c>
      <c r="I35">
        <f>'2019'!I35+'2020'!I35+'2021'!I35</f>
        <v>113</v>
      </c>
      <c r="J35" s="3">
        <f t="shared" si="0"/>
        <v>75.2</v>
      </c>
      <c r="K35" s="3">
        <f t="shared" si="1"/>
        <v>0</v>
      </c>
    </row>
    <row r="36" spans="1:11" x14ac:dyDescent="0.2">
      <c r="A36" t="s">
        <v>2131</v>
      </c>
      <c r="B36">
        <f>'2019'!B36+'2020'!B36+'2021'!B36</f>
        <v>15</v>
      </c>
      <c r="C36">
        <f>'2019'!C36+'2020'!C36+'2021'!C36</f>
        <v>3</v>
      </c>
      <c r="D36">
        <f>'2019'!D36+'2020'!D36+'2021'!D36</f>
        <v>0</v>
      </c>
      <c r="E36">
        <f>'2019'!E36+'2020'!E36+'2021'!E36</f>
        <v>0</v>
      </c>
      <c r="F36">
        <f>'2019'!F36+'2020'!F36+'2021'!F36</f>
        <v>0</v>
      </c>
      <c r="G36">
        <f>'2019'!G36+'2020'!G36+'2021'!G36</f>
        <v>0</v>
      </c>
      <c r="H36">
        <f>'2019'!H36+'2020'!H36+'2021'!H36</f>
        <v>0</v>
      </c>
      <c r="I36">
        <f>'2019'!I36+'2020'!I36+'2021'!I36</f>
        <v>18</v>
      </c>
      <c r="J36" s="3">
        <f t="shared" si="0"/>
        <v>100</v>
      </c>
      <c r="K36" s="3">
        <f t="shared" si="1"/>
        <v>0</v>
      </c>
    </row>
    <row r="37" spans="1:11" x14ac:dyDescent="0.2">
      <c r="A37" t="s">
        <v>2132</v>
      </c>
      <c r="B37">
        <f>'2019'!B37+'2020'!B37+'2021'!B37</f>
        <v>202</v>
      </c>
      <c r="C37">
        <f>'2019'!C37+'2020'!C37+'2021'!C37</f>
        <v>234</v>
      </c>
      <c r="D37">
        <f>'2019'!D37+'2020'!D37+'2021'!D37</f>
        <v>116</v>
      </c>
      <c r="E37">
        <f>'2019'!E37+'2020'!E37+'2021'!E37</f>
        <v>83</v>
      </c>
      <c r="F37">
        <f>'2019'!F37+'2020'!F37+'2021'!F37</f>
        <v>67</v>
      </c>
      <c r="G37">
        <f>'2019'!G37+'2020'!G37+'2021'!G37</f>
        <v>136</v>
      </c>
      <c r="H37">
        <f>'2019'!H37+'2020'!H37+'2021'!H37</f>
        <v>87</v>
      </c>
      <c r="I37">
        <f>'2019'!I37+'2020'!I37+'2021'!I37</f>
        <v>925</v>
      </c>
      <c r="J37" s="3">
        <f t="shared" si="0"/>
        <v>47.1</v>
      </c>
      <c r="K37" s="3">
        <f t="shared" si="1"/>
        <v>24.108108108108109</v>
      </c>
    </row>
    <row r="38" spans="1:11" x14ac:dyDescent="0.2">
      <c r="A38" t="s">
        <v>2133</v>
      </c>
      <c r="B38">
        <f>'2019'!B38+'2020'!B38+'2021'!B38</f>
        <v>62</v>
      </c>
      <c r="C38">
        <f>'2019'!C38+'2020'!C38+'2021'!C38</f>
        <v>108</v>
      </c>
      <c r="D38">
        <f>'2019'!D38+'2020'!D38+'2021'!D38</f>
        <v>69</v>
      </c>
      <c r="E38">
        <f>'2019'!E38+'2020'!E38+'2021'!E38</f>
        <v>6</v>
      </c>
      <c r="F38">
        <f>'2019'!F38+'2020'!F38+'2021'!F38</f>
        <v>1</v>
      </c>
      <c r="G38">
        <f>'2019'!G38+'2020'!G38+'2021'!G38</f>
        <v>0</v>
      </c>
      <c r="H38">
        <f>'2019'!H38+'2020'!H38+'2021'!H38</f>
        <v>0</v>
      </c>
      <c r="I38">
        <f>'2019'!I38+'2020'!I38+'2021'!I38</f>
        <v>246</v>
      </c>
      <c r="J38" s="3">
        <f t="shared" si="0"/>
        <v>69.099999999999994</v>
      </c>
      <c r="K38" s="3">
        <f t="shared" si="1"/>
        <v>0</v>
      </c>
    </row>
    <row r="39" spans="1:11" x14ac:dyDescent="0.2">
      <c r="A39" t="s">
        <v>2134</v>
      </c>
      <c r="B39">
        <f>'2019'!B39+'2020'!B39+'2021'!B39</f>
        <v>1</v>
      </c>
      <c r="C39">
        <f>'2019'!C39+'2020'!C39+'2021'!C39</f>
        <v>3</v>
      </c>
      <c r="D39">
        <f>'2019'!D39+'2020'!D39+'2021'!D39</f>
        <v>7</v>
      </c>
      <c r="E39">
        <f>'2019'!E39+'2020'!E39+'2021'!E39</f>
        <v>5</v>
      </c>
      <c r="F39">
        <f>'2019'!F39+'2020'!F39+'2021'!F39</f>
        <v>3</v>
      </c>
      <c r="G39">
        <f>'2019'!G39+'2020'!G39+'2021'!G39</f>
        <v>28</v>
      </c>
      <c r="H39">
        <f>'2019'!H39+'2020'!H39+'2021'!H39</f>
        <v>23</v>
      </c>
      <c r="I39">
        <f>'2019'!I39+'2020'!I39+'2021'!I39</f>
        <v>70</v>
      </c>
      <c r="J39" s="3">
        <f t="shared" si="0"/>
        <v>5.7</v>
      </c>
      <c r="K39" s="3">
        <f t="shared" si="1"/>
        <v>72.857142857142861</v>
      </c>
    </row>
    <row r="40" spans="1:11" x14ac:dyDescent="0.2">
      <c r="A40" t="s">
        <v>2135</v>
      </c>
      <c r="B40">
        <f>'2019'!B40+'2020'!B40+'2021'!B40</f>
        <v>0</v>
      </c>
      <c r="C40">
        <f>'2019'!C40+'2020'!C40+'2021'!C40</f>
        <v>10</v>
      </c>
      <c r="D40">
        <f>'2019'!D40+'2020'!D40+'2021'!D40</f>
        <v>16</v>
      </c>
      <c r="E40">
        <f>'2019'!E40+'2020'!E40+'2021'!E40</f>
        <v>9</v>
      </c>
      <c r="F40">
        <f>'2019'!F40+'2020'!F40+'2021'!F40</f>
        <v>3</v>
      </c>
      <c r="G40">
        <f>'2019'!G40+'2020'!G40+'2021'!G40</f>
        <v>20</v>
      </c>
      <c r="H40">
        <f>'2019'!H40+'2020'!H40+'2021'!H40</f>
        <v>11</v>
      </c>
      <c r="I40">
        <f>'2019'!I40+'2020'!I40+'2021'!I40</f>
        <v>69</v>
      </c>
      <c r="J40" s="3">
        <f t="shared" si="0"/>
        <v>14.5</v>
      </c>
      <c r="K40" s="3">
        <f t="shared" si="1"/>
        <v>44.927536231884055</v>
      </c>
    </row>
    <row r="41" spans="1:11" x14ac:dyDescent="0.2">
      <c r="A41" t="s">
        <v>2136</v>
      </c>
      <c r="B41">
        <f>'2019'!B41+'2020'!B41+'2021'!B41</f>
        <v>77</v>
      </c>
      <c r="C41">
        <f>'2019'!C41+'2020'!C41+'2021'!C41</f>
        <v>194</v>
      </c>
      <c r="D41">
        <f>'2019'!D41+'2020'!D41+'2021'!D41</f>
        <v>47</v>
      </c>
      <c r="E41">
        <f>'2019'!E41+'2020'!E41+'2021'!E41</f>
        <v>17</v>
      </c>
      <c r="F41">
        <f>'2019'!F41+'2020'!F41+'2021'!F41</f>
        <v>15</v>
      </c>
      <c r="G41">
        <f>'2019'!G41+'2020'!G41+'2021'!G41</f>
        <v>50</v>
      </c>
      <c r="H41">
        <f>'2019'!H41+'2020'!H41+'2021'!H41</f>
        <v>17</v>
      </c>
      <c r="I41">
        <f>'2019'!I41+'2020'!I41+'2021'!I41</f>
        <v>417</v>
      </c>
      <c r="J41" s="3">
        <f t="shared" si="0"/>
        <v>65</v>
      </c>
      <c r="K41" s="3">
        <f t="shared" si="1"/>
        <v>16.067146282973621</v>
      </c>
    </row>
    <row r="42" spans="1:11" x14ac:dyDescent="0.2">
      <c r="A42" t="s">
        <v>2137</v>
      </c>
      <c r="B42">
        <f>'2019'!B42+'2020'!B42+'2021'!B42</f>
        <v>61</v>
      </c>
      <c r="C42">
        <f>'2019'!C42+'2020'!C42+'2021'!C42</f>
        <v>130</v>
      </c>
      <c r="D42">
        <f>'2019'!D42+'2020'!D42+'2021'!D42</f>
        <v>27</v>
      </c>
      <c r="E42">
        <f>'2019'!E42+'2020'!E42+'2021'!E42</f>
        <v>12</v>
      </c>
      <c r="F42">
        <f>'2019'!F42+'2020'!F42+'2021'!F42</f>
        <v>13</v>
      </c>
      <c r="G42">
        <f>'2019'!G42+'2020'!G42+'2021'!G42</f>
        <v>20</v>
      </c>
      <c r="H42">
        <f>'2019'!H42+'2020'!H42+'2021'!H42</f>
        <v>0</v>
      </c>
      <c r="I42">
        <f>'2019'!I42+'2020'!I42+'2021'!I42</f>
        <v>263</v>
      </c>
      <c r="J42" s="3">
        <f t="shared" si="0"/>
        <v>72.599999999999994</v>
      </c>
      <c r="K42" s="3">
        <f t="shared" si="1"/>
        <v>7.6045627376425857</v>
      </c>
    </row>
    <row r="43" spans="1:11" x14ac:dyDescent="0.2">
      <c r="A43" t="s">
        <v>2138</v>
      </c>
      <c r="B43">
        <f>'2019'!B43+'2020'!B43+'2021'!B43</f>
        <v>16</v>
      </c>
      <c r="C43">
        <f>'2019'!C43+'2020'!C43+'2021'!C43</f>
        <v>17</v>
      </c>
      <c r="D43">
        <f>'2019'!D43+'2020'!D43+'2021'!D43</f>
        <v>11</v>
      </c>
      <c r="E43">
        <f>'2019'!E43+'2020'!E43+'2021'!E43</f>
        <v>4</v>
      </c>
      <c r="F43">
        <f>'2019'!F43+'2020'!F43+'2021'!F43</f>
        <v>7</v>
      </c>
      <c r="G43">
        <f>'2019'!G43+'2020'!G43+'2021'!G43</f>
        <v>11</v>
      </c>
      <c r="H43">
        <f>'2019'!H43+'2020'!H43+'2021'!H43</f>
        <v>3</v>
      </c>
      <c r="I43">
        <f>'2019'!I43+'2020'!I43+'2021'!I43</f>
        <v>69</v>
      </c>
      <c r="J43" s="3">
        <f t="shared" si="0"/>
        <v>47.8</v>
      </c>
      <c r="K43" s="3">
        <f t="shared" si="1"/>
        <v>20.289855072463769</v>
      </c>
    </row>
    <row r="44" spans="1:11" x14ac:dyDescent="0.2">
      <c r="A44" t="s">
        <v>2139</v>
      </c>
      <c r="B44">
        <f>'2019'!B44+'2020'!B44+'2021'!B44</f>
        <v>46</v>
      </c>
      <c r="C44">
        <f>'2019'!C44+'2020'!C44+'2021'!C44</f>
        <v>53</v>
      </c>
      <c r="D44">
        <f>'2019'!D44+'2020'!D44+'2021'!D44</f>
        <v>15</v>
      </c>
      <c r="E44">
        <f>'2019'!E44+'2020'!E44+'2021'!E44</f>
        <v>6</v>
      </c>
      <c r="F44">
        <f>'2019'!F44+'2020'!F44+'2021'!F44</f>
        <v>0</v>
      </c>
      <c r="G44">
        <f>'2019'!G44+'2020'!G44+'2021'!G44</f>
        <v>0</v>
      </c>
      <c r="H44">
        <f>'2019'!H44+'2020'!H44+'2021'!H44</f>
        <v>0</v>
      </c>
      <c r="I44">
        <f>'2019'!I44+'2020'!I44+'2021'!I44</f>
        <v>120</v>
      </c>
      <c r="J44" s="3">
        <f t="shared" si="0"/>
        <v>82.5</v>
      </c>
      <c r="K44" s="3">
        <f t="shared" si="1"/>
        <v>0</v>
      </c>
    </row>
    <row r="45" spans="1:11" x14ac:dyDescent="0.2">
      <c r="A45" t="s">
        <v>2140</v>
      </c>
      <c r="B45">
        <f>'2019'!B45+'2020'!B45+'2021'!B45</f>
        <v>49</v>
      </c>
      <c r="C45">
        <f>'2019'!C45+'2020'!C45+'2021'!C45</f>
        <v>45</v>
      </c>
      <c r="D45">
        <f>'2019'!D45+'2020'!D45+'2021'!D45</f>
        <v>11</v>
      </c>
      <c r="E45">
        <f>'2019'!E45+'2020'!E45+'2021'!E45</f>
        <v>1</v>
      </c>
      <c r="F45">
        <f>'2019'!F45+'2020'!F45+'2021'!F45</f>
        <v>0</v>
      </c>
      <c r="G45">
        <f>'2019'!G45+'2020'!G45+'2021'!G45</f>
        <v>0</v>
      </c>
      <c r="H45">
        <f>'2019'!H45+'2020'!H45+'2021'!H45</f>
        <v>0</v>
      </c>
      <c r="I45">
        <f>'2019'!I45+'2020'!I45+'2021'!I45</f>
        <v>106</v>
      </c>
      <c r="J45" s="3">
        <f t="shared" si="0"/>
        <v>88.7</v>
      </c>
      <c r="K45" s="3">
        <f t="shared" si="1"/>
        <v>0</v>
      </c>
    </row>
    <row r="46" spans="1:11" x14ac:dyDescent="0.2">
      <c r="A46" t="s">
        <v>2141</v>
      </c>
      <c r="B46">
        <f>'2019'!B46+'2020'!B46+'2021'!B46</f>
        <v>250</v>
      </c>
      <c r="C46">
        <f>'2019'!C46+'2020'!C46+'2021'!C46</f>
        <v>452</v>
      </c>
      <c r="D46">
        <f>'2019'!D46+'2020'!D46+'2021'!D46</f>
        <v>134</v>
      </c>
      <c r="E46">
        <f>'2019'!E46+'2020'!E46+'2021'!E46</f>
        <v>54</v>
      </c>
      <c r="F46">
        <f>'2019'!F46+'2020'!F46+'2021'!F46</f>
        <v>41</v>
      </c>
      <c r="G46">
        <f>'2019'!G46+'2020'!G46+'2021'!G46</f>
        <v>129</v>
      </c>
      <c r="H46">
        <f>'2019'!H46+'2020'!H46+'2021'!H46</f>
        <v>54</v>
      </c>
      <c r="I46">
        <f>'2019'!I46+'2020'!I46+'2021'!I46</f>
        <v>1114</v>
      </c>
      <c r="J46" s="3">
        <f t="shared" si="0"/>
        <v>63</v>
      </c>
      <c r="K46" s="3">
        <f t="shared" si="1"/>
        <v>16.427289048473966</v>
      </c>
    </row>
    <row r="47" spans="1:11" x14ac:dyDescent="0.2">
      <c r="A47" t="s">
        <v>2142</v>
      </c>
      <c r="B47">
        <f>'2019'!B47+'2020'!B47+'2021'!B47</f>
        <v>331</v>
      </c>
      <c r="C47">
        <f>'2019'!C47+'2020'!C47+'2021'!C47</f>
        <v>863</v>
      </c>
      <c r="D47">
        <f>'2019'!D47+'2020'!D47+'2021'!D47</f>
        <v>619</v>
      </c>
      <c r="E47">
        <f>'2019'!E47+'2020'!E47+'2021'!E47</f>
        <v>37</v>
      </c>
      <c r="F47">
        <f>'2019'!F47+'2020'!F47+'2021'!F47</f>
        <v>30</v>
      </c>
      <c r="G47">
        <f>'2019'!G47+'2020'!G47+'2021'!G47</f>
        <v>123</v>
      </c>
      <c r="H47">
        <f>'2019'!H47+'2020'!H47+'2021'!H47</f>
        <v>91</v>
      </c>
      <c r="I47">
        <f>'2019'!I47+'2020'!I47+'2021'!I47</f>
        <v>2094</v>
      </c>
      <c r="J47" s="3">
        <f t="shared" si="0"/>
        <v>57</v>
      </c>
      <c r="K47" s="3">
        <f t="shared" si="1"/>
        <v>10.219675262655205</v>
      </c>
    </row>
    <row r="48" spans="1:11" x14ac:dyDescent="0.2">
      <c r="A48" t="s">
        <v>2143</v>
      </c>
      <c r="B48">
        <f>'2019'!B48+'2020'!B48+'2021'!B48</f>
        <v>212</v>
      </c>
      <c r="C48">
        <f>'2019'!C48+'2020'!C48+'2021'!C48</f>
        <v>287</v>
      </c>
      <c r="D48">
        <f>'2019'!D48+'2020'!D48+'2021'!D48</f>
        <v>37</v>
      </c>
      <c r="E48">
        <f>'2019'!E48+'2020'!E48+'2021'!E48</f>
        <v>42</v>
      </c>
      <c r="F48">
        <f>'2019'!F48+'2020'!F48+'2021'!F48</f>
        <v>28</v>
      </c>
      <c r="G48">
        <f>'2019'!G48+'2020'!G48+'2021'!G48</f>
        <v>74</v>
      </c>
      <c r="H48">
        <f>'2019'!H48+'2020'!H48+'2021'!H48</f>
        <v>40</v>
      </c>
      <c r="I48">
        <f>'2019'!I48+'2020'!I48+'2021'!I48</f>
        <v>720</v>
      </c>
      <c r="J48" s="3">
        <f t="shared" si="0"/>
        <v>69.3</v>
      </c>
      <c r="K48" s="3">
        <f t="shared" si="1"/>
        <v>15.833333333333334</v>
      </c>
    </row>
    <row r="49" spans="1:11" x14ac:dyDescent="0.2">
      <c r="A49" t="s">
        <v>2144</v>
      </c>
      <c r="B49">
        <f>'2019'!B49+'2020'!B49+'2021'!B49</f>
        <v>360</v>
      </c>
      <c r="C49">
        <f>'2019'!C49+'2020'!C49+'2021'!C49</f>
        <v>548</v>
      </c>
      <c r="D49">
        <f>'2019'!D49+'2020'!D49+'2021'!D49</f>
        <v>146</v>
      </c>
      <c r="E49">
        <f>'2019'!E49+'2020'!E49+'2021'!E49</f>
        <v>62</v>
      </c>
      <c r="F49">
        <f>'2019'!F49+'2020'!F49+'2021'!F49</f>
        <v>41</v>
      </c>
      <c r="G49">
        <f>'2019'!G49+'2020'!G49+'2021'!G49</f>
        <v>122</v>
      </c>
      <c r="H49">
        <f>'2019'!H49+'2020'!H49+'2021'!H49</f>
        <v>46</v>
      </c>
      <c r="I49">
        <f>'2019'!I49+'2020'!I49+'2021'!I49</f>
        <v>1325</v>
      </c>
      <c r="J49" s="3">
        <f t="shared" si="0"/>
        <v>68.5</v>
      </c>
      <c r="K49" s="3">
        <f t="shared" si="1"/>
        <v>12.679245283018869</v>
      </c>
    </row>
    <row r="50" spans="1:11" x14ac:dyDescent="0.2">
      <c r="A50" t="s">
        <v>2145</v>
      </c>
      <c r="B50">
        <f>'2019'!B50+'2020'!B50+'2021'!B50</f>
        <v>490</v>
      </c>
      <c r="C50">
        <f>'2019'!C50+'2020'!C50+'2021'!C50</f>
        <v>498</v>
      </c>
      <c r="D50">
        <f>'2019'!D50+'2020'!D50+'2021'!D50</f>
        <v>219</v>
      </c>
      <c r="E50">
        <f>'2019'!E50+'2020'!E50+'2021'!E50</f>
        <v>128</v>
      </c>
      <c r="F50">
        <f>'2019'!F50+'2020'!F50+'2021'!F50</f>
        <v>94</v>
      </c>
      <c r="G50">
        <f>'2019'!G50+'2020'!G50+'2021'!G50</f>
        <v>171</v>
      </c>
      <c r="H50">
        <f>'2019'!H50+'2020'!H50+'2021'!H50</f>
        <v>82</v>
      </c>
      <c r="I50">
        <f>'2019'!I50+'2020'!I50+'2021'!I50</f>
        <v>1682</v>
      </c>
      <c r="J50" s="3">
        <f t="shared" si="0"/>
        <v>58.7</v>
      </c>
      <c r="K50" s="3">
        <f t="shared" si="1"/>
        <v>15.041617122473246</v>
      </c>
    </row>
    <row r="51" spans="1:11" x14ac:dyDescent="0.2">
      <c r="A51" t="s">
        <v>2146</v>
      </c>
      <c r="B51">
        <f>'2019'!B51+'2020'!B51+'2021'!B51</f>
        <v>1393</v>
      </c>
      <c r="C51">
        <f>'2019'!C51+'2020'!C51+'2021'!C51</f>
        <v>2196</v>
      </c>
      <c r="D51">
        <f>'2019'!D51+'2020'!D51+'2021'!D51</f>
        <v>1021</v>
      </c>
      <c r="E51">
        <f>'2019'!E51+'2020'!E51+'2021'!E51</f>
        <v>269</v>
      </c>
      <c r="F51">
        <f>'2019'!F51+'2020'!F51+'2021'!F51</f>
        <v>193</v>
      </c>
      <c r="G51">
        <f>'2019'!G51+'2020'!G51+'2021'!G51</f>
        <v>490</v>
      </c>
      <c r="H51">
        <f>'2019'!H51+'2020'!H51+'2021'!H51</f>
        <v>259</v>
      </c>
      <c r="I51">
        <f>'2019'!I51+'2020'!I51+'2021'!I51</f>
        <v>5821</v>
      </c>
      <c r="J51" s="3">
        <f t="shared" si="0"/>
        <v>61.7</v>
      </c>
      <c r="K51" s="3">
        <f t="shared" si="1"/>
        <v>12.867204947603504</v>
      </c>
    </row>
    <row r="52" spans="1:11" x14ac:dyDescent="0.2">
      <c r="A52" t="s">
        <v>2147</v>
      </c>
      <c r="B52">
        <f>'2019'!B52+'2020'!B52+'2021'!B52</f>
        <v>101</v>
      </c>
      <c r="C52">
        <f>'2019'!C52+'2020'!C52+'2021'!C52</f>
        <v>117</v>
      </c>
      <c r="D52">
        <f>'2019'!D52+'2020'!D52+'2021'!D52</f>
        <v>18</v>
      </c>
      <c r="E52">
        <f>'2019'!E52+'2020'!E52+'2021'!E52</f>
        <v>8</v>
      </c>
      <c r="F52">
        <f>'2019'!F52+'2020'!F52+'2021'!F52</f>
        <v>20</v>
      </c>
      <c r="G52">
        <f>'2019'!G52+'2020'!G52+'2021'!G52</f>
        <v>18</v>
      </c>
      <c r="H52">
        <f>'2019'!H52+'2020'!H52+'2021'!H52</f>
        <v>10</v>
      </c>
      <c r="I52">
        <f>'2019'!I52+'2020'!I52+'2021'!I52</f>
        <v>292</v>
      </c>
      <c r="J52" s="3">
        <f t="shared" si="0"/>
        <v>74.7</v>
      </c>
      <c r="K52" s="3">
        <f t="shared" si="1"/>
        <v>9.5890410958904102</v>
      </c>
    </row>
    <row r="53" spans="1:11" x14ac:dyDescent="0.2">
      <c r="A53" t="s">
        <v>2148</v>
      </c>
      <c r="B53">
        <f>'2019'!B53+'2020'!B53+'2021'!B53</f>
        <v>309</v>
      </c>
      <c r="C53">
        <f>'2019'!C53+'2020'!C53+'2021'!C53</f>
        <v>344</v>
      </c>
      <c r="D53">
        <f>'2019'!D53+'2020'!D53+'2021'!D53</f>
        <v>79</v>
      </c>
      <c r="E53">
        <f>'2019'!E53+'2020'!E53+'2021'!E53</f>
        <v>44</v>
      </c>
      <c r="F53">
        <f>'2019'!F53+'2020'!F53+'2021'!F53</f>
        <v>15</v>
      </c>
      <c r="G53">
        <f>'2019'!G53+'2020'!G53+'2021'!G53</f>
        <v>8</v>
      </c>
      <c r="H53">
        <f>'2019'!H53+'2020'!H53+'2021'!H53</f>
        <v>10</v>
      </c>
      <c r="I53">
        <f>'2019'!I53+'2020'!I53+'2021'!I53</f>
        <v>809</v>
      </c>
      <c r="J53" s="3">
        <f t="shared" si="0"/>
        <v>80.7</v>
      </c>
      <c r="K53" s="3">
        <f t="shared" si="1"/>
        <v>2.2249690976514214</v>
      </c>
    </row>
    <row r="54" spans="1:11" x14ac:dyDescent="0.2">
      <c r="A54" t="s">
        <v>2149</v>
      </c>
      <c r="B54">
        <f>'2019'!B54+'2020'!B54+'2021'!B54</f>
        <v>174</v>
      </c>
      <c r="C54">
        <f>'2019'!C54+'2020'!C54+'2021'!C54</f>
        <v>125</v>
      </c>
      <c r="D54">
        <f>'2019'!D54+'2020'!D54+'2021'!D54</f>
        <v>15</v>
      </c>
      <c r="E54">
        <f>'2019'!E54+'2020'!E54+'2021'!E54</f>
        <v>4</v>
      </c>
      <c r="F54">
        <f>'2019'!F54+'2020'!F54+'2021'!F54</f>
        <v>2</v>
      </c>
      <c r="G54">
        <f>'2019'!G54+'2020'!G54+'2021'!G54</f>
        <v>0</v>
      </c>
      <c r="H54">
        <f>'2019'!H54+'2020'!H54+'2021'!H54</f>
        <v>0</v>
      </c>
      <c r="I54">
        <f>'2019'!I54+'2020'!I54+'2021'!I54</f>
        <v>320</v>
      </c>
      <c r="J54" s="3">
        <f t="shared" si="0"/>
        <v>93.4</v>
      </c>
      <c r="K54" s="3">
        <f t="shared" si="1"/>
        <v>0</v>
      </c>
    </row>
    <row r="55" spans="1:11" x14ac:dyDescent="0.2">
      <c r="A55" t="s">
        <v>2150</v>
      </c>
      <c r="B55">
        <f>'2019'!B55+'2020'!B55+'2021'!B55</f>
        <v>584</v>
      </c>
      <c r="C55">
        <f>'2019'!C55+'2020'!C55+'2021'!C55</f>
        <v>586</v>
      </c>
      <c r="D55">
        <f>'2019'!D55+'2020'!D55+'2021'!D55</f>
        <v>112</v>
      </c>
      <c r="E55">
        <f>'2019'!E55+'2020'!E55+'2021'!E55</f>
        <v>56</v>
      </c>
      <c r="F55">
        <f>'2019'!F55+'2020'!F55+'2021'!F55</f>
        <v>37</v>
      </c>
      <c r="G55">
        <f>'2019'!G55+'2020'!G55+'2021'!G55</f>
        <v>26</v>
      </c>
      <c r="H55">
        <f>'2019'!H55+'2020'!H55+'2021'!H55</f>
        <v>20</v>
      </c>
      <c r="I55">
        <f>'2019'!I55+'2020'!I55+'2021'!I55</f>
        <v>1421</v>
      </c>
      <c r="J55" s="3">
        <f t="shared" si="0"/>
        <v>82.3</v>
      </c>
      <c r="K55" s="3">
        <f t="shared" si="1"/>
        <v>3.2371569317382125</v>
      </c>
    </row>
    <row r="56" spans="1:11" x14ac:dyDescent="0.2">
      <c r="A56" t="s">
        <v>2151</v>
      </c>
      <c r="B56">
        <f>'2019'!B56+'2020'!B56+'2021'!B56</f>
        <v>1977</v>
      </c>
      <c r="C56">
        <f>'2019'!C56+'2020'!C56+'2021'!C56</f>
        <v>2782</v>
      </c>
      <c r="D56">
        <f>'2019'!D56+'2020'!D56+'2021'!D56</f>
        <v>1133</v>
      </c>
      <c r="E56">
        <f>'2019'!E56+'2020'!E56+'2021'!E56</f>
        <v>325</v>
      </c>
      <c r="F56">
        <f>'2019'!F56+'2020'!F56+'2021'!F56</f>
        <v>230</v>
      </c>
      <c r="G56">
        <f>'2019'!G56+'2020'!G56+'2021'!G56</f>
        <v>516</v>
      </c>
      <c r="H56">
        <f>'2019'!H56+'2020'!H56+'2021'!H56</f>
        <v>279</v>
      </c>
      <c r="I56">
        <f>'2019'!I56+'2020'!I56+'2021'!I56</f>
        <v>7242</v>
      </c>
      <c r="J56" s="3">
        <f t="shared" si="0"/>
        <v>65.7</v>
      </c>
      <c r="K56" s="3">
        <f t="shared" si="1"/>
        <v>10.977630488815244</v>
      </c>
    </row>
  </sheetData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Courses</vt:lpstr>
      <vt:lpstr>2019</vt:lpstr>
      <vt:lpstr>2020</vt:lpstr>
      <vt:lpstr>2021</vt:lpstr>
      <vt:lpstr>2019 + 2020</vt:lpstr>
      <vt:lpstr>2019 + 2020 + 2021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Thaddeus</dc:creator>
  <cp:lastModifiedBy>Michael Thaddeus</cp:lastModifiedBy>
  <dcterms:created xsi:type="dcterms:W3CDTF">2021-12-17T01:02:44Z</dcterms:created>
  <dcterms:modified xsi:type="dcterms:W3CDTF">2022-02-27T15:38:34Z</dcterms:modified>
</cp:coreProperties>
</file>